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79" yWindow="557" windowWidth="24643" windowHeight="10555" tabRatio="936" activeTab="2"/>
  </bookViews>
  <sheets>
    <sheet name="Self Assessment Total Score" sheetId="1" r:id="rId1"/>
    <sheet name="RolesPersonas" sheetId="2" r:id="rId2"/>
    <sheet name="Acquisition Planning (AP)" sheetId="3" r:id="rId3"/>
    <sheet name="Acquisition Package Preparation" sheetId="4" r:id="rId4"/>
    <sheet name="Source Selection (SS)" sheetId="5" r:id="rId5"/>
    <sheet name="Contract Administration" sheetId="6" r:id="rId6"/>
    <sheet name="Clause Logic" sheetId="7" r:id="rId7"/>
    <sheet name="Workflow Management" sheetId="8" r:id="rId8"/>
    <sheet name="General" sheetId="9" r:id="rId9"/>
    <sheet name="Third Party Systems" sheetId="10" r:id="rId10"/>
    <sheet name="DigitalElectronic Signatures" sheetId="11" r:id="rId11"/>
    <sheet name="Records Management (ECF)" sheetId="12" r:id="rId12"/>
    <sheet name="Vendor Portal" sheetId="13" r:id="rId13"/>
    <sheet name="System" sheetId="14" r:id="rId14"/>
    <sheet name="Customer Portal" sheetId="15" r:id="rId15"/>
    <sheet name="Financial Management" sheetId="16" r:id="rId16"/>
    <sheet name="CTAG" sheetId="17" r:id="rId17"/>
    <sheet name="Catalog Management" sheetId="18" r:id="rId18"/>
  </sheets>
  <calcPr calcId="145621"/>
</workbook>
</file>

<file path=xl/calcChain.xml><?xml version="1.0" encoding="utf-8"?>
<calcChain xmlns="http://schemas.openxmlformats.org/spreadsheetml/2006/main">
  <c r="I2" i="8" l="1"/>
  <c r="J29" i="18"/>
  <c r="J28" i="18"/>
  <c r="J27" i="18"/>
  <c r="J26" i="18"/>
  <c r="J25" i="18"/>
  <c r="J24" i="18"/>
  <c r="J23" i="18"/>
  <c r="J22" i="18"/>
  <c r="J21" i="18"/>
  <c r="J20" i="18"/>
  <c r="J19" i="18"/>
  <c r="J18" i="18"/>
  <c r="J17" i="18"/>
  <c r="J16" i="18"/>
  <c r="J15" i="18"/>
  <c r="J14" i="18"/>
  <c r="J13" i="18"/>
  <c r="J12" i="18"/>
  <c r="J11" i="18"/>
  <c r="J10" i="18"/>
  <c r="J9" i="18"/>
  <c r="J8" i="18"/>
  <c r="J7" i="18"/>
  <c r="J6" i="18"/>
  <c r="J5" i="18"/>
  <c r="J4" i="18"/>
  <c r="J3" i="18"/>
  <c r="J2" i="18"/>
  <c r="G271" i="17"/>
  <c r="G270" i="17"/>
  <c r="G269" i="17"/>
  <c r="G268" i="17"/>
  <c r="G267" i="17"/>
  <c r="G259" i="17"/>
  <c r="G251" i="17"/>
  <c r="G241" i="17"/>
  <c r="G234" i="17"/>
  <c r="G230" i="17"/>
  <c r="G225" i="17"/>
  <c r="G222" i="17"/>
  <c r="G216" i="17"/>
  <c r="G212" i="17"/>
  <c r="G208" i="17"/>
  <c r="G193" i="17"/>
  <c r="G188" i="17"/>
  <c r="G181" i="17"/>
  <c r="G176" i="17"/>
  <c r="G173" i="17"/>
  <c r="G169" i="17"/>
  <c r="G166" i="17"/>
  <c r="G163" i="17"/>
  <c r="G161" i="17"/>
  <c r="G151" i="17"/>
  <c r="G146" i="17"/>
  <c r="G140" i="17"/>
  <c r="G131" i="17"/>
  <c r="G128" i="17"/>
  <c r="G125" i="17"/>
  <c r="G114" i="17"/>
  <c r="G110" i="17"/>
  <c r="G103" i="17"/>
  <c r="G96" i="17"/>
  <c r="G89" i="17"/>
  <c r="G86" i="17"/>
  <c r="G83" i="17"/>
  <c r="G68" i="17"/>
  <c r="G62" i="17"/>
  <c r="G59" i="17"/>
  <c r="G54" i="17"/>
  <c r="G49" i="17"/>
  <c r="G44" i="17"/>
  <c r="G32" i="17"/>
  <c r="G25" i="17"/>
  <c r="E23" i="17"/>
  <c r="E22" i="17"/>
  <c r="E21" i="17"/>
  <c r="E20" i="17"/>
  <c r="E19" i="17"/>
  <c r="E18" i="17"/>
  <c r="G17" i="17"/>
  <c r="E15" i="17"/>
  <c r="E14" i="17"/>
  <c r="E13" i="17"/>
  <c r="E12" i="17"/>
  <c r="E11" i="17"/>
  <c r="E10" i="17"/>
  <c r="E9" i="17"/>
  <c r="E8" i="17"/>
  <c r="E7" i="17"/>
  <c r="E6" i="17"/>
  <c r="E5" i="17"/>
  <c r="G4" i="17"/>
  <c r="E4" i="17"/>
  <c r="J76" i="16"/>
  <c r="J75" i="16"/>
  <c r="J74" i="16"/>
  <c r="J73" i="16"/>
  <c r="J72" i="16"/>
  <c r="J71" i="16"/>
  <c r="J70" i="16"/>
  <c r="J69" i="16"/>
  <c r="J68" i="16"/>
  <c r="J67" i="16"/>
  <c r="J66" i="16"/>
  <c r="J65" i="16"/>
  <c r="J64" i="16"/>
  <c r="J63" i="16"/>
  <c r="J62" i="16"/>
  <c r="J61" i="16"/>
  <c r="J60" i="16"/>
  <c r="J59" i="16"/>
  <c r="J58" i="16"/>
  <c r="J57" i="16"/>
  <c r="J56" i="16"/>
  <c r="J55" i="16"/>
  <c r="J54" i="16"/>
  <c r="J53" i="16"/>
  <c r="J52" i="16"/>
  <c r="J51" i="16"/>
  <c r="J50" i="16"/>
  <c r="J49" i="16"/>
  <c r="J48" i="16"/>
  <c r="J47" i="16"/>
  <c r="J46" i="16"/>
  <c r="J45" i="16"/>
  <c r="J44" i="16"/>
  <c r="J43" i="16"/>
  <c r="J42" i="16"/>
  <c r="J41" i="16"/>
  <c r="J40" i="16"/>
  <c r="J39" i="16"/>
  <c r="J38" i="16"/>
  <c r="J37" i="16"/>
  <c r="J36" i="16"/>
  <c r="J35" i="16"/>
  <c r="J34" i="16"/>
  <c r="J33" i="16"/>
  <c r="J32" i="16"/>
  <c r="J31" i="16"/>
  <c r="J30" i="16"/>
  <c r="J29" i="16"/>
  <c r="J28" i="16"/>
  <c r="J27" i="16"/>
  <c r="J26" i="16"/>
  <c r="J25" i="16"/>
  <c r="J24" i="16"/>
  <c r="J23" i="16"/>
  <c r="J22" i="16"/>
  <c r="J21" i="16"/>
  <c r="J20" i="16"/>
  <c r="J19" i="16"/>
  <c r="J18" i="16"/>
  <c r="J17" i="16"/>
  <c r="J16" i="16"/>
  <c r="J15" i="16"/>
  <c r="J14" i="16"/>
  <c r="J13" i="16"/>
  <c r="G13" i="16"/>
  <c r="J12" i="16"/>
  <c r="J11" i="16"/>
  <c r="J10" i="16"/>
  <c r="J9" i="16"/>
  <c r="J8" i="16"/>
  <c r="J7" i="16"/>
  <c r="J6" i="16"/>
  <c r="J5" i="16"/>
  <c r="J4" i="16"/>
  <c r="J3" i="16"/>
  <c r="G3" i="16"/>
  <c r="J2" i="16"/>
  <c r="I15" i="15"/>
  <c r="G15" i="15"/>
  <c r="F15" i="15"/>
  <c r="I14" i="15"/>
  <c r="I13" i="15"/>
  <c r="I12" i="15"/>
  <c r="I11" i="15"/>
  <c r="I10" i="15"/>
  <c r="I9" i="15"/>
  <c r="G9" i="15"/>
  <c r="F9" i="15"/>
  <c r="I8" i="15"/>
  <c r="I7" i="15"/>
  <c r="G7" i="15"/>
  <c r="F7" i="15"/>
  <c r="I6" i="15"/>
  <c r="G6" i="15"/>
  <c r="F6" i="15"/>
  <c r="I5" i="15"/>
  <c r="I4" i="15"/>
  <c r="I3" i="15"/>
  <c r="I2" i="15"/>
  <c r="G2" i="15"/>
  <c r="F2" i="15"/>
  <c r="K81" i="14"/>
  <c r="H81" i="14"/>
  <c r="K80" i="14"/>
  <c r="K79" i="14"/>
  <c r="K78" i="14"/>
  <c r="K77" i="14"/>
  <c r="K76" i="14"/>
  <c r="K75" i="14"/>
  <c r="K74" i="14"/>
  <c r="K73" i="14"/>
  <c r="K72" i="14"/>
  <c r="K71" i="14"/>
  <c r="K70" i="14"/>
  <c r="K69" i="14"/>
  <c r="K68" i="14"/>
  <c r="K67" i="14"/>
  <c r="I67" i="14"/>
  <c r="H67" i="14"/>
  <c r="K66" i="14"/>
  <c r="I66" i="14"/>
  <c r="H66" i="14"/>
  <c r="K65" i="14"/>
  <c r="K64" i="14"/>
  <c r="K63" i="14"/>
  <c r="K62" i="14"/>
  <c r="K61" i="14"/>
  <c r="K60" i="14"/>
  <c r="K59" i="14"/>
  <c r="K58" i="14"/>
  <c r="K57" i="14"/>
  <c r="K56" i="14"/>
  <c r="I56" i="14"/>
  <c r="H56" i="14"/>
  <c r="K55" i="14"/>
  <c r="I55" i="14"/>
  <c r="H55" i="14"/>
  <c r="K54" i="14"/>
  <c r="K53" i="14"/>
  <c r="K52" i="14"/>
  <c r="K51" i="14"/>
  <c r="K50" i="14"/>
  <c r="K49" i="14"/>
  <c r="K48" i="14"/>
  <c r="K47" i="14"/>
  <c r="K46" i="14"/>
  <c r="K45" i="14"/>
  <c r="K44" i="14"/>
  <c r="K43" i="14"/>
  <c r="K42" i="14"/>
  <c r="K41" i="14"/>
  <c r="K40" i="14"/>
  <c r="K39" i="14"/>
  <c r="K38" i="14"/>
  <c r="K37" i="14"/>
  <c r="K36" i="14"/>
  <c r="K35" i="14"/>
  <c r="K34" i="14"/>
  <c r="I34" i="14"/>
  <c r="H34" i="14"/>
  <c r="K33" i="14"/>
  <c r="K32" i="14"/>
  <c r="K31" i="14"/>
  <c r="K30" i="14"/>
  <c r="K29" i="14"/>
  <c r="K28" i="14"/>
  <c r="K27" i="14"/>
  <c r="K26" i="14"/>
  <c r="K25" i="14"/>
  <c r="K24" i="14"/>
  <c r="K23" i="14"/>
  <c r="K22" i="14"/>
  <c r="K21" i="14"/>
  <c r="K20" i="14"/>
  <c r="K19" i="14"/>
  <c r="K18" i="14"/>
  <c r="K17" i="14"/>
  <c r="K16" i="14"/>
  <c r="K15" i="14"/>
  <c r="K14" i="14"/>
  <c r="K13" i="14"/>
  <c r="K12" i="14"/>
  <c r="K11" i="14"/>
  <c r="K10" i="14"/>
  <c r="K9" i="14"/>
  <c r="K8" i="14"/>
  <c r="H8" i="14"/>
  <c r="K7" i="14"/>
  <c r="I7" i="14"/>
  <c r="H7" i="14"/>
  <c r="K6" i="14"/>
  <c r="K5" i="14"/>
  <c r="K4" i="14"/>
  <c r="K3" i="14"/>
  <c r="I3" i="14"/>
  <c r="H3" i="14"/>
  <c r="K2" i="14"/>
  <c r="I51" i="13"/>
  <c r="I50" i="13"/>
  <c r="I49" i="13"/>
  <c r="I48" i="13"/>
  <c r="I47" i="13"/>
  <c r="I46" i="13"/>
  <c r="I45" i="13"/>
  <c r="G45" i="13"/>
  <c r="F45" i="13"/>
  <c r="I44" i="13"/>
  <c r="F44" i="13"/>
  <c r="I43" i="13"/>
  <c r="F43" i="13"/>
  <c r="I42" i="13"/>
  <c r="G42" i="13"/>
  <c r="F42" i="13"/>
  <c r="I41" i="13"/>
  <c r="G41" i="13"/>
  <c r="F41" i="13"/>
  <c r="I40" i="13"/>
  <c r="I39" i="13"/>
  <c r="I38" i="13"/>
  <c r="I37" i="13"/>
  <c r="I36" i="13"/>
  <c r="I35" i="13"/>
  <c r="I34" i="13"/>
  <c r="I33" i="13"/>
  <c r="I32" i="13"/>
  <c r="I31" i="13"/>
  <c r="G31" i="13"/>
  <c r="F31" i="13"/>
  <c r="I30" i="13"/>
  <c r="I29" i="13"/>
  <c r="G29" i="13"/>
  <c r="F29" i="13"/>
  <c r="I28" i="13"/>
  <c r="G28" i="13"/>
  <c r="F28" i="13"/>
  <c r="I27" i="13"/>
  <c r="I26" i="13"/>
  <c r="I25" i="13"/>
  <c r="I24" i="13"/>
  <c r="I23" i="13"/>
  <c r="I22" i="13"/>
  <c r="I21" i="13"/>
  <c r="I20" i="13"/>
  <c r="I19" i="13"/>
  <c r="G19" i="13"/>
  <c r="F19" i="13"/>
  <c r="I18" i="13"/>
  <c r="I17" i="13"/>
  <c r="G17" i="13"/>
  <c r="F17" i="13"/>
  <c r="I16" i="13"/>
  <c r="I15" i="13"/>
  <c r="I14" i="13"/>
  <c r="I13" i="13"/>
  <c r="I12" i="13"/>
  <c r="I11" i="13"/>
  <c r="I10" i="13"/>
  <c r="I9" i="13"/>
  <c r="I8" i="13"/>
  <c r="F8" i="13"/>
  <c r="I7" i="13"/>
  <c r="G7" i="13"/>
  <c r="F7" i="13"/>
  <c r="I6" i="13"/>
  <c r="I5" i="13"/>
  <c r="I4" i="13"/>
  <c r="I3" i="13"/>
  <c r="I2" i="13"/>
  <c r="I27" i="12"/>
  <c r="G27" i="12"/>
  <c r="F27" i="12"/>
  <c r="I26" i="12"/>
  <c r="G26" i="12"/>
  <c r="F26" i="12"/>
  <c r="I25" i="12"/>
  <c r="G25" i="12"/>
  <c r="F25" i="12"/>
  <c r="I24" i="12"/>
  <c r="G24" i="12"/>
  <c r="F24" i="12"/>
  <c r="I23" i="12"/>
  <c r="G23" i="12"/>
  <c r="F23" i="12"/>
  <c r="I22" i="12"/>
  <c r="G22" i="12"/>
  <c r="F22" i="12"/>
  <c r="I21" i="12"/>
  <c r="G21" i="12"/>
  <c r="F21" i="12"/>
  <c r="I20" i="12"/>
  <c r="G20" i="12"/>
  <c r="F20" i="12"/>
  <c r="I19" i="12"/>
  <c r="G19" i="12"/>
  <c r="F19" i="12"/>
  <c r="I18" i="12"/>
  <c r="G18" i="12"/>
  <c r="F18" i="12"/>
  <c r="I17" i="12"/>
  <c r="G17" i="12"/>
  <c r="F17" i="12"/>
  <c r="I16" i="12"/>
  <c r="G16" i="12"/>
  <c r="F16" i="12"/>
  <c r="I15" i="12"/>
  <c r="G15" i="12"/>
  <c r="F15" i="12"/>
  <c r="I14" i="12"/>
  <c r="G14" i="12"/>
  <c r="F14" i="12"/>
  <c r="I13" i="12"/>
  <c r="G13" i="12"/>
  <c r="F13" i="12"/>
  <c r="I12" i="12"/>
  <c r="G12" i="12"/>
  <c r="F12" i="12"/>
  <c r="I11" i="12"/>
  <c r="G11" i="12"/>
  <c r="F11" i="12"/>
  <c r="I10" i="12"/>
  <c r="G10" i="12"/>
  <c r="F10" i="12"/>
  <c r="I9" i="12"/>
  <c r="G9" i="12"/>
  <c r="F9" i="12"/>
  <c r="I8" i="12"/>
  <c r="G8" i="12"/>
  <c r="F8" i="12"/>
  <c r="I7" i="12"/>
  <c r="G7" i="12"/>
  <c r="F7" i="12"/>
  <c r="I6" i="12"/>
  <c r="G6" i="12"/>
  <c r="F6" i="12"/>
  <c r="I5" i="12"/>
  <c r="G5" i="12"/>
  <c r="F5" i="12"/>
  <c r="I4" i="12"/>
  <c r="G4" i="12"/>
  <c r="F4" i="12"/>
  <c r="I3" i="12"/>
  <c r="G3" i="12"/>
  <c r="F3" i="12"/>
  <c r="I2" i="12"/>
  <c r="G2" i="12"/>
  <c r="F2" i="12"/>
  <c r="I19" i="11"/>
  <c r="G19" i="11"/>
  <c r="F19" i="11"/>
  <c r="I18" i="11"/>
  <c r="G18" i="11"/>
  <c r="F18" i="11"/>
  <c r="I17" i="11"/>
  <c r="G17" i="11"/>
  <c r="F17" i="11"/>
  <c r="I16" i="11"/>
  <c r="G16" i="11"/>
  <c r="F16" i="11"/>
  <c r="I15" i="11"/>
  <c r="G15" i="11"/>
  <c r="F15" i="11"/>
  <c r="I14" i="11"/>
  <c r="G14" i="11"/>
  <c r="F14" i="11"/>
  <c r="I13" i="11"/>
  <c r="G13" i="11"/>
  <c r="F13" i="11"/>
  <c r="I12" i="11"/>
  <c r="G12" i="11"/>
  <c r="F12" i="11"/>
  <c r="I11" i="11"/>
  <c r="G11" i="11"/>
  <c r="F11" i="11"/>
  <c r="I10" i="11"/>
  <c r="G10" i="11"/>
  <c r="F10" i="11"/>
  <c r="I9" i="11"/>
  <c r="G9" i="11"/>
  <c r="F9" i="11"/>
  <c r="I8" i="11"/>
  <c r="G8" i="11"/>
  <c r="F8" i="11"/>
  <c r="I7" i="11"/>
  <c r="G7" i="11"/>
  <c r="F7" i="11"/>
  <c r="I6" i="11"/>
  <c r="G6" i="11"/>
  <c r="F6" i="11"/>
  <c r="I5" i="11"/>
  <c r="G5" i="11"/>
  <c r="F5" i="11"/>
  <c r="I4" i="11"/>
  <c r="G4" i="11"/>
  <c r="F4" i="11"/>
  <c r="I3" i="11"/>
  <c r="G3" i="11"/>
  <c r="F3" i="11"/>
  <c r="I2" i="11"/>
  <c r="G2" i="11"/>
  <c r="F2" i="11"/>
  <c r="I45" i="10"/>
  <c r="I44" i="10"/>
  <c r="I43" i="10"/>
  <c r="G43" i="10"/>
  <c r="I42" i="10"/>
  <c r="I41" i="10"/>
  <c r="I40" i="10"/>
  <c r="G40" i="10"/>
  <c r="F40" i="10"/>
  <c r="I39" i="10"/>
  <c r="I38" i="10"/>
  <c r="I37" i="10"/>
  <c r="I36" i="10"/>
  <c r="I35" i="10"/>
  <c r="I34" i="10"/>
  <c r="I33" i="10"/>
  <c r="I32" i="10"/>
  <c r="I31" i="10"/>
  <c r="F31" i="10"/>
  <c r="I30" i="10"/>
  <c r="F30" i="10"/>
  <c r="I29" i="10"/>
  <c r="F29" i="10"/>
  <c r="I28" i="10"/>
  <c r="G28" i="10"/>
  <c r="I27" i="10"/>
  <c r="G27" i="10"/>
  <c r="I26" i="10"/>
  <c r="G26" i="10"/>
  <c r="I25" i="10"/>
  <c r="G25" i="10"/>
  <c r="I24" i="10"/>
  <c r="G24" i="10"/>
  <c r="F24" i="10"/>
  <c r="I23" i="10"/>
  <c r="G23" i="10"/>
  <c r="I22" i="10"/>
  <c r="G22" i="10"/>
  <c r="I21" i="10"/>
  <c r="I20" i="10"/>
  <c r="I19" i="10"/>
  <c r="I18" i="10"/>
  <c r="I17" i="10"/>
  <c r="I16" i="10"/>
  <c r="G16" i="10"/>
  <c r="F16" i="10"/>
  <c r="I15" i="10"/>
  <c r="G15" i="10"/>
  <c r="F15" i="10"/>
  <c r="I14" i="10"/>
  <c r="G14" i="10"/>
  <c r="F14" i="10"/>
  <c r="I13" i="10"/>
  <c r="G13" i="10"/>
  <c r="F13" i="10"/>
  <c r="I12" i="10"/>
  <c r="G12" i="10"/>
  <c r="F12" i="10"/>
  <c r="I11" i="10"/>
  <c r="G11" i="10"/>
  <c r="F11" i="10"/>
  <c r="I10" i="10"/>
  <c r="G10" i="10"/>
  <c r="F10" i="10"/>
  <c r="I9" i="10"/>
  <c r="G9" i="10"/>
  <c r="F9" i="10"/>
  <c r="I8" i="10"/>
  <c r="F8" i="10"/>
  <c r="I7" i="10"/>
  <c r="G7" i="10"/>
  <c r="F7" i="10"/>
  <c r="I6" i="10"/>
  <c r="G6" i="10"/>
  <c r="F6" i="10"/>
  <c r="I5" i="10"/>
  <c r="G5" i="10"/>
  <c r="I4" i="10"/>
  <c r="G4" i="10"/>
  <c r="F4" i="10"/>
  <c r="I3" i="10"/>
  <c r="G3" i="10"/>
  <c r="F3" i="10"/>
  <c r="I2" i="10"/>
  <c r="G2" i="10"/>
  <c r="F2" i="10"/>
  <c r="I115" i="9"/>
  <c r="I114" i="9"/>
  <c r="I113" i="9"/>
  <c r="I112" i="9"/>
  <c r="I111" i="9"/>
  <c r="I110" i="9"/>
  <c r="I109" i="9"/>
  <c r="I108" i="9"/>
  <c r="I107" i="9"/>
  <c r="F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G40" i="9"/>
  <c r="F40" i="9"/>
  <c r="I39" i="9"/>
  <c r="I38" i="9"/>
  <c r="I37" i="9"/>
  <c r="F37" i="9"/>
  <c r="I36" i="9"/>
  <c r="F36" i="9"/>
  <c r="I35" i="9"/>
  <c r="F35" i="9"/>
  <c r="I34" i="9"/>
  <c r="I33" i="9"/>
  <c r="I32" i="9"/>
  <c r="I31" i="9"/>
  <c r="I30" i="9"/>
  <c r="I29" i="9"/>
  <c r="I28" i="9"/>
  <c r="I27" i="9"/>
  <c r="I26" i="9"/>
  <c r="I25" i="9"/>
  <c r="I24" i="9"/>
  <c r="I23" i="9"/>
  <c r="I22" i="9"/>
  <c r="I21" i="9"/>
  <c r="F21" i="9"/>
  <c r="I20" i="9"/>
  <c r="I19" i="9"/>
  <c r="I18" i="9"/>
  <c r="I17" i="9"/>
  <c r="I16" i="9"/>
  <c r="I15" i="9"/>
  <c r="I14" i="9"/>
  <c r="I13" i="9"/>
  <c r="F13" i="9"/>
  <c r="I12" i="9"/>
  <c r="I11" i="9"/>
  <c r="I10" i="9"/>
  <c r="I9" i="9"/>
  <c r="I8" i="9"/>
  <c r="I7" i="9"/>
  <c r="I6" i="9"/>
  <c r="I5" i="9"/>
  <c r="G5" i="9"/>
  <c r="I4" i="9"/>
  <c r="G4" i="9"/>
  <c r="F4" i="9"/>
  <c r="I3" i="9"/>
  <c r="G3" i="9"/>
  <c r="I2" i="9"/>
  <c r="G2" i="9"/>
  <c r="F2" i="9"/>
  <c r="I66" i="8"/>
  <c r="I65" i="8"/>
  <c r="I64" i="8"/>
  <c r="I63" i="8"/>
  <c r="I62" i="8"/>
  <c r="I61" i="8"/>
  <c r="I60" i="8"/>
  <c r="I59" i="8"/>
  <c r="I58" i="8"/>
  <c r="I57" i="8"/>
  <c r="I56" i="8"/>
  <c r="I55" i="8"/>
  <c r="I54" i="8"/>
  <c r="I53" i="8"/>
  <c r="I52" i="8"/>
  <c r="I51" i="8"/>
  <c r="I50" i="8"/>
  <c r="I49" i="8"/>
  <c r="I48" i="8"/>
  <c r="I47" i="8"/>
  <c r="I46" i="8"/>
  <c r="G46" i="8"/>
  <c r="F46" i="8"/>
  <c r="I45" i="8"/>
  <c r="G45" i="8"/>
  <c r="F45" i="8"/>
  <c r="I44" i="8"/>
  <c r="G44" i="8"/>
  <c r="F44" i="8"/>
  <c r="I43" i="8"/>
  <c r="G43" i="8"/>
  <c r="F43" i="8"/>
  <c r="I42" i="8"/>
  <c r="G42" i="8"/>
  <c r="F42" i="8"/>
  <c r="I41" i="8"/>
  <c r="G41" i="8"/>
  <c r="F41" i="8"/>
  <c r="I40" i="8"/>
  <c r="I39" i="8"/>
  <c r="I38" i="8"/>
  <c r="I37" i="8"/>
  <c r="I36" i="8"/>
  <c r="I35" i="8"/>
  <c r="I34" i="8"/>
  <c r="I33" i="8"/>
  <c r="I32" i="8"/>
  <c r="I31" i="8"/>
  <c r="I30" i="8"/>
  <c r="I29" i="8"/>
  <c r="I28" i="8"/>
  <c r="I27" i="8"/>
  <c r="I26" i="8"/>
  <c r="I25" i="8"/>
  <c r="I24" i="8"/>
  <c r="G24" i="8"/>
  <c r="F24" i="8"/>
  <c r="I23" i="8"/>
  <c r="I22" i="8"/>
  <c r="I21" i="8"/>
  <c r="I20" i="8"/>
  <c r="I19" i="8"/>
  <c r="I18" i="8"/>
  <c r="I17" i="8"/>
  <c r="I16" i="8"/>
  <c r="I15" i="8"/>
  <c r="I14" i="8"/>
  <c r="I13" i="8"/>
  <c r="I12" i="8"/>
  <c r="I11" i="8"/>
  <c r="I10" i="8"/>
  <c r="I9" i="8"/>
  <c r="I8" i="8"/>
  <c r="I7" i="8"/>
  <c r="I6" i="8"/>
  <c r="I5" i="8"/>
  <c r="I4" i="8"/>
  <c r="I3" i="8"/>
  <c r="I43" i="7"/>
  <c r="I42" i="7"/>
  <c r="I41" i="7"/>
  <c r="I40" i="7"/>
  <c r="F40" i="7"/>
  <c r="I39" i="7"/>
  <c r="F39" i="7"/>
  <c r="I38" i="7"/>
  <c r="F38" i="7"/>
  <c r="I37" i="7"/>
  <c r="F37" i="7"/>
  <c r="I36" i="7"/>
  <c r="F36" i="7"/>
  <c r="I35" i="7"/>
  <c r="I34" i="7"/>
  <c r="I33" i="7"/>
  <c r="F33" i="7"/>
  <c r="I32" i="7"/>
  <c r="G32" i="7"/>
  <c r="I31" i="7"/>
  <c r="G31" i="7"/>
  <c r="I30" i="7"/>
  <c r="G30" i="7"/>
  <c r="I29" i="7"/>
  <c r="G29" i="7"/>
  <c r="F29" i="7"/>
  <c r="I28" i="7"/>
  <c r="G28" i="7"/>
  <c r="F28" i="7"/>
  <c r="I27" i="7"/>
  <c r="G27" i="7"/>
  <c r="F27" i="7"/>
  <c r="I26" i="7"/>
  <c r="I25" i="7"/>
  <c r="G25" i="7"/>
  <c r="F25" i="7"/>
  <c r="I24" i="7"/>
  <c r="G24" i="7"/>
  <c r="F24" i="7"/>
  <c r="I23" i="7"/>
  <c r="I22" i="7"/>
  <c r="I21" i="7"/>
  <c r="I20" i="7"/>
  <c r="G20" i="7"/>
  <c r="F20" i="7"/>
  <c r="I19" i="7"/>
  <c r="G19" i="7"/>
  <c r="F19" i="7"/>
  <c r="I18" i="7"/>
  <c r="G18" i="7"/>
  <c r="F18" i="7"/>
  <c r="I17" i="7"/>
  <c r="G17" i="7"/>
  <c r="F17" i="7"/>
  <c r="I16" i="7"/>
  <c r="G16" i="7"/>
  <c r="F16" i="7"/>
  <c r="I15" i="7"/>
  <c r="G15" i="7"/>
  <c r="I14" i="7"/>
  <c r="G14" i="7"/>
  <c r="F14" i="7"/>
  <c r="I13" i="7"/>
  <c r="F13" i="7"/>
  <c r="I12" i="7"/>
  <c r="I11" i="7"/>
  <c r="G11" i="7"/>
  <c r="F11" i="7"/>
  <c r="I10" i="7"/>
  <c r="G10" i="7"/>
  <c r="I9" i="7"/>
  <c r="G9" i="7"/>
  <c r="F9" i="7"/>
  <c r="I8" i="7"/>
  <c r="F8" i="7"/>
  <c r="I7" i="7"/>
  <c r="G7" i="7"/>
  <c r="F7" i="7"/>
  <c r="I6" i="7"/>
  <c r="F6" i="7"/>
  <c r="I5" i="7"/>
  <c r="I4" i="7"/>
  <c r="G4" i="7"/>
  <c r="F4" i="7"/>
  <c r="I3" i="7"/>
  <c r="F3" i="7"/>
  <c r="I2" i="7"/>
  <c r="G2" i="7"/>
  <c r="F2" i="7"/>
  <c r="Q432" i="6"/>
  <c r="P432" i="6"/>
  <c r="R432" i="6" s="1"/>
  <c r="H432" i="6"/>
  <c r="G432" i="6"/>
  <c r="Q431" i="6"/>
  <c r="P431" i="6"/>
  <c r="R431" i="6" s="1"/>
  <c r="H431" i="6"/>
  <c r="G431" i="6"/>
  <c r="Q429" i="6"/>
  <c r="P429" i="6"/>
  <c r="R429" i="6" s="1"/>
  <c r="G429" i="6"/>
  <c r="Q428" i="6"/>
  <c r="P428" i="6"/>
  <c r="R428" i="6" s="1"/>
  <c r="G428" i="6"/>
  <c r="Q427" i="6"/>
  <c r="P427" i="6"/>
  <c r="R427" i="6" s="1"/>
  <c r="G427" i="6"/>
  <c r="Q426" i="6"/>
  <c r="P426" i="6"/>
  <c r="R426" i="6" s="1"/>
  <c r="G426" i="6"/>
  <c r="Q425" i="6"/>
  <c r="P425" i="6"/>
  <c r="R425" i="6" s="1"/>
  <c r="G425" i="6"/>
  <c r="Q424" i="6"/>
  <c r="P424" i="6"/>
  <c r="R424" i="6" s="1"/>
  <c r="G424" i="6"/>
  <c r="Q423" i="6"/>
  <c r="P423" i="6"/>
  <c r="R423" i="6" s="1"/>
  <c r="G423" i="6"/>
  <c r="Q422" i="6"/>
  <c r="P422" i="6"/>
  <c r="R422" i="6" s="1"/>
  <c r="G422" i="6"/>
  <c r="Q421" i="6"/>
  <c r="P421" i="6"/>
  <c r="R421" i="6" s="1"/>
  <c r="G421" i="6"/>
  <c r="Q420" i="6"/>
  <c r="P420" i="6"/>
  <c r="R420" i="6" s="1"/>
  <c r="G420" i="6"/>
  <c r="Q419" i="6"/>
  <c r="P419" i="6"/>
  <c r="R419" i="6" s="1"/>
  <c r="G419" i="6"/>
  <c r="Q418" i="6"/>
  <c r="P418" i="6"/>
  <c r="R418" i="6" s="1"/>
  <c r="G418" i="6"/>
  <c r="Q417" i="6"/>
  <c r="P417" i="6"/>
  <c r="R417" i="6" s="1"/>
  <c r="G417" i="6"/>
  <c r="Q416" i="6"/>
  <c r="P416" i="6"/>
  <c r="R416" i="6" s="1"/>
  <c r="G416" i="6"/>
  <c r="Q415" i="6"/>
  <c r="P415" i="6"/>
  <c r="R415" i="6" s="1"/>
  <c r="H415" i="6"/>
  <c r="G415" i="6"/>
  <c r="Q414" i="6"/>
  <c r="P414" i="6"/>
  <c r="R414" i="6" s="1"/>
  <c r="G414" i="6"/>
  <c r="Q413" i="6"/>
  <c r="P413" i="6"/>
  <c r="R413" i="6" s="1"/>
  <c r="G413" i="6"/>
  <c r="Q412" i="6"/>
  <c r="P412" i="6"/>
  <c r="R412" i="6" s="1"/>
  <c r="G412" i="6"/>
  <c r="Q411" i="6"/>
  <c r="P411" i="6"/>
  <c r="R411" i="6" s="1"/>
  <c r="G411" i="6"/>
  <c r="Q410" i="6"/>
  <c r="P410" i="6"/>
  <c r="R410" i="6" s="1"/>
  <c r="G410" i="6"/>
  <c r="Q409" i="6"/>
  <c r="P409" i="6"/>
  <c r="R409" i="6" s="1"/>
  <c r="G409" i="6"/>
  <c r="Q408" i="6"/>
  <c r="P408" i="6"/>
  <c r="R408" i="6" s="1"/>
  <c r="G408" i="6"/>
  <c r="Q407" i="6"/>
  <c r="P407" i="6"/>
  <c r="R407" i="6" s="1"/>
  <c r="G407" i="6"/>
  <c r="R405" i="6"/>
  <c r="Q405" i="6"/>
  <c r="P405" i="6"/>
  <c r="G405" i="6"/>
  <c r="Q404" i="6"/>
  <c r="P404" i="6"/>
  <c r="R404" i="6" s="1"/>
  <c r="G404" i="6"/>
  <c r="R403" i="6"/>
  <c r="Q403" i="6"/>
  <c r="P403" i="6"/>
  <c r="H403" i="6"/>
  <c r="G403" i="6"/>
  <c r="Q402" i="6"/>
  <c r="P402" i="6"/>
  <c r="R402" i="6" s="1"/>
  <c r="H402" i="6"/>
  <c r="G402" i="6"/>
  <c r="Q401" i="6"/>
  <c r="P401" i="6"/>
  <c r="R401" i="6" s="1"/>
  <c r="G401" i="6"/>
  <c r="Q400" i="6"/>
  <c r="P400" i="6"/>
  <c r="R400" i="6" s="1"/>
  <c r="G400" i="6"/>
  <c r="R399" i="6"/>
  <c r="Q399" i="6"/>
  <c r="P399" i="6"/>
  <c r="G399" i="6"/>
  <c r="Q398" i="6"/>
  <c r="P398" i="6"/>
  <c r="R398" i="6" s="1"/>
  <c r="G398" i="6"/>
  <c r="R397" i="6"/>
  <c r="Q397" i="6"/>
  <c r="P397" i="6"/>
  <c r="G397" i="6"/>
  <c r="Q396" i="6"/>
  <c r="P396" i="6"/>
  <c r="R396" i="6" s="1"/>
  <c r="G396" i="6"/>
  <c r="R395" i="6"/>
  <c r="Q395" i="6"/>
  <c r="P395" i="6"/>
  <c r="G395" i="6"/>
  <c r="Q394" i="6"/>
  <c r="P394" i="6"/>
  <c r="R394" i="6" s="1"/>
  <c r="G394" i="6"/>
  <c r="R393" i="6"/>
  <c r="Q393" i="6"/>
  <c r="P393" i="6"/>
  <c r="G393" i="6"/>
  <c r="Q392" i="6"/>
  <c r="P392" i="6"/>
  <c r="R392" i="6" s="1"/>
  <c r="G392" i="6"/>
  <c r="Q391" i="6"/>
  <c r="P391" i="6"/>
  <c r="R391" i="6" s="1"/>
  <c r="G391" i="6"/>
  <c r="Q390" i="6"/>
  <c r="P390" i="6"/>
  <c r="R390" i="6" s="1"/>
  <c r="G390" i="6"/>
  <c r="Q389" i="6"/>
  <c r="P389" i="6"/>
  <c r="R389" i="6" s="1"/>
  <c r="G389" i="6"/>
  <c r="Q388" i="6"/>
  <c r="P388" i="6"/>
  <c r="R388" i="6" s="1"/>
  <c r="G388" i="6"/>
  <c r="Q387" i="6"/>
  <c r="P387" i="6"/>
  <c r="R387" i="6" s="1"/>
  <c r="G387" i="6"/>
  <c r="Q386" i="6"/>
  <c r="P386" i="6"/>
  <c r="R386" i="6" s="1"/>
  <c r="G386" i="6"/>
  <c r="Q385" i="6"/>
  <c r="P385" i="6"/>
  <c r="R385" i="6" s="1"/>
  <c r="H385" i="6"/>
  <c r="G385" i="6"/>
  <c r="Q384" i="6"/>
  <c r="P384" i="6"/>
  <c r="R384" i="6" s="1"/>
  <c r="H384" i="6"/>
  <c r="G384" i="6"/>
  <c r="Q383" i="6"/>
  <c r="P383" i="6"/>
  <c r="R383" i="6" s="1"/>
  <c r="G383" i="6"/>
  <c r="R382" i="6"/>
  <c r="Q382" i="6"/>
  <c r="P382" i="6"/>
  <c r="G382" i="6"/>
  <c r="Q381" i="6"/>
  <c r="P381" i="6"/>
  <c r="R381" i="6" s="1"/>
  <c r="G381" i="6"/>
  <c r="Q380" i="6"/>
  <c r="P380" i="6"/>
  <c r="R380" i="6" s="1"/>
  <c r="G380" i="6"/>
  <c r="Q379" i="6"/>
  <c r="P379" i="6"/>
  <c r="R379" i="6" s="1"/>
  <c r="G379" i="6"/>
  <c r="Q378" i="6"/>
  <c r="P378" i="6"/>
  <c r="R378" i="6" s="1"/>
  <c r="G378" i="6"/>
  <c r="Q377" i="6"/>
  <c r="P377" i="6"/>
  <c r="R377" i="6" s="1"/>
  <c r="G377" i="6"/>
  <c r="Q376" i="6"/>
  <c r="P376" i="6"/>
  <c r="R376" i="6" s="1"/>
  <c r="G376" i="6"/>
  <c r="Q375" i="6"/>
  <c r="P375" i="6"/>
  <c r="R375" i="6" s="1"/>
  <c r="G375" i="6"/>
  <c r="Q374" i="6"/>
  <c r="P374" i="6"/>
  <c r="R374" i="6" s="1"/>
  <c r="G374" i="6"/>
  <c r="Q373" i="6"/>
  <c r="P373" i="6"/>
  <c r="R373" i="6" s="1"/>
  <c r="G373" i="6"/>
  <c r="Q372" i="6"/>
  <c r="P372" i="6"/>
  <c r="R372" i="6" s="1"/>
  <c r="G372" i="6"/>
  <c r="Q371" i="6"/>
  <c r="P371" i="6"/>
  <c r="R371" i="6" s="1"/>
  <c r="G371" i="6"/>
  <c r="R370" i="6"/>
  <c r="Q370" i="6"/>
  <c r="P370" i="6"/>
  <c r="G370" i="6"/>
  <c r="Q369" i="6"/>
  <c r="P369" i="6"/>
  <c r="R369" i="6" s="1"/>
  <c r="Q368" i="6"/>
  <c r="P368" i="6"/>
  <c r="R368" i="6" s="1"/>
  <c r="R367" i="6"/>
  <c r="Q367" i="6"/>
  <c r="P367" i="6"/>
  <c r="R366" i="6"/>
  <c r="Q366" i="6"/>
  <c r="P366" i="6"/>
  <c r="H366" i="6"/>
  <c r="G366" i="6"/>
  <c r="R365" i="6"/>
  <c r="Q365" i="6"/>
  <c r="P365" i="6"/>
  <c r="G365" i="6"/>
  <c r="Q364" i="6"/>
  <c r="P364" i="6"/>
  <c r="R364" i="6" s="1"/>
  <c r="H364" i="6"/>
  <c r="G364" i="6"/>
  <c r="Q363" i="6"/>
  <c r="P363" i="6"/>
  <c r="R363" i="6" s="1"/>
  <c r="H363" i="6"/>
  <c r="G363" i="6"/>
  <c r="Q362" i="6"/>
  <c r="P362" i="6"/>
  <c r="R362" i="6" s="1"/>
  <c r="H362" i="6"/>
  <c r="G362" i="6"/>
  <c r="Q361" i="6"/>
  <c r="P361" i="6"/>
  <c r="R361" i="6" s="1"/>
  <c r="G361" i="6"/>
  <c r="Q360" i="6"/>
  <c r="P360" i="6"/>
  <c r="R360" i="6" s="1"/>
  <c r="G360" i="6"/>
  <c r="Q359" i="6"/>
  <c r="P359" i="6"/>
  <c r="R359" i="6" s="1"/>
  <c r="G359" i="6"/>
  <c r="Q358" i="6"/>
  <c r="P358" i="6"/>
  <c r="R358" i="6" s="1"/>
  <c r="G358" i="6"/>
  <c r="Q357" i="6"/>
  <c r="P357" i="6"/>
  <c r="R357" i="6" s="1"/>
  <c r="G357" i="6"/>
  <c r="Q356" i="6"/>
  <c r="P356" i="6"/>
  <c r="R356" i="6" s="1"/>
  <c r="H356" i="6"/>
  <c r="G356" i="6"/>
  <c r="Q355" i="6"/>
  <c r="P355" i="6"/>
  <c r="R355" i="6" s="1"/>
  <c r="H355" i="6"/>
  <c r="G355" i="6"/>
  <c r="Q354" i="6"/>
  <c r="P354" i="6"/>
  <c r="R354" i="6" s="1"/>
  <c r="G354" i="6"/>
  <c r="Q353" i="6"/>
  <c r="P353" i="6"/>
  <c r="R353" i="6" s="1"/>
  <c r="G353" i="6"/>
  <c r="Q352" i="6"/>
  <c r="P352" i="6"/>
  <c r="R352" i="6" s="1"/>
  <c r="G352" i="6"/>
  <c r="Q351" i="6"/>
  <c r="P351" i="6"/>
  <c r="R351" i="6" s="1"/>
  <c r="G351" i="6"/>
  <c r="Q350" i="6"/>
  <c r="P350" i="6"/>
  <c r="R350" i="6" s="1"/>
  <c r="G350" i="6"/>
  <c r="Q349" i="6"/>
  <c r="P349" i="6"/>
  <c r="R349" i="6" s="1"/>
  <c r="G349" i="6"/>
  <c r="Q348" i="6"/>
  <c r="P348" i="6"/>
  <c r="R348" i="6" s="1"/>
  <c r="G348" i="6"/>
  <c r="Q347" i="6"/>
  <c r="P347" i="6"/>
  <c r="R347" i="6" s="1"/>
  <c r="G347" i="6"/>
  <c r="Q346" i="6"/>
  <c r="P346" i="6"/>
  <c r="R346" i="6" s="1"/>
  <c r="H346" i="6"/>
  <c r="G346" i="6"/>
  <c r="R345" i="6"/>
  <c r="Q345" i="6"/>
  <c r="P345" i="6"/>
  <c r="H345" i="6"/>
  <c r="G345" i="6"/>
  <c r="R344" i="6"/>
  <c r="Q344" i="6"/>
  <c r="P344" i="6"/>
  <c r="H344" i="6"/>
  <c r="G344" i="6"/>
  <c r="Q343" i="6"/>
  <c r="P343" i="6"/>
  <c r="R343" i="6" s="1"/>
  <c r="H343" i="6"/>
  <c r="G343" i="6"/>
  <c r="Q342" i="6"/>
  <c r="P342" i="6"/>
  <c r="R342" i="6" s="1"/>
  <c r="H342" i="6"/>
  <c r="G342" i="6"/>
  <c r="Q341" i="6"/>
  <c r="P341" i="6"/>
  <c r="R341" i="6" s="1"/>
  <c r="Q340" i="6"/>
  <c r="P340" i="6"/>
  <c r="R340" i="6" s="1"/>
  <c r="G340" i="6"/>
  <c r="Q339" i="6"/>
  <c r="P339" i="6"/>
  <c r="R339" i="6" s="1"/>
  <c r="G339" i="6"/>
  <c r="Q338" i="6"/>
  <c r="P338" i="6"/>
  <c r="R338" i="6" s="1"/>
  <c r="H338" i="6"/>
  <c r="G338" i="6"/>
  <c r="Q337" i="6"/>
  <c r="P337" i="6"/>
  <c r="R337" i="6" s="1"/>
  <c r="Q336" i="6"/>
  <c r="P336" i="6"/>
  <c r="R336" i="6" s="1"/>
  <c r="H336" i="6"/>
  <c r="G336" i="6"/>
  <c r="Q335" i="6"/>
  <c r="P335" i="6"/>
  <c r="R335" i="6" s="1"/>
  <c r="H335" i="6"/>
  <c r="G335" i="6"/>
  <c r="R334" i="6"/>
  <c r="Q334" i="6"/>
  <c r="P334" i="6"/>
  <c r="G334" i="6"/>
  <c r="R333" i="6"/>
  <c r="Q333" i="6"/>
  <c r="P333" i="6"/>
  <c r="G333" i="6"/>
  <c r="R332" i="6"/>
  <c r="Q332" i="6"/>
  <c r="P332" i="6"/>
  <c r="H332" i="6"/>
  <c r="G332" i="6"/>
  <c r="Q331" i="6"/>
  <c r="P331" i="6"/>
  <c r="R331" i="6" s="1"/>
  <c r="G331" i="6"/>
  <c r="R330" i="6"/>
  <c r="Q330" i="6"/>
  <c r="P330" i="6"/>
  <c r="H330" i="6"/>
  <c r="G330" i="6"/>
  <c r="Q329" i="6"/>
  <c r="P329" i="6"/>
  <c r="R329" i="6" s="1"/>
  <c r="H329" i="6"/>
  <c r="G329" i="6"/>
  <c r="Q328" i="6"/>
  <c r="P328" i="6"/>
  <c r="R328" i="6" s="1"/>
  <c r="H328" i="6"/>
  <c r="G328" i="6"/>
  <c r="R327" i="6"/>
  <c r="Q327" i="6"/>
  <c r="P327" i="6"/>
  <c r="H327" i="6"/>
  <c r="G327" i="6"/>
  <c r="Q326" i="6"/>
  <c r="P326" i="6"/>
  <c r="R326" i="6" s="1"/>
  <c r="G326" i="6"/>
  <c r="R325" i="6"/>
  <c r="Q325" i="6"/>
  <c r="P325" i="6"/>
  <c r="H325" i="6"/>
  <c r="G325" i="6"/>
  <c r="Q324" i="6"/>
  <c r="P324" i="6"/>
  <c r="R324" i="6" s="1"/>
  <c r="G324" i="6"/>
  <c r="Q323" i="6"/>
  <c r="P323" i="6"/>
  <c r="R323" i="6" s="1"/>
  <c r="H323" i="6"/>
  <c r="G323" i="6"/>
  <c r="Q322" i="6"/>
  <c r="P322" i="6"/>
  <c r="R322" i="6" s="1"/>
  <c r="G322" i="6"/>
  <c r="Q321" i="6"/>
  <c r="P321" i="6"/>
  <c r="R321" i="6" s="1"/>
  <c r="G321" i="6"/>
  <c r="R320" i="6"/>
  <c r="Q320" i="6"/>
  <c r="P320" i="6"/>
  <c r="G320" i="6"/>
  <c r="Q319" i="6"/>
  <c r="P319" i="6"/>
  <c r="R319" i="6" s="1"/>
  <c r="H319" i="6"/>
  <c r="G319" i="6"/>
  <c r="R318" i="6"/>
  <c r="Q318" i="6"/>
  <c r="P318" i="6"/>
  <c r="G318" i="6"/>
  <c r="Q317" i="6"/>
  <c r="P317" i="6"/>
  <c r="R317" i="6" s="1"/>
  <c r="H317" i="6"/>
  <c r="G317" i="6"/>
  <c r="Q316" i="6"/>
  <c r="P316" i="6"/>
  <c r="R316" i="6" s="1"/>
  <c r="H316" i="6"/>
  <c r="G316" i="6"/>
  <c r="Q315" i="6"/>
  <c r="P315" i="6"/>
  <c r="R315" i="6" s="1"/>
  <c r="G315" i="6"/>
  <c r="Q314" i="6"/>
  <c r="P314" i="6"/>
  <c r="R314" i="6" s="1"/>
  <c r="G314" i="6"/>
  <c r="Q313" i="6"/>
  <c r="P313" i="6"/>
  <c r="R313" i="6" s="1"/>
  <c r="G313" i="6"/>
  <c r="Q312" i="6"/>
  <c r="P312" i="6"/>
  <c r="R312" i="6" s="1"/>
  <c r="H312" i="6"/>
  <c r="G312" i="6"/>
  <c r="Q311" i="6"/>
  <c r="P311" i="6"/>
  <c r="R311" i="6" s="1"/>
  <c r="H311" i="6"/>
  <c r="G311" i="6"/>
  <c r="R310" i="6"/>
  <c r="Q310" i="6"/>
  <c r="P310" i="6"/>
  <c r="H310" i="6"/>
  <c r="G310" i="6"/>
  <c r="R309" i="6"/>
  <c r="Q309" i="6"/>
  <c r="P309" i="6"/>
  <c r="H309" i="6"/>
  <c r="G309" i="6"/>
  <c r="Q308" i="6"/>
  <c r="P308" i="6"/>
  <c r="R308" i="6" s="1"/>
  <c r="H308" i="6"/>
  <c r="G308" i="6"/>
  <c r="Q307" i="6"/>
  <c r="P307" i="6"/>
  <c r="R307" i="6" s="1"/>
  <c r="H307" i="6"/>
  <c r="G307" i="6"/>
  <c r="Q306" i="6"/>
  <c r="P306" i="6"/>
  <c r="R306" i="6" s="1"/>
  <c r="H306" i="6"/>
  <c r="G306" i="6"/>
  <c r="Q305" i="6"/>
  <c r="P305" i="6"/>
  <c r="R305" i="6" s="1"/>
  <c r="H305" i="6"/>
  <c r="G305" i="6"/>
  <c r="Q304" i="6"/>
  <c r="P304" i="6"/>
  <c r="R304" i="6" s="1"/>
  <c r="G304" i="6"/>
  <c r="Q303" i="6"/>
  <c r="P303" i="6"/>
  <c r="R303" i="6" s="1"/>
  <c r="H303" i="6"/>
  <c r="G303" i="6"/>
  <c r="Q302" i="6"/>
  <c r="P302" i="6"/>
  <c r="R302" i="6" s="1"/>
  <c r="G302" i="6"/>
  <c r="R301" i="6"/>
  <c r="Q301" i="6"/>
  <c r="P301" i="6"/>
  <c r="G301" i="6"/>
  <c r="Q300" i="6"/>
  <c r="P300" i="6"/>
  <c r="R300" i="6" s="1"/>
  <c r="H300" i="6"/>
  <c r="G300" i="6"/>
  <c r="R299" i="6"/>
  <c r="Q299" i="6"/>
  <c r="P299" i="6"/>
  <c r="H299" i="6"/>
  <c r="G299" i="6"/>
  <c r="Q298" i="6"/>
  <c r="P298" i="6"/>
  <c r="R298" i="6" s="1"/>
  <c r="H298" i="6"/>
  <c r="G298" i="6"/>
  <c r="Q297" i="6"/>
  <c r="P297" i="6"/>
  <c r="R297" i="6" s="1"/>
  <c r="G297" i="6"/>
  <c r="Q296" i="6"/>
  <c r="P296" i="6"/>
  <c r="R296" i="6" s="1"/>
  <c r="G296" i="6"/>
  <c r="Q295" i="6"/>
  <c r="P295" i="6"/>
  <c r="R295" i="6" s="1"/>
  <c r="G295" i="6"/>
  <c r="Q294" i="6"/>
  <c r="P294" i="6"/>
  <c r="R294" i="6" s="1"/>
  <c r="H294" i="6"/>
  <c r="G294" i="6"/>
  <c r="Q293" i="6"/>
  <c r="P293" i="6"/>
  <c r="R293" i="6" s="1"/>
  <c r="H293" i="6"/>
  <c r="G293" i="6"/>
  <c r="R292" i="6"/>
  <c r="Q292" i="6"/>
  <c r="P292" i="6"/>
  <c r="G292" i="6"/>
  <c r="Q291" i="6"/>
  <c r="P291" i="6"/>
  <c r="R291" i="6" s="1"/>
  <c r="H291" i="6"/>
  <c r="G291" i="6"/>
  <c r="R290" i="6"/>
  <c r="Q290" i="6"/>
  <c r="P290" i="6"/>
  <c r="G290" i="6"/>
  <c r="Q289" i="6"/>
  <c r="P289" i="6"/>
  <c r="R289" i="6" s="1"/>
  <c r="G289" i="6"/>
  <c r="R288" i="6"/>
  <c r="Q288" i="6"/>
  <c r="P288" i="6"/>
  <c r="G288" i="6"/>
  <c r="Q287" i="6"/>
  <c r="P287" i="6"/>
  <c r="R287" i="6" s="1"/>
  <c r="G287" i="6"/>
  <c r="Q286" i="6"/>
  <c r="P286" i="6"/>
  <c r="R286" i="6" s="1"/>
  <c r="G286" i="6"/>
  <c r="Q285" i="6"/>
  <c r="P285" i="6"/>
  <c r="R285" i="6" s="1"/>
  <c r="G285" i="6"/>
  <c r="R284" i="6"/>
  <c r="Q284" i="6"/>
  <c r="P284" i="6"/>
  <c r="G284" i="6"/>
  <c r="Q283" i="6"/>
  <c r="P283" i="6"/>
  <c r="R283" i="6" s="1"/>
  <c r="G283" i="6"/>
  <c r="R282" i="6"/>
  <c r="Q282" i="6"/>
  <c r="P282" i="6"/>
  <c r="G282" i="6"/>
  <c r="Q281" i="6"/>
  <c r="P281" i="6"/>
  <c r="R281" i="6" s="1"/>
  <c r="G281" i="6"/>
  <c r="Q280" i="6"/>
  <c r="P280" i="6"/>
  <c r="R280" i="6" s="1"/>
  <c r="G280" i="6"/>
  <c r="Q279" i="6"/>
  <c r="P279" i="6"/>
  <c r="R279" i="6" s="1"/>
  <c r="G279" i="6"/>
  <c r="Q278" i="6"/>
  <c r="P278" i="6"/>
  <c r="R278" i="6" s="1"/>
  <c r="G278" i="6"/>
  <c r="Q277" i="6"/>
  <c r="P277" i="6"/>
  <c r="R277" i="6" s="1"/>
  <c r="G277" i="6"/>
  <c r="Q276" i="6"/>
  <c r="P276" i="6"/>
  <c r="R276" i="6" s="1"/>
  <c r="H276" i="6"/>
  <c r="G276" i="6"/>
  <c r="Q275" i="6"/>
  <c r="P275" i="6"/>
  <c r="R275" i="6" s="1"/>
  <c r="G275" i="6"/>
  <c r="Q274" i="6"/>
  <c r="P274" i="6"/>
  <c r="R274" i="6" s="1"/>
  <c r="G274" i="6"/>
  <c r="Q273" i="6"/>
  <c r="P273" i="6"/>
  <c r="R273" i="6" s="1"/>
  <c r="H273" i="6"/>
  <c r="G273" i="6"/>
  <c r="R272" i="6"/>
  <c r="Q272" i="6"/>
  <c r="P272" i="6"/>
  <c r="H272" i="6"/>
  <c r="G272" i="6"/>
  <c r="R271" i="6"/>
  <c r="Q271" i="6"/>
  <c r="P271" i="6"/>
  <c r="G271" i="6"/>
  <c r="Q270" i="6"/>
  <c r="P270" i="6"/>
  <c r="R270" i="6" s="1"/>
  <c r="G270" i="6"/>
  <c r="R269" i="6"/>
  <c r="Q269" i="6"/>
  <c r="P269" i="6"/>
  <c r="G269" i="6"/>
  <c r="Q268" i="6"/>
  <c r="P268" i="6"/>
  <c r="R268" i="6" s="1"/>
  <c r="H268" i="6"/>
  <c r="G268" i="6"/>
  <c r="Q267" i="6"/>
  <c r="P267" i="6"/>
  <c r="R267" i="6" s="1"/>
  <c r="R266" i="6"/>
  <c r="Q266" i="6"/>
  <c r="P266" i="6"/>
  <c r="H266" i="6"/>
  <c r="G266" i="6"/>
  <c r="Q265" i="6"/>
  <c r="P265" i="6"/>
  <c r="R265" i="6" s="1"/>
  <c r="G265" i="6"/>
  <c r="Q264" i="6"/>
  <c r="P264" i="6"/>
  <c r="R264" i="6" s="1"/>
  <c r="H264" i="6"/>
  <c r="G264" i="6"/>
  <c r="Q263" i="6"/>
  <c r="P263" i="6"/>
  <c r="R263" i="6" s="1"/>
  <c r="H263" i="6"/>
  <c r="G263" i="6"/>
  <c r="R262" i="6"/>
  <c r="Q262" i="6"/>
  <c r="P262" i="6"/>
  <c r="G262" i="6"/>
  <c r="R261" i="6"/>
  <c r="Q261" i="6"/>
  <c r="P261" i="6"/>
  <c r="H261" i="6"/>
  <c r="G261" i="6"/>
  <c r="Q260" i="6"/>
  <c r="P260" i="6"/>
  <c r="R260" i="6" s="1"/>
  <c r="H260" i="6"/>
  <c r="G260" i="6"/>
  <c r="Q259" i="6"/>
  <c r="P259" i="6"/>
  <c r="R259" i="6" s="1"/>
  <c r="G259" i="6"/>
  <c r="Q258" i="6"/>
  <c r="P258" i="6"/>
  <c r="R258" i="6" s="1"/>
  <c r="H258" i="6"/>
  <c r="G258" i="6"/>
  <c r="Q257" i="6"/>
  <c r="P257" i="6"/>
  <c r="R257" i="6" s="1"/>
  <c r="H257" i="6"/>
  <c r="G257" i="6"/>
  <c r="Q256" i="6"/>
  <c r="P256" i="6"/>
  <c r="R256" i="6" s="1"/>
  <c r="H256" i="6"/>
  <c r="G256" i="6"/>
  <c r="Q255" i="6"/>
  <c r="P255" i="6"/>
  <c r="R255" i="6" s="1"/>
  <c r="H255" i="6"/>
  <c r="G255" i="6"/>
  <c r="Q254" i="6"/>
  <c r="P254" i="6"/>
  <c r="R254" i="6" s="1"/>
  <c r="H254" i="6"/>
  <c r="G254" i="6"/>
  <c r="Q253" i="6"/>
  <c r="P253" i="6"/>
  <c r="R253" i="6" s="1"/>
  <c r="G253" i="6"/>
  <c r="Q252" i="6"/>
  <c r="P252" i="6"/>
  <c r="R252" i="6" s="1"/>
  <c r="G252" i="6"/>
  <c r="Q251" i="6"/>
  <c r="P251" i="6"/>
  <c r="R251" i="6" s="1"/>
  <c r="G251" i="6"/>
  <c r="Q250" i="6"/>
  <c r="P250" i="6"/>
  <c r="R250" i="6" s="1"/>
  <c r="Q249" i="6"/>
  <c r="P249" i="6"/>
  <c r="R249" i="6" s="1"/>
  <c r="R248" i="6"/>
  <c r="Q248" i="6"/>
  <c r="P248" i="6"/>
  <c r="G248" i="6"/>
  <c r="Q247" i="6"/>
  <c r="P247" i="6"/>
  <c r="R247" i="6" s="1"/>
  <c r="G247" i="6"/>
  <c r="R246" i="6"/>
  <c r="Q246" i="6"/>
  <c r="P246" i="6"/>
  <c r="G246" i="6"/>
  <c r="Q245" i="6"/>
  <c r="P245" i="6"/>
  <c r="R245" i="6" s="1"/>
  <c r="G245" i="6"/>
  <c r="R244" i="6"/>
  <c r="Q244" i="6"/>
  <c r="P244" i="6"/>
  <c r="G244" i="6"/>
  <c r="Q243" i="6"/>
  <c r="P243" i="6"/>
  <c r="R243" i="6" s="1"/>
  <c r="G243" i="6"/>
  <c r="R242" i="6"/>
  <c r="Q242" i="6"/>
  <c r="P242" i="6"/>
  <c r="H242" i="6"/>
  <c r="G242" i="6"/>
  <c r="Q241" i="6"/>
  <c r="P241" i="6"/>
  <c r="R241" i="6" s="1"/>
  <c r="G241" i="6"/>
  <c r="Q240" i="6"/>
  <c r="P240" i="6"/>
  <c r="R240" i="6" s="1"/>
  <c r="G240" i="6"/>
  <c r="Q239" i="6"/>
  <c r="P239" i="6"/>
  <c r="R239" i="6" s="1"/>
  <c r="G239" i="6"/>
  <c r="Q238" i="6"/>
  <c r="P238" i="6"/>
  <c r="R238" i="6" s="1"/>
  <c r="G238" i="6"/>
  <c r="Q237" i="6"/>
  <c r="P237" i="6"/>
  <c r="R237" i="6" s="1"/>
  <c r="G237" i="6"/>
  <c r="Q236" i="6"/>
  <c r="P236" i="6"/>
  <c r="R236" i="6" s="1"/>
  <c r="G236" i="6"/>
  <c r="Q235" i="6"/>
  <c r="P235" i="6"/>
  <c r="R235" i="6" s="1"/>
  <c r="G235" i="6"/>
  <c r="Q234" i="6"/>
  <c r="P234" i="6"/>
  <c r="R234" i="6" s="1"/>
  <c r="G234" i="6"/>
  <c r="Q232" i="6"/>
  <c r="P232" i="6"/>
  <c r="R232" i="6" s="1"/>
  <c r="R230" i="6"/>
  <c r="Q230" i="6"/>
  <c r="P230" i="6"/>
  <c r="G230" i="6"/>
  <c r="R229" i="6"/>
  <c r="Q229" i="6"/>
  <c r="P229" i="6"/>
  <c r="G229" i="6"/>
  <c r="Q228" i="6"/>
  <c r="P228" i="6"/>
  <c r="R228" i="6" s="1"/>
  <c r="G228" i="6"/>
  <c r="R227" i="6"/>
  <c r="Q227" i="6"/>
  <c r="P227" i="6"/>
  <c r="G227" i="6"/>
  <c r="Q226" i="6"/>
  <c r="P226" i="6"/>
  <c r="R226" i="6" s="1"/>
  <c r="G226" i="6"/>
  <c r="R225" i="6"/>
  <c r="Q225" i="6"/>
  <c r="P225" i="6"/>
  <c r="G225" i="6"/>
  <c r="Q224" i="6"/>
  <c r="P224" i="6"/>
  <c r="R224" i="6" s="1"/>
  <c r="H224" i="6"/>
  <c r="G224" i="6"/>
  <c r="Q223" i="6"/>
  <c r="P223" i="6"/>
  <c r="R223" i="6" s="1"/>
  <c r="Q222" i="6"/>
  <c r="P222" i="6"/>
  <c r="R222" i="6" s="1"/>
  <c r="Q221" i="6"/>
  <c r="P221" i="6"/>
  <c r="R221" i="6" s="1"/>
  <c r="G221" i="6"/>
  <c r="Q220" i="6"/>
  <c r="P220" i="6"/>
  <c r="R220" i="6" s="1"/>
  <c r="Q219" i="6"/>
  <c r="P219" i="6"/>
  <c r="R219" i="6" s="1"/>
  <c r="G219" i="6"/>
  <c r="Q218" i="6"/>
  <c r="P218" i="6"/>
  <c r="R218" i="6" s="1"/>
  <c r="H218" i="6"/>
  <c r="G218" i="6"/>
  <c r="Q217" i="6"/>
  <c r="P217" i="6"/>
  <c r="R217" i="6" s="1"/>
  <c r="G217" i="6"/>
  <c r="R216" i="6"/>
  <c r="Q216" i="6"/>
  <c r="P216" i="6"/>
  <c r="G216" i="6"/>
  <c r="Q215" i="6"/>
  <c r="P215" i="6"/>
  <c r="R215" i="6" s="1"/>
  <c r="G215" i="6"/>
  <c r="R214" i="6"/>
  <c r="Q214" i="6"/>
  <c r="P214" i="6"/>
  <c r="G214" i="6"/>
  <c r="Q213" i="6"/>
  <c r="P213" i="6"/>
  <c r="R213" i="6" s="1"/>
  <c r="G213" i="6"/>
  <c r="R212" i="6"/>
  <c r="Q212" i="6"/>
  <c r="P212" i="6"/>
  <c r="G212" i="6"/>
  <c r="Q211" i="6"/>
  <c r="P211" i="6"/>
  <c r="R211" i="6" s="1"/>
  <c r="G211" i="6"/>
  <c r="R210" i="6"/>
  <c r="Q210" i="6"/>
  <c r="P210" i="6"/>
  <c r="G210" i="6"/>
  <c r="Q208" i="6"/>
  <c r="P208" i="6"/>
  <c r="R208" i="6" s="1"/>
  <c r="H208" i="6"/>
  <c r="G208" i="6"/>
  <c r="Q206" i="6"/>
  <c r="P206" i="6"/>
  <c r="R206" i="6" s="1"/>
  <c r="H206" i="6"/>
  <c r="G206" i="6"/>
  <c r="Q205" i="6"/>
  <c r="P205" i="6"/>
  <c r="R205" i="6" s="1"/>
  <c r="G205" i="6"/>
  <c r="Q204" i="6"/>
  <c r="P204" i="6"/>
  <c r="R204" i="6" s="1"/>
  <c r="H204" i="6"/>
  <c r="G204" i="6"/>
  <c r="Q203" i="6"/>
  <c r="P203" i="6"/>
  <c r="R203" i="6" s="1"/>
  <c r="H203" i="6"/>
  <c r="G203" i="6"/>
  <c r="Q202" i="6"/>
  <c r="P202" i="6"/>
  <c r="R202" i="6" s="1"/>
  <c r="G202" i="6"/>
  <c r="R201" i="6"/>
  <c r="Q201" i="6"/>
  <c r="P201" i="6"/>
  <c r="G201" i="6"/>
  <c r="Q200" i="6"/>
  <c r="P200" i="6"/>
  <c r="R200" i="6" s="1"/>
  <c r="G200" i="6"/>
  <c r="R199" i="6"/>
  <c r="Q199" i="6"/>
  <c r="P199" i="6"/>
  <c r="G199" i="6"/>
  <c r="Q198" i="6"/>
  <c r="P198" i="6"/>
  <c r="R198" i="6" s="1"/>
  <c r="G198" i="6"/>
  <c r="R197" i="6"/>
  <c r="Q197" i="6"/>
  <c r="P197" i="6"/>
  <c r="G197" i="6"/>
  <c r="Q196" i="6"/>
  <c r="P196" i="6"/>
  <c r="R196" i="6" s="1"/>
  <c r="G196" i="6"/>
  <c r="R195" i="6"/>
  <c r="Q195" i="6"/>
  <c r="P195" i="6"/>
  <c r="G195" i="6"/>
  <c r="Q194" i="6"/>
  <c r="P194" i="6"/>
  <c r="R194" i="6" s="1"/>
  <c r="H194" i="6"/>
  <c r="G194" i="6"/>
  <c r="R193" i="6"/>
  <c r="Q193" i="6"/>
  <c r="P193" i="6"/>
  <c r="H193" i="6"/>
  <c r="G193" i="6"/>
  <c r="Q192" i="6"/>
  <c r="P192" i="6"/>
  <c r="R192" i="6" s="1"/>
  <c r="G192" i="6"/>
  <c r="Q191" i="6"/>
  <c r="P191" i="6"/>
  <c r="R191" i="6" s="1"/>
  <c r="H191" i="6"/>
  <c r="G191" i="6"/>
  <c r="Q190" i="6"/>
  <c r="P190" i="6"/>
  <c r="R190" i="6" s="1"/>
  <c r="H190" i="6"/>
  <c r="G190" i="6"/>
  <c r="R189" i="6"/>
  <c r="Q189" i="6"/>
  <c r="P189" i="6"/>
  <c r="H189" i="6"/>
  <c r="G189" i="6"/>
  <c r="Q187" i="6"/>
  <c r="P187" i="6"/>
  <c r="R187" i="6" s="1"/>
  <c r="G187" i="6"/>
  <c r="Q186" i="6"/>
  <c r="P186" i="6"/>
  <c r="R186" i="6" s="1"/>
  <c r="G186" i="6"/>
  <c r="Q185" i="6"/>
  <c r="P185" i="6"/>
  <c r="R185" i="6" s="1"/>
  <c r="G185" i="6"/>
  <c r="Q184" i="6"/>
  <c r="P184" i="6"/>
  <c r="R184" i="6" s="1"/>
  <c r="H184" i="6"/>
  <c r="G184" i="6"/>
  <c r="Q183" i="6"/>
  <c r="P183" i="6"/>
  <c r="R183" i="6" s="1"/>
  <c r="H183" i="6"/>
  <c r="G183" i="6"/>
  <c r="Q182" i="6"/>
  <c r="P182" i="6"/>
  <c r="R182" i="6" s="1"/>
  <c r="H182" i="6"/>
  <c r="G182" i="6"/>
  <c r="Q181" i="6"/>
  <c r="P181" i="6"/>
  <c r="R181" i="6" s="1"/>
  <c r="H181" i="6"/>
  <c r="G181" i="6"/>
  <c r="R180" i="6"/>
  <c r="Q180" i="6"/>
  <c r="P180" i="6"/>
  <c r="H180" i="6"/>
  <c r="G180" i="6"/>
  <c r="Q179" i="6"/>
  <c r="P179" i="6"/>
  <c r="R179" i="6" s="1"/>
  <c r="H179" i="6"/>
  <c r="G179" i="6"/>
  <c r="Q178" i="6"/>
  <c r="P178" i="6"/>
  <c r="R178" i="6" s="1"/>
  <c r="H178" i="6"/>
  <c r="G178" i="6"/>
  <c r="R177" i="6"/>
  <c r="Q177" i="6"/>
  <c r="P177" i="6"/>
  <c r="H177" i="6"/>
  <c r="G177" i="6"/>
  <c r="Q176" i="6"/>
  <c r="P176" i="6"/>
  <c r="R176" i="6" s="1"/>
  <c r="H176" i="6"/>
  <c r="G176" i="6"/>
  <c r="Q175" i="6"/>
  <c r="P175" i="6"/>
  <c r="R175" i="6" s="1"/>
  <c r="H175" i="6"/>
  <c r="G175" i="6"/>
  <c r="Q174" i="6"/>
  <c r="P174" i="6"/>
  <c r="R174" i="6" s="1"/>
  <c r="H174" i="6"/>
  <c r="G174" i="6"/>
  <c r="R173" i="6"/>
  <c r="Q173" i="6"/>
  <c r="P173" i="6"/>
  <c r="G173" i="6"/>
  <c r="Q172" i="6"/>
  <c r="P172" i="6"/>
  <c r="R172" i="6" s="1"/>
  <c r="G172" i="6"/>
  <c r="R171" i="6"/>
  <c r="Q171" i="6"/>
  <c r="P171" i="6"/>
  <c r="G171" i="6"/>
  <c r="Q170" i="6"/>
  <c r="P170" i="6"/>
  <c r="R170" i="6" s="1"/>
  <c r="G170" i="6"/>
  <c r="R169" i="6"/>
  <c r="Q169" i="6"/>
  <c r="P169" i="6"/>
  <c r="G169" i="6"/>
  <c r="Q168" i="6"/>
  <c r="P168" i="6"/>
  <c r="R168" i="6" s="1"/>
  <c r="G168" i="6"/>
  <c r="Q167" i="6"/>
  <c r="P167" i="6"/>
  <c r="R167" i="6" s="1"/>
  <c r="G167" i="6"/>
  <c r="Q166" i="6"/>
  <c r="P166" i="6"/>
  <c r="R166" i="6" s="1"/>
  <c r="G166" i="6"/>
  <c r="Q165" i="6"/>
  <c r="P165" i="6"/>
  <c r="R165" i="6" s="1"/>
  <c r="H165" i="6"/>
  <c r="G165" i="6"/>
  <c r="Q164" i="6"/>
  <c r="P164" i="6"/>
  <c r="R164" i="6" s="1"/>
  <c r="G164" i="6"/>
  <c r="Q163" i="6"/>
  <c r="P163" i="6"/>
  <c r="R163" i="6" s="1"/>
  <c r="G163" i="6"/>
  <c r="Q162" i="6"/>
  <c r="P162" i="6"/>
  <c r="R162" i="6" s="1"/>
  <c r="G162" i="6"/>
  <c r="Q161" i="6"/>
  <c r="P161" i="6"/>
  <c r="R161" i="6" s="1"/>
  <c r="G161" i="6"/>
  <c r="Q160" i="6"/>
  <c r="P160" i="6"/>
  <c r="R160" i="6" s="1"/>
  <c r="G160" i="6"/>
  <c r="Q159" i="6"/>
  <c r="P159" i="6"/>
  <c r="R159" i="6" s="1"/>
  <c r="G159" i="6"/>
  <c r="R158" i="6"/>
  <c r="Q158" i="6"/>
  <c r="P158" i="6"/>
  <c r="H158" i="6"/>
  <c r="G158" i="6"/>
  <c r="R157" i="6"/>
  <c r="Q157" i="6"/>
  <c r="P157" i="6"/>
  <c r="G157" i="6"/>
  <c r="Q156" i="6"/>
  <c r="P156" i="6"/>
  <c r="R156" i="6" s="1"/>
  <c r="G156" i="6"/>
  <c r="Q155" i="6"/>
  <c r="P155" i="6"/>
  <c r="R155" i="6" s="1"/>
  <c r="H155" i="6"/>
  <c r="G155" i="6"/>
  <c r="Q153" i="6"/>
  <c r="P153" i="6"/>
  <c r="R153" i="6" s="1"/>
  <c r="G153" i="6"/>
  <c r="Q152" i="6"/>
  <c r="P152" i="6"/>
  <c r="R152" i="6" s="1"/>
  <c r="G152" i="6"/>
  <c r="R151" i="6"/>
  <c r="Q151" i="6"/>
  <c r="P151" i="6"/>
  <c r="G151" i="6"/>
  <c r="Q150" i="6"/>
  <c r="P150" i="6"/>
  <c r="R150" i="6" s="1"/>
  <c r="G150" i="6"/>
  <c r="R149" i="6"/>
  <c r="Q149" i="6"/>
  <c r="P149" i="6"/>
  <c r="G149" i="6"/>
  <c r="Q148" i="6"/>
  <c r="P148" i="6"/>
  <c r="R148" i="6" s="1"/>
  <c r="G148" i="6"/>
  <c r="Q147" i="6"/>
  <c r="P147" i="6"/>
  <c r="R147" i="6" s="1"/>
  <c r="G147" i="6"/>
  <c r="Q146" i="6"/>
  <c r="P146" i="6"/>
  <c r="R146" i="6" s="1"/>
  <c r="G146" i="6"/>
  <c r="R145" i="6"/>
  <c r="Q145" i="6"/>
  <c r="P145" i="6"/>
  <c r="G145" i="6"/>
  <c r="Q144" i="6"/>
  <c r="P144" i="6"/>
  <c r="R144" i="6" s="1"/>
  <c r="G144" i="6"/>
  <c r="Q143" i="6"/>
  <c r="P143" i="6"/>
  <c r="R143" i="6" s="1"/>
  <c r="H143" i="6"/>
  <c r="Q142" i="6"/>
  <c r="P142" i="6"/>
  <c r="R142" i="6" s="1"/>
  <c r="G142" i="6"/>
  <c r="Q141" i="6"/>
  <c r="P141" i="6"/>
  <c r="R141" i="6" s="1"/>
  <c r="H141" i="6"/>
  <c r="G141" i="6"/>
  <c r="R140" i="6"/>
  <c r="Q140" i="6"/>
  <c r="P140" i="6"/>
  <c r="H140" i="6"/>
  <c r="G140" i="6"/>
  <c r="Q139" i="6"/>
  <c r="P139" i="6"/>
  <c r="R139" i="6" s="1"/>
  <c r="H139" i="6"/>
  <c r="G139" i="6"/>
  <c r="Q138" i="6"/>
  <c r="P138" i="6"/>
  <c r="R138" i="6" s="1"/>
  <c r="H138" i="6"/>
  <c r="G138" i="6"/>
  <c r="Q137" i="6"/>
  <c r="P137" i="6"/>
  <c r="R137" i="6" s="1"/>
  <c r="G137" i="6"/>
  <c r="Q136" i="6"/>
  <c r="P136" i="6"/>
  <c r="R136" i="6" s="1"/>
  <c r="H136" i="6"/>
  <c r="G136" i="6"/>
  <c r="Q135" i="6"/>
  <c r="P135" i="6"/>
  <c r="R135" i="6" s="1"/>
  <c r="H135" i="6"/>
  <c r="G135" i="6"/>
  <c r="Q134" i="6"/>
  <c r="P134" i="6"/>
  <c r="R134" i="6" s="1"/>
  <c r="G134" i="6"/>
  <c r="Q133" i="6"/>
  <c r="P133" i="6"/>
  <c r="R133" i="6" s="1"/>
  <c r="G133" i="6"/>
  <c r="Q132" i="6"/>
  <c r="P132" i="6"/>
  <c r="R132" i="6" s="1"/>
  <c r="G132" i="6"/>
  <c r="Q131" i="6"/>
  <c r="P131" i="6"/>
  <c r="R131" i="6" s="1"/>
  <c r="G131" i="6"/>
  <c r="Q130" i="6"/>
  <c r="P130" i="6"/>
  <c r="R130" i="6" s="1"/>
  <c r="G130" i="6"/>
  <c r="Q129" i="6"/>
  <c r="P129" i="6"/>
  <c r="R129" i="6" s="1"/>
  <c r="G129" i="6"/>
  <c r="Q128" i="6"/>
  <c r="P128" i="6"/>
  <c r="R128" i="6" s="1"/>
  <c r="G128" i="6"/>
  <c r="R127" i="6"/>
  <c r="Q127" i="6"/>
  <c r="P127" i="6"/>
  <c r="G127" i="6"/>
  <c r="Q126" i="6"/>
  <c r="P126" i="6"/>
  <c r="R126" i="6" s="1"/>
  <c r="G126" i="6"/>
  <c r="R125" i="6"/>
  <c r="Q125" i="6"/>
  <c r="P125" i="6"/>
  <c r="G125" i="6"/>
  <c r="Q124" i="6"/>
  <c r="P124" i="6"/>
  <c r="R124" i="6" s="1"/>
  <c r="G124" i="6"/>
  <c r="Q123" i="6"/>
  <c r="P123" i="6"/>
  <c r="R123" i="6" s="1"/>
  <c r="G123" i="6"/>
  <c r="Q122" i="6"/>
  <c r="P122" i="6"/>
  <c r="R122" i="6" s="1"/>
  <c r="G122" i="6"/>
  <c r="R121" i="6"/>
  <c r="Q121" i="6"/>
  <c r="P121" i="6"/>
  <c r="H121" i="6"/>
  <c r="G121" i="6"/>
  <c r="Q120" i="6"/>
  <c r="P120" i="6"/>
  <c r="R120" i="6" s="1"/>
  <c r="G120" i="6"/>
  <c r="Q119" i="6"/>
  <c r="P119" i="6"/>
  <c r="R119" i="6" s="1"/>
  <c r="G119" i="6"/>
  <c r="Q118" i="6"/>
  <c r="P118" i="6"/>
  <c r="R118" i="6" s="1"/>
  <c r="G118" i="6"/>
  <c r="Q117" i="6"/>
  <c r="P117" i="6"/>
  <c r="R117" i="6" s="1"/>
  <c r="G117" i="6"/>
  <c r="Q116" i="6"/>
  <c r="P116" i="6"/>
  <c r="R116" i="6" s="1"/>
  <c r="G116" i="6"/>
  <c r="Q115" i="6"/>
  <c r="P115" i="6"/>
  <c r="R115" i="6" s="1"/>
  <c r="G115" i="6"/>
  <c r="Q114" i="6"/>
  <c r="P114" i="6"/>
  <c r="R114" i="6" s="1"/>
  <c r="G114" i="6"/>
  <c r="Q113" i="6"/>
  <c r="P113" i="6"/>
  <c r="R113" i="6" s="1"/>
  <c r="H113" i="6"/>
  <c r="G113" i="6"/>
  <c r="Q112" i="6"/>
  <c r="P112" i="6"/>
  <c r="R112" i="6" s="1"/>
  <c r="G112" i="6"/>
  <c r="Q111" i="6"/>
  <c r="P111" i="6"/>
  <c r="R111" i="6" s="1"/>
  <c r="G111" i="6"/>
  <c r="Q110" i="6"/>
  <c r="P110" i="6"/>
  <c r="R110" i="6" s="1"/>
  <c r="G110" i="6"/>
  <c r="R109" i="6"/>
  <c r="Q109" i="6"/>
  <c r="P109" i="6"/>
  <c r="G109" i="6"/>
  <c r="Q108" i="6"/>
  <c r="P108" i="6"/>
  <c r="R108" i="6" s="1"/>
  <c r="G108" i="6"/>
  <c r="Q107" i="6"/>
  <c r="P107" i="6"/>
  <c r="R107" i="6" s="1"/>
  <c r="G107" i="6"/>
  <c r="Q106" i="6"/>
  <c r="P106" i="6"/>
  <c r="R106" i="6" s="1"/>
  <c r="G106" i="6"/>
  <c r="Q105" i="6"/>
  <c r="P105" i="6"/>
  <c r="R105" i="6" s="1"/>
  <c r="G105" i="6"/>
  <c r="Q104" i="6"/>
  <c r="P104" i="6"/>
  <c r="R104" i="6" s="1"/>
  <c r="G104" i="6"/>
  <c r="Q103" i="6"/>
  <c r="P103" i="6"/>
  <c r="R103" i="6" s="1"/>
  <c r="G103" i="6"/>
  <c r="Q102" i="6"/>
  <c r="P102" i="6"/>
  <c r="R102" i="6" s="1"/>
  <c r="G102" i="6"/>
  <c r="Q101" i="6"/>
  <c r="P101" i="6"/>
  <c r="R101" i="6" s="1"/>
  <c r="G101" i="6"/>
  <c r="Q100" i="6"/>
  <c r="P100" i="6"/>
  <c r="R100" i="6" s="1"/>
  <c r="G100" i="6"/>
  <c r="Q99" i="6"/>
  <c r="P99" i="6"/>
  <c r="R99" i="6" s="1"/>
  <c r="G99" i="6"/>
  <c r="Q98" i="6"/>
  <c r="P98" i="6"/>
  <c r="R98" i="6" s="1"/>
  <c r="G98" i="6"/>
  <c r="Q97" i="6"/>
  <c r="P97" i="6"/>
  <c r="R97" i="6" s="1"/>
  <c r="G97" i="6"/>
  <c r="Q96" i="6"/>
  <c r="P96" i="6"/>
  <c r="R96" i="6" s="1"/>
  <c r="G96" i="6"/>
  <c r="Q95" i="6"/>
  <c r="P95" i="6"/>
  <c r="R95" i="6" s="1"/>
  <c r="G95" i="6"/>
  <c r="Q94" i="6"/>
  <c r="P94" i="6"/>
  <c r="R94" i="6" s="1"/>
  <c r="G94" i="6"/>
  <c r="Q93" i="6"/>
  <c r="P93" i="6"/>
  <c r="R93" i="6" s="1"/>
  <c r="G93" i="6"/>
  <c r="Q92" i="6"/>
  <c r="P92" i="6"/>
  <c r="R92" i="6" s="1"/>
  <c r="G92" i="6"/>
  <c r="Q91" i="6"/>
  <c r="P91" i="6"/>
  <c r="R91" i="6" s="1"/>
  <c r="G91" i="6"/>
  <c r="Q90" i="6"/>
  <c r="P90" i="6"/>
  <c r="R90" i="6" s="1"/>
  <c r="G90" i="6"/>
  <c r="Q89" i="6"/>
  <c r="P89" i="6"/>
  <c r="R89" i="6" s="1"/>
  <c r="G89" i="6"/>
  <c r="Q88" i="6"/>
  <c r="P88" i="6"/>
  <c r="R88" i="6" s="1"/>
  <c r="G88" i="6"/>
  <c r="Q87" i="6"/>
  <c r="P87" i="6"/>
  <c r="R87" i="6" s="1"/>
  <c r="H87" i="6"/>
  <c r="G87" i="6"/>
  <c r="Q86" i="6"/>
  <c r="P86" i="6"/>
  <c r="R86" i="6" s="1"/>
  <c r="G86" i="6"/>
  <c r="Q85" i="6"/>
  <c r="P85" i="6"/>
  <c r="R85" i="6" s="1"/>
  <c r="H85" i="6"/>
  <c r="G85" i="6"/>
  <c r="Q84" i="6"/>
  <c r="P84" i="6"/>
  <c r="R84" i="6" s="1"/>
  <c r="G84" i="6"/>
  <c r="Q83" i="6"/>
  <c r="P83" i="6"/>
  <c r="R83" i="6" s="1"/>
  <c r="H83" i="6"/>
  <c r="G83" i="6"/>
  <c r="Q82" i="6"/>
  <c r="P82" i="6"/>
  <c r="R82" i="6" s="1"/>
  <c r="H82" i="6"/>
  <c r="G82" i="6"/>
  <c r="Q81" i="6"/>
  <c r="P81" i="6"/>
  <c r="R81" i="6" s="1"/>
  <c r="Q80" i="6"/>
  <c r="P80" i="6"/>
  <c r="R80" i="6" s="1"/>
  <c r="H80" i="6"/>
  <c r="G80" i="6"/>
  <c r="Q79" i="6"/>
  <c r="P79" i="6"/>
  <c r="R79" i="6" s="1"/>
  <c r="G79" i="6"/>
  <c r="Q78" i="6"/>
  <c r="P78" i="6"/>
  <c r="R78" i="6" s="1"/>
  <c r="G78" i="6"/>
  <c r="Q77" i="6"/>
  <c r="P77" i="6"/>
  <c r="R77" i="6" s="1"/>
  <c r="G77" i="6"/>
  <c r="Q76" i="6"/>
  <c r="P76" i="6"/>
  <c r="R76" i="6" s="1"/>
  <c r="G76" i="6"/>
  <c r="Q75" i="6"/>
  <c r="P75" i="6"/>
  <c r="R75" i="6" s="1"/>
  <c r="G75" i="6"/>
  <c r="Q74" i="6"/>
  <c r="P74" i="6"/>
  <c r="R74" i="6" s="1"/>
  <c r="G74" i="6"/>
  <c r="Q73" i="6"/>
  <c r="P73" i="6"/>
  <c r="R73" i="6" s="1"/>
  <c r="G73" i="6"/>
  <c r="Q72" i="6"/>
  <c r="P72" i="6"/>
  <c r="R72" i="6" s="1"/>
  <c r="G72" i="6"/>
  <c r="Q71" i="6"/>
  <c r="P71" i="6"/>
  <c r="R71" i="6" s="1"/>
  <c r="G71" i="6"/>
  <c r="Q70" i="6"/>
  <c r="P70" i="6"/>
  <c r="R70" i="6" s="1"/>
  <c r="G70" i="6"/>
  <c r="Q69" i="6"/>
  <c r="P69" i="6"/>
  <c r="R69" i="6" s="1"/>
  <c r="G69" i="6"/>
  <c r="Q68" i="6"/>
  <c r="P68" i="6"/>
  <c r="R68" i="6" s="1"/>
  <c r="G68" i="6"/>
  <c r="Q67" i="6"/>
  <c r="P67" i="6"/>
  <c r="R67" i="6" s="1"/>
  <c r="G67" i="6"/>
  <c r="Q66" i="6"/>
  <c r="P66" i="6"/>
  <c r="R66" i="6" s="1"/>
  <c r="G66" i="6"/>
  <c r="Q65" i="6"/>
  <c r="P65" i="6"/>
  <c r="R65" i="6" s="1"/>
  <c r="H65" i="6"/>
  <c r="G65" i="6"/>
  <c r="R64" i="6"/>
  <c r="Q64" i="6"/>
  <c r="P64" i="6"/>
  <c r="H64" i="6"/>
  <c r="G64" i="6"/>
  <c r="Q63" i="6"/>
  <c r="P63" i="6"/>
  <c r="R63" i="6" s="1"/>
  <c r="H63" i="6"/>
  <c r="G63" i="6"/>
  <c r="Q62" i="6"/>
  <c r="P62" i="6"/>
  <c r="R62" i="6" s="1"/>
  <c r="H62" i="6"/>
  <c r="G62" i="6"/>
  <c r="Q61" i="6"/>
  <c r="P61" i="6"/>
  <c r="R61" i="6" s="1"/>
  <c r="H61" i="6"/>
  <c r="G61" i="6"/>
  <c r="Q60" i="6"/>
  <c r="P60" i="6"/>
  <c r="R60" i="6" s="1"/>
  <c r="G60" i="6"/>
  <c r="R59" i="6"/>
  <c r="Q59" i="6"/>
  <c r="P59" i="6"/>
  <c r="G59" i="6"/>
  <c r="Q58" i="6"/>
  <c r="P58" i="6"/>
  <c r="R58" i="6" s="1"/>
  <c r="G58" i="6"/>
  <c r="Q57" i="6"/>
  <c r="P57" i="6"/>
  <c r="R57" i="6" s="1"/>
  <c r="G57" i="6"/>
  <c r="Q56" i="6"/>
  <c r="P56" i="6"/>
  <c r="R56" i="6" s="1"/>
  <c r="G56" i="6"/>
  <c r="Q55" i="6"/>
  <c r="P55" i="6"/>
  <c r="R55" i="6" s="1"/>
  <c r="G55" i="6"/>
  <c r="Q54" i="6"/>
  <c r="P54" i="6"/>
  <c r="R54" i="6" s="1"/>
  <c r="G54" i="6"/>
  <c r="Q53" i="6"/>
  <c r="P53" i="6"/>
  <c r="R53" i="6" s="1"/>
  <c r="H53" i="6"/>
  <c r="G53" i="6"/>
  <c r="R52" i="6"/>
  <c r="Q52" i="6"/>
  <c r="P52" i="6"/>
  <c r="H52" i="6"/>
  <c r="G52" i="6"/>
  <c r="Q51" i="6"/>
  <c r="P51" i="6"/>
  <c r="R51" i="6" s="1"/>
  <c r="G51" i="6"/>
  <c r="Q50" i="6"/>
  <c r="P50" i="6"/>
  <c r="R50" i="6" s="1"/>
  <c r="G50" i="6"/>
  <c r="Q49" i="6"/>
  <c r="P49" i="6"/>
  <c r="R49" i="6" s="1"/>
  <c r="G49" i="6"/>
  <c r="Q48" i="6"/>
  <c r="P48" i="6"/>
  <c r="R48" i="6" s="1"/>
  <c r="G48" i="6"/>
  <c r="Q47" i="6"/>
  <c r="P47" i="6"/>
  <c r="R47" i="6" s="1"/>
  <c r="G47" i="6"/>
  <c r="Q46" i="6"/>
  <c r="P46" i="6"/>
  <c r="R46" i="6" s="1"/>
  <c r="H46" i="6"/>
  <c r="G46" i="6"/>
  <c r="Q45" i="6"/>
  <c r="P45" i="6"/>
  <c r="R45" i="6" s="1"/>
  <c r="H45" i="6"/>
  <c r="G45" i="6"/>
  <c r="R44" i="6"/>
  <c r="Q44" i="6"/>
  <c r="P44" i="6"/>
  <c r="H44" i="6"/>
  <c r="G44" i="6"/>
  <c r="Q43" i="6"/>
  <c r="P43" i="6"/>
  <c r="R43" i="6" s="1"/>
  <c r="H43" i="6"/>
  <c r="G43" i="6"/>
  <c r="R42" i="6"/>
  <c r="Q42" i="6"/>
  <c r="P42" i="6"/>
  <c r="H42" i="6"/>
  <c r="G42" i="6"/>
  <c r="Q41" i="6"/>
  <c r="P41" i="6"/>
  <c r="R41" i="6" s="1"/>
  <c r="G41" i="6"/>
  <c r="Q40" i="6"/>
  <c r="P40" i="6"/>
  <c r="R40" i="6" s="1"/>
  <c r="G40" i="6"/>
  <c r="Q39" i="6"/>
  <c r="P39" i="6"/>
  <c r="R39" i="6" s="1"/>
  <c r="H39" i="6"/>
  <c r="G39" i="6"/>
  <c r="Q38" i="6"/>
  <c r="P38" i="6"/>
  <c r="R38" i="6" s="1"/>
  <c r="H38" i="6"/>
  <c r="G38" i="6"/>
  <c r="Q37" i="6"/>
  <c r="P37" i="6"/>
  <c r="R37" i="6" s="1"/>
  <c r="H37" i="6"/>
  <c r="G37" i="6"/>
  <c r="Q36" i="6"/>
  <c r="P36" i="6"/>
  <c r="R36" i="6" s="1"/>
  <c r="H36" i="6"/>
  <c r="G36" i="6"/>
  <c r="Q35" i="6"/>
  <c r="P35" i="6"/>
  <c r="R35" i="6" s="1"/>
  <c r="H35" i="6"/>
  <c r="G35" i="6"/>
  <c r="R34" i="6"/>
  <c r="Q34" i="6"/>
  <c r="P34" i="6"/>
  <c r="H34" i="6"/>
  <c r="G34" i="6"/>
  <c r="R33" i="6"/>
  <c r="Q33" i="6"/>
  <c r="P33" i="6"/>
  <c r="H33" i="6"/>
  <c r="G33" i="6"/>
  <c r="Q32" i="6"/>
  <c r="P32" i="6"/>
  <c r="R32" i="6" s="1"/>
  <c r="H32" i="6"/>
  <c r="G32" i="6"/>
  <c r="Q31" i="6"/>
  <c r="P31" i="6"/>
  <c r="R31" i="6" s="1"/>
  <c r="H31" i="6"/>
  <c r="G31" i="6"/>
  <c r="Q30" i="6"/>
  <c r="P30" i="6"/>
  <c r="R30" i="6" s="1"/>
  <c r="G30" i="6"/>
  <c r="R29" i="6"/>
  <c r="Q29" i="6"/>
  <c r="P29" i="6"/>
  <c r="G29" i="6"/>
  <c r="Q28" i="6"/>
  <c r="P28" i="6"/>
  <c r="R28" i="6" s="1"/>
  <c r="G28" i="6"/>
  <c r="R27" i="6"/>
  <c r="Q27" i="6"/>
  <c r="P27" i="6"/>
  <c r="G27" i="6"/>
  <c r="Q26" i="6"/>
  <c r="P26" i="6"/>
  <c r="R26" i="6" s="1"/>
  <c r="G26" i="6"/>
  <c r="Q25" i="6"/>
  <c r="P25" i="6"/>
  <c r="R25" i="6" s="1"/>
  <c r="H25" i="6"/>
  <c r="G25" i="6"/>
  <c r="Q24" i="6"/>
  <c r="P24" i="6"/>
  <c r="R24" i="6" s="1"/>
  <c r="G24" i="6"/>
  <c r="R23" i="6"/>
  <c r="Q23" i="6"/>
  <c r="P23" i="6"/>
  <c r="G23" i="6"/>
  <c r="Q22" i="6"/>
  <c r="P22" i="6"/>
  <c r="R22" i="6" s="1"/>
  <c r="H22" i="6"/>
  <c r="G22" i="6"/>
  <c r="R20" i="6"/>
  <c r="Q20" i="6"/>
  <c r="P20" i="6"/>
  <c r="H20" i="6"/>
  <c r="G20" i="6"/>
  <c r="Q19" i="6"/>
  <c r="P19" i="6"/>
  <c r="R19" i="6" s="1"/>
  <c r="G19" i="6"/>
  <c r="Q18" i="6"/>
  <c r="P18" i="6"/>
  <c r="R18" i="6" s="1"/>
  <c r="G18" i="6"/>
  <c r="Q17" i="6"/>
  <c r="P17" i="6"/>
  <c r="R17" i="6" s="1"/>
  <c r="H17" i="6"/>
  <c r="G17" i="6"/>
  <c r="Q16" i="6"/>
  <c r="P16" i="6"/>
  <c r="R16" i="6" s="1"/>
  <c r="H16" i="6"/>
  <c r="G16" i="6"/>
  <c r="Q15" i="6"/>
  <c r="P15" i="6"/>
  <c r="R15" i="6" s="1"/>
  <c r="G15" i="6"/>
  <c r="R14" i="6"/>
  <c r="Q14" i="6"/>
  <c r="P14" i="6"/>
  <c r="G14" i="6"/>
  <c r="Q13" i="6"/>
  <c r="P13" i="6"/>
  <c r="R13" i="6" s="1"/>
  <c r="G13" i="6"/>
  <c r="R12" i="6"/>
  <c r="Q12" i="6"/>
  <c r="P12" i="6"/>
  <c r="G12" i="6"/>
  <c r="Q11" i="6"/>
  <c r="P11" i="6"/>
  <c r="R11" i="6" s="1"/>
  <c r="G11" i="6"/>
  <c r="R10" i="6"/>
  <c r="Q10" i="6"/>
  <c r="P10" i="6"/>
  <c r="G10" i="6"/>
  <c r="Q9" i="6"/>
  <c r="P9" i="6"/>
  <c r="R9" i="6" s="1"/>
  <c r="G9" i="6"/>
  <c r="R8" i="6"/>
  <c r="Q8" i="6"/>
  <c r="P8" i="6"/>
  <c r="H8" i="6"/>
  <c r="G8" i="6"/>
  <c r="Q7" i="6"/>
  <c r="P7" i="6"/>
  <c r="R7" i="6" s="1"/>
  <c r="H7" i="6"/>
  <c r="G7" i="6"/>
  <c r="Q6" i="6"/>
  <c r="P6" i="6"/>
  <c r="R6" i="6" s="1"/>
  <c r="G6" i="6"/>
  <c r="Q5" i="6"/>
  <c r="P5" i="6"/>
  <c r="R5" i="6" s="1"/>
  <c r="H5" i="6"/>
  <c r="G5" i="6"/>
  <c r="R4" i="6"/>
  <c r="Q4" i="6"/>
  <c r="P4" i="6"/>
  <c r="H4" i="6"/>
  <c r="G4" i="6"/>
  <c r="Q3" i="6"/>
  <c r="P3" i="6"/>
  <c r="R3" i="6" s="1"/>
  <c r="H3" i="6"/>
  <c r="G3" i="6"/>
  <c r="Q312" i="5"/>
  <c r="P312" i="5"/>
  <c r="R312" i="5" s="1"/>
  <c r="Q311" i="5"/>
  <c r="P311" i="5"/>
  <c r="R311" i="5" s="1"/>
  <c r="Q310" i="5"/>
  <c r="P310" i="5"/>
  <c r="R310" i="5" s="1"/>
  <c r="Q309" i="5"/>
  <c r="P309" i="5"/>
  <c r="R309" i="5" s="1"/>
  <c r="Q308" i="5"/>
  <c r="P308" i="5"/>
  <c r="R308" i="5" s="1"/>
  <c r="R307" i="5"/>
  <c r="Q307" i="5"/>
  <c r="P307" i="5"/>
  <c r="Q306" i="5"/>
  <c r="P306" i="5"/>
  <c r="R306" i="5" s="1"/>
  <c r="Q305" i="5"/>
  <c r="P305" i="5"/>
  <c r="R305" i="5" s="1"/>
  <c r="Q304" i="5"/>
  <c r="P304" i="5"/>
  <c r="R304" i="5" s="1"/>
  <c r="Q303" i="5"/>
  <c r="P303" i="5"/>
  <c r="R303" i="5" s="1"/>
  <c r="Q302" i="5"/>
  <c r="P302" i="5"/>
  <c r="R302" i="5" s="1"/>
  <c r="Q301" i="5"/>
  <c r="P301" i="5"/>
  <c r="R301" i="5" s="1"/>
  <c r="Q300" i="5"/>
  <c r="P300" i="5"/>
  <c r="R300" i="5" s="1"/>
  <c r="Q299" i="5"/>
  <c r="P299" i="5"/>
  <c r="R299" i="5" s="1"/>
  <c r="R298" i="5"/>
  <c r="Q298" i="5"/>
  <c r="P298" i="5"/>
  <c r="Q297" i="5"/>
  <c r="P297" i="5"/>
  <c r="R297" i="5" s="1"/>
  <c r="Q296" i="5"/>
  <c r="P296" i="5"/>
  <c r="R296" i="5" s="1"/>
  <c r="Q295" i="5"/>
  <c r="P295" i="5"/>
  <c r="R295" i="5" s="1"/>
  <c r="Q294" i="5"/>
  <c r="P294" i="5"/>
  <c r="R294" i="5" s="1"/>
  <c r="Q293" i="5"/>
  <c r="P293" i="5"/>
  <c r="R293" i="5" s="1"/>
  <c r="Q292" i="5"/>
  <c r="P292" i="5"/>
  <c r="R292" i="5" s="1"/>
  <c r="G292" i="5"/>
  <c r="Q291" i="5"/>
  <c r="P291" i="5"/>
  <c r="R291" i="5" s="1"/>
  <c r="G291" i="5"/>
  <c r="Q290" i="5"/>
  <c r="P290" i="5"/>
  <c r="R290" i="5" s="1"/>
  <c r="G290" i="5"/>
  <c r="Q289" i="5"/>
  <c r="P289" i="5"/>
  <c r="R289" i="5" s="1"/>
  <c r="G289" i="5"/>
  <c r="Q288" i="5"/>
  <c r="P288" i="5"/>
  <c r="R288" i="5" s="1"/>
  <c r="G288" i="5"/>
  <c r="Q287" i="5"/>
  <c r="P287" i="5"/>
  <c r="R287" i="5" s="1"/>
  <c r="G287" i="5"/>
  <c r="Q286" i="5"/>
  <c r="P286" i="5"/>
  <c r="R286" i="5" s="1"/>
  <c r="G286" i="5"/>
  <c r="Q285" i="5"/>
  <c r="P285" i="5"/>
  <c r="R285" i="5" s="1"/>
  <c r="G285" i="5"/>
  <c r="Q284" i="5"/>
  <c r="P284" i="5"/>
  <c r="R284" i="5" s="1"/>
  <c r="G284" i="5"/>
  <c r="Q283" i="5"/>
  <c r="P283" i="5"/>
  <c r="R283" i="5" s="1"/>
  <c r="G283" i="5"/>
  <c r="Q282" i="5"/>
  <c r="P282" i="5"/>
  <c r="R282" i="5" s="1"/>
  <c r="G282" i="5"/>
  <c r="Q281" i="5"/>
  <c r="P281" i="5"/>
  <c r="R281" i="5" s="1"/>
  <c r="G281" i="5"/>
  <c r="Q280" i="5"/>
  <c r="P280" i="5"/>
  <c r="R280" i="5" s="1"/>
  <c r="G280" i="5"/>
  <c r="Q279" i="5"/>
  <c r="P279" i="5"/>
  <c r="R279" i="5" s="1"/>
  <c r="G279" i="5"/>
  <c r="Q278" i="5"/>
  <c r="P278" i="5"/>
  <c r="R278" i="5" s="1"/>
  <c r="G278" i="5"/>
  <c r="Q277" i="5"/>
  <c r="P277" i="5"/>
  <c r="R277" i="5" s="1"/>
  <c r="G277" i="5"/>
  <c r="Q276" i="5"/>
  <c r="P276" i="5"/>
  <c r="R276" i="5" s="1"/>
  <c r="G276" i="5"/>
  <c r="Q275" i="5"/>
  <c r="P275" i="5"/>
  <c r="R275" i="5" s="1"/>
  <c r="H275" i="5"/>
  <c r="G275" i="5"/>
  <c r="Q274" i="5"/>
  <c r="P274" i="5"/>
  <c r="R274" i="5" s="1"/>
  <c r="H274" i="5"/>
  <c r="G274" i="5"/>
  <c r="Q273" i="5"/>
  <c r="P273" i="5"/>
  <c r="R273" i="5" s="1"/>
  <c r="H273" i="5"/>
  <c r="G273" i="5"/>
  <c r="R272" i="5"/>
  <c r="Q272" i="5"/>
  <c r="P272" i="5"/>
  <c r="H272" i="5"/>
  <c r="G272" i="5"/>
  <c r="Q271" i="5"/>
  <c r="P271" i="5"/>
  <c r="R271" i="5" s="1"/>
  <c r="H271" i="5"/>
  <c r="G271" i="5"/>
  <c r="Q270" i="5"/>
  <c r="P270" i="5"/>
  <c r="R270" i="5" s="1"/>
  <c r="H270" i="5"/>
  <c r="G270" i="5"/>
  <c r="R269" i="5"/>
  <c r="Q269" i="5"/>
  <c r="P269" i="5"/>
  <c r="H269" i="5"/>
  <c r="G269" i="5"/>
  <c r="Q268" i="5"/>
  <c r="P268" i="5"/>
  <c r="R268" i="5" s="1"/>
  <c r="H268" i="5"/>
  <c r="G268" i="5"/>
  <c r="Q267" i="5"/>
  <c r="P267" i="5"/>
  <c r="R267" i="5" s="1"/>
  <c r="H267" i="5"/>
  <c r="G267" i="5"/>
  <c r="R266" i="5"/>
  <c r="Q266" i="5"/>
  <c r="P266" i="5"/>
  <c r="H266" i="5"/>
  <c r="G266" i="5"/>
  <c r="Q265" i="5"/>
  <c r="P265" i="5"/>
  <c r="R265" i="5" s="1"/>
  <c r="H265" i="5"/>
  <c r="G265" i="5"/>
  <c r="Q264" i="5"/>
  <c r="P264" i="5"/>
  <c r="R264" i="5" s="1"/>
  <c r="H264" i="5"/>
  <c r="G264" i="5"/>
  <c r="Q263" i="5"/>
  <c r="P263" i="5"/>
  <c r="R263" i="5" s="1"/>
  <c r="H263" i="5"/>
  <c r="G263" i="5"/>
  <c r="Q262" i="5"/>
  <c r="P262" i="5"/>
  <c r="R262" i="5" s="1"/>
  <c r="H262" i="5"/>
  <c r="G262" i="5"/>
  <c r="Q261" i="5"/>
  <c r="P261" i="5"/>
  <c r="R261" i="5" s="1"/>
  <c r="H261" i="5"/>
  <c r="G261" i="5"/>
  <c r="Q260" i="5"/>
  <c r="P260" i="5"/>
  <c r="R260" i="5" s="1"/>
  <c r="H260" i="5"/>
  <c r="G260" i="5"/>
  <c r="Q259" i="5"/>
  <c r="P259" i="5"/>
  <c r="R259" i="5" s="1"/>
  <c r="H259" i="5"/>
  <c r="G259" i="5"/>
  <c r="Q258" i="5"/>
  <c r="P258" i="5"/>
  <c r="R258" i="5" s="1"/>
  <c r="H258" i="5"/>
  <c r="G258" i="5"/>
  <c r="R257" i="5"/>
  <c r="Q257" i="5"/>
  <c r="P257" i="5"/>
  <c r="H257" i="5"/>
  <c r="G257" i="5"/>
  <c r="R256" i="5"/>
  <c r="Q256" i="5"/>
  <c r="P256" i="5"/>
  <c r="H256" i="5"/>
  <c r="G256" i="5"/>
  <c r="Q255" i="5"/>
  <c r="P255" i="5"/>
  <c r="R255" i="5" s="1"/>
  <c r="H255" i="5"/>
  <c r="G255" i="5"/>
  <c r="Q254" i="5"/>
  <c r="P254" i="5"/>
  <c r="R254" i="5" s="1"/>
  <c r="H254" i="5"/>
  <c r="G254" i="5"/>
  <c r="Q253" i="5"/>
  <c r="P253" i="5"/>
  <c r="R253" i="5" s="1"/>
  <c r="G253" i="5"/>
  <c r="Q252" i="5"/>
  <c r="P252" i="5"/>
  <c r="R252" i="5" s="1"/>
  <c r="G252" i="5"/>
  <c r="Q251" i="5"/>
  <c r="P251" i="5"/>
  <c r="R251" i="5" s="1"/>
  <c r="G251" i="5"/>
  <c r="Q250" i="5"/>
  <c r="P250" i="5"/>
  <c r="R250" i="5" s="1"/>
  <c r="G250" i="5"/>
  <c r="Q249" i="5"/>
  <c r="P249" i="5"/>
  <c r="R249" i="5" s="1"/>
  <c r="H249" i="5"/>
  <c r="G249" i="5"/>
  <c r="R248" i="5"/>
  <c r="Q248" i="5"/>
  <c r="P248" i="5"/>
  <c r="H248" i="5"/>
  <c r="G248" i="5"/>
  <c r="Q247" i="5"/>
  <c r="P247" i="5"/>
  <c r="R247" i="5" s="1"/>
  <c r="H247" i="5"/>
  <c r="G247" i="5"/>
  <c r="Q246" i="5"/>
  <c r="P246" i="5"/>
  <c r="R246" i="5" s="1"/>
  <c r="G246" i="5"/>
  <c r="Q245" i="5"/>
  <c r="P245" i="5"/>
  <c r="R245" i="5" s="1"/>
  <c r="G245" i="5"/>
  <c r="Q244" i="5"/>
  <c r="P244" i="5"/>
  <c r="R244" i="5" s="1"/>
  <c r="H244" i="5"/>
  <c r="G244" i="5"/>
  <c r="Q243" i="5"/>
  <c r="P243" i="5"/>
  <c r="R243" i="5" s="1"/>
  <c r="G243" i="5"/>
  <c r="R242" i="5"/>
  <c r="Q242" i="5"/>
  <c r="P242" i="5"/>
  <c r="G242" i="5"/>
  <c r="Q241" i="5"/>
  <c r="P241" i="5"/>
  <c r="R241" i="5" s="1"/>
  <c r="G241" i="5"/>
  <c r="R240" i="5"/>
  <c r="Q240" i="5"/>
  <c r="P240" i="5"/>
  <c r="G240" i="5"/>
  <c r="Q238" i="5"/>
  <c r="P238" i="5"/>
  <c r="R238" i="5" s="1"/>
  <c r="G238" i="5"/>
  <c r="R237" i="5"/>
  <c r="Q237" i="5"/>
  <c r="P237" i="5"/>
  <c r="G237" i="5"/>
  <c r="Q236" i="5"/>
  <c r="P236" i="5"/>
  <c r="R236" i="5" s="1"/>
  <c r="G236" i="5"/>
  <c r="R235" i="5"/>
  <c r="Q235" i="5"/>
  <c r="P235" i="5"/>
  <c r="H235" i="5"/>
  <c r="G235" i="5"/>
  <c r="Q234" i="5"/>
  <c r="P234" i="5"/>
  <c r="R234" i="5" s="1"/>
  <c r="G234" i="5"/>
  <c r="R233" i="5"/>
  <c r="Q233" i="5"/>
  <c r="P233" i="5"/>
  <c r="H233" i="5"/>
  <c r="G233" i="5"/>
  <c r="Q232" i="5"/>
  <c r="P232" i="5"/>
  <c r="R232" i="5" s="1"/>
  <c r="G232" i="5"/>
  <c r="Q231" i="5"/>
  <c r="P231" i="5"/>
  <c r="R231" i="5" s="1"/>
  <c r="G231" i="5"/>
  <c r="Q230" i="5"/>
  <c r="P230" i="5"/>
  <c r="R230" i="5" s="1"/>
  <c r="G230" i="5"/>
  <c r="Q229" i="5"/>
  <c r="P229" i="5"/>
  <c r="R229" i="5" s="1"/>
  <c r="G229" i="5"/>
  <c r="Q228" i="5"/>
  <c r="P228" i="5"/>
  <c r="R228" i="5" s="1"/>
  <c r="G228" i="5"/>
  <c r="Q227" i="5"/>
  <c r="P227" i="5"/>
  <c r="R227" i="5" s="1"/>
  <c r="G227" i="5"/>
  <c r="Q226" i="5"/>
  <c r="P226" i="5"/>
  <c r="R226" i="5" s="1"/>
  <c r="G226" i="5"/>
  <c r="Q225" i="5"/>
  <c r="P225" i="5"/>
  <c r="R225" i="5" s="1"/>
  <c r="G225" i="5"/>
  <c r="Q224" i="5"/>
  <c r="P224" i="5"/>
  <c r="R224" i="5" s="1"/>
  <c r="G224" i="5"/>
  <c r="Q223" i="5"/>
  <c r="P223" i="5"/>
  <c r="R223" i="5" s="1"/>
  <c r="H223" i="5"/>
  <c r="G223" i="5"/>
  <c r="Q222" i="5"/>
  <c r="P222" i="5"/>
  <c r="R222" i="5" s="1"/>
  <c r="G222" i="5"/>
  <c r="Q221" i="5"/>
  <c r="P221" i="5"/>
  <c r="R221" i="5" s="1"/>
  <c r="H221" i="5"/>
  <c r="G221" i="5"/>
  <c r="Q220" i="5"/>
  <c r="P220" i="5"/>
  <c r="R220" i="5" s="1"/>
  <c r="H220" i="5"/>
  <c r="G220" i="5"/>
  <c r="R219" i="5"/>
  <c r="Q219" i="5"/>
  <c r="P219" i="5"/>
  <c r="G219" i="5"/>
  <c r="Q218" i="5"/>
  <c r="P218" i="5"/>
  <c r="R218" i="5" s="1"/>
  <c r="G218" i="5"/>
  <c r="R217" i="5"/>
  <c r="Q217" i="5"/>
  <c r="P217" i="5"/>
  <c r="G217" i="5"/>
  <c r="Q216" i="5"/>
  <c r="P216" i="5"/>
  <c r="R216" i="5" s="1"/>
  <c r="G216" i="5"/>
  <c r="R215" i="5"/>
  <c r="Q215" i="5"/>
  <c r="P215" i="5"/>
  <c r="G215" i="5"/>
  <c r="Q214" i="5"/>
  <c r="P214" i="5"/>
  <c r="R214" i="5" s="1"/>
  <c r="G214" i="5"/>
  <c r="R213" i="5"/>
  <c r="Q213" i="5"/>
  <c r="P213" i="5"/>
  <c r="G213" i="5"/>
  <c r="Q212" i="5"/>
  <c r="P212" i="5"/>
  <c r="R212" i="5" s="1"/>
  <c r="G212" i="5"/>
  <c r="Q211" i="5"/>
  <c r="P211" i="5"/>
  <c r="R211" i="5" s="1"/>
  <c r="G211" i="5"/>
  <c r="Q210" i="5"/>
  <c r="P210" i="5"/>
  <c r="R210" i="5" s="1"/>
  <c r="G210" i="5"/>
  <c r="Q209" i="5"/>
  <c r="P209" i="5"/>
  <c r="R209" i="5" s="1"/>
  <c r="H209" i="5"/>
  <c r="G209" i="5"/>
  <c r="Q208" i="5"/>
  <c r="P208" i="5"/>
  <c r="R208" i="5" s="1"/>
  <c r="G208" i="5"/>
  <c r="Q206" i="5"/>
  <c r="P206" i="5"/>
  <c r="R206" i="5" s="1"/>
  <c r="Q205" i="5"/>
  <c r="P205" i="5"/>
  <c r="R205" i="5" s="1"/>
  <c r="G205" i="5"/>
  <c r="Q204" i="5"/>
  <c r="P204" i="5"/>
  <c r="R204" i="5" s="1"/>
  <c r="H204" i="5"/>
  <c r="G204" i="5"/>
  <c r="Q203" i="5"/>
  <c r="P203" i="5"/>
  <c r="R203" i="5" s="1"/>
  <c r="G203" i="5"/>
  <c r="Q202" i="5"/>
  <c r="P202" i="5"/>
  <c r="R202" i="5" s="1"/>
  <c r="H202" i="5"/>
  <c r="G202" i="5"/>
  <c r="Q201" i="5"/>
  <c r="P201" i="5"/>
  <c r="R201" i="5" s="1"/>
  <c r="G201" i="5"/>
  <c r="Q200" i="5"/>
  <c r="P200" i="5"/>
  <c r="R200" i="5" s="1"/>
  <c r="G200" i="5"/>
  <c r="Q199" i="5"/>
  <c r="P199" i="5"/>
  <c r="R199" i="5" s="1"/>
  <c r="G199" i="5"/>
  <c r="Q198" i="5"/>
  <c r="P198" i="5"/>
  <c r="R198" i="5" s="1"/>
  <c r="G198" i="5"/>
  <c r="Q197" i="5"/>
  <c r="P197" i="5"/>
  <c r="R197" i="5" s="1"/>
  <c r="G197" i="5"/>
  <c r="Q196" i="5"/>
  <c r="P196" i="5"/>
  <c r="R196" i="5" s="1"/>
  <c r="G196" i="5"/>
  <c r="Q195" i="5"/>
  <c r="P195" i="5"/>
  <c r="R195" i="5" s="1"/>
  <c r="G195" i="5"/>
  <c r="Q194" i="5"/>
  <c r="P194" i="5"/>
  <c r="R194" i="5" s="1"/>
  <c r="G194" i="5"/>
  <c r="Q193" i="5"/>
  <c r="P193" i="5"/>
  <c r="R193" i="5" s="1"/>
  <c r="G193" i="5"/>
  <c r="Q191" i="5"/>
  <c r="P191" i="5"/>
  <c r="R191" i="5" s="1"/>
  <c r="G191" i="5"/>
  <c r="Q190" i="5"/>
  <c r="P190" i="5"/>
  <c r="R190" i="5" s="1"/>
  <c r="G190" i="5"/>
  <c r="Q189" i="5"/>
  <c r="P189" i="5"/>
  <c r="R189" i="5" s="1"/>
  <c r="G189" i="5"/>
  <c r="Q188" i="5"/>
  <c r="P188" i="5"/>
  <c r="R188" i="5" s="1"/>
  <c r="G188" i="5"/>
  <c r="Q187" i="5"/>
  <c r="P187" i="5"/>
  <c r="R187" i="5" s="1"/>
  <c r="G187" i="5"/>
  <c r="Q186" i="5"/>
  <c r="P186" i="5"/>
  <c r="R186" i="5" s="1"/>
  <c r="G186" i="5"/>
  <c r="Q185" i="5"/>
  <c r="P185" i="5"/>
  <c r="R185" i="5" s="1"/>
  <c r="G185" i="5"/>
  <c r="Q184" i="5"/>
  <c r="P184" i="5"/>
  <c r="R184" i="5" s="1"/>
  <c r="G184" i="5"/>
  <c r="Q183" i="5"/>
  <c r="P183" i="5"/>
  <c r="R183" i="5" s="1"/>
  <c r="G183" i="5"/>
  <c r="Q182" i="5"/>
  <c r="P182" i="5"/>
  <c r="R182" i="5" s="1"/>
  <c r="G182" i="5"/>
  <c r="Q181" i="5"/>
  <c r="P181" i="5"/>
  <c r="R181" i="5" s="1"/>
  <c r="G181" i="5"/>
  <c r="Q179" i="5"/>
  <c r="P179" i="5"/>
  <c r="R179" i="5" s="1"/>
  <c r="G179" i="5"/>
  <c r="Q177" i="5"/>
  <c r="P177" i="5"/>
  <c r="R177" i="5" s="1"/>
  <c r="H177" i="5"/>
  <c r="G177" i="5"/>
  <c r="R176" i="5"/>
  <c r="Q176" i="5"/>
  <c r="P176" i="5"/>
  <c r="G176" i="5"/>
  <c r="R175" i="5"/>
  <c r="Q175" i="5"/>
  <c r="P175" i="5"/>
  <c r="G175" i="5"/>
  <c r="R173" i="5"/>
  <c r="Q173" i="5"/>
  <c r="P173" i="5"/>
  <c r="G173" i="5"/>
  <c r="R172" i="5"/>
  <c r="Q172" i="5"/>
  <c r="P172" i="5"/>
  <c r="G172" i="5"/>
  <c r="R171" i="5"/>
  <c r="Q171" i="5"/>
  <c r="P171" i="5"/>
  <c r="H171" i="5"/>
  <c r="G171" i="5"/>
  <c r="Q170" i="5"/>
  <c r="P170" i="5"/>
  <c r="R170" i="5" s="1"/>
  <c r="G170" i="5"/>
  <c r="Q169" i="5"/>
  <c r="P169" i="5"/>
  <c r="R169" i="5" s="1"/>
  <c r="G169" i="5"/>
  <c r="Q168" i="5"/>
  <c r="P168" i="5"/>
  <c r="R168" i="5" s="1"/>
  <c r="H168" i="5"/>
  <c r="G168" i="5"/>
  <c r="Q167" i="5"/>
  <c r="P167" i="5"/>
  <c r="R167" i="5" s="1"/>
  <c r="H167" i="5"/>
  <c r="G167" i="5"/>
  <c r="Q166" i="5"/>
  <c r="P166" i="5"/>
  <c r="R166" i="5" s="1"/>
  <c r="H166" i="5"/>
  <c r="G166" i="5"/>
  <c r="R165" i="5"/>
  <c r="Q165" i="5"/>
  <c r="P165" i="5"/>
  <c r="H165" i="5"/>
  <c r="G165" i="5"/>
  <c r="Q164" i="5"/>
  <c r="P164" i="5"/>
  <c r="R164" i="5" s="1"/>
  <c r="H164" i="5"/>
  <c r="G164" i="5"/>
  <c r="Q163" i="5"/>
  <c r="P163" i="5"/>
  <c r="R163" i="5" s="1"/>
  <c r="H163" i="5"/>
  <c r="G163" i="5"/>
  <c r="R162" i="5"/>
  <c r="Q162" i="5"/>
  <c r="P162" i="5"/>
  <c r="G162" i="5"/>
  <c r="R161" i="5"/>
  <c r="Q161" i="5"/>
  <c r="P161" i="5"/>
  <c r="G161" i="5"/>
  <c r="R160" i="5"/>
  <c r="Q160" i="5"/>
  <c r="P160" i="5"/>
  <c r="G160" i="5"/>
  <c r="R159" i="5"/>
  <c r="Q159" i="5"/>
  <c r="P159" i="5"/>
  <c r="G159" i="5"/>
  <c r="R158" i="5"/>
  <c r="Q158" i="5"/>
  <c r="P158" i="5"/>
  <c r="G158" i="5"/>
  <c r="R157" i="5"/>
  <c r="Q157" i="5"/>
  <c r="P157" i="5"/>
  <c r="G157" i="5"/>
  <c r="R156" i="5"/>
  <c r="Q156" i="5"/>
  <c r="P156" i="5"/>
  <c r="G156" i="5"/>
  <c r="R155" i="5"/>
  <c r="Q155" i="5"/>
  <c r="P155" i="5"/>
  <c r="G155" i="5"/>
  <c r="R154" i="5"/>
  <c r="Q154" i="5"/>
  <c r="P154" i="5"/>
  <c r="G154" i="5"/>
  <c r="R153" i="5"/>
  <c r="Q153" i="5"/>
  <c r="P153" i="5"/>
  <c r="G153" i="5"/>
  <c r="R152" i="5"/>
  <c r="Q152" i="5"/>
  <c r="P152" i="5"/>
  <c r="G152" i="5"/>
  <c r="R151" i="5"/>
  <c r="Q151" i="5"/>
  <c r="P151" i="5"/>
  <c r="G151" i="5"/>
  <c r="R150" i="5"/>
  <c r="Q150" i="5"/>
  <c r="P150" i="5"/>
  <c r="G150" i="5"/>
  <c r="R149" i="5"/>
  <c r="Q149" i="5"/>
  <c r="P149" i="5"/>
  <c r="G149" i="5"/>
  <c r="R148" i="5"/>
  <c r="Q148" i="5"/>
  <c r="P148" i="5"/>
  <c r="G148" i="5"/>
  <c r="R147" i="5"/>
  <c r="Q147" i="5"/>
  <c r="P147" i="5"/>
  <c r="G147" i="5"/>
  <c r="R146" i="5"/>
  <c r="Q146" i="5"/>
  <c r="P146" i="5"/>
  <c r="G146" i="5"/>
  <c r="R145" i="5"/>
  <c r="Q145" i="5"/>
  <c r="P145" i="5"/>
  <c r="G145" i="5"/>
  <c r="R144" i="5"/>
  <c r="Q144" i="5"/>
  <c r="P144" i="5"/>
  <c r="G144" i="5"/>
  <c r="Q143" i="5"/>
  <c r="P143" i="5"/>
  <c r="R143" i="5" s="1"/>
  <c r="G143" i="5"/>
  <c r="R142" i="5"/>
  <c r="Q142" i="5"/>
  <c r="P142" i="5"/>
  <c r="G142" i="5"/>
  <c r="Q141" i="5"/>
  <c r="P141" i="5"/>
  <c r="R141" i="5" s="1"/>
  <c r="Q140" i="5"/>
  <c r="P140" i="5"/>
  <c r="R140" i="5" s="1"/>
  <c r="G140" i="5"/>
  <c r="Q139" i="5"/>
  <c r="P139" i="5"/>
  <c r="R139" i="5" s="1"/>
  <c r="G139" i="5"/>
  <c r="Q138" i="5"/>
  <c r="P138" i="5"/>
  <c r="R138" i="5" s="1"/>
  <c r="Q137" i="5"/>
  <c r="P137" i="5"/>
  <c r="R137" i="5" s="1"/>
  <c r="H137" i="5"/>
  <c r="G137" i="5"/>
  <c r="Q136" i="5"/>
  <c r="P136" i="5"/>
  <c r="R136" i="5" s="1"/>
  <c r="H136" i="5"/>
  <c r="G136" i="5"/>
  <c r="Q135" i="5"/>
  <c r="P135" i="5"/>
  <c r="R135" i="5" s="1"/>
  <c r="H135" i="5"/>
  <c r="G135" i="5"/>
  <c r="Q134" i="5"/>
  <c r="P134" i="5"/>
  <c r="R134" i="5" s="1"/>
  <c r="G134" i="5"/>
  <c r="R133" i="5"/>
  <c r="Q133" i="5"/>
  <c r="P133" i="5"/>
  <c r="G133" i="5"/>
  <c r="Q132" i="5"/>
  <c r="P132" i="5"/>
  <c r="R132" i="5" s="1"/>
  <c r="H132" i="5"/>
  <c r="G132" i="5"/>
  <c r="Q131" i="5"/>
  <c r="P131" i="5"/>
  <c r="R131" i="5" s="1"/>
  <c r="G131" i="5"/>
  <c r="Q130" i="5"/>
  <c r="P130" i="5"/>
  <c r="R130" i="5" s="1"/>
  <c r="G130" i="5"/>
  <c r="Q129" i="5"/>
  <c r="P129" i="5"/>
  <c r="R129" i="5" s="1"/>
  <c r="H129" i="5"/>
  <c r="G129" i="5"/>
  <c r="Q128" i="5"/>
  <c r="P128" i="5"/>
  <c r="R128" i="5" s="1"/>
  <c r="H128" i="5"/>
  <c r="G128" i="5"/>
  <c r="Q127" i="5"/>
  <c r="P127" i="5"/>
  <c r="R127" i="5" s="1"/>
  <c r="H127" i="5"/>
  <c r="G127" i="5"/>
  <c r="Q126" i="5"/>
  <c r="P126" i="5"/>
  <c r="R126" i="5" s="1"/>
  <c r="H126" i="5"/>
  <c r="G126" i="5"/>
  <c r="Q125" i="5"/>
  <c r="P125" i="5"/>
  <c r="R125" i="5" s="1"/>
  <c r="H125" i="5"/>
  <c r="G125" i="5"/>
  <c r="Q124" i="5"/>
  <c r="P124" i="5"/>
  <c r="R124" i="5" s="1"/>
  <c r="H124" i="5"/>
  <c r="G124" i="5"/>
  <c r="Q123" i="5"/>
  <c r="P123" i="5"/>
  <c r="R123" i="5" s="1"/>
  <c r="G123" i="5"/>
  <c r="R122" i="5"/>
  <c r="Q122" i="5"/>
  <c r="P122" i="5"/>
  <c r="G122" i="5"/>
  <c r="Q121" i="5"/>
  <c r="P121" i="5"/>
  <c r="R121" i="5" s="1"/>
  <c r="G121" i="5"/>
  <c r="R120" i="5"/>
  <c r="Q120" i="5"/>
  <c r="P120" i="5"/>
  <c r="G120" i="5"/>
  <c r="Q119" i="5"/>
  <c r="P119" i="5"/>
  <c r="R119" i="5" s="1"/>
  <c r="G119" i="5"/>
  <c r="Q118" i="5"/>
  <c r="P118" i="5"/>
  <c r="R118" i="5" s="1"/>
  <c r="G118" i="5"/>
  <c r="Q117" i="5"/>
  <c r="P117" i="5"/>
  <c r="R117" i="5" s="1"/>
  <c r="G117" i="5"/>
  <c r="Q116" i="5"/>
  <c r="P116" i="5"/>
  <c r="R116" i="5" s="1"/>
  <c r="H116" i="5"/>
  <c r="G116" i="5"/>
  <c r="R115" i="5"/>
  <c r="Q115" i="5"/>
  <c r="P115" i="5"/>
  <c r="G115" i="5"/>
  <c r="Q114" i="5"/>
  <c r="P114" i="5"/>
  <c r="R114" i="5" s="1"/>
  <c r="G114" i="5"/>
  <c r="R113" i="5"/>
  <c r="Q113" i="5"/>
  <c r="P113" i="5"/>
  <c r="G113" i="5"/>
  <c r="Q112" i="5"/>
  <c r="P112" i="5"/>
  <c r="R112" i="5" s="1"/>
  <c r="H112" i="5"/>
  <c r="G112" i="5"/>
  <c r="Q111" i="5"/>
  <c r="P111" i="5"/>
  <c r="R111" i="5" s="1"/>
  <c r="H111" i="5"/>
  <c r="G111" i="5"/>
  <c r="Q110" i="5"/>
  <c r="P110" i="5"/>
  <c r="R110" i="5" s="1"/>
  <c r="H110" i="5"/>
  <c r="G110" i="5"/>
  <c r="R109" i="5"/>
  <c r="Q109" i="5"/>
  <c r="P109" i="5"/>
  <c r="Q108" i="5"/>
  <c r="P108" i="5"/>
  <c r="R108" i="5" s="1"/>
  <c r="H108" i="5"/>
  <c r="G108" i="5"/>
  <c r="Q107" i="5"/>
  <c r="P107" i="5"/>
  <c r="R107" i="5" s="1"/>
  <c r="H107" i="5"/>
  <c r="G107" i="5"/>
  <c r="R106" i="5"/>
  <c r="Q106" i="5"/>
  <c r="P106" i="5"/>
  <c r="H106" i="5"/>
  <c r="G106" i="5"/>
  <c r="Q105" i="5"/>
  <c r="P105" i="5"/>
  <c r="R105" i="5" s="1"/>
  <c r="G105" i="5"/>
  <c r="Q104" i="5"/>
  <c r="P104" i="5"/>
  <c r="R104" i="5" s="1"/>
  <c r="G104" i="5"/>
  <c r="Q103" i="5"/>
  <c r="P103" i="5"/>
  <c r="R103" i="5" s="1"/>
  <c r="G103" i="5"/>
  <c r="Q102" i="5"/>
  <c r="P102" i="5"/>
  <c r="R102" i="5" s="1"/>
  <c r="G102" i="5"/>
  <c r="Q101" i="5"/>
  <c r="P101" i="5"/>
  <c r="R101" i="5" s="1"/>
  <c r="H101" i="5"/>
  <c r="G101" i="5"/>
  <c r="Q100" i="5"/>
  <c r="P100" i="5"/>
  <c r="R100" i="5" s="1"/>
  <c r="H100" i="5"/>
  <c r="G100" i="5"/>
  <c r="R99" i="5"/>
  <c r="Q99" i="5"/>
  <c r="P99" i="5"/>
  <c r="G99" i="5"/>
  <c r="Q98" i="5"/>
  <c r="P98" i="5"/>
  <c r="R98" i="5" s="1"/>
  <c r="G98" i="5"/>
  <c r="R97" i="5"/>
  <c r="Q97" i="5"/>
  <c r="P97" i="5"/>
  <c r="G97" i="5"/>
  <c r="Q96" i="5"/>
  <c r="P96" i="5"/>
  <c r="R96" i="5" s="1"/>
  <c r="G96" i="5"/>
  <c r="R95" i="5"/>
  <c r="Q95" i="5"/>
  <c r="P95" i="5"/>
  <c r="H95" i="5"/>
  <c r="G95" i="5"/>
  <c r="R94" i="5"/>
  <c r="Q94" i="5"/>
  <c r="P94" i="5"/>
  <c r="H94" i="5"/>
  <c r="G94" i="5"/>
  <c r="Q93" i="5"/>
  <c r="P93" i="5"/>
  <c r="R93" i="5" s="1"/>
  <c r="H93" i="5"/>
  <c r="G93" i="5"/>
  <c r="Q92" i="5"/>
  <c r="P92" i="5"/>
  <c r="R92" i="5" s="1"/>
  <c r="H92" i="5"/>
  <c r="G92" i="5"/>
  <c r="R91" i="5"/>
  <c r="Q91" i="5"/>
  <c r="P91" i="5"/>
  <c r="H91" i="5"/>
  <c r="G91" i="5"/>
  <c r="R90" i="5"/>
  <c r="Q90" i="5"/>
  <c r="P90" i="5"/>
  <c r="H90" i="5"/>
  <c r="G90" i="5"/>
  <c r="Q89" i="5"/>
  <c r="P89" i="5"/>
  <c r="R89" i="5" s="1"/>
  <c r="H89" i="5"/>
  <c r="G89" i="5"/>
  <c r="Q88" i="5"/>
  <c r="P88" i="5"/>
  <c r="R88" i="5" s="1"/>
  <c r="G88" i="5"/>
  <c r="Q87" i="5"/>
  <c r="P87" i="5"/>
  <c r="R87" i="5" s="1"/>
  <c r="G87" i="5"/>
  <c r="Q86" i="5"/>
  <c r="P86" i="5"/>
  <c r="R86" i="5" s="1"/>
  <c r="G86" i="5"/>
  <c r="Q85" i="5"/>
  <c r="P85" i="5"/>
  <c r="R85" i="5" s="1"/>
  <c r="H85" i="5"/>
  <c r="G85" i="5"/>
  <c r="Q84" i="5"/>
  <c r="P84" i="5"/>
  <c r="R84" i="5" s="1"/>
  <c r="G84" i="5"/>
  <c r="Q83" i="5"/>
  <c r="P83" i="5"/>
  <c r="R83" i="5" s="1"/>
  <c r="G83" i="5"/>
  <c r="Q82" i="5"/>
  <c r="P82" i="5"/>
  <c r="R82" i="5" s="1"/>
  <c r="G82" i="5"/>
  <c r="Q81" i="5"/>
  <c r="P81" i="5"/>
  <c r="R81" i="5" s="1"/>
  <c r="G81" i="5"/>
  <c r="Q80" i="5"/>
  <c r="P80" i="5"/>
  <c r="R80" i="5" s="1"/>
  <c r="G80" i="5"/>
  <c r="Q79" i="5"/>
  <c r="P79" i="5"/>
  <c r="R79" i="5" s="1"/>
  <c r="G79" i="5"/>
  <c r="Q78" i="5"/>
  <c r="P78" i="5"/>
  <c r="R78" i="5" s="1"/>
  <c r="G78" i="5"/>
  <c r="Q77" i="5"/>
  <c r="P77" i="5"/>
  <c r="R77" i="5" s="1"/>
  <c r="H77" i="5"/>
  <c r="G77" i="5"/>
  <c r="Q76" i="5"/>
  <c r="P76" i="5"/>
  <c r="R76" i="5" s="1"/>
  <c r="G76" i="5"/>
  <c r="R75" i="5"/>
  <c r="Q75" i="5"/>
  <c r="P75" i="5"/>
  <c r="G75" i="5"/>
  <c r="Q74" i="5"/>
  <c r="P74" i="5"/>
  <c r="R74" i="5" s="1"/>
  <c r="G74" i="5"/>
  <c r="R73" i="5"/>
  <c r="Q73" i="5"/>
  <c r="P73" i="5"/>
  <c r="G73" i="5"/>
  <c r="Q72" i="5"/>
  <c r="P72" i="5"/>
  <c r="R72" i="5" s="1"/>
  <c r="G72" i="5"/>
  <c r="R71" i="5"/>
  <c r="Q71" i="5"/>
  <c r="P71" i="5"/>
  <c r="G71" i="5"/>
  <c r="Q70" i="5"/>
  <c r="P70" i="5"/>
  <c r="R70" i="5" s="1"/>
  <c r="G70" i="5"/>
  <c r="Q69" i="5"/>
  <c r="P69" i="5"/>
  <c r="R69" i="5" s="1"/>
  <c r="G69" i="5"/>
  <c r="Q68" i="5"/>
  <c r="P68" i="5"/>
  <c r="R68" i="5" s="1"/>
  <c r="H68" i="5"/>
  <c r="G68" i="5"/>
  <c r="Q67" i="5"/>
  <c r="P67" i="5"/>
  <c r="R67" i="5" s="1"/>
  <c r="G67" i="5"/>
  <c r="Q66" i="5"/>
  <c r="P66" i="5"/>
  <c r="R66" i="5" s="1"/>
  <c r="G66" i="5"/>
  <c r="Q65" i="5"/>
  <c r="P65" i="5"/>
  <c r="R65" i="5" s="1"/>
  <c r="G65" i="5"/>
  <c r="Q64" i="5"/>
  <c r="P64" i="5"/>
  <c r="R64" i="5" s="1"/>
  <c r="G64" i="5"/>
  <c r="Q63" i="5"/>
  <c r="P63" i="5"/>
  <c r="R63" i="5" s="1"/>
  <c r="G63" i="5"/>
  <c r="Q62" i="5"/>
  <c r="P62" i="5"/>
  <c r="R62" i="5" s="1"/>
  <c r="H62" i="5"/>
  <c r="G62" i="5"/>
  <c r="Q61" i="5"/>
  <c r="P61" i="5"/>
  <c r="R61" i="5" s="1"/>
  <c r="G61" i="5"/>
  <c r="Q60" i="5"/>
  <c r="P60" i="5"/>
  <c r="R60" i="5" s="1"/>
  <c r="G60" i="5"/>
  <c r="Q59" i="5"/>
  <c r="P59" i="5"/>
  <c r="R59" i="5" s="1"/>
  <c r="G59" i="5"/>
  <c r="Q58" i="5"/>
  <c r="P58" i="5"/>
  <c r="R58" i="5" s="1"/>
  <c r="G58" i="5"/>
  <c r="Q57" i="5"/>
  <c r="P57" i="5"/>
  <c r="R57" i="5" s="1"/>
  <c r="G57" i="5"/>
  <c r="Q56" i="5"/>
  <c r="P56" i="5"/>
  <c r="R56" i="5" s="1"/>
  <c r="G56" i="5"/>
  <c r="Q55" i="5"/>
  <c r="P55" i="5"/>
  <c r="R55" i="5" s="1"/>
  <c r="H55" i="5"/>
  <c r="G55" i="5"/>
  <c r="Q54" i="5"/>
  <c r="P54" i="5"/>
  <c r="R54" i="5" s="1"/>
  <c r="H54" i="5"/>
  <c r="G54" i="5"/>
  <c r="Q53" i="5"/>
  <c r="P53" i="5"/>
  <c r="R53" i="5" s="1"/>
  <c r="H53" i="5"/>
  <c r="G53" i="5"/>
  <c r="Q52" i="5"/>
  <c r="P52" i="5"/>
  <c r="R52" i="5" s="1"/>
  <c r="H52" i="5"/>
  <c r="G52" i="5"/>
  <c r="H51" i="5"/>
  <c r="G51" i="5"/>
  <c r="Q50" i="5"/>
  <c r="P50" i="5"/>
  <c r="R50" i="5" s="1"/>
  <c r="H50" i="5"/>
  <c r="G50" i="5"/>
  <c r="Q49" i="5"/>
  <c r="P49" i="5"/>
  <c r="R49" i="5" s="1"/>
  <c r="H49" i="5"/>
  <c r="G49" i="5"/>
  <c r="Q48" i="5"/>
  <c r="P48" i="5"/>
  <c r="R48" i="5" s="1"/>
  <c r="H48" i="5"/>
  <c r="G48" i="5"/>
  <c r="Q47" i="5"/>
  <c r="P47" i="5"/>
  <c r="R47" i="5" s="1"/>
  <c r="G47" i="5"/>
  <c r="Q46" i="5"/>
  <c r="P46" i="5"/>
  <c r="R46" i="5" s="1"/>
  <c r="G46" i="5"/>
  <c r="Q45" i="5"/>
  <c r="P45" i="5"/>
  <c r="R45" i="5" s="1"/>
  <c r="G45" i="5"/>
  <c r="Q44" i="5"/>
  <c r="P44" i="5"/>
  <c r="R44" i="5" s="1"/>
  <c r="G44" i="5"/>
  <c r="Q43" i="5"/>
  <c r="P43" i="5"/>
  <c r="R43" i="5" s="1"/>
  <c r="G43" i="5"/>
  <c r="Q42" i="5"/>
  <c r="P42" i="5"/>
  <c r="R42" i="5" s="1"/>
  <c r="G42" i="5"/>
  <c r="Q41" i="5"/>
  <c r="P41" i="5"/>
  <c r="R41" i="5" s="1"/>
  <c r="G41" i="5"/>
  <c r="Q40" i="5"/>
  <c r="P40" i="5"/>
  <c r="R40" i="5" s="1"/>
  <c r="G40" i="5"/>
  <c r="Q39" i="5"/>
  <c r="P39" i="5"/>
  <c r="R39" i="5" s="1"/>
  <c r="G39" i="5"/>
  <c r="Q38" i="5"/>
  <c r="P38" i="5"/>
  <c r="R38" i="5" s="1"/>
  <c r="G38" i="5"/>
  <c r="Q37" i="5"/>
  <c r="P37" i="5"/>
  <c r="R37" i="5" s="1"/>
  <c r="G37" i="5"/>
  <c r="Q36" i="5"/>
  <c r="P36" i="5"/>
  <c r="R36" i="5" s="1"/>
  <c r="H36" i="5"/>
  <c r="G36" i="5"/>
  <c r="R35" i="5"/>
  <c r="Q35" i="5"/>
  <c r="P35" i="5"/>
  <c r="H35" i="5"/>
  <c r="G35" i="5"/>
  <c r="Q34" i="5"/>
  <c r="P34" i="5"/>
  <c r="R34" i="5" s="1"/>
  <c r="H34" i="5"/>
  <c r="G34" i="5"/>
  <c r="Q33" i="5"/>
  <c r="P33" i="5"/>
  <c r="R33" i="5" s="1"/>
  <c r="H33" i="5"/>
  <c r="G33" i="5"/>
  <c r="R32" i="5"/>
  <c r="Q32" i="5"/>
  <c r="P32" i="5"/>
  <c r="G32" i="5"/>
  <c r="R31" i="5"/>
  <c r="Q31" i="5"/>
  <c r="P31" i="5"/>
  <c r="G31" i="5"/>
  <c r="R30" i="5"/>
  <c r="Q30" i="5"/>
  <c r="P30" i="5"/>
  <c r="H30" i="5"/>
  <c r="G30" i="5"/>
  <c r="Q29" i="5"/>
  <c r="P29" i="5"/>
  <c r="R29" i="5" s="1"/>
  <c r="H29" i="5"/>
  <c r="G29" i="5"/>
  <c r="Q28" i="5"/>
  <c r="P28" i="5"/>
  <c r="R28" i="5" s="1"/>
  <c r="H28" i="5"/>
  <c r="G28" i="5"/>
  <c r="Q27" i="5"/>
  <c r="P27" i="5"/>
  <c r="R27" i="5" s="1"/>
  <c r="H27" i="5"/>
  <c r="G27" i="5"/>
  <c r="Q26" i="5"/>
  <c r="P26" i="5"/>
  <c r="R26" i="5" s="1"/>
  <c r="H26" i="5"/>
  <c r="G26" i="5"/>
  <c r="Q25" i="5"/>
  <c r="P25" i="5"/>
  <c r="R25" i="5" s="1"/>
  <c r="H25" i="5"/>
  <c r="G25" i="5"/>
  <c r="Q24" i="5"/>
  <c r="P24" i="5"/>
  <c r="R24" i="5" s="1"/>
  <c r="G24" i="5"/>
  <c r="Q23" i="5"/>
  <c r="P23" i="5"/>
  <c r="R23" i="5" s="1"/>
  <c r="G23" i="5"/>
  <c r="Q22" i="5"/>
  <c r="P22" i="5"/>
  <c r="R22" i="5" s="1"/>
  <c r="G22" i="5"/>
  <c r="Q21" i="5"/>
  <c r="P21" i="5"/>
  <c r="R21" i="5" s="1"/>
  <c r="G21" i="5"/>
  <c r="Q20" i="5"/>
  <c r="P20" i="5"/>
  <c r="R20" i="5" s="1"/>
  <c r="G20" i="5"/>
  <c r="Q19" i="5"/>
  <c r="P19" i="5"/>
  <c r="R19" i="5" s="1"/>
  <c r="G19" i="5"/>
  <c r="Q18" i="5"/>
  <c r="P18" i="5"/>
  <c r="R18" i="5" s="1"/>
  <c r="H18" i="5"/>
  <c r="G18" i="5"/>
  <c r="Q17" i="5"/>
  <c r="P17" i="5"/>
  <c r="R17" i="5" s="1"/>
  <c r="G17" i="5"/>
  <c r="Q16" i="5"/>
  <c r="P16" i="5"/>
  <c r="R16" i="5" s="1"/>
  <c r="G16" i="5"/>
  <c r="Q15" i="5"/>
  <c r="P15" i="5"/>
  <c r="R15" i="5" s="1"/>
  <c r="H15" i="5"/>
  <c r="G15" i="5"/>
  <c r="R14" i="5"/>
  <c r="Q14" i="5"/>
  <c r="P14" i="5"/>
  <c r="H14" i="5"/>
  <c r="G14" i="5"/>
  <c r="R13" i="5"/>
  <c r="Q13" i="5"/>
  <c r="P13" i="5"/>
  <c r="H13" i="5"/>
  <c r="G13" i="5"/>
  <c r="Q12" i="5"/>
  <c r="P12" i="5"/>
  <c r="R12" i="5" s="1"/>
  <c r="G12" i="5"/>
  <c r="Q11" i="5"/>
  <c r="P11" i="5"/>
  <c r="R11" i="5" s="1"/>
  <c r="H11" i="5"/>
  <c r="G11" i="5"/>
  <c r="Q10" i="5"/>
  <c r="P10" i="5"/>
  <c r="R10" i="5" s="1"/>
  <c r="G10" i="5"/>
  <c r="Q9" i="5"/>
  <c r="P9" i="5"/>
  <c r="R9" i="5" s="1"/>
  <c r="G9" i="5"/>
  <c r="Q8" i="5"/>
  <c r="P8" i="5"/>
  <c r="R8" i="5" s="1"/>
  <c r="G8" i="5"/>
  <c r="Q7" i="5"/>
  <c r="P7" i="5"/>
  <c r="R7" i="5" s="1"/>
  <c r="G7" i="5"/>
  <c r="Q6" i="5"/>
  <c r="P6" i="5"/>
  <c r="R6" i="5" s="1"/>
  <c r="H6" i="5"/>
  <c r="G6" i="5"/>
  <c r="Q5" i="5"/>
  <c r="P5" i="5"/>
  <c r="R5" i="5" s="1"/>
  <c r="G5" i="5"/>
  <c r="R4" i="5"/>
  <c r="Q4" i="5"/>
  <c r="P4" i="5"/>
  <c r="G4" i="5"/>
  <c r="Q3" i="5"/>
  <c r="P3" i="5"/>
  <c r="R3" i="5" s="1"/>
  <c r="G3" i="5"/>
  <c r="Q184" i="4"/>
  <c r="P184" i="4"/>
  <c r="R184" i="4" s="1"/>
  <c r="G184" i="4"/>
  <c r="Q183" i="4"/>
  <c r="P183" i="4"/>
  <c r="R183" i="4" s="1"/>
  <c r="G183" i="4"/>
  <c r="Q182" i="4"/>
  <c r="P182" i="4"/>
  <c r="R182" i="4" s="1"/>
  <c r="G182" i="4"/>
  <c r="Q181" i="4"/>
  <c r="P181" i="4"/>
  <c r="R181" i="4" s="1"/>
  <c r="G181" i="4"/>
  <c r="Q180" i="4"/>
  <c r="P180" i="4"/>
  <c r="R180" i="4" s="1"/>
  <c r="G180" i="4"/>
  <c r="Q179" i="4"/>
  <c r="P179" i="4"/>
  <c r="R179" i="4" s="1"/>
  <c r="G179" i="4"/>
  <c r="Q177" i="4"/>
  <c r="P177" i="4"/>
  <c r="R177" i="4" s="1"/>
  <c r="H177" i="4"/>
  <c r="G177" i="4"/>
  <c r="Q175" i="4"/>
  <c r="P175" i="4"/>
  <c r="R175" i="4" s="1"/>
  <c r="H175" i="4"/>
  <c r="G175" i="4"/>
  <c r="Q173" i="4"/>
  <c r="P173" i="4"/>
  <c r="R173" i="4" s="1"/>
  <c r="G173" i="4"/>
  <c r="Q172" i="4"/>
  <c r="P172" i="4"/>
  <c r="R172" i="4" s="1"/>
  <c r="G172" i="4"/>
  <c r="Q171" i="4"/>
  <c r="P171" i="4"/>
  <c r="R171" i="4" s="1"/>
  <c r="G171" i="4"/>
  <c r="Q170" i="4"/>
  <c r="P170" i="4"/>
  <c r="R170" i="4" s="1"/>
  <c r="G170" i="4"/>
  <c r="Q169" i="4"/>
  <c r="P169" i="4"/>
  <c r="R169" i="4" s="1"/>
  <c r="G169" i="4"/>
  <c r="Q168" i="4"/>
  <c r="P168" i="4"/>
  <c r="R168" i="4" s="1"/>
  <c r="G168" i="4"/>
  <c r="Q167" i="4"/>
  <c r="P167" i="4"/>
  <c r="R167" i="4" s="1"/>
  <c r="G167" i="4"/>
  <c r="Q166" i="4"/>
  <c r="P166" i="4"/>
  <c r="R166" i="4" s="1"/>
  <c r="G166" i="4"/>
  <c r="Q165" i="4"/>
  <c r="P165" i="4"/>
  <c r="R165" i="4" s="1"/>
  <c r="G165" i="4"/>
  <c r="Q164" i="4"/>
  <c r="P164" i="4"/>
  <c r="R164" i="4" s="1"/>
  <c r="G164" i="4"/>
  <c r="Q162" i="4"/>
  <c r="P162" i="4"/>
  <c r="R162" i="4" s="1"/>
  <c r="H162" i="4"/>
  <c r="G162" i="4"/>
  <c r="R161" i="4"/>
  <c r="Q161" i="4"/>
  <c r="P161" i="4"/>
  <c r="G161" i="4"/>
  <c r="Q160" i="4"/>
  <c r="P160" i="4"/>
  <c r="R160" i="4" s="1"/>
  <c r="H160" i="4"/>
  <c r="G160" i="4"/>
  <c r="Q159" i="4"/>
  <c r="P159" i="4"/>
  <c r="R159" i="4" s="1"/>
  <c r="H159" i="4"/>
  <c r="G159" i="4"/>
  <c r="Q158" i="4"/>
  <c r="P158" i="4"/>
  <c r="R158" i="4" s="1"/>
  <c r="H158" i="4"/>
  <c r="G158" i="4"/>
  <c r="Q157" i="4"/>
  <c r="P157" i="4"/>
  <c r="R157" i="4" s="1"/>
  <c r="G157" i="4"/>
  <c r="Q156" i="4"/>
  <c r="P156" i="4"/>
  <c r="R156" i="4" s="1"/>
  <c r="G156" i="4"/>
  <c r="Q154" i="4"/>
  <c r="P154" i="4"/>
  <c r="R154" i="4" s="1"/>
  <c r="G154" i="4"/>
  <c r="Q153" i="4"/>
  <c r="P153" i="4"/>
  <c r="R153" i="4" s="1"/>
  <c r="G153" i="4"/>
  <c r="Q152" i="4"/>
  <c r="P152" i="4"/>
  <c r="R152" i="4" s="1"/>
  <c r="G152" i="4"/>
  <c r="Q151" i="4"/>
  <c r="P151" i="4"/>
  <c r="R151" i="4" s="1"/>
  <c r="G151" i="4"/>
  <c r="Q150" i="4"/>
  <c r="P150" i="4"/>
  <c r="R150" i="4" s="1"/>
  <c r="G150" i="4"/>
  <c r="Q149" i="4"/>
  <c r="P149" i="4"/>
  <c r="R149" i="4" s="1"/>
  <c r="G149" i="4"/>
  <c r="Q148" i="4"/>
  <c r="P148" i="4"/>
  <c r="R148" i="4" s="1"/>
  <c r="G148" i="4"/>
  <c r="Q147" i="4"/>
  <c r="P147" i="4"/>
  <c r="R147" i="4" s="1"/>
  <c r="G147" i="4"/>
  <c r="Q146" i="4"/>
  <c r="P146" i="4"/>
  <c r="R146" i="4" s="1"/>
  <c r="G146" i="4"/>
  <c r="Q145" i="4"/>
  <c r="P145" i="4"/>
  <c r="R145" i="4" s="1"/>
  <c r="H145" i="4"/>
  <c r="G145" i="4"/>
  <c r="R144" i="4"/>
  <c r="Q144" i="4"/>
  <c r="P144" i="4"/>
  <c r="H144" i="4"/>
  <c r="G144" i="4"/>
  <c r="Q143" i="4"/>
  <c r="P143" i="4"/>
  <c r="R143" i="4" s="1"/>
  <c r="H143" i="4"/>
  <c r="G143" i="4"/>
  <c r="Q142" i="4"/>
  <c r="P142" i="4"/>
  <c r="R142" i="4" s="1"/>
  <c r="G142" i="4"/>
  <c r="Q141" i="4"/>
  <c r="P141" i="4"/>
  <c r="R141" i="4" s="1"/>
  <c r="G141" i="4"/>
  <c r="Q140" i="4"/>
  <c r="P140" i="4"/>
  <c r="R140" i="4" s="1"/>
  <c r="G140" i="4"/>
  <c r="Q139" i="4"/>
  <c r="P139" i="4"/>
  <c r="R139" i="4" s="1"/>
  <c r="G139" i="4"/>
  <c r="Q138" i="4"/>
  <c r="P138" i="4"/>
  <c r="R138" i="4" s="1"/>
  <c r="G138" i="4"/>
  <c r="Q137" i="4"/>
  <c r="P137" i="4"/>
  <c r="R137" i="4" s="1"/>
  <c r="H137" i="4"/>
  <c r="G137" i="4"/>
  <c r="Q136" i="4"/>
  <c r="P136" i="4"/>
  <c r="R136" i="4" s="1"/>
  <c r="H136" i="4"/>
  <c r="G136" i="4"/>
  <c r="R135" i="4"/>
  <c r="Q135" i="4"/>
  <c r="P135" i="4"/>
  <c r="H135" i="4"/>
  <c r="G135" i="4"/>
  <c r="Q134" i="4"/>
  <c r="P134" i="4"/>
  <c r="R134" i="4" s="1"/>
  <c r="G134" i="4"/>
  <c r="Q133" i="4"/>
  <c r="P133" i="4"/>
  <c r="R133" i="4" s="1"/>
  <c r="G133" i="4"/>
  <c r="Q132" i="4"/>
  <c r="P132" i="4"/>
  <c r="R132" i="4" s="1"/>
  <c r="G132" i="4"/>
  <c r="Q131" i="4"/>
  <c r="P131" i="4"/>
  <c r="R131" i="4" s="1"/>
  <c r="G131" i="4"/>
  <c r="Q130" i="4"/>
  <c r="P130" i="4"/>
  <c r="R130" i="4" s="1"/>
  <c r="G130" i="4"/>
  <c r="Q129" i="4"/>
  <c r="P129" i="4"/>
  <c r="R129" i="4" s="1"/>
  <c r="G129" i="4"/>
  <c r="Q128" i="4"/>
  <c r="P128" i="4"/>
  <c r="R128" i="4" s="1"/>
  <c r="G128" i="4"/>
  <c r="Q127" i="4"/>
  <c r="P127" i="4"/>
  <c r="R127" i="4" s="1"/>
  <c r="G127" i="4"/>
  <c r="Q126" i="4"/>
  <c r="P126" i="4"/>
  <c r="R126" i="4" s="1"/>
  <c r="H126" i="4"/>
  <c r="G126" i="4"/>
  <c r="Q125" i="4"/>
  <c r="P125" i="4"/>
  <c r="R125" i="4" s="1"/>
  <c r="G125" i="4"/>
  <c r="Q124" i="4"/>
  <c r="P124" i="4"/>
  <c r="R124" i="4" s="1"/>
  <c r="H124" i="4"/>
  <c r="G124" i="4"/>
  <c r="Q123" i="4"/>
  <c r="P123" i="4"/>
  <c r="R123" i="4" s="1"/>
  <c r="G123" i="4"/>
  <c r="Q122" i="4"/>
  <c r="P122" i="4"/>
  <c r="R122" i="4" s="1"/>
  <c r="G122" i="4"/>
  <c r="Q121" i="4"/>
  <c r="P121" i="4"/>
  <c r="R121" i="4" s="1"/>
  <c r="G121" i="4"/>
  <c r="Q120" i="4"/>
  <c r="P120" i="4"/>
  <c r="R120" i="4" s="1"/>
  <c r="G120" i="4"/>
  <c r="Q119" i="4"/>
  <c r="P119" i="4"/>
  <c r="R119" i="4" s="1"/>
  <c r="G119" i="4"/>
  <c r="Q118" i="4"/>
  <c r="P118" i="4"/>
  <c r="R118" i="4" s="1"/>
  <c r="G118" i="4"/>
  <c r="Q117" i="4"/>
  <c r="P117" i="4"/>
  <c r="R117" i="4" s="1"/>
  <c r="G117" i="4"/>
  <c r="Q116" i="4"/>
  <c r="P116" i="4"/>
  <c r="R116" i="4" s="1"/>
  <c r="G116" i="4"/>
  <c r="Q115" i="4"/>
  <c r="P115" i="4"/>
  <c r="R115" i="4" s="1"/>
  <c r="G115" i="4"/>
  <c r="Q114" i="4"/>
  <c r="P114" i="4"/>
  <c r="R114" i="4" s="1"/>
  <c r="H114" i="4"/>
  <c r="G114" i="4"/>
  <c r="R113" i="4"/>
  <c r="Q113" i="4"/>
  <c r="P113" i="4"/>
  <c r="G113" i="4"/>
  <c r="Q112" i="4"/>
  <c r="P112" i="4"/>
  <c r="R112" i="4" s="1"/>
  <c r="G112" i="4"/>
  <c r="R111" i="4"/>
  <c r="Q111" i="4"/>
  <c r="P111" i="4"/>
  <c r="G111" i="4"/>
  <c r="Q110" i="4"/>
  <c r="P110" i="4"/>
  <c r="R110" i="4" s="1"/>
  <c r="G110" i="4"/>
  <c r="R109" i="4"/>
  <c r="Q109" i="4"/>
  <c r="P109" i="4"/>
  <c r="G109" i="4"/>
  <c r="Q108" i="4"/>
  <c r="P108" i="4"/>
  <c r="R108" i="4" s="1"/>
  <c r="G108" i="4"/>
  <c r="R107" i="4"/>
  <c r="Q107" i="4"/>
  <c r="P107" i="4"/>
  <c r="G107" i="4"/>
  <c r="Q106" i="4"/>
  <c r="P106" i="4"/>
  <c r="R106" i="4" s="1"/>
  <c r="G106" i="4"/>
  <c r="R105" i="4"/>
  <c r="Q105" i="4"/>
  <c r="P105" i="4"/>
  <c r="G105" i="4"/>
  <c r="Q104" i="4"/>
  <c r="P104" i="4"/>
  <c r="R104" i="4" s="1"/>
  <c r="G104" i="4"/>
  <c r="R103" i="4"/>
  <c r="Q103" i="4"/>
  <c r="P103" i="4"/>
  <c r="G103" i="4"/>
  <c r="Q102" i="4"/>
  <c r="P102" i="4"/>
  <c r="R102" i="4" s="1"/>
  <c r="G102" i="4"/>
  <c r="R101" i="4"/>
  <c r="Q101" i="4"/>
  <c r="P101" i="4"/>
  <c r="G101" i="4"/>
  <c r="Q99" i="4"/>
  <c r="P99" i="4"/>
  <c r="R99" i="4" s="1"/>
  <c r="G99" i="4"/>
  <c r="R98" i="4"/>
  <c r="Q98" i="4"/>
  <c r="P98" i="4"/>
  <c r="Q97" i="4"/>
  <c r="P97" i="4"/>
  <c r="R97" i="4" s="1"/>
  <c r="H97" i="4"/>
  <c r="G97" i="4"/>
  <c r="R96" i="4"/>
  <c r="Q96" i="4"/>
  <c r="P96" i="4"/>
  <c r="Q95" i="4"/>
  <c r="P95" i="4"/>
  <c r="R95" i="4" s="1"/>
  <c r="Q94" i="4"/>
  <c r="P94" i="4"/>
  <c r="R94" i="4" s="1"/>
  <c r="Q93" i="4"/>
  <c r="P93" i="4"/>
  <c r="R93" i="4" s="1"/>
  <c r="Q92" i="4"/>
  <c r="P92" i="4"/>
  <c r="R92" i="4" s="1"/>
  <c r="Q91" i="4"/>
  <c r="P91" i="4"/>
  <c r="R91" i="4" s="1"/>
  <c r="Q90" i="4"/>
  <c r="P90" i="4"/>
  <c r="R90" i="4" s="1"/>
  <c r="R89" i="4"/>
  <c r="Q89" i="4"/>
  <c r="P89" i="4"/>
  <c r="R88" i="4"/>
  <c r="Q88" i="4"/>
  <c r="P88" i="4"/>
  <c r="Q87" i="4"/>
  <c r="P87" i="4"/>
  <c r="R87" i="4" s="1"/>
  <c r="Q86" i="4"/>
  <c r="P86" i="4"/>
  <c r="R86" i="4" s="1"/>
  <c r="R85" i="4"/>
  <c r="Q85" i="4"/>
  <c r="P85" i="4"/>
  <c r="Q84" i="4"/>
  <c r="P84" i="4"/>
  <c r="R84" i="4" s="1"/>
  <c r="H84" i="4"/>
  <c r="G84" i="4"/>
  <c r="R83" i="4"/>
  <c r="Q83" i="4"/>
  <c r="P83" i="4"/>
  <c r="Q81" i="4"/>
  <c r="P81" i="4"/>
  <c r="R81" i="4" s="1"/>
  <c r="H81" i="4"/>
  <c r="G81" i="4"/>
  <c r="R79" i="4"/>
  <c r="Q79" i="4"/>
  <c r="P79" i="4"/>
  <c r="G79" i="4"/>
  <c r="Q78" i="4"/>
  <c r="P78" i="4"/>
  <c r="R78" i="4" s="1"/>
  <c r="H78" i="4"/>
  <c r="G78" i="4"/>
  <c r="Q77" i="4"/>
  <c r="P77" i="4"/>
  <c r="R77" i="4" s="1"/>
  <c r="H77" i="4"/>
  <c r="G77" i="4"/>
  <c r="Q76" i="4"/>
  <c r="P76" i="4"/>
  <c r="R76" i="4" s="1"/>
  <c r="H76" i="4"/>
  <c r="G76" i="4"/>
  <c r="R75" i="4"/>
  <c r="Q75" i="4"/>
  <c r="P75" i="4"/>
  <c r="H75" i="4"/>
  <c r="G75" i="4"/>
  <c r="R73" i="4"/>
  <c r="Q73" i="4"/>
  <c r="P73" i="4"/>
  <c r="G73" i="4"/>
  <c r="Q72" i="4"/>
  <c r="P72" i="4"/>
  <c r="R72" i="4" s="1"/>
  <c r="H72" i="4"/>
  <c r="G72" i="4"/>
  <c r="Q71" i="4"/>
  <c r="P71" i="4"/>
  <c r="R71" i="4" s="1"/>
  <c r="G71" i="4"/>
  <c r="Q70" i="4"/>
  <c r="P70" i="4"/>
  <c r="R70" i="4" s="1"/>
  <c r="G70" i="4"/>
  <c r="Q69" i="4"/>
  <c r="P69" i="4"/>
  <c r="R69" i="4" s="1"/>
  <c r="H69" i="4"/>
  <c r="G69" i="4"/>
  <c r="Q67" i="4"/>
  <c r="P67" i="4"/>
  <c r="R67" i="4" s="1"/>
  <c r="G67" i="4"/>
  <c r="Q66" i="4"/>
  <c r="P66" i="4"/>
  <c r="R66" i="4" s="1"/>
  <c r="H66" i="4"/>
  <c r="G66" i="4"/>
  <c r="R65" i="4"/>
  <c r="Q65" i="4"/>
  <c r="P65" i="4"/>
  <c r="H65" i="4"/>
  <c r="G65" i="4"/>
  <c r="Q64" i="4"/>
  <c r="P64" i="4"/>
  <c r="R64" i="4" s="1"/>
  <c r="G64" i="4"/>
  <c r="R63" i="4"/>
  <c r="Q63" i="4"/>
  <c r="P63" i="4"/>
  <c r="Q62" i="4"/>
  <c r="P62" i="4"/>
  <c r="R62" i="4" s="1"/>
  <c r="Q61" i="4"/>
  <c r="P61" i="4"/>
  <c r="R61" i="4" s="1"/>
  <c r="Q60" i="4"/>
  <c r="P60" i="4"/>
  <c r="R60" i="4" s="1"/>
  <c r="Q59" i="4"/>
  <c r="P59" i="4"/>
  <c r="R59" i="4" s="1"/>
  <c r="R58" i="4"/>
  <c r="Q58" i="4"/>
  <c r="P58" i="4"/>
  <c r="Q57" i="4"/>
  <c r="P57" i="4"/>
  <c r="R57" i="4" s="1"/>
  <c r="G57" i="4"/>
  <c r="Q56" i="4"/>
  <c r="P56" i="4"/>
  <c r="R56" i="4" s="1"/>
  <c r="G56" i="4"/>
  <c r="Q55" i="4"/>
  <c r="P55" i="4"/>
  <c r="R55" i="4" s="1"/>
  <c r="G55" i="4"/>
  <c r="Q54" i="4"/>
  <c r="P54" i="4"/>
  <c r="R54" i="4" s="1"/>
  <c r="G54" i="4"/>
  <c r="Q53" i="4"/>
  <c r="P53" i="4"/>
  <c r="R53" i="4" s="1"/>
  <c r="H53" i="4"/>
  <c r="G53" i="4"/>
  <c r="R52" i="4"/>
  <c r="Q52" i="4"/>
  <c r="P52" i="4"/>
  <c r="H52" i="4"/>
  <c r="G52" i="4"/>
  <c r="R51" i="4"/>
  <c r="Q51" i="4"/>
  <c r="P51" i="4"/>
  <c r="H51" i="4"/>
  <c r="G51" i="4"/>
  <c r="Q50" i="4"/>
  <c r="P50" i="4"/>
  <c r="R50" i="4" s="1"/>
  <c r="H50" i="4"/>
  <c r="G50" i="4"/>
  <c r="Q48" i="4"/>
  <c r="P48" i="4"/>
  <c r="R48" i="4" s="1"/>
  <c r="H48" i="4"/>
  <c r="G48" i="4"/>
  <c r="Q47" i="4"/>
  <c r="P47" i="4"/>
  <c r="R47" i="4" s="1"/>
  <c r="H47" i="4"/>
  <c r="G47" i="4"/>
  <c r="R46" i="4"/>
  <c r="Q46" i="4"/>
  <c r="P46" i="4"/>
  <c r="H46" i="4"/>
  <c r="G46" i="4"/>
  <c r="Q45" i="4"/>
  <c r="P45" i="4"/>
  <c r="R45" i="4" s="1"/>
  <c r="H45" i="4"/>
  <c r="G45" i="4"/>
  <c r="Q44" i="4"/>
  <c r="P44" i="4"/>
  <c r="R44" i="4" s="1"/>
  <c r="G44" i="4"/>
  <c r="Q43" i="4"/>
  <c r="P43" i="4"/>
  <c r="R43" i="4" s="1"/>
  <c r="G43" i="4"/>
  <c r="Q42" i="4"/>
  <c r="P42" i="4"/>
  <c r="R42" i="4" s="1"/>
  <c r="G42" i="4"/>
  <c r="Q41" i="4"/>
  <c r="P41" i="4"/>
  <c r="R41" i="4" s="1"/>
  <c r="G41" i="4"/>
  <c r="Q40" i="4"/>
  <c r="P40" i="4"/>
  <c r="R40" i="4" s="1"/>
  <c r="G40" i="4"/>
  <c r="Q39" i="4"/>
  <c r="P39" i="4"/>
  <c r="R39" i="4" s="1"/>
  <c r="G39" i="4"/>
  <c r="Q38" i="4"/>
  <c r="P38" i="4"/>
  <c r="R38" i="4" s="1"/>
  <c r="G38" i="4"/>
  <c r="Q37" i="4"/>
  <c r="P37" i="4"/>
  <c r="R37" i="4" s="1"/>
  <c r="G37" i="4"/>
  <c r="Q36" i="4"/>
  <c r="P36" i="4"/>
  <c r="R36" i="4" s="1"/>
  <c r="H36" i="4"/>
  <c r="G36" i="4"/>
  <c r="Q35" i="4"/>
  <c r="P35" i="4"/>
  <c r="R35" i="4" s="1"/>
  <c r="G35" i="4"/>
  <c r="R34" i="4"/>
  <c r="Q34" i="4"/>
  <c r="P34" i="4"/>
  <c r="H34" i="4"/>
  <c r="G34" i="4"/>
  <c r="R33" i="4"/>
  <c r="Q33" i="4"/>
  <c r="P33" i="4"/>
  <c r="H33" i="4"/>
  <c r="G33" i="4"/>
  <c r="Q32" i="4"/>
  <c r="P32" i="4"/>
  <c r="R32" i="4" s="1"/>
  <c r="H32" i="4"/>
  <c r="G32" i="4"/>
  <c r="Q31" i="4"/>
  <c r="P31" i="4"/>
  <c r="R31" i="4" s="1"/>
  <c r="G31" i="4"/>
  <c r="Q30" i="4"/>
  <c r="P30" i="4"/>
  <c r="R30" i="4" s="1"/>
  <c r="G30" i="4"/>
  <c r="Q29" i="4"/>
  <c r="P29" i="4"/>
  <c r="R29" i="4" s="1"/>
  <c r="H29" i="4"/>
  <c r="G29" i="4"/>
  <c r="R28" i="4"/>
  <c r="Q28" i="4"/>
  <c r="P28" i="4"/>
  <c r="G28" i="4"/>
  <c r="Q27" i="4"/>
  <c r="P27" i="4"/>
  <c r="R27" i="4" s="1"/>
  <c r="G27" i="4"/>
  <c r="R26" i="4"/>
  <c r="Q26" i="4"/>
  <c r="P26" i="4"/>
  <c r="G26" i="4"/>
  <c r="Q25" i="4"/>
  <c r="P25" i="4"/>
  <c r="R25" i="4" s="1"/>
  <c r="G25" i="4"/>
  <c r="R24" i="4"/>
  <c r="Q24" i="4"/>
  <c r="P24" i="4"/>
  <c r="G24" i="4"/>
  <c r="Q23" i="4"/>
  <c r="P23" i="4"/>
  <c r="R23" i="4" s="1"/>
  <c r="G23" i="4"/>
  <c r="R22" i="4"/>
  <c r="Q22" i="4"/>
  <c r="P22" i="4"/>
  <c r="G22" i="4"/>
  <c r="Q21" i="4"/>
  <c r="P21" i="4"/>
  <c r="R21" i="4" s="1"/>
  <c r="H21" i="4"/>
  <c r="G21" i="4"/>
  <c r="Q20" i="4"/>
  <c r="P20" i="4"/>
  <c r="R20" i="4" s="1"/>
  <c r="H20" i="4"/>
  <c r="G20" i="4"/>
  <c r="Q19" i="4"/>
  <c r="P19" i="4"/>
  <c r="R19" i="4" s="1"/>
  <c r="G19" i="4"/>
  <c r="Q18" i="4"/>
  <c r="P18" i="4"/>
  <c r="R18" i="4" s="1"/>
  <c r="G18" i="4"/>
  <c r="Q17" i="4"/>
  <c r="P17" i="4"/>
  <c r="R17" i="4" s="1"/>
  <c r="G17" i="4"/>
  <c r="Q16" i="4"/>
  <c r="P16" i="4"/>
  <c r="R16" i="4" s="1"/>
  <c r="G16" i="4"/>
  <c r="Q15" i="4"/>
  <c r="P15" i="4"/>
  <c r="R15" i="4" s="1"/>
  <c r="G15" i="4"/>
  <c r="Q14" i="4"/>
  <c r="P14" i="4"/>
  <c r="R14" i="4" s="1"/>
  <c r="H14" i="4"/>
  <c r="G14" i="4"/>
  <c r="Q13" i="4"/>
  <c r="P13" i="4"/>
  <c r="R13" i="4" s="1"/>
  <c r="H13" i="4"/>
  <c r="G13" i="4"/>
  <c r="R12" i="4"/>
  <c r="Q12" i="4"/>
  <c r="P12" i="4"/>
  <c r="H12" i="4"/>
  <c r="G12" i="4"/>
  <c r="Q10" i="4"/>
  <c r="P10" i="4"/>
  <c r="R10" i="4" s="1"/>
  <c r="H10" i="4"/>
  <c r="G10" i="4"/>
  <c r="Q9" i="4"/>
  <c r="P9" i="4"/>
  <c r="R9" i="4" s="1"/>
  <c r="H9" i="4"/>
  <c r="G9" i="4"/>
  <c r="Q8" i="4"/>
  <c r="P8" i="4"/>
  <c r="R8" i="4" s="1"/>
  <c r="H8" i="4"/>
  <c r="G8" i="4"/>
  <c r="R7" i="4"/>
  <c r="Q7" i="4"/>
  <c r="P7" i="4"/>
  <c r="G7" i="4"/>
  <c r="Q6" i="4"/>
  <c r="P6" i="4"/>
  <c r="R6" i="4" s="1"/>
  <c r="H6" i="4"/>
  <c r="G6" i="4"/>
  <c r="R5" i="4"/>
  <c r="Q5" i="4"/>
  <c r="P5" i="4"/>
  <c r="H5" i="4"/>
  <c r="G5" i="4"/>
  <c r="Q4" i="4"/>
  <c r="P4" i="4"/>
  <c r="R4" i="4" s="1"/>
  <c r="H4" i="4"/>
  <c r="G4" i="4"/>
  <c r="Q3" i="4"/>
  <c r="P3" i="4"/>
  <c r="R3" i="4" s="1"/>
  <c r="H3" i="4"/>
  <c r="G3" i="4"/>
  <c r="Q142" i="3"/>
  <c r="P142" i="3"/>
  <c r="R142" i="3" s="1"/>
  <c r="G142" i="3"/>
  <c r="Q141" i="3"/>
  <c r="P141" i="3"/>
  <c r="R141" i="3" s="1"/>
  <c r="H141" i="3"/>
  <c r="G141" i="3"/>
  <c r="Q140" i="3"/>
  <c r="P140" i="3"/>
  <c r="R140" i="3" s="1"/>
  <c r="G140" i="3"/>
  <c r="Q139" i="3"/>
  <c r="P139" i="3"/>
  <c r="R139" i="3" s="1"/>
  <c r="G139" i="3"/>
  <c r="Q138" i="3"/>
  <c r="P138" i="3"/>
  <c r="R138" i="3" s="1"/>
  <c r="G138" i="3"/>
  <c r="Q137" i="3"/>
  <c r="P137" i="3"/>
  <c r="R137" i="3" s="1"/>
  <c r="G137" i="3"/>
  <c r="Q136" i="3"/>
  <c r="P136" i="3"/>
  <c r="R136" i="3" s="1"/>
  <c r="G136" i="3"/>
  <c r="Q135" i="3"/>
  <c r="P135" i="3"/>
  <c r="R135" i="3" s="1"/>
  <c r="G135" i="3"/>
  <c r="Q134" i="3"/>
  <c r="P134" i="3"/>
  <c r="R134" i="3" s="1"/>
  <c r="G134" i="3"/>
  <c r="Q133" i="3"/>
  <c r="P133" i="3"/>
  <c r="R133" i="3" s="1"/>
  <c r="G133" i="3"/>
  <c r="Q132" i="3"/>
  <c r="P132" i="3"/>
  <c r="R132" i="3" s="1"/>
  <c r="G132" i="3"/>
  <c r="Q131" i="3"/>
  <c r="P131" i="3"/>
  <c r="R131" i="3" s="1"/>
  <c r="G131" i="3"/>
  <c r="Q130" i="3"/>
  <c r="P130" i="3"/>
  <c r="R130" i="3" s="1"/>
  <c r="G130" i="3"/>
  <c r="Q129" i="3"/>
  <c r="P129" i="3"/>
  <c r="R129" i="3" s="1"/>
  <c r="G129" i="3"/>
  <c r="Q128" i="3"/>
  <c r="P128" i="3"/>
  <c r="R128" i="3" s="1"/>
  <c r="G128" i="3"/>
  <c r="Q127" i="3"/>
  <c r="P127" i="3"/>
  <c r="R127" i="3" s="1"/>
  <c r="G127" i="3"/>
  <c r="Q126" i="3"/>
  <c r="P126" i="3"/>
  <c r="R126" i="3" s="1"/>
  <c r="G126" i="3"/>
  <c r="Q125" i="3"/>
  <c r="P125" i="3"/>
  <c r="R125" i="3" s="1"/>
  <c r="G125" i="3"/>
  <c r="Q124" i="3"/>
  <c r="P124" i="3"/>
  <c r="R124" i="3" s="1"/>
  <c r="G124" i="3"/>
  <c r="Q123" i="3"/>
  <c r="P123" i="3"/>
  <c r="R123" i="3" s="1"/>
  <c r="G123" i="3"/>
  <c r="Q122" i="3"/>
  <c r="P122" i="3"/>
  <c r="R122" i="3" s="1"/>
  <c r="H122" i="3"/>
  <c r="G122" i="3"/>
  <c r="Q121" i="3"/>
  <c r="P121" i="3"/>
  <c r="R121" i="3" s="1"/>
  <c r="G121" i="3"/>
  <c r="Q120" i="3"/>
  <c r="P120" i="3"/>
  <c r="R120" i="3" s="1"/>
  <c r="G120" i="3"/>
  <c r="Q119" i="3"/>
  <c r="P119" i="3"/>
  <c r="R119" i="3" s="1"/>
  <c r="G119" i="3"/>
  <c r="Q118" i="3"/>
  <c r="P118" i="3"/>
  <c r="R118" i="3" s="1"/>
  <c r="G118" i="3"/>
  <c r="Q117" i="3"/>
  <c r="P117" i="3"/>
  <c r="R117" i="3" s="1"/>
  <c r="G117" i="3"/>
  <c r="Q116" i="3"/>
  <c r="P116" i="3"/>
  <c r="R116" i="3" s="1"/>
  <c r="G116" i="3"/>
  <c r="Q115" i="3"/>
  <c r="P115" i="3"/>
  <c r="R115" i="3" s="1"/>
  <c r="G115" i="3"/>
  <c r="Q114" i="3"/>
  <c r="P114" i="3"/>
  <c r="R114" i="3" s="1"/>
  <c r="G114" i="3"/>
  <c r="Q113" i="3"/>
  <c r="P113" i="3"/>
  <c r="R113" i="3" s="1"/>
  <c r="G113" i="3"/>
  <c r="Q112" i="3"/>
  <c r="P112" i="3"/>
  <c r="R112" i="3" s="1"/>
  <c r="G112" i="3"/>
  <c r="Q111" i="3"/>
  <c r="P111" i="3"/>
  <c r="R111" i="3" s="1"/>
  <c r="G111" i="3"/>
  <c r="Q110" i="3"/>
  <c r="P110" i="3"/>
  <c r="R110" i="3" s="1"/>
  <c r="H110" i="3"/>
  <c r="G110" i="3"/>
  <c r="R109" i="3"/>
  <c r="Q109" i="3"/>
  <c r="P109" i="3"/>
  <c r="G109" i="3"/>
  <c r="Q108" i="3"/>
  <c r="P108" i="3"/>
  <c r="R108" i="3" s="1"/>
  <c r="G108" i="3"/>
  <c r="R107" i="3"/>
  <c r="Q107" i="3"/>
  <c r="P107" i="3"/>
  <c r="G107" i="3"/>
  <c r="Q106" i="3"/>
  <c r="P106" i="3"/>
  <c r="R106" i="3" s="1"/>
  <c r="G106" i="3"/>
  <c r="R105" i="3"/>
  <c r="Q105" i="3"/>
  <c r="P105" i="3"/>
  <c r="G105" i="3"/>
  <c r="Q104" i="3"/>
  <c r="P104" i="3"/>
  <c r="R104" i="3" s="1"/>
  <c r="G104" i="3"/>
  <c r="R103" i="3"/>
  <c r="Q103" i="3"/>
  <c r="P103" i="3"/>
  <c r="G103" i="3"/>
  <c r="Q102" i="3"/>
  <c r="P102" i="3"/>
  <c r="R102" i="3" s="1"/>
  <c r="G102" i="3"/>
  <c r="R101" i="3"/>
  <c r="Q101" i="3"/>
  <c r="P101" i="3"/>
  <c r="G101" i="3"/>
  <c r="Q100" i="3"/>
  <c r="P100" i="3"/>
  <c r="R100" i="3" s="1"/>
  <c r="G100" i="3"/>
  <c r="R99" i="3"/>
  <c r="Q99" i="3"/>
  <c r="P99" i="3"/>
  <c r="G99" i="3"/>
  <c r="Q98" i="3"/>
  <c r="P98" i="3"/>
  <c r="R98" i="3" s="1"/>
  <c r="G98" i="3"/>
  <c r="R97" i="3"/>
  <c r="Q97" i="3"/>
  <c r="P97" i="3"/>
  <c r="G97" i="3"/>
  <c r="Q96" i="3"/>
  <c r="P96" i="3"/>
  <c r="R96" i="3" s="1"/>
  <c r="G96" i="3"/>
  <c r="R95" i="3"/>
  <c r="Q95" i="3"/>
  <c r="P95" i="3"/>
  <c r="G95" i="3"/>
  <c r="Q94" i="3"/>
  <c r="P94" i="3"/>
  <c r="R94" i="3" s="1"/>
  <c r="G94" i="3"/>
  <c r="Q93" i="3"/>
  <c r="P93" i="3"/>
  <c r="R93" i="3" s="1"/>
  <c r="G93" i="3"/>
  <c r="Q92" i="3"/>
  <c r="P92" i="3"/>
  <c r="R92" i="3" s="1"/>
  <c r="G92" i="3"/>
  <c r="R91" i="3"/>
  <c r="Q91" i="3"/>
  <c r="P91" i="3"/>
  <c r="G91" i="3"/>
  <c r="Q90" i="3"/>
  <c r="P90" i="3"/>
  <c r="R90" i="3" s="1"/>
  <c r="G90" i="3"/>
  <c r="R89" i="3"/>
  <c r="Q89" i="3"/>
  <c r="P89" i="3"/>
  <c r="G89" i="3"/>
  <c r="Q88" i="3"/>
  <c r="P88" i="3"/>
  <c r="R88" i="3" s="1"/>
  <c r="G88" i="3"/>
  <c r="R87" i="3"/>
  <c r="Q87" i="3"/>
  <c r="P87" i="3"/>
  <c r="G87" i="3"/>
  <c r="Q86" i="3"/>
  <c r="P86" i="3"/>
  <c r="R86" i="3" s="1"/>
  <c r="H86" i="3"/>
  <c r="G86" i="3"/>
  <c r="R85" i="3"/>
  <c r="Q85" i="3"/>
  <c r="P85" i="3"/>
  <c r="H85" i="3"/>
  <c r="G85" i="3"/>
  <c r="Q84" i="3"/>
  <c r="P84" i="3"/>
  <c r="R84" i="3" s="1"/>
  <c r="H84" i="3"/>
  <c r="G84" i="3"/>
  <c r="Q83" i="3"/>
  <c r="P83" i="3"/>
  <c r="R83" i="3" s="1"/>
  <c r="H83" i="3"/>
  <c r="G83" i="3"/>
  <c r="R82" i="3"/>
  <c r="Q82" i="3"/>
  <c r="P82" i="3"/>
  <c r="H82" i="3"/>
  <c r="G82" i="3"/>
  <c r="Q81" i="3"/>
  <c r="P81" i="3"/>
  <c r="R81" i="3" s="1"/>
  <c r="Q80" i="3"/>
  <c r="P80" i="3"/>
  <c r="R80" i="3" s="1"/>
  <c r="G80" i="3"/>
  <c r="R79" i="3"/>
  <c r="Q79" i="3"/>
  <c r="P79" i="3"/>
  <c r="H79" i="3"/>
  <c r="G79" i="3"/>
  <c r="Q78" i="3"/>
  <c r="P78" i="3"/>
  <c r="R78" i="3" s="1"/>
  <c r="H78" i="3"/>
  <c r="G78" i="3"/>
  <c r="Q77" i="3"/>
  <c r="P77" i="3"/>
  <c r="R77" i="3" s="1"/>
  <c r="H77" i="3"/>
  <c r="G77" i="3"/>
  <c r="Q76" i="3"/>
  <c r="P76" i="3"/>
  <c r="R76" i="3" s="1"/>
  <c r="H76" i="3"/>
  <c r="G76" i="3"/>
  <c r="Q75" i="3"/>
  <c r="P75" i="3"/>
  <c r="R75" i="3" s="1"/>
  <c r="G75" i="3"/>
  <c r="R74" i="3"/>
  <c r="Q74" i="3"/>
  <c r="P74" i="3"/>
  <c r="G74" i="3"/>
  <c r="Q73" i="3"/>
  <c r="P73" i="3"/>
  <c r="R73" i="3" s="1"/>
  <c r="G73" i="3"/>
  <c r="R72" i="3"/>
  <c r="Q72" i="3"/>
  <c r="P72" i="3"/>
  <c r="G72" i="3"/>
  <c r="Q71" i="3"/>
  <c r="P71" i="3"/>
  <c r="R71" i="3" s="1"/>
  <c r="H71" i="3"/>
  <c r="G71" i="3"/>
  <c r="R70" i="3"/>
  <c r="Q70" i="3"/>
  <c r="P70" i="3"/>
  <c r="H70" i="3"/>
  <c r="G70" i="3"/>
  <c r="Q69" i="3"/>
  <c r="P69" i="3"/>
  <c r="R69" i="3" s="1"/>
  <c r="H69" i="3"/>
  <c r="G69" i="3"/>
  <c r="Q68" i="3"/>
  <c r="P68" i="3"/>
  <c r="R68" i="3" s="1"/>
  <c r="G68" i="3"/>
  <c r="Q67" i="3"/>
  <c r="P67" i="3"/>
  <c r="R67" i="3" s="1"/>
  <c r="H67" i="3"/>
  <c r="G67" i="3"/>
  <c r="R66" i="3"/>
  <c r="Q66" i="3"/>
  <c r="P66" i="3"/>
  <c r="H66" i="3"/>
  <c r="G66" i="3"/>
  <c r="R65" i="3"/>
  <c r="Q65" i="3"/>
  <c r="P65" i="3"/>
  <c r="G65" i="3"/>
  <c r="R64" i="3"/>
  <c r="Q64" i="3"/>
  <c r="P64" i="3"/>
  <c r="G64" i="3"/>
  <c r="R63" i="3"/>
  <c r="Q63" i="3"/>
  <c r="P63" i="3"/>
  <c r="G63" i="3"/>
  <c r="R62" i="3"/>
  <c r="Q62" i="3"/>
  <c r="P62" i="3"/>
  <c r="G62" i="3"/>
  <c r="Q61" i="3"/>
  <c r="P61" i="3"/>
  <c r="R61" i="3" s="1"/>
  <c r="G61" i="3"/>
  <c r="R60" i="3"/>
  <c r="Q60" i="3"/>
  <c r="P60" i="3"/>
  <c r="H60" i="3"/>
  <c r="G60" i="3"/>
  <c r="Q59" i="3"/>
  <c r="P59" i="3"/>
  <c r="R59" i="3" s="1"/>
  <c r="H59" i="3"/>
  <c r="G59" i="3"/>
  <c r="Q58" i="3"/>
  <c r="P58" i="3"/>
  <c r="R58" i="3" s="1"/>
  <c r="G58" i="3"/>
  <c r="Q57" i="3"/>
  <c r="P57" i="3"/>
  <c r="R57" i="3" s="1"/>
  <c r="H57" i="3"/>
  <c r="G57" i="3"/>
  <c r="R56" i="3"/>
  <c r="Q56" i="3"/>
  <c r="P56" i="3"/>
  <c r="G56" i="3"/>
  <c r="Q55" i="3"/>
  <c r="P55" i="3"/>
  <c r="R55" i="3" s="1"/>
  <c r="G55" i="3"/>
  <c r="R54" i="3"/>
  <c r="Q54" i="3"/>
  <c r="P54" i="3"/>
  <c r="G54" i="3"/>
  <c r="Q53" i="3"/>
  <c r="P53" i="3"/>
  <c r="R53" i="3" s="1"/>
  <c r="G53" i="3"/>
  <c r="R52" i="3"/>
  <c r="Q52" i="3"/>
  <c r="P52" i="3"/>
  <c r="G52" i="3"/>
  <c r="Q51" i="3"/>
  <c r="P51" i="3"/>
  <c r="R51" i="3" s="1"/>
  <c r="G51" i="3"/>
  <c r="R50" i="3"/>
  <c r="Q50" i="3"/>
  <c r="P50" i="3"/>
  <c r="G50" i="3"/>
  <c r="Q49" i="3"/>
  <c r="P49" i="3"/>
  <c r="R49" i="3" s="1"/>
  <c r="G49" i="3"/>
  <c r="R48" i="3"/>
  <c r="Q48" i="3"/>
  <c r="P48" i="3"/>
  <c r="G48" i="3"/>
  <c r="Q47" i="3"/>
  <c r="P47" i="3"/>
  <c r="R47" i="3" s="1"/>
  <c r="G47" i="3"/>
  <c r="R46" i="3"/>
  <c r="Q46" i="3"/>
  <c r="P46" i="3"/>
  <c r="H46" i="3"/>
  <c r="G46" i="3"/>
  <c r="Q45" i="3"/>
  <c r="P45" i="3"/>
  <c r="R45" i="3" s="1"/>
  <c r="H45" i="3"/>
  <c r="G45" i="3"/>
  <c r="Q44" i="3"/>
  <c r="P44" i="3"/>
  <c r="R44" i="3" s="1"/>
  <c r="H44" i="3"/>
  <c r="G44" i="3"/>
  <c r="Q43" i="3"/>
  <c r="P43" i="3"/>
  <c r="R43" i="3" s="1"/>
  <c r="H43" i="3"/>
  <c r="G43" i="3"/>
  <c r="Q41" i="3"/>
  <c r="P41" i="3"/>
  <c r="R41" i="3" s="1"/>
  <c r="H41" i="3"/>
  <c r="G41" i="3"/>
  <c r="R40" i="3"/>
  <c r="Q40" i="3"/>
  <c r="P40" i="3"/>
  <c r="H40" i="3"/>
  <c r="G40" i="3"/>
  <c r="Q38" i="3"/>
  <c r="P38" i="3"/>
  <c r="R38" i="3" s="1"/>
  <c r="G38" i="3"/>
  <c r="Q37" i="3"/>
  <c r="P37" i="3"/>
  <c r="R37" i="3" s="1"/>
  <c r="G37" i="3"/>
  <c r="Q36" i="3"/>
  <c r="P36" i="3"/>
  <c r="R36" i="3" s="1"/>
  <c r="G36" i="3"/>
  <c r="Q35" i="3"/>
  <c r="P35" i="3"/>
  <c r="R35" i="3" s="1"/>
  <c r="R34" i="3"/>
  <c r="Q34" i="3"/>
  <c r="P34" i="3"/>
  <c r="Q33" i="3"/>
  <c r="P33" i="3"/>
  <c r="R33" i="3" s="1"/>
  <c r="Q32" i="3"/>
  <c r="P32" i="3"/>
  <c r="R32" i="3" s="1"/>
  <c r="Q31" i="3"/>
  <c r="P31" i="3"/>
  <c r="R31" i="3" s="1"/>
  <c r="Q30" i="3"/>
  <c r="P30" i="3"/>
  <c r="R30" i="3" s="1"/>
  <c r="Q29" i="3"/>
  <c r="P29" i="3"/>
  <c r="R29" i="3" s="1"/>
  <c r="Q28" i="3"/>
  <c r="P28" i="3"/>
  <c r="R28" i="3" s="1"/>
  <c r="H28" i="3"/>
  <c r="G28" i="3"/>
  <c r="R27" i="3"/>
  <c r="Q27" i="3"/>
  <c r="P27" i="3"/>
  <c r="G27" i="3"/>
  <c r="R26" i="3"/>
  <c r="Q26" i="3"/>
  <c r="P26" i="3"/>
  <c r="H26" i="3"/>
  <c r="G26" i="3"/>
  <c r="Q25" i="3"/>
  <c r="P25" i="3"/>
  <c r="R25" i="3" s="1"/>
  <c r="H25" i="3"/>
  <c r="G25" i="3"/>
  <c r="Q24" i="3"/>
  <c r="P24" i="3"/>
  <c r="R24" i="3" s="1"/>
  <c r="H24" i="3"/>
  <c r="G24" i="3"/>
  <c r="Q23" i="3"/>
  <c r="P23" i="3"/>
  <c r="R23" i="3" s="1"/>
  <c r="H23" i="3"/>
  <c r="G23" i="3"/>
  <c r="Q22" i="3"/>
  <c r="P22" i="3"/>
  <c r="R22" i="3" s="1"/>
  <c r="H22" i="3"/>
  <c r="G22" i="3"/>
  <c r="R21" i="3"/>
  <c r="Q21" i="3"/>
  <c r="P21" i="3"/>
  <c r="H21" i="3"/>
  <c r="G21" i="3"/>
  <c r="Q20" i="3"/>
  <c r="P20" i="3"/>
  <c r="R20" i="3" s="1"/>
  <c r="H20" i="3"/>
  <c r="G20" i="3"/>
  <c r="Q19" i="3"/>
  <c r="P19" i="3"/>
  <c r="R19" i="3" s="1"/>
  <c r="H19" i="3"/>
  <c r="G19" i="3"/>
  <c r="R18" i="3"/>
  <c r="Q18" i="3"/>
  <c r="P18" i="3"/>
  <c r="H18" i="3"/>
  <c r="G18" i="3"/>
  <c r="R17" i="3"/>
  <c r="Q17" i="3"/>
  <c r="P17" i="3"/>
  <c r="H17" i="3"/>
  <c r="G17" i="3"/>
  <c r="Q16" i="3"/>
  <c r="P16" i="3"/>
  <c r="R16" i="3" s="1"/>
  <c r="G16" i="3"/>
  <c r="Q15" i="3"/>
  <c r="P15" i="3"/>
  <c r="R15" i="3" s="1"/>
  <c r="G15" i="3"/>
  <c r="Q13" i="3"/>
  <c r="P13" i="3"/>
  <c r="R13" i="3" s="1"/>
  <c r="H13" i="3"/>
  <c r="G13" i="3"/>
  <c r="Q12" i="3"/>
  <c r="P12" i="3"/>
  <c r="R12" i="3" s="1"/>
  <c r="H12" i="3"/>
  <c r="G12" i="3"/>
  <c r="R11" i="3"/>
  <c r="Q11" i="3"/>
  <c r="P11" i="3"/>
  <c r="H11" i="3"/>
  <c r="G11" i="3"/>
  <c r="R10" i="3"/>
  <c r="Q10" i="3"/>
  <c r="P10" i="3"/>
  <c r="H10" i="3"/>
  <c r="G10" i="3"/>
  <c r="Q9" i="3"/>
  <c r="P9" i="3"/>
  <c r="R9" i="3" s="1"/>
  <c r="H9" i="3"/>
  <c r="G9" i="3"/>
  <c r="Q8" i="3"/>
  <c r="P8" i="3"/>
  <c r="R8" i="3" s="1"/>
  <c r="H8" i="3"/>
  <c r="G8" i="3"/>
  <c r="R7" i="3"/>
  <c r="Q7" i="3"/>
  <c r="Q6" i="3"/>
  <c r="P6" i="3"/>
  <c r="R6" i="3" s="1"/>
  <c r="H6" i="3"/>
  <c r="G6" i="3"/>
  <c r="Q5" i="3"/>
  <c r="P5" i="3"/>
  <c r="R5" i="3" s="1"/>
  <c r="H5" i="3"/>
  <c r="G5" i="3"/>
  <c r="R4" i="3"/>
  <c r="Q4" i="3"/>
  <c r="P4" i="3"/>
  <c r="G4" i="3"/>
  <c r="Q3" i="3"/>
  <c r="P3" i="3"/>
  <c r="R3" i="3" s="1"/>
  <c r="G3" i="3"/>
  <c r="J78" i="16" l="1"/>
  <c r="O2" i="1" s="1"/>
  <c r="I17" i="15"/>
  <c r="N2" i="1" s="1"/>
  <c r="I53" i="13"/>
  <c r="L2" i="1" s="1"/>
  <c r="I29" i="12"/>
  <c r="K2" i="1" s="1"/>
  <c r="I21" i="11"/>
  <c r="J2" i="1" s="1"/>
  <c r="I47" i="10"/>
  <c r="I2" i="1" s="1"/>
  <c r="I68" i="8"/>
  <c r="G2" i="1" s="1"/>
  <c r="R434" i="6"/>
  <c r="E2" i="1" s="1"/>
  <c r="R186" i="4"/>
  <c r="C2" i="1" s="1"/>
  <c r="R144" i="3"/>
  <c r="B2" i="1" s="1"/>
  <c r="R314" i="5"/>
  <c r="D2" i="1" s="1"/>
  <c r="I117" i="9"/>
  <c r="H2" i="1" s="1"/>
  <c r="G273" i="17"/>
  <c r="P2" i="1" s="1"/>
  <c r="K83" i="14"/>
  <c r="M2" i="1" s="1"/>
  <c r="J31" i="18"/>
  <c r="Q2" i="1" s="1"/>
  <c r="I45" i="7"/>
  <c r="F2" i="1" s="1"/>
  <c r="A2" i="1" l="1"/>
</calcChain>
</file>

<file path=xl/comments1.xml><?xml version="1.0" encoding="utf-8"?>
<comments xmlns="http://schemas.openxmlformats.org/spreadsheetml/2006/main">
  <authors>
    <author/>
  </authors>
  <commentList>
    <comment ref="H335" authorId="0">
      <text>
        <r>
          <rPr>
            <sz val="10"/>
            <color rgb="FF000000"/>
            <rFont val="Arial"/>
          </rPr>
          <t>The GSAM does not include 549.406--it supplements/implements 549.402 only. I would suggest using 549.402-7 Other Damages as this appears to include the cost elements to include in any repurchase resulting from a termination
	-Christopher Hardcastle - QMA</t>
        </r>
      </text>
    </comment>
  </commentList>
</comments>
</file>

<file path=xl/sharedStrings.xml><?xml version="1.0" encoding="utf-8"?>
<sst xmlns="http://schemas.openxmlformats.org/spreadsheetml/2006/main" count="15553" uniqueCount="8854">
  <si>
    <t>Self Assessment Total Score</t>
  </si>
  <si>
    <t>Roles/Personas</t>
  </si>
  <si>
    <t xml:space="preserve">FIBF Activity No. </t>
  </si>
  <si>
    <t>FIBF Activity</t>
  </si>
  <si>
    <t>Acquisition Planning</t>
  </si>
  <si>
    <t>FIBF Description</t>
  </si>
  <si>
    <t>FAI 1102 BP Cross-Reference</t>
  </si>
  <si>
    <t>Defining Standard Business Processes</t>
  </si>
  <si>
    <t>Definition</t>
  </si>
  <si>
    <t>Authoritative Reference - FAR</t>
  </si>
  <si>
    <t>Acquisition Package Preparation</t>
  </si>
  <si>
    <t>Source Selection</t>
  </si>
  <si>
    <t>ACO</t>
  </si>
  <si>
    <t>Contract Admin</t>
  </si>
  <si>
    <t>Authoritative Reference - 
Agency Supplement</t>
  </si>
  <si>
    <t>Clause Logic</t>
  </si>
  <si>
    <t>Contracting officer means a person with the authority to enter into, administer, and/or terminate contracts and make related determinations and findings. The term includes certain authorized representatives of the contracting officer acting within the limits of their authority as delegated by the contracting officer. “Administrative contracting officer (ACO)” refers to a contracting officer who is administering contracts. A single contracting officer may be responsible for duties in any or all of these areas. An ACO typically is delegated contract administration activities such as mass modifications and subcontracting plan tracking.</t>
  </si>
  <si>
    <t>Workflow Management</t>
  </si>
  <si>
    <t>General</t>
  </si>
  <si>
    <t>Functional Task / Subtask Number from Process Maps</t>
  </si>
  <si>
    <t>Third Party Systems</t>
  </si>
  <si>
    <t>Digital/Electronic Signatures</t>
  </si>
  <si>
    <t>Records Management (ECF)</t>
  </si>
  <si>
    <t>Agency point of contact</t>
  </si>
  <si>
    <t>Vendor Portal</t>
  </si>
  <si>
    <t>Agency Point of Contact (POC) is the individual (or their delegate) responsible for unsolicited proposals. For GSA this is currently managed by the SPE.</t>
  </si>
  <si>
    <t>System</t>
  </si>
  <si>
    <t>Analyst</t>
  </si>
  <si>
    <t>Customer Portal</t>
  </si>
  <si>
    <t>Financial Management</t>
  </si>
  <si>
    <t>CTAG</t>
  </si>
  <si>
    <t>Acquisition Phase from Process Maps</t>
  </si>
  <si>
    <t>Catalog Management</t>
  </si>
  <si>
    <t>Identifying Number</t>
  </si>
  <si>
    <t>System Requirement</t>
  </si>
  <si>
    <t>Conducts cost/price analysis. May also runs various data reports related to contract awards, Sales, IFF, and monitors performance measures such as PALT, budget, and small business goals.</t>
  </si>
  <si>
    <t>User Story</t>
  </si>
  <si>
    <t>Auditor</t>
  </si>
  <si>
    <t>Auditors are responsible for the review, inspection and auditing of contracts</t>
  </si>
  <si>
    <t>Acceptance Criteria</t>
  </si>
  <si>
    <t>Category Office User</t>
  </si>
  <si>
    <t>Category managers are responsible for identifying inefficient purchasing behavior and crafting smarter buying strategies within specific areas of spend as described in Government-wide Category Management, Guidance Document issued by the Office of Management Budget, available at https://hallways.cap.gsa.gov/information/Gov-wide_CM_Guidance_V1.pdf. FAS category management office user with responsibility for a particular spending category portfolio based on defined logical product and/or service categories. Will have access to data based on their assigned categories and/or sub-categories.</t>
  </si>
  <si>
    <t>CFAO</t>
  </si>
  <si>
    <t>Cognizant Federal agency official (CFAO) means the contracting officer assigned by the cognizant Federal agency to administer the CAS</t>
  </si>
  <si>
    <t>Self Assessment</t>
  </si>
  <si>
    <t>Chief of the Contracting Office</t>
  </si>
  <si>
    <t>Self Assessment Score</t>
  </si>
  <si>
    <t>Bonus Score</t>
  </si>
  <si>
    <t>Total Score</t>
  </si>
  <si>
    <t>CO</t>
  </si>
  <si>
    <t>Contracting officer means a person with the authority to enter into, administer, and/or terminate contracts and make related determinations and findings.</t>
  </si>
  <si>
    <t>CO/CS</t>
  </si>
  <si>
    <t>Contracting officer means a person with the authority to enter into, administer, and/or terminate contracts and make related determinations and findings. A Contract Specialist means a person who performs the same duties as a Contracting Officer but lacks the warrant authority to legally commit the Government or make related determinations and findings.</t>
  </si>
  <si>
    <t>Competition Advocate</t>
  </si>
  <si>
    <t>The role of an Advocate for Competition is to promote the acquisition of commercial items, promoting full and open competition, challenging requirements that are not stated in terms of functions to be performed, performance required or essential physical characteristics, and challenging barriers to the acquisition of commercial items and full and open competition such as unnecessarily restrictive statements of work, unnecessarily detailed specifications, and unnecessarily burdensome contract clauses.</t>
  </si>
  <si>
    <t>Contracting Director</t>
  </si>
  <si>
    <t xml:space="preserve"> (a)  Except in the Federal Acquisition Service (FAS), a director of a Central Office or Regional office Division responsible for performing contracting or contract administration functions.
      (b)  In FAS Central Office—
            (1)  The Assistant Commissioner for Assisted Acquisition Services or designee;
            (2)  The Assistant Commissioner for General Supplies and Services or designee;
            (3)  The Assistant Commissioner for Integrated Technology Services or designee;
            (4)  The Assistant Commissioner for Travel, Motor Vehicle and Card Services or designee; and
            (5)  The Assistant Commissioner for Acquisition Management or designee for support offices with contracting functions.
      (c)  In FAS Regions, the Assistant Regional Commissioner or designee.</t>
  </si>
  <si>
    <t>Contractor</t>
  </si>
  <si>
    <t>A contractor is a business entity that has received a contract to provide materials or labor to perform a service or do a job for the government (post award).</t>
  </si>
  <si>
    <t>Input</t>
  </si>
  <si>
    <t>COR</t>
  </si>
  <si>
    <t>“Contracting officer’s representative (COR)” means an individual, including a contracting officer’s technical representative (COTR), designated and authorized in writing by the contracting officer to perform specific technical or administrative functions.</t>
  </si>
  <si>
    <t>CS</t>
  </si>
  <si>
    <t>A Contract Specialist means a person who performs the same duties as a Contracting Officer but lacks the warrant authority to legally commit the Government or make related determinations and findings.</t>
  </si>
  <si>
    <t>Customer</t>
  </si>
  <si>
    <t>A customer can be government agencies engaging GSA for acquisition services or GSA internal program offices.</t>
  </si>
  <si>
    <t>FAS</t>
  </si>
  <si>
    <t>Federal Acquisition Service (FAS)</t>
  </si>
  <si>
    <t>Output</t>
  </si>
  <si>
    <t>Funds Certifying Official</t>
  </si>
  <si>
    <t>Funds Certifying Official validates accounting strings and certifies the commitment for purchase requests (PRs).</t>
  </si>
  <si>
    <t>General Counsel</t>
  </si>
  <si>
    <t>GSA legal office users responsible for providing legal advice on government acquisition and contracts</t>
  </si>
  <si>
    <t>HCA</t>
  </si>
  <si>
    <t>“Head of the contracting activity” means the Senior Procurement Executive (SPE); the Commissioners and Deputy Commissioners of the Federal Acquisition Service (FAS) and the Public Buildings Service (PBS); or their re-delegates. The Chief Administrative Services Officer serves as the HCA for the Internal Acquisition Division within the Office of Administrative Services. These officials serve within the limits of their delegated authority. The HCA delegations may be found on GSA’s Acquisition Portal (https://insite.gsa.gov/portal/content/638514).</t>
  </si>
  <si>
    <t>IOA/Inspector</t>
  </si>
  <si>
    <t>Industrial Operations Analyst (IOA) means a person that is responsible for performing contract administration function for GSA Federal Supply Schedules. They conduct periodic contractor assessments to ensure ongoing adherence to critical compliance factors, such as accurate IFF remittance, TAA, and GSA-approved contract pricing for over MAS contracts.</t>
  </si>
  <si>
    <t>Payment Office</t>
  </si>
  <si>
    <t>A user who receives and approves demand for payment and similar documents.</t>
  </si>
  <si>
    <t>PMO</t>
  </si>
  <si>
    <t>Program Management Office (PMO) are project managers or program management offices who are responsible of defining requirements/needs for the procurement and manages a program or project.</t>
  </si>
  <si>
    <t>Potential Offeror</t>
  </si>
  <si>
    <t>Someone that wants to do business with the Government</t>
  </si>
  <si>
    <t>Requisitioner</t>
  </si>
  <si>
    <t>A user who submit and approve PR, requisitions or similar documents.</t>
  </si>
  <si>
    <t>Reviewer/Approver</t>
  </si>
  <si>
    <t>A reviewer formally assesses or examines actions with a view to changing it if necessary and/or approves/rejects it. Reviewers can consist of all participants in Government acquisition including not only representatives of the technical, financial, supply, and procurement communities but also the customers they serve. The make up (i.e. member) of a reviewer can change action by action throughout the acquisition lifecycle.</t>
  </si>
  <si>
    <t>ACQ.010.010</t>
  </si>
  <si>
    <t>SBTA</t>
  </si>
  <si>
    <t>The Associate Administrator of the Office of Small Business Utilization delegates duties to Small Business Technical Advisors (SBTAs) for each region through written appointment. All references to SBTA in this part refer to the SBTA designated to support his/her service or region, whichever is applicable. Small Business Technical Adviser is an analyst who acts in accordance with agency regulations. Develops and encourages opportunities for small business concerns within the various socioeconomic programs by providing information regarding means for doing business with the Federal Government, including assistance available from Federal agencies.</t>
  </si>
  <si>
    <t>SPE</t>
  </si>
  <si>
    <t>Senior procurement executive means the individual appointed pursuant to 41 U.S.C. 1702(c) who is responsible for management direction of the acquisition system of the executive agency, including implementation of the unique acquisition policies, regulations, and standards of the executive agency.</t>
  </si>
  <si>
    <t>Supervisor/Manager/One Level Above the CO</t>
  </si>
  <si>
    <t>A frequent user of the system who primarily reviews documents or actions in process and functions as a reviewer or approver and requires visibility into the workload and transactions at various phases of the entire acquisition life cycle. This user typically plays a significant role in any workflow approval processes so that documents can be routed to the next phase in the lifecycle.</t>
  </si>
  <si>
    <t>Supplier</t>
  </si>
  <si>
    <t>Requirements Development</t>
  </si>
  <si>
    <t>Supplies products/services with or without a contract - can be open market purchases.</t>
  </si>
  <si>
    <t>Identify and document requirements the acquisition must meet to satisfy the government's needs; Includes developing business/system requirements and technical specifications</t>
  </si>
  <si>
    <t>System Administrator</t>
  </si>
  <si>
    <t>A system administrator, or sysadmin, is a person who is responsible for the upkeep, configuration, and reliable operation of computer systems; especially multi-user computers, such as servers. The system administrator seeks to ensure that the uptime, performance, resources, and security of the computers they manage meet the needs of the users, without exceeding a set budget when doing so.</t>
  </si>
  <si>
    <t>TCO</t>
  </si>
  <si>
    <t>“Contracting officer” means a person with the authority to enter into, administer, and/or terminate contracts and make related determinations and findings. The term includes certain authorized representatives of the contracting officer acting within the limits of their authority as delegated by the contracting officer. “Termination contracting officer (TCO)” refers to a contracting officer who is settling terminated contracts.</t>
  </si>
  <si>
    <t>Team Member</t>
  </si>
  <si>
    <t>The Acquisition Team consists of all participants in Government acquisition including not only representatives of the technical, supply, and procurement communities but also the customers they serve, and the contractors who provide the products and services. The make up (i.e. member) of the team can change action by action throughout the acquisition lifecycle.</t>
  </si>
  <si>
    <t>User / Authorized User</t>
  </si>
  <si>
    <t>User is any general user of the CALM system. Authorized user is used in instances where user story context was needed to emphasize enhanced or special access controls.</t>
  </si>
  <si>
    <t>Vendor</t>
  </si>
  <si>
    <t>Activity 1 - Customer Business Analysis and Acquisition Strategy; Task 1</t>
  </si>
  <si>
    <t>Vendor includes potential contractors/business organizations and industry partners who are interested or receiving federal government contracts (pre-award) or already have contracts. The term is used interchangeably with supplier.</t>
  </si>
  <si>
    <t>Identify the contracting activity’s customer base and related mission. Determine the customer need and form a team that addresses the current acquisition needs of the organization.</t>
  </si>
  <si>
    <t>Project Charter / Memorandum of Understanding Template</t>
  </si>
  <si>
    <t>1.2.1
1.3.1
1.3.1.1
1.6.1</t>
  </si>
  <si>
    <t>1.0 - Requirements Definition</t>
  </si>
  <si>
    <t>AP - 01</t>
  </si>
  <si>
    <t>Enable users to receive, identify, assign, track, and report customer information. Enable users to collaborate with acquisition team members on the project (including reviews, revisions, routing, and approval of actions). Document the contract file (Tab 1, Procurement Request/Funding Certification).</t>
  </si>
  <si>
    <t>As a customer (part of the acquisition team), I need to be able to send requirements to acquisition team members in an acceptable format. 
As the Program Management Officer (PMO and part of the acquisition team), I need to be able to intake and manage customer accounts (e.g., assign, track, report and document). I also need to be able to understand the customer's mission and needs so I can form the right team of professionals to successfully fulfill the customer's requirements. 
As an acquisition team member (such as customers, reviewers, managers, SBTA, general counsel, HCA, SPE, Contracting Director, PMO), I need to be able to collaborate with the acquisition team and review, revise, comment, approve (as appropriate) and route actions.
As a Contracting Officer/Contract Specialist (CO/CS and part of the acquisition team), I need to understand the customer's mission and needs so I can plot the acquisition strategy that will best fulfill the customer's requirements. I will also need to create a contract file for the project with the artifacts from this activity so I can manage my entire acquisition file in one, central system. I need the ability to collaborate with the acquisition team as well as review, revise, comment, approve (as appropriate) and route actions. I also need to document the contract file.
As a manager (part of the acquisition team), I need to be able to assign, track, and report work in process by customer and by employee. I also need to extract data from the system to respond to inquiries and data calls.</t>
  </si>
  <si>
    <t>Ensure system can efficiently:
- Intake customer requirements and information
- Identify, assign, track, report, and file customer information
- Enable team collaboration
- create an electronic record for the contract file
- Enable management oversight</t>
  </si>
  <si>
    <t>Activity 1 - Customer Business Analysis and Acquisition Strategy; Task 2</t>
  </si>
  <si>
    <t>Advise customers on their acquisition-related roles and responsibilities.</t>
  </si>
  <si>
    <t>Roles and responsibilities document; Memorandum of Understanding (MOU) or Interagency Agreement (IA), as appropriate</t>
  </si>
  <si>
    <t>ACQ.020.010</t>
  </si>
  <si>
    <t>Procurement Request (PR) Processing</t>
  </si>
  <si>
    <t>Develop, submit/receive, review, and approve request for acquisition of goods/services, including requirements, estimated costs, and funding sources; Verify availability of and reserve/commit funds; Includes purchase requests and requisitions</t>
  </si>
  <si>
    <t>Activity 3 - Procurement Requests and Funding; Task 1</t>
  </si>
  <si>
    <t>Advise customers on the completeness and accuracy of the procurement request. Determine if the contract is incrementally or fully funded, and accurately explain the effect of omissions and deficiencies on the acquisition process.</t>
  </si>
  <si>
    <t>Procurement request</t>
  </si>
  <si>
    <t>1.1.2.2
1.2.1
1.6.1</t>
  </si>
  <si>
    <t>AP - 02</t>
  </si>
  <si>
    <t>Enable users to capture roles and responsibilities in the acquisition and permit revisions thereto. Document the contract file (Tab 1, Procurement Request/Funding Certification).</t>
  </si>
  <si>
    <t>As the PMO, I need to ensure swim lanes are properly defined and the terms of engagement are captured so expectations and outcomes are clear and that my CO/CS has what he/she needs to begin action.
As a CO/CS, I need to ensure the MOU or IA meets the authoritative requirements in FAR 17.5 for such agreements so I can begin an acquisition and document the contract file.</t>
  </si>
  <si>
    <t>Ensure system can efficiently:
- Create from a template/upload or import a document (hereinafter create) roles and responsibilities
- Enable edits/revisions to such documents
- Access information in the contract file and export it if necessary</t>
  </si>
  <si>
    <t>Activity 1 - Customer Business Analysis and Acquisition Strategy; Task 3</t>
  </si>
  <si>
    <t>Advise customers on procurement integrity requirements.</t>
  </si>
  <si>
    <t>Procurement integrity briefing, organizational conflicts of interest and non-disclosure agreements</t>
  </si>
  <si>
    <t>1.5.1
1.5.2
1.6.1</t>
  </si>
  <si>
    <t>APP - 01</t>
  </si>
  <si>
    <t>Enable users to record advice given to customers regarding the completeness and accuracy of the procurement request, including omissions and deficiencies through the customer portal. Record the determination whether the contract is incrementally or fully funded with the package package. Make data available for viewing in the contract file (Tab 1, Purchase Request/ Funding Certification) and provide the ability to export the data as a web-form or similar structured manner.</t>
  </si>
  <si>
    <t>As a customer, I need to review the advice given to me by the servicing agency and respond accordingly so I can ensure I submit a proper procurement request.
As the PMO, I need to be able to collaborate with customers on their procurement request to ensure we have what we need to support their acquisition.
As a CO/CS, I need to be able to collaborate with my PMO and the customer on their procurement request to support their acquisition needs and comply with the authoritative references. I need to be able to determine how the contract is funded. I also need to be able to access the information in the contract file and export it if necessary.</t>
  </si>
  <si>
    <t>Ensure system can efficiently:
- Record the advice given to customers
- Enable team collaboration
- Access information in the contract file and export it if necessary</t>
  </si>
  <si>
    <t>1.3.2
1.6.1</t>
  </si>
  <si>
    <t>AP - 03</t>
  </si>
  <si>
    <t>Enable users to capture the advice given to customers to include but not be limited to procurement integrity briefings, organizational conflicts of interest and non-disclosure agreements, templates/data/forms for review, approval and signature. Document the contract file (Tab 3, Acquisition Strategy).</t>
  </si>
  <si>
    <t xml:space="preserve">As a member of the acquisition team, I need to understand procurement integrity and ethics and document my acknowledgement of the procurement integrity briefing so my CO/CS may document the contract file.
As a CO/CS, I need to create and route procurement integrity information in order to capture the acquisition team's understanding and acknowledgement of procurement integrity. I also need to route and secure OCI and NDAs to ensure acquisition team members have no issues impacting integrity. I need to be able to track routing and completion progress. I also need to maintain the identity of individuals authorized access to contractor bid or proposal information and source selection information and document the contract file. </t>
  </si>
  <si>
    <t>Ensure system can efficiently:
- Create the procurement integrity briefing
- Create OCIs and NDAs
- Route information and track progress
- Access information in the contract file and export it if necessary</t>
  </si>
  <si>
    <t>Activity 1 - Customer Business Analysis and Acquisition Strategy; Task 4</t>
  </si>
  <si>
    <t>Assist customers with refining their requirements for supplies and services.</t>
  </si>
  <si>
    <t>SOW, PSOW, SOO, or other customer documents</t>
  </si>
  <si>
    <t>Activity 3 - Procurement Requests and Funding; Task 2</t>
  </si>
  <si>
    <t>Identify the type of funding provided on the procurement request.</t>
  </si>
  <si>
    <t>Determination of treatment of funding document</t>
  </si>
  <si>
    <t>1.3.1.1
1.6.1</t>
  </si>
  <si>
    <t>AP - 04</t>
  </si>
  <si>
    <t xml:space="preserve">Enable users to capture customer requirements and enable collaboration of the requirements among the acquisition team. Enable users to track changes made by the acquisition team and enable the originator of the action to accept or reject changes, maintaining an audit trail. Document the contract file (Tab 2, Describing Agency Needs). </t>
  </si>
  <si>
    <t xml:space="preserve">As the customer, I need to submit my requirements and collaborate with the acquisition team to finalize my requirements so there is a clear understanding of what I need. I will approve the final action.
As the PMO, I need to help the customer finalize their requirements so my CO/CS has a good basis to develop the solicitation. This includes collaborating with team members to finalize customer requirements. I will approve the final action.
As a CO/CS, I need to ensure the Government's requirements are specified in a manner to maximize competition and only include restrictive provisions only to the extent necessary to satisfy customer needs or as permitted by law. The customer requirements will be used to form the basis of the technical requirements of the solicitation which will be documented in the contract file. </t>
  </si>
  <si>
    <t>Ensure system can efficiently:
- Create customer requirements
- Support collaboration of customer requirements and track changes for the originator to accept/reject
- Use customer requirements to draft the solicitation requirements
- Finalize the requirement and secure approvals
- Access information in the contract file and export it if necessary</t>
  </si>
  <si>
    <t>APP - 02</t>
  </si>
  <si>
    <t>Enable users to capture as part of the procurement request written assurance from the responsible fiscal authority that adequate funds are available; and the determination of the funding type and category such as whether funds are annually appropriated or revolving; and, for services, whether the required service is severable or non-severable. Integrate with the financial system of record to track funding and minimize data entry. Make data available for viewing in the contract file (Tab 1, Purchase Request/ Funding Certification) and provide the ability to export the data as a web-form or similar structured manner.</t>
  </si>
  <si>
    <t>As a customer, I need to verify funds availability, the type of funding, and the correct accounting information to the contracting office. 
As a CO/CS, I need to confirm that funding is available and what kind of funding it is so I comply with the authoritative references.  I also need to know how to interpret the accounting string.  I need to be able to communicate with the customer if I find mistakes or other inconsistencies in the submitted information. I also need to track and validate funding actions. I also need to be able to access the information in the contract file and export it if necessary.
As a COR, I need to know what the correct accounting string is and to find answers to any questions on funding rules and regulations. I also need to track and validate funding actions.</t>
  </si>
  <si>
    <t>Ensure system can efficiently:
- Intake customer documents
- Identify, assign, track, report, and file customer documents
- Enable team collaboration
- Transfer procurement request accounting information to the financial system and any downstream documents
- Access information in the contract file and export it if necessary
- Enable management oversight</t>
  </si>
  <si>
    <t>Activity 3 - Procurement Requests and Funding; Task 3</t>
  </si>
  <si>
    <t xml:space="preserve">Determine whether the procurement request is acceptable for further procurement action. </t>
  </si>
  <si>
    <t>APP - 03</t>
  </si>
  <si>
    <t>Enable users to determine that the procurement request is acceptable. Document acceptance/rejection and make data available for viewing in the contract file (Tab 1, Purchase Request/ Funding Certification) and provide the ability to export the data as a web-form or similar structured manner.</t>
  </si>
  <si>
    <t xml:space="preserve">As a customer, I need to verify my requirement is correctly represented in terms of goods and/or services to be purchased, period of performance, etc. so the required reviews and approvals have been secured.
As a CO/CS, I need to confirm the procurement request contains all of the required elements for further action (goods/services to be bought, quantities, due dates, milestones, scope of work, etc.) so I can comply with the authoritative references and accept/reject the procurement request. I need to be able to communicate with the customer if I find mistakes or other inconsistencies in the submitted information. I also need to be able to access the information in the contract file and export it if necessary.
</t>
  </si>
  <si>
    <t>Ensure system can efficiently:
- Intake customer documents
- Identify, assign, track, report, and file customer documents
- Enable team collaboration
- Create/upload the determination that a procurement request is acceptable.
- Access information in the contract file and export it if necessary</t>
  </si>
  <si>
    <t>Activity 3 - Procurement Requests and Funding; Task 4</t>
  </si>
  <si>
    <t xml:space="preserve">Identify interested parties to whom information about pending requirements may be disclosed prior to issuance of the solicitation. </t>
  </si>
  <si>
    <t>Source list</t>
  </si>
  <si>
    <t>ACQ.010.020</t>
  </si>
  <si>
    <t>Business Case Development</t>
  </si>
  <si>
    <t>Develop and document analyses of how the acquisition will be beneficial to the government; Includes developing cost/benefit/alternatives analyses</t>
  </si>
  <si>
    <t>1.1.2.1
1.6.1</t>
  </si>
  <si>
    <t>APP - 04</t>
  </si>
  <si>
    <t>Enable users to create a list of interested parties and make this data available for viewing in the contract file (Tab 7, Source List) and provide the ability to export the data as a web-form or similar structured manner.</t>
  </si>
  <si>
    <t>As CO/CS, I need to know who the interested parties are in the acquisition, so I can conduct my market research and control the proper release of the information. I also need to be able to access the source list in the contract file and export it if necessary.</t>
  </si>
  <si>
    <t>Ensure system can efficiently:
- Create/upload an interested parties list
- Access information in the contract file and export it if necessary</t>
  </si>
  <si>
    <t>Activity 3 - Procurement Requests and Funding; Task 5</t>
  </si>
  <si>
    <t>Determine whether clauses for contracting in advance of funds need to be incorporated into solicitations and contracts</t>
  </si>
  <si>
    <t>Solicitation terms and conditions</t>
  </si>
  <si>
    <t>No FAI 1102 BP equivalent</t>
  </si>
  <si>
    <t>Perform preliminary market research</t>
  </si>
  <si>
    <t>Acquisition strategy / market research report</t>
  </si>
  <si>
    <t>APP - 05</t>
  </si>
  <si>
    <t>Enable the user to create the solicitation and changes thereto in an automated fashion based on the acquisition strategy and type of contract, pulling in the appropriate clauses/provisions based on the particular circumstance of the proposed acquisition. The system needs to build the solicitation based on the acquisition strategy and contract type selected, and based on that information, pull in the mandatory and suggested clauses and provisions. The system needs to enable users to review the clause/provision prescriptions for their applicability and select/deselect clauses/provisions as appropriate. The system further needs to enable a reviewer to review and recommend revisions to the solicitation. The system also needs to enable users to copy previous solicitations as a starting point for creating new solicitations. As amendments are issued to the solicitation, the system shall create a conformed copy of the solicitation. The system needs to make the solicitation data available for viewing in the contract file (Tab 10, RFP/RFQ and Amendments) and provide the ability to export the data as a web-form or similar structured manner.</t>
  </si>
  <si>
    <t>As a CO/CS, I need the system to create my solicitation based on my acquisition strategy and contract type and pull in all required and suggested clauses and provision. I need to be able to review clause/provision prescriptions in order to determine the right terms and conditions to include in my solicitation and select/deselect the system recommendations as appropriate. This enables me to comply with the authoritative references, ensure uniformity in my acquisition, and protect the government's interests. I need to be able to copy recent solicitations to use as a template for new solicitations in lieu of using the clause logic service where it makes sense to do so. As I amend solicitations, I need to be able to have a conformed copy of the solicitation, inclusive of amendments. I also need to be able to access the solicitation in the contract file and export it if necessary. I need to be able to route the solicitation to one or more reviewers for review and editing. 
As a reviewer, I need the ability to make edits to the solicitation, recommend the addition/deletion of terms and conditions, etc., and route the solicitation back to the CO/CS.</t>
  </si>
  <si>
    <t>Ensure system can efficiently:
- Determine appropriate clauses/provisions based on the particular circumstances of the acquisition
- Select the clauses/provisions
- Build the solicitation
- Copy recent solicitations to use as the starting point for a new solicitation
- Create a conformed copy of the solicitation inclusive of amendments
- Enable routing of the solicitation
- Review and edit the solicitation
- Access information in the contract file and export it if necessary</t>
  </si>
  <si>
    <t>Activity 3 - Procurement Requests and Funding; Task 6</t>
  </si>
  <si>
    <t>If Procurement Request (PR) is not acceptable, return the procurement request to the requiring activity</t>
  </si>
  <si>
    <t>Rejected procurement request</t>
  </si>
  <si>
    <t>1.1.1.1
1.1.1.2
1.6.1
2.1.1 
2.3.1</t>
  </si>
  <si>
    <t>Two or more</t>
  </si>
  <si>
    <t>AP - 05</t>
  </si>
  <si>
    <t>Enable users to capture a market analysis with supporting market research used to develop the business case. Document the contract file (Tab 2, Describing Agency Needs).</t>
  </si>
  <si>
    <t>APP - 06</t>
  </si>
  <si>
    <t>As the PMO, I need to create a market analysis and supporting market research to develop the business case so I can secure the necessary approvals to create the acquisition.
As a CO/CS, I need to review the market analysis and market research to determine the appropriate acquisition strategy, plan the acquisition, and document the contract file.</t>
  </si>
  <si>
    <t>Enable users to return the procurement request to the requiring activity along with the reasons for the return. Maintain an audit trail of activity. The system needs to make the procurement request available for viewing in the contract file (Tab 1, Purchase Request/Funding Certification) and provide the ability to export the data as a web-form or similar structured manner.</t>
  </si>
  <si>
    <t>Ensure system can efficiently:
- Create the market analysis
- Capture supporting market research
- Use market research analysis and supporting documentation to draft the acquisition strategy and plan
- Access information in the contract file and export it if necessary</t>
  </si>
  <si>
    <t>As a CO/CS, I need to be able to return procurement requests to the requiring activity along with the reasons why the procurement request is being returned so I can ensure I have a proper, actionable procurement request.  I also need to be able to access the action in the contract file and export it if necessary. 
As the requiring activity, I need to be able to receive returned procurement requests and understand the reasons for its return so I can make the necessary corrections to have a compliant purchase request.
As an auditor, I need the ability to conduct an audit of procurement activity so I can ensure fiscal accountability and compliance with the authoritative references. I need the ability to review the contract file.</t>
  </si>
  <si>
    <t>Ensure system can efficiently:
- Return procurement requests 
- Conduct an audit
- Access information in the contract file and export it if necessary</t>
  </si>
  <si>
    <t>Activity 3 - Procurement Requests and Funding; Task 7</t>
  </si>
  <si>
    <t>If yes, establish a contract file on the accepted procurement request.</t>
  </si>
  <si>
    <t>Contract file</t>
  </si>
  <si>
    <t>3.3.2.1
3.5.1</t>
  </si>
  <si>
    <t>3.0 - Synopsis &amp; Solicitation</t>
  </si>
  <si>
    <t>Prepare an analysis of alternatives for the senior accountable official (SAO) or business case for OMB, as appropriate</t>
  </si>
  <si>
    <t>APP - 07</t>
  </si>
  <si>
    <t>Analysis of alternatives or business case, as appropriate</t>
  </si>
  <si>
    <t xml:space="preserve">Enable users to create a contract file and automatically file documents based on the Contract Tab Advisory Guide and established local business rules. The system shall also have the ability to override the established business rules, subject to approval, for filing on an exception basis and keep a record of approvals and exceptions along with the ability to report on such. </t>
  </si>
  <si>
    <t>As a CO/CS, I need to create a contract file for my acquisition to comply with the authoritative references and serve as a record of the transactions therein.
As a supervisor, I need access to contract files so I can review and assess employee performance and ensure quality contracts. I also need to approve overrides for filing on an exception basis. I need to run a report on the number of overrides and exceptions and reasoning for such.
As an auditor, I need access to contract file so I can audit the contract file and/or perform quality reviews. I also need to review overrides and exceptions.
As a COR, I need access to the contract files that the CO has delegated to me so I can perform my duties as the COR and document the contract file.</t>
  </si>
  <si>
    <t>Ensure system can efficiently:
- Create the contract file
- Enable automated routing to designated tabs as well as the ability to override the business rules, with approval, on an exception basis
- Enable controlled access to acquisition team members in the performance of their duties
- Record and report on overrides and exceptions.</t>
  </si>
  <si>
    <t>1.1.1.2
1.1.1.4
1.6.1</t>
  </si>
  <si>
    <t>Activity 15 - Simplified Acquisition Procedures; Part B - Simplified Acquisition Procedures--Blanket Purchase Agreements; Task 7</t>
  </si>
  <si>
    <t>AP - 06</t>
  </si>
  <si>
    <t>For applicable non-MAS (Multiple Award Schedule) programs, enable users to capture the analysis of alternatives when establishing new contracts following OMB Memo M-19-13 Category Management: Making Smarter Use of Common Contract Solutions and Practices dated March 20, 2019. Agencies seeking to serve as executive agents for Government-wide acquisition contracts shall continue to prepare business cases to meet statutory requirements, using Attachment 3, Part B of the OMB Memo. 
For MAS programs, enable users to create the business case (GSA Form 1649) in accordance with IL 2011-08.
For GWAC programs, enable users to create the GSA Form 88.
Document the contract file (Tab 2, Describing Agency Needs).</t>
  </si>
  <si>
    <t xml:space="preserve">As the PMO, I need to create an analysis of alternatives and/or business case/forms for review and approval so I adhere to regulatory requirements. I also want to lessen the burden and timeline for trying to collect hard signatures from approvers as well as reduce my carbon footprint.
As a CO/CS, I need to be able to access the information in the contract file and export it if necessary so I comply with the authoritative references. </t>
  </si>
  <si>
    <t>Ensure system can efficiently:
- Create the analysis of alternatives or business case as appropriate
- Route actions for review and approval
- Access information in the contract file and export it if necessary</t>
  </si>
  <si>
    <t xml:space="preserve">For SAT BPAs, make the purchase requisition. </t>
  </si>
  <si>
    <t>Purchase requisition</t>
  </si>
  <si>
    <t>Reconcile comments received on analysis of alternatives or business case</t>
  </si>
  <si>
    <t>Revised analysis of alternatives or business case</t>
  </si>
  <si>
    <t>1.1.1
1.6.1</t>
  </si>
  <si>
    <t>AP - 07</t>
  </si>
  <si>
    <t>Enable users to capture comments received on the analysis of alternatives or business case, as applicable, and make revisions. Document the contract file (Tab 2, Describing Agency Needs).</t>
  </si>
  <si>
    <t xml:space="preserve">As the PMO, I need to be able to capture comments received on the analysis of alternatives or business case and reconcile them. 
As a CO/CS, I need to be able to access the information in the contract file and export it if necessary so I comply with the authoritative references. </t>
  </si>
  <si>
    <t>Ensure system can efficiently:
- Capture comments received
- Access information in the contract file and export it if necessary</t>
  </si>
  <si>
    <t>3.2.1
3.5.1</t>
  </si>
  <si>
    <t>APP - 08</t>
  </si>
  <si>
    <t>Cancel or complete the analysis of alternatives or business case, as appropriate</t>
  </si>
  <si>
    <t>Go/no go decision</t>
  </si>
  <si>
    <t>Enable users to document the purchase requisition for blanket purchase agreement (BPA) purchase.  The system needs to make the purchase requisition available for viewing in the contract file (Tab 1, Purchase Request/Funding Certification) and provide the ability to export the data as a web-form or similar structured manner.</t>
  </si>
  <si>
    <t xml:space="preserve">As a CO/CS, I need to create purchase requisitions for BPA purchases so, I can acquire goods and services for my customer.  I also need to be able to access the action in the contract file and export it if necessary. </t>
  </si>
  <si>
    <t>Ensure system can efficiently:
- Create/upload the purchase requisition
- Access information in the contract file and export it if necessary</t>
  </si>
  <si>
    <t>1.1.1.5
1.6.1</t>
  </si>
  <si>
    <t>AP - 08</t>
  </si>
  <si>
    <t>Enable users to capture the analysis of alternatives or business case decision, as appropriate. Document the contract file (Tab 2, Describing Agency Needs).</t>
  </si>
  <si>
    <t xml:space="preserve">As the PMO, I need to create the business case decision so I adhere to regulatory requirements and route those decisions as required. I also want to lessen the burden and timeline for trying to collect hard signatures from approvers as well as reduce my carbon footprint.
As a CO/CS, I need to route the business case go decision for approvals and document the contract file so I adhere to regulatory requirements of the authoritative references. </t>
  </si>
  <si>
    <t>Ensure system can efficiently:
- Create the analysis of alternatives or business case decision
- Route actions for review and approval
- Access information in the contract file and export it if necessary.</t>
  </si>
  <si>
    <t>Secure final concurrences and approval</t>
  </si>
  <si>
    <t>Final analysis of alternatives or business case</t>
  </si>
  <si>
    <t>AP - 09</t>
  </si>
  <si>
    <t>Enable users to document the final analysis of alternatives or business case. Document the contract file (Tab 2, Describing Agency Needs).</t>
  </si>
  <si>
    <t xml:space="preserve">As the PMO, I need to create the final analysis of alternatives or business case, as appropriate, so I comply with regulatory requirements and route those decisions as required. I also want to lessen the burden and timeline for trying to collect hard signatures from approvers as well as reduce my carbon footprint.
As a CO/CS, I need to secure the necessary approvals and document the contract file so I comply with the authoritative references. </t>
  </si>
  <si>
    <t>Ensure system can efficiently:
- Create the final analysis of alternatives or business case
- Route actions for review and approval
- Access information in the contract file and export it if necessary</t>
  </si>
  <si>
    <t>Approval</t>
  </si>
  <si>
    <t>ACQ.020.020</t>
  </si>
  <si>
    <t>Justification for Other than Full and Open Competition (JOFOC) Development</t>
  </si>
  <si>
    <t>Document reason the contract will be awarded without providing for full and open competition</t>
  </si>
  <si>
    <t>Activity 11 - Limiting Competition; Part A - Simplified Acquisition Procedures; Task 1</t>
  </si>
  <si>
    <t>For acquisitions not exceeding the
simplified acquisition threshold
(SAT), determine if only one source
is reasonably available.</t>
  </si>
  <si>
    <t>Sourcing strategy</t>
  </si>
  <si>
    <t>1.1.1.1
1.1.1.2
1.1.1.3
1.1.1.4
1.1.1.5
1.1.1.6
1.6.1
2.1.1
2.3.1</t>
  </si>
  <si>
    <t>AP - 10</t>
  </si>
  <si>
    <t>Enable users to forward the analysis of alternatives to the Senior Accountable Official and the business case to OMB and document the contract file (Tab 2, Describing Agency Needs).</t>
  </si>
  <si>
    <t>As the PMO, I need to ensure the Senior Accountable Official has the analysis of alternatives and OMB has a copy of the final business case.
As a CO/CS, I need to file proof of delivery of the analysis of alternatives and final business case in the contract file so I comply with the requirements of the authoritative references.</t>
  </si>
  <si>
    <t>Ensure system can efficiently:
- Distribute the final analysis of alternatives to the Senior Accountable Official and the business case to OMB
- Access information in the contract file and export it if necessary</t>
  </si>
  <si>
    <t>2.2.2
2.2.2.2
2.3.1</t>
  </si>
  <si>
    <t>2.0 - Acq. Planning &amp; Mkt. Research</t>
  </si>
  <si>
    <t>APP - 09</t>
  </si>
  <si>
    <t>Enable users to document the determination if only one source is reasonably available along with supporting documentation that explains the absence of competition and supports the justifications. The system needs to make the determination available for viewing in the contract file (Tab 4, Determinations and Findings/Justification) and provide the ability to export the data as a web-form or similar structured manner.</t>
  </si>
  <si>
    <t xml:space="preserve">As a CO/CS, I need to document the determination that only one source is reasonably available and support my determination with my findings so I comply with the authoritative references.  I also need to be able to access the action in the contract file and export it if necessary. </t>
  </si>
  <si>
    <t>Ensure system can efficiently:
- Create/upload the determination and supporting findings
- Access information in the contract file and export it if necessary</t>
  </si>
  <si>
    <t>ACQ.010.030</t>
  </si>
  <si>
    <t>Market Research</t>
  </si>
  <si>
    <t>Collect, analyze, and document information about capabilities within the market to satisfy government needs (e.g., commerciality, availability, affordability and options); Develop and issue announcement that the government is looking for sources (firms able to provide) the particular goods/services needed; Includes issuing sources sought announcements and conducting industry outreach or industry days</t>
  </si>
  <si>
    <t>Activity 2 - Market Research; Task 1</t>
  </si>
  <si>
    <t xml:space="preserve">Perform tactical market research related to the acquisition </t>
  </si>
  <si>
    <t>Determination if commercial items or nondevelopmental items are available to meet the Government’s needs or could be modified to meet the Government’s needs; acquisition plan; and source lists</t>
  </si>
  <si>
    <t>2.1.1
2.2.1.1
2.2.1.2
2.3.1</t>
  </si>
  <si>
    <t>2.0 -  Acq. Planning &amp; Mkt. Research</t>
  </si>
  <si>
    <t>AP - 11</t>
  </si>
  <si>
    <t>Enable users to capture market analysis with supporting market research. Deliver an integrated workflow management capability to automate internal routing of data, information, documents, transactions, forms or reports for processing. Document the contract file (Tab 3, Acquisition Strategy).</t>
  </si>
  <si>
    <t xml:space="preserve">As the PMO, I need to capture market analysis and supporting market research so my CO/CS can create the acquisition plan.
As a CO/CS, I need to review the market analysis and market research information to determine the appropriate acquisition strategy, plan the acquisition, and document the contract file. I also need to be able to share the market analysis and one or more of the relevant market research information with a Small Business Technical Advisor as part of procurement not-set-aside determination.
</t>
  </si>
  <si>
    <t>Activity 11 - Limiting Competition; Part A - Simplified Acquisition Procedures; Task 1a</t>
  </si>
  <si>
    <t>If only one source is solicited and the acquisition does not exceed the SAT, include additional statements explaining the absence of competition.</t>
  </si>
  <si>
    <t>Ensure system can efficiently:
- Capture the market analysis and supporting market research
- Route actions for review and approval
- Access information in the contract file and export it if necessary</t>
  </si>
  <si>
    <t>Document contract file</t>
  </si>
  <si>
    <t xml:space="preserve">As a CO/CS, I need to document the determination that only one source is reasonably available and support my determination with my findings, so I comply with the authoritative references.  I also need to be able to access the action in the contract file and export it if necessary. </t>
  </si>
  <si>
    <t>Activity 2 - Market Research; Task 2</t>
  </si>
  <si>
    <t xml:space="preserve">Identify sources related to the acquisition or the open market to obtain goods/services for the Government. </t>
  </si>
  <si>
    <t>Source list, capability statements, and supplier information</t>
  </si>
  <si>
    <t>Activity 11 - Limiting Competition; Part A - Simplified Acquisition Procedures; Task 1b</t>
  </si>
  <si>
    <t>Document the reasons for restricting competition</t>
  </si>
  <si>
    <t xml:space="preserve">
2.2.1.1
2.2.2.1
2.3.1</t>
  </si>
  <si>
    <t>AP - 12</t>
  </si>
  <si>
    <t>Enable users to capture source lists, capability statements, and supplier information. Document the contract file (Tab 7, Source List).</t>
  </si>
  <si>
    <t xml:space="preserve">As the PMO, I need to create source lists, capability statements, and supplier information to include in my procurement request to my CO/CS so they have a source list for the acquisitions.
As a CO/CS, I need a source list to ascertain the appropriate acquisition strategy (e.g., FAR Part 8, potential sources, set asides, and available contract vehicles) for my acquisition. I also need to document the contract file. </t>
  </si>
  <si>
    <t>Ensure system can efficiently:
- Create the source lists, capability statements and supplier information.
- Access information in the contract file and export it if necessary.</t>
  </si>
  <si>
    <t>Activity 2 - Market Research; Task 3a (Note--there is no Task 3)</t>
  </si>
  <si>
    <t xml:space="preserve">Review existing contract files to identify relevant market information available in acquisition histories. </t>
  </si>
  <si>
    <t>Activity 11 - Limiting Competition; Part A - Simplified Acquisition Procedures; Task 2</t>
  </si>
  <si>
    <t>For simplified acquisitions under
the authority of FAR Subpart 13.5—
Simplified Procedures for Certain
Commercial Items, determine if a
sole source acquisition is appropriate.</t>
  </si>
  <si>
    <t xml:space="preserve">1.1.3
2.1.1.1
2.2.1.1
2.3.1
</t>
  </si>
  <si>
    <t>AP - 13</t>
  </si>
  <si>
    <t>It is desired that the CWS identify recent contracts (within 3 years of the current date) that are similar to the planned effort to identify relevant market research in acquisition histories.</t>
  </si>
  <si>
    <t>As the PMO, I'd like to review relevant market research information available in acquisition histories so I can reuse relevant market research information.
As a CO/CS, I'd like to be able to review acquisition histories to help draft the acquisition plan. I also would like to copy relevant market research information into my contract file.</t>
  </si>
  <si>
    <t>Activity 11 - Limiting Competition; Part A - Simplified Acquisition Procedures; Task 2a</t>
  </si>
  <si>
    <t>Prepare a sole source (including brand name) justification.</t>
  </si>
  <si>
    <t>Justification</t>
  </si>
  <si>
    <t>Ensure system can efficiently:
- Reuse relevant market research information in similar acquisitions.
- Access information in the contract file and export it if necessary.</t>
  </si>
  <si>
    <t>Activity 2 - Market Research; Task 3b</t>
  </si>
  <si>
    <t xml:space="preserve">Identify knowledgeable government and industry personnel. </t>
  </si>
  <si>
    <t>Acquisition team</t>
  </si>
  <si>
    <t>AP - 14</t>
  </si>
  <si>
    <t>Enable users to capture the identity of the acquisition team members and document the contract file (Tab 3, Acquisition Strategy (Source Selection/Technical Evaluation Plan)).</t>
  </si>
  <si>
    <t>As the PMO, I need to ensure I have the right team in place to maximize success of the project.
As a CO/CS, I need to identify the acquisition team members that will participate in the acquisition so I can secure OCIs, NDAs, and acknowledgements of procurement integrity briefings and determine roles and responsibilities in the acquisition. I also need to document the contract file.</t>
  </si>
  <si>
    <t>Activity 11 - Limiting Competition; Part A - Simplified Acquisition Procedures; Task 2b</t>
  </si>
  <si>
    <t>Obtain any required approval of the sole source justification.</t>
  </si>
  <si>
    <t>Ensure system can efficiently:
- Identify and record acquisition team members.
- Access information in the contract file and export it if necessary.</t>
  </si>
  <si>
    <t>Approvals</t>
  </si>
  <si>
    <t>APP - 10</t>
  </si>
  <si>
    <t>Provide an integrated workflow and management capability to automate routing of actions, documents, forms or reports for online review and approvals. The system needs to make the approval of the determinations and findings available for viewing in the contract file (Tab 4, Determinations and Findings/Justification) and provide the ability to export the data as a web-form or similar structured manner.</t>
  </si>
  <si>
    <t>Activity 2 - Market Research; Task 3c</t>
  </si>
  <si>
    <t>Review market research results from similar requirements.</t>
  </si>
  <si>
    <t xml:space="preserve">As a reviewer/approver, I need to be able to review and/or approve sole source justifications and/or suggest revisions for other than full and open competition actions so I can ensure the maximum competition as possible. 
As a CO/CS, I need to route documents for review and approval to various acquisition team members and review any recommended edits so I can comply with the authoritative references.  I also need to be able to access the action in the contract file and export it if necessary. </t>
  </si>
  <si>
    <t>Ensure system can efficiently:
- Route documents, transactions, forms or reports for online reviews and approvals, preferably capturing digital certificate signatures.
- Access information in the contract file and export it if necessary</t>
  </si>
  <si>
    <t>Activity 11 - Limiting Competition; Part A - Simplified Acquisition Procedures; Task 2c</t>
  </si>
  <si>
    <t>Make the justification publicly available.</t>
  </si>
  <si>
    <t>2.1.1
2.2.2
2.3.1</t>
  </si>
  <si>
    <t>Posting of justification at the Government Point of Entry</t>
  </si>
  <si>
    <t>AP - 15</t>
  </si>
  <si>
    <t>As the PMO, I'd like to review relevant market research information available in acquisition histories so I can reuse relevant market research information.
As a CO/CS, I'd like to be able to review acquisition histories to help draft the acquisition plan. I also would like to copy relevant market research information into my contract file.</t>
  </si>
  <si>
    <t>Ensure system can efficiently:
- Reuse relevant market research information in similar acquisitions
- Access information in the contract file and export it if necessary</t>
  </si>
  <si>
    <t>3.3.1.1
3.5.1</t>
  </si>
  <si>
    <t>APP - 11</t>
  </si>
  <si>
    <t>Activity 2 - Market Research; Task 3d</t>
  </si>
  <si>
    <t>Provide automated posting of designated documents to Federal Business Opportunities (FBO) from the system, notify interested parties, and enable the user to check status on Federal Business Opportunities (FBO). The system needs to make the postings available for viewing in the contract file (Tab 8, Synopsis/Advertisement) and provide the ability to export the data as a web-form or similar structured manner.</t>
  </si>
  <si>
    <t xml:space="preserve">Review published requests for information from journals or business publications. </t>
  </si>
  <si>
    <t xml:space="preserve">As a CO/CS, I need to post designated documents to Federal Business Opportunities (FBO) from the system so I can minimize the number of systems I need to interact with to conduct my procurement. I also need to be able to notify suppliers and interested parties of the action. Lastly,  I also need to be able to access the action in the contract file and export it if necessary. </t>
  </si>
  <si>
    <t>Ensure system can efficiently:
- Post designated documents
- Access information in the contract file and export it if necessary</t>
  </si>
  <si>
    <t>2.2.1.1
2.3.1</t>
  </si>
  <si>
    <t>AP - 16</t>
  </si>
  <si>
    <t>Enable users to document  published requests for information from journals or business publications. Document the contract file (Tab 7, Source List).</t>
  </si>
  <si>
    <t xml:space="preserve">As the PMO, I need to capture market research information and share it with my CO/CS to help create the acquisition plan.
As a CO/CS, I need to review the market research to determine the appropriate acquisition strategy and plan the acquisition, which will be documented in the contract file. </t>
  </si>
  <si>
    <t>Ensure system can efficiently:
- Create published requests for information from journals or business publications
- Access information in the contract file and export it if necessary</t>
  </si>
  <si>
    <t>Activity 11 - Limiting Competition; Part A - Simplified Acquisition Procedures; Task 2d</t>
  </si>
  <si>
    <t>Activity 2 - Market Research; Task 3e</t>
  </si>
  <si>
    <t>Collect market information from the Interagency Contract Directory (ICD). Query the Governmentwide database of contracts and other procurement instruments intended for use by multiple agencies available at https://www.contractdirectory.gov/contractdirectory/ and other Government and commercial databases that provide information relevant to agency acquisitions.</t>
  </si>
  <si>
    <t>Identification of available contract vehicles for use from ICD and other relevant databases/sources (e.g., Acquisition Gateway)</t>
  </si>
  <si>
    <t>APP - 12</t>
  </si>
  <si>
    <t>AP - 17</t>
  </si>
  <si>
    <t>Enable users to capture market information from the Interagency Contract Directory (ICD) and other relevant Government/commercial databases. The CWS shall also document the contract file (Tab 3, Acquisition Strategy).</t>
  </si>
  <si>
    <t>As the PMO, I need to review the ICD and other relevant databases to ascertain whether there is an existing source prior to creating a new contract vehicle.
As a CO/CS, I need to review the ICD and other relevant databases to determine the appropriate acquisition strategy, plan the acquisition, and document the contract file.</t>
  </si>
  <si>
    <t>Ensure system can efficiently:
- Capture market information from the ICD and other relevant databases/sources
- Access information in the contract file and export it if necessary</t>
  </si>
  <si>
    <t>Activity 11 - Limiting Competition; Part B - Competition Excluding Particular Sources; Task 1</t>
  </si>
  <si>
    <t>Determine if full and open competition after excluding one or more sources is appropriate.</t>
  </si>
  <si>
    <t>Activity 2 - Market Research; Task 3f</t>
  </si>
  <si>
    <t>Participate in interactive online communications.</t>
  </si>
  <si>
    <t>Market research</t>
  </si>
  <si>
    <t>APP - 13</t>
  </si>
  <si>
    <t>Enable users to document the determination if full and open competition after excluding one or more sources is appropriate along with supporting findings. The system needs to make the determination available for viewing in the contract file (Tab 4, Determinations and Findings/ Justification) and provide the ability to export the data as a web-form or similar structured manner.</t>
  </si>
  <si>
    <t>2.1.1.2
2.1.1.3
2.2.2.1
2.3.1</t>
  </si>
  <si>
    <t xml:space="preserve">As a CO/CS, I need to document the determination if full and open competition after excluding one or more sources is appropriate and support my determination with my findings, so I comply with the authoritative references.  I also need to be able to access the action in the contract file and export it if necessary. </t>
  </si>
  <si>
    <t>AP - 18</t>
  </si>
  <si>
    <t>Enable users to capture summaries/contents of communications. Document the contract file (Tab 3, Acquisition Strategy).</t>
  </si>
  <si>
    <t>As the PMO, I need to capture and analyze communications to assist in acquisition planning. 
As a CO/CS, I need to review the communications to determine the appropriate acquisition strategy, plan the acquisition, and document the contract file.</t>
  </si>
  <si>
    <t>Ensure system can efficiently:
- Capture communication summaries/content
- Access information in the contract file and export it if necessary</t>
  </si>
  <si>
    <t>Activity 11 - Limiting Competition; Part B - Competition Excluding Particular Sources; Task 2</t>
  </si>
  <si>
    <t>Prepare a D&amp;F when full and open competition after excluding sources is required to establish or maintain an alternative source or sources of supply or establish/maintain an alternative source or sources of supply.</t>
  </si>
  <si>
    <t>D&amp;F</t>
  </si>
  <si>
    <t>Activity 2 - Market Research; Task 3g</t>
  </si>
  <si>
    <t>Collect source lists from other agencies and professional associations.</t>
  </si>
  <si>
    <t>AP - 19</t>
  </si>
  <si>
    <t>Enable users to capture source lists and document the contract file (Tab 7, Source List).</t>
  </si>
  <si>
    <t xml:space="preserve">As the PMO, I need to create source lists to include in my procurement request to my CO/CS so they have a source list for the acquisition.
As a CO/CS, I need a source list to ascertain the appropriate acquisition strategy (e.g., FAR Part 8, potential sources and available contract vehicles) for my acquisition. I also need to document the contract file. </t>
  </si>
  <si>
    <t>Ensure system can efficiently:
- Create the source lists
- Access information in the contract file and export it if necessary</t>
  </si>
  <si>
    <t>Activity 11 - Limiting Competition; Part C - Other Than Full and Open Competition; Task 1</t>
  </si>
  <si>
    <t>Determine if supplies or services are available only from a single source or only a limited number of sources can satisfy the requirement.</t>
  </si>
  <si>
    <t>Activity 2 - Market Research; Task 3h</t>
  </si>
  <si>
    <t>Collect market information from printed or online catalogs, periodicals, and similar sources.</t>
  </si>
  <si>
    <t>Source list, market research</t>
  </si>
  <si>
    <t>APP - 14</t>
  </si>
  <si>
    <t>2.1.1.1
2.1.1.2
2.3.1</t>
  </si>
  <si>
    <t xml:space="preserve">Enable users to document the determination if supplies or services are available only from a single source or only a limited number of sources can supply the requirement along with supporting findings. The system needs to make the determination available for viewing in the contract file (Tab 4, Determinations and Findings/ Justification) and provide the ability to export the data as a web-form or similar structured manner. </t>
  </si>
  <si>
    <t xml:space="preserve">As a CO/CS, I need to document the determination if supplies or services are available only from a single source or only a limited number of sources that can supply the requirement and support my determination with my findings, so I comply with the authoritative references.  I also need to be able to access the action in the contract file and export it if necessary. </t>
  </si>
  <si>
    <t>AP - 20</t>
  </si>
  <si>
    <t>Enable users to capture market information and document the contract file (Tab 3, Acquisition Strategy).</t>
  </si>
  <si>
    <t xml:space="preserve">As the PMO, I need to create market information to include in my procurement request to my CO/CS so they have market information for the acquisition.
As a CO/CS, I need market information to ascertain the appropriate acquisition strategy (e.g., FAR Part 8, potential sources and available contract vehicles) for my acquisition. I also need to document the contract file. </t>
  </si>
  <si>
    <t>Ensure system can efficiently:
- Create the market information
- Access information in the contract file and export it if necessary</t>
  </si>
  <si>
    <t>Activity 11 - Limiting Competition; Part C - Other Than Full and Open Competition; Task 2</t>
  </si>
  <si>
    <t>Determine if the acquisition, due to unusual or compelling urgency, warrants precluding full and open competition.</t>
  </si>
  <si>
    <t>Activity 2 - Market Research; Task 3i</t>
  </si>
  <si>
    <t>Hold pre-solicitation conferences.</t>
  </si>
  <si>
    <t>Market research, source list</t>
  </si>
  <si>
    <t>APP - 15</t>
  </si>
  <si>
    <t xml:space="preserve">Enable users to document the determination to preclude full and open competition due to unusual or compelling urgency along with supporting findings. The system needs to make the determination available for viewing in the contract file (Tab 4, Determinations and Findings/ Justification) and provide the ability to export the data as a web-form or similar structured manner. </t>
  </si>
  <si>
    <t xml:space="preserve">As a CO/CS, I need to document the determination to preclude full and open competition due to unusual or compelling urgency and support my determination with my findings, so I comply with the authoritative references.  I also need to be able to access the action in the contract file and export it if necessary. </t>
  </si>
  <si>
    <t>1.1.1.1
1.1.2.1
2.1.1
2.2.2.1</t>
  </si>
  <si>
    <t>AP - 21</t>
  </si>
  <si>
    <t>Post pre solicitation documents to Federal Business Opportunities (FBO) automatically from the system and enable the user to check status on Federal Business Opportunities (FBO) for interested parties . Document the contract file (Tab 9, Pre-Solicitation Notice).</t>
  </si>
  <si>
    <t xml:space="preserve">As a CO/CS, I need to be able to post presolicitation information to Federal Business Opportunities (FBO) automatically from the system so I can minimize the number of systems I need to interact with to conduct my procurement. I also need to be able to notify suppliers and interested parties of the presolicitation conference. I also will create a source list of interested parties identified through Federal Business Opportunities (FBO) that will need to be added to the original source list created earlier. Lastly, I need to be able to access the information in the contract file and export it if necessary (Tab 9, Presolicitation Notice/Conference). </t>
  </si>
  <si>
    <t>Ensure system can efficiently:
- Post presolicitation documents
- Notify the CO/CS of interested parties
- Notify interested parties of upcoming presolicitation events/activities
- Access information in the contract file and export it if necessary</t>
  </si>
  <si>
    <t>Activity 11 - Limiting Competition; Part C - Other Than Full and Open Competition; Task 3</t>
  </si>
  <si>
    <t xml:space="preserve">Identify an acquisition situation where restricting competition is necessary to provide for industrial mobilization, establish or maintain an essential engineering, developmental, or research capability, or acquire neutral or expert services. </t>
  </si>
  <si>
    <t>Activity 2 - Market Research; Task 4</t>
  </si>
  <si>
    <t>Document market research results</t>
  </si>
  <si>
    <t>Market research results incorporated into the acquisition plan; supporting information for set aside determination</t>
  </si>
  <si>
    <t>2.1.1
2.2.2.1
2.3.1</t>
  </si>
  <si>
    <t>AP - 22</t>
  </si>
  <si>
    <t>APP - 16</t>
  </si>
  <si>
    <t>Enable users to capture market research results and/or selected results to the appropriate section in an acquisition plan. Document the contract file (Tab 3, Acquisition Strategy).</t>
  </si>
  <si>
    <t xml:space="preserve">Enable users to document the determination to restrict competition to provide for a variety of situations such as industrial mobilization, establishing/ maintaining essential engineering, developmental, or research capabilities, acquire neutral or expert services, international agreements, authorized by statute/law, disclosure of the requirement would compromise national security, or in the public interest along with supporting findings. The system needs to make the determination available for viewing in the contract file (Tab 4, Determinations and Findings/ Justification) and provide the ability to export the data as a web-form or similar structured manner. </t>
  </si>
  <si>
    <t xml:space="preserve">As the PMO, I need to collaborate with my CO/CS in capturing market research results into an acquisition plan so they have the market research needed to finalized the acquisition strategy.
As a CO/CS, I need to collaborate with my PMO in capturing selected market research results into an acquisition plan to meet the requirements of FAR Part 7 and GSAM Part 507. I also need to document the contract file. </t>
  </si>
  <si>
    <t xml:space="preserve">As a CO/CS, I need to document the determination that restricting competition is in the Government's best interests and support my determination with my findings, so I comply with the authoritative references.  I also need to be able to access the action in the contract file and export it if necessary. </t>
  </si>
  <si>
    <t>Ensure system can efficiently:
- Capture market research results and/or selected results
- Populate the acquisition plan
- Access information in the contract file and export it if necessary</t>
  </si>
  <si>
    <t>Activity 9 - Source Lists; Task 1</t>
  </si>
  <si>
    <t>Activity 11 - Limiting Competition; Part C - Other Than Full and Open Competition; Task 4</t>
  </si>
  <si>
    <t>Use the results of market research to determine whether using an existing source list maintained by an agency or building a new source list is appropriate.</t>
  </si>
  <si>
    <t>Identify an acquisition situation where an international agreement restricts competition to a specified source or sources.</t>
  </si>
  <si>
    <t>2.1.1
2.2.1.1
2.3.1</t>
  </si>
  <si>
    <t>AP - 23</t>
  </si>
  <si>
    <t>Enable users to capture source lists, capability statements, and supplier information and document the contract file (Tab 7, Source List).</t>
  </si>
  <si>
    <t>Activity 11 - Limiting Competition; Part C - Other Than Full and Open Competition; Task 5</t>
  </si>
  <si>
    <t xml:space="preserve">As the PMO, I need to determine if any of the sources identified are already on any contract vehicles or agency source lists, and if not, create/upload source lists, capability statements, and supplier information to include in my procurement request to my CO/CS so they have a source list for the acquisitions.
As a CO/CS, I need a source list to ascertain the appropriate acquisition strategy (e.g., FAR Part 8, potential sources and available contract vehicles) for my acquisition. I also need to document the contract file. </t>
  </si>
  <si>
    <t>Identify an acquisition situation where contracting without full and open competition is authorized or required by statute.</t>
  </si>
  <si>
    <t>Ensure system can efficiently:
- Create/upload the source lists, capability statements and supplier information
- Access information in the contract file and export it if necessary</t>
  </si>
  <si>
    <t>Activity 9 - Source Lists; Task 2</t>
  </si>
  <si>
    <t>When building a new source list or verifying the currency of an existing agency source list, use the System for Award Management (SAM).</t>
  </si>
  <si>
    <t>Activity 11 - Limiting Competition; Part C - Other Than Full and Open Competition; Task 6</t>
  </si>
  <si>
    <t xml:space="preserve">Identify an acquisition situation where restricting competition is necessary because disclosure of the requirement would compromise national security. </t>
  </si>
  <si>
    <t>AP - 24</t>
  </si>
  <si>
    <t>Verify in real time that a source is registered in the System for Award Management (SAM) and document the contract file (Tab 17, Responsibility Determination).</t>
  </si>
  <si>
    <t xml:space="preserve">As a CO/CS, I need to review the System for Award Management to ensure vendors are properly registered so I can ensure my acquisition complies with the authoritative references. I also need to document the contract file. </t>
  </si>
  <si>
    <t>Ensure system can efficiently:
- Verify SAM registration in real time
- Access information in the contract file and export it if necessary</t>
  </si>
  <si>
    <t>Activity 11 - Limiting Competition; Part C - Other Than Full and Open Competition; Task 7</t>
  </si>
  <si>
    <t>Identify an acquisition situation
where the public interest will be
otherwise served by restricting
competition.</t>
  </si>
  <si>
    <t>Activity 9 - Source Lists; Task 3</t>
  </si>
  <si>
    <t>Using the results of market research, identify secondary sources of vendor information.</t>
  </si>
  <si>
    <t>General Practices.</t>
  </si>
  <si>
    <t>2.1.1.1
2.3.1</t>
  </si>
  <si>
    <t>AP - 25</t>
  </si>
  <si>
    <t>Enable users to capture sourcing information and document the contract file (Tab 7, Source List).</t>
  </si>
  <si>
    <t xml:space="preserve">As the PMO, I need to capture sourcing information to include in my procurement request to my CO/CS so they have a source list for the acquisitions.
As a CO/CS, I need a source list to ascertain the appropriate acquisition strategy (e.g., FAR Part 8, potential sources and available contract vehicles) for my acquisition. I also need to document the contract file. </t>
  </si>
  <si>
    <t>Ensure system can efficiently:
- Capture sourcing information.
- Access information in the contract file and export it if necessary.</t>
  </si>
  <si>
    <t>Activity 11 - Limiting Competition; Part C - Other Than Full and Open Competition; Task 8</t>
  </si>
  <si>
    <t xml:space="preserve">Justify the need to negotiate or award any contract without full and open competition. </t>
  </si>
  <si>
    <t>Activity 9 - Source Lists; Task 3a</t>
  </si>
  <si>
    <t>If appropriate, use information from catalogs, trade shows and expositions, periodicals, and Internet sources to build the source list.</t>
  </si>
  <si>
    <t>APP - 17</t>
  </si>
  <si>
    <t xml:space="preserve">Enable users to document the justification to negotiate or award a contract without full and open competition. The system needs to make the determination available for viewing in the contract file (Tab 4, Determinations and Findings/ Justification) and provide the ability to export the data as a web-form or similar structured manner. </t>
  </si>
  <si>
    <t xml:space="preserve">As a CO/CS, I need to document the justification to negotiate or award a contract without full and open competition along with supporting documentation so I comply with the authoritative references.  I also need to be able to access the action in the contract file and export it if necessary. </t>
  </si>
  <si>
    <t>Activity 9 - Source Lists; Task 3b</t>
  </si>
  <si>
    <t>Ensure system can efficiently:
- Create/upload the justification and supporting findings
- Access information in the contract file and export it if necessary</t>
  </si>
  <si>
    <t>If appropriate, use information from government buyers to build the source list.</t>
  </si>
  <si>
    <t>Activity 11 - Limiting Competition; Part C - Other Than Full and Open Competition; Task 9</t>
  </si>
  <si>
    <t>Obtain any required approval of a justification for other than full and open competition.</t>
  </si>
  <si>
    <t>Activity 9 - Source Lists; Task 3c</t>
  </si>
  <si>
    <t>If appropriate, use information from industry buyers to build the source list.</t>
  </si>
  <si>
    <t>APP - 18</t>
  </si>
  <si>
    <t xml:space="preserve">As a reviewer/approver, I need to be able to review and/or approve sole source justifications and/or suggest revisions for other than full and open competition actions so I can ensure the maximum competition as possible. 
As a CO/CS, I need to route documents for review and approval to various acquisition team members and review any recommended edits, so I can comply with the authoritative references.  I also need to be able to access the action in the contract file and export it if necessary. </t>
  </si>
  <si>
    <t>Activity 9 - Source Lists; Task 3d</t>
  </si>
  <si>
    <t>If appropriate, use information from suppliers to build the source list.</t>
  </si>
  <si>
    <t>Activity 11 - Limiting Competition; Part C - Other Than Full and Open Competition; Task 10</t>
  </si>
  <si>
    <t>Publicize the justification.</t>
  </si>
  <si>
    <t>Activity 9 - Source Lists; Task 3e</t>
  </si>
  <si>
    <t>If appropriate, use information from trade &amp; professional organizations to build the source list.</t>
  </si>
  <si>
    <t>APP - 19</t>
  </si>
  <si>
    <t xml:space="preserve">As a CO/CS, I need to be able to prepare designated documents for posting which may require the system to enable redactions to the designated data. The system shall provide automated posting of the redacted document to Federal Business Opportunities (FBO) from the system, so I can minimize the number of systems I need to interact with to conduct my procurement. I also need to be able to notify suppliers and interested parties of the action. Lastly,  I also need to be able to access the action in the contract file and export it if necessary. </t>
  </si>
  <si>
    <t>Ensure system can efficiently:
- Prepare and post designated documents
- Access information in the contract file and export it if necessary</t>
  </si>
  <si>
    <t>Activity 11 - Limiting Competition; Part D - Considering Unsolicited Proposals; Task 1</t>
  </si>
  <si>
    <t>Forward unsolicited proposals to the agency point of contact for unsolicited proposals.</t>
  </si>
  <si>
    <t>Suitability determination</t>
  </si>
  <si>
    <t>Activity 9 - Source Lists; Task 3f</t>
  </si>
  <si>
    <t>If appropriate, use information from non-profit organizations to build the source list.</t>
  </si>
  <si>
    <t>Unidentified</t>
  </si>
  <si>
    <t>APP - 20</t>
  </si>
  <si>
    <t>Activity 9 - Source Lists; Task 4</t>
  </si>
  <si>
    <t xml:space="preserve">Enable the agency point of contact (APOC) to receive unsolicited proposals for the agency's review and consideration. Enable the APOC to review the proposal, ascertain it is a proper unsolicited proposal, and enable routing of the proposal to APOC-designated parties for processing. The APOC is the Senior Procurement Executive. </t>
  </si>
  <si>
    <t>Purge from the source list those sources listed on the List of Parties Excluded from Federal Procurement and Nonprocurement Programs.</t>
  </si>
  <si>
    <t xml:space="preserve">As a potential offeror, I'd like the ability to send an unsolicited proposal for the agency's review and consideration, so I may secure their business. I'd like to be able to collaborate with the agency point of contact in response to my unsolicited proposal. 
As the APOC, I need to ascertain the validity of an unsolicited proposal and be able to forward it to the appropriate action officer for processing so I can comply with the authoritative references. </t>
  </si>
  <si>
    <t>Ensure the system can efficiently:
- Receive, assign, evaluate and track unsolicited proposals
- Forward unsolicited proposals
- Collaborate on the unsolicited proposal</t>
  </si>
  <si>
    <t>2.1.1
2.2.1
2.3.1</t>
  </si>
  <si>
    <t>AP - 26</t>
  </si>
  <si>
    <t>Verify a source is not listed in the System for Award Management (SAM) Exclusions and document the contract file (Tab 17, Responsibility Determination).</t>
  </si>
  <si>
    <t xml:space="preserve">As a CO/CS, I need to review the SAM to ensure vendors are not on the SAM Exclusions so I can ensure my acquisition complies with FAR 4.11. I also need to document the contract file. </t>
  </si>
  <si>
    <t>Ensure system can efficiently:
- Verify SAM exclusions
- Access information in the contract file and export it if necessary</t>
  </si>
  <si>
    <t>Activity 11 - Limiting Competition; Part D - Considering Unsolicited Proposals; Task 2</t>
  </si>
  <si>
    <t>As the agency point of contact, determine if the unsolicited proposal merits comprehensive evaluation.</t>
  </si>
  <si>
    <t>Activity 9 - Source Lists; Task 5</t>
  </si>
  <si>
    <t>Distribute presolicitation notices when the source list is excessively long and the requirement merits the time and expense involved in doing so.</t>
  </si>
  <si>
    <t>Presolicitation notice</t>
  </si>
  <si>
    <t>APP - 21</t>
  </si>
  <si>
    <t xml:space="preserve">Enable users to document the determination if the unsolicited proposal merits comprehensive evaluation. </t>
  </si>
  <si>
    <t xml:space="preserve">As the APOC, I'd like to be able to determine the merits of an unsolicited proposal, so I can take the appropriate action. </t>
  </si>
  <si>
    <t>Ensure the system can efficiently:
- Create/upload the determination</t>
  </si>
  <si>
    <t>AP - 27</t>
  </si>
  <si>
    <t>Enable users to preview and post presolicitation notices to Federal Business Opportunities (FBO) and view, download or store directly from Federal Business Opportunities (FBO) the list of interested parties. Notify suppliers and interested parties whether they will be invited to participate in the resultant acquisition or, based on the information submitted, that it is unlikely to be a viable competitor. Document the contract file (Tab 9, Presolicitation Notice).</t>
  </si>
  <si>
    <t>As a CO/CS, I need to be able to preview and post presolicitation notices to Federal Business Opportunities (FBO) from the system so I can minimize the number of systems I need to interact with suppliers to conduct my procurement. I also need to be able to notify suppliers and interested parties whether they will be invited to participate in the resultant acquisition or, based on the information submitted, that it is unlikely to be a viable competitor. I also will create a source list of capable interested parties identified through Federal Business Opportunities (FBO) that will need to be added to the original source list created earlier. Lastly, I need to be able to access the information in the contract file and export it if necessary.</t>
  </si>
  <si>
    <t>Ensure system can efficiently:
- Preview and post presolicitation notices and view, download or store directly from Federal Business Opportunities (FBO) the list of interested parties
- Notify suppliers and interested parties whether they are a viable competitor. 
- Create a source list
- Access information in the contract file and export it if necessary</t>
  </si>
  <si>
    <t>Activity 11 - Limiting Competition; Part D - Considering Unsolicited Proposals; Task 3</t>
  </si>
  <si>
    <t xml:space="preserve">As the agency point of contact, reject an unsolicited proposal that does not merit comprehensive evaluation. </t>
  </si>
  <si>
    <t>Rejection notice</t>
  </si>
  <si>
    <t>Activity 9 - Source Lists; Task 6</t>
  </si>
  <si>
    <t>Include sources identified in response to the presolicitation notice and other specific requests for the solicitation.</t>
  </si>
  <si>
    <t xml:space="preserve">Enable user to reject unsolicited proposals that do not merit comprehensive evaluation. Create/upload the rejection notice and forward such notice to the supplier. </t>
  </si>
  <si>
    <t xml:space="preserve">As the APOC, I'd like the ability to reject unsolicited proposals and return it so suppliers know their proposal wasn't acceptable. </t>
  </si>
  <si>
    <t>Ensure the system can efficiently:
- Create/upload the rejection
- Forward the rejection to the supplier</t>
  </si>
  <si>
    <t>Activity 11 - Limiting Competition; Part D - Considering Unsolicited Proposals; Task 4</t>
  </si>
  <si>
    <t>As the agency point of contact, request any additional information from the offeror necessary to support a comprehensive evaluation of the unsolicited proposal.</t>
  </si>
  <si>
    <t>Request for additional information</t>
  </si>
  <si>
    <t>Enable users to capture sourcing information. The CWS also needs to document this in the contract file (Tab 7, Source List).</t>
  </si>
  <si>
    <t>Ensure system can efficiently:
- Capture sourcing information
- Access information in the contract file and export it if necessary</t>
  </si>
  <si>
    <t>APP - 22</t>
  </si>
  <si>
    <t xml:space="preserve">Enable the user to request additional information from the offeror necessary to support a comprehensive evaluation of an unsolicited proposal.  Enable the vendor to submit additional information for the agency's review and consideration. </t>
  </si>
  <si>
    <t>As the APOC, I need to request additional information from the offeror so, I can fully evaluate their unsolicited proposal and assess its merits. 
As a vendor, I need to respond to the APOC's request for additional information so, my unsolicited proposal can be evaluated.</t>
  </si>
  <si>
    <t>Ensure the system can efficiently:
- Create/upload the request for additional information
- Enable the supplier to respond to the request for additional information</t>
  </si>
  <si>
    <t>ACQ.010.040</t>
  </si>
  <si>
    <t>Request for Information (RFI) Issuance</t>
  </si>
  <si>
    <t>Develop and issue request for information to be used to inform the government's acquisition of particular goods/services needed</t>
  </si>
  <si>
    <t xml:space="preserve">Draft RFI </t>
  </si>
  <si>
    <t>Understand commerciality of product or service, customary practices, terms/conditions, and sources</t>
  </si>
  <si>
    <t>Activity 11 - Limiting Competition; Part D - Considering Unsolicited Proposals; Task 5</t>
  </si>
  <si>
    <t>As the agency point of contact, forward the unsolicited proposal to the most likely requiring activity and/or other qualified evaluators.</t>
  </si>
  <si>
    <t>Evaluation of unsolicited proposal</t>
  </si>
  <si>
    <t>AP - 28</t>
  </si>
  <si>
    <t>Enable users to create the Request for Information (RFI) and enable collaboration and approvals on the RFI. Document the contract file (Tab 3, Acquisition Strategy).</t>
  </si>
  <si>
    <t>As the PMO, I need to collaborate in the drafting of the RFI so I can ensure we are asking industry the appropriate questions designed to maximize success of my program needs. 
As a CO/CS, I need to collaborate in the drafting of the RFI so I can ensure we are asking industry the appropriate questions so I can design the appropriate acquisition strategy designed to meet my program's needs. I also need to secure any approvals and document the contract file.</t>
  </si>
  <si>
    <t>Ensure system can efficiently:
- Create the RFI
- Route for reviews and approvals
- Access information in the contract file and export it if necessary</t>
  </si>
  <si>
    <t>APP - 24</t>
  </si>
  <si>
    <t xml:space="preserve">Enable unsolicited proposals to be forwarded to the appropriate reviewer/evaluator. </t>
  </si>
  <si>
    <t xml:space="preserve">As the APOC, I need to forward unsolicited proposals to the appropriate activity for review and evaluation, so I can comply with the authoritative references. </t>
  </si>
  <si>
    <t>Ensure the system can efficiently:
- Route work to the appropriate reviewer/evaluator</t>
  </si>
  <si>
    <t>Activity 11 - Limiting Competition; Part D - Considering Unsolicited Proposals; Task 6</t>
  </si>
  <si>
    <t>As the agency point of contact, determine whether to accept or reject the unsolicited proposal.</t>
  </si>
  <si>
    <t>Acceptance/rejection of unsolicited proposal</t>
  </si>
  <si>
    <t>APP - 25</t>
  </si>
  <si>
    <t>Enable the acceptance or rejection of an unsolicited proposal. The system needs to make the acceptance/rejection along with all preceding information regarding its evaluation available for viewing in the contract file (Tab 6, Determinations and Findings/ Justification) and provide the ability to export the data as a web-form or similar structured manner.</t>
  </si>
  <si>
    <t xml:space="preserve">As the APOC, I need to accept or reject unsolicited proposals so suppliers know their proposal status. If the unsolicited proposal is rejected, I need to explain the reasons for the rejection. I also need to be able to access the action in the contract file and export it if necessary. </t>
  </si>
  <si>
    <t>Ensure the system can efficiently:
- Create/upload the acceptance/rejection
- Access information in the contract file and export it if necessary</t>
  </si>
  <si>
    <t>Issue RFI</t>
  </si>
  <si>
    <t>Public posting</t>
  </si>
  <si>
    <t>Activity 11 - Limiting Competition; Part D - Considering Unsolicited Proposals; Task 7</t>
  </si>
  <si>
    <t>Complete the documentation needed to negotiate an acceptable unsolicited proposal on a sole source basis.</t>
  </si>
  <si>
    <t>Negotiation memorandum</t>
  </si>
  <si>
    <t>APP - 26</t>
  </si>
  <si>
    <t xml:space="preserve">Enable user to create/upload pre negotiation and negotiation memoranda and make the memoranda available for viewing in the contract file. </t>
  </si>
  <si>
    <t xml:space="preserve">As the CO/CS, I need to establish my negotiation objectives prior to negotiating offers. I need to route the memoranda for approvals depending on the action. I' must document the outcome of the negotiations. I also need to be able to access the action in the contract file and export it if necessary. </t>
  </si>
  <si>
    <t>AP - 29</t>
  </si>
  <si>
    <t>Ensure the system can efficiently:
- Create/upload documentation.
- Route for review and approval if necessary.
- Access information in the contract file and export it if necessary</t>
  </si>
  <si>
    <t>Enable users to preview and post an RFI to Federal Business Opportunities (FBO) and other systems (i.e., eBuy, FedBid), view, download or store the list of interested parties, and capture and document RFI results. Document the contract file (Tab 9, Presolicitation Notice/Conference).</t>
  </si>
  <si>
    <t>As a CO/CS, I need to be able to preview and post RFIs to Federal Business Opportunities (FBO) and other systems (i.e., eBuy, FedBid) from the system so I can minimize the number of systems I need to interact with to conduct my procurement. I need to be able to view, download or store a list of interested parties so I can create a source list for my solicitation. I also need to be able track and capture responses to the RFI and use the information in my acquisition strategy and plan. Lastly, I need to be able to access the information in the contract file and export it if necessary (Tab 9, Presolicitation Notice/Conference).</t>
  </si>
  <si>
    <t>Ensure system can efficiently:
- Preview and post RFIs
- View, download or store a list of interested parties
- Capture RFI results
- Access information in the contract file and export it if necessary</t>
  </si>
  <si>
    <t>Activity 11 - Limiting Competition; Part D - Considering Unsolicited Proposals; Task 8</t>
  </si>
  <si>
    <t>Notify the offeror that the Government has rejected its unsolicited proposal.</t>
  </si>
  <si>
    <t>ACQ.010.050</t>
  </si>
  <si>
    <t>Acquisition Strategy/Plan Development</t>
  </si>
  <si>
    <t>APP - 27</t>
  </si>
  <si>
    <t>Document government's need and how it will be met through the acquisition; Determine and document how solicitation will be issued, type of contract that will be awarded, and source selection delegation and approach; Includes developing acquisition timeline or milestone plan and identification of appropriate streamlined acquisition vehicles (e.g., Government-Wide Acquisition Contracts (GWACs), Agency Indefinite Delivery Indefinite Quantity (IDIQ) contracts, or Category Management vehicles</t>
  </si>
  <si>
    <t>Enable users to reject unsolicited proposals and notify the offeror of the rejection along with the reasons for the rejection. The system needs to make the rejection available for viewing in the contract file (Tab 6, Determinations and Findings/ Justification) and provide the ability to export the data as a web-form or similar structured manner.</t>
  </si>
  <si>
    <t>Activity 1 - Customer Business Analysis and Acquisition Strategy; Task 5 (Tasks 1-4 are under ACQ.010.010 Customer Business Analysis and Acquisition Strategy)</t>
  </si>
  <si>
    <t xml:space="preserve">As the CO/CS, I need the ability to reject unsolicited proposals so suppliers know their proposal wasn't acceptable.  I also need to be able to access the action in the contract file and export it if necessary. </t>
  </si>
  <si>
    <t xml:space="preserve">Determine if a written acquisition plan is required based on dollar thresholds. If required, identify mandatory elements of the plan. </t>
  </si>
  <si>
    <t>Ensure system can efficiently:
- Create/upload the rejection
- Access information in the contract file and export it if necessary</t>
  </si>
  <si>
    <t>Acquisition plan</t>
  </si>
  <si>
    <t>Activity 14 - Federal Supply Schedule; Part F - Limiting Sources for Orders or BPAs; Task 1</t>
  </si>
  <si>
    <t xml:space="preserve">Other than in the case of procuring a peculiar item from one manufacturer, for a proposed order or BPA with an estimated value exceeding the micro-purchase threshold not placed or established in accordance with the procedures in FAR 8.405-1, 8.405-2, or 8.405-3, justify limiting sources. </t>
  </si>
  <si>
    <t>2.2.2
2.2.2.1
2.2.2.2
2.2.3
2.3.1</t>
  </si>
  <si>
    <t>AP - 30</t>
  </si>
  <si>
    <t xml:space="preserve">Enable users to create an acquisition plan that meets FAR 7 and GSAM 507 requirements. </t>
  </si>
  <si>
    <t>As a CO/CS, I need to be able to document the need for a written acquisition plan, and if one is needed, create an acquisition plan. I need to be able to collaborate with the acquisition team for review and input into the plan.</t>
  </si>
  <si>
    <t>Ensure system can efficiently:
- Create the acquisition plan
- Collaborate with acquisition team members</t>
  </si>
  <si>
    <t>APP - 28</t>
  </si>
  <si>
    <t>Enable users to document the justification to limit sources and publish a notice as required by FAR 5.301. The system needs to make the published notice available for viewing in the contract file (Tab 8, Synopsis/Advertisement) and provide the ability to export the data as a web-form or similar structured manner.</t>
  </si>
  <si>
    <t xml:space="preserve">As the CO/CS, I need the ability to justify why I limited competition and publish a notice so I can comply with the authoritative sources.  I also need to be able to access the action in the contract file and export it if necessary. </t>
  </si>
  <si>
    <t>Ensure system can efficiently:
- Create/upload the justification
- Publish the notice
- Access information in the contract file and export it if necessary</t>
  </si>
  <si>
    <t>Activity 1 - Customer Business Analysis and Acquisition Strategy; Task 6</t>
  </si>
  <si>
    <t>If required, develop the major sections of the acquisition plan, such as milestones, acquisition background, plan of action, and significant considerations</t>
  </si>
  <si>
    <t>Activity 14 - Federal Supply Schedule; Part F - Limiting Sources for Orders or BPAs; Task 1a (Note--there is no Task 1b)</t>
  </si>
  <si>
    <t xml:space="preserve">Publish and post the justification. </t>
  </si>
  <si>
    <t>Posting of justification</t>
  </si>
  <si>
    <t>APP - 29</t>
  </si>
  <si>
    <t>Enable users to post the justification on Federal Business Opportunities (FBO) (and eBuy as appropriate). The system needs to make the postings available for viewing in the contract file (Tab 8, Synopsis/ Advertisement) and provide the ability to export the data as a web-form or similar structured manner.</t>
  </si>
  <si>
    <t xml:space="preserve">As the CO/CS, I need the ability to publish and post a notice to Federal Business Opportunities (FBO).gov (and eBuy as appropriate) that I am limiting competition so I can comply with the authoritative references.  I also need to be able to access the action in the contract file and export it if necessary. </t>
  </si>
  <si>
    <t>Ensure system can efficiently:
- Post a notice to Federal Business Opportunities (FBO).gov (and eBuy as appropriate).
- Access information in the contract file and export it if necessary</t>
  </si>
  <si>
    <t>AP - 31</t>
  </si>
  <si>
    <t>Enable authorized users to assign, track, route, approve and file work and make changes thereto. This includes the ability to delegate/redirect work; comment/edit work; approve work; provide for an audit trail; and version control. The system shall deliver an integrated, secure workflow management capability that provides the ability to route the acquisition plan for review among acquisition team members and provide the ability to capture revisions/edits to the acquisition plan. The system shall enable the routing of the acquisition plan to designated individuals (both on a one-time basis as well as the ability to create standard distribution lists), as well as the re-routing of the plan in the event of an absence of one or more of the acquisition team members. The system shall enable acquisition planning members to review and/or approve as designated by the original router. The system shall be able to capture digital signatures as part of the review/approval process. The system shall provide the ability to create an acquisition plan that meets FAR 7 and GSAM 507 requirements.</t>
  </si>
  <si>
    <t>As an acquisition team member, I need to be able to review and/or approve acquisition plan contents as designated by the originator. If I am not available, I need to be able to designate an alternate so work is not held in suspense.
As a CO/CS, I need to be able to document the need for a written acquisition plan, and if one is needed, create an acquisition plan so I am compliant with the authoritative references. I need to be able to collaborate with the acquisition team for review and input into the plan. I need to be able to review revisions/edits to the acquisition plan so the acquisition plan reflects the government's acquisition planning process. I also need to be able to route the acquisition plan for review and approval (both on a one-time basis as well as a standard distribution list) so I comply with the requirements of the authoritative references. I also need to re-route the plan in the event an acquisition team member is not available.</t>
  </si>
  <si>
    <t>Ensure system can efficiently:
- Assign, track, route, approve, make changes thereto and file the acquisition plan.
- Create the acquisition plan.
- Collaborate with acquisition team members
- Secure approvals</t>
  </si>
  <si>
    <t>Activity 14 - Federal Supply Schedule; Part F - Limiting Sources for Orders or BPAs; Task 2</t>
  </si>
  <si>
    <t xml:space="preserve">When an item is peculiar to one manufacturer, document the basis for restricting competition. </t>
  </si>
  <si>
    <t>Activity 1 - Customer Business Analysis and Acquisition Strategy; Task 7</t>
  </si>
  <si>
    <t>Seek approval of the acquisition plan.</t>
  </si>
  <si>
    <t>Approval of acquisition plan</t>
  </si>
  <si>
    <t>APP - 30</t>
  </si>
  <si>
    <t>Enable users to document the basis for restricting competition. The system needs to make the basis for restricting competition available for viewing in the contract file (Tab 6, Determinations and Findings/ Justifications) and provide the ability to export the data as a web-form or similar structured manner.</t>
  </si>
  <si>
    <t xml:space="preserve">As the CO/CS, I need the ability to document the basis for restricting competition so I can comply with the authoritative references.  I also need to be able to access the action in the contract file and export it if necessary. </t>
  </si>
  <si>
    <t>Ensure system can efficiently:
- Document the basis for restricting competition
- Access information in the contract file and export it if necessary</t>
  </si>
  <si>
    <t>2.2.2.2
2.2.3
2.3.1</t>
  </si>
  <si>
    <t>AP - 32</t>
  </si>
  <si>
    <t>Enable users to route the acquisition plan for review and approval. Enable reviewers and approvers to designate an alternate in their absence and make comments and suggested revisions on the acquisition plan. It shall also enable the originator to accept/reject comments/revisions. Enable the re-routing of the plan as designated by the originator.  Capture digital signatures as part of the review/approval process.</t>
  </si>
  <si>
    <t>Activity 14 - Federal Supply Schedule; Part F - Limiting Sources for Orders or BPAs; Task 3</t>
  </si>
  <si>
    <t>As an acquisition team member, I need to be able to review and/or approve acquisition plan contents as designated by the originator. If I am not available, I need to be able to designate an alternate so work is not held in suspense.
As a CO/CS, I need to be able to review revisions/edits to the acquisition plan so the acquisition plan reflects the government's acquisition planning process. I also need to be able to route the acquisition plan for review and approval (both on a one-time basis as well as a standard distribution list) so I comply with the requirements of the authoritative references.</t>
  </si>
  <si>
    <t xml:space="preserve">Seek approval of the justification. </t>
  </si>
  <si>
    <t>Ensure system can efficiently:
- Route documents, transactions, forms or reports for review and approval
- Reassign work / delegate work
- Edit work
- Capture digital signatures</t>
  </si>
  <si>
    <t>2.2.2.1
2.2.2.2
2.3.1</t>
  </si>
  <si>
    <t>APP - 31</t>
  </si>
  <si>
    <t>Activity 1 - Customer Business Analysis and Acquisition Strategy; Task 8</t>
  </si>
  <si>
    <t xml:space="preserve">Revise the acquisition plan as necessary. </t>
  </si>
  <si>
    <t>Final acquisition plan</t>
  </si>
  <si>
    <t>Activity 14 - Federal Supply Schedule; Part F - Limiting Sources for Orders or BPAs; Task 4</t>
  </si>
  <si>
    <t xml:space="preserve">Post the justification and RFQ. </t>
  </si>
  <si>
    <t>Posting of justification and RFQ</t>
  </si>
  <si>
    <t>AP - 33</t>
  </si>
  <si>
    <t xml:space="preserve">Enable users to capture revisions to the acquisition plan and route it back to the originator.  Enable the originator to accept/reject comments/revisions. Enable the re-routing of the plan as designated by the originator.   </t>
  </si>
  <si>
    <t xml:space="preserve">As an acquisition team member, I need to be able to make comments or revisions to the acquisition plan for the originator's consideration. If I am not available, I need to be able to designate an alternate so work is not held in suspense.
As a CO/CS, I need to be able to review revisions/edits to the acquisition plan so the acquisition plan reflects the government's acquisition planning process. I also need to be able to route the acquisition plan for review and approval (both on a one-time basis as well as a standard distribution list) so I comply with the requirements of the authoritative references. </t>
  </si>
  <si>
    <t>Ensure system can efficiently:
- Reassign work / delegate work.
- Route documents, transactions, forms or reports for review and approval</t>
  </si>
  <si>
    <t>APP - 32</t>
  </si>
  <si>
    <t>Post the justification and RFQ on Federal Business Opportunities (FBO) and eBuy. The system needs to make the postings available for viewing in the contract file (Tab 8, Synopsis/ Advertisement) and provide the ability to export the data as a web-form or similar structured manner.</t>
  </si>
  <si>
    <t xml:space="preserve">As a CO/CS,  I need to be able to post the justification and RFQ to FBO and eBuy so I can comply with the authoritative references.  I also need to be able to access the action in the contract file and export it if necessary. </t>
  </si>
  <si>
    <t>Ensure system can efficiently:
- Post the justification and RFQ to FBO and eBuy
- Access information in the contract file and export it if necessary</t>
  </si>
  <si>
    <t>Activity 1 - Customer Business Analysis and Acquisition Strategy; Task 9</t>
  </si>
  <si>
    <t>File the final acquisition plan.</t>
  </si>
  <si>
    <t>Activity 17 - Indefinite-Delivery/ Indefinite-Quantity Contracts and Ordering Procedures; Part B - Procedures for Ordering Under ID/IQ Contracts; Task 4(a)(i) (Note--Task 3 is in ACQ.030.040 Negotiations/Proposal Revisions)</t>
  </si>
  <si>
    <t>If ordering under a multiple award IDIQ, determine whether there is an exception to fair opportunity.</t>
  </si>
  <si>
    <t>Fair opportunity determination</t>
  </si>
  <si>
    <t>AP - 34</t>
  </si>
  <si>
    <t xml:space="preserve">Document the contract file with the approved acquisition plan (Tab 3, Acquisition Strategy). </t>
  </si>
  <si>
    <t>As a CO/CS, I need to file the final acquisition plan in the contract file.</t>
  </si>
  <si>
    <t>Ensure system can efficiently:
- Access information in the contract file and export it if necessary</t>
  </si>
  <si>
    <t>APP - 33</t>
  </si>
  <si>
    <t>Enable users to document the determination whether there is an exception to fair opportunity. The system needs to make the determination available for viewing in the contract file (Tab 6, Determinations and Findings/ Justifications) and provide the ability to export the data as a web-form or similar structured manner.</t>
  </si>
  <si>
    <t xml:space="preserve">As the CO/CS, I need the ability to document whether there is an exception to fair opportunity so I can comply with the authoritative references.  I also need to be able to access the action in the contract file and export it if necessary. </t>
  </si>
  <si>
    <t>Ensure system can efficiently:
- Create/upload the determination whether there is an exception to fair opportunity
- Access information in the contract file and export it if necessary</t>
  </si>
  <si>
    <t>Activity 1 - Customer Business Analysis and Acquisition Strategy; Task 10</t>
  </si>
  <si>
    <t>Manage the acquisition following the written acquisition plan.</t>
  </si>
  <si>
    <t>Contract administration and project management</t>
  </si>
  <si>
    <t>Activity 17 - Indefinite-Delivery/ Indefinite-Quantity Contracts and Ordering Procedures; Part B - Procedures for Ordering Under ID/IQ Contracts; Task 4(a)(ii)</t>
  </si>
  <si>
    <t>If ordering under a multiple award IDIQ contract and not providing fair opportunity, document the justification for the exception to fair opportunities</t>
  </si>
  <si>
    <t>2.2.2
2.3.1</t>
  </si>
  <si>
    <t>AP - 35</t>
  </si>
  <si>
    <t>Enable users to make the acquisition plan available (view only) for administration of the plan. Enable users to create addendums to the Acquisition Plan (keeping the same identification number as the original plan, but adding an "A" suffix to denote addenda) as necessary and route the addendum for review and approval as designated by the originator. Document the contract file with any final approved addendums (Tab 3, Acquisition Strategy)</t>
  </si>
  <si>
    <t>As a COR, I need to be able to access the acquisition plan to ensure that contract administration and project management activities are in accordance with the plan and to be able to make adjustments as needed to ensure successful performance of the contract.
As a CO/CS, I need to be able to reference the acquisition plan to ensure proper contract administration and collaborate with my COR in the event changes are needed to ensure successful performance of the contract. Changes will be made via an addendum to the acquisition plan so a complete history is available for any follow on procurement.</t>
  </si>
  <si>
    <t>Ensure system can efficiently:
- Access the acquisition plan
- Annotate needed changes
- Route for review and approval
- Access information in the contract file and export it if necessary</t>
  </si>
  <si>
    <t>APP - 34</t>
  </si>
  <si>
    <t>Enable users to document the justification for the exception to fair opportunities. The system needs to make the justification available for viewing in the contract file (Tab 6, Determinations and Findings/ Justifications) and provide the ability to export the data as a web-form or similar structured manner.</t>
  </si>
  <si>
    <t xml:space="preserve">As the CO/CS, I need to create/upload the justification for the exception to fair opportunity that addresses each required element as outlined in the authoritative references so I comply with them.   I also need to be able to access the action in the contract file and export it if necessary. </t>
  </si>
  <si>
    <t>Activity 7 - Requires Sources of Supplies and Services; Task 1</t>
  </si>
  <si>
    <t>Ensure system can efficiently:
- Create/upload the justification
- Access information in the contract file and export it if necessary</t>
  </si>
  <si>
    <t xml:space="preserve">Determine whether it is a supply or services being procured. </t>
  </si>
  <si>
    <t>Product/service identification for the acquisition strategy</t>
  </si>
  <si>
    <t>Activity 17 - Indefinite-Delivery/ Indefinite-Quantity Contracts and Ordering Procedures; Part B - Procedures for Ordering Under ID/IQ Contracts; Task 4(a)(iii)</t>
  </si>
  <si>
    <t>If ordering from a multiple-award IDIQ contract and not providing fair opportunity, seek approval of the justification, if required</t>
  </si>
  <si>
    <t>2.1.1
2.2.2
2.2.2.1
2.2.2.2
2.3.1</t>
  </si>
  <si>
    <t>AP - 36</t>
  </si>
  <si>
    <t xml:space="preserve">Enable users to capture the determination in the acquisition plan whether a supply or service is being procured. </t>
  </si>
  <si>
    <t>As a CO/CS, I need to determine whether I am purchasing a supply or service so I can comply with the authoritative references and document the acquisition strategy in the acquisition plan.</t>
  </si>
  <si>
    <t>Ensure system can efficiently:
- Capture the determination in the acquisition plan</t>
  </si>
  <si>
    <t>APP - 35</t>
  </si>
  <si>
    <t>Enable users to route documents for review and approval. Enable the reviewer/approver to edit/revise documents and return it to the originator.  The system needs to make the approvals available for viewing in the contract file (Tab 6, Determinations and Findings/ Justifications) and provide the ability to export the data as a web-form or similar structured manner.</t>
  </si>
  <si>
    <t xml:space="preserve">As a reviewer/approver, I need the ability to review documents, make edits/revisions, and route the document for other reviews/approvals or return the documents. 
As the CO/CS, I need the ability to route documents for review and approval so I secure any required approvals for the justification.  I also need the ability to consider recommended edits/revisions from other reviewers/approvers.  I also need to be able to access the action in the contract file and export it if necessary. </t>
  </si>
  <si>
    <t>Activity 7 - Requires Sources of Supplies and Services; Task 2</t>
  </si>
  <si>
    <t>Ensure system can efficiently:
- Route documents for review and approval
- Review recommended edits/revisions
- Return documents
- Access information in the contract file and export it if necessary</t>
  </si>
  <si>
    <t xml:space="preserve">Determine if there is a required source for the supply. </t>
  </si>
  <si>
    <t>Sources for the acquisition strategy</t>
  </si>
  <si>
    <t>Activity 17 - Indefinite-Delivery/ Indefinite-Quantity Contracts and Ordering Procedures; Part B - Procedures for Ordering Under ID/IQ Contracts; Task 4(a)(iv)</t>
  </si>
  <si>
    <t>If ordering from a multiple award IDIQ contract and not providing fair opportunity, publish a notice and make the justification publicly available.</t>
  </si>
  <si>
    <t>Public notice</t>
  </si>
  <si>
    <t>AP - 37</t>
  </si>
  <si>
    <t>Enable users to capture the determination in the acquisition plan whether there are required sources of supply for the supply or service being procured.</t>
  </si>
  <si>
    <t>As a CO/CS, I need to determine whether there is a required source of supply for the supply or service being procured so I can comply with the authoritative references and document the acquisition strategy in the acquisition plan.</t>
  </si>
  <si>
    <t>Activity 7 - Requires Sources of Supplies and Services; Task 3</t>
  </si>
  <si>
    <t>APP - 36</t>
  </si>
  <si>
    <t>Determine whether required services are available from the Committee for Purchase from People Who Are Blind or Severely Disabled</t>
  </si>
  <si>
    <t>ACQ.020.030</t>
  </si>
  <si>
    <t>Performance Work Statement (PWS), Statement of Work (SOW), Statement of Objectives (SOO) (Section C) Development</t>
  </si>
  <si>
    <t>Develop and document description of the work to be performed using specifications, minimum requirements, quantities, performance dates, time and place of performance, and/or quality measures</t>
  </si>
  <si>
    <t>Activity 5 - Requirements Document Analysis; Task 1</t>
  </si>
  <si>
    <t>Review the results of market research (See ACQ.010.010 Requirements Development) and finalize</t>
  </si>
  <si>
    <t>Market research report; document contract file</t>
  </si>
  <si>
    <t>AP - 38</t>
  </si>
  <si>
    <t>Enable users to capture the determination in the acquisition plan that services are available from the Committee for Purchase from People Who Are Blind or Severely Disabled.</t>
  </si>
  <si>
    <t>As a CO/CS, I need to determine that services are available from the Committee so I can comply with the authoritative references and document the acquisition strategy in the acquisition plan.</t>
  </si>
  <si>
    <t>Activity 7 - Requires Sources of Supplies and Services; Task 5 (Note--Task 4 is in ACQ.020.080 Solicitation Documentation Development)</t>
  </si>
  <si>
    <t xml:space="preserve">If the need cannot be satisfied from the required sources of supplies and services, consider satisfying requirements from or through non mandatory sources. </t>
  </si>
  <si>
    <t>2.1.1
2.3.1</t>
  </si>
  <si>
    <t>APP - 37</t>
  </si>
  <si>
    <t>Enable users to retrieve the results of the information contained in Acquisition Planning tab in this workbook to use the information in finalizing the requirements and acquisition package.</t>
  </si>
  <si>
    <t xml:space="preserve">As a CO/CS, I need to be able to review the available information to organize market research in a logical manner to support requirements development so I can comply with the authoritative references.
</t>
  </si>
  <si>
    <t>Ensure system can efficiently:
- Retrieve acquisition planning information
- Use the information to finalize requirements and acquisition package</t>
  </si>
  <si>
    <t>AP - 39</t>
  </si>
  <si>
    <t>Enable users to capture the determination in the acquisition plan whether there are required sources of supply for the supply or service being procured based on the hierarchy noted in FAR 8.</t>
  </si>
  <si>
    <t>Activity 7 - Requires Sources of Supplies and Services; Task 6</t>
  </si>
  <si>
    <t xml:space="preserve">Verify that use of other mandatory sources is not required. </t>
  </si>
  <si>
    <t xml:space="preserve">Enable users to capture the determination in the acquisition plan that there are no other mandatory sources required to be used based on the hierarchy noted in FAR 8. </t>
  </si>
  <si>
    <t>Activity 8 - Basic Agreements and Basic Ordering Agreements; Task 1</t>
  </si>
  <si>
    <t>Determine if the use of an agreement is appropriate for the acquisition.</t>
  </si>
  <si>
    <t>Acquisition strategy</t>
  </si>
  <si>
    <t>Activity 5 - Requirements Document Analysis; Task 2</t>
  </si>
  <si>
    <t xml:space="preserve">Collect the information for the requirements documents. </t>
  </si>
  <si>
    <t>Draft acquisition package</t>
  </si>
  <si>
    <t>2.2.2
2.2.2.1
2.2.2.2
2.3.1</t>
  </si>
  <si>
    <t>AP - 40</t>
  </si>
  <si>
    <t xml:space="preserve">Enable users to capture the determination in the acquisition plan whether the use of an agreement is appropriate. </t>
  </si>
  <si>
    <t>As a CO/CS, I need to determine whether it's appropriate to use an agreement so I can comply with the authoritative references and document the acquisition strategy in the acquisition plan.</t>
  </si>
  <si>
    <t>2.2.2.2
2.3.1</t>
  </si>
  <si>
    <t>APP - 38</t>
  </si>
  <si>
    <t xml:space="preserve">As a CO/CS, I need to be able to review the available information to finalize the requirements and use the information to finalize the acquisition package so I can comply with the authoritative references. </t>
  </si>
  <si>
    <t>Ensure system can efficiently:
- Retrieve acquisition planning information
- Organize and document market research in support of requirements development</t>
  </si>
  <si>
    <t>Activity 8 - Basic Agreements and Basic Ordering Agreements; Task 2</t>
  </si>
  <si>
    <t>Determine the type of agreement that is appropriate for the acquisition.</t>
  </si>
  <si>
    <t>Activity 5 - Requirements Document Analysis; Task 2a</t>
  </si>
  <si>
    <t xml:space="preserve">Review the completed D&amp;F document, if applicable. </t>
  </si>
  <si>
    <t>Final requirements</t>
  </si>
  <si>
    <t>AP - 41</t>
  </si>
  <si>
    <t xml:space="preserve">Enable users to capture the determination in the acquisition plan whether the type of agreement is appropriate. </t>
  </si>
  <si>
    <t xml:space="preserve">As a CO/CS, I need to determine the appropriate use of the selected type of agreement so I can comply with the authoritative references and document the acquisition strategy in the acquisition plan. </t>
  </si>
  <si>
    <t>APP - 39</t>
  </si>
  <si>
    <t>Enable users to retrieve the determination and findings contained in Acquisition Planning tab of this workbook to review the D&amp;F.</t>
  </si>
  <si>
    <t>As a CO/CS, I need to be able to review the D&amp;F information to finalize the requirements and use the information to finalize the acquisition package so I can comply with the authoritative references.</t>
  </si>
  <si>
    <t>Ensure system can efficiently:
- Retrieve Determination and Findings information
- Use the information to finalize requirements and acquisition package</t>
  </si>
  <si>
    <t>Activity 10 - Types of Contract; Task 1</t>
  </si>
  <si>
    <t xml:space="preserve">Determine the appropriate contract type based on the requirements, pertinent factors, and potential risks. </t>
  </si>
  <si>
    <t>Contract type determination for the acquisition strategy</t>
  </si>
  <si>
    <t>Activity 5 - Requirements Document Analysis; Task 2b</t>
  </si>
  <si>
    <t>Review the data in the completed justification and approval (J&amp;A), if applicable</t>
  </si>
  <si>
    <t>AP - 42</t>
  </si>
  <si>
    <t xml:space="preserve">Enable users to capture the determination in the acquisition plan of the appropriate contract type. </t>
  </si>
  <si>
    <t>As a CO/CS, I need to determine the appropriate contract type so I can comply with the authoritative references and document the acquisition strategy in the acquisition plan.</t>
  </si>
  <si>
    <t>APP - 40</t>
  </si>
  <si>
    <t>Enable users to retrieve the data in the completed justification and approvals contained in Acquisition Planning tab of this workbook to review the data.</t>
  </si>
  <si>
    <t>As a CO/CS, I need to be able to review the J&amp;A information to finalize the requirements and use the information to finalize the acquisition package so I can comply with the authoritative references.</t>
  </si>
  <si>
    <t>Ensure system can efficiently:
- Retrieve data in the completed Justification and Approval
- Use the information to finalize requirements and acquisition package</t>
  </si>
  <si>
    <t>Activity 5 - Requirements Document Analysis; Task 2c</t>
  </si>
  <si>
    <t xml:space="preserve">Review the data in the draft CID requirement document, if applicable. </t>
  </si>
  <si>
    <t>Activity 10 - Types of Contract; Task 2</t>
  </si>
  <si>
    <t xml:space="preserve">Consider if one of the fixed-price contracts is appropriate for the requirement. </t>
  </si>
  <si>
    <t>APP - 41</t>
  </si>
  <si>
    <t>Enable users to retrieve the data from ACQ.010.010 Requirements Development and ACQ.010.030 Market Research to review the data.</t>
  </si>
  <si>
    <t xml:space="preserve">As a CO/CS, I need to be able to review the CID information to finalize the requirements and use the information to finalize the acquisition package so I can comply with the authoritative references.
</t>
  </si>
  <si>
    <t>Ensure system can efficiently:
- Retrieve data from ACQ.010.010 Requirements Development and ACQ.010.030 Market Research
- Use the information to finalize requirements and acquisition package</t>
  </si>
  <si>
    <t>AP - 43</t>
  </si>
  <si>
    <t xml:space="preserve">Enable users to capture the determination in the acquisition plan if one of the fixed-price contracts is the appropriate contract type. </t>
  </si>
  <si>
    <t xml:space="preserve">As a CO/CS, I need to determine if one of the fixed-price contracts is the appropriate contract type so I can comply with the authoritative references and document the acquisition strategy in the acquisition plan. </t>
  </si>
  <si>
    <t>Activity 5 - Requirements Document Analysis; Task 2d</t>
  </si>
  <si>
    <t xml:space="preserve">Review the data in the draft PWS, if applicable. </t>
  </si>
  <si>
    <t>Activity 10 - Types of Contract; Task 2a</t>
  </si>
  <si>
    <t>Determine if a firm-fixed-price contract is appropriate for the requirement</t>
  </si>
  <si>
    <t>APP - 42</t>
  </si>
  <si>
    <t>Activity 5 - Requirements Document Analysis; Task 2e</t>
  </si>
  <si>
    <t xml:space="preserve">Review the data in the draft SOO, if applicable. </t>
  </si>
  <si>
    <t>AP - 44</t>
  </si>
  <si>
    <t xml:space="preserve">Enable users to capture the determination in the acquisition plan if a firm-fixed price contract is the appropriate contract type. </t>
  </si>
  <si>
    <t xml:space="preserve">As a CO/CS, I need to determine if a firm-fixed price contract is the appropriate contract type so I can comply with the authoritative reference and document the acquisition strategy in the acquisition plan.  </t>
  </si>
  <si>
    <t>Activity 10 - Types of Contract; Task 2b</t>
  </si>
  <si>
    <t>Determine if fixed-price contract with economic price adjustment is appropriate for the requirement</t>
  </si>
  <si>
    <t>Activity 5 - Requirements Document Analysis; Task 2f</t>
  </si>
  <si>
    <t xml:space="preserve">Review the data in the draft SOW, if applicable. </t>
  </si>
  <si>
    <t>APP - 43</t>
  </si>
  <si>
    <t>Enable users to retrieve the data from ACQ.010.010 Requirements Development and ACQ.010.030 Market Research and review the data.</t>
  </si>
  <si>
    <t xml:space="preserve">As a CO/CS, I need to be able to review the SOW information to finalize the requirements and use the information to finalize the acquisition package so I can comply with the authoritative references.
</t>
  </si>
  <si>
    <t>AP - 45</t>
  </si>
  <si>
    <t xml:space="preserve">Enable users to capture the determination in the acquisition plan if a firm-fixed price contract with economic price adjustment is the appropriate contract type. </t>
  </si>
  <si>
    <t>As a CO/CS, I need to determine if a firm-fixed price contract with economic price reduction is the appropriate contract type so I can comply with the authoritative references and document the acquisition strategy in the acquisition plan.</t>
  </si>
  <si>
    <t>Activity 5 - Requirements Document Analysis; Task 2g</t>
  </si>
  <si>
    <t xml:space="preserve">Review the data in the draft specification requirement document, if applicable. </t>
  </si>
  <si>
    <t>Activity 10 - Types of Contract; Task 2c</t>
  </si>
  <si>
    <t>Determine if fixed-price incentive contract is appropriate for the requirement</t>
  </si>
  <si>
    <t>APP - 44</t>
  </si>
  <si>
    <t>Activity 5 - Requirements Document Analysis; Task 2g(i)</t>
  </si>
  <si>
    <t xml:space="preserve">Review the draft design specification document, if applicable of this requirement. </t>
  </si>
  <si>
    <t>AP - 46</t>
  </si>
  <si>
    <t xml:space="preserve">Enable users to capture the determination in the acquisition plan if a fixed-priced incentive contract is the appropriate contract type. </t>
  </si>
  <si>
    <t>As a CO/CS, I need to determine if a fixed price incentive contract is the appropriate contract type so I can comply with the authoritative references and document the acquisition strategy in the acquisition plan.</t>
  </si>
  <si>
    <t>Activity 5 - Requirements Document Analysis; Task 2g(ii)</t>
  </si>
  <si>
    <t>Review the draft functional specifications document, if applicable</t>
  </si>
  <si>
    <t>Activity 10 - Types of Contract; Task 2d</t>
  </si>
  <si>
    <t xml:space="preserve">Determine if a fixed-price contract with an award fee is appropriate for the requirement. </t>
  </si>
  <si>
    <t>Activity 5 - Requirements Document Analysis; Task 2g(iii)</t>
  </si>
  <si>
    <t xml:space="preserve">Review the draft performance specification document, if applicable. </t>
  </si>
  <si>
    <t>AP - 47</t>
  </si>
  <si>
    <t xml:space="preserve">Enable users to capture the determination in the acquisition plan if a fixed-price contract with an award fee is the appropriate contract type. </t>
  </si>
  <si>
    <t>As a CO/CS, I need to determine if a fixed-price contract with award fee is the appropriate contract type so I can comply with the authoritative references and document the acquisition strategy in the acquisition plan.</t>
  </si>
  <si>
    <t>Activity 5 - Requirements Document Analysis; Task 2h</t>
  </si>
  <si>
    <t>Review the draft government standard, if applicable</t>
  </si>
  <si>
    <t>Activity 10 - Types of Contract; Task 2e</t>
  </si>
  <si>
    <t>Determine if a fixed-price contract with price redetermination is the appropriate for the requirement</t>
  </si>
  <si>
    <t>AP - 48</t>
  </si>
  <si>
    <t>Activity 5 - Requirements Document Analysis; Task 2i</t>
  </si>
  <si>
    <t xml:space="preserve">Enable users to capture the determination in the acquisition plan if a fixed-price contract with price redetermination is the appropriate contract type. </t>
  </si>
  <si>
    <t xml:space="preserve">Review the draft industry standard document, if applicable. </t>
  </si>
  <si>
    <t>As a CO/CS, I need to determine if a fixed-price contract with price redetermination is the appropriate contract type so I can comply with the authoritative references and document the acquisition strategy in the acquisition plan.</t>
  </si>
  <si>
    <t>Activity 10 - Types of Contract; Task 2f</t>
  </si>
  <si>
    <t>Determine if a firm-fixed-price, level-of-effort term contract is the appropriate for the requirement</t>
  </si>
  <si>
    <t>Activity 5 - Requirements Document Analysis; Task 3</t>
  </si>
  <si>
    <t xml:space="preserve">Determine if the requirements documents properly use existing documents to identify the essential government need while eliminating unnecessarily restrictive requirements. </t>
  </si>
  <si>
    <t>Maximized competition</t>
  </si>
  <si>
    <t>AP - 49</t>
  </si>
  <si>
    <t>Enable users to capture the determination in the acquisition plan if a firm-fixed price, level-of-effort term contract is the appropriate contract type. If the dollar value is over $150K, the system shall enable users to route the acquisition plan to the Chief of the Contracting Office for approval.</t>
  </si>
  <si>
    <t>As a CO/CS, I need to determine if a firm-fixed price, level-of-effort term contract is the appropriate contract type so I can comply with the authoritative references and document the acquisition strategy in the acquisition plan.
As the Chief of the Contracting Office, I need to approve an acquisition plan that uses any firm-fixed price level of effort contract over $150,000 to comply with authoritative references.</t>
  </si>
  <si>
    <t>Ensure system can efficiently:
- Capture the determination in the acquisition plan
- Route any acquisition plan with a firm-fixed price, level-of-effort term contract type for review and approvals</t>
  </si>
  <si>
    <t>APP - 45</t>
  </si>
  <si>
    <t>Enable users to retrieve the data from ACQ.010.010 Requirements Development and ACQ.010.030 Market Research to review the data. Enable users to document the determination in the acquisition plan contents if the requirements documents identify essential government needs without unduly restrictive requirements. The system needs to make the action available for viewing in the contract file (Tab 3, Acquisition Strategy) and provide the ability to export the data as a web-form or similar structured manner.</t>
  </si>
  <si>
    <t xml:space="preserve">As a CO/CS, I need to be able to review the available information to finalize the requirements and use the information to finalize the acquisition package so I can comply with the authoritative references.  I also need to be able to access the action in the contract file and export it if necessary. </t>
  </si>
  <si>
    <t>Ensure system can efficiently:
- Retrieve data from ACQ.010.010 Requirements Development and ACQ.010.030 Market Research
- Use the information to finalize requirements and acquisition package
- Create and upload the determination in the acquisition plan
- Access information in the contract file and export it if necessary</t>
  </si>
  <si>
    <t>Activity 10 - Types of Contract; Task 3</t>
  </si>
  <si>
    <t>Consider if one of the cost reimbursement contracts is appropriate for the requirement</t>
  </si>
  <si>
    <t>Activity 5 - Requirements Document Analysis; Task 4</t>
  </si>
  <si>
    <t>Identify apparent weaknesses in the requirements document.</t>
  </si>
  <si>
    <t>List of weaknesses in the requirements document</t>
  </si>
  <si>
    <t>AP - 50</t>
  </si>
  <si>
    <t>Enable users to capture the determination in the acquisition plan if one of the cost reimbursement contracts is the appropriate contract type. If it is, the system shall enable users to route the acquisition plan one level above the CO for approval.</t>
  </si>
  <si>
    <t>As a CO/CS, I need to determine if one of the cost-reimbursement contracts is the appropriate contract type so I can comply with the authoritative references and document the acquisition strategy in the acquisition plan and secure any needed approvals.
As one level above the CO, I need to approve an acquisition plan that uses a cost reimbursement contract type to comply with the authoritative references.</t>
  </si>
  <si>
    <t>Ensure system can efficiently:
- Capture the determination in the acquisition plan
- Route any acquisition plan with a cost reimbursement contract type for review and approvals</t>
  </si>
  <si>
    <t>Activity 10 - Types of Contract; Task 3a</t>
  </si>
  <si>
    <t xml:space="preserve">Determine if a cost-sharing contract is appropriate for the requirement. </t>
  </si>
  <si>
    <t>1.3.1
1.3.2
1.6.1</t>
  </si>
  <si>
    <t>APP - 46</t>
  </si>
  <si>
    <t>Enable users to review and collaborate on customer requirements documents among acquisition team members. Enable users to track each change made by the acquisition team and enable the originator of the document to accept or reject changes. The system needs to make the action available for viewing in the contract file (Tab 2, Describing Agency Needs) and provide the ability to export the data as a web-form or similar structured manner.</t>
  </si>
  <si>
    <t xml:space="preserve">As the customer, I need to ensure my requirements are clear so suppliers understand what I need. I will sign off on the final requirements document after collaboration amongst the team.
As the PMO, I need to help the customer finalize their requirements so my CO/CS has a good basis to develop the solicitation. This includes collaborating with team members to finalize customer requirements. I will approve the final document.
As a CO/CS, I need to ensure the Government's requirements are clear and unambiguous because they form the basis of the technical requirements of the solicitation. I need to identify needed revisions and collaborate with team members to finalize requirements.  I also need to be able to access the action in the contract file and export it if necessary.  </t>
  </si>
  <si>
    <t>Ensure system can efficiently:
- Enable review of requirements.
- Support collaboration of customer requirements and track changes for the originator to accept/reject.
- Use customer requirements to draft the solicitation requirements.
- Finalize the requirement and secure approvals.
- Access information in the contract file and export it if necessary</t>
  </si>
  <si>
    <t>AP - 51</t>
  </si>
  <si>
    <t xml:space="preserve">Enable users to capture the determination in the acquisition plan if a cost-sharing contract is the appropriate contract type. If it is, the system shall enable users to route the acquisition plan one level above the CO for approval. </t>
  </si>
  <si>
    <t>As a CO/CS, I need to determine if a cost-sharing contract is the appropriate contract type so I can comply with the authoritative references and document the acquisition strategy in the acquisition plan and  secure any needed approvals.
As one level above the CO, I need to approve an acquisition plan that uses a cost-sharing contract type to comply with the authoritative references.</t>
  </si>
  <si>
    <t>Ensure system can efficiently:
- Capture the determination in the acquisition plan
- Route any acquisition plan with a cost sharing contract type for review and approvals</t>
  </si>
  <si>
    <t>Activity 5 - Requirements Document Analysis; Task 5</t>
  </si>
  <si>
    <t>Assist the customer in modifying their requirements documents, if applicable.</t>
  </si>
  <si>
    <t>Activity 10 - Types of Contract; Task 3b</t>
  </si>
  <si>
    <t>Determine if a cost-plus-incentive fee contract is the appropriate contract for the requirement</t>
  </si>
  <si>
    <t>Activity 14 - Federal Supply Schedules; Part D - Procedures for Placing an Order for Services and Establishing a BPA Against an FSS Contract When a Statement of Work (SOW) is Required; Task 1</t>
  </si>
  <si>
    <t xml:space="preserve">If using FSS for services, prepare a statement of work (SOW). </t>
  </si>
  <si>
    <t>SOW</t>
  </si>
  <si>
    <t>AP - 52</t>
  </si>
  <si>
    <t>Enable users to capture the determination in the acquisition plan if a cost-plus-incentive fee contract is the appropriate contract type. If it is, the system shall enable users to route the acquisition plan one level above the CO for approval.</t>
  </si>
  <si>
    <t>As a CO/CS, I need to determine if a cost-plus-incentive fee contract is the appropriate contract type so I can comply with the authoritative references and document the acquisition strategy in the acquisition plan and secure any needed approvals.
As one level above the CO, I need to approve an acquisition plan that uses a cost-plus-incentive fee contract type to comply with the authoritative references.</t>
  </si>
  <si>
    <t>Ensure system can efficiently:
- Capture the determination in the acquisition plan
- Route any acquisition plan with a cost-plus-incentive fee contract type for review and approvals</t>
  </si>
  <si>
    <t xml:space="preserve">1.3.1
1.3.2
1.6.1
3.2.1
3.2.1.1
3.2.1.2
3.5.1
</t>
  </si>
  <si>
    <t>APP - 47</t>
  </si>
  <si>
    <t>Enable users to document a requirements document. The system needs to make the action available for viewing in the contract file (Tab 2, Describing Agency Needs) and provide the ability to export the data as a web-form or similar structured manner.</t>
  </si>
  <si>
    <t xml:space="preserve">As a customer, I need to give my final requirements to the CO/CS so they can prepare the request for quote (RFQ).
As a CO/CS, I need to receive final requirements from my customer to create the RFQ so I can compete the requirement amongst Federal Supply Schedule holders.  I also need to be able to access the action in the contract file and export it if necessary. </t>
  </si>
  <si>
    <t>Ensure system can efficiently:
- Receive and upload final requirements
- Create and load the RFQ
- Access information in the contract file and export it if necessary</t>
  </si>
  <si>
    <t>Activity 10 - Types of Contract; Task 3c</t>
  </si>
  <si>
    <t xml:space="preserve">Determine if a cost-plus-award-fee is the appropriate cost reimbursable contract for the requirement. </t>
  </si>
  <si>
    <t>ACQ.020.040</t>
  </si>
  <si>
    <t>Technical Evaluation Criteria and Instructions to Offerors (Sections L&amp;M) Development</t>
  </si>
  <si>
    <t>Identify and document price and non-price factors that will be used to evaluate the submissions received</t>
  </si>
  <si>
    <t>Activity 18 - Contracting by Negotiation; Task 5 (Note--Task 4 is in ACA.020.080 Solicitation Development Documentation)</t>
  </si>
  <si>
    <t>Prepare the source selection plan.</t>
  </si>
  <si>
    <t>Source selection plan</t>
  </si>
  <si>
    <t>AP - 53</t>
  </si>
  <si>
    <t>Enable users to capture the determination in the acquisition plan if a cost-plus-award fee contract is the appropriate contract type. If it is, the system shall enable users to route the acquisition plan one level above the CO for approval.</t>
  </si>
  <si>
    <t>As a CO/CS, I need to determine if a cost-plus-award fee contract is the appropriate contract type so I can comply with the authoritative references and document the acquisition strategy in the acquisition plan and secure any needed approvals.
As one level above the CO, I need to approve an acquisition plan that uses a cost-plus-award fee contract type to comply with the authoritative references.</t>
  </si>
  <si>
    <t>Ensure system can efficiently:
- Capture the determination in the acquisition plan
- Route any acquisition plan with a cost-plus-award fee contract type for review and approvals</t>
  </si>
  <si>
    <t>Activity 10 - Types of Contract; Task 3d</t>
  </si>
  <si>
    <t>Determine if a cost-plus-fixed-fee is the appropriate cost reimbursable contract for the requirement</t>
  </si>
  <si>
    <t>3.2.1
3.2.1.1
3.5.1</t>
  </si>
  <si>
    <t>APP - 48</t>
  </si>
  <si>
    <t>Enable users to conduct source selections/technical evaluations for varying number of offers across FAS (e.g., from a single offer to thousands of offers) in an automated, secure manner. Source selections/technical evaluations are conducted along the entirety of the best value continuum for a variety of acquisitions. Any one or a combination of source selection approaches can be used (e.g., best value trade-offs, low price technically acceptable, varying relevant importance of cost/price, varying rating standards (e.g., adjectival, numeric/formulaic based, color, etc.)). Enable users to create/upload the source selection or technical evaluation plans. The system shall be able to retrieve source selection data, including evaluations, in response to a protest. The system needs to make the action available for viewing in the contract file (Tab 3, Acquisition Strategy) and provide the ability to export the data as a web-form or similar structured manner.</t>
  </si>
  <si>
    <t>As a CO/CS I need to be able to conduct source selections/technical evaluations in an automated, secure manner to manage the volume of offers that need to be evaluated. I also need to protect the proposals because they contain source selection sensitive information protected by the Procurement Integrity Act. I need to be able to select the appropriate best value strategy and create the evaluation criteria and relative importance on an acquisition-by-acquisition basis because each procurement can be unique. I need the system to streamline the evaluation of offers, bring consistency to the evaluation, and document the process and outcomes. I also need to create/upload a source selection or technical evaluation plan that supports the most applicable part of the best value continuum for the acquisition to comply with authoritative references. I need the FAS system to document the evaluation outcomes and enable both individual and consensus evaluations (for team evaluations) as well as an independent evaluation by an evaluator or by the CO.  I also need to be able to access the action in the contract file and export it if necessary.  I also need to retrieve data from the source selection tool in response to protests.</t>
  </si>
  <si>
    <t>Ensure system can efficiently:
- Automate the source selection process
- Create/upload the source selection/technical evaluation plan
- Document the process and evaluation outcomes
- Document the the contract file
- Retrieve data to respond to protests</t>
  </si>
  <si>
    <t>AP - 54</t>
  </si>
  <si>
    <t>Enable users to capture the determination in the acquisition plan if a cost-plus-fixed fee contract is the appropriate contract type. If it is, the system shall enable users to route the acquisition plan one level above the CO for approval.</t>
  </si>
  <si>
    <t>As a CO/CS, I need to determine if a cost-plus-fixed fee contract is the appropriate contract type so I can comply with the authoritative references and document the acquisition strategy in the acquisition plan and secure any needed approvals.
As one level above the CO, I need to approve an acquisition plan that uses a cost-plus-fixed fee contract type to comply with the authoritative references.</t>
  </si>
  <si>
    <t>Ensure system can efficiently:
- Capture the determination in the acquisition plan
- Route any acquisition plan with a cost-plus-fixed fee contract type for review and approvals</t>
  </si>
  <si>
    <t>Activity 10 - Types of Contract; Task 4</t>
  </si>
  <si>
    <t xml:space="preserve">Consider if one of the indefinite delivery contracts is appropriate for the requirement. </t>
  </si>
  <si>
    <t>AP - 55</t>
  </si>
  <si>
    <t>Enable users to capture the determination in the acquisition plan if one of the indefinite-delivery contracts is the appropriate contract type.</t>
  </si>
  <si>
    <t>As a CO/CS, I need to determine if one of the indefinite-delivery contracts is the appropriate contract type so I can comply with the authoritative references and document the acquisition strategy in the acquisition plan.</t>
  </si>
  <si>
    <t>Activity 10 - Types of Contract; Task 4a</t>
  </si>
  <si>
    <t>Determine if a definite-quantity contract is appropriate for the requirement</t>
  </si>
  <si>
    <t>Activity 18 - Contracting by Negotiation; Task 5a</t>
  </si>
  <si>
    <t>Determine the source selection technique and evaluation factors.</t>
  </si>
  <si>
    <t>APP - 49</t>
  </si>
  <si>
    <t>Enable users to document the source selection technique and evaluation factors. The system needs to make the action available for viewing in the contract file (Tab 3, Acquisition Strategy) and provide the ability to export the data as a web-form or similar structured manner.</t>
  </si>
  <si>
    <t xml:space="preserve">As a CO/CS I need to be able to determine the appropriate source selection technical and evaluation factors for my procurement so I can properly evaluate proposals in a clear, consistent, fair manner.  I also need to be able to access the action in the contract file and export it if necessary. </t>
  </si>
  <si>
    <t xml:space="preserve">Ensure system can efficiently:
- Create/upload the source selection/technical evaluation techniques and factors
- Document the the contract file
</t>
  </si>
  <si>
    <t>Activity 18 - Contracting by Negotiation; Task 5(a)(i)</t>
  </si>
  <si>
    <t xml:space="preserve">Determine the non-price evaluation factors and subfactors and their relative importance to each other. State this relationship in the source selection plan. </t>
  </si>
  <si>
    <t>AP - 56</t>
  </si>
  <si>
    <t xml:space="preserve">Enable users to capture the determination in the acquisition plan if a definite-quantity contract is the appropriate contract type. </t>
  </si>
  <si>
    <t>As a CO/CS, I need to determine if one of the definite-quantity contracts is the appropriate contract type so I can comply with the authoritative references and document the acquisition strategy in the acquisition plan.</t>
  </si>
  <si>
    <t>APP - 50</t>
  </si>
  <si>
    <t>Enable users to document the non-price evaluation factors and subfactors and their relative importance to each other and state this relationship in the source selection/technical evaluation plan. The system needs to make the action available for viewing in the contract file (Tab 3, Acquisition Strategy) and provide the ability to export the data as a web-form or similar structured manner.</t>
  </si>
  <si>
    <t xml:space="preserve">As a CO/CS I need to be able to create/upload non-price evaluation factors, subfactors, and their relative importance to each other in the source selection tool and source selection/technical evaluation plan so I can properly evaluate proposals in a clear, consistent, fair manner.  I also need to be able to access the action in the contract file and export it if necessary.  </t>
  </si>
  <si>
    <t xml:space="preserve">Ensure system can efficiently:
- Create/upload non-price evaluation factors, subfactors, and their relative importance to each other
- Access information in the contract file and export it if necessary
</t>
  </si>
  <si>
    <t>Activity 10 - Types of Contract; Task 4b</t>
  </si>
  <si>
    <t xml:space="preserve">Determine if an indefinite-quantity contract is appropriate for the requirement. </t>
  </si>
  <si>
    <t>Activity 18 - Contracting by Negotiation; Task 5(a)(ii)</t>
  </si>
  <si>
    <t xml:space="preserve">If using the tradeoff process, determine the relative importance of the factors and subfactors, and state their relative importance in the solicitation. </t>
  </si>
  <si>
    <t>AP - 57</t>
  </si>
  <si>
    <t xml:space="preserve">Enable users to capture the determination if an indefinite-quantity contract is the appropriate contract type. </t>
  </si>
  <si>
    <t>As a CO/CS, I need to determine if one of the indefinite-quantity contracts is the appropriate contract type so I can comply with the authoritative references and document the acquisition strategy in the acquisition plan.</t>
  </si>
  <si>
    <t>Activity 10 - Types of Contract; Task 4c</t>
  </si>
  <si>
    <t xml:space="preserve">Consider whether a requirements contract is appropriate for the requirement. </t>
  </si>
  <si>
    <t>APP - 51</t>
  </si>
  <si>
    <t>Enable users to document the determination of the relative importance of the factors, subfactors, and state their relative importance in the solicitation.  The system needs to make the action available for viewing in the contract file (Tab 3, Acquisition Strategy) and provide the ability to export the data as a web-form or similar structured manner.</t>
  </si>
  <si>
    <t xml:space="preserve">As a CO/CS I need to be able to create/upload the determination of the relative importance of the factors, subfactors, and state their relative importance in the solicitation so the source selection/technical evaluation plan is consistent with the solicitation.  I also need to be able to access the action in the contract file and export it if necessary. </t>
  </si>
  <si>
    <t xml:space="preserve">Ensure system can efficiently:
- Create/upload the determination of the relative importance of the factors, subfactors, and state their relative importance in the solicitation
- Access information in the contract file and export it if necessary
</t>
  </si>
  <si>
    <t>AP - 58</t>
  </si>
  <si>
    <t xml:space="preserve">Enable users to capture the determination if a requirements contract is the appropriate contract type. </t>
  </si>
  <si>
    <t>As a CO/CS, I need to determine if a requirements contract is the appropriate contract type so I can comply with the authoritative references and document the acquisition strategy in the acquisition plan.</t>
  </si>
  <si>
    <t>Authoritative Reference</t>
  </si>
  <si>
    <t>Activity 18 - Contracting by Negotiation; Task 5(a)(iii)</t>
  </si>
  <si>
    <t>If using the tradeoff process, determine the relationship of cost/price factors to non-cost/price factors, and state this relationship in the solicitation.</t>
  </si>
  <si>
    <t>Activity 10 - Types of Contract; Task 5a (Note--there is no Task 5)</t>
  </si>
  <si>
    <t>Consider whether a time-and materials (T&amp;M) contract is appropriate for the requirement</t>
  </si>
  <si>
    <t>APP - 52</t>
  </si>
  <si>
    <t>Enable users to document the determination of the relationship of cost/price factors to non-cost/price factors, and state this relationship in the solicitation. The system needs to make the action available for viewing in the contract file (Tab 3, Acquisition Strategy) and provide the ability to export the data as a web-form or similar structured manner.</t>
  </si>
  <si>
    <t xml:space="preserve">As a CO/CS I need to be able to create/upload the determination of the relationship of cost/price factors to non-cost /price factors,  and state this relationship in the solicitation so the source selection/technical evaluation plan is consistent with the solicitation.  I also need to be able to access the action in the contract file and export it if necessary. </t>
  </si>
  <si>
    <t xml:space="preserve">Ensure system can efficiently:
- Create/upload the determination of the relationship of cost/price factors to non-cost/price factors, and state this relationship in the solicitation
- Access information in the contract file and export it if necessary
</t>
  </si>
  <si>
    <t>AP - 59</t>
  </si>
  <si>
    <t>Enable users to capture the determination in the acquisition plan if a time-and-materials contract is the appropriate contract type.  If it is, the system shall enable users to create a D&amp;F required by FAR 16.601(d). If the base period plus any option period(s) exceeds 3 years, route the acquisition plan for review and approval by the Head of the Contracting Activity.</t>
  </si>
  <si>
    <t>As a CO/CS, I need to determine if a time-and-materials contract is the appropriate contract type so I can comply with the authoritative references and document the acquisition strategy in the acquisition plan. I also need to create a D&amp;F that no other contract type is suitable and secure any needed approvals. 
As the Head of the Contracting Activity, I need to approve an acquisition plan that uses a time-and-material contract type to comply with the authoritative references.</t>
  </si>
  <si>
    <t>Ensure system can efficiently:
- Capture the determination in the acquisition plan
- Route any acquisition plan where the base period plus any option period(s) exceeds 3 years and uses a time-and-materials contract type for review and approvals</t>
  </si>
  <si>
    <t>ACQ.020.050</t>
  </si>
  <si>
    <t>Source Selection/Technical Evaluation Plan Development</t>
  </si>
  <si>
    <t>Determine and document how the source selection will be organized, how proposals will be evaluated and analyzed, and how source(s) will be selected.</t>
  </si>
  <si>
    <t>Activity 18 - Contracting by Negotiation; Task 5b</t>
  </si>
  <si>
    <t>Activity 10 - Types of Contract; Task 5b</t>
  </si>
  <si>
    <t>Establish the source selection team</t>
  </si>
  <si>
    <t>Consider whether a labor-hour contract is appropriate for the requirement</t>
  </si>
  <si>
    <t>AP - 60</t>
  </si>
  <si>
    <t>Enable users to capture the determination in the acquisition plan if a labor-hour contract is the appropriate contract type.  If it is, the system shall enable users to create a D&amp;F required by FAR 16.601(d). If the base period plus any option period(s) exceeds 3 years, route the acquisition plan for review and approval by the Head of the Contracting Activity.</t>
  </si>
  <si>
    <t>As a CO/CS, I need to determine if a labor-hour contract is the appropriate contract type so I can comply with the authoritative references and document the acquisition strategy in the acquisition plan. I also need to create a D&amp;F that no other contract type is suitable and secure any needed approvals. 
As the Head of the Contracting Activity, I need to approve an acquisition plan that uses a labor-hour contract type to comply with the authoritative references.</t>
  </si>
  <si>
    <t>Ensure system can efficiently:
- Capture the determination in the acquisition plan
- Route any acquisition plan where the base period plus any option period(s) exceeds 3 years and uses a labor-hour contract type for review and approvals</t>
  </si>
  <si>
    <t>4.1.1
4.6.1</t>
  </si>
  <si>
    <t>Activity 10 - Types of Contract; Task 6</t>
  </si>
  <si>
    <t>ACQ.030.010</t>
  </si>
  <si>
    <t>Document the rationale for the contract type selection</t>
  </si>
  <si>
    <t>Contract type selection rationale for the acquisition strategy</t>
  </si>
  <si>
    <t>4.0 - Source Selection</t>
  </si>
  <si>
    <t>APP - 53</t>
  </si>
  <si>
    <t>Enable users to document the identification of team members as part of the source selection/technical evaluation plan along with their NDA and OCI. The system needs to make the action available for viewing in the contract file (Tab 3, Acquisition Strategy) and provide the ability to export the data as a web-form or similar structured manner.</t>
  </si>
  <si>
    <t xml:space="preserve">As a CO/CS, I need to be able to document who participated in the source selection/technical evaluation and keep a record of their nondisclosure agreements and organizational conflicts of interest so I maintain a record of the evaluators.  I also need to be able to access the action in the contract file and export it if necessary. </t>
  </si>
  <si>
    <t xml:space="preserve">Ensure system can efficiently:
- Create/upload the identity of source selection/technical evaluation team members
- File a copy of their NDA / OCI
- Access information in the contract file and export it if necessary
</t>
  </si>
  <si>
    <t>AP - 61</t>
  </si>
  <si>
    <t xml:space="preserve">Enable users to capture the rationale for the contract type selection in the acquisition plan. </t>
  </si>
  <si>
    <t>As a CO/CS, I need to document the rationale for the contract type selected in the acquisition plan so I can comply with the authoritative references.</t>
  </si>
  <si>
    <t>Ensure system can efficiently:
- Capture the rationale for the contract type selection in the acquisition strategy</t>
  </si>
  <si>
    <t>Proposal Evaluation</t>
  </si>
  <si>
    <t xml:space="preserve">It is desired that the CWS has the capability to receive proposals for the agency's review and consideration. The CWS should enable the receiver to receive proposals, assign it, review the proposal, ascertain it is a proper unsolicited proposal, and enable routing of the proposal to the Senior Procurement Executive for all central office activities and to the office designated in writing by the Regional Administrator in the regions for processing. The CWS should also be able to document the contract file (Tab 6, Determinations and Findings/Justification). </t>
  </si>
  <si>
    <t>Activity 8 - Basic Agreements and Basic Ordering Agreements; Task 4c (Note--4a &amp; 4b are in ACQ.020.080 Solicitation Documentation Development)</t>
  </si>
  <si>
    <t xml:space="preserve">If using a Basic Agreement or Basic Ordering Agreement, ensure that the use of a BOA is not prejudicial to other offerors. </t>
  </si>
  <si>
    <t>Review</t>
  </si>
  <si>
    <t xml:space="preserve">4.2.1
4.2.1.1
4.2.1.2
4.6.1
</t>
  </si>
  <si>
    <t>SS - 01</t>
  </si>
  <si>
    <t xml:space="preserve">Enable users to document that use of the basic ordering agreement is not prejudicial to other offerors. The system also needs to file the action in the contract file (Tab 15, Price Negotiation Memorandum) and provide the ability to export the data as a web-form or similar structured manner.  </t>
  </si>
  <si>
    <t>Activity 18 - Contracting by Negotiation; Task 5(b)(i)</t>
  </si>
  <si>
    <t xml:space="preserve">As a Contracting Officer/Contract Specialist (CO/CS), I need to ensure that orders are properly competed and that orders placed under a BOA are not prejudicial to other offerors. I will also need to create a contract file for the project with the artifacts from this activity so I can manage my entire acquisition file in one, central system. I also need to be able to access the action in the contract file and export it if necessary.
</t>
  </si>
  <si>
    <t xml:space="preserve">Determine what cost and/or management information will be provided to evaluators. </t>
  </si>
  <si>
    <t xml:space="preserve">Ensure system can efficiently:
- Create from a template or upload/import a document (hereinafter create/upload/import/import) documents
- Access information in the contract file and export it if necessary
</t>
  </si>
  <si>
    <t xml:space="preserve">4.1.1.1
4.1.1.2
4.2.1
4.3.1.1.1
4.6.1
</t>
  </si>
  <si>
    <t>APP - 54</t>
  </si>
  <si>
    <t>Enable users to document the determination of what cost and/or management information will be provided to evaluators as part of the source selection/technical evaluation plan. The system needs to make the action available for viewing in the contract file (Tab 3, Acquisition Strategy) and provide the ability to export the data as a web-form or similar structured manner.</t>
  </si>
  <si>
    <t xml:space="preserve">As a CO/CS, I need to determine what cost and/or management information will be provided to evaluators as part of the source selection/technical evaluation plan so I comply with the authoritative sources.  I also need to be able to access the action in the contract file and export it if necessary.  </t>
  </si>
  <si>
    <t xml:space="preserve">Ensure system can efficiently:
- Create/upload the determination of what cost and/or management information will be provided to evaluators as part of the source selection/technical evaluation plan
- Access information in the contract file and export it if necessary
</t>
  </si>
  <si>
    <t>Activity 18 - Contracting by Negotiation; Task 5(b)(ii)</t>
  </si>
  <si>
    <t>Brief and advise evaluators on the requirements and evaluation criteria</t>
  </si>
  <si>
    <t>Receive offeror proposals/quotes; Identify and document deficiencies, weaknesses, strengths, and risks; Evaluate rates; Includes conducting technical, cost, and past performance evaluations</t>
  </si>
  <si>
    <t xml:space="preserve">Activity 8 - Basic Agreements and Basic Ordering Agreements; Task 4d </t>
  </si>
  <si>
    <t>If using a Basic Agreement or Basic Ordering Agreement, establish prices prior to making any final commitment or authorizing the contractor to begin work.</t>
  </si>
  <si>
    <t>Price</t>
  </si>
  <si>
    <t>4.1.1.1
4.1.1.2
4.6.1</t>
  </si>
  <si>
    <t>4.3.2
4.3.2.2
4.6.1
*</t>
  </si>
  <si>
    <t>APP - 55</t>
  </si>
  <si>
    <t>SS - 02</t>
  </si>
  <si>
    <t>Enable users to document the procurement integrity briefing as part of the source selection/technical evaluation records. The system needs to make the action available for viewing in the contract file (Tab 3, Acquisition Strategy) and provide the ability to export the data as a web-form or similar structured manner.</t>
  </si>
  <si>
    <t>Enable users to document established prices prior to the CO/CS making any final commitment or authorizing work to begin. The system needs to make the action available for viewing in the contract file with the final price (Tab 15, Price Negotiation Memorandum) and provide the ability to export the data as a web-form or similar structured manner.</t>
  </si>
  <si>
    <t>As a CO/CS, I need to ensure the final price is established before I place an order against a BO or BOA so I am able to obligate the appropriate funds to the order and comply with the authoritative reference. I also need to document prices paid in the contract file and export it if necessary.</t>
  </si>
  <si>
    <t xml:space="preserve">As a CO/CS, I need to create/upload the procurement integrity briefing so I comply with the authoritative sources. I need to brief and advise evaluators on the requirements and the evaluation criteria so the evaluators have a clear understanding of their role in the acquisition and are prepared to undertake the task to evaluate proposals.  I also need to be able to access the action in the contract file and export it if necessary.  </t>
  </si>
  <si>
    <t>Ensure system can efficiently:
- Document price
- Access information in the contract file and export it if necessary</t>
  </si>
  <si>
    <t xml:space="preserve">Ensure system can efficiently:
- Create/upload the procurement integrity briefing
- Access information in the contract file and export it if necessary
</t>
  </si>
  <si>
    <t xml:space="preserve">Activity 8 - Basic Agreements and Basic Ordering Agreements; Task 4e </t>
  </si>
  <si>
    <t>If using a Basic Agreement or Basic Ordering Agreement, sign or obtain any applicable justifications and approvals.</t>
  </si>
  <si>
    <t>Activity 18 - Contracting by Negotiation; Task 6</t>
  </si>
  <si>
    <t xml:space="preserve">Determine what pricing information to request. </t>
  </si>
  <si>
    <t>Activity 12 - Socioeconomic Programs and Set-Asides; Part A - Acquisitions Not Exceeding the Simplified Acquisition Threshold; Task 1</t>
  </si>
  <si>
    <t xml:space="preserve">Determine if offers that are competitive in terms of price, quality, and delivery can be obtained from at least two responsible small business concerns. </t>
  </si>
  <si>
    <t>Sources for the acquisition strategy, small business set-aside determination for the acquisition strategy</t>
  </si>
  <si>
    <t>2.2.1.1
2.2.3
2.3.1</t>
  </si>
  <si>
    <t>SS - 03</t>
  </si>
  <si>
    <t>Deliver an integrated workflow management capability to automate routing of documents, transactions, forms or reports for online review and approvals. The system needs to make the action available for viewing in the contract file with the final price (Tab 4, Determinations and Findings/Justification) and provide the ability to export the data as a web-form or similar structured manner.</t>
  </si>
  <si>
    <t>As a reviewer/approver, I need to be able to review and/or approve sole source justifications and/or suggest revisions for other than full and open competition actions so I can ensure the maximum competition as possible. 
As a CO/CS, I need to route documents for review and approval to various acquisition team members and review any recommended edits so I can comply with the authoritative references.  I also need to be able to access the action in the contract file and export it if necessary.</t>
  </si>
  <si>
    <t>Ensure system can efficiently:
- Route documents, transactions, forms or reports for reviews, revisions and approvals
- Access information in the contract file and export it if necessary</t>
  </si>
  <si>
    <t>2.1.1
2.1.1.1
2.2.1.1
2.2.2
2.2.2.1
2.3.1</t>
  </si>
  <si>
    <t>Activity 12 - Socioeconomic Programs and Set-Asides; Part A - Acquisitions Not Exceeding the Simplified Acquisition Threshold; Task 3 (Note--FAI has this as Task 2, but it is suppose be Task 3 - paragraph number corrected here. Additionally, Task 2b is in ACQ.010.050 Acquisition Strategy / Plan Development)</t>
  </si>
  <si>
    <t xml:space="preserve">If procurement is set-aide, after receipt of quotes or offers, determine whether to modify or withdraw a set-aside. </t>
  </si>
  <si>
    <t>Small business strategy</t>
  </si>
  <si>
    <t>AP - 62</t>
  </si>
  <si>
    <t xml:space="preserve">Enable users to include an analysis of a market research report in the acquisition plan regarding small business concerns for potential set aside opportunities. </t>
  </si>
  <si>
    <t>As the PMO, I need to provide a market research report on potential sources, including small businesses sources, to include in my procurement request to my CO/CS so they have a source list for the acquisition.
As a CO/CS, I need to analyze a market research report to ascertain the appropriate acquisition strategy for potential small business set-asides for my acquisition so I maximize opportunities for qualified small businesses.</t>
  </si>
  <si>
    <t>Ensure system can efficiently:
- Capture the market research report
- Review potential sources and their business size</t>
  </si>
  <si>
    <t>3.2.1.1
3.2.1.2
3.2.1.3
3.2.1.4
3.5.1</t>
  </si>
  <si>
    <t>APP - 56</t>
  </si>
  <si>
    <t>Enable users to document the determination of what pricing information to request in the source selection procedures that will be used in the acquisition. This determination is part of the source selection/technical evaluation plan. The system needs to make the action available for viewing in the contract file (Tab 3, Acquisition Strategy) and provide the ability to export the data as a web-form or similar structured manner.</t>
  </si>
  <si>
    <t xml:space="preserve">As a CO/CS, I need to create/upload the determination of what pricing information to request so suppliers have a clear understanding of what to submit and the source selection/technical evaluation team knows what to evaluate.  I also need to be able to access the action in the contract file and export it if necessary. </t>
  </si>
  <si>
    <t xml:space="preserve">Ensure system can efficiently:
- Create/upload the determination of what pricing information to request
- Access information in the contract file and export it if necessary
</t>
  </si>
  <si>
    <t>Activity 12 - Socioeconomic Programs and Set-Asides; Part A - Acquisitions Not Exceeding the Simplified Acquisition Threshold; Task 1(a)(i)</t>
  </si>
  <si>
    <t xml:space="preserve">If at least two such offers cannot be obtained, document the basis for an unrestricted acquisition. </t>
  </si>
  <si>
    <t>Document contract file, GSA Form 2689</t>
  </si>
  <si>
    <t>2.2.1
2.2.1.1
2.2.1.2
2.3.1</t>
  </si>
  <si>
    <t>SS - 04</t>
  </si>
  <si>
    <t>Enable users to document a determination whether to modify or withdraw a small business set-aside along with any supporting documentation. The CWS shall also permit the routing and review of such determinations which may or may not include securing approvals.  The system needs to make the action available for viewing in the contract file with the final price (Tab 4, Determinations and Findings/Justification) and provide the ability to export the data as a web-form or similar structured manner.</t>
  </si>
  <si>
    <t>As an acquisition team member, I need to be able to review and route documents, and depending on the document, may also be required to approve such documents so my CO/CS has what is needed to document acquisition decisions. 
As a CO/CS, I need to document the determination whether to modify or withdraw a small business set-aside so I comply with the authoritative references. I need to give written notice to the agency small business specialist and the SBA procurement center representative stating the reasons. I need to prepare a written document supporting any withdrawal or modification of a small business set-aside and document the contract file.</t>
  </si>
  <si>
    <t>Activity 18 - Contracting by Negotiation; Task 7</t>
  </si>
  <si>
    <t>Determine whether to require each offeror to submit part of its proposal through oral presentations</t>
  </si>
  <si>
    <t>AP - 63</t>
  </si>
  <si>
    <t>Enable users to capture the basis for an unrestricted acquisition in the acquisition plan. Enable users to create and route the GSA Form 2689 to designated parties for review and approval as required and document the contract file (Tab 6, Small Business Set Aside Determination).</t>
  </si>
  <si>
    <t>As a CO/CS, I need to create a GSA Form 2689 as required along with supporting documentation so I can capture the basis for my determination to not set-aside an acquisition. I need to route the GSA Form 2689 as required to reviewers and the Small Business Specialist/Small Business Technical Advisor for action. I also need to document the contract file.
As a reviewer, I need to route, review, edit/comment, and approve/reject 2689s.
As the Small Business Specialist/Small Business Technical Advisor, I need to route, review, edit/comment and approve/reject 2689s.</t>
  </si>
  <si>
    <t>Ensure system can efficiently:
- Create the GSA Form 2689 as required
- Route for review and approvals
- Access information in the contract file and export it if necessary</t>
  </si>
  <si>
    <t>Ensure system can efficiently:
- Create and/or upload determinations
- Route documents for reviews, revisions and approvals
- Access information in the contract file and export it if necessary</t>
  </si>
  <si>
    <t>APP - 57</t>
  </si>
  <si>
    <t>Enable users to document the determination whether to require each offeror to submit part of its proposal through oral presentations. This determination is part of the source selection/technical evaluation plan. The system needs to make the action available for viewing in the contract file (Tab 3, Acquisition Strategy) and provide the ability to export the data as a web-form or similar structured manner.</t>
  </si>
  <si>
    <t xml:space="preserve">As a CO/CS, I need to create/upload the determination whether to require each offeror to submit part of its proposal through oral presentations so suppliers have a clear understanding of what and how to submit their proposal.  I also need to be able to access the action in the contract file and export it if necessary. </t>
  </si>
  <si>
    <t>Ensure system can efficiently:
-Create/upload the determination to use oral presentations
- Access information in the contract file and export it if necessary</t>
  </si>
  <si>
    <t>Activity 12 - Socioeconomic Programs and Set-Asides; Part A - Acquisitions Not Exceeding the Simplified Acquisition Threshold; Task 4 (Note--FAI has this as Task 3, but it is suppose be Task 4 - paragraph number corrected here)</t>
  </si>
  <si>
    <t>Activity 12 - Socioeconomic Programs and Set-Asides; Part A - Acquisitions Not Exceeding the Simplified Acquisition Threshold; Task 1(a)(ii)</t>
  </si>
  <si>
    <t xml:space="preserve">If procurement is set-aside,  quotes/offers. </t>
  </si>
  <si>
    <t xml:space="preserve">Proceed with an unrestricted acquisition. </t>
  </si>
  <si>
    <t>Evaluation</t>
  </si>
  <si>
    <t>Solicitation, sources for the acquisition strategy</t>
  </si>
  <si>
    <t>4.3.1
4.3.2
4.3.3
4.3.4
4.6.1</t>
  </si>
  <si>
    <t>AP - 64</t>
  </si>
  <si>
    <t>See ACQ.020.080 - Solicitation Documentation Development</t>
  </si>
  <si>
    <t>Activity 12 - Socioeconomic Programs and Set-Asides; Part A - Acquisitions Not Exceeding the Simplified Acquisition Threshold; Task 1(b)</t>
  </si>
  <si>
    <t xml:space="preserve">If at least two such offers can be obtained, determine whether to make a further restrictive set-aside. </t>
  </si>
  <si>
    <t>Set-aside determination, Socio-economic set-aside determination for the acquisition strategy</t>
  </si>
  <si>
    <t>2.1.1.1
2.1.1.2
2.1.1.3
2.2.1.1
2.3.1</t>
  </si>
  <si>
    <t>AP - 65</t>
  </si>
  <si>
    <t>Enable users to capture socio-economic information from small business concerns to help determine in the acquisition plan whether to make a further restrictive set-aside determination in the acquisition plan. If so, document the file of the set-aside determinations (Tab 6, Small Business Set Aside Determination).</t>
  </si>
  <si>
    <t xml:space="preserve">As the PMO, I need to capture socio-economic information on small businesses in a market research report to include in my procurement request to my CO/CS so they have a source list for the acquisitions.
As a CO/CS, I need a market research report to ascertain the appropriate acquisition strategy for potential small business set-asides for my acquisition so I maximize opportunities for qualified small businesses and am able to make a determination whether to make a further restrictive set-aside. I also need to document the contract file. </t>
  </si>
  <si>
    <t>Ensure system can efficiently:
- Create market research report
- Capture set-aside determination
- Access information in the contract file and export it if necessary</t>
  </si>
  <si>
    <t>SS - 05</t>
  </si>
  <si>
    <t>Enable users to evaluate quotes/offers based on the criteria contained in the solicitation and source selection/technical evaluation plan and document such evaluations. Enable the routing, review, and revision of evaluations, and where necessary, the approval of such documents. The CWS shall file documentation concerning the evaluation of quotations or offers in the contract file (price evaluation gets filed in Tab 14, Cost or Price and Technical Analysis Report; technical evaluation gets filed in Tab 17, Responsibility Determinations) and provide the ability to export the data as a web-form or similar structured manner.</t>
  </si>
  <si>
    <t xml:space="preserve">As an acquisition team member, I need to evaluate quotes/offers using the criteria established in the solicitation and source selection/technical evaluation plan so my CO/CS has a basis to evaluate the ability of an offeror to meet the government's requirements. I may need to route my evaluation amongst the acquisition team and/or my CO/CS for review, revisions, or approvals. 
As a CO/CS, I need to ensure my evaluation team evaluates offers in accordance with the criteria established in the solicitation and the source selection/technical evaluation plans so I can ensure evaluations were performed impartially. I need to be able to route, review, edit, and approve the work. I also need to conduct my own independent evaluation so I comply with the authoritative references. I also need to be able to access the action in the contract file and export it if necessary. </t>
  </si>
  <si>
    <t xml:space="preserve">Ensure system can efficiently:
- Evaluate offers/quotes
- Enable team collaboration when needed
- Enable routing, review and approvals
- Access information in the contract file and export it if necessary
</t>
  </si>
  <si>
    <t>Activity 12 - Socioeconomic Programs and Set-Asides; Part A - Acquisitions Not Exceeding the Simplified Acquisition Threshold; Task 2a (Note--There is no Task 2)</t>
  </si>
  <si>
    <t xml:space="preserve">Estimate the number of eligible firms in each of the various small business classifications that are available to provide the required supply or service. </t>
  </si>
  <si>
    <t>Sources</t>
  </si>
  <si>
    <t>Activity 12 - Socioeconomic Programs and Set-Asides; Part A - Acquisitions Not Exceeding the Simplified Acquisition Threshold; Task 5 (Note--FAI has this as Task 4, but it is suppose be Task 5 - paragraph number corrected here)</t>
  </si>
  <si>
    <t xml:space="preserve">If procurement is set-aside, determine if the apparent successful offeror lacks certain elements of responsibility. </t>
  </si>
  <si>
    <t>Administrative review</t>
  </si>
  <si>
    <t>ACQ.020.060</t>
  </si>
  <si>
    <t>Performance Based Services Acquisition (PBSA) Documentation Development</t>
  </si>
  <si>
    <t>Develop and document how acquired performance based services will be monitored, measured, evaluated, and managed; Includes development of Quality Assurance Surveillance Plans and Incentive Plans</t>
  </si>
  <si>
    <t>4.3.1.ii
4.3.1.iv
4.6.1</t>
  </si>
  <si>
    <t>AP - 66</t>
  </si>
  <si>
    <t>Enable users to capture socio-economic information from small business concerns in the acquisition plan to help estimate the number of eligible firms in each socio-economic category that are available to provide the item/service as part of any set-aside determination.</t>
  </si>
  <si>
    <t>SS - 06</t>
  </si>
  <si>
    <t>Determine use of performance based contracting methods and monitoring strategy</t>
  </si>
  <si>
    <t>Enable users to document a determination that the apparent successful small business offeror lacks responsibility.  Enable the routing, review, and revision of such determinations, and where necessary, the approval of such documents. The system needs to make the action available for viewing in the contract file with the final price (Tab 6, Small Business Set Aside Determination) and provide the ability to export the data as a web-form or similar structured manner.</t>
  </si>
  <si>
    <t>As the PMO, I need to provide a market research report in my procurement request to my CO/CS so they have a source list for the acquisition.
As a CO/CS, I need a market research report to ascertain the appropriate acquisition strategy for potential small business set-asides for my acquisition so I maximize opportunities for qualified small businesses and estimate the number of eligible firms in any set aside determination.</t>
  </si>
  <si>
    <t>QASP/Incentive Plans</t>
  </si>
  <si>
    <t>Ensure system can efficiently:
- Create a market research report
- Capture set-aside determination</t>
  </si>
  <si>
    <t xml:space="preserve">As an acquisition team member, I need to be able to review and route documents, and depending on the document, may also be required to approve such documents so the CO/CS has what is needed to document acquisition decisions. 
As a CO/CS, I need to document the determination if the apparent successful small business offeror lacks responsibility so I comply with the authoritative references. I need to refer the matter to the cognizant SBA government contracting area office or the chief of the contracting office, depending on the circumstance.  I also need to be able to access the action in the contract file and export it if necessary. </t>
  </si>
  <si>
    <t xml:space="preserve">Ensure system can efficiently:
- Create/upload/import the determination
- Collaborate with the acquisition team
- Route, review and/or approve documents
- Access information in the contract file and export it if necessary
</t>
  </si>
  <si>
    <t>Activity 12 - Socioeconomic Programs and Set-Asides; Part A - Acquisitions Not Exceeding the Simplified Acquisition Threshold; Task 2b</t>
  </si>
  <si>
    <t xml:space="preserve">Consider information collected during market research. </t>
  </si>
  <si>
    <t>General  practice</t>
  </si>
  <si>
    <t>2.1.1.1
2.1.1.2
2.1.1.3
2.3.1</t>
  </si>
  <si>
    <t>AP - 67</t>
  </si>
  <si>
    <t xml:space="preserve">Enable users to capture a market analysis and supporting market research documents in the acquisition plan. </t>
  </si>
  <si>
    <t xml:space="preserve">As the PMO, I need to provide a market analysis and supporting market research documents so my CO/CS can create the acquisition plan.
As a CO/CS, I need to review the market analysis and market research documents to determine the appropriate acquisition strategy and plan the acquisition. </t>
  </si>
  <si>
    <t>Ensure system can efficiently:
- Create the market analysis and supporting market research documents
- Create the acquisition plan</t>
  </si>
  <si>
    <t>Activity 12 - Socioeconomic Programs and Set-Asides; Part A - Acquisitions Not Exceeding the Simplified Acquisition Threshold; Task 5(b)(i) (Note--FAI has this as Task 4, but it is suppose be part of Task 5 - paragraph number corrected here)</t>
  </si>
  <si>
    <t xml:space="preserve">If procurement is set-aside and the apparent successful offeror lacks certain elements of responsibility, withhold contract award. </t>
  </si>
  <si>
    <t>No award decision</t>
  </si>
  <si>
    <t>Activity 12 - Socioeconomic Programs and Set-Asides; Part B - Acquisitions Exceeding the Simplified Acquisition Threshold; Task 1</t>
  </si>
  <si>
    <t xml:space="preserve">Determine if there is a reasonable expectation that offers will be obtained from at least two responsible small business concerns and award will be made at fair market prices. </t>
  </si>
  <si>
    <t>Determination</t>
  </si>
  <si>
    <t>1.3.1
1.6.1
2.2.2
2.3.1
3.2.1
3.5.1</t>
  </si>
  <si>
    <t>SS - 07</t>
  </si>
  <si>
    <t>APP - 58</t>
  </si>
  <si>
    <t>Enable users to document a determination that the apparent successful small business offeror lacks responsibility.  The CWS shall have the ability to allow the CO, upon determining and documenting that an apparent successful small business offeror lacks certain elements of responsibility, to both withhold contract award and refer the matter to the cognizant SBA Government Contracting Area Office. The system needs to make the action available for viewing in the contract file with the final price (Tab 6, Small Business Set Aside Determination) and provide the ability to export the data as a web-form or similar structured manner.</t>
  </si>
  <si>
    <t xml:space="preserve">Enable users to document the determination to use performance-based contracting methods and monitoring strategy. This determination is part of the requirements package and will also be identified in the source selection/technical evaluation plan. If the offeror is not asked to provide a QASP as part of the proposal, the system shall create/upload the QASP/Incentive Plans into the solicitation, as applicable. The system needs to make the action available for viewing in the contract file (Tab 2, Describing Agency Needs) and provide the ability to export the data as a web-form or similar structured manner. </t>
  </si>
  <si>
    <t>As an acquisition team member, I need to be able to review and route documents, and depending on the document, may also be required to approve such documents so the CO/CS has what is needed to document acquisition decisions. 
As a CO/CS, I need to be able create/upload/import the determination that an apparent successful small business offeror lacks certain elements of responsibility. I also need to withhold the contract award and refer the matter to the cognizant SBA Government Area Office.  I also need to be able to access the action in the contract file and export it if necessary.</t>
  </si>
  <si>
    <t xml:space="preserve">As a CO/CS, I need to create/upload the determination to use performance-based contracting methods and monitoring strategy for service contracts so I maximize the use of performance based contracting to increase the likelihood of meeting mission needs. If the offeror is not asked to provide a QASP as part of the proposal, I need to create/upload the QASP/Incentive Plans into the solicitation, as applicable.  I also need to be able to access the action in the contract file and export it if necessary.  </t>
  </si>
  <si>
    <t>Ensure system can efficiently:
- Create/upload the determination to use performance-based contracting methods and monitoring strategy
- Create/upload the QASP/Incentive Plans into the solicitation, as applicable
- Access information in the contract file and export it if necessary</t>
  </si>
  <si>
    <t>Enable users to capture market information from small business concerns and capture the determination if there is a reasonable expectation that offers will be obtained from at least 2 responsible small business concerns in the acquisition plan and any set-aside determination. Document the contract file (Tab 6, Small Business Set Aside Determination).</t>
  </si>
  <si>
    <t xml:space="preserve">As the PMO, I need to provide market information on small businesses to include in my procurement request to my CO/CS so they have a source list for the acquisitions.
As a CO/CS, I need market information to ascertain the appropriate acquisition strategy for potential small business set-asides for my acquisition so I maximize opportunities for qualified small businesses. I also need to document the contract file. </t>
  </si>
  <si>
    <t>Ensure system can efficiently:
- Capture the market information
- Capture the determination
- Access information in the contract file and export it if necessary</t>
  </si>
  <si>
    <t>Ensure system can efficiently:
- Create/upload/import the determination
- Collaborate with the acquisition team when needed
- Route, review and/or approve documents
- Access information in the contract file and export it if necessary</t>
  </si>
  <si>
    <t>Activity 12 - Socioeconomic Programs and Set-Asides; Part B - Acquisitions Exceeding the Simplified Acquisition Threshold; Task 2</t>
  </si>
  <si>
    <t xml:space="preserve">If offers with fair market prices cannot be obtained from at least two responsible small business concerns, determine whether the acquisition can be broken into discrete portions. </t>
  </si>
  <si>
    <t>Activity 12 - Socioeconomic Programs and Set-Asides; Part A - Acquisitions Not Exceeding the Simplified Acquisition Threshold; Task 5(b)(ii) (Note--FAI has this as Task 4, but it is suppose be part of Task 5 - paragraph number corrected here)</t>
  </si>
  <si>
    <t xml:space="preserve">If the procurement is set-aside, refer the matter to the cognizant SBA Government Contracting Area Office. </t>
  </si>
  <si>
    <t>Referral</t>
  </si>
  <si>
    <t>AP - 68</t>
  </si>
  <si>
    <t xml:space="preserve">Enable users to capture the determination whether the acquisition can be broken into discrete portions in the acquisition plan. </t>
  </si>
  <si>
    <t xml:space="preserve">As a CO/CS, I will use the market information to ascertain whether the acquisition can be broken into discrete portions so I maximize opportunities for qualified small businesses. </t>
  </si>
  <si>
    <t>Ensure system can efficiently:
- Capture the determination</t>
  </si>
  <si>
    <t>Enable users to document a determination that the apparent successful small business offeror lacks responsibility.  The CWS shall have the ability to allow the CO, upon determining and documenting that an apparent successful small business offeror lacks certain elements of responsibility, to both withhold contract award and refer the matter to the cognizant SBA Government Contracting Area Office.  Enable the routing, review, and revision of such determinations, and where necessary, the approval of such documents. The system needs to make the action available for viewing in the contract file (Tab 6, Small Business Set Aside Determination) and provide the ability to export the data as a web-form or similar structured manner.</t>
  </si>
  <si>
    <t>As an acquisition team member, I need to be able to review and route documents, and depending on the document, may also be required to approve such documents so the CO/CS has what is needed to document acquisition decisions. 
As a CO/CS, I need to be able create/upload/import the determination that an apparent successful small business offeror lacks certain elements of responsibility. I also need to withhold the contract award and refer the matter to the cognizant SBA Government Area Office.  I also need to be able to access the action in the contract file and export it if necessary.</t>
  </si>
  <si>
    <t>Activity 12 - Socioeconomic Programs and Set-Asides; Part B - Acquisitions Exceeding the Simplified Acquisition Threshold; Task 3</t>
  </si>
  <si>
    <t>If the acquisition can be broken into discrete portions, determine if one or more small business concerns can satisfy the set-aside portion.</t>
  </si>
  <si>
    <t>Set aside determination</t>
  </si>
  <si>
    <t>ACQ.020.070</t>
  </si>
  <si>
    <t>Independent Government Cost Estimate (IGCE) Development</t>
  </si>
  <si>
    <t>Develop and document unbiased estimate of the resources and projected cost of the resources that a contractor will incur in the performance of a contract</t>
  </si>
  <si>
    <t>Activity 4 - Independent Government Cost Estimate (IGCE); Task 1</t>
  </si>
  <si>
    <t>Determine whether an Independent Government Cost Estimate or an Independent Government Price Estimate is required</t>
  </si>
  <si>
    <t>Determination of need for cost/price estimate</t>
  </si>
  <si>
    <t>General practices</t>
  </si>
  <si>
    <t>1.4.1
1.6.1</t>
  </si>
  <si>
    <t>APP - 59</t>
  </si>
  <si>
    <t xml:space="preserve">Enable users to document the determination whether an independent government cost or price (IGCE or IGPE) estimate is required. This determination is part of the procurement request. The system needs to make the action available for viewing in the contract file (Tab 1, Procurement Request/Funding Certification) and provide the ability to export the data as a web-form or similar structured manner. </t>
  </si>
  <si>
    <t xml:space="preserve">As the customer, I need to give my CO/CS an IGCE/IGPE so we can appropriately budget for the requirement and have a good basis to evaluate proposals.
As a CO/CS, I need to create/upload the determination whether an independent cost or price estimate is required to assist me in my determination that the price is fair and reasonable. Cost estimates are typically used for services, construction, and non-commercial items. Price estimates are typically used for products, equipment and commercial services.  I also need to be able to access the action in the contract file and export it if necessary. </t>
  </si>
  <si>
    <t>AP - 69</t>
  </si>
  <si>
    <t>Ensure system can efficiently:
- Create/upload the determination whether an independent cost or price estimate is required
- Access information in the contract file and export it if necessary</t>
  </si>
  <si>
    <t xml:space="preserve">Enable users to capture the determination whether one or more small business concerns can satisfy the set-aside portion in the acquisition plan. </t>
  </si>
  <si>
    <t>Activity 12 - Socioeconomic Programs and Set-Asides; Part A - Acquisitions Not Exceeding the Simplified Acquisition Threshold; Task 5(b)(iii) (Note--FAI has this as Task 4, but it is suppose be part of Task 5 - paragraph number corrected here)</t>
  </si>
  <si>
    <t xml:space="preserve">As a CO/CS, I will use the market information to ascertain the appropriate acquisition strategy for potential small business set-asides for my acquisition so I maximize opportunities for qualified small businesses. </t>
  </si>
  <si>
    <t xml:space="preserve">If the procurement is set-aside, await the SBA determination on the apparent successful offeror’s Certificate of Competency (COC), but make every effort to reach a resolution before the SBA takes final action on the COC. </t>
  </si>
  <si>
    <t>SBA determination</t>
  </si>
  <si>
    <t>Activity 12 - Socioeconomic Programs and Set-Asides; Part B - Acquisitions Exceeding the Simplified Acquisition Threshold; Task 4</t>
  </si>
  <si>
    <t xml:space="preserve">If one or more small business concerns can satisfy the set-aside portion, divide the acquisition into set-aside and non-set-aside portions. </t>
  </si>
  <si>
    <t>SS - 08</t>
  </si>
  <si>
    <t>Enable users to upload SBA's determination on the apparent successful offeror's Certificate of Competency. The system needs to make the action available for viewing in the contract file (Tab 6, Small Business Set Aside Determination).</t>
  </si>
  <si>
    <t>As a CO/CS, I need to be able to upload the SBA's determination so I can comply with all regulatory requirements for notifications per GSAM 519.602-3.   I also need to be able to access the action in the contract file and export it if necessary.</t>
  </si>
  <si>
    <t xml:space="preserve">Ensure system can efficiently:
- Upload SBA's determination
- Provide the necessary notifications
- Access information in the contract file and export it if necessary
</t>
  </si>
  <si>
    <t>2.2.1
2.3.1</t>
  </si>
  <si>
    <t>AP - 70</t>
  </si>
  <si>
    <t xml:space="preserve">Enable users to capture the decision in the acquisition plan to divide the acquisition into set-aside and non-set-aside portions and be able to link related market research information in order to support the acquisition strategy. </t>
  </si>
  <si>
    <t xml:space="preserve">As a CO/CS, I want to be able to link market research information when acquisitions are divided into set-aside and non-set-aside portions so I don't need to create new market research documents for the divided effort. I also need to capture my determination in the acquisition plan.   </t>
  </si>
  <si>
    <t>Ensure system can efficiently:
- Link market information
- Capture the determination</t>
  </si>
  <si>
    <t>Activity 12 - Socioeconomic Programs and Set-Asides; Part A - Acquisitions Not Exceeding the Simplified Acquisition Threshold; Task 5(b)(iv) (Note--FAI has this as Task 4, but it is suppose be part of Task 5 - paragraph number corrected here)</t>
  </si>
  <si>
    <t>Activity 4 - Independent Government Cost Estimate (IGCE); Task 2</t>
  </si>
  <si>
    <t xml:space="preserve">If the procurement is set-aside and new information causes the contracting officer to determine that the concern is responsible, notify the SBA and withdraw the referral. </t>
  </si>
  <si>
    <t>Activity 12 - Socioeconomic Programs and Set-Asides; Part C - 8(a) Programs; Task 1</t>
  </si>
  <si>
    <t xml:space="preserve">Collaborate with the customer to ensure that the data collected is current, valid, and reliable for the Independent Government Cost Estimate or Price Estimate. </t>
  </si>
  <si>
    <t>Responsibility determination</t>
  </si>
  <si>
    <t xml:space="preserve">Review the determination to offer the acquisition to the Small Business Administration 8(a) Business Development Program. </t>
  </si>
  <si>
    <t>Validated data sources</t>
  </si>
  <si>
    <t>4.3.1.ii
4.3.1.iv
4.6.1
*</t>
  </si>
  <si>
    <t>SS - 09</t>
  </si>
  <si>
    <t>Enable users to document a determination that the small business concern is now determined responsible after review of new information. The CWS shall also enable SBA to be notified of the determination and withdraw the referral. The system needs to make the action available for viewing in the contract file (Tab 6, Small Business Set Aside Determination) and provide the ability to export the data as a web-form or similar structured manner.</t>
  </si>
  <si>
    <t>As a CO/CS, I need to be able to re-determine the responsibility of a small business concern in the  light of new information. I need to notify SBA of my determination and withdraw the referral letter so SBA need not issue of Certificate of Competency.  I also need to be able to access the action in the contract file and export it if necessary.</t>
  </si>
  <si>
    <t>Ensure system can efficiently:
- Create/upload/import the determination
- Provide the necessary notifications
- Withdraw the referral
- Access information in the contract file and export it if necessary</t>
  </si>
  <si>
    <t>1.4.1
1.6.1
*</t>
  </si>
  <si>
    <t>2.2.1.1
2.2.2.1
2.3.1</t>
  </si>
  <si>
    <t>APP - 60</t>
  </si>
  <si>
    <t>AP - 71</t>
  </si>
  <si>
    <t xml:space="preserve">Enable collaboration with the customer to ensure the data collected is current, valid and reliable for the IGCE/IGPE. The ICGE/IGPE will be part of the procurement request. The system needs to make the action available for viewing in the contract file (Tab 1, Procurement Request/Funding Certification) and provide the ability to export the data as a web-form or similar structured manner. </t>
  </si>
  <si>
    <t>Enable users to capture the determination to offer an acquisition to the Small Business Administration 8(a) Business Development Program in the acquisition plan.</t>
  </si>
  <si>
    <t xml:space="preserve">As the customer, I need to give my CO/CS an IGCE/IGPE so we can appropriately budget for the requirement and have a good basis to evaluate proposals.
As CO/CS, I need to collaborate with my customer to ensure the IGCE/IGPE is current, valid and reliable so I can use the estimate to evaluate proposals; ensure the contractor understands the requirement; determine pre negotiation objectives; and determine price reasonableness.  I also need to be able to access the action in the contract file and export it if necessary.  </t>
  </si>
  <si>
    <t>As a CO/CS, I need to capture the determination to offer an acquisition to the SBA so I comply with FAR 19.8 and GSA 519.8.</t>
  </si>
  <si>
    <t>Ensure system can efficiently:
- Collaborate with the customer
- Collect current, valid and reliable data as part of the IGCE/IGPE
- Access information in the contract file and export it if necessary</t>
  </si>
  <si>
    <t>Activity 12 - Socioeconomic Programs and Set-Asides; Part A - Acquisitions Not Exceeding the Simplified Acquisition Threshold; Task 5(b)(v) (Note--FAI has this as Task 4, but it is suppose be part of Task 5 - paragraph number corrected here)</t>
  </si>
  <si>
    <t xml:space="preserve">If the procurement is set-aside, after receiving notification of the SBA’s COC issuance, determine whether to appeal the decision. </t>
  </si>
  <si>
    <t>Appeal decision</t>
  </si>
  <si>
    <t>Activity 12 - Socioeconomic Programs and Set-Asides; Part C - 8(a) Programs; Task 2</t>
  </si>
  <si>
    <t xml:space="preserve">With SBA representatives, determine whether or not to compete the 8(a) award among eligible 8(a) firms. </t>
  </si>
  <si>
    <t>Activity 4 - Independent Government Cost Estimate (IGCE); Task 3</t>
  </si>
  <si>
    <t>Consult with the customer to ensure that any standards, practices, and procedures normally used in the applicable industry is applied in the Independent Government Cost Estimate or Price Estimate</t>
  </si>
  <si>
    <t>Validated data sources/practices</t>
  </si>
  <si>
    <t>APP - 61</t>
  </si>
  <si>
    <t xml:space="preserve">Enable collaboration with the customer to ensure any industry standards are applied in the IGCE/IGPE. The IGCE/IGPE will be a part of the procurement request. The system needs to make the action available for viewing in the contract file (Tab 1, Procurement Request/Funding Certification) and provide the ability to export the data as a web-form or similar structured manner. </t>
  </si>
  <si>
    <t xml:space="preserve">As the customer, I need to give my CO/CS an IGCE/IGPE so we can appropriately budget for the requirement and have a good basis to evaluate proposals.
As CO/CS, I need to collaborate with my customer to ensure any industry standards are applied in the IGCE/IGPE so I can use it to evaluate proposals; ensure the contractor understands the requirement; determine pre negotiation objectives; and determine price reasonableness.  I also need to be able to access the action in the contract file and export it if necessary.  </t>
  </si>
  <si>
    <t>Ensure system can efficiently:
- Collaborate with the customer
- Collect industry standards as part of the IGCE/IGPE, as applicable
- Access information in the contract file and export it if necessary</t>
  </si>
  <si>
    <t>AP - 72</t>
  </si>
  <si>
    <t>Enable users to capture the determination to compete the 8(a) award among eligible firms in the acquisition plan.</t>
  </si>
  <si>
    <t xml:space="preserve">As a CO/CS, I need to capture the determination to compete the 8(a) award among eligible firms so I comply with the authoritative references. </t>
  </si>
  <si>
    <t>SS - 11</t>
  </si>
  <si>
    <t>Enable users to document a determination whether to appeal SBA's COC issuance. The system needs to make the action available for viewing in the contract file (Tab 6, Small Business Set Aside Determination) and provide the ability to export the data as a web-form or similar structured manner.</t>
  </si>
  <si>
    <t>As a CO/CS, I need to be able to create/upload/import the determination whether to appeal SBA's COC issuance. I need to notify SBA Headquarters of my determination.  I also need to work with my agency's OSDBU to file the appeal and any supporting documentation and will need to retrieve data from the CWS for this purpose.  I also need to be able to access the action in the contract file and export it if necessary.</t>
  </si>
  <si>
    <t>Activity 4 - Independent Government Cost Estimate (IGCE); Task 4</t>
  </si>
  <si>
    <t>Ensure system can efficiently:
- Create/upload/import the determination
- Provide the necessary notifications
- Appeal the COC
- Retrieve supporting documentation from the CWS
- Access information in the contract file and export it if necessary</t>
  </si>
  <si>
    <t>Assist the customer in determining which method would be most appropriate for building the Independent Government Cost Estimate or Price Estimate.</t>
  </si>
  <si>
    <t>IGCE/IGPE</t>
  </si>
  <si>
    <t>APP - 62</t>
  </si>
  <si>
    <t xml:space="preserve">Enable collaboration with the customer to help determine whether an independent government cost or price (IGCE or IGPE) estimate would be most appropriate for the acquisition. The IGCE/IGPE will be part of the procurement request. The system needs to make the action available for viewing in the contract file (Tab 1, Procurement Request/Funding Certification) and provide the ability to export the data as a web-form or similar structured manner. </t>
  </si>
  <si>
    <t xml:space="preserve">As the customer, I need to give my CO/CS an IGCE/IGPE so we can appropriately budget for the requirement and have a good basis to evaluate proposals.
As a CO/CS, I need to collaborate with my customer to help determine whether an independent cost or price estimate would be most appropriate for the acquisition so I can ensure it will help me determine prices to be fair and reasonable.  I also need to be able to access the action in the contract file and export it if necessary. </t>
  </si>
  <si>
    <t>Ensure system can efficiently:
- Collaborate with the customer
- Collect the IGCE/IGPE
- Access information in the contract file and export it if necessary</t>
  </si>
  <si>
    <t>Activity 13 - Interagency Acquisitions; Part A - Interagency Acquisitions Overview; Task 1</t>
  </si>
  <si>
    <t>Determine the appropriate
interagency acquisition method to
use for the requirement—a direct
acquisition or an assisted
acquisition.</t>
  </si>
  <si>
    <t>Activity 12 - Socioeconomic Programs and Set-Asides; Part A - Acquisitions Not Exceeding the Simplified Acquisition Threshold; Task 5(b)(vi) (Note--FAI has this as Task 4, but it is suppose be part of Task 5 - paragraph number corrected here)</t>
  </si>
  <si>
    <t xml:space="preserve">If the procurement is set-aside and is appealed, file the appeal and notify SBA Headquarters through the appropriate channel within 10 business days. </t>
  </si>
  <si>
    <t>Appeal</t>
  </si>
  <si>
    <t>Activity 4 - Independent Government Cost Estimate (IGCE); Task 4a</t>
  </si>
  <si>
    <t>Cooperate with the customer in determining whether lump sum cost estimating is the appropriate method.</t>
  </si>
  <si>
    <t>1.2.1
1.1.2.2
1.1.2.2.1
1.1.2.2.2
1.6.1</t>
  </si>
  <si>
    <t>AP - 73</t>
  </si>
  <si>
    <t>APP - 63</t>
  </si>
  <si>
    <t>Enable users to capture the determination in the acquisition plan whether to use a direct or an assisted acquisition for the interagency acquisition method.</t>
  </si>
  <si>
    <t>Enable collaboration with the customer to help determine whether lump sum cost estimating is the appropriate method. The IGCE/IGPE will be part of the procurement request which the system shall document in the contract file (Tab 1, Procurement Request/Funding Certification).</t>
  </si>
  <si>
    <t xml:space="preserve">As a PMO, I need to determine whether I directly use another agency's contract vehicle OR ask that another agency conduct the acquisition on my behalf so I can comply with the authoritative references. In either instance, I need to obtain the concurrence of the responsible contracting office.  </t>
  </si>
  <si>
    <t xml:space="preserve">As the customer, I need to give my CO/CS an IGCE/IGPE so we can appropriately budget for the requirement and have a good basis to evaluate proposals.
As a CO/CS, I need to collaborate with my customer to help determine whether lump sum cost estimating is the appropriate method so I can ensure it will help me determine prices to be fair and reasonable.  I also need to be able to access the action in the contract file and export it if necessary. </t>
  </si>
  <si>
    <t>SS - 12</t>
  </si>
  <si>
    <t>Enable users to document a notification to SBA Headquarters of the CO determination to appeal SBA's COC issuance. The CWS shall also allow the user to create from a template or upload the appeal. Enable the routing, review, and revision of such determinations, and where necessary, the approval of such documents.The system needs to make the action available for viewing in the contract file (Tab 6, Small Business Set Aside Determination)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</si>
  <si>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be able to create/upload/import the notification to SBA Headquarters of the CO determination to appeal SBA's COC issuance. I need to work with my agency's OSDBU to create and file the appeal along with any supporting documentation and will need to retrieve data from the CWS for this purpose.  I also need to be able to access the action in the contract file and export it if necessary.</t>
  </si>
  <si>
    <t>Ensure system can efficiently:
- Create/upload/import the notification and the appeal
- Collaborate with acquisition team members
- Retrieve supporting documentation from the CWS
- Appeal the COC
- Access information in the contract file and export it if necessary</t>
  </si>
  <si>
    <t>Activity 4 - Independent Government Cost Estimate (IGCE); Task 4b</t>
  </si>
  <si>
    <t>Collaborate with the customer in determining whether top-down cost estimating is the appropriate method.</t>
  </si>
  <si>
    <t>Activity 13 - Interagency Acquisitions; Part A - Interagency Acquisitions Overview; Task 1a</t>
  </si>
  <si>
    <t>Determine if an assisted acquisition is the appropriate interagency acquisition method for the requirement.</t>
  </si>
  <si>
    <t>APP - 64</t>
  </si>
  <si>
    <t xml:space="preserve">Enable collaboration with the customer to help determine whether top-down sum cost estimating is the appropriate method. The IGCE/IGPE will be part of the procurement request. The system needs to make the action available for viewing in the contract file (Tab 1, Procurement Request/Funding Certification) and provide the ability to export the data as a web-form or similar structured manner. </t>
  </si>
  <si>
    <t xml:space="preserve">As the customer, I need to give my CO/CS an IGCE/IGPE so we can appropriately budget for the requirement and have a good basis to evaluate proposals.
As a CO/CS, I need to collaborate with my customer to help determine whether top-down cost estimating is the appropriate method so I can ensure it will help me determine prices to be fair and reasonable.  I also need to be able to access the action in the contract file and export it if necessary. </t>
  </si>
  <si>
    <t>Activity 12 - Socioeconomic Programs and Set-Asides; Part A - Acquisitions Not Exceeding the Simplified Acquisition Threshold; Task 6 (Note--FAI has this as Task 5, but it is suppose be Task 6 - paragraph number corrected here)</t>
  </si>
  <si>
    <t xml:space="preserve">If the procurement is set-aside, document the contract file. </t>
  </si>
  <si>
    <t>Activity 4 - Independent Government Cost Estimate (IGCE); Task 4c</t>
  </si>
  <si>
    <t>AP - 74</t>
  </si>
  <si>
    <t>Cooperate with the team in determining whether bottom-up cost estimating is the appropriate method.</t>
  </si>
  <si>
    <t>Enable users to capture the determination in the acquisition plan to use an assisted acquisition for the interagency acquisition method.</t>
  </si>
  <si>
    <t xml:space="preserve">As a PMO, I need to determine if an assisted acquisition is the appropriate interagency acquisition method for the requirement so I can comply with the authoritative references. I need to obtain the concurrence of the responsible contracting office.  </t>
  </si>
  <si>
    <t>APP - 65</t>
  </si>
  <si>
    <t xml:space="preserve">Enable collaboration with the customer to help determine whether bottom-up cost estimating is the appropriate method. The IGCE/IGPE will be part of the procurement request. The system needs to make the action available for viewing in the contract file (Tab 1, Procurement Request/Funding Certification) and provide the ability to export the data as a web-form or similar structured manner. </t>
  </si>
  <si>
    <t xml:space="preserve">As the customer, I need to give my CO/CS an IGCE/IGPE so we can appropriately budget for the requirement and have a good basis to evaluate proposals.
As a CO/CS, I need to collaborate with my customer to help determine whether bottom-up cost estimating is the appropriate method so I can ensure it will help me determine prices to be fair and reasonable.  I also need to be able to access the action in the contract file and export it if necessary. </t>
  </si>
  <si>
    <t>Activity 13 - Interagency Acquisitions; Part A - Interagency Acquisitions Overview; Task 1b</t>
  </si>
  <si>
    <t>Activity 4 - Independent Government Cost Estimate (IGCE); Task 5</t>
  </si>
  <si>
    <t>Determine if a direct acquisition is the appropriate interagency acquisition method for the requirement.</t>
  </si>
  <si>
    <t>4.6.1</t>
  </si>
  <si>
    <t>Assist the customer in compiling the costs/price by primary elements based on the estimating method selected by the customer</t>
  </si>
  <si>
    <t>SS - 13</t>
  </si>
  <si>
    <t>Enable users to document the contract file (Tab 6, Small Business Set Aside Determination).</t>
  </si>
  <si>
    <t xml:space="preserve">As a CO/CS, I need to be able to document the contract file to comply with the authoritative record keeping requirements. </t>
  </si>
  <si>
    <t>APP - 66</t>
  </si>
  <si>
    <t xml:space="preserve">Enable collaboration with the customer to help compile costs/price by primary elements based on the selected estimating methodology. The IGCE/IGPE will be part of the procurement request. The system needs to make the action available for viewing in the contract file (Tab 1, Procurement Request/Funding Certification) and provide the ability to export the data as a web-form or similar structured manner. </t>
  </si>
  <si>
    <t xml:space="preserve">As the customer, I need to give my CO/CS an IGCE/IGPE so we can appropriately budget for the requirement and have a good basis to evaluate proposals.
As a CO/CS, I need to collaborate with my customer to help compile costs/price by primary elements based on the selected estimating methodology so I can ensure it will help me determine prices to be fair and reasonable.  I also need to be able to access the action in the contract file and export it if necessary. </t>
  </si>
  <si>
    <t>Ensure system can efficiently:
- Collaborate with the customer
- Access information in the contract file and export it if necessary</t>
  </si>
  <si>
    <t>AP - 76</t>
  </si>
  <si>
    <t xml:space="preserve">Enable users to capture the determination to use a direct acquisition for the interagency acquisition method. </t>
  </si>
  <si>
    <t xml:space="preserve">As a CO/CS, I need to determine if I should use another agency's IDIQ contract vehicle so that I comply with the authoritative references. I may need to obtain the concurrence of the responsible contracting office if ordering authority is not already delegated to me.  </t>
  </si>
  <si>
    <t>Activity 12 - Socioeconomic Programs and Set-Asides; Part C - 8(a) Programs; Task 9 (Note - Task 8 is addressed in ACQ.030.050 Best Value Determination and Source Selection Authority Briefing)</t>
  </si>
  <si>
    <t xml:space="preserve">Determine whether it would be useful to request a Pre Award survey. </t>
  </si>
  <si>
    <t>Activity 4 - Independent Government Cost Estimate (IGCE); Task 5a</t>
  </si>
  <si>
    <t>Assist the customer in compiling and calculating the labor cost/prices for either the Independent Government Cost/Price Estimate.</t>
  </si>
  <si>
    <t>4.3.1
4.3.1.i
4.3.1.ii
4.6.1</t>
  </si>
  <si>
    <t>Activity 13 - Interagency Acquisitions; Part B - Assisted Acquisitions; Task 1</t>
  </si>
  <si>
    <t>As the requesting agency, determine whether or not the assisted acquisition is subject to the policies and procedures in FAR Subpart 17.5—Interagency Acquisitions.</t>
  </si>
  <si>
    <t>APP - 67</t>
  </si>
  <si>
    <t>SS - 14</t>
  </si>
  <si>
    <t xml:space="preserve">Enable collaboration with the customer to help compile and calculate the labor costs/prices for the IGCE/IGPE. The IGCE/IGPE will be part of the procurement request. The system needs to make the action available for viewing in the contract file (Tab 1, Procurement Request/Funding Certification) and provide the ability to export the data as a web-form or similar structured manner. </t>
  </si>
  <si>
    <t xml:space="preserve">As the customer, I need to give my CO/CS an IGCE/IGPE so we can appropriately budget for the requirement and have a good basis to evaluate proposals. 
As a CO/CS, I need to collaborate with my customer to help compile and calculate the labor costs/prices for the IGCE/IGPE so I can ensure it will help me determine prices to be fair and reasonable.  I also need to be able to access the action in the contract file and export it if necessary.  </t>
  </si>
  <si>
    <t>As a CO/CS, I need to be able to create/upload/import my determination that the offeror is responsible so I comply with the authoritative references. I want to minimize the number of systems I need to interact with to help me make this determination by having the CWS populate this information in my template/document for me. This includes SAM registration, SAM exclusions, FAPIIS records, EEO clearances (as applicable), and financial records. The system needs to make the action and records available for viewing in the contract file (Tab 17, Responsibility Determination) and provide the ability to export the data as a web-form or similar structured manner.</t>
  </si>
  <si>
    <t>Ensure system can efficiently:
- Collaborate with the customer
- Collect the labor costs/prices, as applicable
- Access information in the contract file and export it if necessary</t>
  </si>
  <si>
    <t>As a CO/CS), I need to be able to evaluate relevant information concerning a potential contractors responsibility.  In the event sufficient information is not available, and if the resultant contract is not fixed price at or below the simplified acquisition threshold or will involve the acquisition of commercial items, I need to be able to determine whether a Pre Award survey is justified in terms of it cost.</t>
  </si>
  <si>
    <t xml:space="preserve">Ensure system can efficiently:
- Evaluate relevant information concerning responsibility
- Document the determination whether a Pre Award survey is justified
- Access information in the contract file and export it if necessary
</t>
  </si>
  <si>
    <t>Activity 4 - Independent Government Cost Estimate (IGCE); Task 5b</t>
  </si>
  <si>
    <t>Ensure that the customer applied the applicable escalation to the labor in either the Independent Government Cost/Price Estimate.</t>
  </si>
  <si>
    <t>AP - 77</t>
  </si>
  <si>
    <t>Activity 12 - Socioeconomic Programs and Set-Asides; Part C - 8(a) Programs; Task 10</t>
  </si>
  <si>
    <t xml:space="preserve">Enable users to capture the determination whether or not the assisted acquisition is subject to FAR 17.5. </t>
  </si>
  <si>
    <t>Refer responsibility issues to SBA for Certificate of Competency (COC) consideration</t>
  </si>
  <si>
    <t xml:space="preserve">As a CO/CS, I need to determine if the assisted acquisition is subject to FAR 17.5 so I can comply with the authoritative reference. </t>
  </si>
  <si>
    <t>APP - 68</t>
  </si>
  <si>
    <t xml:space="preserve">Enable collaboration with the customer to help ensure they applied the applicable escalation to the labor in the IGCE/IGPE. The IGCE/IGPE will be part of the procurement request. The system needs to make the action available for viewing in the contract file (Tab 1, Procurement Request/Funding Certification) and provide the ability to export the data as a web-form or similar structured manner. </t>
  </si>
  <si>
    <t xml:space="preserve">As the customer, I need to give my CO/CS an IGCE/IGPE so we can appropriately budget for the requirement and have a good basis to evaluate proposals. 
As a CO/CS, I need to collaborate with my customer to help ensure they applied the applicable escalation to the labor in the IGCE/IGPE so I can ensure it will help me determine prices to be fair and reasonable.  I also need to be able to access the action in the contract file and export it if necessary.  </t>
  </si>
  <si>
    <t>Ensure system can efficiently:
- Collaborate with the customer
- Collect the source data and calculations used to escalate labor
- Access information in the contract file and export it if necessary</t>
  </si>
  <si>
    <t>Activity 13 - Interagency Acquisitions; Part B - Assisted Acquisitions; Task 2a (Note--there is no Task 2)</t>
  </si>
  <si>
    <t>If the assisted acquisition is subject to the policies and procedures in FAR Subpart 17.5—Interagency Acquisitions, as the requesting agency, determine if the assisted acquisition is subject to the Economy Act.</t>
  </si>
  <si>
    <t>Activity 4 - Independent Government Cost Estimate (IGCE); Task 5c</t>
  </si>
  <si>
    <t>Ensure that the customer applied the applicable fringe benefit rate(s) to the labor costs in Independent Government Cost Estimate.</t>
  </si>
  <si>
    <t>SS - 15</t>
  </si>
  <si>
    <t>Enable users to document a request to SBA to determine contractor responsibility under a COC consideration. The system needs to make the action available for viewing in the contract file (Tab 17, Responsibility Determination) and provide the ability to export the data as a web-form or similar structured manner.</t>
  </si>
  <si>
    <t>As a CO/CS, I need to create/upload/import a request to SBA to determine contractor responsibility when I determine that a small business is not responsible. I need to refer that small business to SBA for a possible Certificate of Competency in order to give maximum consideration to small business concerns.  I also need to be able to access the action in the contract file and export it if necessary.</t>
  </si>
  <si>
    <t>APP - 69</t>
  </si>
  <si>
    <t>Ensure system can efficiently:
- Create/upload/import a request to SBA 
- Refer the small business to SBA
- Access information in the contract file and export it if necessary</t>
  </si>
  <si>
    <t xml:space="preserve">Enable collaboration with the customer to help ensure they applied the applicable fringe benefit rate(s) to the labor costs in the IGCE. The IGCE will be part of the procurement request. The system needs to make the action available for viewing in the contract file (Tab 1, Procurement Request/Funding Certification) and provide the ability to export the data as a web-form or similar structured manner. </t>
  </si>
  <si>
    <t xml:space="preserve">As the customer, I need to give my CO/CS an IGCE so we can appropriately budget for the requirement and have a good basis to evaluate proposals. 
As a CO/CS, I need to collaborate with my customer to help ensure they applied the applicable fringe benefit rate(s) to the labor costs in the IGCE so I can ensure it will help me determine prices to be fair and reasonable.  I also need to be able to access the action in the contract file and export it if necessary.  </t>
  </si>
  <si>
    <t>Ensure system can efficiently:
- Collaborate with the customer
- Collect the fringe benefit rate(s) to the labor costs used
- Access information in the contract file and export it if necessary</t>
  </si>
  <si>
    <t>AP - 78</t>
  </si>
  <si>
    <t xml:space="preserve">Enable users to capture the determination if the assisted acquisition is subject to the Economy Act. </t>
  </si>
  <si>
    <t>Activity 12 - Socioeconomic Programs and Set-Asides; Part C - 8(a) Programs; Task 11</t>
  </si>
  <si>
    <t xml:space="preserve">After receiving notification of the SBA’s COC issuance or denial, determine whether to appeal the decision. </t>
  </si>
  <si>
    <t>Appeal determination</t>
  </si>
  <si>
    <t>Activity 4 - Independent Government Cost Estimate (IGCE); Task 5d</t>
  </si>
  <si>
    <t>Assist the customer in compiling the other direct costs accurately for the Independent Government Cost/Price Estimate.</t>
  </si>
  <si>
    <t>APP - 70</t>
  </si>
  <si>
    <t xml:space="preserve">Enable collaboration with the customer to help compile the other direct costs accurately for the IGCE/ICPE. The IGCE/IGPE will be part of the procurement request. The system needs to make the action available for viewing in the contract file (Tab 1, Procurement Request/Funding Certification) and provide the ability to export the data as a web-form or similar structured manner. </t>
  </si>
  <si>
    <t xml:space="preserve">As the customer, I need to give my CO/CS an IGCE/IGPE so we can appropriately budget for the requirement and have a good basis to evaluate proposals. 
As a CO/CS, I need to collaborate with my customer to help compile the other direct costs accurately for the IGCE/IGPE so I can ensure it will help me determine prices to be fair and reasonable.  I also need to be able to access the action in the contract file and export it if necessary.  </t>
  </si>
  <si>
    <t>Ensure system can efficiently:
- Collaborate with the customer
- Collect the other direct costs used in support of the IGCE/IGPE
- Access information in the contract file and export it if necessary</t>
  </si>
  <si>
    <t>Activity 13 - Interagency Acquisitions; Part B - Assisted Acquisitions; Task 2a(i)</t>
  </si>
  <si>
    <t>As the requesting agency, if the assisted acquisition is subject to the Economy Act, prepare a determination and findings (D&amp;F).</t>
  </si>
  <si>
    <t>Activity 4 - Independent Government Cost Estimate (IGCE); Task 5e</t>
  </si>
  <si>
    <t>Ensure that the applicable overhead rate(s) was applied accurately in the Independent Government Cost Estimate.</t>
  </si>
  <si>
    <t>APP - 71</t>
  </si>
  <si>
    <t xml:space="preserve">Enable collaboration with the customer to help ensure the applicable overhead rate(s) was applied accurately in the IGCE/ICPE. The IGCE/IGPE will be part of the procurement request. The system needs to make the action available for viewing in the contract file (Tab 1, Procurement Request/Funding Certification) and provide the ability to export the data as a web-form or similar structured manner. </t>
  </si>
  <si>
    <t>SS - 16</t>
  </si>
  <si>
    <t xml:space="preserve">As the customer, I need to give my CO/CS an IGCE/IGPE so we can appropriately budget for the requirement and have a good basis to evaluate proposals. 
As a CO/CS, I need to collaborate with my customer to help ensure the applicable overhead rate(s) was applied accurately in the IGCE/IGPE so I can ensure it will help me determine prices to be fair and reasonable.  I also need to be able to access the action in the contract file and export it if necessary.  </t>
  </si>
  <si>
    <t>Enable users to document a determination whether to appeal SBA's COC issuance or denial. Enable the routing, review, and revision of such determinations, and where necessary, the approval of such documents. The system needs to make the action available for viewing in the contract file (Tab 17, Responsibility Determination) and provide the ability to export the data as a web-form or similar structured manner.</t>
  </si>
  <si>
    <t>AP - 79</t>
  </si>
  <si>
    <t>Ensure system can efficiently:
- Collaborate with the customer
- Collect the applicable overhead rate(s) and calculations used in the IGCE/IGPE
- Access information in the contract file and export it if necessary</t>
  </si>
  <si>
    <t xml:space="preserve">Enable users to capture a determination and findings (D&amp;F) by the requesting agency if the assisted acquisition is subject to the Economy Act. </t>
  </si>
  <si>
    <t>As an acquisition team member, I need to be able to review and route documents, and depending on the document, may also be required to approve such documents so the CO/CS has what she/he needs to document acquisition decisions. 
As a CO/CS, I need to be able to create/upload/import the determination whether to appeal SBA's COC issuance or denial.  I also need to be able to access the action in the contract file and export it if necessary.</t>
  </si>
  <si>
    <t>Ensure system can efficiently:
- Create/upload/import the determination
- Collaborate with acquisition team members
- Access information in the contract file and export it if necessary</t>
  </si>
  <si>
    <t xml:space="preserve">As a CO/CS, I need to create a D&amp;F stating use is in the Government's best interest and can't be obtained as conveniently or economically by contracting directly with a private source and the applicable circumstance supporting the strategy. </t>
  </si>
  <si>
    <t>Ensure system can efficiently:
- Capture the determination
- Create the D&amp;F</t>
  </si>
  <si>
    <t>Activity 4 - Independent Government Cost Estimate (IGCE); Task 5f</t>
  </si>
  <si>
    <t>Ensure that the applicable G&amp;A rate is applied to all required costs in the Independent Government Cost/Price Estimate.</t>
  </si>
  <si>
    <t>APP - 72</t>
  </si>
  <si>
    <t xml:space="preserve">Enable collaboration with the customer to help ensure the applicable G&amp;A rate is applied to all required costs in the IGCE/ICPE. The IGCE/IGPE will be part of the procurement request. The system needs to make the action available for viewing in the contract file (Tab 1, Procurement Request/Funding Certification) and provide the ability to export the data as a web-form or similar structured manner. </t>
  </si>
  <si>
    <t>Activity 13 - Interagency Acquisitions; Part B - Assisted Acquisitions; Task 2a(ii)</t>
  </si>
  <si>
    <t xml:space="preserve">As the customer, I need to give my CO/CS an IGCE/IGPE so we can appropriately budget for the requirement and have a good basis to evaluate proposals. 
As a CO/CS, I need to collaborate with my customer to ensure the applicable G&amp;A rate is applied to all required costs in the IGCE/IGPE so I can ensure it will help me determine prices to be fair and reasonable.  I also need to be able to access the action in the contract file and export it if necessary.  </t>
  </si>
  <si>
    <t>As the requesting agency, obtain approval of the D&amp;F from the authorized requesting agency official.</t>
  </si>
  <si>
    <t>Ensure system can efficiently:
- Collaborate with the customer
- Collect the applicable G&amp;A rate and calculations used in the IGCE/IGPE, as applicable
- Access information in the contract file and export it if necessary</t>
  </si>
  <si>
    <t>Approved D&amp;F</t>
  </si>
  <si>
    <t>Activity 12 - Socioeconomic Programs and Set-Asides; Part C - 8(a) Programs; Task 12</t>
  </si>
  <si>
    <t xml:space="preserve">If applicable, respond to an SBA Administrator appeal to the agency head. </t>
  </si>
  <si>
    <t>Activity 4 - Independent Government Cost Estimate (IGCE); Task 5g</t>
  </si>
  <si>
    <t>Ensure that the applicable profit/fee is applied accurately in the Independent Government Cost/Price Estimate.</t>
  </si>
  <si>
    <t>AP - 80</t>
  </si>
  <si>
    <t xml:space="preserve">Enable users to route the D&amp;F for review and approval. </t>
  </si>
  <si>
    <t xml:space="preserve">As a reviewer, I need to review the D&amp;F, make recommended edits/changes, approve/reject the D&amp;F, and route it to the next signatory or return it as appropriate so my CO/CS can document my review.
As a CO/CS, I need to route the D&amp;F to selected reviewers for concurrence or approval. I'd like both a standardized routing list and the ability to tailor the standard routing per procurement. I need to be able to review recommended edits/revisions and make appropriate changes to the original D&amp;F, rerouting them if necessary for concurrence/approval. These actions are needed so I can comply with the authoritative references and my local policy. </t>
  </si>
  <si>
    <t>Ensure system can efficiently:
- Create routing lists as designated
- Route for review and approval</t>
  </si>
  <si>
    <t>SS - 17</t>
  </si>
  <si>
    <t>As an acquisition team member, I need to be able to review and route documents, and depending on the document, may also be required to approve such documents so the CO/CS has what she/he needs to document acquisition decisions. 
As a CO/CS, I need to be able to create/upload/import the determination whether to appeal SBA's COC issuance or denial. I need to work with my agency's AAOSBU to create and file the appeal along with any supporting documentation and will need to retrieve data from the CWS for this purpose.  I also need to be able to access the action in the contract file and export it if necessary.</t>
  </si>
  <si>
    <t>Ensure system can efficiently:
- Create/upload/import the determination and the appeal
- Collaborate with acquisition team members
- Retrieve supporting documentation from the CWS
- Appeal the COC
- Access information in the contract file and export it if necessary</t>
  </si>
  <si>
    <t>Activity 13 - Interagency Acquisitions; Part B - Assisted Acquisitions; Task 2a(iii)</t>
  </si>
  <si>
    <t>As the requesting agency, furnish a copy of the approved D&amp;F to the servicing agency.</t>
  </si>
  <si>
    <t>Activity 14 - Federal Supply Schedules; Part C - Procedures for Placing Orders and Establishing a BPA Against an FSS Contract When a Statement of Work (SOW) is not Required; Task 3 (Note--Task 2 is in ACQ.020.80 Solicitation Documentation Development)</t>
  </si>
  <si>
    <t>APP - 73</t>
  </si>
  <si>
    <t xml:space="preserve">If using FSS, fairly consider and evaluate quotes in accordance with the basis for selection in the RFQ. </t>
  </si>
  <si>
    <t xml:space="preserve">Enable collaboration with the customer to ensure the applicable profit/fee is accurately applied in the IGCE/ICPE. The IGCE/IGPE will be part of the procurement request. The system needs to make the action available for viewing in the contract file (Tab 1, Procurement Request/Funding Certification) and provide the ability to export the data as a web-form or similar structured manner. </t>
  </si>
  <si>
    <t xml:space="preserve">As the customer, I need to give my CO/CS an IGCE/IGPE so we can appropriately budget for the requirement and have a good basis to evaluate proposals. 
As a CO/CS, I need to collaborate with my customer to ensure the applicable profit/fee is applied accurately in the IGCE/IGPE so I can ensure it will help me determine prices to be fair and reasonable.  I also need to be able to access the action in the contract file and export it if necessary.  </t>
  </si>
  <si>
    <t>Ensure system can efficiently:
- Collaborate with the customer
- Collect the applicable profit/fee and calculation used in the IGCE/IGPE
- Access information in the contract file and export it if necessary</t>
  </si>
  <si>
    <t>AP - 81</t>
  </si>
  <si>
    <t>Activity 4 - Independent Government Cost Estimate (IGCE); Task 6</t>
  </si>
  <si>
    <t>Enable users to capture an approved D&amp;F and route it to the servicing agency. Document the D&amp;F in the contract file with the Interagency Agreement (Tab 1, Procurement Request/Funding Certification).</t>
  </si>
  <si>
    <t>Revise the Independent Government Cost/Price Estimate, if necessary.</t>
  </si>
  <si>
    <t>As a CO/CS, I need to be able to receive the requesting agency's approved D&amp;F so I can comply with the authoritative reference. I also need to route the approved D&amp;F to the servicing agency. I need to document the file.</t>
  </si>
  <si>
    <t>Ensure system can efficiently:
- Capture the approved D&amp;F
- Route for review and approval
- Access information in the contract file and export it if necessary</t>
  </si>
  <si>
    <t>APP - 74</t>
  </si>
  <si>
    <t xml:space="preserve">Enable collaboration with the customer to finalize the IGCE/ICPE if necessary. The IGCE/IGPE will be part of the procurement request. The system needs to make the action available for viewing in the contract file (Tab 1, Procurement Request/Funding Certification) and provide the ability to export the data as a web-form or similar structured manner. </t>
  </si>
  <si>
    <t xml:space="preserve">As the customer, I need to give my CO/CS an IGCE/IGPE so we can appropriately budget for the requirement and have a good basis to evaluate proposals. 
As a CO/CS, I need to collaborate with my customer to finalize the IGCE/IGPE if necessary so I can ensure it will help me determine prices to be fair and reasonable.  I also need to be able to access the action in the contract file and export it if necessary.  </t>
  </si>
  <si>
    <t>Ensure system can efficiently:
- Collaborate with the customer
- Collect the finalized IGCE/ICPE
- Access information in the contract file and export it if necessary</t>
  </si>
  <si>
    <t>Activity 13 - Interagency Acquisitions; Part B - Assisted Acquisitions; Task 2a(iv)</t>
  </si>
  <si>
    <t>As the requesting and servicing agencies, determine how payment for the goods and services will be handled.</t>
  </si>
  <si>
    <t>Payment determination</t>
  </si>
  <si>
    <t>SS - 18</t>
  </si>
  <si>
    <t>Enable users to document the evaluation of offers on the basis established in the solicitation. Enable the retrieval of data used to evaluation offers (e.g., technical evaluation reports, price analyses, etc.). Enable the routing and review of the evaluation document amongst the acquisition team. The system needs to make the action available for viewing in the contract file (Tab 14, Cost or Price and Technical Analysis Report)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</si>
  <si>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evaluations. 
As a Contracting Officer/Contract Specialist (CO/CS), I need to be able to accurately evaluate quotations and offers consistent with the solicitation instructions.  I may need to collaborate with acquisition team members on the evaluation and need access to the evaluation documents to ensure a fair and impartial evaluation.  I also need to be able to access the action in the contract file and export it if necessary.</t>
  </si>
  <si>
    <t xml:space="preserve">Ensure system can efficiently:
- Create/upload/import evaluation documents
- Enable team collaboration when needed
- Route for review and approvals
- Access information in the contract file and export it if necessary
</t>
  </si>
  <si>
    <t>Activity 4 - Independent Government Cost Estimate (IGCE); Task 7</t>
  </si>
  <si>
    <t>Determine if the Independent Government Cost/Price Estimate is an acceptable tool to use for proposal evaluation (fair and reasonable pricing).</t>
  </si>
  <si>
    <t>1.2.1
1.1.2.2
1.1.2.2.1
1.1.2.2.2
1.5.1
1.5.2
1.6.1</t>
  </si>
  <si>
    <t>AP - 82</t>
  </si>
  <si>
    <t xml:space="preserve">Enable users to capture the determination of how payment for goods/services will be handled in the interagency agreement. </t>
  </si>
  <si>
    <t xml:space="preserve">As a CO/CS, I need to be able to ensure the Interagency Agreement addresses payment so I can comply with the authoritative reference. </t>
  </si>
  <si>
    <t>Ensure system can efficiently:
- Capture payment determination</t>
  </si>
  <si>
    <t>Activity 14 - Federal Supply Schedules; Part C - Procedures for Placing Orders and Establishing a BPA Against an FSS Contract When a Statement of Work (SOW) is not Required; Task 4</t>
  </si>
  <si>
    <t xml:space="preserve">If using FSS, determine whether to seek a price reduction. </t>
  </si>
  <si>
    <t>NA</t>
  </si>
  <si>
    <t>Activity 13 - Interagency Acquisitions; Part B - Assisted Acquisitions; Task 2b</t>
  </si>
  <si>
    <t>As the requesting agency, if the assisted acquisition is subject to the policies and procedures in FAR Subpart 17.5—Interagency Acquisitions, prepare a D&amp;F that supports the assisted acquisition method as the best procurement approach.</t>
  </si>
  <si>
    <t>APP - 75</t>
  </si>
  <si>
    <t xml:space="preserve">Enable users to document the determination if the IGCE/IGPE is an acceptable tool to use for proposal evaluation. This determination shall be part of the Procurement Request. The system needs to make the action available for viewing in the contract file (Tab 1, Procurement Request/Funding Certification) and provide the ability to export the data as a web-form or similar structured manner. </t>
  </si>
  <si>
    <t xml:space="preserve">As a CO/CS, I need to create/upload the determination if the IGCE/IGPE is an acceptable tool to use for proposal evaluation so I can use the appropriate price analysis techniques to evaluate whether prices are fair and reasonable.  I also need to be able to access the action in the contract file and export it if necessary. </t>
  </si>
  <si>
    <t>Ensure system can efficiently:
- Create/Upload the determination if the IGCE/IGPE is an acceptable tool to use for proposal evaluation
- Access information in the contract file and export it if necessary</t>
  </si>
  <si>
    <t>4.4.3
4.6.1</t>
  </si>
  <si>
    <t>SS - 19</t>
  </si>
  <si>
    <t>Enable users to document the determination whether to seek a price reduction.The system needs to make the action available for viewing in the contract file (Tab 14, Cost or Price and Technical Analysis Report) and provide the ability to export the data as a web-form or similar structured manner.</t>
  </si>
  <si>
    <t>As a Contracting Officer/Contract Specialist (CO/CS), I need to be able to determine whether to seek a price reduction so I comply with the authoritative references. I also need to be able to access the action in the contract file and export it if necessary.</t>
  </si>
  <si>
    <t xml:space="preserve">Ensure system can efficiently:
- Create/upload/import the determination
- Access information in the contract file and export it if necessary
</t>
  </si>
  <si>
    <t>2.1.1
2.2.1
2.2.2
2.3.1</t>
  </si>
  <si>
    <t>AP - 83</t>
  </si>
  <si>
    <t xml:space="preserve">Enable users to capture the determination and create a D&amp;F that supports the assisted acquisition method as the best procurement approach. </t>
  </si>
  <si>
    <t xml:space="preserve">As a CO/CS, I need to create a D&amp;F that supports my determination that the proposed interagency acquisition is the best procurement approach so I can comply with the authoritative reference. </t>
  </si>
  <si>
    <t>Ensure system can efficiently:
- Capture determination and create D&amp;F.</t>
  </si>
  <si>
    <t>Activity 14 - Federal Supply Schedules; Part D - Procedures for Placing an Order for Services and Establishing a BPA Against an FSS Contract When a Statement of Work (SOW) is Required; Task 4 (Note--Task 3 is in ACQ.020.100 Solicitation Issuance)</t>
  </si>
  <si>
    <t xml:space="preserve">If using FSS for services, evaluate responses. </t>
  </si>
  <si>
    <t>Evaluations</t>
  </si>
  <si>
    <t>ACQ.020.080</t>
  </si>
  <si>
    <t>Solicitation Documentation Development</t>
  </si>
  <si>
    <t>Develop standard solicitation documents, including Terms and Conditions and Reps and Certs; Develop solicitation documents for simplified acquisitions and other contract types; Includes developing Request for Proposal (RFP) and Request for Quote (RFQ) documentation</t>
  </si>
  <si>
    <t>Activity 13 - Interagency Acquisitions; Part B - Assisted Acquisitions; Task 2c</t>
  </si>
  <si>
    <t>As the requesting agency, obtain concurrence for the D&amp;F from the responsible requesting agency contracting office in accordance with internal agency procedures.</t>
  </si>
  <si>
    <t>D&amp;F concurrence</t>
  </si>
  <si>
    <t>Activity 6 - Service Contract Labor Standards Requirements Analysis; Task 1</t>
  </si>
  <si>
    <t>Identify requirements for wage determination for service contracts</t>
  </si>
  <si>
    <t>Determination of need for wage determinations</t>
  </si>
  <si>
    <t>AP - 84</t>
  </si>
  <si>
    <t>SS - 20</t>
  </si>
  <si>
    <t>Enable users to route the D&amp;F for review and approval, capture requesting agency concurrences with the D&amp;F and document the contract file (Tab 1, Procurement Request/Funding Certification).</t>
  </si>
  <si>
    <t xml:space="preserve">As a CO/CS, I need to ensure I have the proper concurrences for the D&amp;F that supports the proposed interagency acquisition so I can comply with the authoritative reference. I also need to document the contract file. </t>
  </si>
  <si>
    <t>Ensure system can efficiently:
- Route for review and approval
- Capture the approved D&amp;F
- Access information in the contract file and export it if necessary</t>
  </si>
  <si>
    <t>As an acquisition team member, I need to be able to review and route documents, and depending on the document, may also be required to approve such documents so the CO/CS has what she/he needs to document evaluations. 
As a Contracting Officer/Contract Specialist (CO/CS), I need to be able to accurately evaluate quotations and offers consistent with the solicitation instructions.  I may need to collaborate with acquisition team members on the evaluation and need access to the evaluation documents to ensure a fair and impartial evaluation.  I also need to be able to access the action in the contract file and export it if necessary.</t>
  </si>
  <si>
    <t>Activity 14 - Federal Supply Schedules; Part D - Procedures for Placing an Order for Services and Establishing a BPA Against an FSS Contract When a Statement of Work (SOW) is Required; Task 5</t>
  </si>
  <si>
    <t xml:space="preserve">If using FSS for services, determine whether to seek a price reduction. </t>
  </si>
  <si>
    <t>APP - 76</t>
  </si>
  <si>
    <t>Help identify requirements for wage determinations for service contracts, create/upload the corresponding determination, and select the appropriate provisions/clauses in the creation of the RFP/RFQ. The system needs to make the action available for viewing in the contract file (document the determination in Tab Tab 10 , RFP/RFQ and Amendment and document the corresponding wage determinations in Tab 5, Department of Labor Wage Determinations) and provide the ability to export the data as a web-form or similar structured manner.</t>
  </si>
  <si>
    <t xml:space="preserve">As a CO/CS, I need to identify requirements for wage determinations for service contracts so I comply with the authoritative references. I need to create/upload the determination that Service Contract Labor Standards apply and select the appropriate provisions and clauses in the creation of my RFP/RFQ. I also need to obtain the appropriate wage determinations for service contracts that will be performed domestically in excess of the current wage determination threshold ($2,500 as of this writing and may be subject to change).  I also need to be able to access the action in the contract file and export it if necessary.  </t>
  </si>
  <si>
    <t>Ensure system can efficiently:
- Identify requirements for wage determinations for service contracts
- Create/upload the determination that Service Contract Labor Standards apply
- Select the appropriate provisions/clauses in the creation of my RFP/RFQ
- Obtain the appropriate wage determination for service contracts
- Access information in the contract file and export it if necessary</t>
  </si>
  <si>
    <t>Activity 13 - Interagency Acquisitions; Part B - Assisted Acquisitions; Task 2d</t>
  </si>
  <si>
    <t>In the case where the servicing agency is required to award a contract, as the servicing agency, determine if a justification and approval (J&amp;A) or any other D&amp;F is required by law or regulation.</t>
  </si>
  <si>
    <t>Determination of need for J&amp;A or D&amp;F</t>
  </si>
  <si>
    <t>Activity 15 - Simplified Acquisition Procedures; Part A - Simplified Acquisition Procedures; Task 4 (Note--Task 3 is in ACQ.010.050 Acquisition Strategy / Plan Development)</t>
  </si>
  <si>
    <t xml:space="preserve">Evaluate the quotations or offers. </t>
  </si>
  <si>
    <t>AP - 85</t>
  </si>
  <si>
    <t>Enable users to capture the determination that a J&amp;A or any other D&amp;F is required by law or regulation. If required, enable user to create the J&amp;A or D&amp;F and document the file (Tab 1, Procurement Request/Funding Certification).</t>
  </si>
  <si>
    <t xml:space="preserve">As a CO/CS, I need to determine whether a J&amp;A or other D&amp;F is required by law or regulation so I can comply with them. If required, I need to create the J&amp;A or D&amp;F to comply with the authoritative references and document the contract file. </t>
  </si>
  <si>
    <t>Ensure system can efficiently:
- Capture the determination
- Create J&amp;A or D&amp;F as required
- Access information in the contract file and export it if necessary</t>
  </si>
  <si>
    <t>Activity 13 - Interagency Acquisitions; Part B - Assisted Acquisitions; Task 2e</t>
  </si>
  <si>
    <t>Develop the interagency agreement (IA) for the assisted acquisition.</t>
  </si>
  <si>
    <t>Interagency agreement</t>
  </si>
  <si>
    <t>1.2.1
1.6.1</t>
  </si>
  <si>
    <t>AP - 86</t>
  </si>
  <si>
    <t xml:space="preserve">Enable users to capture the interagency agreement (IA) for the assisted acquisition, ensuring that each part of the IA complies with the June 6, 2008 guidelines established by the OFPP (Improving the Management and Use of Interagency Agreements), and each component of each part is compliant. </t>
  </si>
  <si>
    <t xml:space="preserve">As a customer, I need to collaborate with the servicing agency to draft each component and each part of the interagency agreement.
As the PMO, I need to collaborate with both my customer and my CO/CS in drafting each component and each part of the interagency agreement for an assisted acquisition service.
As a CO/CS, I need to collaborate with both the customer and my PMO to ensure each component and each part of the interagency agreements meets the standards required by OFPP so I can comply with the authoritative references. </t>
  </si>
  <si>
    <t>Ensure system can efficiently:
- Capture the IA
- Enable team collaboration</t>
  </si>
  <si>
    <t>Activity 6 - Service Contract Labor Standards Requirements Analysis; Task 2</t>
  </si>
  <si>
    <t>Determine whether or not there is a predecessor contract covered by the Service Contract Labor Standards statute, and, if so, whether a collective bargaining agreement (CBA) exists. If no such CBA exists, proceed to Task 3. If such a CBA does exist, proceed to Task 6.</t>
  </si>
  <si>
    <t>Determination of predecessor contract</t>
  </si>
  <si>
    <t>Activity 13 - Interagency Acquisitions; Part B - Assisted Acquisitions; Task 3a(i)</t>
  </si>
  <si>
    <t>Prepare the general terms and conditions of the IA in partnership with the selected servicing agency.</t>
  </si>
  <si>
    <t>Activity 15 - Simplified Acquisition Procedures; Part A - Simplified Acquisition Procedures; Task 5</t>
  </si>
  <si>
    <t xml:space="preserve">Determine that the proposed price is fair and reasonable. </t>
  </si>
  <si>
    <t>Price analysis</t>
  </si>
  <si>
    <t>4.3.2
4.3.2.2
4.3.2.3
4.3.2.4
4.6.1</t>
  </si>
  <si>
    <t>APP - 77</t>
  </si>
  <si>
    <t>SS - 21</t>
  </si>
  <si>
    <t xml:space="preserve">Enable users to document the determination whether or not there is a predecessor contract covered by the Service Contract Labor Standards and if so, whether a collective bargaining agreement (CBA) exists. If one exists, the system needs to make the action available for viewing in the contract file (Tab 5, Department of Labor Wage Determinations) and provide the ability to export the data as a web-form or similar structured manner.  </t>
  </si>
  <si>
    <t>Enable users to conduct the price analysis and make the determination that the final price is fair and reasonable. The system needs to automatically calculate difference in price between vendor submissions at the unit price, line item price level, and total price level for each base and option period. It also needs to enable the user to select the calculated display as actuals, average, mean and/or median. It also needs to enable the user to filter and sort vendor price data to facilitate offer evaluations. Enable the routing, review, and revision of such determinations, and where necessary, the approval of such documents. The system needs to make the action available for viewing in the contract file (Tab 14, Cost or Price and Technical Analysis Report) and provide the ability to export the data as a web-form or similar structured manner.</t>
  </si>
  <si>
    <t>As a CO/CS, I need to create/upload the determination whether or not there is a predecessor contract covered by the Service Contract Labor Standards and if so, whether a CBA exists so I comply with the authoritative reference. If a CBA exists, I need to document the contract file.</t>
  </si>
  <si>
    <t>Ensure system can efficiently:
- Create/Upload the determination whether or not there is a predecessor contract covered by the Service Contract Labor Standards and if so, whether a CBA exists
- Access information in the contract file and export it if necessary</t>
  </si>
  <si>
    <t>As an acquisition team member, I need to be able to review and route documents, and depending on the document, may also be required to approve such documents so the CO/CS has what she/he needs to document acquisition decisions. 
As a CO/CS, I need the system to assist me in cost/price analysis by calculating the difference in price between vendor submissions at the unit price, line item, and total level to enable me to focus on higher level tasks. I need to be able to filter and sort vendor price data to help my evaluation team and I conduct cost/price analysis. I need to be able to evaluate offers using a variety of price analysis techniques in order to determine a fair and reasonable price as required by authoritative references. I may need to collaborate with the acquisition team and route documents for review and approval.  I also need to be able to access the action in the contract file and export it if necessary.</t>
  </si>
  <si>
    <t xml:space="preserve">Ensure system can efficiently:
- Calculate difference in price between vendor submissions at the unit price, line item, and total price level- Create/upload/import the price analysis
- Filter and sort vendor offer line item (including price) data
- Collaborate with the acquisition team
- Route documents for review and approval
- Access information in the contract file and export it if necessary
</t>
  </si>
  <si>
    <t xml:space="preserve">Enable users to prepare the general terms and conditions of the IA in partnership with the selected servicing agency. </t>
  </si>
  <si>
    <t>As a customer, I need to collaborate with the servicing agency to prepare the general terms and conditions of the IA.
As the PMO, I need to collaborate with both my customer and my CO/CS in preparing the general terms and conditions of the IA. 
As a CO/CS, I need to collaborate with both the customer and my PMO to prepare the general terms and conditions of the IA to meets the standards required by OFPP.</t>
  </si>
  <si>
    <t>Ensure system can efficiently:
- Prepare general terms and conditions
- Enable team collaboration</t>
  </si>
  <si>
    <t>Activity 16 - Sealed Bidding; Part A - Sealed Bidding; Task 9 (Note--Task 8 is in ACQ.020.130 Solicitation Amendment)</t>
  </si>
  <si>
    <t>For sealed bidding, receive bids.</t>
  </si>
  <si>
    <t>Activity 6 - Service Contract Labor Standards Requirements Analysis; Task 3</t>
  </si>
  <si>
    <t>Abstract of bids</t>
  </si>
  <si>
    <t>If no such CBA exists, require contractors to pay their employees at least the wages and fringe benefits found by the Department of Labor (DOL) to prevail in the locality or, in the absence of a wage determination, the minimum wage set forth in the Fair Labor Standards Act of 1938.</t>
  </si>
  <si>
    <t>Notification to contractor to pay employees</t>
  </si>
  <si>
    <t>Activity 13 - Interagency Acquisitions; Part B - Assisted Acquisitions; Task 3a(ii)</t>
  </si>
  <si>
    <t>The servicing and requesting agencies must complete Part A (general terms and conditions) of the interagency agreement.</t>
  </si>
  <si>
    <t>Part A Interagency Agreement</t>
  </si>
  <si>
    <t>4.2.1
4.2.1.1
4.2.1.2
4.6.1</t>
  </si>
  <si>
    <t>SS - 22</t>
  </si>
  <si>
    <t>Enable suppliers to submit bids in a secure manner. The system needs to make the action available for viewing in the contract file (Tab 11, Abstract of Bids/Proposals) and provide the ability to export the data as a web-form or similar structured manner.</t>
  </si>
  <si>
    <t>As a CO/CS, I need to be able to receive bids/offers in a secure manner so I have competition for my acquisition. I also need to be able to access the action in the contract file and export it if necessary.</t>
  </si>
  <si>
    <t>Ensure system can efficiently:
- Receive supplier bids securely
- Access information in the contract file and export it if necessary</t>
  </si>
  <si>
    <t>APP - 78</t>
  </si>
  <si>
    <t xml:space="preserve">Enable users to select the appropriate Service Contract Labor Standards provisions/clauses in the creation of the RFP/RFQ to ensure the solicitation contains a requirement for contractors to pay their employees in accordance with Department of Labor wage determination requirements or in the absence of a wage determination, at the minimum wage set forth in the Fair Labor Standards Act. The system needs to make the action available for viewing in the contract file (Tab 10 , RFP/RFQ and Amendments) and provide the ability to export the data as a web-form or similar structured manner.  </t>
  </si>
  <si>
    <t>Activity 16 - Sealed Bidding; Part A - Sealed Bidding; Task 10</t>
  </si>
  <si>
    <t>For sealed bidding, accept modifications to or withdrawals of bids</t>
  </si>
  <si>
    <t>Memorandum for the file</t>
  </si>
  <si>
    <t xml:space="preserve">As a CO/CS, I need to select the appropriate provisions and clauses in the creation of my RFP/RFQ to ensure the solicitation has a requirement for contractors to pay their employees in accordance with the Department of Labor wage determination requirements, or in the absence of a wage determination, at the minimum wage set forth in the Fair Labor Standards Act.  I also need to be able to access the action in the contract file and export it if necessary.  </t>
  </si>
  <si>
    <t>Ensure system can efficiently:
- Select the appropriate provisions/clauses in the creation of my RFP/RFQ
- Access information in the contract file and export it if necessary</t>
  </si>
  <si>
    <t xml:space="preserve">Enable users to complete Part A of the IA. </t>
  </si>
  <si>
    <t xml:space="preserve">As a customer, I need to collaborate with the servicing agency to complete Part A of the IA.
As the PMO, I need to collaborate with both my customer and my CO/CS in completing Part A of the IA. 
As a CO/CS, I need to collaborate with both the customer and my PMO to ensure Part A of the IA meets the standards required by OFPP. I need to route for review and approval the IA. </t>
  </si>
  <si>
    <t>Ensure system can efficiently:
- Complete Part A of the IA
- Enable team collaboration</t>
  </si>
  <si>
    <t>Activity 6 - Service Contract Labor Standards Requirements Analysis; Task 4</t>
  </si>
  <si>
    <t xml:space="preserve">If the WDOL database does not contain the applicable prevailing wage determination for a contract action, use the e98 electronic process to request a wage determination from DOL. </t>
  </si>
  <si>
    <t>Wage determination request</t>
  </si>
  <si>
    <t>Activity 13 - Interagency Acquisitions; Part B - Assisted Acquisitions; Task 3a(iii)</t>
  </si>
  <si>
    <t>Provide to the servicing agency any unique terms, conditions, and applicable agency-specific statutes, regulations, directives, and other applicable requirements for incorporation into the statement of work (SOW), statement of objectives (SOO), performance work statement (PWS), or specifications for products.</t>
  </si>
  <si>
    <t>Requesting agency info</t>
  </si>
  <si>
    <t xml:space="preserve">Enable users to use the e98 electronic process to request a wage determination from the Department of Labor if the WDOL database does not contain the applicable wage determination. The system needs to make the action available for viewing in the contract file (Tab 5, Department of Labor Wage Determinations) and provide the ability to export the data as a web-form or similar structured manner.  </t>
  </si>
  <si>
    <t xml:space="preserve">As a CO/CS, I need to be able to obtain the appropriate wage determination for my acquisition so I can comply with the authoritative sources and potential offerors know what the prevailing wage determinations are to factor into their price proposal.  I also need to be able to access the action in the contract file and export it if necessary. </t>
  </si>
  <si>
    <t>Ensure system can efficiently:
- Enable the use of the e98 electronic process to request a wage determination from the Department of Labor
- Access information in the contract file and export it if necessary</t>
  </si>
  <si>
    <t>SS - 23</t>
  </si>
  <si>
    <t>Enable users to document the acceptance of modifications to or withdrawals of bids if notice is received in the office designated in the solicitation not later than the exact time set for opening of bids.The system needs to make the action available for viewing in the contract file (Tab 11, Abstract of Bids/Proposals) and provide the ability to export the data as a web-form or similar structured manner.</t>
  </si>
  <si>
    <t>As a CO/CS, I need to be able to accept modification to or withdrawals of bids if notice is received in the office designated in the solicitation not later than the exact time set for opening of bids so I comply with the authoritative references. I also need to be able to access the action in the contract file and export it if necessary.</t>
  </si>
  <si>
    <t>Ensure system can efficiently:
- Receive modifications to or withdrawals of bids
- Register the modification to or withdrawal of bids
- Access information in the contract file and export it if necessary</t>
  </si>
  <si>
    <t>Activity 6 - Service Contract Labor Standards Requirements Analysis; Task 5</t>
  </si>
  <si>
    <t>Incorporate the appropriate wage determination or revision provided by the DOL into the solicitation.</t>
  </si>
  <si>
    <t>Wage determination</t>
  </si>
  <si>
    <t>Enable requesting agency to provide to the servicing agency any unique terms, conditions, and applicable agency-specific statutes, regulations, directives, and other applicable requirements for incorporation into the statement of work (SOW), statement of objectives (SOO), performance work statement (PWS), or specifications for products.</t>
  </si>
  <si>
    <t xml:space="preserve">As a customer, I need to provide to the servicing agency any unique terms, conditions, and applicable agency-specific statutes, regulations, directives, and other applicable requirements for incorporation into the statement of work (SOW), statement of objectives (SOO), performance work statement (PWS), or specifications for products. 
As the PMO, I need to collaborate with my customer and my CO/CS to review any unique terms, conditions, and applicable agency-specific statutes, regulations, directives, and other applicable requirements for incorporation into the statement of work (SOW), statement of objectives (SOO), performance work statement (PWS), or specifications for products.
As a CO/CS, I need to collaborate with both the customer and my PMO to review any unique terms, conditions, and applicable agency-specific statutes, regulations, directives, and other applicable requirements for incorporation into the statement of work (SOW), statement of objectives (SOO), performance work statement (PWS), or specifications for products to ensure I understand the requirement and comply with the authoritative references. </t>
  </si>
  <si>
    <t>Ensure system can efficiently:
- Capture unique terms, conditions, and applicable agency-specific statutes, regulations, directives, and other applicable requirements for incorporation into the statement of work (SOW), statement of objectives (SOO), performance work statement (PWS), or specifications for products
- Enable team collaboration</t>
  </si>
  <si>
    <t>Activity 16 - Sealed Bidding; Part A - Sealed Bidding; Task 11</t>
  </si>
  <si>
    <t>For sealed bidding, open bids.</t>
  </si>
  <si>
    <t>APP - 79</t>
  </si>
  <si>
    <t xml:space="preserve">Enable users to incorporate the appropriate wage determination or revision into the solicitation and the contract. If the wage determination needs incorporation into the solicitation or into the contract, the system needs to make the action available for viewing in the contract file (solicitations go in Tab 10, RFQ/RFP and Amendments; contract modifications go in ab 40, Contract Modifications) and provide the ability to export the data as a web-form or similar structured manner.  </t>
  </si>
  <si>
    <t xml:space="preserve">As a CO/CS, I need to be able to incorporate the appropriate wage determination into the solicitation so potential offerors know what the prevailing wage determinations are to factor into their price proposal. In the event a contract has already been awarded, I need to be able to initiate and execute a contract modification that incorporates the revised wage determination into the contract.  I also need to be able to access the action in the contract file and export it if necessary. </t>
  </si>
  <si>
    <t>Ensure system can efficiently:
- Incorporate the appropriate wage determination into the solicitation
- Incorporate the revised wage determination into the contract via a contract modification
- Access information in the contract file and export it if necessary</t>
  </si>
  <si>
    <t>Activity 13 - Interagency Acquisitions; Part B - Assisted Acquisitions; Task 3a(iv)</t>
  </si>
  <si>
    <t>Develop quality assurance requirements for the contract where required,</t>
  </si>
  <si>
    <t>Quality assurance requirements, QASP</t>
  </si>
  <si>
    <t>Activity 6 - Service Contract Labor Standards Requirements Analysis; Task 6</t>
  </si>
  <si>
    <t xml:space="preserve">If there is an applicable CBA, require contractors to pay their employees the wages and benefits at least equal to those contained in any bona fide CBA entered into under the predecessor contract. </t>
  </si>
  <si>
    <t>4.2.1
4.6.1
*</t>
  </si>
  <si>
    <t>SS - 24</t>
  </si>
  <si>
    <t>Enable users to document bid opening. The system needs to make the action available for viewing in the contract file (Tab 11, Abstract of Bids/Proposals) and provide the ability to export the data as a web-form or similar structured manner.</t>
  </si>
  <si>
    <t>As a CO/CS, I need to be document bid opening to comply with the authoritative references. I also need to be able to access the action in the contract file and export it if necessary.</t>
  </si>
  <si>
    <t>Ensure system can efficiently:
- Document bid opening
- Access information in the contract file and export it if necessary</t>
  </si>
  <si>
    <t>Enable users to develop quality assurance standards for the contract, as required.</t>
  </si>
  <si>
    <t xml:space="preserve">As a customer, I need to collaborate with the servicing agency to develop meaningful quality assurance standards to ensure quality products/services are acquired.  
As the PMO, I need to collaborate with both my customer and my CO/CS to develop meaningful quality assurance standards to ensure quality products/services are acquired.
As a CO/CS, I need to collaborate with both the customer and my PMO to develop meaningful quality assurance standards to ensure quality products/services are acquired. </t>
  </si>
  <si>
    <t>Ensure system can efficiently:
- Capture quality assurance standards
- Enable team collaboration</t>
  </si>
  <si>
    <t>5.1.1
5.5.1</t>
  </si>
  <si>
    <t>Activity 16 - Sealed Bidding; Part A - Sealed Bidding; Task 12</t>
  </si>
  <si>
    <t>5.0 - Award</t>
  </si>
  <si>
    <t>Record bids.</t>
  </si>
  <si>
    <t>APP - 80</t>
  </si>
  <si>
    <t xml:space="preserve">Enable users to document the notification that requires a contractor to pay their employees the wages and benefits at least equal to the bona fide CBA entered into under the predecessor contract. The system needs to make the action available for viewing in the contract file (Tab 5, Department of Labor Wage Determinations) and provide the ability to export the data as a web-form or similar structured manner.  </t>
  </si>
  <si>
    <t xml:space="preserve">As a CO/CS, I need to create/upload the notification that requires a contractor to pay their employees the wages and benefits at least equal to the bona fide CBA entered into under the predecessor contract.  I also need to be able to access the action in the contract file and export it if necessary. </t>
  </si>
  <si>
    <t>Ensure system can efficiently:
- Create/upload the notification 
- Access information in the contract file and export it if necessary</t>
  </si>
  <si>
    <t>Activity 13 - Interagency Acquisitions; Part B - Assisted Acquisitions; Task 3b</t>
  </si>
  <si>
    <t>The servicing and requesting agencies must complete Part B (requirements and funding) of the interagency agreement.</t>
  </si>
  <si>
    <t>Part B Interagency Agreement</t>
  </si>
  <si>
    <t xml:space="preserve">Enable users to complete Part B of the IA. </t>
  </si>
  <si>
    <t>Activity 6 - Service Contract Labor Standards Requirements Analysis; Task 7</t>
  </si>
  <si>
    <t xml:space="preserve">As a customer, I need to collaborate with the servicing agency to complete Part B of the IA. 
As the PMO, I need to collaborate with both my customer and my CO/CS in completing Part B of the IA. 
As a CO/CS, I need to collaborate with both the customer and my PMO to ensure Part B of the IA meets the standards required by OFPP. </t>
  </si>
  <si>
    <t>Notify both the incumbent contractor and its employees’ collective bargaining agent in writing of the forthcoming successor contract.</t>
  </si>
  <si>
    <t>Notification to incumbent contractor and CBA agent</t>
  </si>
  <si>
    <t>Ensure system can efficiently:
- Complete Part B of the IA
- Enable team collaboration</t>
  </si>
  <si>
    <t>4.2.1
4.2.1.2
4.6.1</t>
  </si>
  <si>
    <t>SS - 25</t>
  </si>
  <si>
    <t>Enable users to register the bid on a Standard Form 1409 or Optional Form 1419 or other designated agency form. The system needs to make the action available for viewing in the contract file (Tab 11, Abstract of Bids/Proposals) and provide the ability to export the data as a web-form or similar structured manner.</t>
  </si>
  <si>
    <t>Activity 13 - Interagency Acquisitions; Part B - Assisted Acquisitions; Task 3c</t>
  </si>
  <si>
    <t>As a CO/CS, I need to be able to register the bid on the agency designated form so I have a record of the offers received to comply with the authoritative references (for GSA this is GSA Form 1378, Record of, and Receipt for, Bids and Responses and include such form data as date received, time received, name and address of supplier, etc.). I also need to be able to access the action in the contract file and export it if necessary.</t>
  </si>
  <si>
    <t>As the requesting and servicing agencies, review the draft requirements and the funding information for the IA.</t>
  </si>
  <si>
    <t>Ensure system can efficiently:
- Register the bid on the agency designated form(s)
- Access information in the contract file and export it if necessary</t>
  </si>
  <si>
    <t>Interagency Agreement review</t>
  </si>
  <si>
    <t>APP - 81</t>
  </si>
  <si>
    <t xml:space="preserve">Enable users to document the notification to both the contractor and its employees' collective bargaining agent of the forthcoming successor contract. The system needs to make the action available for viewing in the contract file (Tab 5, Department of Labor Wage Determinations) and provide the ability to export the data as a web-form or similar structured manner.  </t>
  </si>
  <si>
    <t xml:space="preserve">As a CO/CS, I need to create/upload the notification that requires to both the contractor and its employees' collective bargaining agent of the forthcoming successor contract.  I also need to be able to access the action in the contract file and export it if necessary. </t>
  </si>
  <si>
    <t xml:space="preserve">Enable users to review the draft requirements and funding information in the IA. </t>
  </si>
  <si>
    <t xml:space="preserve">As a customer, I need to collaborate with the servicing agency to review the draft requirements and funding information in the IA. I need to route for review and approval the IA so I can give the servicing agency what it needs to comply with the regulations. 
As the PMO, I need to collaborate with both my customer and my CO/CS to review the draft requirements and funding information in the IA. I need to route for review and approval the IA so I can give my CO/CS what they need for a proper procurement package. 
As a CO/CS, I need to collaborate with both the customer and my PMO to review the draft requirements and the funding information in the IA to ensure it meets the standards required by OFPP. I need to route for review and approval the IA. </t>
  </si>
  <si>
    <t>Activity 16 - Sealed Bidding; Part A - Sealed Bidding; Task 13</t>
  </si>
  <si>
    <t>Ensure system can efficiently:
- Review the draft requirements and funding information in the IA
- Enable team collaboration
- Route for review and approval</t>
  </si>
  <si>
    <t>Announce apparent low bidder.</t>
  </si>
  <si>
    <t>Announcement</t>
  </si>
  <si>
    <t>Activity 13 - Interagency Acquisitions; Part B - Assisted Acquisitions; Task 3d</t>
  </si>
  <si>
    <t>Activity 6 - Service Contract Labor Standards Requirements Analysis; Task 8</t>
  </si>
  <si>
    <t>As the servicing agency, finalize the requirements (SOW, SOO, PWS, or specifications for products) in partnership with the requesting agency.</t>
  </si>
  <si>
    <t>Obtain a copy of any CBA between the incumbent contractor or subcontractor and its employees.</t>
  </si>
  <si>
    <t>Requirements (SOW, SOO, PWS, or specifications for products)</t>
  </si>
  <si>
    <t>CBA</t>
  </si>
  <si>
    <t xml:space="preserve">Enable users to finalize the requirements (SOW, SOO, PWS or specifications for products). </t>
  </si>
  <si>
    <t xml:space="preserve">As a customer, I need to collaborate with the servicing agency to finalize the requirements.
As the PMO, I need to collaborate with both my customer and my CO/CS to finalize the requirements to ensure the requirements are clear and unambiguous. 
As a CO/CS, I need to collaborate with both the customer and my PMO to finalize the requirements to I can draft the solicitation. </t>
  </si>
  <si>
    <t>Ensure system can efficiently:
- Capture final requirements
- Enable team collaboration</t>
  </si>
  <si>
    <t>SS - 26</t>
  </si>
  <si>
    <t>Enable users to display bids in dollar value order so that the apparent low bidder can readily be identified. The system needs to make the action available for viewing in the contract file (Tab 11, Abstract of Bids/Proposals) and provide the ability to export the data as a web-form or similar structured manner.</t>
  </si>
  <si>
    <t>As a CO/CS, I need to announce the apparent low bidder by reading the bids aloud or recording the bids. I need to document the announcement. I also need to be able to access the action in the contract file and export it if necessary.</t>
  </si>
  <si>
    <t>Ensure system can efficiently:
- Display bids in dollar value order
- Document announcement of apparent low bidder
- Access information in the contract file and export it if necessary</t>
  </si>
  <si>
    <t>APP - 82</t>
  </si>
  <si>
    <t xml:space="preserve">Enable users to document a request to obtain a copy of any CBA between the incumbent contractor or subcontractor and its employees. The system needs to make the action available for viewing in the contract file (Tab 5, Department of Labor Wage Determinations) and provide the ability to export the data as a web-form or similar structured manner.  </t>
  </si>
  <si>
    <t xml:space="preserve">As a CO/CS, I need to create/upload a request to obtain a copy of any CBA between the incumbent contractor or subcontractor and its employees and a copy of the CBA.  I also need to be able to access the action in the contract file and export it if necessary. </t>
  </si>
  <si>
    <t>Ensure system can efficiently:
- Create/upload the request and the CBA
- Access information in the contract file and export it if necessary</t>
  </si>
  <si>
    <t>Activity 13 - Interagency Acquisitions; Part B - Assisted Acquisitions; Task 4</t>
  </si>
  <si>
    <t>As the requesting and servicing agencies, obtain concurrence on the interagency agreement.</t>
  </si>
  <si>
    <t>Interagency agreement concurrence</t>
  </si>
  <si>
    <t>Activity 16 - Sealed Bidding; Part A - Sealed Bidding; Task 14</t>
  </si>
  <si>
    <t>Determine whether there is a minor informality or irregularity in bid[s].</t>
  </si>
  <si>
    <t>Enable users to route, review and approve the final IA. Document the contract file (Tab 1, Procurement Request/Funding Certification).</t>
  </si>
  <si>
    <t>As a customer, I need to review and concur and/or approve the IA and route it for additional reviews and approvals as may be necessary so I can give the servicing agency what it needs to comply with the regulations. 
As the PMO, I need to review and concur and/or approve the IA and route it for additional reviewa and approvals as may be necessary so I can give my CO/CS what they need for a proper procurement package. 
As a CO/CS, I need to review the IA to ensure I have a proper procurement package to perform the assisted acquisition service and document the contract file.</t>
  </si>
  <si>
    <t>Ensure system can efficiently:
- Enable team collaboration
- Route for review and approval
- Access information in the contract file and export it if necessary</t>
  </si>
  <si>
    <t>Activity 6 - Service Contract Labor Standards Requirements Analysis; Task 9</t>
  </si>
  <si>
    <t xml:space="preserve">Upon timely receipt of the CBA, use the WDOL website to prepare a wage determination referencing the CBA, and incorporate that wage determination, attached to a complete copy of the CBA, into the successor contract action. </t>
  </si>
  <si>
    <t>Wage determination/CBA</t>
  </si>
  <si>
    <t>SS - 27</t>
  </si>
  <si>
    <t>Enable users to document the determination whether there is a minor informality or irregularity in bid(s). The system needs to make the action available for viewing in the contract file (Tab 11, Abstract of Bids/Proposals) and provide the ability to export the data as a web-form or similar structured manner.</t>
  </si>
  <si>
    <t>As a CO/CS, I need to be able to create/upload/import the determination whether there is a minor informality or irregularity in bid(s) so I comply with the authoritative references. I also need to be able to access the action in the contract file and export it if necessary.</t>
  </si>
  <si>
    <t>Ensure system can efficiently:
- Create/upload/import the determination
- Access information in the contract file and export it if necessary</t>
  </si>
  <si>
    <t>Activity 13 - Interagency Acquisitions; Part B - Assisted Acquisitions; Task 5</t>
  </si>
  <si>
    <t>As the requesting and servicing agencies, agree to procedures for the resolution of disagreements that may arise.</t>
  </si>
  <si>
    <t>Resolution procedures</t>
  </si>
  <si>
    <t xml:space="preserve">Enable users to prepare a wage determination through the WDOL website that references the CBA and incorporate that wage determination, attached to a complete copy of the CBA, into the successor contract action. The system needs to make the action available for viewing in the contract file (Tab 5, Department of Labor Wage Determinations) and provide the ability to export the data as a web-form or similar structured manner.  </t>
  </si>
  <si>
    <t xml:space="preserve">As a CO/CS, I need to be able to prepare a wage determination through the WDOL website that references the CBA and incorporate that wage determination, attached to a complete copy of the CBA, into the successor contract action.  I also need to be able to access the action in the contract file and export it if necessary. </t>
  </si>
  <si>
    <t>Ensure system can efficiently:
- Prepare a wage determination
- Attach it to a complete copy of the CBA into the successor contract action
- Access information in the contract file and export it if necessary</t>
  </si>
  <si>
    <t>Activity 6 - Service Contract Labor Standards Requirements Analysis; Task 10</t>
  </si>
  <si>
    <t xml:space="preserve">Enable users to capture dispute resolution procedures in the IA. </t>
  </si>
  <si>
    <t xml:space="preserve">The e98 process also may be used to request that the Department of Labor prepare the cover wage determinations based on the CBA. </t>
  </si>
  <si>
    <t>Users need to agree how disputes will be resolved during performance of the services covered by the IA to ensure mutual understanding of the IA terms and conditions.</t>
  </si>
  <si>
    <t>Ensure system can efficiently:
- Capture dispute resolution procedures</t>
  </si>
  <si>
    <t>Activity 16 - Sealed Bidding; Part A - Sealed Bidding; Task 15</t>
  </si>
  <si>
    <t>Determine whether to reject unreadable electronic bids</t>
  </si>
  <si>
    <t>Determination, notification/rejection</t>
  </si>
  <si>
    <t>Activity 13 - Interagency Acquisitions; Part B - Assisted Acquisitions; Task 6</t>
  </si>
  <si>
    <t>As the requesting agency, place the order on any form or document that is acceptable to both agencies.</t>
  </si>
  <si>
    <t>Order</t>
  </si>
  <si>
    <t>SS - 28</t>
  </si>
  <si>
    <t xml:space="preserve">Enable users to use the e98 electronic process to request the DOL prepare the cover wage determinations based on the CBA. The system needs to make the action available for viewing in the contract file (Tab 5, Department of Labor Wage Determinations) and provide the ability to export the data as a web-form or similar structured manner.  </t>
  </si>
  <si>
    <t>Enable users to document the determination whether to reject unreadable electronic bids. The system needs to make the action available for viewing in the contract file (Tab 11, Abstract of Bids) and provide the ability to export the data as a web-form or similar structured manner.</t>
  </si>
  <si>
    <t>As a CO/CS, I need to be able to create/upload/import the determination whether to reject unreadable electronic bids so I comply with the authoritative references. I also need to be able to access the action in the contract file and export it if necessary.</t>
  </si>
  <si>
    <t>Ensure system can efficiently:
- Enable the use of the e98 electronic process to request the DOL prepare the cover wage determinations based on the CBA
- Access information in the contract file and export it if necessary</t>
  </si>
  <si>
    <t>Activity 6 - Service Contract Labor Standards Requirements Analysis; Task 11</t>
  </si>
  <si>
    <t>Activity 16 - Sealed Bidding; Part A - Sealed Bidding; Task 16</t>
  </si>
  <si>
    <t>Address revisions to prevailing wage determinations and wage determinations based on CBAs as appropriate.</t>
  </si>
  <si>
    <t xml:space="preserve">Determine whether there is a mistake in bid. </t>
  </si>
  <si>
    <t>Revised wage determination</t>
  </si>
  <si>
    <t>Determination and documentation of apparent clerical mistakes or apparent mistakes</t>
  </si>
  <si>
    <t>6.3.1
6.6.1</t>
  </si>
  <si>
    <t>6.0 - Contract Admin</t>
  </si>
  <si>
    <t xml:space="preserve">Enable users to document revisions to prevailing wage determinations and wage determinations based on CBAs. The system needs to make the action available for viewing in the contract file (Tab 5, Department of Labor Wage Determinations) and provide the ability to export the data as a web-form or similar structured manner.  </t>
  </si>
  <si>
    <t xml:space="preserve">As a CO/CS, I need to be able to document revisions to prevailing wage determinations and wage determinations based on CBAs so I can comply with the authoritative sources.  I also need to be able to access the action in the contract file and export it if necessary. </t>
  </si>
  <si>
    <t>Ensure system can efficiently:
- Document revisions to wage determinations
- Access information in the contract file and export it if necessary</t>
  </si>
  <si>
    <t>SS - 29</t>
  </si>
  <si>
    <t>Enable users to document the determination whether there is a mistake in bid. The system needs to make the action available for viewing in the contract file (Tab 11, Abstract of Bids) and provide the ability to export the data as a web-form or similar structured manner.</t>
  </si>
  <si>
    <t>As a CO/CS, I need to be able to create/upload/import the determination whether there is a mistake in bid so I comply with the authoritative references. I also need to be able to access the action in the contract file and export it if necessary.</t>
  </si>
  <si>
    <t>Activity 6 - Service Contract Labor Standards Requirements Analysis; Task 12</t>
  </si>
  <si>
    <t>If a wage determination was obtained through the e98 process, and bid opening, or commencement of work under a negotiated contract has been delayed more than 60 days, submit a new e98.</t>
  </si>
  <si>
    <t>Wage determination for solicitation</t>
  </si>
  <si>
    <t>Activity 16 - Sealed Bidding; Part A - Sealed Bidding; Task 17</t>
  </si>
  <si>
    <t xml:space="preserve">Request verification of bids with suspected mistakes. </t>
  </si>
  <si>
    <t>Verification request</t>
  </si>
  <si>
    <t xml:space="preserve">Enable the servicing agency to place the order on any form or document that is acceptable to both agencies and document the contract file (Tab 23, Contractual Action). </t>
  </si>
  <si>
    <t xml:space="preserve">Enable users to use the e98 electronic process to re-request the wage determination if bid opening or commencement of work has been delayed more than 60 days. The system shall obtain the new wage determination. The system needs to make the action available for viewing in the contract file (Tab 5, Department of Labor Wage Determinations) and provide the ability to export the data as a web-form or similar structured manner.  </t>
  </si>
  <si>
    <t>Users need to place orders on any form or document specified by FAR, GSAM, and agency supplemental regulations and document the file accordingly.</t>
  </si>
  <si>
    <t>Ensure system can efficiently:
- Generate the appropriate order form acceptable to both agencies
- Document the file</t>
  </si>
  <si>
    <t>Ensure system can efficiently:
- Enable the use of the e98 electronic process to re-request a wage determination
- Obtain the new wage determination
- Access information in the contract file and export it if necessary</t>
  </si>
  <si>
    <t>SS - 30</t>
  </si>
  <si>
    <t>Enable users to document a request to verify bids with suspected mistakes. The system needs to make the action available for viewing in the contract file (Tab 11, Abstract of Bids) and provide the ability to export the data as a web-form or similar structured manner.</t>
  </si>
  <si>
    <t>As a CO/CS, I need to be able to create/upload/import a request to the supplier to verify bids with suspected mistakes so I comply with the authoritative references. I also need to be able to access the action in the contract file and export it if necessary.</t>
  </si>
  <si>
    <t>Ensure system can efficiently:
- Create/upload/import a request to verify bids with suspected mistakes
- Access information in the contract file and export it if necessary</t>
  </si>
  <si>
    <t>Activity 13 - Interagency Acquisitions; Part B - Assisted Acquisitions; Task 7</t>
  </si>
  <si>
    <t>As the requesting and servicing agencies, determine that prices to be paid for contracted goods or services are fair and reasonable.</t>
  </si>
  <si>
    <t>Price reasonableness determination strategy</t>
  </si>
  <si>
    <t>Activity 7 - Requires Sources of Supplies and Services; Task 4 (Notes--Tasks 1-3 are in ACQ.010.050 Acquisition Strategy/ Plan Development)</t>
  </si>
  <si>
    <t>Activity 16 - Sealed Bidding; Part A - Sealed Bidding; Task 18</t>
  </si>
  <si>
    <t xml:space="preserve">Insert the clause Contractor Use of Mandatory Sources of Supply and Services, in solicitations and contracts that require a contractor to provide supplies or services for Government use. </t>
  </si>
  <si>
    <t>Determine appropriate action on a bidder request for permission to correct an alleged mistake other than an apparent clerical error.</t>
  </si>
  <si>
    <t>Solicitation clause</t>
  </si>
  <si>
    <t>Determination, request for correction</t>
  </si>
  <si>
    <t>SS - 31</t>
  </si>
  <si>
    <t>Enable users to document the determination to take action on a bidder request for permission to correct an alleged mistake other than an apparent clerical error. The system needs to make the action available for viewing in the contract file (Tab 11, Abstract of Bids) and provide the ability to export the data as a web-form or similar structured manner.</t>
  </si>
  <si>
    <t>As a CO/CS, I need to be able to create/upload/import the determination to take action on a bidder request for permission to correct an alleged mistake other than an apparent clerical error so I comply with the authoritative references. I also need to be able to access the action in the contract file and export it if necessary.</t>
  </si>
  <si>
    <t>Enable users to capture the determination that prices paid are fair and reasonable.</t>
  </si>
  <si>
    <t>As the CO/CS, I need to determine prices paid are fair and reasonable to ensure best value.</t>
  </si>
  <si>
    <t>Ensure system can efficiently:
- Capture price reasonableness determinations</t>
  </si>
  <si>
    <t>3.2.1
3.2.2
3.5.1
*</t>
  </si>
  <si>
    <t xml:space="preserve">Enable users to determine the appropriate clauses and provisions to include in a solicitation based on the particular circumstances of the proposed acquisition in an automated fashion (see Clause Logic tab herein). The system also needs to build the solicitation based on the end user selections. The system further needs to enable a reviewer to recommend edits to the solicitation. The system needs to make the action available for viewing in the contract file (Tab 10, RFP/RFQ and Amendments) and provide the ability to export the data as a web-form or similar structured manner.  </t>
  </si>
  <si>
    <t>As a CO/CS, I need to determine the right clauses and provisions to include in my solicitation based on my contract type and purpose to ensure uniformity in my acquisition and protection of the government's interest. I need to be able to route the solicitation to one or more reviewers for review and editing.  I also need to be able to access the action in the contract file and export it if necessary. 
As a reviewer, I need the ability to make edits to the solicitation, recommend the addition/deletion of terms and conditions, etc., and route the solicitation back to the CO/CS.</t>
  </si>
  <si>
    <t>Ensure system can efficiently:
- Determine appropriate clauses/provisions based on the particular circumstances of the acquisition
- Select the clauses/provisions
- Build the solicitation
- Enable routing of the solicitation
- Review and edit the solicitation
- Access information in the contract file and export it if necessary</t>
  </si>
  <si>
    <t>Activity 16 - Sealed Bidding; Part A - Sealed Bidding; Task 19</t>
  </si>
  <si>
    <t>Determine whether the bid conforms to the essential requirements of the IFB.</t>
  </si>
  <si>
    <t>Activity 13 - Interagency Acquisitions; Part B - Assisted Acquisitions; Task 8</t>
  </si>
  <si>
    <t>As the requesting agency, provide necessary resources for technical evaluation of proposals or quotes.</t>
  </si>
  <si>
    <t>Technical team or board</t>
  </si>
  <si>
    <t>Capture solicitation metadata</t>
  </si>
  <si>
    <t>Data analytics; respond to data calls</t>
  </si>
  <si>
    <t>Enable users to identify resources for technical evaluation of proposals or quotes and document the file (Tab 17, Responsibility Determination).</t>
  </si>
  <si>
    <t>As a CO/CS, I need to assemble an evaluation team to assist with the technical evaluation of proposals or quotes to provide the technical expertise in selecting the best value to the Government. I also need to document the file.</t>
  </si>
  <si>
    <t>Ensure system can efficiently:
- Capture identities of the technical evaluation team
- Access information in the contract file and export it if necessary.</t>
  </si>
  <si>
    <t>Activity 13 - Interagency Acquisitions; Part C - Direct Acquisitions; Task 1</t>
  </si>
  <si>
    <t>As the requesting agency, determine whether or not the direct acquisition is subject to the policies and procedures in FAR Subpart 17.5—Interagency Acquisitions.</t>
  </si>
  <si>
    <t>Determination of applicability of FAR 17.5</t>
  </si>
  <si>
    <t>SS - 32</t>
  </si>
  <si>
    <t>Enable users to document the determination whether the bid conforms to the essential requirements of the invitation for bid. The system needs to make the action available for viewing in the contract file (Tab 11, Abstract of Bids) and provide the ability to export the data as a web-form or similar structured manner.</t>
  </si>
  <si>
    <t>3.2.1.2
3.2.1.3</t>
  </si>
  <si>
    <t>As a CO/CS, I need to be able to create/upload/import the determination whether the bid conforms to the essential requirements of the IFB so I comply with the authoritative references. I also need to be able to access the action in the contract file and export it if necessary.</t>
  </si>
  <si>
    <t>Capture solicitation metadata to enable reporting, data analytics and fulfilling responses to data calls and Freedom of Information Requests.</t>
  </si>
  <si>
    <t>As a user, I need to report data, perform data analytics and respond to numerous data calls about solicitations including Freedom of Information Act inquiries, Congressional inquiries, Office of Inspector General inquiries, and legal actions. It is not possible to anticipate what data will be requested. Previous inquiries include, solicitation issue date, solicitation closing date, solicitation number, estimated dollar value, period of performance for base plus each option year, type of contract, socio-economic designations as applicable,  clause numbers and provisions, version dates of clause numbers and provisions, contract ceilings, maximum order limitations, contracting officer, number of respondents, identity of respondents, socio-economic status of respondents, unsuccessful offerors, etc. I need the system to automate the review of solicitations and provide the reports, data analytics and enable me to be responsive to data requests.</t>
  </si>
  <si>
    <t>Ensure system can efficiently:
- Capture metadata 
- Enable reporting
- Enable data analytics
- Report findings to enable the user to be responsive to data calls</t>
  </si>
  <si>
    <t xml:space="preserve">If required, enable users to capture the determination that supports the direct acquisition method as the best procurement approach. </t>
  </si>
  <si>
    <t xml:space="preserve">As a CO/CS, I may need to determine that the proposed direct acquisition method is the best procurement approach so I can comply with the authoritative reference. </t>
  </si>
  <si>
    <t>Ensure system can efficiently:
- Capture determination as required</t>
  </si>
  <si>
    <t>Activity 16 - Sealed Bidding; Part A - Sealed Bidding; Task 20</t>
  </si>
  <si>
    <t>Determine responsibility and reasonableness of price.</t>
  </si>
  <si>
    <t>Responsibility determination and determination that the price is fair and reasonable</t>
  </si>
  <si>
    <t>Activity 8 - Basic Agreements and Basic Ordering Agreements; Task 3 (Note--Tasks 1 &amp; 2 are in ACQ.010.050 Acquisition Strategy/ Plan Development</t>
  </si>
  <si>
    <t>If using Basic Agreements/Basic Ordering Agreements, draft the basic agreement</t>
  </si>
  <si>
    <t>Basic agreement</t>
  </si>
  <si>
    <t>Activity 13 - Interagency Acquisitions; Part C - Direct Acquisitions; Task 2</t>
  </si>
  <si>
    <t>If the direct acquisition is subject to the policies and procedures in FAR Subpart 17.5—Interagency Acquisitions, as the requesting agency, determine if the direct acquisition is subject to the Economy Act.</t>
  </si>
  <si>
    <t>Economy Act determination</t>
  </si>
  <si>
    <t>4.2.2.1
4.2.2.2
4.6.1
*</t>
  </si>
  <si>
    <t>SS - 33</t>
  </si>
  <si>
    <t>Enable users to document the determination whether the supplier is responsible and prices are fair and reasonable. The system needs to make the action available for viewing in the contract file (Tab 15, Price Negotiation Memorandum) and provide the ability to export the data as a web-form or similar structured manner.</t>
  </si>
  <si>
    <t>As a CO/CS, I need to be able to create/upload/import the determination whether the supplier is responsible and prices are fair and reasonable so I comply with the authoritative references. I also need to be able to access the action in the contract file and export it if necessary.</t>
  </si>
  <si>
    <t xml:space="preserve">Enable users to document the basic agreement (BA) that contains clauses required for negotiated contracts by statute, executive order, and this regulation and other clauses prescribed by the authoritative references that the parties agree to include in any contract placed against the BA as applicable. The system needs to make the action available for viewing in the contract file (Tab 10, RFP/RFQ and Amendments) and provide the ability to export the data as a web-form or similar structured manner.  </t>
  </si>
  <si>
    <t xml:space="preserve">As a CO/CS, I need to create/upload the basic agreement (BA) that contains clauses required for negotiated contracts by statute, executive order, and the authoritative references.  I also need to be able to access the action in the contract file and export it if necessary. </t>
  </si>
  <si>
    <t>Ensure system can efficiently:
- Create/upload the basic agreement
- Access information in the contract file and export it if necessary</t>
  </si>
  <si>
    <t>Activity 13 - Interagency Acquisitions; Part C - Direct Acquisitions; Task 2a(i)</t>
  </si>
  <si>
    <t>As the requesting agency, if the direct acquisition is subject to the Economy Act, prepare a determination and findings (D&amp;F).</t>
  </si>
  <si>
    <t>Activity 16 - Sealed Bidding; Part B - Two-Step Sealed Bidding Procedures; Task 3 (Note--Task 2 is in ACQ.020.080 Solicitation Documentation Development)</t>
  </si>
  <si>
    <t>Continue the first step by receiving technical proposals</t>
  </si>
  <si>
    <t>Secure receipt of technical proposals</t>
  </si>
  <si>
    <t>Activity 8 - Basic Agreements and Basic Ordering Agreements; Task 3b (Note--Tasks 1 &amp; 2 are in ACQ.010.050 Acquisition Strategy/ Plan Development</t>
  </si>
  <si>
    <t>When a contract incorporates a BA, include the scope of work and applicable clauses.</t>
  </si>
  <si>
    <t>Scope of work and applicable clauses</t>
  </si>
  <si>
    <t xml:space="preserve">Enable users to capture a determination and findings (D&amp;F) if the direct acquisition is subject to the Economy Act. </t>
  </si>
  <si>
    <t xml:space="preserve">Enable users to document a contract issued against a BA. The system shall ensure that when a contract is issued against a BA, the contract includes the scope of work and applicable clauses. The system needs to make the action available for viewing in the contract file (Tab 23, Contractual Action) and provide the ability to export the data as a web-form or similar structured manner.    </t>
  </si>
  <si>
    <t xml:space="preserve">As a CO/CS, I need to create/upload a contract issued against a BA. I need to ensure such contract includes the scope of work and applicable clauses.  I also need to be able to access the action in the contract file and export it if necessary. </t>
  </si>
  <si>
    <t>Ensure system can efficiently:
- Create/upload a contract issued against a BA.
- Ensure the contract includes the scope of work and applicable clauses
- Access information in the contract file and export it if necessary</t>
  </si>
  <si>
    <t>Activity 13 - Interagency Acquisitions; Part C - Direct Acquisitions; Task 2a(ii)</t>
  </si>
  <si>
    <t>Activity 8 - Basic Agreements and Basic Ordering Agreements; Task 4 (Note--Tasks 1 &amp; 2 are in ACQ.010.050 Acquisition Strategy/ Plan Development and Task 3 is above)</t>
  </si>
  <si>
    <t>Draft the BOA.</t>
  </si>
  <si>
    <t>Basic ordering agreement</t>
  </si>
  <si>
    <t>SS - 34</t>
  </si>
  <si>
    <t>Enable suppliers to submit bids in a secure manner.  The system needs to make the action available for viewing in the contract file (Tab 11, Abstract of Bids) and provide the ability to export the data as a web-form or similar structured manner.</t>
  </si>
  <si>
    <t>As a CO/CS, I need to be able to receive bids/offers in a secure manner so I comply with the authoritative references. I also need to be able to access the action in the contract file and export it if necessary.</t>
  </si>
  <si>
    <t>Ensure system can efficiently:
- Enable suppliers to submit bids securely
- Receive supplier bids securely
- Access information in the contract file and export it if necessary</t>
  </si>
  <si>
    <t>Activity 16 - Sealed Bidding; Part B - Two-Step Sealed Bidding Procedures; Task 4</t>
  </si>
  <si>
    <t>Continue the first step by evaluating technical proposals submissions</t>
  </si>
  <si>
    <t>Technical evaluations</t>
  </si>
  <si>
    <t>Activity 13 - Interagency Acquisitions; Part C - Direct Acquisitions; Task 2a(iii)</t>
  </si>
  <si>
    <t>Enable users to document the evaluation of technical proposal submissions. Enable the routing, review, and revision of such determinations, and where necessary, the approval of such documents. The system needs to make the action available for viewing in the contract file (Tab 17, Responsibility Determination) and provide the ability to export the data as a web-form or similar structured manner.</t>
  </si>
  <si>
    <t>APP - 83</t>
  </si>
  <si>
    <t xml:space="preserve">Enable users to document the basic ordering agreement (BOA) that contains 1) terms and clauses applying to future contracts (orders) between the parties during its term; 2) a description, as specific as practicable, of supplies or services to be provided; and 3) methods for pricing, issuing, and delivering future orders under the basic ordering agreement. The system needs to make the action available for viewing in the contract file (Tab 10, RFP/RFQ and Amendments) and provide the ability to export the data as a web-form or similar structured manner.  </t>
  </si>
  <si>
    <t xml:space="preserve">As a CO/CS, I need to create/upload the basic ordering agreement (BOA) so I have an instrument to use to expedite contracting for uncertain requirements for supplies or services when specific items, quantities, and prices are not known at the time the agreement is executed. When orders are placed, I need to associate the order with the appropriate contract instrument.  I also need to be able to access the action in the contract file and export it if necessary. </t>
  </si>
  <si>
    <t>Ensure system can efficiently:
- Create/upload the basic ordering agreement
- Create, maintain, view and navigate links to related contract instruments
- Access information in the contract file and export it if necessary</t>
  </si>
  <si>
    <t>Activity 16 - Sealed Bidding; Part B - Two-Step Sealed Bidding Procedures; Task 5</t>
  </si>
  <si>
    <t>Determine whether there are sufficient acceptable proposals to ensure adequate price competition.</t>
  </si>
  <si>
    <t>Activity 13 - Interagency Acquisitions; Part C - Direct Acquisitions; Task 2a(iv)</t>
  </si>
  <si>
    <t>Activity 8 - Basic Agreements and Basic Ordering Agreements; Task 4a (Note--Tasks 1 &amp; 2 are in ACQ.010.050 Acquisition Strategy/ Plan Development and Task 3 is above)</t>
  </si>
  <si>
    <t>If basic agreements or basic ordering agreements are used, review the agreement annually</t>
  </si>
  <si>
    <t>SS - 35</t>
  </si>
  <si>
    <t xml:space="preserve">Enable users to document the determination whether there are sufficient acceptable proposals to ensure adequate price competition. The system needs to make the action available for viewing in the contract file (Tab 14, Cost or Price and Technical Analysis Report) and provide the ability to export the data as a web-form or similar structured manner. </t>
  </si>
  <si>
    <t>As a CO/CS, I need to be able to create/upload/import the determination whether there are sufficient acceptable proposals to ensure adequate price competition so I comply with the authoritative references.   I also need to be able to access the action in the contract file and export it if necessary.</t>
  </si>
  <si>
    <t>APP - 84</t>
  </si>
  <si>
    <t xml:space="preserve">Enable users to be notified when it is time to conduct the annual review of  the basic agreement or basic ordering agreement. The system shall enable the user to revise such instruments as appropriate. The system needs to make the action available for viewing in the contract file (Tab 10, RFP/RFQ and Amendments) and provide the ability to export the data as a web-form or similar structured manner.   </t>
  </si>
  <si>
    <t xml:space="preserve">As a CO/CS, I need to review basic agreements or basic ordering agreements annually before the anniversary of its effective date and revised as necessary to conform to the requirements of the authoritative sources.  I also need to be able to access the action in the contract file and export it if necessary. </t>
  </si>
  <si>
    <t>Ensure system can efficiently:
- Review BAs or BOAs annually before the anniversary of its effective date
- Enable the revision of such instruments
- Access information in the contract file and export it if necessary</t>
  </si>
  <si>
    <t>Activity 13 - Interagency Acquisitions; Part C - Direct Acquisitions; Task 2b(i) (Note--there is no Task 2b)</t>
  </si>
  <si>
    <t>As the requesting agency, if the direct acquisition is subject to the policies and procedures in FAR Subpart 17.5—Interagency Acquisitions, prepare a D&amp;F that supports the use of another agency’s contract vehicle as the best procurement approach.</t>
  </si>
  <si>
    <t>Best procurement approach determination</t>
  </si>
  <si>
    <t>Activity 16 - Sealed Bidding; Part B - Two-Step Sealed Bidding Procedures; Task 5a</t>
  </si>
  <si>
    <t xml:space="preserve">If there is a sufficient number of acceptable proposals to ensure adequate price competition, return to the sealed bidding process. </t>
  </si>
  <si>
    <t>Activity 8 - Basic Agreements and Basic Ordering Agreements; Task 4b (Note--Task 4a is in 1 &amp; 2 are in ACQ.010.050 Acquisition Strategy/ Plan Development and Task 3 is above)</t>
  </si>
  <si>
    <t>Before issuing an order, obtain competition</t>
  </si>
  <si>
    <t>Competition</t>
  </si>
  <si>
    <t>SS - 36</t>
  </si>
  <si>
    <t xml:space="preserve">Enable users to document the determination whether to move to step 2 of the sealed bidding process. The system needs to make the action available for viewing in the contract file (Tab 14, Cost or Price and Technical Analysis Report) and provide the ability to export the data as a web-form or similar structured manner. </t>
  </si>
  <si>
    <t>As a CO/CS, I need to be able to create/upload/import the determination whether to move to step 2 of the sealed bidding process so I comply with the authoritative references.   I also need to be able to access the action in the contract file and export it if necessary.</t>
  </si>
  <si>
    <t>APP - 85</t>
  </si>
  <si>
    <t xml:space="preserve">Enable users to be notified of the requirement for competition prior to order placement as applicable to the process and instruments involved. The system needs to make the action available for viewing in the contract file with the notification (Tab 10, RFP/RFQ and Amendments) and provide the ability to export the data as a web-form or similar structured manner.  </t>
  </si>
  <si>
    <t xml:space="preserve">Activity 13 - Interagency Acquisitions; Part C - Direct Acquisitions; Task 2b(ii) </t>
  </si>
  <si>
    <t xml:space="preserve">As a CO/CS, I need to understand the competition requirements prior to order placement against BAs or BOAs as applicable to the process and instruments involved so I comply with the requirements of the authoritative sources.  I also need to be able to access the action in the contract file and export it if necessary. </t>
  </si>
  <si>
    <t>As the requesting agency, obtain concurrence from the requesting agency’s responsible contracting office.</t>
  </si>
  <si>
    <t>Ensure system can efficiently:
- Understand the requirements for competition
- Access information in the contract file and export it if necessary</t>
  </si>
  <si>
    <t>Concurrence</t>
  </si>
  <si>
    <t>Activity 16 - Sealed Bidding; Part B - Two-Step Sealed Bidding Procedures; Task 5b</t>
  </si>
  <si>
    <t xml:space="preserve">If there is an insufficient number of acceptable proposals to ensure adequate price competition, continue the first step by obtaining any required reviews prior to obtaining or opening discussions. </t>
  </si>
  <si>
    <t>Reviews</t>
  </si>
  <si>
    <t>Activity 12 - Socioeconomic Programs and Set-Asides; Part C - 8(a) Programs; Task 3 (Note - Tasks 1 and 2 are in ACQ.010.050 Acquisition Strategy/ Plan Development)</t>
  </si>
  <si>
    <t>Notify the SBA of plans to place an 8(a) contract.</t>
  </si>
  <si>
    <t>Notification</t>
  </si>
  <si>
    <t>SS - 37</t>
  </si>
  <si>
    <t>Enable users to document the request of bidders whose proposals may be made acceptable to submit additional clarifying or supplementing information. The CWS shall document the nature of the deficiencies in the proposal or the nature of the additional information required. The CWS shall also enable the user to document the arrangement for discussions for this purpose. The system needs to make the action available for viewing in the contract file (Tab 14, Cost or Price and Technical Analysis Report) and provide the ability to export the data as a web-form or similar structured manner.</t>
  </si>
  <si>
    <t xml:space="preserve">As a CO/CS I need to create/upload/import a request for additional or clarifying information from bidders in an attempt to make their proposals acceptable so I can maximize competition. I need to be able to identify the deficiencies in their proposal and what I need from them and arrange for a time to discuss their proposal so the bidder has a clear understanding of what they need to do to fix their proposals.  I also need to be able to access the action in the contract file and export it if necessary. </t>
  </si>
  <si>
    <t>Ensure system can efficiently:
- Create/upload/import the request
- Document deficiencies and additional information needed
- Arrange for a time to discuss the proposal
- Access information in the contract file and export it if necessary</t>
  </si>
  <si>
    <t>Activity 13 - Interagency Acquisitions; Part C - Direct Acquisitions; Task 3</t>
  </si>
  <si>
    <t>APP - 86</t>
  </si>
  <si>
    <t>Enable users to document the notification to SBA of plans to place an 8(a) contract. Enable users to distribute the 8(a) offering letter to the SBA. The system needs to make the action available for viewing in the contract file (Tab 6. Small Business Set-Aside Determination) and provide the ability to export the data as a web-form or similar structured manner.</t>
  </si>
  <si>
    <t>As a CO/CS, I need to create/upload/import an offering letter that notifies SBA of my plans to place an 8(a) contract so I can meet my responsibilities under the FAR. The offering letter must address all the elements identified by the authoritative reference. I also need to distribute the letter to SBA. Lastly, I need to document the contract file.</t>
  </si>
  <si>
    <t>Ensure system can efficiently:
- Create/upload/import a document an 8(a) offering letter to SBA
- Distribute the letter to SBA
- Access information in the contract file and export it if necessary</t>
  </si>
  <si>
    <t>Activity 16 - Sealed Bidding; Part B - Two-Step Sealed Bidding Procedures; Task 6</t>
  </si>
  <si>
    <t>Request clarifications or proposal revisions.</t>
  </si>
  <si>
    <t>Clarifications/Discussions</t>
  </si>
  <si>
    <t>Activity 12 - Socioeconomic Programs and Set-Asides; Part C - 8(a) Programs; Task 4</t>
  </si>
  <si>
    <t xml:space="preserve">Await the SBA’s determination regarding whether to accept the requirement for the 8(a) Program. </t>
  </si>
  <si>
    <t>APP - 87</t>
  </si>
  <si>
    <t>Activity 13 - Interagency Acquisitions; Part C - Direct Acquisitions; Task 4</t>
  </si>
  <si>
    <t>Enable users to document SBA's determination regarding whether to accept the requirement for the 8(a) program. The system needs to make the action available for viewing in the contract file (Tab 6, Small Business Set-Aside Determination) and provide the ability to export the data as a web-form or similar structured manner.</t>
  </si>
  <si>
    <t>Place the order on any form or document that is acceptable to both agencies.</t>
  </si>
  <si>
    <t xml:space="preserve">As a CO/CS, I need to document SBA's determination regarding whether to accept the requirement for the 8(a) program which may involve a discussion of the appropriate NAICS codes and SBA's participation in any negotiations as applicable.  I also need to be able to access the action in the contract file and export it if necessary. </t>
  </si>
  <si>
    <t>Ensure system can efficiently:
- Document SBA's determination
- Access information in the contract file and export it if necessary</t>
  </si>
  <si>
    <t>Activity 16 - Sealed Bidding; Part B - Two-Step Sealed Bidding Procedures; Task 7</t>
  </si>
  <si>
    <t>Continue the first step by evaluating clarified and/or revised step one technical proposals</t>
  </si>
  <si>
    <t>Activity 14 - Federal Supply Schedules; Part C - Procedures for Placing Orders and Establishing a BPA Against an FSS Contract When a Statement of Work (SOW) is Not Required; Task 2 (Note--Task 1 is in ACQ.010.050 Acquisition Strategy/ Plan Development</t>
  </si>
  <si>
    <t xml:space="preserve">For proposed FSS orders exceeding the SAT where a statement of work is not required, prepare a request for quotation (RFQ). </t>
  </si>
  <si>
    <t>Evaluation record</t>
  </si>
  <si>
    <t>RFQ</t>
  </si>
  <si>
    <t>Activity 16 - Sealed Bidding; Part B - Two-Step Sealed Bidding Procedures; Task 8</t>
  </si>
  <si>
    <t>AP - 87</t>
  </si>
  <si>
    <t>Enable users to determine the appropriate clauses and provisions to include in a solicitation based on the particular circumstances of the proposed acquisition in an automated fashion. The system also needs to build the solicitation based on the end user selections. The system further needs to enable a reviewer to recommend edits to the solicitation. The system also needs to file the solicitation in the contract file (Tab 10, RFP/RFQ and Amendments) and provide the ability to export the data as a web-form or similar structured manner.</t>
  </si>
  <si>
    <t xml:space="preserve">Enable users to document the determination whether to move to step 2 of the sealed bidding process. The system needs to make the action available for viewing in the contract file (Tab 14, Cost or Price and Technical Analysis Report). </t>
  </si>
  <si>
    <t>As a CO/CS, I need to determine the right clauses and provisions to include in my solicitation based on my contract type and purpose to ensure uniformity in my acquisition and protection of the government's interest. I need to be able to route the solicitation to one or more reviewers for review and editing.  I also need to be able to access the action in the contract file and export it if necessary. 
As a reviewer, I need the ability to make edits to the solicitation, recommend the addition/deletion of terms and conditions, etc., and route the solicitation back to the CO/CS.</t>
  </si>
  <si>
    <t>Activity 14 - Federal Supply Schedules; Part B - Procedures for Placing FSS Orders at or Below the Micro-Purchase Threshold; Task 1 (Note--Activity 14, Part A is in ACQ.030.060 Award Decision)</t>
  </si>
  <si>
    <t>Determine how many FSS contractors to solicit</t>
  </si>
  <si>
    <t>Activity 16 - Sealed Bidding; Part B - Two-Step Sealed Bidding Procedures; Task 8a</t>
  </si>
  <si>
    <t xml:space="preserve"> If there is a sufficient number of acceptable proposals to ensure adequate price competition, return to the sealed bidding process. </t>
  </si>
  <si>
    <t>Activity 14 - Federal Supply Schedules; Part D - Procedures for Placing an Order for Services and Establishing a BPA Against an FSS Contract When a Statement of Work (SOW) is Required; Task 2 (Note--Task 1 is in ACQ.020.030 Performance Work Statement (PWS), Statement of Work (SOW), Statement of Objectives (SOO) (Section C) Development</t>
  </si>
  <si>
    <t>If using FSS for services, prepare a request for quotation (RFQ).</t>
  </si>
  <si>
    <t>AP - 88</t>
  </si>
  <si>
    <t>Enable users to capture the determination of how many FSS suppliers to solicit in the acquisition plan.</t>
  </si>
  <si>
    <t>As a CO/CS, I need to be able to outline my acquisition strategy in the acquisition plan so I maximize competition.</t>
  </si>
  <si>
    <t>Ensure system can efficiently:
- Capture determination of how many FSS suppliers to solicit in the acquisition plan</t>
  </si>
  <si>
    <t>Activity 14 - Federal Supply Schedules; Part C - Procedures for Placing Orders and Establishing a BPA Against an FSS Contract When a Statement of Work (SOW) is Not Required; Task 1</t>
  </si>
  <si>
    <t xml:space="preserve">If the order exceeds the micro purchase threshold but does not exceed the simplified acquisition threshold (SAT), consider reasonably available information about the supply or service offered on the GSA Advantage!® online shopping service. </t>
  </si>
  <si>
    <t>Activity 15 - Simplified Acquisition Procedures; Part A - Simplified Acquisition Procedures; Task 3(b)(ii) (Note--Task 3b is in ACQ.010.050 Acquisition Strategy/ Plan Development)</t>
  </si>
  <si>
    <t xml:space="preserve">If the acquisition of the noncommercial item is expected to not exceed the SAT, post a synopsis. </t>
  </si>
  <si>
    <t>Synopsis</t>
  </si>
  <si>
    <t>Activity 16 - Sealed Bidding; Part B - Two-Step Sealed Bidding Procedures; Task 8b</t>
  </si>
  <si>
    <t>If there is an insufficient number of acceptable proposals to ensure adequate price competition, discontinue the two-step sealed bidding process, and acquire the goods or services through contracting by negotiation</t>
  </si>
  <si>
    <t>Cancelation of solicitation</t>
  </si>
  <si>
    <t xml:space="preserve">Enable users to capture reasonably available information about the supply or service offered on the GSA Advantage!® online shopping service in the acquisition plan. </t>
  </si>
  <si>
    <t xml:space="preserve">As a CO/CS, I need to be able to consider reasonably available information about the Federal Supply Schedules offering in the acquisition plan so I maximize competition. </t>
  </si>
  <si>
    <t>Ensure system can efficiently:
- Capture reasonably available information about the supply or service offered on the GSA Advantage!® online shopping service</t>
  </si>
  <si>
    <t>3.3.1.1
3.3.1.2
3.5.1</t>
  </si>
  <si>
    <t>SS - 38</t>
  </si>
  <si>
    <t>Enable users to document the determination to discontinue the two-step sealed bidding process and acquire the goods/services through contracting by negotiation. Enable the cancellation of the solicitation from Federal Business Opportunities (FBO). The system needs to make the action available for viewing in the contract file (Tab 15, Price Negotiation Memorandum and Supporting Documentation) and provide the ability to export the data as a web-form or similar structured manner.</t>
  </si>
  <si>
    <t xml:space="preserve">As a CO/CS I need to create/upload/import a determination to discontinue the 2-step sealed bidding process and acquire the goods/services through contracting by negotiation if I have insufficient acceptable proposals to ensure adequate price competition. I also need to cancel the solicitation from Federal Business Opportunities (FBO) so offerors know the status of the procurement.  I also need to be able to access the action in the contract file and export it if necessary. </t>
  </si>
  <si>
    <t>APP - 88</t>
  </si>
  <si>
    <t>Ensure system can efficiently:
- Create/upload/import the determination
- Cancel the solicitation
- Access information in the contract file and export it if necessary</t>
  </si>
  <si>
    <t>Provide automated posting of the synopsis to Federal Business Opportunities (FBO) from the system and enable the user to check status on Federal Business Opportunities (FBO) for interested parties. The system also needs to file the action in the contract file  (Tab 8, Synopsis or Advertisement) and provide the ability to export the data as a web-form or similar structured manner.</t>
  </si>
  <si>
    <t xml:space="preserve">As a CO/CS, I need to be able to synopsize opportunities to Federal Business Opportunities (FBO) from the system so I can minimize the number of systems I need to interact with to conduct my procurement. I also need to be able to notify suppliers and interested parties of the opportunity. I also will create a source list of interested parties identified through Federal Business Opportunities (FBO) that will need to be added to the original source list created earlier. Lastly, I need to document the contract file. </t>
  </si>
  <si>
    <t>Activity 14 - Federal Supply Schedules; Part C - Procedures for Placing Orders and Establishing a BPA Against an FSS Contract When a Statement of Work (SOW) is Not Required; Task 1a</t>
  </si>
  <si>
    <t xml:space="preserve">Review at least three Schedule contractors’ price lists, or obtain quotations from at least three GSA Schedule contractors. </t>
  </si>
  <si>
    <t>Ensure system can efficiently:
- Post synopsis
- Notify the CO/CS of interested parties
- Notify interested parties of upcoming opportunities/events/activities
- Access information in the contract file and export it if necessary</t>
  </si>
  <si>
    <t>Market research, competition</t>
  </si>
  <si>
    <t>Activity 17 - Indefinite-Delivery/ Indefinite-Quantity Contracts and Ordering Procedures; Part B - Procedures for Ordering Under ID/IQ Contracts; Task 4(b)(i) (Note--Task 4(a) is addressed in multiple other areas)</t>
  </si>
  <si>
    <t>Activity 16 - Sealed Bidding; Part A - Sealed Bidding; Task 3</t>
  </si>
  <si>
    <t>If ordering from a multiple-award IDIQ contract and if the fair opportunity process applies, provide all contract holders the opportunity to compete.</t>
  </si>
  <si>
    <t xml:space="preserve">Prepare the noncommercial item invitation for bids (IFB) using the uniform contract format or a simplified format based on the requirements. </t>
  </si>
  <si>
    <t>Solicitation</t>
  </si>
  <si>
    <t>Fair opportunity documentation</t>
  </si>
  <si>
    <t>APP - 89</t>
  </si>
  <si>
    <t>AP - 89</t>
  </si>
  <si>
    <t xml:space="preserve">Enable users to capture how the user will comply with Federal Supply Schedules ordering procedures in the acquisition plan. </t>
  </si>
  <si>
    <t>Enable users to determine the appropriate clauses and provisions to include in a solicitation based on the particular circumstances of the proposed acquisition in an automated fashion. The system also needs to build the solicitation based on the end user selections using the uniform contract format or a simplified format based on the requirements. The system further needs to enable a reviewer to recommend edits to the solicitation. The system also needs to file the action in the contract file (Tab 10, RFP/RFQ and Amendments) and provide the ability to export the data as a web-form or similar structured manner.</t>
  </si>
  <si>
    <t xml:space="preserve">As a CO/CS, I need to be able to outline my acquisition strategy in the acquisition plan so I can comply with FAR 8.4 ordering procedures. </t>
  </si>
  <si>
    <t>As a CO/CS, I need to determine the right clauses and provisions to include in my solicitation based on my contract type and purpose to ensure uniformity in my acquisition and protection of the government's interest. I need to use the uniform contract format or a simplified format based on the requirements so offerors can understand what I need and how to submit an offer. I need to be able to route the solicitation to one or more reviewers for review and editing.  I also need to be able to access the action in the contract file and export it if necessary. 
As a reviewer, I need the ability to make edits to the solicitation, recommend the addition/deletion of terms and conditions, etc., and route the solicitation back to the CO/CS.</t>
  </si>
  <si>
    <t>Ensure system can efficiently:
- Capture compliance with Federal Supply Schedule ordering procedures</t>
  </si>
  <si>
    <t>Ensure system can efficiently:
- Determine appropriate clauses/provisions based on the particular circumstances of the acquisition
- Select the clauses/provisions
- Build the solicitation using the uniform contract format or a simplified format based on the requirements
- Enable routing of the solicitation
- Review and edit the solicitation
- Access information in the contract file and export it if necessary</t>
  </si>
  <si>
    <t>2.2.1
2.2.2
2.3.1</t>
  </si>
  <si>
    <t>SS - 39</t>
  </si>
  <si>
    <t>Enable users to document how the CO/CS provided all contract holders the opportunity to compete for the order. The system needs to make the action available for viewing in the contract file (Tab 44, Award Decision Documentation) and provide the ability to export the data as a web-form or similar structured manner.</t>
  </si>
  <si>
    <t>Activity 16 - Sealed Bidding; Part A - Sealed Bidding; Task 4</t>
  </si>
  <si>
    <t>As a CO/CS, I need to provide fair opportunity for all IDIQ contract holders when placing my order so everyone is on equal footing and I comply with the authoritative references.  I also need to be able to access the action in the contract file and export it if necessary.</t>
  </si>
  <si>
    <t xml:space="preserve">Publicize the IFB to interested parties. </t>
  </si>
  <si>
    <t xml:space="preserve">Ensure system can efficiently:
- Create/upload/import documentation that all contract holders were given fair opportunity to compete
- Access information in the contract file and export it if necessary
</t>
  </si>
  <si>
    <t>Activity 15 - Simplified Acquisition Procedures; Part A - Simplified Acquisition Procedures; Task 1</t>
  </si>
  <si>
    <t>Determine if the use of required sources or an existing contract vehicle is appropriate for the acquisition.</t>
  </si>
  <si>
    <t>Available vehicles</t>
  </si>
  <si>
    <t>Activity 17 - Indefinite-Delivery/ Indefinite-Quantity Contracts and Ordering Procedures; Part B - Procedures for Ordering Under ID/IQ Contracts; Task 4(b)(ii)</t>
  </si>
  <si>
    <t>If ordering from an IDIQ contract, determine price or cost reasonableness</t>
  </si>
  <si>
    <t>Price/cost reasonableness determination</t>
  </si>
  <si>
    <t>AP - 90</t>
  </si>
  <si>
    <t xml:space="preserve">Enable users to capture the determination to use required sources or an existing contract vehicle in the acquisition plan. </t>
  </si>
  <si>
    <t>As a CO/CS, I need to determine whether I need to use a required source or an existing contract vehicles so I can comply with the authoritative references.</t>
  </si>
  <si>
    <t>Provide automated posting of the synopsis to Federal Business Opportunities (FBO) from the system and enable the user to check status on Federal Business Opportunities (FBO) for interested parties. The system also needs to file the action in the contract file (Tab 8, Synopsis or Advertisement) and provide the ability to export the data as a web-form or similar structured manner.</t>
  </si>
  <si>
    <t>4.3.2.2
4.3.2.3
4.3.2.4
4.6.1
*</t>
  </si>
  <si>
    <t>SS - 40</t>
  </si>
  <si>
    <t>Activity 15 - Simplified Acquisition Procedures; Part A - Simplified Acquisition Procedures; Task 2</t>
  </si>
  <si>
    <t xml:space="preserve">If the use of required sources or an existing contract vehicle is not appropriate for the acquisition, determine whether the acquisition is at or below the micro-purchase threshold. </t>
  </si>
  <si>
    <t>Activity 16 - Sealed Bidding; Part B - Two-Step Sealed Bidding Procedures; Task 1</t>
  </si>
  <si>
    <t xml:space="preserve">Upon determination that two-step sealed bidding is appropriate for the acquisition, initiate the first step by preparing a request for technical proposals. </t>
  </si>
  <si>
    <t xml:space="preserve">
Request for technical proposal</t>
  </si>
  <si>
    <t>Activity 17 - Indefinite-Delivery/ Indefinite-Quantity Contracts and Ordering Procedures; Part B - Procedures for Ordering Under ID/IQ Contracts; Task 5</t>
  </si>
  <si>
    <t>If ordering from an IDIQ contract, evaluate quote(s).</t>
  </si>
  <si>
    <t>Evaluation documentation</t>
  </si>
  <si>
    <t>3.3.1
3.3.1.1
3.5.1
*</t>
  </si>
  <si>
    <t>APP - 90</t>
  </si>
  <si>
    <t>AP - 91</t>
  </si>
  <si>
    <t>Enable users to document a synopsis that cover the elements required by the authoritative references for the first step of a two-step sealed bidding opportunity. The system also needs to file the action in the contract file (Tab 8, Synopsis or Advertisement) and provide the ability to export the data as a web-form or similar structured manner.</t>
  </si>
  <si>
    <t>Enable users to capture the determination whether the acquisition is at or below the micro purchase threshold in the acquisition plan.</t>
  </si>
  <si>
    <t xml:space="preserve">As a CO/CS, I need to be able to create/upload/import a synopsis that covers the elements required by FAR 14.503-1 Step 1.  I also need to be able to access the action in the contract file and export it if necessary. </t>
  </si>
  <si>
    <t>Ensure system can efficiently:
- Create/upload/import a synopsis that covers the elements required by FAR 14.503-1 Step 1
- Access information in the contract file and export it if necessary</t>
  </si>
  <si>
    <t>As a customer, I need to review and concur and/or approve the IA and route it for additional reviews and approvals as may be necessary so I can give the servicing agency what it needs to comply with the regulations. 
As the PMO, I need to review and concur and/or approve the IA and route it for additional reviews and approvals as may be necessary so I can give my CO/CS what they need for a proper procurement package. 
As a CO/CS, I need to review the IA to ensure I have a proper procurement package to perform the assisted acquisition service and document the contract file.</t>
  </si>
  <si>
    <t>SS - 41</t>
  </si>
  <si>
    <t>When an Evaluation Package is assembled for review, enable the user to create and execute a workflow to review the Evaluation Package and include a checklist for evaluators to complete. Enable users to document the evaluation of quotes (technical and price) based on the evaluation criteria in the solicitation. The system needs to make the action available for viewing in the contract file (Tab 44, Award Decision Documentation) and provide the ability to export the data as a web-form or similar structured manner.</t>
  </si>
  <si>
    <t>As a Contracting Officer/Contract Specialist (CO/CS), I need to create and execute a workflow to review the evaluation package and include a checklist for evaluators to complete. I need to be able to evaluate quotations and offers using the requirements identified in the solicitation and document that evaluation.</t>
  </si>
  <si>
    <t>Ensure system can efficiently:
- Create and execute a workflow to review the evaluation package and include a checklist for evaluators to complete
- Create/upload/import evaluation documents
- Access information in the contract file and export it if necessary
- Enable management oversight as needed</t>
  </si>
  <si>
    <t>Activity 16 - Sealed Bidding; Part B - Two-Step Sealed Bidding Procedures; Task 2</t>
  </si>
  <si>
    <t>Activity 15 - Simplified Acquisition Procedures; Part A - Simplified Acquisition Procedures; Task 3</t>
  </si>
  <si>
    <t>Continue the first step by synopsizing the request for technical proposals</t>
  </si>
  <si>
    <t xml:space="preserve">If the acquisition exceeds the micro-purchase threshold, determine if the acquisition is a commercial item. </t>
  </si>
  <si>
    <t>AP - 92</t>
  </si>
  <si>
    <t xml:space="preserve">Enable users to capture the determination if the acquisition is a commercial item in the acquisition plan. </t>
  </si>
  <si>
    <t>As a CO/CS, I need to determine the acquisition is a commercial item so I can comply with the authoritative references.</t>
  </si>
  <si>
    <t>When a designated user receives an evaluation task in a workflow, the system shall enable the user to complete the review by completing an electronic checklist and submitting textual comments.</t>
  </si>
  <si>
    <t>Activity 15 - Simplified Acquisition Procedures; Part A - Simplified Acquisition Procedures; Task 3a</t>
  </si>
  <si>
    <t xml:space="preserve">If the acquisition is a commercial item determine if the acquisition is expected to exceed $7 million. </t>
  </si>
  <si>
    <t>Activity 17 - Indefinite-Delivery/ Indefinite-Quantity Contracts and Ordering Procedures; Part A - Establishing ID/IQ Contracts; Task 4</t>
  </si>
  <si>
    <t xml:space="preserve">If establishing an IDIQ contract, determine a minimum quantity of supplies or services and state this quantity in the solicitation and contract. </t>
  </si>
  <si>
    <t>Minimum quantity to order in the solicitation</t>
  </si>
  <si>
    <t>3.2.1.1</t>
  </si>
  <si>
    <t>AP - 93</t>
  </si>
  <si>
    <t>APP - 91</t>
  </si>
  <si>
    <t xml:space="preserve">Enable users to capture the determination that the value of the commercial item acquisition is expected to exceed $7M in the acquisition plan. </t>
  </si>
  <si>
    <t>Enable users to document the minimum quantity of supplies/services needed and include this quantity in the solicitation and contract. The system also needs to file the action in the contract file (Tab 10, RFP/RFQ and Amendments) and provide the ability to export the data as a web-form or similar structured manner.</t>
  </si>
  <si>
    <t xml:space="preserve">As a CO/CS, I need to be able to upload a documentation that establishes the minimum quantity of supplies or services and state this quantity in the solicitation and contract so I can comply with the authoritative references.  I also need to be able to access the action in the contract file and export it if necessary.  </t>
  </si>
  <si>
    <t xml:space="preserve">As a CO/CS, I need to determine that the value of the commercial item acquisition exceeds $7M so I can comply with the authoritative references. </t>
  </si>
  <si>
    <t>Ensure system can efficiently:
- Upload documentation establishing the minimum quantity of supplies or services and state this quantity in the solicitation and contract file
- Access information in the contract file and export it if necessary</t>
  </si>
  <si>
    <t>As an evaluator, I need to receive an evaluation task and complete by review. I need to complete the electronic checklist and submit my comments.</t>
  </si>
  <si>
    <t>Ensure system can efficiently:
- Enable user to complete the review by completing an electronic checklist and submitting comments</t>
  </si>
  <si>
    <t>Activity 17 - Indefinite-Delivery/ Indefinite-Quantity Contracts and Ordering Procedures; Part A - Establishing ID/IQ Contracts; Task 5</t>
  </si>
  <si>
    <t xml:space="preserve">If establishing an IDIQ contract, establish a reasonable maximum quantity of supplies or services and state this quantity in the solicitation and contract. </t>
  </si>
  <si>
    <t>Maximum quantity to order in the solicitation</t>
  </si>
  <si>
    <t>Activity 18 - Contracting by Negotiation; Task 14 (Note--Task 13 is in ACQ.020.130 Solicitation Amendment)</t>
  </si>
  <si>
    <t>Receive proposals.</t>
  </si>
  <si>
    <t>Abstract</t>
  </si>
  <si>
    <t>APP - 92</t>
  </si>
  <si>
    <t>Enable users to document the maximum quantity of supplies/services needed and include this quantity in the solicitation and contract. The system also needs to file the action in the contract file (Tab 10, RFP/RFQ and Amendments) and provide the ability to export the data as a web-form or similar structured manner.</t>
  </si>
  <si>
    <t>Activity 15 - Simplified Acquisition Procedures; Part A - Simplified Acquisition Procedures; Task 3(a)(i)</t>
  </si>
  <si>
    <t xml:space="preserve">As a CO/CS, I need to be able to create/upload/import a document the maximum quantity of supplies or services and state this quantity in the solicitation and contract so I can comply with the authoritative references.  I also need to be able to access the action in the contract file and export it if necessary.  </t>
  </si>
  <si>
    <t>Ensure system can efficiently:
- Create/upload/import a document the maximum quantity of supplies or services and state this quantity in the solicitation and contract
- Access information in the contract file and export it if necessary</t>
  </si>
  <si>
    <t xml:space="preserve">If the acquisition of the commercial item is expected to exceed $7 million, use FAR Part 15 procedures. </t>
  </si>
  <si>
    <t>Activity 17 - Indefinite-Delivery/ Indefinite-Quantity Contracts and Ordering Procedures; Part A - Establishing ID/IQ Contracts; Task 6</t>
  </si>
  <si>
    <t>If establishing an IDIQ contract, determine the period of the contract and state this period in the solicitation and contract.</t>
  </si>
  <si>
    <t>Period of performance</t>
  </si>
  <si>
    <t>AP - 94</t>
  </si>
  <si>
    <t>4.2.1.1
4.2.1.2
4.6.1
*</t>
  </si>
  <si>
    <t xml:space="preserve">Enable users to identify in the acquisition plan whether to use FAR 15 procedures for commercial item acquisitions that is expected to exceed $7M. </t>
  </si>
  <si>
    <t>As a CO/CS, I need to be able to use the appropriate acquisition procedures so I can comply with the authoritative references.</t>
  </si>
  <si>
    <t>Ensure system can efficiently:
- Use the appropriate acquisition procedures</t>
  </si>
  <si>
    <t>SS - 42</t>
  </si>
  <si>
    <t>Receive proposals/quotes for the agency's review and consideration. Receive the proposal, record the receipt day/time and key elements of the proposal/quote to include solicitation/RFQ number, company name, address, telephone, point of contact, contact info, and particulars of the proposal/quote (e.g., offered product/service, contract line item numbers or special item numbers, representations and certifications, etc.). Enable the proposal/quote to be assigned for processing and enable the routing of the proposal/RFQ to the assigned CO/CS. Report on progress of work and provide a variety of workload data and metrics to include number of offers, cycle time, workload by CO/CS, etc. The system needs to make the action available for viewing in the appropriate tab of the contract file and provide the ability to export the data as a web-form or similar structured manner.</t>
  </si>
  <si>
    <t>As a potential offeror, I'd like the ability to send FAS proposals/quotes for their review and consideration so I may secure their business. I'd like to be able to collaborate with the agency point of contact in response to my proposal/quote. 
As an acquisition team member, I'd like to receive proposals, record it, assign it, and route it to the assigned CO/CS for processing so I maintain control over the acquisition life cycle. I'd may also need to participate in the processing of the proposal/quote to be able to assist by CO/CS. 
As a CO/CS, I'd like to be able to receive and process proposal/quotes electronically so I can automate and streamline the acquisition process. references. I also would like to document the contract file.</t>
  </si>
  <si>
    <t>Ensure the CWS user could efficiently:
- Receive, record, assign, process, evaluate and track proposals/quotes
- Route proposals/quotes
- Collaborate on the proposal/quotes
- Access information in the contract file and export it if necessary</t>
  </si>
  <si>
    <t>3.2.1
3.2.1.1
3.2.1.3
3.2.1.4
3.5.1</t>
  </si>
  <si>
    <t>APP - 93</t>
  </si>
  <si>
    <t>Enable users to document the period of performance of the contract and state this in the solicitation and contract. The system also needs to file the action in the contract file (Tab 10, RFP/RFQ and Amendments) and provide the ability to export the data as a web-form or similar structured manner.</t>
  </si>
  <si>
    <t xml:space="preserve">As a CO/CS, I need to be able to create/upload/import the period of performance of the contract and state this in the solicitation and contract so I can comply with the authoritative references.  I also need to be able to access the action in the contract file and export it if necessary.  </t>
  </si>
  <si>
    <t>Ensure system can efficiently:
- Create/upload/import the period of performance of the contract and state this in the solicitation and contract
- Access information in the contract file and export it if necessary</t>
  </si>
  <si>
    <t>Activity 17 - Indefinite-Delivery/ Indefinite-Quantity Contracts and Ordering Procedures; Part A - Establishing ID/IQ Contracts; Task 7</t>
  </si>
  <si>
    <t xml:space="preserve">If establishing an IDIQ contract, include a statement of work (SOW) in the solicitation and contract. </t>
  </si>
  <si>
    <t>Requirements</t>
  </si>
  <si>
    <t>Activity 15 - Simplified Acquisition Procedures; Part A - Simplified Acquisition Procedures; Task 3(a)(ii)</t>
  </si>
  <si>
    <t xml:space="preserve">If the acquisition of the commercial item is expected not to exceed $7 million, either prepare a solicitation or issue a combined synopsis and solicitation. </t>
  </si>
  <si>
    <t>APP - 94</t>
  </si>
  <si>
    <t>Enable users to document the statement of work (SOW) in the solicitation and contract. The system also needs to file the action in the contract file (Tab 10, RFP/RFQ and Amendments) and provide the ability to export the data as a web-form or similar structured manner.</t>
  </si>
  <si>
    <t xml:space="preserve">As a CO/CS, I need to be able to create/upload/import the statement of work in the solicitation and contract that reasonably describes the general scope, nature, complexity, and purpose of the supplies or services the Government will acquire under the contract so prospective offerors can decide whether to submit an offer.  I also need to be able to access the action in the contract file and export it if necessary.  </t>
  </si>
  <si>
    <t>Ensure system can efficiently:
- Create/upload/import the statement of work in the solicitation and contract
- Access information in the contract file and export it if necessary</t>
  </si>
  <si>
    <t>2.2.2.1
2.3.1</t>
  </si>
  <si>
    <t>Activity 17 - Indefinite-Delivery/ Indefinite-Quantity Contracts and Ordering Procedures; Part A - Establishing ID/IQ Contracts; Task 8</t>
  </si>
  <si>
    <t xml:space="preserve">If establishing an IDIQ contract, specify the ordering procedures in the solicitation and contract. </t>
  </si>
  <si>
    <t>Ordering procedures</t>
  </si>
  <si>
    <t>AP - 95</t>
  </si>
  <si>
    <t xml:space="preserve">Enable users to identify in the acquisition plan whether to prepare a solicitation or issue a combined synopsis and solicitation for commercial item acquisitions not expected to exceed $7M. </t>
  </si>
  <si>
    <t>Activity 18 - Contracting by Negotiation; Task 15</t>
  </si>
  <si>
    <t>If applicable, determine whether to accept any late proposals.</t>
  </si>
  <si>
    <t>Determination to accept late proposals</t>
  </si>
  <si>
    <t>APP - 95</t>
  </si>
  <si>
    <t>Enable users to document the ordering procedures in the solicitation and contract. The system also needs to file the action in the contract file (Tab 10, RFP/RFQ and Amendments) and provide the ability to export the data as a web-form or similar structured manner.</t>
  </si>
  <si>
    <t xml:space="preserve">As a CO/CS, I need to be able to create/upload/import the ordering procedures the Government will use in issuing orders, including the ordering media. If I'm planning to make multiple awards, I need to state the procedures and selection criteria that the Government will use to provide awardees a fair opportunity to be considered for each order so I comply with the authoritative references.  I also need to be able to access the action in the contract file and export it if necessary.  </t>
  </si>
  <si>
    <t>Ensure system can efficiently:
- Create/upload/import the ordering procedures in the solicitation and contract
- Access information in the contract file and export it if necessary</t>
  </si>
  <si>
    <t xml:space="preserve">As a CO/CS, I need to plan to either prepare a solicitation or issue a combined synopsis and solicitation for commercial item acquisitions using the appropriate acquisition procedures so I can comply with the authoritative references. </t>
  </si>
  <si>
    <t>Ensure system can efficiently:
- Identify in the acquisition plan whether to prepare the solicitation or issue the combined synopsis and solicitation</t>
  </si>
  <si>
    <t>Activity 17 - Indefinite-Delivery/ Indefinite-Quantity Contracts and Ordering Procedures; Part A - Establishing ID/IQ Contracts; Task 9</t>
  </si>
  <si>
    <t xml:space="preserve">If establishing an IDIQ contract, include a description of the activities authorized to issue orders in the solicitation and contract. </t>
  </si>
  <si>
    <t>Authorized users of the IDIQ</t>
  </si>
  <si>
    <t>4.2.1.2
4.6.1</t>
  </si>
  <si>
    <t>SS - 43</t>
  </si>
  <si>
    <t xml:space="preserve">Enable users to document the determination whether to accept any late proposals and notify the supplier accordingly. The system needs to make the action available for viewing in the contract file (Tab 22, Late Bids/Proposals) and provide the ability to export the data as a web-form or similar structured manner. </t>
  </si>
  <si>
    <t>As a CO/CS, I need to create/upload/import my determination whether to accept a late proposal so I comply with the authoritative references. I need to notify the supply of my determination. I also need to be able to access the action in the contract file and export it if necessary.</t>
  </si>
  <si>
    <t>Ensure the CWS user could efficiently:
- Create/upload/import a determination that examines the circumstances where I may accept a late proposal
- Notify the supplier of the determination
- Access information in the contract file and export it if necessary</t>
  </si>
  <si>
    <t>Activity 15 - Simplified Acquisition Procedures; Part A - Simplified Acquisition Procedures; Task 3b</t>
  </si>
  <si>
    <t xml:space="preserve">Determine if the acquisition of the non-commercial item is expected to exceed the SAT. </t>
  </si>
  <si>
    <t>APP - 96</t>
  </si>
  <si>
    <t>Enable users to document the description of the activities authorized to issue orders in the solicitation and contract. The system also needs to file the action in the contract file (Tab 10, RFP/RFQ and Amendments) and provide the ability to export the data as a web-form or similar structured manner.</t>
  </si>
  <si>
    <t xml:space="preserve">As a CO/CS, I need to be able to create/upload/import the description of the activities authorized to issue orders in the solicitation and contract so prospective offerors know who can place orders for supplies and services.  I also need to be able to access the action in the contract file and export it if necessary.  </t>
  </si>
  <si>
    <t>Ensure system can efficiently:
- Create/upload/import the description of the activities authorized to issue orders in the solicitation and contract
- Access information in the contract file and export it if necessary</t>
  </si>
  <si>
    <t>Activity 18 - Contracting by Negotiation; Task 16</t>
  </si>
  <si>
    <t>Eliminate proposals that will not receive further consideration.</t>
  </si>
  <si>
    <t>Notification of proposal elimination</t>
  </si>
  <si>
    <t>Activity 17 - Indefinite-Delivery/ Indefinite-Quantity Contracts and Ordering Procedures; Part A - Establishing ID/IQ Contracts; Task 10</t>
  </si>
  <si>
    <t xml:space="preserve">If establishing an IDIQ contract, follow contracting by negotiation procedures. </t>
  </si>
  <si>
    <t>Compliant contract</t>
  </si>
  <si>
    <t>AP - 96</t>
  </si>
  <si>
    <t xml:space="preserve">Enable users to capture the determination if the acquisition of a non-commercial item is expected to exceed the SAT in the acquisition plan. </t>
  </si>
  <si>
    <t xml:space="preserve">As a CO/CS, I need to determine if the acquisition of a non-commercial item is expected to exceed the SAT so I can comply with the authoritative references. </t>
  </si>
  <si>
    <t>4.2.1.2
4.6.1
*</t>
  </si>
  <si>
    <t>SS - 44</t>
  </si>
  <si>
    <t xml:space="preserve">Enable users to document a notice that eliminates the proposal from further consideration due to the offeror's active exclusion record in SAM. The system needs to make the action available for viewing in the contract file (Tab 20, Unsuccessful Bids/Proposals) and provide the ability to export the data as a web-form or similar structured manner. </t>
  </si>
  <si>
    <t xml:space="preserve">As a CO/CS, I need to create/upload/import a notice that eliminates a proposal from further consideration due to the offeror's active exclusion record in SAM so I don't entertain offers from excluded parties. I also need to be able to access the action in the contract file and export it if necessary. </t>
  </si>
  <si>
    <t>Activity 15 - Simplified Acquisition Procedures; Part A - Simplified Acquisition Procedures; Task 3(b)(i)</t>
  </si>
  <si>
    <t xml:space="preserve">Ensure the CWS user could efficiently:
- Create/upload/import elimination notice
- Access information in the contract file and export it if necessary
</t>
  </si>
  <si>
    <t xml:space="preserve">If the acquisition of the noncommercial item is expected to exceed the SAT, use FAR Part 15 procedures. </t>
  </si>
  <si>
    <t>3.2.2
3.5.1
*</t>
  </si>
  <si>
    <t>APP - 97</t>
  </si>
  <si>
    <t>Enable users to follow FAR 15 Contracting by Negotiation procedures when establishing an IDIQ contract. The system also needs to file the action in the contract file (Tab 10, RFP/RFQ and Amendments) and provide the ability to export the data as a web-form or similar structured manner.</t>
  </si>
  <si>
    <t>As a CO/CS, I need to be able to follow the right FAR procedures when establishing an IDIQ contract so I comply with the authoritative references. I also need to document the file.</t>
  </si>
  <si>
    <t>Ensure system can efficiently:
- Follow FAR 15 Contracting by Negotiation Procedures
- Access information in the contract file and export it if necessary</t>
  </si>
  <si>
    <t>Activity 18 - Contracting by Negotiation; Task 17</t>
  </si>
  <si>
    <t>If applicable, accept withdrawals.</t>
  </si>
  <si>
    <t>AP - 97</t>
  </si>
  <si>
    <t>Letter accepting withdrawal request</t>
  </si>
  <si>
    <t xml:space="preserve">Enable users to document the use of FAR 15 procedures for non-commercial item acquisitions expected to exceed the SAT in the acquisition plan. </t>
  </si>
  <si>
    <t>Activity 17 - Indefinite-Delivery/ Indefinite-Quantity Contracts and Ordering Procedures; Part B - Procedures for Ordering Under ID/IQ Contracts; Task 2</t>
  </si>
  <si>
    <t>If ordering from an IDIQ contract, work with requiring office to obtain Task Order SOW, IDIQ, and evaluation criteria</t>
  </si>
  <si>
    <t>Requirements, solicitation and evaluation criteria</t>
  </si>
  <si>
    <t>Activity 15 - Simplified Acquisition Procedures; Part B - Simplified Acquisition Procedures--Blanket Purchase Agreements; Task 1</t>
  </si>
  <si>
    <t xml:space="preserve">Determine if there is an anticipated repetitive need for supplies or services. </t>
  </si>
  <si>
    <t>4.2.2.1
4.2.2.2
4.6.1</t>
  </si>
  <si>
    <t>SS - 45</t>
  </si>
  <si>
    <t xml:space="preserve">Enable users to document the acceptance of an offeror's request to withdraw their proposal from further consideration. Where practicable, electronically transmitted proposals that are withdrawn must be purged from primary and backup data storage systems after a copy is made for the file. The system needs to make the action available for viewing in the contract file (Tab 20, Unsuccessful Bids/Proposals). </t>
  </si>
  <si>
    <t>As a CO/CS, I need to create/upload/import a letter that accepts an offeror's request to withdraw their proposal from further consideration so I don't process their offer. I also need to authorize the purging of the withdrawn proposal where practicable.  I also need to be able to access the action in the contract file and export it if necessary.</t>
  </si>
  <si>
    <t xml:space="preserve">Ensure the CWS user could efficiently:
- Create/upload/import the withdrawal acceptance letter
- Permits the CO/CS to authorize the purging of the withdrawn proposal
- Access information in the contract file and export it if necessary
</t>
  </si>
  <si>
    <t>AP - 98</t>
  </si>
  <si>
    <t xml:space="preserve">Enable users to capture the determination if there is an anticipated repetitive need for the supplies or services in the acquisition plan. </t>
  </si>
  <si>
    <t>As a CO/CS, I need to determine if there is a repetitive need for the supplies and services so I can select the appropriate acquisition strategy and comply with the authoritative references.</t>
  </si>
  <si>
    <t>4.1.1
4.1.1.1
4.6.1
*</t>
  </si>
  <si>
    <t>APP - 98</t>
  </si>
  <si>
    <t xml:space="preserve">Enable users to review and collaborate on customer requirements and evaluation criteria amongst the acquisition team members. The system shall be able to track each change made by team members and enable the originator of the document to accept or reject changes. The system needs to make the action available for viewing in the contract file with the final document after all approvals have been secured (Tab 10, RFP/RFQ and Amendments). </t>
  </si>
  <si>
    <t>Activity 18 - Contracting by Negotiation; Task 18</t>
  </si>
  <si>
    <t>Determine whether amendment or cancelation after receipt of offers is necessary</t>
  </si>
  <si>
    <t xml:space="preserve">As the customer, I need to ensure my requirements and evaluation criteria are clear so suppliers understand what I need and how I will evaluate their offer. I will sign off on the final requirements document after collaboration amongst the team.
As the PMO, I need to help the customer finalize their requirements and evaluation criteria so my CO/CS has a good basis to develop the solicitation and the source selection/technical evaluation plan. This includes collaborating with team members to finalize customer requirements. I will approve the final document.
As a CO/CS, I need to ensure the Government's requirements are clear and unambiguous because they form the basis of the technical requirements of the solicitation. I also need the ensure the evaluation criteria will ensure the ability to discriminate amongst offers received and are fair and reasonable so offerors understand how they will be evaluated. I need to identify needed revisions and collaborate with team members to finalize requirements.  I also need to be able to access the action in the contract file and export it if necessary.  </t>
  </si>
  <si>
    <t>Ensure system can efficiently:
- Enable review of requirements and evaluation criteria
- Support collaboration of customer requirements and evaluation criteria and track changes for the originator to accept/reject.
- Use customer requirements to draft the solicitation requirements and evaluation criteria
- Finalize the requirement and evaluation criteria and secure approvals
- Access information in the contract file and export it if necessary</t>
  </si>
  <si>
    <t>Activity 15 - Simplified Acquisition Procedures; Part B - Simplified Acquisition Procedures--Blanket Purchase Agreements; Task 2</t>
  </si>
  <si>
    <t xml:space="preserve">Determine if the circumstances warrant establishing a BPA. </t>
  </si>
  <si>
    <t>BPA Determination</t>
  </si>
  <si>
    <t>Activity 18 - Contracting by Negotiation; Task 3 (Note--Task 2 is under ACQ.020.090 PreSolicitation Communications)</t>
  </si>
  <si>
    <t>Issue a synopsis of proposed contract action.</t>
  </si>
  <si>
    <t>3.4.2.1
3.5.1</t>
  </si>
  <si>
    <t>SS - 46</t>
  </si>
  <si>
    <t>Enable users to document the determination whether amendment or cancelation after receipt of offers is necessary. The system needs to make the action available for viewing in the contract file (Tab 10, RFP/RFQ and Amendments) and provide the ability to export the data as a web-form or similar structured manner.</t>
  </si>
  <si>
    <t>As a CO/CS, I need to create/upload/import my determination whether amendment or cancelation after receipt of offers is necessary.  I also need to be able to access the action in the contract file and export it if necessary.</t>
  </si>
  <si>
    <t>Ensure the CWS user could efficiently:
- Create/upload/import the determination
- Access information in the contract file and export it if necessary</t>
  </si>
  <si>
    <t>AP - 99</t>
  </si>
  <si>
    <t>Enable users to capture the determination if the circumstances warrant establishing a BPA for the supplies or services in the acquisition plan.</t>
  </si>
  <si>
    <t>As a CO/CS, I need to determine if it is appropriate to establish a blanket purchase agreement for the supplies and services so I can select the appropriate acquisition strategy and comply with the authoritative references.</t>
  </si>
  <si>
    <t>Activity 18 - Contracting by Negotiation; Task 18a</t>
  </si>
  <si>
    <t xml:space="preserve">Issue the solicitation amendment notice. </t>
  </si>
  <si>
    <t>Amendment</t>
  </si>
  <si>
    <t>Activity 16 - Sealed Bidding; Part A - Sealed Bidding; Task 1</t>
  </si>
  <si>
    <t>Determine that all the conditions for sealed bidding are met.</t>
  </si>
  <si>
    <t>Determination to use sealed bidding</t>
  </si>
  <si>
    <t>3.4.2.1
3.4.2.2
3.4.2.3
3.5.1</t>
  </si>
  <si>
    <t>AP - 100</t>
  </si>
  <si>
    <t xml:space="preserve">Enable users to capture the determination that all the conditions for sealed bidding are met in the acquisition plan. </t>
  </si>
  <si>
    <t>As a CO/CS, I need to determine if all the conditions for sealed bidding are met so I can select the appropriate acquisition strategy and comply with the authoritative references.</t>
  </si>
  <si>
    <t>SS - 47</t>
  </si>
  <si>
    <t>Enable users to document an amendment to the solicitation. The CWS shall also issue the amendment notice and amendment to the point of entry it was originally posted (e.g., Federal Business Opportunities (FBO) or eBuy). The system needs to make the action available for viewing in the contract file (Tab 10, RFP/RFQ and Amendments) and provide the ability to export the data as a web-form or similar structured manner.</t>
  </si>
  <si>
    <t>As a CO/CS, I need to create/upload/import the amendment to the solicitation. I also need to post the notice and amendment to the point of entry it was originally posted (e.g., Federal Business Opportunities (FBO) or eBUY) if in my judgement the Government changes its requirements or terms and conditions. I also need to be able to access the action in the contract file and export it if necessary.</t>
  </si>
  <si>
    <t>Ensure the CWS user could efficiently:
- Create/upload/import the notice and amendment
- Post the notice and amendment to Federal Business Opportunities (FBO)/eBuy
- Access information in the contract file and export it if necessary</t>
  </si>
  <si>
    <t xml:space="preserve">Provide automated posting of the synopsis to Federal Business Opportunities (FBO) from the system and enable the user to check status on Federal Business Opportunities (FBO) for interested parties. The system also needs to file the action in the contract file (Tab 8, Synopsis or Advertisement) and provide the ability to export the data as a web-form or similar structured manner.  </t>
  </si>
  <si>
    <t>Activity 16 - Sealed Bidding; Part A - Sealed Bidding; Task 2</t>
  </si>
  <si>
    <t>Determine whether to follow two step process for sealed bidding</t>
  </si>
  <si>
    <t>Determination to use 2-step process</t>
  </si>
  <si>
    <t>Activity 18 - Contracting by Negotiation; Task 18b</t>
  </si>
  <si>
    <t>Issue the cancelation notice.</t>
  </si>
  <si>
    <t>Cancellation notice and return of proposals</t>
  </si>
  <si>
    <t>Activity 18 - Contracting by Negotiation; Task 4</t>
  </si>
  <si>
    <t xml:space="preserve">Determine whether to use the advisory multi-step process. </t>
  </si>
  <si>
    <t>Determination and Presolicitation Notice</t>
  </si>
  <si>
    <t>AP - 101</t>
  </si>
  <si>
    <t xml:space="preserve">Enable users to document the determination to use the 2-step process in the acquisition plan. </t>
  </si>
  <si>
    <t>As a CO/CS, I need to determine if use of the 2-step process is appropriate so I can select the appropriate acquisition strategy and comply with the authoritative references. I also need to document the contract file.</t>
  </si>
  <si>
    <t>SS - 48</t>
  </si>
  <si>
    <t>Enable users to document the cancellation of the solicitation. The CWS shall also issue the cancellation notice and cancellation to the point of entry it was originally posted (e.g., Federal Business Opportunities (FBO) or eBuy). The system needs to make the action available for viewing in the contract file (Tab 10, RFP/RFQ and Amendments) and provide the ability to export the data as a web-form or similar structured manner.</t>
  </si>
  <si>
    <t>APP - 99</t>
  </si>
  <si>
    <t xml:space="preserve">Enable users to document the determination whether to use the advisory multi-step process. The system also needs to file the action in the contract file (Tab 3, Acquisition Strategy) and provide the ability to export the data as a web-form or similar structured manner. </t>
  </si>
  <si>
    <t>As a CO/CS, I need to create/upload/import the cancellation notice and cancellation. If in my judgment an amendment proposed for issuance after offers have been received is so substantial as to exceed what prospective offerors reasonably could have anticipated, so additional sources likely would have submitted offers had the substance of the amendment been known to them, I need to cancel the original solicitation and issue a new one, regardless of the stage of the acquisition. I also need to be able to access the action in the contract file and export it if necessary.</t>
  </si>
  <si>
    <t xml:space="preserve">As a CO/CS, I need to create/upload the determination whether to use the advisory multi-step process. So that I can advise offerors about their potential to be viable competitors.  I also need to be able to access the action in the contract file and export it if necessary. </t>
  </si>
  <si>
    <t>Ensure the CWS user could efficiently:
- Create/upload/import the notice and cancellation
- Post the notice and cancellation to Federal Business Opportunities (FBO)/eBuy
- Access information in the contract file and export it if necessary</t>
  </si>
  <si>
    <t>Ensure system can efficiently:
- Create and/or upload the determination whether to use the advisory multi-step advisory process.
- Access information in the contract file and export it if necessary</t>
  </si>
  <si>
    <t>Activity 17 - Indefinite-Delivery/ Indefinite-Quantity Contracts and Ordering Procedures; Part A - Establishing ID/IQ Contracts; Task 1</t>
  </si>
  <si>
    <t xml:space="preserve">Review the acquisition plan to determine whether the use of an indefinite delivery/indefinite quantity (IDIQ) contract is the best approach. </t>
  </si>
  <si>
    <t>Activity 18 - Contracting by Negotiation; Task 4a</t>
  </si>
  <si>
    <t>Activity 18 - Contracting by Negotiation; Task 19</t>
  </si>
  <si>
    <t>Conduct evaluations to include
communications with offerors for
minor or clerical errors or
clarification.</t>
  </si>
  <si>
    <t>Document review of evaluation</t>
  </si>
  <si>
    <t>AP - 102</t>
  </si>
  <si>
    <t xml:space="preserve">Enable users to capture the determination in the acquisition plan that the use of an IDIQ contract is the best approach. </t>
  </si>
  <si>
    <t xml:space="preserve">As a CO/CS, I need to determine if using an IDIQ contract is the best approach so I can select the appropriate acquisition strategy and comply with the authoritative references. </t>
  </si>
  <si>
    <t xml:space="preserve">Prepare a pre-solicitation notice with a general description of the scope or purpose along with the evaluation criteria. </t>
  </si>
  <si>
    <t>Presolicitation Notice</t>
  </si>
  <si>
    <t>4.1.1.1
4.3.1.1
4.3.1.2
4.3.1.3
4.3.2
4.6.1</t>
  </si>
  <si>
    <t>SS - 49</t>
  </si>
  <si>
    <t xml:space="preserve">Enable users to document the evaluations to include communications with offerors for minor or clerical errors or clarification. Enable the routing, review and approval of documents amongst the acquisition team for collaboration. The system needs to make the action available for viewing in the contract file (Tab 15, Price Negotiation Memorandum) and provide the ability to export the data as a web-form or similar structured manner. </t>
  </si>
  <si>
    <t>As an acquisition team member, I need to be able to review and route documents, and depending on the document, may also be required to approve such documents so the CO/CS has what she/he needs to document acquisition decisions. 
As a CO/CS, I need to document evaluations of offers, to include any communications regarding minor/clerical errors or clarification so I maintain a history of the events and comply with the authoritative references. I may need to collaborate with the acquisition team during evaluations and route documents for their review and/or approval. I also need to be able to access the action in the contract file and export it if necessary.</t>
  </si>
  <si>
    <t>Activity 17 - Indefinite-Delivery/ Indefinite-Quantity Contracts and Ordering Procedures; Part A - Establishing ID/IQ Contracts; Task 2</t>
  </si>
  <si>
    <t xml:space="preserve">Ensure the CWS user could efficiently:
- Create/upload/import evaluation documentation
- Collaborate with the acquisition team
- Route documents for review/approvals
- Access information in the contract file and export it if necessary
</t>
  </si>
  <si>
    <t xml:space="preserve">Determine whether multiple awards are appropriate. </t>
  </si>
  <si>
    <t>Multiple award determination</t>
  </si>
  <si>
    <t>3.3.1.1
3.5.1
*</t>
  </si>
  <si>
    <t>APP - 100</t>
  </si>
  <si>
    <t xml:space="preserve">Enable users to document a presolicitation notice and publish the notice in Fedbizopps. The system also needs to file the action in the contract file (Tab 8, Synopsis or Advertisement) and provide the ability to export the data as a web-form or similar structured manner.  </t>
  </si>
  <si>
    <t xml:space="preserve">As a CO/CS, I need to prepare a presolicitation notice and post to Fedbizopps so I can comply with the authoritative references.  I also need to be able to access the action in the contract file and export it if necessary. </t>
  </si>
  <si>
    <t>Ensure system can efficiently:
- Create and/or upload the presolicitation notice.
- Access information in the contract file and export it if necessary</t>
  </si>
  <si>
    <t>Activity 18 - Contracting by Negotiation; Task 20</t>
  </si>
  <si>
    <t>If applicable, conduct oral
presentations.</t>
  </si>
  <si>
    <t>Schedule oral presentation schedule</t>
  </si>
  <si>
    <t>Activity 18 - Contracting by Negotiation; Task 4b</t>
  </si>
  <si>
    <t>Synopsize the special presolicitation notice.</t>
  </si>
  <si>
    <t>AP - 103</t>
  </si>
  <si>
    <t>Enable users to capture the determination in the acquisition plan whether multiple awards are appropriate.</t>
  </si>
  <si>
    <t>As a CO/CS, I need to determine if multiple awards are the best approach so I can select the appropriate acquisition strategy and comply with the authoritative references.</t>
  </si>
  <si>
    <t>APP - 101</t>
  </si>
  <si>
    <t xml:space="preserve">Enable users to synopsize the special presolicitation notice in Fedbizopps. The system also needs to file the action in the contract file (Tab 8, Synopsis or Advertisement) and provide the ability to export the data as a web-form or similar structured manner.  </t>
  </si>
  <si>
    <t xml:space="preserve">As a CO/CS, I need to prepare a synopsis and post to Fedbizopps so I can comply with the authoritative references.  I also need to be able to access the action in the contract file and export it if necessary. </t>
  </si>
  <si>
    <t>Ensure system can efficiently:
- Create and/or upload the synopsis.
- Access information in the contract file and export it if necessary</t>
  </si>
  <si>
    <t>Activity 17 - Indefinite-Delivery/ Indefinite-Quantity Contracts and Ordering Procedures; Part A - Establishing ID/IQ Contracts; Task 3</t>
  </si>
  <si>
    <t xml:space="preserve">Document the decision whether or not to use multiple awards in the contract file. </t>
  </si>
  <si>
    <t>Multiple award determination documentation</t>
  </si>
  <si>
    <t>Activity 18 - Contracting by Negotiation; Task 4c</t>
  </si>
  <si>
    <t>4.3.1.1
4.6.1
*</t>
  </si>
  <si>
    <t>Evaluate the information received in response to the special presolicitation notice.</t>
  </si>
  <si>
    <t>SS - 50</t>
  </si>
  <si>
    <t>Enable users to document oral presentations. Oral presentations can be video recordings or recordings through Google or Meeting Space, or similar media. Enable the routing, review, and approval of documents amongst the acquisition team for collaboration. The system needs to make the action available for viewing in the contract file (Tab 17, Responsibility Determination)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</si>
  <si>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document oral presentations in the appropriate media so I maintain a history of the events and comply with the authoritative references. I may need to collaborate with the acquisition team during evaluations and route documents for their review and/or approval. I also need to be able to access the action in the contract file and export it if necessary.</t>
  </si>
  <si>
    <t xml:space="preserve">Ensure the CWS user could efficiently:
- Create/upload/import oral presentations in the appropriate media and create the evaluations of such oral presentations
- Collaborate with the acquisition team
- Route documents for review/approvals
- Access information in the contract file and export it if necessary
</t>
  </si>
  <si>
    <t>AP - 104</t>
  </si>
  <si>
    <t>Capture the acquisition strategy in the acquisition plan and document the contract file (Tab 3, Acquisition Strategy).</t>
  </si>
  <si>
    <t>As a CO/CS, I need to determine if multiple awards are the best approach so I can select the appropriate acquisition strategy and comply with the authoritative references. I also need to document the contract file.</t>
  </si>
  <si>
    <t>Ensure system can efficiently:
- Capture the determination
- Access information in the contract file and export it if necessary</t>
  </si>
  <si>
    <t>APP - 102</t>
  </si>
  <si>
    <t>Enable users to document a notice to respondents whether they will be invited to participate in the advisory multi-step process or not. The system needs to intake supplier responses to the notice and enable the agency to evaluate the responses based on the criteria stated in the notice. The system also needs to file the action in the contract file (Tab 10, RFQ/RFP and Amendments) and provide the ability to export the data as a web-form or similar structured manner.</t>
  </si>
  <si>
    <t xml:space="preserve">As a CO/CS, I need to be able to publish a presolicitation notice that describes my acquisition and invites suppliers to submit information that I will evaluate and in turn, notify suppliers about their potential to be viable competitors. I need to review supplier information, evaluate it against the criteria established in the notice, determine the supplier's viability, and notify the supplier.  I also need to be able to access the action in the contract file and export it if necessary.  </t>
  </si>
  <si>
    <t>Activity 18 - Contracting by Negotiation; Task 20a</t>
  </si>
  <si>
    <t>Ensure system can efficiently:
- Create/upload a notice
- Intake supplier responses to the notice
- Review and evaluation supplier responses
- Notify suppliers of the determination
- Access information in the contract file and export it if necessary</t>
  </si>
  <si>
    <t>Prepare for oral presentations.</t>
  </si>
  <si>
    <t>Oral presentation evaluation strategy</t>
  </si>
  <si>
    <t>Activity 17 - Indefinite-Delivery/ Indefinite-Quantity Contracts and Ordering Procedures; Part B - Procedures for Ordering Under ID/IQ Contracts; Task 1</t>
  </si>
  <si>
    <t>If ordering under an IDIQ contract, determine whether the need is within scope of the IDIQ contract.</t>
  </si>
  <si>
    <t>Scope determination</t>
  </si>
  <si>
    <t>Activity 18 - Contracting by Negotiation; Task 4d (Note--Task 5 is in ACQ.020.040 Technical Evaluation Criteria and Instructions to Offerors (Sections L&amp;M) Development)</t>
  </si>
  <si>
    <t>Advise each respondent in writing either that it will be invited to participate in the resultant acquisition or, based on the information submitted, that it is unlikely to be a viable competitor.</t>
  </si>
  <si>
    <t>Notice</t>
  </si>
  <si>
    <t>SS - 51</t>
  </si>
  <si>
    <t>Enable users to document preparatory materials for oral presentations. Enable the routing, review, and approval of documents amongst the acquisition team for collaboration. The system needs to make the action available for viewing in the contract file (Tab 17, Responsibility Determination) and provide the ability to export the data as a web-form or similar structured manner.</t>
  </si>
  <si>
    <t>As an acquisition team member, I need to be able to review and route documents, and depending on the document, may also be required to approve such documents so the CO/CS has what they need to document acquisition decisions. 
As a CO/CS, I need to prepare documents for the evaluation of oral presentations so I maintain a record of evaluations and comply with the authoritative references. I may need to collaborate with the acquisition team during evaluations and route documents for their review and/or approval. I also need to be able to access the action in the contract file and export it if necessary.</t>
  </si>
  <si>
    <t xml:space="preserve">Ensure the CWS user could efficiently:
- Create/upload/import preparatory materials for oral presentations and evaluations
- Collaborate with the acquisition team
- Route documents for review/approvals
- Access information in the contract file and export it if necessary
</t>
  </si>
  <si>
    <t>AP - 105</t>
  </si>
  <si>
    <t xml:space="preserve">Enable users to capture the determination that the order is within scope of the IDIQ in the acquisition plan. </t>
  </si>
  <si>
    <t>As a CO/CS, I need to determine if the order I want to place is in scope of the IDIQ contract I want to use so I can comply with the authoritative references.</t>
  </si>
  <si>
    <t>Enable users to document a notice to respondents whether they will be invited to participate in the advisory multi-step process or not. The system needs to intake supplier responses to the notice and enable the agency to evaluate the responses based on the criteria stated in the notice.  The system also needs to file the action in the contract file (Tab 10, RFQ/RFP and Amendments) and provide the ability to export the data as a web-form or similar structured manner.</t>
  </si>
  <si>
    <t>Activity 18 - Contracting by Negotiation; Task 20b</t>
  </si>
  <si>
    <t>Manage the exchange of
information during
presentations.</t>
  </si>
  <si>
    <t>Oral presentations</t>
  </si>
  <si>
    <t>Activity 18 - Contracting by Negotiation; Task 1</t>
  </si>
  <si>
    <t>Determine that the acquisition is above the simplified acquisition threshold (SAT), sealed bidding is not appropriate, and the simplified procedures for certain commercial items described in FAR Subpart 13.5 are not applicable.</t>
  </si>
  <si>
    <t>Activity 18 - Contracting by Negotiation; Task 8 (Note--Task 7 is in ACQ.020.050 Source Selection/Technical Evaluation Plan Development)</t>
  </si>
  <si>
    <t>Prepare the solicitation.</t>
  </si>
  <si>
    <t>AP - 106</t>
  </si>
  <si>
    <t>4.3.1.1
4.3.3
4.6.1</t>
  </si>
  <si>
    <t>SS - 52</t>
  </si>
  <si>
    <t xml:space="preserve">Enable users to document the exchange of information during oral presentations. Enable the routing, review and approval of documents amongst the acquisition team for collaboration.  The system needs to make the action available for viewing in the contract file (Tab 17, Responsibility Determination) and provide the ability to export the data as a web-form or similar structured manner. </t>
  </si>
  <si>
    <t>As an acquisition team member, I need to be able to review and route documents, and depending on the document, may also be required to approve such documents so the CO/CS has what they need to document acquisition decisions. 
As a CO/CS, I need to document any exchange of information during oral presentation so I maintain a record of evaluations and comply with the authoritative references. I may need to collaborate with the acquisition team during evaluations and route documents for their review and/or approval. I also need to be able to access the action in the contract file and export it if necessary.</t>
  </si>
  <si>
    <t xml:space="preserve">Ensure the CWS user could efficiently:
- Document the exchange of information
- Collaborate with the acquisition team
- Route documents for review/approvals
- Access information in the contract file and export it if necessary
</t>
  </si>
  <si>
    <t>Enable users to determine the appropriate clauses and provisions to include in a solicitation based on the prescription of the selected clause/provision. The system shall create the solicitation and changes thereto in an automated fashion, pulling in the appropriate clauses/provisions based on the particular circumstance of the proposed acquisition. The system also needs to build the solicitation based on the end user selections. The system further needs to enable a reviewer to recommend edits to the solicitation.  The system also needs to file the action in the contract file (Tab 10, RFQ/RFP and Amendments) and provide the ability to export the data as a web-form or similar structured manner.</t>
  </si>
  <si>
    <t>Activity 18 - Contracting by Negotiation; Task 20c</t>
  </si>
  <si>
    <t>Document the presentations.</t>
  </si>
  <si>
    <t>Document review of presentations</t>
  </si>
  <si>
    <t>Activity 18 - Contracting by Negotiation; Task 9</t>
  </si>
  <si>
    <t xml:space="preserve">Specify the method of submission of offers and information. </t>
  </si>
  <si>
    <t>Instruction to offerors</t>
  </si>
  <si>
    <t>SS - 53</t>
  </si>
  <si>
    <t>Enable users to document oral presentations. Enable the routing, review, and approval of documents amongst the acquisition team for collaboration. The system needs to make the action available for viewing in the contract file (Tab 17, Responsibility Determination) and provide the ability to export the data as a web-form or similar structured manner.</t>
  </si>
  <si>
    <t>As an acquisition team member, I need to be able to review and route documents, and depending on the document, may also be required to approve such documents so the CO/CS has what they need to document acquisition decisions. 
As a CO/CS, I need to document oral presentations so I maintain a history of the events and comply with the authoritative references. I may need to collaborate with the acquisition team during evaluations and route documents for their review and/or approval. I also need to be able to access the action in the contract file and export it if necessary.</t>
  </si>
  <si>
    <t>APP - 103</t>
  </si>
  <si>
    <t xml:space="preserve">Ensure the CWS user could efficiently:
- Create/upload/import oral presentations and evaluations
- Collaborate with the acquisition team
- Route documents for review/approvals
- Access information in the contract file and export it if necessary
</t>
  </si>
  <si>
    <t>Enable users to document the method of submission of offers and information by using either a prescribed authoritative clause or one that is developed for the solicitation at hand. The system further needs to enable a reviewer to recommend edits to the method of submission. The system also needs to file the action in the contract file (Tab 10, RFQ/RFP and Amendments) and provide the ability to export the data as a web-form or similar structured manner.</t>
  </si>
  <si>
    <t>As a CO/CS, I need to ensure that offerors understand what they need to do to submit offers in order to be responsiveness to my solicitation. I need to be able to route the solicitation to one or more reviewers for review and editing.  I also need to be able to access the action in the contract file and export it if necessary. 
As a reviewer, I need the ability to make edits to the offeror instructions, recommend the addition/deletion of terms and conditions, etc., and route the solicitation back to the CO/CS.</t>
  </si>
  <si>
    <t>Ensure system can efficiently:
- Enable the selection of a prescribed authoritative clause/provision or the creation of offer instructions
- Build the solicitation
- Enable routing of the solicitation
- Review and edit the solicitation
- Access information in the contract file and export it if necessary</t>
  </si>
  <si>
    <t>Activity 23 - Subcontracting Requirements; Part A - Establish Subcontracting Requirements; Task 1</t>
  </si>
  <si>
    <t>Determine whether to incorporate a requirement for a small business subcontracting plan in the solicitation and resulting contract.</t>
  </si>
  <si>
    <t>Determination to include a requirement for subcontracting plans</t>
  </si>
  <si>
    <t>Activity 18 - Contracting by Negotiation; Task 20d</t>
  </si>
  <si>
    <t>Use presentation information in
offer evaluation.</t>
  </si>
  <si>
    <t>Evaluation of presentations</t>
  </si>
  <si>
    <t>4.3.1.1.2
4.3.1.1.3
4.6.1
*</t>
  </si>
  <si>
    <t>SS - 54</t>
  </si>
  <si>
    <t>Enable users to document the evaluation of oral presentations. Enable the routing, review, and approval of documents amongst the acquisition team for collaboration. The system needs to make the action available for viewing in the contract file (Tab 17, Responsibility Determination) and provide the ability to export the data as a web-form or similar structured manner.</t>
  </si>
  <si>
    <t>As an acquisition team member, I need to be able to review and route documents, and depending on the document, may also be required to approve such documents so the CO/CS has what they need to document acquisition decisions. 
As a CO/CS, I need to document the evaluation of oral presentations so I maintain an accurate record of evaluations and comply with the authoritative references. I may need to collaborate with the acquisition team during evaluations and route documents for their review and/or approval. I also need to be able to access the action in the contract file and export it if necessary.</t>
  </si>
  <si>
    <t xml:space="preserve">Ensure the CWS user could efficiently:
- Create/upload/import evaluations of oral presentations
- Collaborate with the acquisition team
- Route documents for review/approvals
- Access information in the contract file and export it if necessary
</t>
  </si>
  <si>
    <t>Enable users to determine the appropriate clauses and provisions to include in a solicitation based on the particular circumstances of the proposed acquisition in an automated fashion. The system also needs to build the solicitation based on the end user selections. The system further needs to enable a reviewer to recommend edits to the solicitation. The system also needs to file the action in the contract file (Tab 10, RFQ/RFP and Amendments) and provide the ability to export the data as a web-form or similar structured manner.</t>
  </si>
  <si>
    <t>Activity 18 - Contracting by Negotiation; Task 22 (Note--Task 21 is in ACQ.030.020 Competitive Range Determination)</t>
  </si>
  <si>
    <t>Conduct price/cost analysis.</t>
  </si>
  <si>
    <t>Document evaluation</t>
  </si>
  <si>
    <t>Activity 23 - Subcontracting Requirements; Part A - Establish Subcontracting Requirements; Task 2</t>
  </si>
  <si>
    <t>Determine whether to incorporate a requirement for the use of Indian organizations and Indian-owned economic enterprises as subcontractors.</t>
  </si>
  <si>
    <t>Determination to include a requirement for use of Indian organizations</t>
  </si>
  <si>
    <t xml:space="preserve">4.3.2.2
4.3.2.3
4.3.2.4
4.6.1
</t>
  </si>
  <si>
    <t>SS - 55</t>
  </si>
  <si>
    <t>Enable users to conduct the cost/price analysis and make the determination that the final price is fair and reasonable. The system needs to automatically calculate difference in price between vendor submissions at the unit price, line item price level, and total price level for each base and option period. When the system has performed a comparison of vendor price against user-defined evaluation criteria, it shall identify the lowest line item price as well as the lowest overall price. It also needs to enable the user to select the calculated display as actuals, average, mean and/or median. It also needs to enable the user to filter and sort vendor price data to facilitate offer evaluations. Enable the routing, review, and revision of such determinations, and where necessary, the approval of such documents. The system needs to make the action available for viewing in the contract file (Tab 14, Cost or Price and Technical Analysis Report) and provide the ability to export the data as a web-form or similar structured manner.</t>
  </si>
  <si>
    <t xml:space="preserve">Ensure system can efficiently:
- Calculate difference in price between vendor submissions at the unit price, line item, and total price level
- Create/upload/import the price analysis
- Identify the lowest line item price and lowest overall price based on the system calculations
- Filter and sort vendor offer line item (including price) data
- Collaborate with the acquisition team
- Route documents for review and approval
- Access information in the contract file and export it if necessary
</t>
  </si>
  <si>
    <t>Activity 18 - Contracting by Negotiation; Task 23</t>
  </si>
  <si>
    <t>Conduct cost realism analysis, if
required.</t>
  </si>
  <si>
    <t>Activity 23 - Subcontracting Requirements; Part A - Establish Subcontracting Requirements; Task 3</t>
  </si>
  <si>
    <t>Determine whether to incorporate a make-or-buy program requirement in the solicitation and resulting contract.</t>
  </si>
  <si>
    <t>4.3.2.1
4.3.2.2
4.3.2.3
4.6.1</t>
  </si>
  <si>
    <t>Determination to include a make-or-buy requirements</t>
  </si>
  <si>
    <t>SS - 56</t>
  </si>
  <si>
    <t>Enable users to document a cost realism analysis. Enable the routing, review, and revision of analyses, and where necessary, the approval of such documents. The system needs to make the action available for viewing in the contract file (Tab 14, Cost or Price and Technical Analysis Report) and provide the ability to export the data as a web-form or similar structured manner.</t>
  </si>
  <si>
    <t xml:space="preserve">As an acquisition team member, I need to be able to review and route documents, and depending on the document, may also be required to approve such documents so the CO/CS has what they need to document acquisition decisions. 
As a CO/CS, I need to be able to conduct a cost realism analysis on cost-reimbursement contracts to determine the probable cost of performance for each offeror.  I also need to be able to access the action in the contract file and export it if necessary.  </t>
  </si>
  <si>
    <t>Ensure system can efficiently:
- Create/upload/import the cost realism analysis
- Collaborate with the acquisition team
- Route documents for review and approval
- Access information in the contract file and export it if necessary</t>
  </si>
  <si>
    <t>Activity 18 - Contracting by Negotiation; Task 24</t>
  </si>
  <si>
    <t>Make an affirmative determination
of responsibility.</t>
  </si>
  <si>
    <t>Determination of responsibility</t>
  </si>
  <si>
    <t>Activity 23 - Subcontracting Requirements; Part A - Establish Subcontracting Requirements; Task 4</t>
  </si>
  <si>
    <t>Prepare a solicitation provision requiring a submission of a make or buy program.</t>
  </si>
  <si>
    <t>Solicitation provision</t>
  </si>
  <si>
    <t>4.3.1.i
4.3.1.ii
4.3.1.iii
4.3.1.iv
4.6.1</t>
  </si>
  <si>
    <t>Enable users to determine the appropriate clauses and provisions to include in a solicitation based on the particular circumstances of the proposed acquisition in an automated fashion. The system also needs to build the solicitation based on the end user selections. The system further needs to enable a reviewer to recommend edits to the solicitation.  The system also needs to document the contract fileThe system also needs to file the action in the contract file (Tab 10, RFQ/RFP and Amendments) and provide the ability to export the data as a web-form or similar structured manner.</t>
  </si>
  <si>
    <t>SS - 57</t>
  </si>
  <si>
    <t>Enable users to document the determination that the offeror is responsible. The CWS shall minimize the number of systems the user must access to reach this determination. It is desired that the CWS seamlessly validate and capture the following: 1) the offeror is registered in SAM; 2) the offeror is not on the exclusions list; 3) FAPIIS records are checked; 4) EEO clearances (as applicable); and 5) the offeror has adequate financials. The system needs to make the action available for viewing in the contract file (Tab 17, Responsibility Determination) and provide the ability to export the data as a web-form or similar structured manner.</t>
  </si>
  <si>
    <t>Activity 23 - Subcontracting Requirements; Part A - Establish Subcontracting Requirements; Task 5</t>
  </si>
  <si>
    <t>As a CO/CS, I need to be able to create/upload/import my determination that the offeror is responsible so I comply with the authoritative references. I want to minimize the number of systems I need to interact with to help me make this determination by having the CWS populate this information in my template/document for me. This includes SAM registration, SAM exclusions, FAPIIS records, EEO clearances (as applicable), and financial records.  I also need to be able to access the action in the contract file and export it if necessary.   with the records that demonstrate responsibility (Tab 17, Responsibility Determination).</t>
  </si>
  <si>
    <t>Ensure system can efficiently:
- Create/upload/import the responsibility determination
- Minimize the number of systems that need to be accessed to reach this determination
- Capture the record that demonstrates responsibility
- Access information in the contract file and export it if necessary</t>
  </si>
  <si>
    <t>Determine whether to establish a monetary incentive for exceeding small business subcontracting goals.</t>
  </si>
  <si>
    <t>Determination to include monetary incentives</t>
  </si>
  <si>
    <t>Activity 19 - Price-Related Information from Offerors; Task 1</t>
  </si>
  <si>
    <t>Determine if a certified cost or pricing data exception applies to the contracting situation.</t>
  </si>
  <si>
    <t>Determination if an exception applies</t>
  </si>
  <si>
    <t>APP - 104</t>
  </si>
  <si>
    <t>Enable users to document the determination to establish a monetary incentive for exceeding small business goals in the solicitation. The system also needs to file the action in the contract file (Tab 10, RFQ/RFP and Amendments) and provide the ability to export the data as a web-form or similar structured manner.</t>
  </si>
  <si>
    <t xml:space="preserve">As a CO/CS, I need to determine whether to encourage the development of increased subcontracting opportunities by providing monetary incentives so I increase opportunities for small businesses.  I also need to be able to access the action in the contract file and export it if necessary. </t>
  </si>
  <si>
    <t>Ensure system can efficiently:
- Create/upload the determination to establish monetary incentives
- Access information in the contract file and export it if necessary</t>
  </si>
  <si>
    <t>Activity 27 - Organizational Conflicts of Interest; Task 1</t>
  </si>
  <si>
    <t>Determine whether a possible organizational conflict of interest (OCI) exists.</t>
  </si>
  <si>
    <t>OCI determination</t>
  </si>
  <si>
    <t>APP - 105</t>
  </si>
  <si>
    <t>Enable users to document the determination that a possible organizational conflict of interest exists.  The system also needs to document the contract file (Tab 10, RFQ/RFP and Amendments) and provide the ability to export the data as a web-form or similar structured manner.</t>
  </si>
  <si>
    <t xml:space="preserve">As a CO/CS, I need to identify and evaluate potential organizational conflicts of interest in my acquisition as early in the acquisition process as possible. I also need to work to avoid, neutralize, or mitigate significant potential conflicts of interest before award and address the strategy I will use to avoid an organizational conflict of interest.  I also need to be able to access the action in the contract file and export it if necessary.  </t>
  </si>
  <si>
    <t>Ensure system can efficiently:
- Create/upload the OCI determination
- Access information in the contract file and export it if necessary</t>
  </si>
  <si>
    <t>Activity 27 - Organizational Conflicts of Interest; Task 2</t>
  </si>
  <si>
    <t>If information concerning prospective contractors is necessary to identify potential organizational conflicts of interest (OCI), seek information from within the Government or from other readily available sources.</t>
  </si>
  <si>
    <t>Documentation of fact finding</t>
  </si>
  <si>
    <t xml:space="preserve">4.3.2.2
4.3.2.3
4.6.1
</t>
  </si>
  <si>
    <t>SS - 58</t>
  </si>
  <si>
    <t>Enable users to document the determination if a certified cost or pricing data exception applies to the contracting situation. Enable the routing, review, and revision of analyses, and where necessary, the approval of such documents. The system needs to make the action available for viewing in the contract file (Tab 12, Cost or Pricing Data or Waiver) and provide the ability to export the data as a web-form or similar structured manner.</t>
  </si>
  <si>
    <t>As an acquisition team member, I need to be able to review and route documents, and depending on the document, may also be required to approve such documents so the CO/CS has what is needed to document acquisition decisions. 
As a CO/CS, I need to be able to determine if a certified cost or pricing data exception applies to the contracting situation.  I also need to be able to access the action in the contract file and export it if necessary.</t>
  </si>
  <si>
    <t>Ensure system can efficiently:
- Create/upload/import the determination
- Collaborate with the acquisition team
- Route documents for review and approval
- Access information in the contract file and export it if necessary</t>
  </si>
  <si>
    <t>APP - 106</t>
  </si>
  <si>
    <t>Enable users to document information from within the Government or other sources to support potential organizational conflicts of interest actions.  The system also needs to file the action in the contract file (Tab 10, RFQ/RFP and Amendments) and provide the ability to export the data as a web-form or similar structured manner.</t>
  </si>
  <si>
    <t xml:space="preserve">As a CO/CS, I need to document potential organizational conflict of interest so I can comply with the authoritative references.  I also need to be able to access the action in the contract file and export it if necessary. </t>
  </si>
  <si>
    <t>Ensure the system user is able to efficiently:
- Create/upload the OCI information
- Document OCI information
- Access information in the contract file and export it if necessary</t>
  </si>
  <si>
    <t>Activity 19 - Price-Related Information from Offerors; Task 2</t>
  </si>
  <si>
    <t>Determine if data other than cost or pricing data are needed to determine reasonableness.</t>
  </si>
  <si>
    <t>Determination if data other than cost/price is needed</t>
  </si>
  <si>
    <t>Activity 27 - Organizational Conflicts of Interest; Task 3</t>
  </si>
  <si>
    <t>Before issuing the solicitation, prepare written analysis on recommended course of action.</t>
  </si>
  <si>
    <t>OCI analysis</t>
  </si>
  <si>
    <t>SS - 59</t>
  </si>
  <si>
    <t xml:space="preserve">Enable users to document the determination if data other than cost or pricing data are needed to determine reasonableness. The system needs to make the action available for viewing in the contract file (Tab 12, Cost or Pricing Data or Waiver) and provide the ability to export the data as a web-form or similar structured manner.  </t>
  </si>
  <si>
    <t>As a CO/CS, I need to be able to determine if data other than cost/price is needed so the data I use to support price negotiations are sufficiently current to to permit negotiation of a fair and reasonable price.  I also need to be able to access the action in the contract file and export it if necessary.</t>
  </si>
  <si>
    <t>APP - 107</t>
  </si>
  <si>
    <t>Enable users to document a written analysis on the recommended course of action to address organizational conflicts of interest actions for prospective contractors and route for review and approval.  The system also needs to file the action in the contract file (Tab 10, RFQ/RFP and Amendments) and provide the ability to export the data as a web-form or similar structured manner.</t>
  </si>
  <si>
    <t xml:space="preserve">As a CO/CS, I need to create/upload a written analysis on the recommended course of action to address organizational conflicts of interest and route it for review and approvals so I can comply with the authoritative references.  I also need to be able to access the action in the contract file and export it if necessary. </t>
  </si>
  <si>
    <t>Ensure the system user is able to efficiently:
- Create/upload the OCI analysis and course of action 
- Route documents and track progress
- Access information in the contract file and export it if necessary</t>
  </si>
  <si>
    <t>Activity 19 - Price-Related Information from Offerors; Task 2a</t>
  </si>
  <si>
    <t>Require submission of data other than certified cost or pricing data</t>
  </si>
  <si>
    <t>Notification to offeror that submission of data other than certified cost or pricing data is required</t>
  </si>
  <si>
    <t>Activity 27 - Organizational Conflicts of Interest; Task 4</t>
  </si>
  <si>
    <t>Obtain approval on course of action from higher level official.</t>
  </si>
  <si>
    <t>Approval on OCI course of action</t>
  </si>
  <si>
    <t>SS - 60</t>
  </si>
  <si>
    <t>Enable users to document the notification to the offeror that submission of data other than certified cost or pricing data is required.  The system needs to make the action available for viewing in the contract file (Tab 12, Cost or Pricing Data or Waiver).</t>
  </si>
  <si>
    <t>As a CO/CS, I need to be able to review data other than certified cost or pricing data so the data I use to support price negotiations are sufficiently current to to permit negotiation of a fair and reasonable price.  I also need to be able to access the action in the contract file and export it if necessary.</t>
  </si>
  <si>
    <t>Ensure system can efficiently:
- Create/upload/import the notification
- Access information in the contract file and export it if necessary</t>
  </si>
  <si>
    <t>4.1.1.2
4.6.1</t>
  </si>
  <si>
    <t>APP - 108</t>
  </si>
  <si>
    <t>Enable users to route organizational conflicts of interest actions for prospective contractors for review and approval.  The system also needs to file the action in the contract file (Tab 10, RFQ/RFP and Amendments) and provide the ability to export the data as a web-form or similar structured manner.</t>
  </si>
  <si>
    <t xml:space="preserve">As a CO/CS, I need to secure the appropriate approvals when I determine that a particular acquisition involves a significant potential organizational conflict of interest so I can comply with the authoritative references.  I also need to be able to access the action in the contract file and export it if necessary. </t>
  </si>
  <si>
    <t>Ensure the system user is able to efficiently:
- Route documents and track progress.
- Access information in the contract file and export it if necessary</t>
  </si>
  <si>
    <t>Activity 19 - Price-Related Information from Offerors; Task 2b</t>
  </si>
  <si>
    <t xml:space="preserve">Rely on competition and/or information obtained from market research for contract pricing. </t>
  </si>
  <si>
    <t>Activity 27 - Organizational Conflicts of Interest; Task 5</t>
  </si>
  <si>
    <t xml:space="preserve">Include the approved provision(s) and any approved clause(s) in the solicitation or the contract, or both. </t>
  </si>
  <si>
    <t>Solicitation provisions and clauses, or waiver</t>
  </si>
  <si>
    <t>3.2.1
3.2.1.1
3.2.1.3
3.2.1.4
3.5.1
*</t>
  </si>
  <si>
    <t>APP - 109</t>
  </si>
  <si>
    <t>Enable users to include approved provisions and clauses developed to address organizational conflicts of interest in the solicitation or the contract, or both. The system also needs to file the action in the contract file (Tab 10, RFQ/RFP and Amendments) and provide the ability to export the data as a web-form or similar structured manner.</t>
  </si>
  <si>
    <t xml:space="preserve">As a CO/CS, I need to be able to draft provisions and clauses to address organizational conflicts of interest and collaborate with my program office and legal counsel. I need to ensure my solicitation or my contract, or both, has the proper approved provisions and clauses for the acquisition at hand so I can account for organizational conflicts of interest.  I also need to be able to access the action in the contract file and export it if necessary. </t>
  </si>
  <si>
    <t>Ensure the system user is able to efficiently:
- Draft provisions/clauses to address organizational conflicts of interest
- Collaborate with program officials and legal counsel
- Add the appropriate provision/clause in the solicitation.
- Access information in the contract file and export it if necessary</t>
  </si>
  <si>
    <t>SS - 61</t>
  </si>
  <si>
    <t xml:space="preserve">Enable users to document how the CO/CS relied on competition and/or market research pricing information to determine reasonableness. The system needs to make the action available for viewing in the contract file (Tab 14, Cost or Price and Technical Analysis Report). </t>
  </si>
  <si>
    <t>As a CO/CS, I need to be able to document the sources I used and how I ascertained that the price was fair and reasonable.  I also need to be able to access the action in the contract file and export it if necessary.</t>
  </si>
  <si>
    <t>Ensure system can efficiently:
- Create/upload/import the document
- Access information in the contract file and export it if necessary</t>
  </si>
  <si>
    <t>ACQ.020.090</t>
  </si>
  <si>
    <t>Pre-Solicitation Communications</t>
  </si>
  <si>
    <t>Conduct events with and/or issue communications to industry to provide information regarding the upcoming acquisition; Includes issuing pre-solicitation notice</t>
  </si>
  <si>
    <t>Activity 16 - Sealed Bidding; Part A - Sealed Bidding; Task 5</t>
  </si>
  <si>
    <t>For sealed bidding, when applicable, hold pre-bid conference.</t>
  </si>
  <si>
    <t>Pre-bid conference meeting minutes</t>
  </si>
  <si>
    <t>Activity 19 - Price-Related Information from Offerors; Task 3</t>
  </si>
  <si>
    <t xml:space="preserve">If over the certified cost or pricing threshold, request offeror submission of cost or pricing data. </t>
  </si>
  <si>
    <t>Notification to offeror that submission of cost or pricing data is required</t>
  </si>
  <si>
    <t>3.1.1
3.1.1.1
3.5.1
*</t>
  </si>
  <si>
    <t>APP - 110</t>
  </si>
  <si>
    <t xml:space="preserve">Enable users to develop materials for and document pre-bid conference as well as enable collaboration and reviews on the documents. The system also needs to file the action in the contract file (Tab 9, Pre-Solicitation Notices/Conferences) and provide the ability to export the data as a web-form or similar structured manner. </t>
  </si>
  <si>
    <t xml:space="preserve">As the PMO, I need to collaborate in the drafting of preparatory materials and/or the review of pre-bid conference content so I can ensure we have accurate records of the event. 
As a CO/CS, I need to collaborate in the drafting of preparatory materials and/or the review of pre-bid conference content so I can ensure pre-solicitation communications are accurately recorded so I can meet my program's needs. I will need to distribute meeting minutes to interested parties.  I also need to be able to access the action in the contract file and export it if necessary. </t>
  </si>
  <si>
    <t>Ensure system can efficiently:
- Create/upload pre-bid conference material
- Capture and document preparatory materials and/or pre-bid conference content and enable the sharing of such information as may be necessary.
- Access information in the contract file and export it if necessary</t>
  </si>
  <si>
    <t>SS - 62</t>
  </si>
  <si>
    <t>Enable users to document a request to the offeror to submit cost or pricing data. The system needs to make the action available for viewing in the contract file (Tab 12, Cost or Pricing Data or Waiver) and provide the ability to export the data as a web-form or similar structured manner.</t>
  </si>
  <si>
    <t>As a CO/CS, I am required to obtain certified cost or pricing data if I conclude that none of the exceptions in FAR 15.403-1(b) applies so I can determine the price to be fair and reasonable. I also need to be able to access the action in the contract file and export it if necessary.</t>
  </si>
  <si>
    <t>Ensure system can efficiently:
- Create/upload/import request for cost or pricing data
- Access information in the contract file and export it if necessary</t>
  </si>
  <si>
    <t>Activity 19 - Price-Related Information from Offerors; Task 4</t>
  </si>
  <si>
    <t>If under the cost or pricing threshold but over seek authorization from HCA if cost or pricing data is necessary</t>
  </si>
  <si>
    <t>HCA approval</t>
  </si>
  <si>
    <t>Activity 18 - Contracting by Negotiation; Task 2 (Note--Task 1 is under ACQ.010.050 Acquisition Strategy / Plan Development)</t>
  </si>
  <si>
    <t>Determine whether to conduct presolicitation exchanges.</t>
  </si>
  <si>
    <t>SS - 63</t>
  </si>
  <si>
    <t>Enable users to document an authorization request from the HCA if cost and pricing data is necessary. Enable the routing, review, and revision of analyses, and where necessary, the approval of such documents. The system needs to make the action available for viewing in the contract file (Tab 12, Cost or Pricing Data or Waiver)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</si>
  <si>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am required to seek authorization from the HCA if cost or pricing data is necessary to comply with the authoritative references. I need to route the request to obtain the appropriate approvals so I comply with the authoritative reference. I also need to be able to access the action in the contract file and export it if necessary.</t>
  </si>
  <si>
    <t>Ensure system can efficiently:
- Create/upload/import authorization request
- Collaborate with the acquisition team
- Route documents for review and approval
- Access information in the contract file and export it if necessary</t>
  </si>
  <si>
    <t>APP - 111</t>
  </si>
  <si>
    <t xml:space="preserve">Enable users to document the determination to conduct presolicitation exchanges. The system also needs to file the action in the contract file (Tab 9, Pre-Solicitation Notices/Conferences) and provide the ability to export the data as a web-form or similar structured manner. </t>
  </si>
  <si>
    <t xml:space="preserve">As a CO/CS, I need to document the determination to conduct a presolicitation exchange so I comply with the authoritative references.  I also need to be able to access the action in the contract file and export it if necessary. </t>
  </si>
  <si>
    <t>Ensure system can efficiently:
- Document the determination.
- Access information in the contract file and export it if necessary</t>
  </si>
  <si>
    <t>Activity 19 - Price-Related Information from Offerors; Task 4a</t>
  </si>
  <si>
    <t xml:space="preserve">Obtain HCA justification for requirement for certified cost or pricing data. </t>
  </si>
  <si>
    <t>HCA justification</t>
  </si>
  <si>
    <t>Activity 29 - Inquiries and Freedom of Information Act (FOIA) Requests; Part A - Inquiries about Invitations for Bids (IFBs) and Solicitations; Task 1</t>
  </si>
  <si>
    <t>Inform government personnel of their roles in responding to inquiries.</t>
  </si>
  <si>
    <t>Roles/responsibilities briefing of Government team</t>
  </si>
  <si>
    <t>SS - 64</t>
  </si>
  <si>
    <t>Enable users to document the HCA justification for the requirement for certified cost or pricing data. Enable the routing, review, and revision of analyses, and where necessary, the approval of such documents. The system needs to make the action available for viewing in the contract file (Tab 12, Cost or Pricing Data or Waiver)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</si>
  <si>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create/upload/import the HCA justification for the requirement for certified cost or pricing data to comply with the authoritative references. I need to route the request to obtain the appropriate approvals so I comply with the authoritative reference. I also need to be able to access the action in the contract file and export it if necessary.</t>
  </si>
  <si>
    <t>Ensure system can efficiently:
- Create/upload/import HCA justification
- Collaborate with the acquisition team
- Route documents for review and approval
- Access information in the contract file and export it if necessary</t>
  </si>
  <si>
    <t>Activity 19 - Price-Related Information from Offerors; Task 4b</t>
  </si>
  <si>
    <t>Document reason for cost or pricing necessity</t>
  </si>
  <si>
    <t>3.1.1.1
3.5.1
*</t>
  </si>
  <si>
    <t>APP - 112</t>
  </si>
  <si>
    <t xml:space="preserve">Enable users to pull data in response to inquiries in an automated fashion to minimize the manual search for applicable records. Enable users to document a response to the FOIA request and enable collaboration on the response. The system also needs to file the action in the contract file (Tab 24, Legal Review) and provide the ability to export the data as a web-form or similar structured manner. </t>
  </si>
  <si>
    <t xml:space="preserve">As the PMO, I need to be responsive to FOIA requests and work with my CO/CS and General Counsel to ensure the information is either releaseable or protected in accordance with the authoritative references and FOIA regulations in order to be as transparent as possible. 
As a CO/CS, I need to review the request for information and collaborate with requestor to ensure I understand what is being requested and secure payment when necessary; work with the supplier whose information is being sought to determine its releasability; work with my PMO and General Counsel to determine what information gets released; collaborate with internal parties and prepare the FOIA response; seek reviews and approvals; and submit the response so I comply with the authoritative references and FOIA regulations.  I also need to be able to access the action in the contract file and export it if necessary. </t>
  </si>
  <si>
    <t>Ensure system can efficiently:
- Identify applicable records.
- Pull applicable records.
- Collaborate with acquisition team members.
- Create responses.
- Track responses.
- Access information in the contract file and export it if necessary</t>
  </si>
  <si>
    <t>Activity 29 - Inquiries and Freedom of Information Act (FOIA) Requests; Part A - Inquiries about Invitations for Bids (IFBs) and Solicitations; Task 2</t>
  </si>
  <si>
    <t>SS - 65</t>
  </si>
  <si>
    <t>Identify restrictions and permissibility on the release of information.</t>
  </si>
  <si>
    <t>Enable users to document the need for cost or pricing data. Enable the routing, review, and revision of the document, and where necessary, the approval of such documents. The system needs to make the action available for viewing in the contract file (Tab 12, Cost or Pricing Data or Waiver)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</si>
  <si>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create/upload/import the document that explains why I need cost or pricing data so I comply with the authoritative references. I need to route the document to obtain the appropriate approvals so I comply with the authoritative reference. I also need to be able to access the action in the contract file and export it if necessary.</t>
  </si>
  <si>
    <t>Ensure system can efficiently:
- Create/upload/import the rationale
- Collaborate with the acquisition team
- Route documents for review and approval
- Access information in the contract file and export it if necessary</t>
  </si>
  <si>
    <t>Activity 19 - Price-Related Information from Offerors; Task 5</t>
  </si>
  <si>
    <t xml:space="preserve">If HCA does not authorize obtaining cost or pricing data, determine if data other than certified cost or pricing data is needed. </t>
  </si>
  <si>
    <t>SS - 66</t>
  </si>
  <si>
    <t xml:space="preserve">Enable users to document the determination if data other than cost or pricing data are needed to determine reasonableness. The system needs to make the action available for viewing in the contract file (Tab 12, Cost or Pricing Data or Waiver) and provide the ability to export the data as a web-form or similar structured manner. </t>
  </si>
  <si>
    <t>As a CO/CS, I need to be able to determine if data other than cost/price is needed so the data I use to support price negotiations are sufficiently current to permit negotiation of a fair and reasonable price.  I also need to be able to access the action in the contract file and export it if necessary.</t>
  </si>
  <si>
    <t xml:space="preserve">Enable users to pull data in response to inquiries in an automated fashion to minimize the manual search for applicable records. Enable users to document a response to the FOIA request and enable collaboration on the response.  The system also needs to file the action in the contract file (Tab 24, Legal Review) and provide the ability to export the data as a web-form or similar structured manner. </t>
  </si>
  <si>
    <t>Activity 19 - Price-Related Information from Offerors; Task 6</t>
  </si>
  <si>
    <t>Take appropriate action if offeror refuses to provide or certify cost or pricing data</t>
  </si>
  <si>
    <t>Activity 29 - Inquiries and Freedom of Information Act (FOIA) Requests; Part A - Inquiries about Invitations for Bids (IFBs) and Solicitations; Task 3</t>
  </si>
  <si>
    <t>Conduct investigation if required to prepare a response.</t>
  </si>
  <si>
    <t>Investigation</t>
  </si>
  <si>
    <t>SS - 67</t>
  </si>
  <si>
    <t>Enable users to document the actions taken if an offeror refuses to provide or certify cost or pricing data. Enable the routing, review, and revision of the document, and where necessary, the approval of such documents. The system needs to make the action available for viewing in the contract file (Tab 12, Cost or Pricing Data or Waiver) and provide the ability to export the data as a web-form or similar structured manner.</t>
  </si>
  <si>
    <t xml:space="preserve">As a CO/CS, I need to be able to create/upload/import a document that describes whether I withheld the award or price adjustment and referred the contract action to a higher authority. I also need to provide details of my attempts to resolve the matter and include a statement describing the practicability of getting the supplies or services from another source. I need to route the document for review and approval as necessary.  I also need to be able to access the action in the contract file and export it if necessary. </t>
  </si>
  <si>
    <t>Ensure system can efficiently:
- Create/upload/import a document that describes the actions taken if an offeror refused to provide or certify cost or pricing data
_ Collaborate with the acquisition team
- Route documents for review and approval as necessary
- Access information in the contract file and export it if necessary</t>
  </si>
  <si>
    <t>Activity 19 - Price-Related Information from Offerors; Task 7</t>
  </si>
  <si>
    <t>Identify any data that are inaccurate, incomplete, or not current and take appropriate action.</t>
  </si>
  <si>
    <t>Evaluation of data</t>
  </si>
  <si>
    <t>Activity 29 - Inquiries and Freedom of Information Act (FOIA) Requests; Part A - Inquiries about Invitations for Bids (IFBs) and Solicitations; Task 4</t>
  </si>
  <si>
    <t>Determine if amending or cancelling the invitation for bids (IFB) or solicitation is appropriate</t>
  </si>
  <si>
    <t>IFB/RFP determination</t>
  </si>
  <si>
    <t>SS - 68</t>
  </si>
  <si>
    <t>Enable users to document any data that are inaccurate, incomplete, or not current and document the appropriate action taken. The system needs to make the action available for viewing in the contract file (Tab 14, Cost or Price and Technical Analysis Report).</t>
  </si>
  <si>
    <t xml:space="preserve">As a CO/CS, I need to be able to create/upload/import a document that identifies any data that are inaccurate, incomplete or not current so I can document my evaluation.  I also need to be able to access the action in the contract file and export it if necessary. </t>
  </si>
  <si>
    <t xml:space="preserve">Ensure system can efficiently:
- Create/upload/import a document that evaluates the offer and its failings.
- Access information in the contract file and export it if necessary.
</t>
  </si>
  <si>
    <t>3.5.1</t>
  </si>
  <si>
    <t>APP - 113</t>
  </si>
  <si>
    <t xml:space="preserve">Enable users to document the determination to amend or cancel a solicitation. The system also needs to file the action in the contract file (Tab 8, Synopsis/Advertisement) and provide the ability to export the data as a web-form or similar structured manner.  </t>
  </si>
  <si>
    <t>As a CO/CS, I need to document the contract file so I have a record of the determination to amend or cancel a solicitation.</t>
  </si>
  <si>
    <t>Ensure system can efficiently:
- Create/upload the determination to amend or cancel the solicitation
- Respond to inquiries
- Amend/cancel solicitations
- Access information in the contract file and export it if necessary</t>
  </si>
  <si>
    <t>Activity 19 - Price-Related Information from Offerors; Task 8</t>
  </si>
  <si>
    <t>Determine the “as of” date for the Certificate of Current Cost or Pricing Data.</t>
  </si>
  <si>
    <t>Activity 18 - Contracting by Negotiation; Task 10 (Note--Task 9 is in ACQ.020.080 Solicitation Documentation Development)</t>
  </si>
  <si>
    <t>When applicable, hold pre-award conference or site visits.</t>
  </si>
  <si>
    <t>Conference/site visit preparatory material, Meeting minutes/Audio / Visual Recordings, Transcript</t>
  </si>
  <si>
    <t xml:space="preserve">4.3.2.3
4.6.1
</t>
  </si>
  <si>
    <t>SS - 69</t>
  </si>
  <si>
    <t>Enable users to document the determination of the "as of" date for the Certificate of Current Cost or Pricing Data." The system needs to make the action available for viewing in the contract file (Tab 12, Cost or Pricing Data or Waiver) and provide the ability to export the data as a web-form or similar structured manner.</t>
  </si>
  <si>
    <t xml:space="preserve">As a CO/CS, I need to be able to create/upload/import the determination of the "as of" date of the certificate so I comply with the authoritative references.  I also need to be able to access the action in the contract file and export it if necessary. </t>
  </si>
  <si>
    <t xml:space="preserve">Ensure system can efficiently:
- Create/upload/import the determination of the "as of" date of said certificate.
- Access information in the contract file and export it if necessary.
</t>
  </si>
  <si>
    <t>Activity 19 - Price-Related Information from Offerors; Task 9</t>
  </si>
  <si>
    <t xml:space="preserve">Obtain from offeror (including proposed subcontractor, if appropriate) a properly executed Certificate of Current Cost or Pricing Data. </t>
  </si>
  <si>
    <t>Certificate of Current Cost or Pricing Data</t>
  </si>
  <si>
    <t>3.4.1
3.5.1
*</t>
  </si>
  <si>
    <t>SS - 70</t>
  </si>
  <si>
    <t>Enable users to document the certificate of current cost or pricing data. The system needs to make the action available for viewing in the contract file (Tab 12, Cost or Pricing Data or Waiver) and provide the ability to export the data as a web-form or similar structured manner.</t>
  </si>
  <si>
    <t xml:space="preserve">As a CO/CS, I need to be able to create/upload/import the certificate of current cost or pricing data so I comply with the authoritative references.  I also need to be able to access the action in the contract file and export it if necessary. </t>
  </si>
  <si>
    <t xml:space="preserve">Ensure system can efficiently:
- Create/upload/import the certificate of current cost or pricing data
- Access information in the contract file and export it if necessary.
</t>
  </si>
  <si>
    <t>APP - 114</t>
  </si>
  <si>
    <t xml:space="preserve">Enable users to develop materials for and document pre-award conference or site visits as well as enable collaboration and reviews on the documents. The system also needs to file the action in the contract file (Tab 9, Pre-Solicitation Notices/Conferences) and provide the ability to export the data as a web-form or similar structured manner.  </t>
  </si>
  <si>
    <t xml:space="preserve">As the PMO, I need to collaborate in the drafting of preparatory materials and/or the review of pre-award conference/visit content so I can ensure we have accurate records of the event. 
As a CO/CS, I need to collaborate in the drafting of preparatory materials and/or the review of pre-award conference/visit content so I can ensure pre-solicitation communications are accurately recorded so I can meet my program's needs and make any necessary adjustments to the acquisition as a result.  I also need to be able to access the action in the contract file and export it if necessary. </t>
  </si>
  <si>
    <t>Ensure system can efficiently:
- Create/upload pre-award conference/visit materials
- Capture and document preparatory materials or pre-award conference/visit content and enable the sharing of such information as may be necessary.
- Access information in the contract file and export it if necessary</t>
  </si>
  <si>
    <t>Activity 20 - Price Analysis; Task 1</t>
  </si>
  <si>
    <t>Identify price-related factors to be considered in evaluating each offer/quote.</t>
  </si>
  <si>
    <t>Price-related factors for evaluation</t>
  </si>
  <si>
    <t>ACQ.020.100</t>
  </si>
  <si>
    <t>Solicitation Issuance</t>
  </si>
  <si>
    <t>Provide solicitation to the identified pool of vendors; Publish solicitation in Fedbizopps</t>
  </si>
  <si>
    <t>Activity 12 - Socioeconomic Programs and Set-Asides; Part C - 8(a) Programs; Task 5</t>
  </si>
  <si>
    <t xml:space="preserve">If set-aside for the 8(a) program,  solicit and evaluate offer(s) from 8(a) sources. </t>
  </si>
  <si>
    <t>4.3.2.2
4.3.2.3
4.6.1</t>
  </si>
  <si>
    <t>SS - 71</t>
  </si>
  <si>
    <t>Enable users to document price-related factors to be considered in evaluating each offer/quote. Enable the routing, review, and revision of the document, and where necessary, the approval of such documents.The system needs to make the action available for viewing in the contract file (Tab 14, Cost or Price and Technical Analysis Report) and provide the ability to export the data as a web-form or similar structured manner.</t>
  </si>
  <si>
    <t xml:space="preserve">As an acquisition team member, I need to be able to review and route documents, and depending on the document, may also be required to approve such documents so the CO/CS has what she/he needs to document acquisition decisions.
As a CO/CS, I need to be able to create/upload/import a document that identifies price-related factors to consider in evaluating each offer/quote. I may need to collaborate with the acquisition team to ensure they understand the price-related factors to consider and I may need to route documents for their review, revision, and where necessary, approval of such documents. I also need to be able to access the action in the contract file and export it if necessary. 
</t>
  </si>
  <si>
    <t>3.3.2
3.3.2.1
3.5.1</t>
  </si>
  <si>
    <t>Ensure system can efficiently:
- Create/upload/import a document that identifies price-related factors to consider in evaluating offers/quotes
_ Collaborate with the acquisition team
- Route documents for review and approval as necessary
- Access information in the contract file and export it if necessary</t>
  </si>
  <si>
    <t>APP - 115</t>
  </si>
  <si>
    <t xml:space="preserve">Enable users to solicit and evaluate offers from 8(a) sources. The system also needs to file the action in the contract file (Tab 6, Small Business Set-Aside Determination) and provide the ability to export the data as a web-form or similar structured manner. </t>
  </si>
  <si>
    <t xml:space="preserve">As a CO/CS, I need to be able to send acquisition opportunities to the 8(a) supplier community, both to a specific supplier and as a general posting for the population so I maximize competition and ensure transparency. I need to publish the solicitation in the appropriate venue (e.g., Federal Business Opportunities (FBO), eBuy, etc.) so I comply with authoritative references.  I also need to be able to access the action in the contract file and export it if necessary.  </t>
  </si>
  <si>
    <t>Ensure system can efficiently:
- Create/Upload opportunities (solicitations)
- View opportunities.
- Direct opportunities.
- Access information in the contract file and export it if necessary</t>
  </si>
  <si>
    <t>Activity 20 - Price Analysis; Task 2</t>
  </si>
  <si>
    <t>Enable users to document the evaluation of quotes (technical and price) based on the criteria established in the solicitation. The system needs to make the action available for viewing in the contract file (Tab 44, Award Decision Documentation) and provide the ability to export the data as a web-form or similar structured manner.</t>
  </si>
  <si>
    <t>Price for evaluation</t>
  </si>
  <si>
    <t>Enable users to document price analysis and the determination that the final price is fair and reasonable. Enable the routing, review, and revision of such determinations, and where necessary, the approval of such documents. The system needs to make the action available for viewing in the contract file (Tab 14, Cost or Price and Technical Analysis Report)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</si>
  <si>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be able to evaluate offers using a variety of price analysis techniques in order to determine a fair and reasonable price as required by authoritative references. I may need to collaborate with the acquisition team and route documents for review and approval.  I also need to be able to access the action in the contract file and export it if necessary.</t>
  </si>
  <si>
    <t xml:space="preserve">Ensure system can efficiently:
- Create/upload/import the price analysis
- Collaborate with the acquisition team
- Route documents for review and approval
- Access information in the contract file and export it if necessary
</t>
  </si>
  <si>
    <t>Activity 20 - Price Analysis; Task 3</t>
  </si>
  <si>
    <t>Estimate a fair and reasonable price.</t>
  </si>
  <si>
    <t>Activity 14 - Federal Supply Schedules; Part C - Procedures for Placing Orders and Establishing a BPA Against an FSS Contract When a Statement of Work (SOW) is Not Required; Task 2a</t>
  </si>
  <si>
    <t xml:space="preserve">Either post the RFQ on e-Buy or provide the RFQ to as many Schedule contractors as practicable. </t>
  </si>
  <si>
    <t>4.3.2.1
4.3.2.2
4.3.2.3
4.3.2.4
4.6.1</t>
  </si>
  <si>
    <t>SS - 72</t>
  </si>
  <si>
    <t>Enable users to retrieve from the contract file information such as IGCE/IGPEs, market research, commercial pricing, etc. to assist in price analysis and in making a determination that the final price is fair and reasonable. Enable the routing, review, and revision of such determinations, and where necessary, the approval of such documents. The system needs to make the action available for viewing in the contract file (Tab 14, Cost or Price and Technical Analysis Report)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</si>
  <si>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be able to evaluate offers using a variety of price analysis techniques and review the contract file for market research information, IGCE/IGPEs, etc. in order to determine a fair and reasonable price as required by authoritative references. I may need to collaborate with the acquisition team and route documents for review and approval.  I also need to be able to access the action in the contract file and export it if necessary.</t>
  </si>
  <si>
    <t xml:space="preserve">Ensure system can efficiently:
- Retrieve contract file contents to assist in price analysis
- Collaborate with the acquisition team
- Route documents for review and approval
- Access information in the contract file and export it if necessary
</t>
  </si>
  <si>
    <t>Activity 20 - Price Analysis; Task 4</t>
  </si>
  <si>
    <t>Determine the apparent reasons for any significant difference between the government estimate and the apparent successful offer/quote.</t>
  </si>
  <si>
    <t>3.3.1
3.3.1.1
3.3.1.2
3.3.2
3.3.2.1
3.5.1
*</t>
  </si>
  <si>
    <t>APP - 116</t>
  </si>
  <si>
    <t>Enable users to provide an RFQ to the supplier community and publish the RFQ in the appropriate venue (e.g., eBuy, reverse action, etc.). The system also needs to file the action in the contract file (Tab 10, RFQ/RFP and Amendments) and provide the ability to export the data as a web-form or similar structured manner.</t>
  </si>
  <si>
    <t xml:space="preserve">As a CO/CS, I need to be able to send acquisition opportunities to the Federal Supply Schedule supplier community, both to a specific supplier and as a general posting for the population so I maximize competition and ensure transparency. I need to publish the RFQ in the appropriate venue (e.g., eBuy, reverse action, etc.) so I comply with authoritative references.  I also need to be able to access the action in the contract file and export it if necessary.  </t>
  </si>
  <si>
    <t>Ensure system can efficiently:
- Publish opportunities.
- View opportunities.
- Direct opportunities.
- Access information in the contract file and export it if necessary</t>
  </si>
  <si>
    <t>Activity 14 - Federal Supply Schedules; Part D - Procedures for Placing an Order for Services and Establishing a BPA Against an FSS Contract When a Statement of Work (SOW) is Required; Task 3a (Note--There is no Task 3)</t>
  </si>
  <si>
    <t>For proposed orders exceeding the micro-purchase threshold but not exceeding the SAT, provide the RFQ to at least three Schedule contractors.</t>
  </si>
  <si>
    <t>SS - 73</t>
  </si>
  <si>
    <t>Enable users to document price analysis and the determination of the reasons for significant difference between the IGCE/IGPE and the offer/quote as calculated by the system. Enable the routing, review, and revision of such determinations, and where necessary, the approval of such documents. The system needs to make the action available for viewing in the contract file (Tab 14, Cost or Price and Technical Analysis Report)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</si>
  <si>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be able to explain differences between the IGCE/IGPE and the apparent successful offer/quote in order to determine a fair and reasonable price as required by authoritative references. I may need to collaborate with the acquisition team and route documents for review and approval.  I also need to be able to access the action in the contract file and export it if necessary.</t>
  </si>
  <si>
    <t xml:space="preserve">Ensure system can efficiently:
- Calculate pricing differences
- Create/upload/import the price analysis
- Collaborate with the acquisition team
- Route documents for review and approval
- Access information in the contract file and export it if necessary
</t>
  </si>
  <si>
    <t>Activity 20 - Price Analysis; Task 5</t>
  </si>
  <si>
    <t>Make price-related pre award decisions.</t>
  </si>
  <si>
    <t>Activity 14 - Federal Supply Schedules; Part D - Procedures for Placing an Order for Services and Establishing a BPA Against an FSS Contract When a Statement of Work (SOW) is Required; Task 3b</t>
  </si>
  <si>
    <t xml:space="preserve">For proposed orders exceeding the SAT, either post the RFQ on e-Buy or provide the RFQ to as many Schedule contractors as practicable. </t>
  </si>
  <si>
    <t>SS - 74</t>
  </si>
  <si>
    <t>Enable users to document the price analysis used to make price-related pre award decisions that the price is fair and reasonable. Enable the routing, review, and revision of such documents, and where necessary, the approval of such documents. The system needs to make the action available for viewing in the contract file (Tab 14, Cost or Price and Technical Analysis Report)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</si>
  <si>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be able to document my price analysis and price-related pre award decisions I've made in order to determine a fair and reasonable price as required by authoritative references. I may need to collaborate with the acquisition team and route documents for review and approval.  I also need to be able to access the action in the contract file and export it if necessary.</t>
  </si>
  <si>
    <t xml:space="preserve">Ensure system can efficiently:
- Create/upload/import the price analysis and price-related pre award decisions made
- Collaborate with the acquisition team
- Route documents for review and approval
- Access information in the contract file and export it if necessary
</t>
  </si>
  <si>
    <t>Activity 14 - Federal Supply Schedules; Part D - Procedures for Placing an Order for Services and Establishing a BPA Against an FSS Contract When a Statement of Work (SOW) is Required; Task 6</t>
  </si>
  <si>
    <t xml:space="preserve">For multiple-award BPA orders exceeding the SAT, provide an RFQ to all BPA holders. </t>
  </si>
  <si>
    <t>3.3.1
3.3.1.2
3.3.2
3.3.2.1
3.5.1
*</t>
  </si>
  <si>
    <t>APP - 117</t>
  </si>
  <si>
    <t>Enable users to provide an RFQ to BPA holders and publish the RFQ in the appropriate venue (e.g., eBuy, reverse action, etc.). The system also needs to file the action in the contract file (Tab 10, RFQ/RFP and Amendments) and provide the ability to export the data as a web-form or similar structured manner.</t>
  </si>
  <si>
    <t xml:space="preserve">As a CO/CS, I need to be able to send acquisition opportunities to the Federal Supply Schedule BPA holders so I maximize competition and ensure transparency. I need to publish the RFQ in the appropriate venue (e.g., eBuy, reverse action, etc.) so I comply with authoritative references.  I also need to be able to access the action in the contract file and export it if necessary.  </t>
  </si>
  <si>
    <t>Activity 20 - Price Analysis; Task 6</t>
  </si>
  <si>
    <t>Document the , related decisions, and pricing objectives.</t>
  </si>
  <si>
    <t>pre negotiation memorandum &amp; contract file</t>
  </si>
  <si>
    <t>Activity 14 - Federal Supply Schedules; Part E - Procedures for Placing Orders Under BPAs Established Against FSS Contracts; Task 3</t>
  </si>
  <si>
    <t xml:space="preserve">If using FSS, for multiple-award BPAs where the order exceeds the micro-purchase threshold but not the SAT, provide each multiple-award BPA holder a fair opportunity to be considered. </t>
  </si>
  <si>
    <t>4.3.2.1
4.3.2.2
4.3.2.3
4.3.2.4
4.4.1
4.4.2
4.6.1</t>
  </si>
  <si>
    <t>SS - 75</t>
  </si>
  <si>
    <t>Enable users to document the price analysis, related decisions and pricing objectives into a pre negotiation memorandum. Enable the routing, review, and revision of such documents, and where necessary, the approval of such documents. The system needs to make the action available for viewing in the contract file (Tab 14, Cost or Price and Technical Analysis Report)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</si>
  <si>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be able to document my price analysis, related decisions, and pricing objectives in a pre negotiation memorandum in order to determine a fair and reasonable price and/or establish negotiation objectives as required by authoritative references. I may need to collaborate with the acquisition team and route documents for review and approval.  I also need to be able to access the action in the contract file and export it if necessary.</t>
  </si>
  <si>
    <t xml:space="preserve">Ensure system can efficiently:
- Create/upload/import the price analysis, related decisions, and pricing objectives in a pre negotiation memorandum
- Collaborate with the acquisition team
- Route documents for review and approval
- Access information in the contract file and export it if necessary
</t>
  </si>
  <si>
    <t>Activity 21 - Cost Analysis; Task 1</t>
  </si>
  <si>
    <t>Based on the solicitation requirements and type of contract, determine if cost analysis is appropriate.</t>
  </si>
  <si>
    <t>Determination to conduct cost analysis</t>
  </si>
  <si>
    <t>Activity 14 - Federal Supply Schedules; Part E - Procedures for Placing Orders Under BPAs Established Against FSS Contracts; Task 4</t>
  </si>
  <si>
    <t>RFQ, Competition</t>
  </si>
  <si>
    <t>Activity 15 - Simplified Acquisition Procedures; Part A - Simplified Acquisition Procedures; Part 3(b)(iii) (Note--Task 3(b)(ii) is in ACQ.020.080 Solicitation Documentation Development)</t>
  </si>
  <si>
    <t xml:space="preserve">Solicit quotations for the noncommercial item valued at or below the SAT. </t>
  </si>
  <si>
    <t>Solicitation, Competition</t>
  </si>
  <si>
    <t>4.3.2.3
4.6.1</t>
  </si>
  <si>
    <t>APP - 118</t>
  </si>
  <si>
    <t>Enable users to provide the solicitation to the supplier community and publish the notice &amp; solicitation in the appropriate venue (e.g., Federal Business Opportunities (FBO) eBuy, etc.) to seek maximum practical competition. The system also needs to file the action in the contract file (Tab 10, RFQ/RFP and Amendments) and provide the ability to export the data as a web-form or similar structured manner.</t>
  </si>
  <si>
    <t xml:space="preserve">As a CO/CS, I need to be able to send acquisition opportunities to the supplier community, both to a specific supplier and as a general posting for the population so I maximize competition and ensure transparency. I need to publish the notice and solicitation in the appropriate venue (e.g., Federal Business Opportunities (FBO), eBuy) so I comply with authoritative references.  I also need to be able to access the action in the contract file and export it if necessary.  </t>
  </si>
  <si>
    <t>SS - 76</t>
  </si>
  <si>
    <t>Enable users to document the determination if cost analysis is appropriate in the pre negotiation memorandum or award decision document. Enable the routing, review, and revision of such documents, and where necessary, the approval of such documents. The system needs to make the action available for viewing in the contract file (Tab 14, Cost or Price and Technical Analysis Report)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</si>
  <si>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be able to determine if cost analysis is appropriate in order to determine a fair and reasonable price as required by authoritative references. I may need to collaborate with the acquisition team and route documents for review and approval.  I also need to be able to access the action in the contract file and export it if necessary.</t>
  </si>
  <si>
    <t xml:space="preserve">Ensure system can efficiently:
- Create/upload/import the determination in the pre negotiation memorandum or award decision document
- Collaborate with the acquisition team
- Route documents for review and approval
- Access information in the contract file and export it if necessary
</t>
  </si>
  <si>
    <t>Activity 15 - Simplified Acquisition Procedures; Part B - Simplified Acquisition Procedures--Blanket Purchase Agreements; Task 3</t>
  </si>
  <si>
    <t xml:space="preserve">Prepare the BPA. </t>
  </si>
  <si>
    <t>BPA</t>
  </si>
  <si>
    <t>Activity 21 - Cost Analysis; Task 2</t>
  </si>
  <si>
    <t>Collect and review government cost
estimates, reports, analyses, and
other data related to the cost
analysis.</t>
  </si>
  <si>
    <t>Cost analysis</t>
  </si>
  <si>
    <t>SS - 77</t>
  </si>
  <si>
    <t>Enable users to retrieve from the contract file information such as IGCE/IGPEs, market research, commercial pricing, etc. to assist in cost analysis and in making a determination that the final price is fair and reasonable. Enable the routing, review, and revision of such documents, and where necessary, the approval of such documents. The system needs to make the action available for viewing in the contract file (Tab 14, Cost or Price and Technical Analysis Report).</t>
  </si>
  <si>
    <t>As an acquisition team member, I need to be able to review and route documents, and depending on the document, may also be required to approve such documents so the CO/CS has what she/he needs to document acquisition decisions. 
As a CO/CS, I need to be able to evaluate offers using a variety of price/cost analysis techniques and review the contract file for market research information, IGCE/IGPEs, etc. in order to determine a fair and reasonable price as required by authoritative references. I may need to collaborate with the acquisition team and route documents for review and approval.  I also need to be able to access the action in the contract file and export it if necessary.</t>
  </si>
  <si>
    <t xml:space="preserve">Ensure system can efficiently:
- Retrieve contract file contents to assist in cost analysis
- Collaborate with the acquisition team
- Route documents for review and approval
- Access information in the contract file and export it if necessary
</t>
  </si>
  <si>
    <t>Activity 15 - Simplified Acquisition Procedures; Part B - Simplified Acquisition Procedures--Blanket Purchase Agreements; Task 6</t>
  </si>
  <si>
    <t xml:space="preserve">Seek maximum practicable competition. </t>
  </si>
  <si>
    <t>Activity 21 - Cost Analysis; Task 3</t>
  </si>
  <si>
    <t>Determine the level of cost analysis
required to evaluate the
reasonableness of cost elements or
cost realism.</t>
  </si>
  <si>
    <t>SS - 78</t>
  </si>
  <si>
    <t>ACQ.020.110</t>
  </si>
  <si>
    <t>Enable users to document the determination (in the pre negotiation memorandum or award decision document) of the level of cost analysis required to evaluate the reasonableness of cost elements or cost realism and make a determination that the final price is fair and reasonable. Enable the routing, review, and revision of such documents, and where necessary, the approval of such documents. The system needs to make the action available for viewing in the contract file (Tab 14, Cost or Price and Technical Analysis Report) and provide the ability to export the data as a web-form or similar structured manner.</t>
  </si>
  <si>
    <t>Pre-Proposal Conferences</t>
  </si>
  <si>
    <t>Conduct events with industry to present solicitation information and respond to questions; Includes conducting bidders conferences</t>
  </si>
  <si>
    <t>As an acquisition team member, I need to be able to review and route documents, and depending on the document, may also be required to approve such documents so the CO/CS has what she/he needs to document acquisition decisions. 
As a CO/CS, I need to be able to determine the level of cost analysis required to evaluate the reasonableness of cost elements or cost realism in order to determine a fair and reasonable price as required by authoritative references. I may need to collaborate with the acquisition team and route documents for review and approval.  I also need to be able to access the action in the contract file and export it if necessary.</t>
  </si>
  <si>
    <t>Activity 18 - Contracting by Negotiation; Task 11 (Note--Task 10 is under ACQ.020.080 Solicitation Documentation Development)</t>
  </si>
  <si>
    <t>When applicable, hold pre-proposal conference.</t>
  </si>
  <si>
    <t>Meeting minutes/ Presentation/ Transcript/Recording</t>
  </si>
  <si>
    <t>Activity 21 - Cost Analysis; Task 4</t>
  </si>
  <si>
    <t>Evaluate each cost element.</t>
  </si>
  <si>
    <t>APP - 119</t>
  </si>
  <si>
    <t xml:space="preserve">Enable users to document pre-proposal conference materials. This includes, but is not limited to, RSVPs, attendance lists, questions, briefing decks, audio/video recordings, transcripts, etc. The system also needs to file the action in the contract file (Tab 9, Pre-Solicitation Notices/Conferences) and provide the ability to export the data as a web-form or similar structured manner.  </t>
  </si>
  <si>
    <t xml:space="preserve">As the PMO, I need to be able to review the pre-proposal activities and questions from potential offerors and determine whether adjustments to the acquisition are necessary so my requirements are clearly understood by industry. I need to collaborate with my CO/CS on any changes to the acquisition. 
As a CO/CS, I need to be able to review the pre-proposal events and determine what adjustments are necessary so the government's requirements are clearly understood and competition is maximized. I will need to collaborate with my PMO or other stakeholders such as customers and legal counsel. I may need to distribute meeting minutes/presentation/ transcripts/recordings to participants.  I also need to be able to access the action in the contract file and export it if necessary. </t>
  </si>
  <si>
    <t>Ensure system can efficiently:
- Create/upload pre-proposal conference materials.
- Collaborate with PMO, customers and stakeholders.
- Document any adjustments to the acquisition.
- Distribute pre-proposal conference materials to interested parties
- Access information in the contract file and export it if necessary</t>
  </si>
  <si>
    <t>SS - 79</t>
  </si>
  <si>
    <t>Enable users to document the evaluation of each cost element. Enable the routing, review, and revision of such documents, and where necessary, the approval of such documents. The system needs to make the action available for viewing in the contract file (Tab 14, Cost or Price and Technical Analysis Report)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</si>
  <si>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be able to evaluate each cost element to evaluate the reasonableness of cost elements or cost realism in order to determine a fair and reasonable price as required by authoritative references. I may need to collaborate with the acquisition team and route documents for review and approval.  I also need to be able to access the action in the contract file and export it if necessary.</t>
  </si>
  <si>
    <t xml:space="preserve">Ensure system can efficiently:
- Create/upload/import the evaluation
- Collaborate with the acquisition team
- Route documents for review and approval
- Access information in the contract file and export it if necessary
</t>
  </si>
  <si>
    <t>Activity 21 - Cost Analysis; Task 4a</t>
  </si>
  <si>
    <t>Evaluate direct labor costs.</t>
  </si>
  <si>
    <t>Activity 21 - Cost Analysis; Task 4b</t>
  </si>
  <si>
    <t>ACQ.020.120</t>
  </si>
  <si>
    <t>Disposition of Solicitation Questions</t>
  </si>
  <si>
    <t>Evaluate labor hours.</t>
  </si>
  <si>
    <t>Develop and document responses to questions submitted by offerors</t>
  </si>
  <si>
    <t>Activity 18 - Contracting by Negotiation; Task 12 (Note--Task 11 is under ACQ.020.100 Solicitation Issuance)</t>
  </si>
  <si>
    <t>Respond to questions from potential offerors, if any.</t>
  </si>
  <si>
    <t>Q&amp;As</t>
  </si>
  <si>
    <t>3.4.1.1
3.4.1.2
3.4.1.3
3.4.1.4
3.5.1</t>
  </si>
  <si>
    <t>APP - 120</t>
  </si>
  <si>
    <t>Enable users to intake questions on the solicitation from potential offerors, if any, and disseminate government responses to solicitation questions.The system also needs to file the action in the contract file (Tab 10, RFQ/RFP and Amendments) and provide the ability to export the data as a web-form or similar structured manner.</t>
  </si>
  <si>
    <t xml:space="preserve">As the PMO, I need to be able to review questions from potential offerors on a solicitation and draft responses to those questions for my CO/CS to review and approve. 
As a CO/CS, I need to keep track of questions from potential offerors and respond to them so suppliers can fully understand the government's requirements and respond to them appropriately. This may involve coordination with my PMO.  I also need to be able to access the action in the contract file and export it if necessary. </t>
  </si>
  <si>
    <t>Ensure system can efficiently:
- Send the government questions.
- Answer supplier questions.
- Route Q&amp;As to designated users for review and approval.
- Access information in the contract file and export it if necessary</t>
  </si>
  <si>
    <t>Activity 21 - Cost Analysis; Task 4c</t>
  </si>
  <si>
    <t>Analyze labor rates for each labor
category listed in each proposal.</t>
  </si>
  <si>
    <t>Activity 21 - Cost Analysis; Task 4d</t>
  </si>
  <si>
    <t>Analyze the indirect costs in each
proposal.</t>
  </si>
  <si>
    <t>ACQ.020.130</t>
  </si>
  <si>
    <t>Solicitation Amendment</t>
  </si>
  <si>
    <t>Develop and issue amendments to the solicitation (e.g., changes to the specifications, terms or conditions, or quantities required); Includes amending solicitation based on pre-proposal conference feedback and solicitation questions</t>
  </si>
  <si>
    <t>Activity 16 - Sealed Bidding; Part A - Sealed Bidding; Task 6 (Note--Task 5 is in ACQ.020.090 Pre-Solicitation Communications)</t>
  </si>
  <si>
    <t>When applicable, amend the IFB.</t>
  </si>
  <si>
    <t>3.4.2.1
3.4.2.2
3.4.2.3
3.5.1
*</t>
  </si>
  <si>
    <t>Activity 21 - Cost Analysis; Task 4e</t>
  </si>
  <si>
    <t>Analyze other direct costs in each
proposal.</t>
  </si>
  <si>
    <t>APP - 121</t>
  </si>
  <si>
    <t xml:space="preserve">Enable users to document the notice to amend the IFB and post the notice in the appropriate venue (e.g., Federal Business Opportunities (FBO), eBuy, etc.). The system also needs to document the contract file (Tab 8, Synopsis/Advertisement).  </t>
  </si>
  <si>
    <t xml:space="preserve">As a CO/CS, I need the ability to create/upload the amendment and post the notice in the applicable bid opportunity site (e.g., Federal Business Opportunities (FBO), eBuy, etc.) that the IFB has been amended so interested parties are kept apprised of the posted opportunity.  I also need to be able to access the action in the contract file and export it if necessary. </t>
  </si>
  <si>
    <t>Ensure system can efficiently:
- Create/upload notice.
- Issue notices.
- Amend IFBs.
- Access information in the contract file and export it if necessary</t>
  </si>
  <si>
    <t>Activity 21 - Cost Analysis; Task 5</t>
  </si>
  <si>
    <t>Develop a pre negotiation position.</t>
  </si>
  <si>
    <t>pre negotiation memorandum or award decision document if no negotiation are necessary</t>
  </si>
  <si>
    <t>Activity 16 - Sealed Bidding; Part A - Sealed Bidding; Task 7</t>
  </si>
  <si>
    <t xml:space="preserve">When necessary, postpone bid opening. </t>
  </si>
  <si>
    <t>APP - 122</t>
  </si>
  <si>
    <t xml:space="preserve">Enable users to document the notice to postpone bid opening and post the notice  in the appropriate venue (e.g., Federal Business Opportunities (FBO), eBuy, etc.). The system also needs to file the action in the contract file (Tab 8, Synopsis/Advertisement) and provide the ability to export the data as a web-form or similar structured manner.  </t>
  </si>
  <si>
    <t xml:space="preserve">As a CO/CS, I need the ability to create/upload the notice to postpone bid opening and post the notice in the applicable bid opportunity site (e.g., Federal Business Opportunities (FBO), eBuy, etc.) so interested parties are kept apprised of the posted opportunity.  I also need to be able to access the action in the contract file and export it if necessary. </t>
  </si>
  <si>
    <t>Ensure system can efficiently:
- Create/upload notice.
- Issue notices.
- Postpone solicitations.
- Access information in the contract file and export it if necessary</t>
  </si>
  <si>
    <t>4.4.1
4.4.2
4.6.1</t>
  </si>
  <si>
    <t>Activity 16 - Sealed Bidding; Part A - Sealed Bidding; Task 8</t>
  </si>
  <si>
    <t>Determine whether cancellation of the IFB prior to bid opening is appropriate</t>
  </si>
  <si>
    <t>Determination of IFB cancellation</t>
  </si>
  <si>
    <t>SS - 80</t>
  </si>
  <si>
    <t>Enable users to document the pre negotiation memorandum or award decision document if no negotiations are necessary. Enable the routing, review, and revision of such documents, and where necessary, the approval of such documents. The system needs to make the action available for viewing in the contract file (Tab 14, Cost or Price and Technical Analysis Report)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</si>
  <si>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be able to create/upload/import a pre negotiation memorandum (or award decision document if no negotiation are necessary) that documents my evaluation of the offer/quote and establish pre negotiation objectives in order to determine a fair and reasonable price as required by authoritative references. I may need to collaborate with the acquisition team and route documents for review and approval.  I also need to be able to access the action in the contract file and export it if necessary.</t>
  </si>
  <si>
    <t xml:space="preserve">Ensure system can efficiently:
- Create/upload/import the pre negotiation memorandum or award decision document if no negotiations are necessary
- Collaborate with the acquisition team
- Route documents for review and approval
- Access information in the contract file and export it if necessary
</t>
  </si>
  <si>
    <t>APP - 123</t>
  </si>
  <si>
    <t xml:space="preserve">Enable users to document the determination whether cancellation of the invitation for bid prior to bid opening is appropriate. The system also needs to file the action in the contract file (Tab 8, Synopsis/Advertisement) and provide the ability to export the data as a web-form or similar structured manner.  </t>
  </si>
  <si>
    <t>As a CO/CS, I need to document the determination whether to cancel the invitation for bid prior to bid opening. I also need to document the contract file so I have a record of the determination to cancel a solicitation.</t>
  </si>
  <si>
    <t>Ensure system can efficiently:
- Create/upload determination
- Issue notices.
- Cancel solicitations.
- Access information in the contract file and export it if necessary</t>
  </si>
  <si>
    <t>Activity 22 - Responsibility Determination; Part A - Responsibility for Contractors and Subcontractors; Task 1</t>
  </si>
  <si>
    <t>If the award is over the simplified acquisition threshold (SAT), review the Federal Awardee Performance and Integrity Information System (FAPIIS).</t>
  </si>
  <si>
    <t>FAPIIS review</t>
  </si>
  <si>
    <t>4.3.1.i
4.3.1.2
4.6.1
*</t>
  </si>
  <si>
    <t>SS - 81</t>
  </si>
  <si>
    <t>Enable users to document the determination that the offeror is responsible in the pre negotiation memorandum or award decision document if negotiations are not necessary. The CWS shall minimize the number of systems the user must access to reach this determination. It is desired that the CWS seamlessly validate and capture the following: 1) the offeror is registered in SAM; 2) the offeror is not on the exclusions list; 3) FAPIIS records are checked; 4) EEO clearances (as applicable); and 5) the offeror has adequate financials. The system needs to make the action available for viewing in the contract file (Tab 17, Responsibility Determination) and provide the ability to export the data as a web-form or similar structured manner.</t>
  </si>
  <si>
    <t>As a CO/CS, I need to be able to create/upload/import my determination in the pre negotiation memorandum or award decision document if no negotiations are necessary that the offeror is responsible so I comply with the authoritative references. I want to minimize the number of systems I need to interact with to help me make this determination by having the CWS populate this information in my template/document for me. This includes SAM registration, SAM exclusions, FAPIIS records, EEO clearances (as applicable), and financial records.  I also need to be able to access the action in the contract file and export it if necessary.   with the records that demonstrate responsibility (Tab 17, Responsibility Determination).</t>
  </si>
  <si>
    <t>Ensure system can efficiently:
- Create/upload/import the responsibility determination in the pre negotiation memorandum or award decision document if negotiations are not necessary
- Minimize the number of systems that need to be accessed to reach this determination
- Capture the record that demonstrates responsibility
- Access information in the contract file and export it if necessary</t>
  </si>
  <si>
    <t>Activity 18 - Contracting by Negotiation; Task 13 (Note--Task 12 is under ACQ.020.120 Disposition of Solicitation Questions)</t>
  </si>
  <si>
    <t>Activity 22 - Responsibility Determination; Part A - Responsibility for Contractors and Subcontractors; Task 2</t>
  </si>
  <si>
    <t>Determine if the solicitation must be amended or canceled.</t>
  </si>
  <si>
    <t>Request further information if relevant information from FAPIIS involves criminal, civil, or administrative proceedings in connection with the award.</t>
  </si>
  <si>
    <t>Letter to offeror</t>
  </si>
  <si>
    <t>3.4.2.2
3.4.3
3.5.1</t>
  </si>
  <si>
    <t>SS - 82</t>
  </si>
  <si>
    <t>Enable users to document the findings from the FAPIIS review in the pre negotiation memorandum or award decision document if negotiations are not necessary and request further information if there are any concerns in connection with the award. Enable the routing, review, and revision of such documents amongst the acquisition team, and where necessary, the approval of such documents. The system needs to make the action available for viewing in the contract file (Tab 17, Responsibility Determination) and provide the ability to export the data as a web-form or similar structured manner.</t>
  </si>
  <si>
    <t>APP - 124</t>
  </si>
  <si>
    <t>As a supplier, I need to be able to respond to requests for information or review documents, and depending on the document, may also be required to revise them or resubmit additional information so the CO/CS has what she/he needs to review my offer/quote. 
As a CO/CS, I need to be able to document the FAPIIS findings and request further information if the findings raise concern in connection with the award. I may need to collaborate with the acquisition team and route documents for review and approval.  I also need to be able to access the action in the contract file and export it if necessary.</t>
  </si>
  <si>
    <t xml:space="preserve">Enable users to document the determination to amend or cancel a solicitation.The system also needs to file the action in the contract file (Tab 8, Synopsis/Advertisement) and provide the ability to export the data as a web-form or similar structured manner.  </t>
  </si>
  <si>
    <t xml:space="preserve">As a CO/CS, I need to document the determination to amend or cancel a solicitation.  I also need to be able to access the action in the contract file and export it if necessary. </t>
  </si>
  <si>
    <t xml:space="preserve">Ensure system can efficiently:
- Create/upload/import the findings in the pre negotiation memorandum or award decision document if negotiations are not necessary
- Create/upload/import the request for information
- Collaborate with the supplier and receive responses to requests for information
- Route requests for information or documents for review or revision
- Access information in the contract file and export it if necessary
</t>
  </si>
  <si>
    <t>Ensure system can efficiently:
- Create/upload the determination to amend or cancel the solicitation.
- Access information in the contract file and export it if necessary</t>
  </si>
  <si>
    <t>Activity 22 - Responsibility Determination; Part A - Responsibility for Contractors and Subcontractors; Task 3</t>
  </si>
  <si>
    <t>Document in the contract file how the information in FAPIIS was considered in any responsibility determination.</t>
  </si>
  <si>
    <t>Activity 18 - Contracting by Negotiation; Task 13a</t>
  </si>
  <si>
    <t>Before receipt of offers, issue the solicitation amendment notice.</t>
  </si>
  <si>
    <t>4.3.1.i
4.3.1.ii
4.3.1.iii
4.3.1.iv
4.6.1
EEO is Unidentified in Maps</t>
  </si>
  <si>
    <t>3.4.2
3.4.3
3.5.1</t>
  </si>
  <si>
    <t>APP - 125</t>
  </si>
  <si>
    <t xml:space="preserve">Enable users to document the notice of amendment, the solicitation amendment, and issue the notice in the appropriate venue (e.g., Federal Business Opportunities (FBO), eBuy, etc.) and amend the solicitation. The system also needs to file the action in the contract file (Tab 8, Synopsis/Advertisement) and provide the ability to export the data as a web-form or similar structured manner.  </t>
  </si>
  <si>
    <t xml:space="preserve">As a CO/CS, I need the ability to create/upload the notice of amendment, the solicitation amendment, and issue a notice of solicitation cancellation in the applicable bid opportunity site (e.g., Federal Business Opportunities (FBO), eBuy, etc.) and cancel the solicitation so interested parties are kept apprised of the posted opportunity.  I also need to be able to access the action in the contract file and export it if necessary. </t>
  </si>
  <si>
    <t>Ensure system can efficiently:
- Create/upload the notice and amendment
- Issue notices.
- Cancel solicitations.
- Access information in the contract file and export it if necessary</t>
  </si>
  <si>
    <t>Activity 18 - Contracting by Negotiation; Task 13b</t>
  </si>
  <si>
    <t>Before receipt of offers, issue the cancelation notice.</t>
  </si>
  <si>
    <t>Notice and returned proposals</t>
  </si>
  <si>
    <t>Activity 22 - Responsibility Determination; Part A - Responsibility for Contractors and Subcontractors; Task 4</t>
  </si>
  <si>
    <t>Review the List of Parties Excluded from Federal Procurement and Nonprocurement Programs to determine whether the prospective contractor is debarred, suspended, proposed for debarment, or
otherwise ineligible for the contract. Do this on receipt of initial offer and just prior to award.</t>
  </si>
  <si>
    <t xml:space="preserve">Enable users to document the notice of amendment and the solicitation amendment itself and issue the notice in the appropriate venue (e.g., Federal Business Opportunities (FBO), eBuy, etc.) and cancel the solicitation. The system also needs to file the action in the contract file (Tab 8, Synopsis/Advertisement) and provide the ability to export the data as a web-form or similar structured manner.  </t>
  </si>
  <si>
    <t>SAM review and document contract file</t>
  </si>
  <si>
    <t>Activity 22 - Responsibility Determination; Part A - Responsibility for Contractors and Subcontractors; Task 5</t>
  </si>
  <si>
    <t>Review the List of Parties Excluded from Federal Procurement and Nonprocurement Programs to determine whether a proposed subcontractor requiring government consent is debarred, suspended, proposed for debarment, or otherwise ineligible for the contract. Do this on receipt of offers and just prior to award of a contract</t>
  </si>
  <si>
    <t>Activity 22 - Responsibility Determination; Part A - Responsibility for Contractors and Subcontractors; Task 6</t>
  </si>
  <si>
    <t>Identify information that can be used to support a determination on the prospective contractor’s responsibility.</t>
  </si>
  <si>
    <t>Information review</t>
  </si>
  <si>
    <t>Activity 22 - Responsibility Determination; Part A - Responsibility for Contractors and Subcontractors; Task 7</t>
  </si>
  <si>
    <t>Evaluate the prospective offeror’s responsibility using both general standards of responsibility and any special standards established in the solicitation.</t>
  </si>
  <si>
    <t>Activity 22 - Responsibility Determination; Part A - Responsibility for Contractors and Subcontractors; Task 8</t>
  </si>
  <si>
    <t>Determine whether to request a Pre Award survey.</t>
  </si>
  <si>
    <t>Determination to request Pre Award survey</t>
  </si>
  <si>
    <t>SS - 83</t>
  </si>
  <si>
    <t>Enable users document the determination whether to request a Pre Award survey. The system needs to make the action available for viewing in the contract file (Tab 17, Responsibility Determination) and provide the ability to export the data as a web-form or similar structured manner.</t>
  </si>
  <si>
    <t xml:space="preserve">As a CO/CS, I need to be able to determine whether to request a Pre Award survey so I can determine that the offeror is responsible.  I also need to be able to access the action in the contract file and export it if necessary. </t>
  </si>
  <si>
    <t>Activity 22 - Responsibility Determination; Part A - Responsibility for Contractors and Subcontractors; Task 9</t>
  </si>
  <si>
    <t>Prepare and submit the request for a Pre Award survey, if applicable.</t>
  </si>
  <si>
    <t>SF 1403</t>
  </si>
  <si>
    <t>SS - 84</t>
  </si>
  <si>
    <t>Enable users to document the request for a Pre Award survey, if applicable. Enable the routing, review, and revision of such documents, and where necessary, the approval of such documents. The system needs to make the action available for viewing in the contract file (Tab 17, Responsibility Determination) and provide the ability to export the data as a web-form or similar structured manner.</t>
  </si>
  <si>
    <t xml:space="preserve">As an acquisition team member, I need to be able to review and route documents, and depending on the document, may also be required to approve such documents so the CO/CS has what she/he needs to document acquisition decisions. 
As a CO/CS, I need to be able to determine whether to request a Pre Award survey so I can determine that the offeror is responsible.  I also need to be able to access the action in the contract file and export it if necessary. </t>
  </si>
  <si>
    <t xml:space="preserve">Ensure system can efficiently:
- Create/upload/import the request for Pre Award survey
- Collaborate with the acquisition team
- Route documents for review and approval
- Access information in the contract file and export it if necessary
</t>
  </si>
  <si>
    <t>Activity 22 - Responsibility Determination; Part A - Responsibility for Contractors and Subcontractors; Task 10</t>
  </si>
  <si>
    <t>Determine prospective contractor responsibility or nonresponsibility.</t>
  </si>
  <si>
    <t>Contractor responsibility determination</t>
  </si>
  <si>
    <t>Activity 22 - Responsibility Determination; Part A - Responsibility for Contractors and Subcontractors; Task 11</t>
  </si>
  <si>
    <t>Obtain Department of Labor equal employment opportunity clearance for contracts or subcontracts with an estimated price of $10 million or more.</t>
  </si>
  <si>
    <t>EEO clearance</t>
  </si>
  <si>
    <t>4.3.1.i
4.3.1.ii
4.3.1.iii
4.3.1.iv
4.6.1
*
EEO is Unidentified in Maps</t>
  </si>
  <si>
    <t>Activity 22 - Responsibility Determination; Part B - Responsibility for Small Business Concerns; Task 1</t>
  </si>
  <si>
    <t>Determine if the apparent successful offeror lacks certain elements of responsibility.</t>
  </si>
  <si>
    <t>Determination that offeror lacks certain elements of responsibility</t>
  </si>
  <si>
    <t>4.3.1
4.6.1
*</t>
  </si>
  <si>
    <t>SS - 85</t>
  </si>
  <si>
    <t>Enable users to document the determination that the offeror lacks certain elements of responsibility. The system needs to make the action available for viewing in the contract file (Tab 17, Responsibility Determination) and provide the ability to export the data as a web-form or similar structured manner.</t>
  </si>
  <si>
    <t>As a CO/CS, I need to be able to create/upload/import my determination that the offeror is not responsible so I comply with the authoritative references.  I also need to be able to access the action in the contract file and export it if necessary.   with the records that demonstrate the contractor is not responsible (Tab 17, Responsibility Determination).</t>
  </si>
  <si>
    <t>Ensure system can efficiently:
- Create/upload/import the determination
- Capture the records that support the determination
- Access information in the contract file and export it if necessary</t>
  </si>
  <si>
    <t>Activity 22 - Responsibility Determination; Part B - Responsibility for Small Business Concerns; Task 2</t>
  </si>
  <si>
    <t xml:space="preserve">If the apparent successful offeror is responsible, make the award. </t>
  </si>
  <si>
    <t>Award</t>
  </si>
  <si>
    <t>Go to ACQ.030.070 Contract Award Issuance</t>
  </si>
  <si>
    <t>5.1.1
5.1.2
5.5.1
*</t>
  </si>
  <si>
    <t>SS - 86</t>
  </si>
  <si>
    <t>Enable users to create the award/order on a variety of award/order forms - Award/Order is generally made by using the SF 44, Purchase Order-Invoice-Voucher, or OF 347 - Order for Supplies or Services (and OF 348 - Order for Supplies and Services Schedule - Continuation), or the award portion of Standard Form (SF) 33, Solicitation, Offer, and Award, or SF 1447, Solicitation/Contract (see FAR 53.214). If an offer from a SF 33 leads to further changes, the resulting contract shall be prepared as a bilateral document on SF 26, Award/Contract. Award/Order may also be made using the Standard Form 1449, Solicitation/Contract/Order for Commercial Items. In addition to the FAR-based forms, GSA may use the GSA Form 1535, Recommendation for Award(s), and GSA Form 1535-A, Recommendation for Award(s), Continuation Sheet, to document proposed awards. Enable the user to either incorporate by reference or attach documents to the award (e.g., final proposal revisions, subcontracting plans, etc.) as designated by the user. The system needs to make the action available for viewing in the contract file (Tab 23a, Contractual Action) and provide the ability to export the data as a web-form or similar structured manner.</t>
  </si>
  <si>
    <t>As a CO/CS, I need to create the award/order on a variety of forms appropriate to the acquisition and create the award package.  I also need to be able to access the action in the contract file and export it if necessary.</t>
  </si>
  <si>
    <t>Ensure system can efficiently:
- Create the award/order on the appropriate form
- Create the award package
- Access information in the contract file and export it if necessary</t>
  </si>
  <si>
    <t>Activity 22 - Responsibility Determination; Part B - Responsibility for Small Business Concerns; Task 3</t>
  </si>
  <si>
    <t>If the apparent successful offeror lacks certain elements of responsibility, withhold contract award.</t>
  </si>
  <si>
    <t>Determination to withhold award</t>
  </si>
  <si>
    <t>4.3.1.iv
4.6.1</t>
  </si>
  <si>
    <t>SS - 87</t>
  </si>
  <si>
    <t>Enable users to document the determination that the apparent successful small business offeror lacks responsibility.  The CWS shall have the ability to allow the CO, upon determining and documenting that an apparent successful small business offeror lacks certain elements of responsibility, to both withhold contract award and refer the matter to the cognizant SBA Government Contracting Area Office.  Enable the routing, review, and revision of such determinations, and where necessary, the approval of such documents. The CWS shall file documentation concerning the referral in the contract file (Tab 6, Small Business Set Aside Determination).</t>
  </si>
  <si>
    <t>As an acquisition team member, I need to be able to review and route documents, and depending on the document, may also be required to approve such documents so the CO/CS has what she/he needs to document acquisition decisions. 
As a CO/CS, I need to be able create/upload/import the determination that an apparent successful small business offeror lacks certain elements of responsibility. I also need to withhold the contract award and refer the matter to the cognizant SBA Government Area Office.  I also need to be able to access the action in the contract file and export it if necessary.</t>
  </si>
  <si>
    <t>Activity 22 - Responsibility Determination; Part B - Responsibility for Small Business Concerns; Task 4</t>
  </si>
  <si>
    <t>Refer the matter to the cognizant SBA Government Contracting Area Office.</t>
  </si>
  <si>
    <t>Activity 22 - Responsibility Determination; Part B - Responsibility for Small Business Concerns; Task 5</t>
  </si>
  <si>
    <t>Await the SBA determination on the apparent successful offeror’s Certificate of Competency (COC), but make every effort to reach a resolution before the SBA takes final action on the COC.</t>
  </si>
  <si>
    <t>Meet with SBA</t>
  </si>
  <si>
    <t>SS - 88</t>
  </si>
  <si>
    <t>Enable users to document a summary of the meeting with SBA. The system needs to make the action available for viewing in the contract file ((Tab 6, Small Business Set Aside Determination) and provide the ability to export the data as a web-form or similar structured manner.</t>
  </si>
  <si>
    <t>As a CO/CS, I need to be able to document the outcomes of my meeting with the SBA so I have a record of the resolution.  I also need to be able to access the action in the contract file and export it if necessary.</t>
  </si>
  <si>
    <t>Activity 22 - Responsibility Determination; Part B - Responsibility for Small Business Concerns; Task 6</t>
  </si>
  <si>
    <t>If new information causes the contracting officer to determine that the concern is responsible, notify the SBA and withdraw the referral.</t>
  </si>
  <si>
    <t>Withdraw referral</t>
  </si>
  <si>
    <t>SS - 89</t>
  </si>
  <si>
    <t>Enable users to document a request to SBA to withdraw the referral of a COC consideration. The system needs to make the action available for viewing in the contract file (Tab 17, Responsibility Determination) and provide the ability to export the data as a web-form or similar structured manner.</t>
  </si>
  <si>
    <t>As a CO/CS, I need to create/upload/import a request to SBA to withdraw the referral of a COC consideration when I get additional information that demonstrates that a small business is now responsible.  I also need to be able to access the action in the contract file and export it if necessary.</t>
  </si>
  <si>
    <t>Ensure system can efficiently:
- Create/upload/import a request to SBA 
- Withdraw the referral of the small business to SBA
- Access information in the contract file and export it if necessary</t>
  </si>
  <si>
    <t>Activity 22 - Responsibility Determination; Part B - Responsibility for Small Business Concerns; Task 7</t>
  </si>
  <si>
    <t>After receiving notification of the SBA’s COC issuance, determine whether to appeal the decision.</t>
  </si>
  <si>
    <t>Determination whether to appeal</t>
  </si>
  <si>
    <t>Enable users to document the determination whether to appeal SBA's COC issuance. The system needs to make the action available for viewing in the contract file (Tab 6, Small Business Set Aside Determination) and provide the ability to export the data as a web-form or similar structured manner.</t>
  </si>
  <si>
    <t>Activity 22 - Responsibility Determination; Part B - Responsibility for Small Business Concerns; Task 8</t>
  </si>
  <si>
    <t>File the appeal and notify SBA Headquarters through the appropriate channel within 10 business days.</t>
  </si>
  <si>
    <t>Enable users to document the notification to SBA Headquarters of the CO determination to appeal SBA's COC issuance. The CWS shall also allow the user to create from a template or upload the appeal. Enable the routing, review, and revision of such determinations, and where necessary, the approval of such documents. The system needs to make the action available for viewing in the contract file (Tab 6, Small Business Set Aside Determination) and provide the ability to export the data as a web-form or similar structured manner.</t>
  </si>
  <si>
    <t xml:space="preserve">Activity 22 - Responsibility Determination; Part B - Responsibility for Small Business Concerns; Task 9 </t>
  </si>
  <si>
    <t>Document the contract file.</t>
  </si>
  <si>
    <t>Enable users to document the contract file (Tab 6, Small Business Set Aside Determination) and provide the ability to export the data as a web-form or similar structured manner.</t>
  </si>
  <si>
    <t>Activity 22 - Responsibility Determination; Part C - Qualified Bidders, Manufacturers, and Product Lists; Task 1</t>
  </si>
  <si>
    <t>Request that a qualified bidder’s list (QBL), qualified manufacturer’s list (QML), or qualified product’s list (QPL) requirement not be enforced when it does not appear to benefit the Government.</t>
  </si>
  <si>
    <t>Request requirement not be enforced</t>
  </si>
  <si>
    <t>SS - 90</t>
  </si>
  <si>
    <t>Enable users to document a request that a qualified bidder's list, qualified manufacturer's list, or qualified product's list requirement not be enforced when it does not appear to benefit the Government. The system needs to make the action available for viewing in the contract file (Tab 10, RFP/RFQ and Amendments) and provide the ability to export the data as a web-form or similar structured manner.</t>
  </si>
  <si>
    <t xml:space="preserve">As a CO/CS, I need to be able to create/upload/import the request to not enforce a qualified bidders, manufacturers or products list so I comply with the authoritative references. I also need to be able to access the action in the contract file and export it if necessary. </t>
  </si>
  <si>
    <t>Ensure system can efficiently:
- Create/upload/import the request
- Access information in the contract file and export it if necessary</t>
  </si>
  <si>
    <t>Activity 22 - Responsibility Determination; Part C - Qualified Bidders, Manufacturers, and Product Lists; Task 2</t>
  </si>
  <si>
    <t>In acquisitions subject to qualification requirements, use presolicitation notices in appropriate cases to advise potential suppliers before issuing solicitations.</t>
  </si>
  <si>
    <t>PIN</t>
  </si>
  <si>
    <t>3.3.2
3.3.2.1
3.5.1
*</t>
  </si>
  <si>
    <t>SS - 91</t>
  </si>
  <si>
    <t>Enable users to document a presolicitation notice (PIN) to advise potential suppliers of the QBL, QML or QPL requirement. The CWS shall also post the presolicitation notice to Federal Business Opportunities (FBO). The system needs to make the action available for viewing in the contract file (Tab 10, RFP/RFQ and Amendments) and provide the ability to export the data as a web-form or similar structured manner.</t>
  </si>
  <si>
    <t xml:space="preserve">As a CO/CS, I need to be able to create/upload/import a presolicitation notice so offerors understand the qualification testing requirements. I need to post the presolicitation notice to Federal Business Opportunities (FBO) and  I also need to be able to access the action in the contract file and export it if necessary. </t>
  </si>
  <si>
    <t>Ensure system can efficiently:
- Create/upload/import the PIN
- Post the PIN to Federal Business Opportunities (FBO)
- Access information in the contract file and export it if necessary</t>
  </si>
  <si>
    <t>Activity 22 - Responsibility Determination; Part C - Qualified Bidders, Manufacturers, and Product Lists; Task 3</t>
  </si>
  <si>
    <t>Distribute solicitations with qualification requirements to prospective offerors whether or not they have been added to the applicable qualification list.</t>
  </si>
  <si>
    <t>SS - 92</t>
  </si>
  <si>
    <t>Enable users to document a solicitation and distribute the solicitation to interested parties. The CWS shall also post the solicitation to Federal Business Opportunities (FBO). The system needs to make the action available for viewing in the contract file (Tab 10, RFP/RFQ and Amendments) and provide the ability to export the data as a web-form or similar structured manner.</t>
  </si>
  <si>
    <t xml:space="preserve">As a CO/CS, I need to be able to create/upload/import a solicitation and distribute it to interested parties so I maximize competition to the extent practicable. I need to post the solicitation to Federal Business Opportunities (FBO) and  I also need to be able to access the action in the contract file and export it if necessary. </t>
  </si>
  <si>
    <t>Ensure system can efficiently:
- Create/upload/import the solicitation
- Post the solicitation to Federal Business Opportunities (FBO)
- Access information in the contract file and export it if necessary</t>
  </si>
  <si>
    <t>Activity 22 - Responsibility Determination; Part C - Qualified Bidders, Manufacturers, and Product Lists; Task 4</t>
  </si>
  <si>
    <t>Screen offers against the QBL, QML, or QPL, and forward requests from potential suppliers for information on a qualification requirement to the agency activity responsible for establishing the requirement.</t>
  </si>
  <si>
    <t>Offer review</t>
  </si>
  <si>
    <t>SS - 93</t>
  </si>
  <si>
    <t>Enable users to document a review of the offer to determine if the offer meets the qualification requirements. Enable the routing, review, and revision of documents, and where necessary, the approval of such documents. The system needs to make the action available for viewing in the contract file (Tab 17, Responsibility Determinations) and provide the ability to export the data as a web-form or similar structured manner.</t>
  </si>
  <si>
    <t xml:space="preserve">As an acquisition team member, I need to review offers/quotes so my CO/CS knows whether the offer/quote meets the qualification requirements. I may need to route my assessment amongst the acquisition team and/or my CO/CS for review, revisions, or approvals. 
As a CO/CS, I need to create/upload/import a review of the offer so I can ensure the offer meets the qualification requirements of the solicitation. I need to be able to route, review, edit, and approve the work. I also need to be able to access the action in the contract file and export it if necessary. </t>
  </si>
  <si>
    <t xml:space="preserve">Ensure system can efficiently:
- Review the offer/quote
- Enable team collaboration when needed
- Enable routing, review and approvals
- Access information in the contract file and export it if necessary
</t>
  </si>
  <si>
    <t>Activity 22 - Responsibility Determination; Part C - Qualified Bidders, Manufacturers, and Product Lists; Task 5</t>
  </si>
  <si>
    <t>Report any conditions that may merit contractor removal or omission of a source from a QBL, QML, or QPL.</t>
  </si>
  <si>
    <t>Report removal or omissions</t>
  </si>
  <si>
    <t>SS - 94</t>
  </si>
  <si>
    <t>Enable users to document the report to the agency activity which established the qualification requirement any conditions which may merit removal or omission from a QPL, QML, or QBL or affect whether a source should continue to be otherwise identified as meeting the requirement. Enable the routing, review, and revision of documents, and where necessary, the approval of such documents. The system needs to make the action available for viewing in the contract file (Tab 17, Responsibility Determinations) and provide the ability to export the data as a web-form or similar structured manner.</t>
  </si>
  <si>
    <t xml:space="preserve">As an acquisition team member, I need to review documents so my CO/CS has the benefit of my expertise regarding qualification requirements. I may need to route my assessment amongst the acquisition team and/or my CO/CS for review, revisions, or approvals. 
As a CO/CS, I need to create/upload/import a document promptly reporting to the agency activity which established the qualification requirement any conditions which may merit removal or omission from a QPL, QPM or QBL or affect whether a source should continue to be identified as meeting the requirement so the list is current, accurate and complete. I need to be able to route, review, edit, and approve the work. I also need to be able to access the action in the contract file and export it if necessary. </t>
  </si>
  <si>
    <t xml:space="preserve">Ensure system can efficiently:
- Create/upload/import report of removal or omission
- Enable team collaboration when needed
- Enable routing, review and approvals
- Access information in the contract file and export it if necessary
</t>
  </si>
  <si>
    <t>Activity 22 - Responsibility Determination; Part C - Qualified Bidders, Manufacturers, and Product Lists; Task 6</t>
  </si>
  <si>
    <t>Document your justification for using a qualified bidder’s list (QBL), qualified manufacturer’s list (QML), or qualified product’s list (QPL) requirement not be enforced when it does not appear to benefit the Government.</t>
  </si>
  <si>
    <t>SS - 95</t>
  </si>
  <si>
    <t>Enable users to document a justification why the requirement must be demonstrated from either QBL, QML, or QPL before award of the contract. Enable the routing, review, and revision of documents, and where necessary, the approval of such documents. The system needs to make the action available for viewing in the contract file (Tab 17, Responsibility Determinations) and provide the ability to export the data as a web-form or similar structured manner.</t>
  </si>
  <si>
    <t xml:space="preserve">As an acquisition team member, I need to review documents so my CO/CS has the benefit of my expertise regarding qualification requirements. I may need to route my assessment amongst the acquisition team and/or my CO/CS for review, revisions, or approvals. 
As a CO/CS, I need to create/upload/import a justification why the requirements must be demonstrated from either QBL, QML or QPL before award of the contract so I comply with the authoritative reference. I need to be able to route, review, edit, and approve the work. I also need to be able to access the action in the contract file and export it if necessary. </t>
  </si>
  <si>
    <t xml:space="preserve">Ensure system can efficiently:
- Create/upload/import the justification
- Enable team collaboration when needed
- Enable routing, review and approvals
- Access information in the contract file and export it if necessary
</t>
  </si>
  <si>
    <t>Activity 23 - Subcontracting Requirements; Part B - Evaluate Subcontracting Plans; Task 1</t>
  </si>
  <si>
    <t>Obtain the small business subcontracting plan from the offeror.</t>
  </si>
  <si>
    <t>Small business subcontracting plan</t>
  </si>
  <si>
    <t>4.2.1
4.2.2
4.6.1
*</t>
  </si>
  <si>
    <t>SS - 96</t>
  </si>
  <si>
    <t>Enable suppliers to respond to the solicitation in a secure manner and submit the information required by the solicitation. The system needs to make the action available for viewing in the contract file (Tab 17, Responsibility Determinations) and provide the ability to export the data as a web-form or similar structured manner.</t>
  </si>
  <si>
    <t>As a CO/CS, I need to be able to receive offers/quotes in a secure manner so I have competition for my acquisition. I need to be able to review the contents of the offer to determine contractor responsiveness and contractor responsibility to comply with the authoritative references.  I also need to be able to access the action in the contract file and export it if necessary.</t>
  </si>
  <si>
    <t>Ensure system can efficiently:
- Receive supplier offers/quotes and supporting information securely
- Access information in the contract file and export it if necessary</t>
  </si>
  <si>
    <t>Activity 23 - Subcontracting Requirements; Part B - Evaluate Subcontracting Plans; Task 2</t>
  </si>
  <si>
    <t>Notify the Small Business Administration (SBA) Resident Procurement Center Representative of the opportunity to review the proposed contract, subcontracting plan, and supporting documentation.</t>
  </si>
  <si>
    <t>Notification to SBA to review documents</t>
  </si>
  <si>
    <t>4.3.1.3
4.6.1</t>
  </si>
  <si>
    <t>SS - 97</t>
  </si>
  <si>
    <t>Enable users to document a notification to SBA to review the proposed contract, subcontracting plan and supporting documentation. Enable the routing, review, and revision of such documents, and where necessary, the approval of such documents. The system needs to make the action available for viewing in the contract file (Tab 6, Small Business Set Aside Determination)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</si>
  <si>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create/upload/import a notice to SBA to review the proposed contract, subcontracting plan and supporting documentation so I maximize subcontracting opportunities. I need to be able to route, review, edit, and approve the work.  I also need to be able to access the action in the contract file and export it if necessary.</t>
  </si>
  <si>
    <t>Ensure system can efficiently:
- Create/upload/import the notice
- Collaborate with the acquisition team when needed
- Route, review and/or approve documents
- Access information in the contract file and export it if necessary</t>
  </si>
  <si>
    <t>Activity 23 - Subcontracting Requirements; Part B - Evaluate Subcontracting Plans; Task 3</t>
  </si>
  <si>
    <t xml:space="preserve">With assistance from the SBA Resident Procurement Center Representative and/or the Small Business Specialists, conduct fact finding on the subcontracting plan. </t>
  </si>
  <si>
    <t>Review subcontracting plan</t>
  </si>
  <si>
    <t>SS - 98</t>
  </si>
  <si>
    <t>Enable users to document the review of the subcontracting plan. Enable the routing, review, and revision of such documents, and where necessary, the approval of such documents. The system needs to make the action available for viewing in the contract file (Tab 17, Responsibility Determination)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</si>
  <si>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create/upload/import my review of the subcontracting plan so I can determine the plan includes the required information, goals, and assurances and furthers increased subcontracting opportunities.  I also need to be able to access the action in the contract file and export it if necessary.</t>
  </si>
  <si>
    <t>Ensure system can efficiently:
- Create/upload/import the review
- Collaborate with the acquisition team when needed
- Route, review and/or approve documents
- Access information in the contract file and export it if necessary</t>
  </si>
  <si>
    <t>Activity 23 - Subcontracting Requirements; Part B - Evaluate Subcontracting Plans; Task 4</t>
  </si>
  <si>
    <t>With assistance from the SBA Resident Procurement Center Representative and/or the Small Business Specialists, determine whether the plan is adequate.</t>
  </si>
  <si>
    <t>4.3.1.3
4.6.1
*</t>
  </si>
  <si>
    <t>SS - 99</t>
  </si>
  <si>
    <t>As an acquisition team member, I need to be able to review and route documents, and depending on the document, may also be required to approve such documents so the CO/CS has what she/he needs to document acquisition decisions. 
As a CO/CS, I need to create/upload/import my review of the subcontracting plan so I can determine the plan includes the required information, goals, and assurances and furthers increased subcontracting opportunities. I need to be able to route, review, edit, and approve the work.  I also need to be able to access the action in the contract file and export it if necessary.</t>
  </si>
  <si>
    <t>Activity 23 - Subcontracting Requirements; Part B - Evaluate Subcontracting Plans; Task 5</t>
  </si>
  <si>
    <t xml:space="preserve">Advise the contractor of any inadequacies in the subcontracting plan. </t>
  </si>
  <si>
    <t>Notification to offeror of subcontracting plan inadequacies</t>
  </si>
  <si>
    <t>4.3.1.3
4.3.3
4.6.1
*</t>
  </si>
  <si>
    <t>SS - 100</t>
  </si>
  <si>
    <t>Enable users to document any inadequacies in the subcontracting plan to the offeror. Enable the routing, review, and revision of such documents, and where necessary, the approval of such documents. The system needs to make the action available for viewing in the contract file (Tab 6, Small Business Set Aside Determination)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</si>
  <si>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create/upload/import the document advising the offeror of any inadequacies in the subcontracting plan so the offeror understands what is needed to correct the inadequacies.  I also need to be able to access the action in the contract file and export it if necessary.</t>
  </si>
  <si>
    <t>Ensure system can efficiently:
- Create/upload/import the document
- Collaborate with the acquisition team when needed
- Route, review and/or approve documents
- Access information in the contract file and export it if necessary</t>
  </si>
  <si>
    <t>Activity 23 - Subcontracting Requirements; Part B - Evaluate Subcontracting Plans; Task 6</t>
  </si>
  <si>
    <t>Consider the subcontracting plan in making award decisions.</t>
  </si>
  <si>
    <t>Subcontracting plan evaluation</t>
  </si>
  <si>
    <t>4.3.1.3
4.3.1.3.2
4.3.1.3.3
4.6.1
*</t>
  </si>
  <si>
    <t>SS - 101</t>
  </si>
  <si>
    <t>Enable users to document the analysis of the subcontracting plan in making award decisions. Enable the routing and review of the final award decision amongst the acquisition team. The system needs to make the action available for viewing in the contract file (Tab 15, Price Negotiation Memorandum)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</si>
  <si>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document the analysis of the subcontracting plan in making my award decisions so I maximize opportunities for small businesses. I need to be able to route, review, edit, and approve the work. I also need to be able to access the action in the contract file and export it if necessary.</t>
  </si>
  <si>
    <t>Ensure system can efficiently:
- Create/upload/import final award decision
- Retrieve data from the CWS used to make the award decision
- Collaborate amongst the acquisition team
- Route for review and approvals
- Access information in the contract file and export it if necessary</t>
  </si>
  <si>
    <t>Activity 23 - Subcontracting Requirements; Part B - Evaluate Subcontracting Plans; Task 7</t>
  </si>
  <si>
    <t>Notify the affected government organizations of contract award.</t>
  </si>
  <si>
    <t>4.5.4
4.6.1
*</t>
  </si>
  <si>
    <t>SS - 102</t>
  </si>
  <si>
    <t>Enable users to document the notification to affected government organizations of contract award. The system needs to make the action available for viewing in the contract file (Tab 26, Notices) and provide the ability to export the data as a web-form or similar structured manner.</t>
  </si>
  <si>
    <t xml:space="preserve">As a CO/CS, I need to create/upload/import a document notifying the SBA of the award by sending a copy of the award document to a number of organizations (Area SBA Director, SBA procurement center representative, and contract administration office) so I comply with the authoritative reference. I also need to be able to access the action in the contract file and export it if necessary.  </t>
  </si>
  <si>
    <t>Ensure system can efficiently:
- Create/upload/import notification
- Access information in the contract file and export it if necessary</t>
  </si>
  <si>
    <t>Activity 24 - Accounting and Estimating Systems; Part A - Accounting Systems; Task 1</t>
  </si>
  <si>
    <t>Determine the adequacy and suitability of a firm’s accounting system and practices.</t>
  </si>
  <si>
    <t>Determination of CAS adequacy/suitability</t>
  </si>
  <si>
    <t>SS - 103</t>
  </si>
  <si>
    <t>Enable users to document the determination of the adequacy and suitability of a firm's accounting system and practices. Enable the routing, review, and revision of such documents, and where necessary, the approval of such documents. The system needs to make the action available for viewing in the contract file (Tab 17, Responsibility Determination)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</si>
  <si>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create/upload/import my determination of the adequacy and suitability of a firm's accounting system and practices to that I comply with the Cost Accounting Standards in the authoritative references. I need to be able to route, review, edit, and approve the work. I also need to be able to access the action in the contract file and export it if necessary.</t>
  </si>
  <si>
    <t>Ensure system can efficiently:
- Create/upload/import the determination
- Collaborate amongst the acquisition team
- Route for review and approvals
- Access information in the contract file and export it if necessary</t>
  </si>
  <si>
    <t>Activity 24 - Accounting and Estimating Systems; Part A - Accounting Systems; Task 2</t>
  </si>
  <si>
    <t>Request the contractor to complete the Standard Form (SF) 1408.</t>
  </si>
  <si>
    <t>Correspondence requesting completion of SF 1408</t>
  </si>
  <si>
    <t>SS - 104</t>
  </si>
  <si>
    <t>Enable users to document the request to the contractor to complete Standard Form (SF) 1408, Pre Award Survey of Prospective Contractor-Accounting System. Enable the routing, review, and revision of such documents, and where necessary, the approval of such documents. The system needs to make the action available for viewing in the contract file (Tab 17, Responsibility Determination)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</si>
  <si>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create/upload/import a document requesting the contractor complete SF 1408 so I can make a determination regarding contractor responsibility. I need to be able to route, review, edit, and approve the work. I also need to be able to access the action in the contract file and export it if necessary.</t>
  </si>
  <si>
    <t>Ensure system can efficiently:
- Create/upload/import the request
- Collaborate amongst the acquisition team
- Route for review and approvals
- Access information in the contract file and export it if necessary</t>
  </si>
  <si>
    <t>Activity 24 - Accounting and Estimating Systems; Part A - Accounting Systems; Task 3</t>
  </si>
  <si>
    <t>Determine whether to request an accounting system review (ASR).</t>
  </si>
  <si>
    <t>Determination to request ASR</t>
  </si>
  <si>
    <t>SS - 105</t>
  </si>
  <si>
    <t>Enable users to document the determination whether to request an accounting system review. Enable the routing, review, and revision of such documents, and where necessary, the approval of such documents. The system needs to make the action available for viewing in the contract file (Tab 17, Responsibility Determination)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</si>
  <si>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create/upload/import a determination whether to request an accounting system review so I can make a determination regarding contractor responsibility. I need to be able to route, review, edit, and approve the work. I also need to be able to access the action in the contract file and export it if necessary.</t>
  </si>
  <si>
    <t>Activity 24 - Accounting and Estimating Systems; Part A - Accounting Systems; Task 4</t>
  </si>
  <si>
    <t xml:space="preserve">Review the auditor’s report to determine if the accounting system is in accordance with GAAP. </t>
  </si>
  <si>
    <t>SS - 106</t>
  </si>
  <si>
    <t>Enable users to document the results of the auditor's report regarding whether the contractor's accounting system is in accordance with Generally Accepted Accounting Principles (GAAP). Enable the routing, review, and revision of such documents, and where necessary, the approval of such documents. The system needs to make the action available for viewing in the contract file (Tab 17, Responsibility Determination)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</si>
  <si>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create/upload/import my review of the auditor's report regarding whether the contractor's accounting system is in accordance with GAAP so I can make a determination regarding contractor responsibility. I need to be able to route, review, edit, and approve the work. I also need to be able to access the action in the contract file and export it if necessary.</t>
  </si>
  <si>
    <t>Ensure system can efficiently:
- Create/upload/import the document
- Collaborate amongst the acquisition team
- Route for review and approvals
- Access information in the contract file and export it if necessary</t>
  </si>
  <si>
    <t>Activity 24 - Accounting and Estimating Systems; Part A - Accounting Systems; Task 5</t>
  </si>
  <si>
    <t>Prepare an initial position on the adequacy of the firm’s cost accounting system based on the auditor’s report.</t>
  </si>
  <si>
    <t>Adequacy determination</t>
  </si>
  <si>
    <t>SS - 107</t>
  </si>
  <si>
    <t>Enable users to document an initial position on the adequacy of the firm's cost accounting system based on the auditor's report. Enable the routing, review, and revision of such documents, and where necessary, the approval of such documents. The system needs to make the action available for viewing in the contract file (Tab 17, Responsibility Determination)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</si>
  <si>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create/upload/import my initial position on the adequacy of the firm's cost accounting system based on the auditor's report so I can make a determination regarding contractor responsibility. I need to be able to route, review, edit, and approve the work. I also need to be able to access the action in the contract file and export it if necessary.</t>
  </si>
  <si>
    <t>Activity 24 - Accounting and Estimating Systems; Part A - Accounting Systems; Task 6</t>
  </si>
  <si>
    <t xml:space="preserve">Discuss the accounting system review with the firm. </t>
  </si>
  <si>
    <t>Fact finding</t>
  </si>
  <si>
    <t>Activity 24 - Accounting and Estimating Systems; Part A - Accounting Systems; Task 7</t>
  </si>
  <si>
    <t>Make a finding on system adequacy.</t>
  </si>
  <si>
    <t>SS - 108</t>
  </si>
  <si>
    <t>Enable users to document the finding on the contractor's system adequacy. Enable the routing, review, and revision of such documents, and where necessary, the approval of such documents. The system needs to make the action available for viewing in the contract file (Tab 17, Responsibility Determination)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</si>
  <si>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create/upload/import my finding on the contractor's system adequacy so I can determine contractor responsibility. I need to be able to route, review, edit, and approve the work. I also need to be able to access the action in the contract file and export it if necessary.</t>
  </si>
  <si>
    <t>Activity 24 - Accounting and Estimating Systems; Part A - Accounting Systems; Task 8</t>
  </si>
  <si>
    <t>Notify the contractor of deficiencies and the accounting system review recommendations.</t>
  </si>
  <si>
    <t>Notification of deficiencies and recommendations</t>
  </si>
  <si>
    <t>SS - 109</t>
  </si>
  <si>
    <t>Enable users to document notifying the contractor of deficiencies and the accounting system review recommendations. Enable the routing, review, and revision of such documents, and where necessary, the approval of such documents. The system needs to make the action available for viewing in the contract file (Tab 17, Responsibility Determination)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</si>
  <si>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create/upload/import a document notifying the contractor of deficiencies and the accounting system review recommendations so I can determine that the contractor is responsible. I need to be able to route, review, edit, and approve the work. I also need to be able to access the action in the contract file and export it if necessary.</t>
  </si>
  <si>
    <t>Activity 24 - Accounting and Estimating Systems; Part A - Accounting Systems; Task 9</t>
  </si>
  <si>
    <t>Take measures to protect the Government’s interest when an accounting system is inadequate.</t>
  </si>
  <si>
    <t>Risk mitigation measures</t>
  </si>
  <si>
    <t>General practice</t>
  </si>
  <si>
    <t>SS - 110</t>
  </si>
  <si>
    <t>Enable users to document the measures taken to protect the Government's interest when an accounting system is determined to be inadequate. Enable the routing, review, and revision of such documents, and where necessary, the approval of such documents. The system needs to make the action available for viewing in the contract file (Tab 17, Responsibility Determination)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</si>
  <si>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create/upload/import a document that demonstrates the measures taken to protect the Government's interest when an accounting system is determined to be inadequate in support of my determination of contractor responsibility. I need to be able to route, review, edit, and approve the work. I also need to be able to access the action in the contract file and export it if necessary.</t>
  </si>
  <si>
    <t>Activity 24, - Accounting and Estimating Systems; Part A - Accounting Systems; Task 10</t>
  </si>
  <si>
    <t xml:space="preserve">Discuss and initiate the recommended corrective action plan. </t>
  </si>
  <si>
    <t>Draft corrective action plan</t>
  </si>
  <si>
    <t>SS - 111</t>
  </si>
  <si>
    <t>Enable users to document any corrective action plan. Enable the routing, review, and revision of such documents, and where necessary, the approval of such documents. The system needs to make the action available for viewing in the contract file (Tab 17, Responsibility Determination)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</si>
  <si>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create/upload/import a document that discusses and identifies the corrective action plan to obtain the information necessary to determine contractor responsibility. I need to be able to route, review, edit, and approve the work. I also need to be able to access the action in the contract file and export it if necessary.</t>
  </si>
  <si>
    <t>Activity 24 - Accounting and Estimating Systems; Part A - Accounting Systems; Task 11</t>
  </si>
  <si>
    <t>Request a follow-up audit of the accounting system.</t>
  </si>
  <si>
    <t>Follow up request</t>
  </si>
  <si>
    <t>SS - 112</t>
  </si>
  <si>
    <t>Enable users to document the request for a follow-up audit of the accounting system. Enable the routing, review, and revision of such documents, and where necessary, the approval of such documents. The system needs to make the action available for viewing in the contract file (Tab 17, Responsibility Determination)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</si>
  <si>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create/upload/import a document that requests a follow-up audit of the accounting system so I can determine contractor responsibility. I need to be able to route, review, edit, and approve the work. I also need to be able to access the action in the contract file and export it if necessary.</t>
  </si>
  <si>
    <t>Activity 24 - Accounting and Estimating Systems; Part B - Estimating Systems; Task 1</t>
  </si>
  <si>
    <t xml:space="preserve">Identify conditions that may indicate estimating system deficiencies. </t>
  </si>
  <si>
    <t>Document conditions</t>
  </si>
  <si>
    <t>SS - 113</t>
  </si>
  <si>
    <t>Enable users to document conditions that may indicate estimated system deficiencies. Enable the routing, review, and revision of such documents, and where necessary, the approval of such documents. The system needs to make the action available for viewing in the contract file (Tab 17, Responsibility Determination)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</si>
  <si>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create/upload/import a document that identifies conditions that may indicate estimated system deficiencies so I can determine contractor responsibility. I need to be able to route, review, edit, and approve the work. I also need to be able to access the action in the contract file and export it if necessary.</t>
  </si>
  <si>
    <t>Activity 24 - Accounting and Estimating Systems; Part B - Estimating Systems; Task 2</t>
  </si>
  <si>
    <t xml:space="preserve">Determine if an estimating system review should be requested. </t>
  </si>
  <si>
    <t>Determination if review should be requested</t>
  </si>
  <si>
    <t>SS - 114</t>
  </si>
  <si>
    <t>Enable users to document the determination if an estimating system review should be requested. Enable the routing, review, and revision of such documents, and where necessary, the approval of such documents. The system needs to make the action available for viewing in the contract file (Tab 17, Responsibility Determination)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</si>
  <si>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create/upload/import a determination if an estimating system review should be requested so I can determine contractor responsibility. I need to be able to route, review, edit, and approve the work. I also need to be able to access the action in the contract file and export it if necessary.</t>
  </si>
  <si>
    <t>Activity 24 - Accounting and Estimating Systems; Part B - Estimating Systems; Task 3</t>
  </si>
  <si>
    <t>Request an estimating system survey review from an auditor.</t>
  </si>
  <si>
    <t>Request for review</t>
  </si>
  <si>
    <t>SS - 115</t>
  </si>
  <si>
    <t>Enable users to document the request an estimating system survey review from an auditor. Enable the routing, review, and revision of such documents, and where necessary, the approval of such documents. The system needs to make the action available for viewing in the contract file (Tab 17, Responsibility Determination)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</si>
  <si>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create/upload/import a document requesting an estimating system survey review from an auditor so I can be assured that using an acceptable estimating system for proposal preparation benefits both the Government and the contractor by increasing the accuracy and reliability of individual proposals. I need to be able to route, review, edit, and approve the work. I also need to be able to access the action in the contract file and export it if necessary.</t>
  </si>
  <si>
    <t>Activity 24 - Accounting and Estimating Systems; Part B - Estimating Systems; Task 4</t>
  </si>
  <si>
    <t>Review the results of the estimating system survey report</t>
  </si>
  <si>
    <t>Document review</t>
  </si>
  <si>
    <t>SS - 116</t>
  </si>
  <si>
    <t>Enable users to document the results of the estimating system survey report. Enable the routing, review, and revision of such documents, and where necessary, the approval of such documents. The system needs to make the action available for viewing in the contract file (Tab 17, Responsibility Determination)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</si>
  <si>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create/upload/import a document that reviews the results of the estimating system survey report so I can be assured that using an acceptable estimating system for proposal preparation benefits both the Government and the contractor by increasing the accuracy and reliability of individual proposals. I need to be able to route, review, edit, and approve the work. I also need to be able to access the action in the contract file and export it if necessary.</t>
  </si>
  <si>
    <t>Activity 24 - Accounting and Estimating Systems; Part B - Estimating Systems; Task 5</t>
  </si>
  <si>
    <t>Provide an initial determination of the estimating system to the contractor</t>
  </si>
  <si>
    <t>Initial determination</t>
  </si>
  <si>
    <t>SS - 117</t>
  </si>
  <si>
    <t>Enable users to document an initial determination of the estimating system to the contractor. Enable the routing, review, and revision of such documents, and where necessary, the approval of such documents. The system needs to make the action available for viewing in the contract file (Tab 17, Responsibility Determination)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</si>
  <si>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create/upload/import my initial determination of the estimating system to the contractor. The contractor needs to understand what they need to do to improve their offer/quote so I can make a determination regarding contractor responsibility. I need to be able to route, review, edit, and approve the work. I also need to be able to access the action in the contract file and export it if necessary.</t>
  </si>
  <si>
    <t>Activity 24 - Accounting and Estimating Systems; Part B - Estimating Systems; Task 6</t>
  </si>
  <si>
    <t>If the initial determination deems the estimating system adequate, issue a final determination.</t>
  </si>
  <si>
    <t>Final determination</t>
  </si>
  <si>
    <t>SS - 118</t>
  </si>
  <si>
    <t>Enable users to document the determination that the estimated system is adequate. Enable the routing, review, and revision of such documents, and where necessary, the approval of such documents. The system needs to make the action available for viewing in the contract file (Tab 17, Responsibility Determination)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</si>
  <si>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create/upload/import my determination that the estimating system is adequate so I can make a determination regarding contractor responsibility. I need to be able to route, review, edit, and approve the work. I also need to be able to access the action in the contract file and export it if necessary.</t>
  </si>
  <si>
    <t>Activity 24 - Accounting and Estimating Systems; Part B - Estimating Systems; Task 7</t>
  </si>
  <si>
    <t xml:space="preserve">If the initial determination deems that the estimating system has deficiencies, request a response from the contractor. </t>
  </si>
  <si>
    <t>Request for contractor response</t>
  </si>
  <si>
    <t>SS - 119</t>
  </si>
  <si>
    <t>Enable users to document the request for the contractor to respond to a determination that there are deficiencies in the estimating system. Enable the routing, review, and revision of such documents, and where necessary, the approval of such documents. The system needs to make the action available for viewing in the contract file (Tab 17, Responsibility Determination) and provide the ability to export the data as a web-form or similar structured manner.</t>
  </si>
  <si>
    <t>As a supplier, I need to be able to respond to requests for information or review documents, and depending on the document, may also be required to revise them or resubmit additional information so the CO/CS has what she/he needs to review my offer/quote. 
As a CO/CS, I need to create/upload/import a document that requests the contractor to respond to my determination that there are deficiencies in the estimating system so they know what they need to correct to be determined a responsible contractor. I need to be able to route, review, edit, and approve the work. I also need to be able to access the action in the contract file and export it if necessary.</t>
  </si>
  <si>
    <t xml:space="preserve">Ensure system can efficiently:
- Create/upload/import the request for information
- Collaborate with the supplier and receive responses to requests for information or document reviews
- Route requests for information or documents for review or revision
- Access information in the contract file and export it if necessary
</t>
  </si>
  <si>
    <t>Activity 24 - Accounting and Estimating Systems; Part B - Estimating Systems; Task 8</t>
  </si>
  <si>
    <t>Evaluate the contractor’s response.</t>
  </si>
  <si>
    <t>SS - 120</t>
  </si>
  <si>
    <t>Enable users to document the evaluation of the contractor's response to deficiencies noted in the estimating system. Enable the routing, review, and revision of such documents amongst the acquisition team, and where necessary, the approval of such documents. The system needs to make the action available for viewing in the contract file (Tab 17, Responsibility Determination) and provide the ability to export the data as a web-form or similar structured manner.</t>
  </si>
  <si>
    <t>As a CO/CS, I need to create/upload/import a document that evaluates the contractor's response to deficiencies noted in the estimating system so I can determine whether the contractor is responsibility. I need to be able to route, review, edit, and approve the work. I also need to be able to access the action in the contract file and export it if necessary.</t>
  </si>
  <si>
    <t xml:space="preserve">Ensure system can efficiently:
- Create/upload/import the document
- Route requests for information or documents for review or revision
- Access information in the contract file and export it if necessary
</t>
  </si>
  <si>
    <t>Activity 24 - Accounting and Estimating Systems; Part B - Estimating Systems; Task 9</t>
  </si>
  <si>
    <t>Issue a final determination on the contractor’s estimating system</t>
  </si>
  <si>
    <t>SS - 121</t>
  </si>
  <si>
    <t>Enable users to document the final determination on the contractor's estimating system. Enable the routing, review, and revision of such documents amongst the acquisition team, and where necessary, the approval of such documents. The system needs to make the action available for viewing in the contract file (Tab 17, Responsibility Determination)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</si>
  <si>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create/upload/import my final determination on the contractor's estimating system so I can make a determination regarding contractor responsibility. I need to be able to route, review, edit, and approve the work. I also need to be able to access the action in the contract file and export it if necessary.</t>
  </si>
  <si>
    <t>Activity 24 - Accounting and Estimating Systems; Part B - Estimating Systems; Task 10</t>
  </si>
  <si>
    <t xml:space="preserve">When deficiencies are found, request a corrective action plan. </t>
  </si>
  <si>
    <t>Request corrective action plan</t>
  </si>
  <si>
    <t>SS - 122</t>
  </si>
  <si>
    <t>Enable users to document a request for a corrective action plan when deficiencies are found in the estimating system. Enable the routing, review, and revision of such documents, and where necessary, the approval of such documents. The system needs to make the action available for viewing in the contract file (Tab 17, Responsibility Determination) and provide the ability to export the data as a web-form or similar structured manner.</t>
  </si>
  <si>
    <t>As a supplier, I need to be able to respond to requests for information or review documents, and depending on the document, may also be required to revise them or resubmit additional information so the CO/CS has what she/he needs to review my offer/quote. 
As a CO/CS, I need to create/upload/import a document that requests a corrective action plan when deficiencies are found in the estimating system so suppliers know what they need to address in order to be considered a responsible contractor. I need to be able to route, review, edit, and approve the work. I also need to be able to access the action in the contract file and export it if necessary.</t>
  </si>
  <si>
    <t xml:space="preserve">Ensure system can efficiently:
- Create/upload/import the document
- Collaborate with the supplier and receive responses to requests for information
- Route requests for information or documents for review or revision
- Access information in the contract file and export it if necessary
</t>
  </si>
  <si>
    <t>Activity 24 - Accounting and Estimating Systems; Part B - Estimating Systems; Task 11</t>
  </si>
  <si>
    <t>Take measures to protect the Government's interest when an estimating system is inadequate.</t>
  </si>
  <si>
    <t>SS - 123</t>
  </si>
  <si>
    <t>Enable users to document the measures taken to protect the Government's interest when an estimating system is determined to be inadequate. Enable the routing, review, and revision of such documents, and where necessary, the approval of such documents. The system needs to make the action available for viewing in the contract file (Tab 17, Responsibility Determination)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</si>
  <si>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create/upload/import a document that demonstrates the measures taken to protect the Government's interest when an estimating system is determined to be inadequate in support of my determination of contractor responsibility. I need to be able to route, review, edit, and approve the work. I also need to be able to access the action in the contract file and export it if necessary.</t>
  </si>
  <si>
    <t>Activity 24 - Accounting and Estimating Systems; Part B - Estimating Systems; Task 12</t>
  </si>
  <si>
    <t>Monitor the contractor’s implementation of the corrective action plan.</t>
  </si>
  <si>
    <t>SS - 124</t>
  </si>
  <si>
    <t>Enable users to document the steps taken to monitor the contractor's implementation of the corrective action plan and attendant results. Enable the routing, review, and revision of such documents, and where necessary, the approval of such documents. The system needs to make the action available for viewing in the contract file (Tab 17, Responsibility Determination)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</si>
  <si>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create/upload/import a document that addresses the steps taken to monitor the contractor's implementation of the corrective action plan and the results. I need to be able to route, review, edit, and approve the work. I also need to be able to access the action in the contract file and export it if necessary.</t>
  </si>
  <si>
    <t>Activity 25 - Cost Accounting Standards; Task 1</t>
  </si>
  <si>
    <t>Determine if a proposed contract or subcontract is exempt from cost accounting standards (CAS) requirements.</t>
  </si>
  <si>
    <t>Determination of CAS applicability</t>
  </si>
  <si>
    <t>SS - 125</t>
  </si>
  <si>
    <t>Enable users to document the determination that a proposed contract or subcontract is exempt from cost accounting standards (CAS) requirements. The system needs to make the action available for viewing in the contract file (Tab 17, Responsibility Determination) and provide the ability to export the data as a web-form or similar structured manner.</t>
  </si>
  <si>
    <t>As a CO/CS, I need to create/upload/import a determination that a proposed contract or subcontract is exempt from cost accounting standards (CAS) requirements outlined in the authoritative reference so I comply with the authoritative reference. I also need to be able to access the action in the contract file and export it if necessary.</t>
  </si>
  <si>
    <t>Activity 25 - Cost Accounting Standards; Task 2</t>
  </si>
  <si>
    <t>Incorporate any required CAS– related solicitation provisions.</t>
  </si>
  <si>
    <t>Solicitation provisions</t>
  </si>
  <si>
    <t>3.2.1.3
3.2.1.4
3.5.1
*</t>
  </si>
  <si>
    <t>SS - 126</t>
  </si>
  <si>
    <t>Enable users to determine the appropriate clauses and provisions to include in a solicitation based on the prescription of the selected clause/provision. The CWS shall create the solicitation and changes thereto in an automated fashion, pulling in the appropriate clauses/provisions based on the particular circumstance of the proposed acquisition. The CWS also needs to build the solicitation based on the end user selections. The CWS further needs to enable a reviewer to recommend edits to the solicitation. The system needs to make the action available for viewing in the contract file (Tab 10, RFP/RFQ and Amendments) and provide the ability to export the data as a web-form or similar structured manner.</t>
  </si>
  <si>
    <t>As a CO/CS, I need to determine the right clauses and provisions to include in my solicitation based on my contract type and purpose to ensure uniformity in my acquisition and protection of the government's interest. I need to be able to route the solicitation to one or more reviewers for review and editing.  I also need to be able to access the action in the contract file and export it if necessary.
As a reviewer, I need the ability to make edits to the solicitation, recommend the addition/deletion of terms and conditions, etc., and route the solicitation back to the CO/CS.</t>
  </si>
  <si>
    <t>Activity 25 - Cost Accounting Standards; Task 3</t>
  </si>
  <si>
    <t xml:space="preserve">Determine which type of coverage applies to the prime contract and each subcontract. </t>
  </si>
  <si>
    <t>Determination of type of coverage</t>
  </si>
  <si>
    <t>SS - 127</t>
  </si>
  <si>
    <t>Enable users to document the determination of which type of CAS coverage applies to the prime contract and each subcontract. The system needs to make the action available for viewing in the contract file (Tab 10, RFP/RFQ and Amendments) and provide the ability to export the data as a web-form or similar structured manner.</t>
  </si>
  <si>
    <t>As a CO/CS, I need to create/upload/import a determination of which type of CAS coverage applies to the prime contract and each subcontract so I comply with the authoritative reference. I also need to be able to access the action in the contract file and export it if necessary.</t>
  </si>
  <si>
    <t>Activity 25 - Cost Accounting Standards; Task 3a</t>
  </si>
  <si>
    <t>Determine if the contract has full CAS coverage</t>
  </si>
  <si>
    <t>SS - 128</t>
  </si>
  <si>
    <t>Enable users to document the determination if the contract has full CAS coverage. The system needs to make the action available for viewing in the contract file (Tab 10, RFP/RFQ and Amendments) and provide the ability to export the data as a web-form or similar structured manner.</t>
  </si>
  <si>
    <t>As a CO/CS, I need to create/upload/import a determination if the contract has full CAS coverage so I comply with the authoritative reference. I also need to be able to access the action in the contract file and export it if necessary.</t>
  </si>
  <si>
    <t>Activity 25 - Cost Accounting Standards; Task 3b</t>
  </si>
  <si>
    <t>Determine if the contract has modified CAS coverage.</t>
  </si>
  <si>
    <t>SS - 129</t>
  </si>
  <si>
    <t>Enable users to document the determination if the contract has modified CAS coverage. The system needs to make the action available for viewing in the contract file (Tab 10, RFP/RFQ and Amendments) and provide the ability to export the data as a web-form or similar structured manner.</t>
  </si>
  <si>
    <t>As a CO/CS, I need to create/upload/import a determination if the contract has modified CAS coverage so I comply with the authoritative reference. I also need to be able to access the action in the contract file and export it if necessary.</t>
  </si>
  <si>
    <t>Activity 25 - Cost Accounting Standards; Task 4</t>
  </si>
  <si>
    <t>Determine whether to request a waiver of CAS requirements.</t>
  </si>
  <si>
    <t>Waiver request determination</t>
  </si>
  <si>
    <t>SS - 130</t>
  </si>
  <si>
    <t>Enable users to document the determination whether to request a waiver of CAS requirements. The system needs to make the action available for viewing in the contract file (Tab 10, RFP/RFQ and Amendments) and provide the ability to export the data as a web-form or similar structured manner.</t>
  </si>
  <si>
    <t>As a CO/CS, I need to create/upload/import a determination whether to request a waiver of CAS requirements so I comply with the authoritative reference. I also need to be able to access the action in the contract file and export it if necessary.</t>
  </si>
  <si>
    <t>Activity 25 - Cost Accounting Standards; Task 5</t>
  </si>
  <si>
    <t>Request a waiver of CAS requirements</t>
  </si>
  <si>
    <t>Waiver</t>
  </si>
  <si>
    <t>SS - 131</t>
  </si>
  <si>
    <t>Enable users to document a request to waive CAS requirements. Enable the routing, review, and revision of such documents, and where necessary, the approval of such documents. The system needs to make the action available for viewing in the contract file (Tab 28, Required Approval/Clearance)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</si>
  <si>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create/upload/import a document that requests a waiver of CAS requirements. I need to be able to route, review, edit, and approve/obtain approval of the work. I also need to be able to access the action in the contract file and export it if necessary.</t>
  </si>
  <si>
    <t>Activity 25 - Cost Accounting Standards; Task 6</t>
  </si>
  <si>
    <t xml:space="preserve">Incorporate the applicable CAS clauses in a negotiated contract. </t>
  </si>
  <si>
    <t>Solicitation clauses</t>
  </si>
  <si>
    <t>3.2.1.3
3.2.14
3.5.1
*</t>
  </si>
  <si>
    <t>Activity 25 - Cost Accounting Standards; Task 7</t>
  </si>
  <si>
    <t xml:space="preserve">Determine whether a Disclosure Statement is required prior to award. </t>
  </si>
  <si>
    <t>Determination for requirement for disclosure statement</t>
  </si>
  <si>
    <t>SS - 132</t>
  </si>
  <si>
    <t>Enable users to document the determination to require a disclosure statement that adequately describes the contractor's cost accounting practices. Enable the routing, review, and revision of such documents, and where necessary, the approval of such documents. The system needs to make the action available for viewing in the contract file (Tab 28, Required Approval/Clearance)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</si>
  <si>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create/upload/import a determination to require a disclosure statement that adequately describes the contractor's cost accounting practices. I need to be able to route, review, edit, and approve/obtain approval of the work. I also need to be able to access the action in the contract file and export it if necessary.</t>
  </si>
  <si>
    <t>Activity 25 - Cost Accounting Standards; Task 8</t>
  </si>
  <si>
    <t xml:space="preserve">Obtain a written determination from the cognizant federal agency official stating that the required Disclosure Statement is adequate. </t>
  </si>
  <si>
    <t>Determination that disclosure statement is adequate</t>
  </si>
  <si>
    <t>SS - 133</t>
  </si>
  <si>
    <t>Enable users to document a written determination from the cognizant federal agency official stating that the required disclosure statement is adequate. The system needs to make the action available for viewing in the contract file (Tab 28, Required Approval/Clearance) and provide the ability to export the data as a web-form or similar structured manner.</t>
  </si>
  <si>
    <t>As a CO/CS, I need to create/upload/import a written determination from the cognizant federal agency official stating that the required disclosure statement is adequate so I comply with the authoritative references. I also need to be able to access the action in the contract file and export it if necessary.</t>
  </si>
  <si>
    <t>Ensure system can efficiently:
- Create/upload/import the written determination
- Access information in the contract file and export it if necessary</t>
  </si>
  <si>
    <t>Activity 26 - Audits to Support Proposal Analysis; Task 1</t>
  </si>
  <si>
    <t>Directly request an audit from a cognizant audit office</t>
  </si>
  <si>
    <t>Audit request</t>
  </si>
  <si>
    <t>4.3.2
4.3.2.3
4.6.1</t>
  </si>
  <si>
    <t>SS - 134</t>
  </si>
  <si>
    <t>Enable users to document the request for an audit from a cognizant audit office. Enable the routing, review, and revision of such documents amongst the acquisition team, and where necessary, the approval of such documents. The system needs to make the action available for viewing in the contract file (Tab 17, Responsibility Determination)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</si>
  <si>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create/upload/import a document that requests an audit from a cognizant audit office so I have data that supports my analysis of the offer/quote.  I need to be able to route, review, edit, and approve/obtain approval of the work. I also need to be able to access the action in the contract file and export it if necessary.</t>
  </si>
  <si>
    <t>Activity 26 - Audits to Support Proposal Analysis; Task 2</t>
  </si>
  <si>
    <t xml:space="preserve">Determine if the pre award audit of indirect costs are adequate. </t>
  </si>
  <si>
    <t>Determination if pre-award audit of indirect costs are adequate</t>
  </si>
  <si>
    <t xml:space="preserve">4.3.2
4.3.2.1
4.3.2.2
4.3.2.3
4.3.2.4
4.6.1
</t>
  </si>
  <si>
    <t>SS - 135</t>
  </si>
  <si>
    <t>Enable users to document the determination if the pre award audit of indirect costs are adequate. The system needs to make the action available for viewing in the contract file (Tab 14, Cost or Price and Technical Analysis Report) and provide the ability to export the data as a web-form or similar structured manner.</t>
  </si>
  <si>
    <t>As a CO/CS, I need to be able to determine if the pre award audit of indirect costs are adequate in order to determine a fair and reasonable price as required by authoritative references.  I also need to be able to access the action in the contract file and export it if necessary.</t>
  </si>
  <si>
    <t>Activity 26 - Audits to Support Proposal Analysis; Task 3</t>
  </si>
  <si>
    <t>Assist auditors in obtaining access to the necessary data</t>
  </si>
  <si>
    <t>Request to offeror for access to data to conduct audit</t>
  </si>
  <si>
    <t>4.3.2
4.3.3
4.6.1
*</t>
  </si>
  <si>
    <t>SS - 136</t>
  </si>
  <si>
    <t>Enable users to document the request for the offeror's cooperation in providing data access to the auditors. The system needs to make the action available for viewing in the contract file (Tab 14, Cost or Price and Technical Analysis Report) and provide the ability to export the data as a web-form or similar structured manner.</t>
  </si>
  <si>
    <t>As a CO/CS, I need to be able to request the offeror's cooperation in providing data access to the auditors so I can get the data to support my analysis of their offer/quote.  I also need to be able to access the action in the contract file and export it if necessary.</t>
  </si>
  <si>
    <t xml:space="preserve">Ensure system can efficiently:
- Create/upload/import the request for data access
- Access information in the contract file and export it if necessary
</t>
  </si>
  <si>
    <t>Activity 26 - Audits to Support Proposal Analysis; Task 4</t>
  </si>
  <si>
    <t xml:space="preserve">Review the field pricing and/or audit report for information and support. </t>
  </si>
  <si>
    <t>Analysis of pricing/audit report</t>
  </si>
  <si>
    <t>SS - 137</t>
  </si>
  <si>
    <t>Enable users to document price analysis and the audit report and determination that the final price is fair and reasonable. Enable the routing, review, and revision of such documents amongst the acquisition team, and where necessary, the approval of such documents. The system needs to make the action available for viewing in the contract file (Tab 14, Cost or Price and Technical Analysis Report)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</si>
  <si>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be able to evaluate offers using a variety of price analysis techniques in order to determine a fair and reasonable price as required by authoritative references. I also need to use the audit report to help me make my determination. I may need to collaborate with the acquisition team and route documents for review and approval.  I also need to be able to access the action in the contract file and export it if necessary.</t>
  </si>
  <si>
    <t xml:space="preserve">Ensure system can efficiently:
- Create/upload/import the price analysis and audit report
- Collaborate with the acquisition team
- Route documents for review and approval
- Access information in the contract file and export it if necessary
</t>
  </si>
  <si>
    <t>Activity 26 - Audits to Support Proposal Analysis; Task 5</t>
  </si>
  <si>
    <t>Take appropriate action to obtain the required data after being notified by the auditor that the data is deficient.</t>
  </si>
  <si>
    <t>Request to offeror for accurate data</t>
  </si>
  <si>
    <t>SS - 138</t>
  </si>
  <si>
    <t>Enable users to document the request for the offeror to provide accurate data. The system needs to make the action available for viewing in the contract file (Tab 14, Cost or Price and Technical Analysis Report) and provide the ability to export the data as a web-form or similar structured manner.</t>
  </si>
  <si>
    <t>As a CO/CS, I need to be able to request the offeror provide accurate data so I can get the data to support my analysis of their offer/quote.  I also need to be able to access the action in the contract file and export it if necessary.</t>
  </si>
  <si>
    <t xml:space="preserve">Ensure system can efficiently:
- Create/upload/import the request for accurate data
- Access information in the contract file and export it if necessary
</t>
  </si>
  <si>
    <t>Activity 26 - Audits to Support Proposal Analysis; Task 6</t>
  </si>
  <si>
    <t xml:space="preserve">Include audit and field pricing information in the official contract file. </t>
  </si>
  <si>
    <t xml:space="preserve">4.3.2
4.3.2.4
</t>
  </si>
  <si>
    <t>SS - 139</t>
  </si>
  <si>
    <t>Enable users to document the audit and field pricing information to support price reasonableness determinations. The system needs to make the action available for viewing in the contract file (Tab 14, Cost or Price and Technical Analysis Report) and provide the ability to export the data as a web-form or similar structured manner.</t>
  </si>
  <si>
    <t>As a CO/CS, I need to be able to create/upload/import the audit and field pricing information to help me support my determination that the price is fair and reasonable.  I also need to be able to access the action in the contract file and export it if necessary.</t>
  </si>
  <si>
    <t xml:space="preserve">Ensure system can efficiently:
- Create/upload/import the audit and field pricing information
- Access information in the contract file and export it if necessary
</t>
  </si>
  <si>
    <t>Activity 27 - Organizational Conflicts of Interest; Task 6 (Note--Tasks 1 thru 5 are in ACQ.020.080 Solicitation Documentation Development)</t>
  </si>
  <si>
    <t>If a conflict of interest is determined to exist that cannot be avoided or mitigated, notify the contractor and allow a responsible opportunity to respond.</t>
  </si>
  <si>
    <t>OCI notification</t>
  </si>
  <si>
    <t>SS - 140</t>
  </si>
  <si>
    <t>Enable users to document the determination that a conflict of interest exists and can't be avoided or mitigated. The CWS also needs to create/upload/import a notification to the contractor and allow a reasonable opportunity to respond. The system needs to make the action available for viewing in the contract file (Tab 10, RFP/RFQ and Amendments) and provide the ability to export the data as a web-form or similar structured manner.</t>
  </si>
  <si>
    <t>As a supplier, I need to be able to respond to requests for information or review documents, and depending on the document, may also be required to revise them or resubmit additional information so the CO/CS has what she/he needs to review my offer/quote. 
As a CO/CS, I need to create/upload/import my determination that a conflict of interest exists and can't be avoided or mitigated.  I also need to create/upload/import a notification to the contractor and afford them a reasonable opportunity to respond to my determination so I may consider all the facts.  I also need to be able to access the action in the contract file and export it if necessary.</t>
  </si>
  <si>
    <t>Ensure the CWS user is able to efficiently:
- Create/upload/import the determination and notification
- Collaborate with the supplier and receive responses to requests for information or document reviews
- Access information in the contract file and export it if necessary</t>
  </si>
  <si>
    <t>Activity 27 - Organizational Conflicts of Interest; Task 7</t>
  </si>
  <si>
    <t>Determine whether it is in the best interests of the United States to award notwithstanding the conflict.</t>
  </si>
  <si>
    <t>Best interest determination</t>
  </si>
  <si>
    <t>SS - 141</t>
  </si>
  <si>
    <t>Enable users to document the determination whether it is in the best interests of the Government to award notwithstanding the conflict. Enable the routing, review, and revision of such documents amongst the acquisition team, and where necessary, the approval of such documents. The system needs to make the action available for viewing in the contract file (Tab 15, Negotiation Memorandum)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</si>
  <si>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be able to determine whether it is in the best interests of the Government to award notwithstanding the conflict so I comply with the authoritative references. I may need to collaborate with the acquisition team and route documents for review and approval.  I also need to be able to access the action in the contract file and export it if necessary.</t>
  </si>
  <si>
    <t xml:space="preserve">Ensure system can efficiently:
- Create/upload/import the best interest determination
- Collaborate with the acquisition team
- Route documents for review and approval
- Access information in the contract file and export it if necessary
</t>
  </si>
  <si>
    <t>Activity 27 - Organizational Conflicts of Interest; Task 8</t>
  </si>
  <si>
    <t>Request a waiver.</t>
  </si>
  <si>
    <t>OCI waiver request</t>
  </si>
  <si>
    <t>SS - 142</t>
  </si>
  <si>
    <t>Enable users to document an OCI waiver request. Enable the routing, review, and revision of such documents amongst the acquisition team, and where necessary, the approval of such documents. The system needs to make the action available for viewing in the contract file (Tab 28, Required Approval/Clearances).</t>
  </si>
  <si>
    <t>As an acquisition team member, I need to be able to review and route documents, and depending on the document, may also be required to approve such documents so the CO/CS has what she/he needs to document acquisition decisions. 
As a CO/CS, I need to be able to request an OCI waiver where appropriate so I comply with the authoritative references. I may need to collaborate with the acquisition team and route documents for review and approval.  I also need to be able to access the action in the contract file and export it if necessary.</t>
  </si>
  <si>
    <t xml:space="preserve">Ensure system can efficiently:
- Create/upload/import the waiver request
- Collaborate with the acquisition team
- Route documents for review and approval
- Access information in the contract file and export it if necessary
</t>
  </si>
  <si>
    <t>Activity 27 - Organizational Conflicts of Interest; Task 9</t>
  </si>
  <si>
    <t>Include the waiver and decision in the contract file.</t>
  </si>
  <si>
    <t>SS - 143</t>
  </si>
  <si>
    <t>Enable users to upload the waiver and decision. The system needs to make the action available for viewing in the contract file (Tab 28, Required Approval/Clearances) and provide the ability to export the data as a web-form or similar structured manner.</t>
  </si>
  <si>
    <t>As a CO/CS, I need to be able to upload the waiver and decision to help me support my OCI determination.  I also need to be able to access the action in the contract file and export it if necessary.</t>
  </si>
  <si>
    <t xml:space="preserve">Ensure system can efficiently:
- Upload the waiver and decision
- Access information in the contract file and export it if necessary
</t>
  </si>
  <si>
    <t>Activity 27 - Organizational Conflicts of Interest; Task 10</t>
  </si>
  <si>
    <t>Resolve the conflict, if possible.</t>
  </si>
  <si>
    <t>Conflict resolution</t>
  </si>
  <si>
    <t>SS - 144</t>
  </si>
  <si>
    <t>Enable users to document the actions taken to resolve the OCI, if possible. The system needs to make the action available for viewing in the contract file (Tab 28, Required Approval/Clearances) and provide the ability to export the data as a web-form or similar structured manner.</t>
  </si>
  <si>
    <t>As a CO/CS, I need to be able to create/upload/import a document that addresses the actions taken to resolve the OCI, if possible so I comply with the authoritative references.  I also need to be able to access the action in the contract file and export it if necessary.</t>
  </si>
  <si>
    <t xml:space="preserve">Ensure system can efficiently:
- Create/upload/import the conflict resolution document
- Access information in the contract file and export it if necessary
</t>
  </si>
  <si>
    <t>ACQ.030.020</t>
  </si>
  <si>
    <t>Competitive Range Determination</t>
  </si>
  <si>
    <t>Identify and document comparative analysis of proposals that have a reasonable chance of being selected for award of a contract</t>
  </si>
  <si>
    <t>Activity 18 - Contracting by Negotiation; Task 21 (Note--Task 20 is in ACQ.030.010 Proposal Evaluation)</t>
  </si>
  <si>
    <t>Determine whether to award
without discussions or establish a
competitive range and conduct
discussions.</t>
  </si>
  <si>
    <t>Determination to award and documentation thereof or establish competitive range</t>
  </si>
  <si>
    <t>4.3.3
4.3.4
4.3.4.1
4.3.4.2
4.4
4.6.1
*</t>
  </si>
  <si>
    <t>SS - 145</t>
  </si>
  <si>
    <t>Enable users to document the determination whether to award without discussions or establish a competitive range and conduct discussions. The system needs to make the action available for viewing in the contract file (Tab 14, pre negotiation Memorandum) and provide the ability to export the data as a web-form or similar structured manner.</t>
  </si>
  <si>
    <t>As a CO/CS, I need to be able to determine whether to award without discussions or establish a competitive range and conduct discussions so I can comply with the authoritative references.  I also need to be able to access the action in the contract file and export it if necessary.</t>
  </si>
  <si>
    <t>Ensure system can efficiently:
- Create/upload/import the determination to award without discussions or establish a competitive range and conduct discussions
- Access information in the contract file and export it if necessary</t>
  </si>
  <si>
    <t>Activity 18 - Contracting by Negotiation; Task 21(b)(i) (Note--There is no Task 21b)</t>
  </si>
  <si>
    <t>Establish the competitive
range.</t>
  </si>
  <si>
    <t>Competitive range</t>
  </si>
  <si>
    <t>4.3.4.2
4.6.1</t>
  </si>
  <si>
    <t>SS - 146</t>
  </si>
  <si>
    <t>Enable users to document the establishment of the competitive range. The system needs to make the action available for viewing in the contract file (Tab 14, Pre negotiation Memorandum) and provide the ability to export the data as a web-form or similar structured manner.</t>
  </si>
  <si>
    <t>As a CO/CS, I need to be able to create/upload/import the document that establishes the competitive range so I know who is eligible for award so I can comply with the authoritative references.  I also need to be able to access the action in the contract file and export it if necessary.</t>
  </si>
  <si>
    <t>Ensure system can efficiently:
- Create/upload/import the document that establishes the competitive range
- Access information in the contract file and export it if necessary</t>
  </si>
  <si>
    <t>Activity 18 - Contracting by Negotiation; Task 21(b)(ii)</t>
  </si>
  <si>
    <t>Document the competitive
range decision.</t>
  </si>
  <si>
    <t>Document how the competitive range was determined</t>
  </si>
  <si>
    <t>4.3.4.2
4.6.1
*</t>
  </si>
  <si>
    <t>SS - 147</t>
  </si>
  <si>
    <t>Enable users to document the competitive range decision document. The system needs to make the action available for viewing in the contract file (Tab 14, Pre negotiation Memorandum) and provide the ability to export the data as a web-form or similar structured manner.</t>
  </si>
  <si>
    <t>As a CO/CS, I need to be able to create/upload/import the competitive range decision document so I know who is eligible for award so I can comply with the authoritative references.  I also need to be able to access the action in the contract file and export it if necessary.</t>
  </si>
  <si>
    <t>Ensure system can efficiently:
- Create/upload/import the competitive range decision document
- Access information in the contract file and export it if necessary</t>
  </si>
  <si>
    <t>ACQ.030.030</t>
  </si>
  <si>
    <t>Proposal Discussions/Clarifications</t>
  </si>
  <si>
    <t>Conduct discussions to obtain additional information or clarifications on information submitted by offeror(s)</t>
  </si>
  <si>
    <t>Activity 18 - Contracting by Negotiation; Task 21(b)(v) (Note--Task 21(b)(iv) is in ACQ.030.080 Notification / Debriefing of Unsuccessful Offeror)</t>
  </si>
  <si>
    <t>Conduct discussions.</t>
  </si>
  <si>
    <t>Discussions</t>
  </si>
  <si>
    <t>4.4.1
4.4.2
4.4.3
4.6.1
*</t>
  </si>
  <si>
    <t>SS - 148</t>
  </si>
  <si>
    <t>Enable users to document a negotiation document that addresses all the areas that were discussed. Enable the routing, review, and revision of such documents amongst the acquisition team, and where necessary, the approval of such documents. The system needs to make the action available for viewing in the contract file (Tab 15, Negotiation Memorandum)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</si>
  <si>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be able to conduct and document the discussions so there is a clear record of the evaluation and the Government's position and so I comply with the authoritative references. I may need to collaborate with the acquisition team and route documents for review and approval.  I also need to be able to access the action in the contract file and export it if necessary.</t>
  </si>
  <si>
    <t xml:space="preserve">Ensure system can efficiently:
- Create/upload/import the negotiation memorandum
- Collaborate with the acquisition team
- Route documents for review and approval
- Access information in the contract file and export it if necessary
</t>
  </si>
  <si>
    <t>ACQ.030.040</t>
  </si>
  <si>
    <t>Negotiations/Proposal Revisions</t>
  </si>
  <si>
    <t>Conduct negotiations with offeror(s) and accept proposal revisions, as necessary</t>
  </si>
  <si>
    <t>Activity 12 - Socioeconomic Programs and Set-Asides; Part C - 8(a) Programs; Task 6 (Note--Task 5 is in ACQ.020.080 Solicitation Documentation Development)</t>
  </si>
  <si>
    <t xml:space="preserve">For offerings under the 8(a) program, when using negotiation procedures, conduct any necessary negotiations with the SBA and/or the 8(a) contractor(s). </t>
  </si>
  <si>
    <t>Activity 17 - Indefinite-Delivery/ Indefinite-Quantity Contracts and Ordering Procedures; Part B - Procedures for Ordering Under ID/IQ Contracts; Task 3a (Note--there is no Task 3) (Note--Task 2 is in ACQ.020.080 Solicitation Documentation Development</t>
  </si>
  <si>
    <t>If ordering from an IDIQ contract and if IDIQ is a single award, determine whether the IDIQ establishes price.</t>
  </si>
  <si>
    <t>Determination of pricing structure</t>
  </si>
  <si>
    <t>4.3.2
4.6.1
*</t>
  </si>
  <si>
    <t>SS - 149</t>
  </si>
  <si>
    <t>Enable users to document a determination whether the IDIQ contract the user is ordering from establishes the price. The system needs to make the action available for viewing in the contract file (Tab 14, Cost or Price and Technical Analysis Report) and provide the ability to export the data as a web-form or similar structured manner.</t>
  </si>
  <si>
    <t>As a CO/CS, I need to be able to create/upload/import the determination whether the IDIQ contract I'm ordering from establishes the price so I understand the pricing structure.  I also need to be able to access the action in the contract file and export it if necessary.</t>
  </si>
  <si>
    <t>Activity 17 - Indefinite-Delivery/ Indefinite-Quantity Contracts and Ordering Procedures; Part B - Procedures for Ordering Under ID/IQ Contracts; Task 3b</t>
  </si>
  <si>
    <t>If ordering from an IDIQ contract, and if the single-award contract did not establish the price for the supply or service, negotiate price for each order.</t>
  </si>
  <si>
    <t>SS - 150</t>
  </si>
  <si>
    <t>Enable users to document the document that outlines the negotiations and establishes the price (if price was not established on the IDIQ). The system needs to make the action available for viewing in the contract file (Tab 14, Cost or Price and Technical Analysis Report) and provide the ability to export the data as a web-form or similar structured manner.</t>
  </si>
  <si>
    <t xml:space="preserve">As a CO/CS, I need to be able to create/upload/import the document that identifies the negotiations and the negotiated price for each order (if the price was not established for the IDIQ) so I understand how much the order will cost.  I also need to be able to access the action in the contract file and export it if necessary.
</t>
  </si>
  <si>
    <t xml:space="preserve">Ensure system can efficiently:
- Create/upload/import the negotiations and documented price
- Access information in the contract file and export it if necessary
</t>
  </si>
  <si>
    <t>Activity 17 - Indefinite-Delivery/ Indefinite-Quantity Contracts and Ordering Procedures; Part B - Procedures for Ordering Under ID/IQ Contracts; Task 4(a)(v) (Note--Task 4(a)(iv) is in ACQ.020.020 Justification for Other Than Full &amp; Open Competition (JOFOC) Development</t>
  </si>
  <si>
    <t xml:space="preserve">Negotiate price for each order. </t>
  </si>
  <si>
    <t>Enable users to document the negotiations and establishes the price (if price was not established on the IDIQ). The system needs to make the action available for viewing in the contract file (Tab 14, Cost or Price and Technical Analysis Report) and provide the ability to export the data as a web-form or similar structured manner.</t>
  </si>
  <si>
    <t>As a CO/CS, I need to be able to create/upload/import the document that identifies the negotiations and the negotiated price for each order (if the price was not established for the IDIQ) so I understand how much the order will cost.  I also need to be able to access the action in the contract file and export it if necessary.</t>
  </si>
  <si>
    <t>Activity 18 - Contracting by Negotiation; Task 21(b)(vi) (Note--Task 21(b)(v) is in ACQ.030.030 Proposal Discussions / Clarifications)</t>
  </si>
  <si>
    <t>Request final proposal
revisions.</t>
  </si>
  <si>
    <t>FPR Request</t>
  </si>
  <si>
    <t xml:space="preserve">
4.3.3
4.4.3
4.6.1
</t>
  </si>
  <si>
    <t>SS - 151</t>
  </si>
  <si>
    <t>Enable users to document the request for final proposal revisions. The CWS also needs to create/upload/import a notification to the contractor and allow them to submit their final proposal revisions. The system needs to make the action available for viewing in the contract file (Tab 15, Price Negotiation Memorandum) and provide the ability to export the data as a web-form or similar structured manner.</t>
  </si>
  <si>
    <t>As a supplier, I need to be able to respond to requests for information or review documents, and depending on the document, may also be required to revise them or resubmit additional information so the CO/CS has what she/he needs to review my offer/quote. 
As a CO/CS, I need to be able to create/upload/import the request for final proposal revisions so I can analyze the final price for the offer/quote.  I also need to be able to access the action in the contract file and export it if necessary.</t>
  </si>
  <si>
    <t xml:space="preserve">Ensure system can efficiently:
- Create/upload/import the request for final proposal revisions
- Collaborate with the supplier and receive responses to requests for information or document reviews
- Access information in the contract file and export it if necessary
</t>
  </si>
  <si>
    <t>Activity 21 - Cost Analysis; Task 5 (Note--Task 4 is in ACQ.030.010 Proposal Evaluation)</t>
  </si>
  <si>
    <t>As necessary, when conducting a cost-analysis, develop a pre negotiation position.</t>
  </si>
  <si>
    <t>pre negotiation memorandum</t>
  </si>
  <si>
    <t>4.4.1
4.4.2
4.4.3
4.6.1</t>
  </si>
  <si>
    <t>SS - 152</t>
  </si>
  <si>
    <t>Enable users to document the cost analysis, related decisions and pricing objectives into a pre negotiation memorandum. Enable the routing, review, and revision of such documents amongst the acquisition team, and where necessary, the approval of such documents. The system needs to make the action available for viewing in the contract file (Tab 14, Cost or Price and Technical Analysis Report)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</si>
  <si>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be able to document my cost analysis, related decisions, and pricing objectives in a pre negotiation memorandum in order to determine a fair and reasonable price and/or establish negotiation objectives as required by authoritative references. I may need to collaborate with the acquisition team and route documents for review and approval.  I also need to be able to access the action in the contract file and export it if necessary.</t>
  </si>
  <si>
    <t xml:space="preserve">Ensure system can efficiently:
- Create/upload/import the cost analysis, related decisions, and pricing objectives in a pre negotiation memorandum
- Collaborate with the acquisition team
- Route documents for review and approval
- Access information in the contract file and export it if necessary
</t>
  </si>
  <si>
    <t>Activity 21 - Cost Analysis; Task 6</t>
  </si>
  <si>
    <t>As necessary, when conducting a cost-analysis, negotiate.</t>
  </si>
  <si>
    <t>Negotiations</t>
  </si>
  <si>
    <t>SS - 153</t>
  </si>
  <si>
    <t>Enable users to document the negotiation position and outcomes. The system needs to make the action available for viewing in the contract file (Tab 15, Price Negotiation Memorandum) and provide the ability to export the data as a web-form or similar structured manner.</t>
  </si>
  <si>
    <t>As a CO/CS, I need to be able to create/upload/import the document that identifies the negotiations and outcomes so I understand the full offer/quote.  I also need to be able to access the action in the contract file and export it if necessary.</t>
  </si>
  <si>
    <t xml:space="preserve">Ensure system can efficiently:
- Create/upload/import the negotiations and outcomes
- Access information in the contract file and export it if necessary
</t>
  </si>
  <si>
    <t>Activity 21 - Cost Analysis; Task 7</t>
  </si>
  <si>
    <t>Document the contract file</t>
  </si>
  <si>
    <t>SS - 154</t>
  </si>
  <si>
    <t>Enable users to document the negotiation memorandum and document the contract file (Tab 15, Price Negotiation Memorandum) and provide the ability to export the data as a web-form or similar structured manner.</t>
  </si>
  <si>
    <t>As a CO/CS, I need to be able to document the negotiations and the outcomes so I understand the full offer/quote.  I also need to be able to access the action in the contract file and export it if necessary.</t>
  </si>
  <si>
    <t>Activity 23 - Subcontracting Requirements; Part C - Make-or-Buy Programs; Task 1</t>
  </si>
  <si>
    <t>For make-or-buy programs, prepare a pre negotiation position on the proposed make-or-buy program.</t>
  </si>
  <si>
    <t>pre negotiation Memorandum</t>
  </si>
  <si>
    <t>SS - 155</t>
  </si>
  <si>
    <t>Enable users to document the pre negotiation analysis, related decisions and pricing objectives into a pre negotiation memorandum. Enable the routing, review, and revision of such documents amongst the acquisition team, and where necessary, the approval of such documents. The system needs to make the action available for viewing in the contract file (Tab 14, Cost or Price and Technical Analysis Report)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</si>
  <si>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be able to document my pre negotiation analysis, related decisions, and pricing objectives in a pre negotiation memorandum in order to determine a fair and reasonable price and/or establish negotiation objectives as required by authoritative references. I may need to collaborate with the acquisition team and route documents for review and approval.  I also need to be able to access the action in the contract file and export it if necessary.</t>
  </si>
  <si>
    <t xml:space="preserve">Ensure system can efficiently:
- Create/upload/import the pre negotiation analysis, related decisions, and pricing objectives in a pre negotiation memorandum
- Collaborate with the acquisition team
- Route documents for review and approval
- Access information in the contract file and export it if necessary
</t>
  </si>
  <si>
    <t>Activity 23 - Subcontracting Requirements; Part C - Make-or-Buy Programs; Task 2</t>
  </si>
  <si>
    <t xml:space="preserve">For make-or-buy programs, negotiate an agreement on the make-or-buy program. </t>
  </si>
  <si>
    <t>Negotiation Memorandum</t>
  </si>
  <si>
    <t>Enable users to document the negotiation memorandum. The system needs to make the action available for viewing in the contract file (Tab 15, Price Negotiation Memorandum) and provide the ability to export the data as a web-form or similar structured manner.</t>
  </si>
  <si>
    <t>Activity 23 - Subcontracting Requirements; Part C - Make-or-Buy Programs; Task 3</t>
  </si>
  <si>
    <t xml:space="preserve">For make-or-buy programs, determine whether to incorporate an agreement on a make-or-buy program in the resultant contract. </t>
  </si>
  <si>
    <t>Determination to incorporate agreement</t>
  </si>
  <si>
    <t>SS - 156</t>
  </si>
  <si>
    <t>Enable users to document the determination whether to incorporate an agreement on a make-or-buy program in resultant contracts. The system needs to make the action available for viewing in the contract file (Tab 15, Price Negotiation Memorandum) and provide the ability to export the data as a web-form or similar structured manner.</t>
  </si>
  <si>
    <t>As a CO/CS, I need to be able to document the determination whether to incorporate an agreement on a make-or-buy program in resultant contracts so I comply with the authoritative references.  I also need to be able to access the action in the contract file and export it if necessary.</t>
  </si>
  <si>
    <t>ACQ.030.050</t>
  </si>
  <si>
    <t>Best Value Determination and Source Selection Authority Briefing</t>
  </si>
  <si>
    <t>Determine and document for the source selection authority's consideration the recommended outcome that, in the Government’s estimation, provides the greatest overall benefit in response to the government's requirements</t>
  </si>
  <si>
    <t>Activity 8 - Basic Agreements and Basic Ordering Agreements; Task 4f (Note--4a &amp; 4b are in ACQ.020.080 Solicitation Documentation Development and 4c - 4e are above)</t>
  </si>
  <si>
    <t>If using a Basic Agreement or Basic Ordering Agreement, issue the order.</t>
  </si>
  <si>
    <t xml:space="preserve">Activity 8 - Basic Agreements and Basic Ordering Agreements; Task 4g </t>
  </si>
  <si>
    <t>If using a Basic Agreement or Basic Ordering Agreement, publicize the BOA order, if required.</t>
  </si>
  <si>
    <t>Publication of order if required</t>
  </si>
  <si>
    <t>5.2.2
5.2.3
5.5.1
*</t>
  </si>
  <si>
    <t>SS - 157</t>
  </si>
  <si>
    <t>Enable users to document the synopsis of the award to Federal Business Opportunities (FBO). The CWS needs to document the contract award in the contract file (Tab 26, Notices) and provide the ability to export the data as a web-form or similar structured manner.</t>
  </si>
  <si>
    <t>As a CO/CS,  I need to issue a synopsis of my contract award to comply with the authoritative reference. I also need to be able to access the action in the contract file and export it if necessary.</t>
  </si>
  <si>
    <t>Ensure system can efficiently:
- Create/upload/import the synopsis of the contract award to Federal Business Opportunities (FBO)
- Access information in the contract file and export it if necessary</t>
  </si>
  <si>
    <t>Activity 12 - Socioeconomic Programs and Set-Asides; Part A - Acquisitions Not Exceeding the Simplified Acquisition Threshold; Task 5a (Note--Task 4 is in ACQ.030.010 Proposal Evaluation. Also, there is a paragraph numbering error in the FAI Blueprint - this should be Task 5a (and not 4a)</t>
  </si>
  <si>
    <t xml:space="preserve">If the procurement is set aside and the apparent successful offeror is responsible, make the award. </t>
  </si>
  <si>
    <t>Activity 12 - Socioeconomic Programs and Set-Asides; Part A - Acquisitions Not Exceeding the Simplified Acquisition Threshold; Task 7 (Note--Task 6 is in ACQ.030.040 Proposal Evaluation. Also, there is a paragraph numbering error in the FAI Blueprint - this should be Task 7 (and not 6))</t>
  </si>
  <si>
    <t xml:space="preserve">If procurement is set aside, publicize the proposed contract action. </t>
  </si>
  <si>
    <t>Publication</t>
  </si>
  <si>
    <t>Activity 12 - Socioeconomic Programs and Set-Asides; Part B - Acquisitions Exceeding the Simplified Acquisition Threshold; Task 5 (Note--Task 4 is in ACQ.010.050 Acquisition Strategy / Plan Development)</t>
  </si>
  <si>
    <t xml:space="preserve">If procurement is a partial-set-aside, award the non-set-aside portion using normal contracting procedures. </t>
  </si>
  <si>
    <t>Activity 12 - Socioeconomic Programs and Set-Asides; Part B - Acquisitions Exceeding the Simplified Acquisition Threshold; Task 6</t>
  </si>
  <si>
    <t xml:space="preserve">After all awards have been made on the non-set-aside portion, negotiate with eligible concerns on the set-aside portion and make the award. </t>
  </si>
  <si>
    <t>4.4
4.5.1.1
4.5.2
4.6.1
*</t>
  </si>
  <si>
    <t>SS - 158</t>
  </si>
  <si>
    <t>Enable users to document a negotiation memorandum that outlines the areas to be negotiated and the outcomes of the negotiation. The system needs to make the action available for viewing in the contract file with the negotiation memorandum (Tab 15, Price Negotiation Memorandum).
The CWS shall also allow users to create the award/order on a variety of award/order forms - Award/Order is generally made by using the SF 44, Purchase Order-Invoice-Voucher, or OF 347 - Order for Supplies or Services (and OF 348 - Order for Supplies and Services Schedule - Continuation), or the award portion of Standard Form (SF) 33, Solicitation, Offer, and Award, or SF 1447, Solicitation/Contract (see FAR 53.214). If an offer from a SF 33 leads to further changes, the resulting contract shall be prepared as a bilateral document on SF 26, Award/Contract. Award/Order may also be made using the Standard Form 1449, Solicitation/Contract/Order for Commercial Items. In addition to the FAR-based forms, GSA may use the GSA Form 1535, Recommendation for Award(s), and GSA Form 1535-A, Recommendation for Award(s), Continuation Sheet, to document proposed awards. Enable the user to either incorporate by reference or attach documents to the award (e.g., final proposal revisions, subcontracting plans, etc.) as designated by the user. The system needs to make the action available for viewing in the contract file (Tab 23a, Contractual Action) and provide the ability to export the data as a web-form or similar structured manner.</t>
  </si>
  <si>
    <t>As a CO/CS, I need to document the negotiations and outcomes in the contract file. I also need to create the award/order on a variety of forms appropriate to the acquisition and create the award package.  I also need to be able to access the action in the contract file and export it if necessary.</t>
  </si>
  <si>
    <t>Ensure system can efficiently:
- Document the negotiations and outcomes
- Create the award/order on the appropriate form
- Create the award package
- Access information in the contract file and export it if necessary</t>
  </si>
  <si>
    <t>Activity 12 - Socioeconomic Programs and Set-Asides; Part C - 8(a) Programs; Task 7 (Note--Task 6 is in ACQ.030.040 Negotiations/Proposal Revisions)</t>
  </si>
  <si>
    <t xml:space="preserve">Upon selection of a successful offeror, await the SBA’s determination regarding the eligibility of the successful offeror. </t>
  </si>
  <si>
    <t>4.5.1
4.5.2
4.5.3
4.5.4
4.6.1
*</t>
  </si>
  <si>
    <t>SS - 159</t>
  </si>
  <si>
    <t>Enable users to upload the SBA's determination regarding the eligibility of the successful offeror. The system needs to make the action available for viewing in the contract file (Tab 23, Contractual Action) and provide the ability to export the data as a web-form or similar structured manner.</t>
  </si>
  <si>
    <t>As a CO/CS, I need to await the SBA's determination regarding the eligibility of the successful offer and on receipt of the determination, upload it to the contract file.</t>
  </si>
  <si>
    <t>Ensure system can efficiently:
- Upload SBA's determination of eligibility
- Access information in the contract file and export it if necessary</t>
  </si>
  <si>
    <t>Activity 12 - Socioeconomic Programs and Set-Asides; Part C - 8(a) Programs; Task 8</t>
  </si>
  <si>
    <t xml:space="preserve">Determine whether the award would be at a fair market price. </t>
  </si>
  <si>
    <t>Enable users to document the price analysis, and determination that the price is fair and reasonable and related decisions and pricing objectives into a pre negotiation memorandum. Enable the routing, review, and revision of such documents, and where necessary, the approval of such documents. The system needs to make the action available for viewing in the contract file (Tab 14, Cost or Price and Technical Analysis Report) and provide the ability to export the data as a web-form or similar structured manner.</t>
  </si>
  <si>
    <t>4.3.2
4.3.2.3
4.3.2.4
4.6.1
*</t>
  </si>
  <si>
    <t>SS - 160</t>
  </si>
  <si>
    <t>Enable users to document the determination that the price is fair and reasonable. The CWS shall be able to route the document for review and approvals as applicable. The CWS needs to document the award decision. The system needs to make the action available for viewing in the contract file (Tab 15, Negotiation Memorandum)  and provide the ability to export the data as a web-form or similar structured manner.</t>
  </si>
  <si>
    <t>As an acquisition team member, I need to be able to review and/or approve documents and/or suggest revisions so I can lend my expertise to the acquisition and comply with the authoritative references. 
As a CO/CS,  I need to determine the price is fair and reasonable based on the market research, comparison of the proposed prices against historical prices, comparison of current catalogs/price lists, comparison with similar items, my knowledge of the item being purchased, comparison to the IGCE/IGPE, and any other reasonable basis. I also need create/upload/import the award determination so I comply with the authoritative references. I also need to be able to access the action in the contract file and export it if necessary.</t>
  </si>
  <si>
    <t>Ensure system can efficiently:
- Create/upload/import the notification that the price is fair and reasonable
- Route the response among acquisition team members for review and approval
- Enable acquisition team members to make edits/revisions/deletions
- Access information in the contract file and export it if necessary</t>
  </si>
  <si>
    <t>Activity 14 - Federal Supply Schedules; Part C - Procedures for Placing Orders and Establishing a BPA Against an FSS Contract When a Statement of Work (SOW) is not Required; Task 5 (Note--Task 4 is in ACQ.030.010 Proposal Evaluation)</t>
  </si>
  <si>
    <t>For FSS orders, document the award decision.</t>
  </si>
  <si>
    <t>Award decision document</t>
  </si>
  <si>
    <t>Enable users to document the determination that the price is fair and reasonable. The CWS shall be able to route the document for review and approvals as applicable. The system needs to make the action available for viewing in the contract file (Tab 15, Negotiation Memorandum)  and provide the ability to export the data as a web-form or similar structured manner.</t>
  </si>
  <si>
    <t>ACQ.030.060</t>
  </si>
  <si>
    <t>Award Decision</t>
  </si>
  <si>
    <t>Determine and document the winning offeror(s) based on information provided and award criteria</t>
  </si>
  <si>
    <t>Activity 15 - Simplified Acquisition Procedures; Part A - Simplified Acquisition Procedures; Task 6 (Note--Task 5 is in ACQ.030.010 Proposal Evaluation)</t>
  </si>
  <si>
    <t xml:space="preserve">For SAT buys, document the contract file. </t>
  </si>
  <si>
    <t>SS - 161</t>
  </si>
  <si>
    <t>Enable users to document the determination that the price is fair and reasonable. The CWS shall be able to route the document for review and approvals as applicable. The CWS needs to document the award decision. The CWS also needs to report the award to the GPE and FPDS. The system needs to make the action available for viewing in the contract file (Tab 15, Negotiation Memorandum)  and provide the ability to export the data as a web-form or similar structured manner.</t>
  </si>
  <si>
    <t>As an acquisition team member, I need to be able to review and/or approve documents and/or suggest revisions so I can lend my expertise to the acquisition and comply with the authoritative references. 
As a CO/CS,  I need to determine the price is fair and reasonable based on the market research, comparison of the proposed prices against historical prices, comparison of current catalogs/price lists, comparison with similar items, my knowledge of the item being purchased, comparison to the IGCE/IGPE, and any other reasonable basis. I also need create/upload/import the award determination so I comply with the authoritative references and report the award to GPE and FPDS. I also need to be able to access the action in the contract file and export it if necessary.</t>
  </si>
  <si>
    <t>Ensure system can efficiently:
- Create/upload/import the notification that the price is fair and reasonable
- Route the response among acquisition team members for review and approval
- Enable acquisition team members to make edits/revisions/deletions 
- Report the award to GPE and FPDS
- Access information in the contract file and export it if necessary</t>
  </si>
  <si>
    <t>Activity 16 - Sealed Bidding; Part A - Sealed Bidding; Task 21 (Note--Task 20 is in ACQ.030.010 Proposal Evaluation)</t>
  </si>
  <si>
    <t>Obtain any reviews or approvals required prior to contract award.</t>
  </si>
  <si>
    <t>Reviews/approvals</t>
  </si>
  <si>
    <t>4.5.3
4.6.1
*</t>
  </si>
  <si>
    <t>SS - 162</t>
  </si>
  <si>
    <t>Deliver an integrated workflow management capability to automate routing of documents, transactions, forms or reports for review and approvals. The system needs to make the action available for viewing in the contract file (Tab 28, Required Approval/Clearance)  and provide the ability to export the data as a web-form or similar structured manner.</t>
  </si>
  <si>
    <t>As an acquisition team member, I need to be able to review and/or approve documents and/or suggest revisions so I can lend my expertise to the acquisition and comply with the authoritative references. 
As a CO/CS, I need to route documents for review and approval to various acquisition team members and review any recommended edits so I can comply with the authoritative references.  I also need to be able to access the action in the contract file and export it if necessary.</t>
  </si>
  <si>
    <t>Ensure system can efficiently:
- Route documents, transactions, forms or reports for reviews and approvals.
- Access information in the contract file and export it if necessary</t>
  </si>
  <si>
    <t>Activity 16 - Sealed Bidding; Part A - Sealed Bidding; Task 22</t>
  </si>
  <si>
    <t>Issue notice of award.</t>
  </si>
  <si>
    <t>Notice of award</t>
  </si>
  <si>
    <t>SS - 163</t>
  </si>
  <si>
    <t>Enable users to document the notice of award and post it to the GPE and FPDS. The CWS needs to be able to distribute the notice of award. The system needs to make the action available for viewing in the contract file (Tab 26, Notices) and provide the ability to export the data as a web-form or similar structured manner.</t>
  </si>
  <si>
    <t>As a CO/CS,  I need to issue a notice of award on the appropriate form(s) to notify the awardee(s) of the award. I need to post the award notice to the GPE and FPDS.  I also need to be able to access the action in the contract file and export it if necessary.</t>
  </si>
  <si>
    <t>Ensure system can efficiently:
- Create/upload/import the notice of award
- Post award notice to GPE and FPDS
- Distribute the notice
- Access information in the contract file and export it if necessary</t>
  </si>
  <si>
    <t>When contracting by negotiation and the determination is made to not hold discussions, make award without discussions.</t>
  </si>
  <si>
    <t>Award decision, GPE posting, and FPDS reporting</t>
  </si>
  <si>
    <t>4.5.1
5.1
5.2
5.5.1</t>
  </si>
  <si>
    <t>SS - 164</t>
  </si>
  <si>
    <t xml:space="preserve">Enable users to document the contract award. The CWS shall also allow users to document the determination to not hold discussions. The CWS shall file the determination in the contract file (Tab 14, pre negotiation Memorandum) to not hold discussions. The CWS shall post the award to the GPE and FPDS. The system needs to make the action available for viewing in the contract file (Tab 23a, Contractual Action) and provide the ability to export the data as a web-form or similar structured manner. </t>
  </si>
  <si>
    <t>As a CO/CS, I need to be able to make award without discussions, documenting the rationale for not holding discussions in the pre negotiation memorandum. I need to post the award to the GPE and FPDS.  I also need to document the award in the contract file.</t>
  </si>
  <si>
    <t>Ensure system can efficiently:
- Create/upload/import the contract award
- Document the determination to not hold discussions
- Post the award notice to GPE and FPDS
- Access information in the contract file and export it if necessary</t>
  </si>
  <si>
    <t>Activity 18 - Contracting by Negotiation; Task 27 (Note--Task 26 is in ACQ.030.070 Contract Award Issuance)</t>
  </si>
  <si>
    <t>Obtain any reviews or approvals
required prior to contract award.</t>
  </si>
  <si>
    <t>Reviews &amp; approvals</t>
  </si>
  <si>
    <t xml:space="preserve">Deliver an integrated workflow management capability to automate routing of documents, transactions, forms or reports for review and approvals. The system needs to make the action available for viewing in the contract file (Tab 28, Required Approval/Clearance) and provide the ability to export the data as a web-form or similar structured manner. </t>
  </si>
  <si>
    <t>ACQ.030.070</t>
  </si>
  <si>
    <t>Contract Award Issuance</t>
  </si>
  <si>
    <t>Develop and issue to successful offeror(s) contract award and associated documents; Verify availability of and obligate funds; Request/confirm set-up of payee record; Includes developing/issuing contracts, task orders, and purchase orders</t>
  </si>
  <si>
    <t>Activity 12 - Socioeconomic Programs and Set-Asides; Part C - 8(a) Programs; Task 13 (Note - Task 12 is under ACQ.030.010 Proposal Evaluation)</t>
  </si>
  <si>
    <t xml:space="preserve">For procurements set-aside, prepare appropriate contract documents. </t>
  </si>
  <si>
    <t>SS - 165</t>
  </si>
  <si>
    <t xml:space="preserve">Enable users to document the appropriate contract documents for procurement set-asides based on whether the award will be on a sole-source or competitive basis. Enable the user to use the appropriate forms, cite the correct authorities, add the required clauses as required by the authoritative references. Enable the contracts to be signed and approved. The system needs to make the action available for viewing in the contract file (Tab 23a, Contractual Action) and provide the ability to export the data as a web-form or similar structured manner. </t>
  </si>
  <si>
    <t>As a CO/CS, I need to be able to make set-aside awards based on whether the award will be on a sole-source or competitive basis, and use the appropriate forms, authorities, and clauses in order to comply with the authoritative references. I also need to document the award in the contract file.</t>
  </si>
  <si>
    <t>Ensure system can efficiently:
- Create/upload/import the contract award using the appropriate forms, correct authorities, and required clauses
- Access information in the contract file and export it if necessary</t>
  </si>
  <si>
    <t>Activity 14 - Federal Supply Schedules; Part A - Procedural Rules for Orders Placed and BPAS Established Against Federal Supply Schedule (FSS) Contracts; Task 1</t>
  </si>
  <si>
    <t>For Federal Supply Schedule (FSS Contracts - To place an individual order against an FSS contract or to establish a BPA against a FSS contract, follow the procedures in FAR 8.405-1, 8.405-2 or 8.405-3.</t>
  </si>
  <si>
    <t>SS - 166</t>
  </si>
  <si>
    <t xml:space="preserve">Enable users to document an order placed against a FSS contract or establish a BPA against a FSS contract that follows the procedures outlined in the authoritative references. The CWS shall be able to process multiple funding streams for orders. The system needs to make the action available for viewing in the contract file (Tab 23a, Contractual Action) and provide the ability to export the data as a web-form or similar structured manner. </t>
  </si>
  <si>
    <t xml:space="preserve">As a CO/CS, I need to create the award/order and/or obligate funding on a variety of forms appropriate to the acquisition and create the award package so that I comply with the authoritative references.  I also need to be able to access the action in the contract file and export it if necessary. </t>
  </si>
  <si>
    <t>Ensure system can efficiently:
- Create/upload/import the order with the proper funding or establish the BPA
- Use the correct ordering procedures based on the specifics of the acquisition
- Access information in the contract file and export it if necessary</t>
  </si>
  <si>
    <t>Activity 14 - Federal Supply Schedules; Part A - Procedural Rules for Orders Placed and BPAS Established Against Federal Supply Schedule (FSS) Contracts; Task 2</t>
  </si>
  <si>
    <t xml:space="preserve">For Federal Supply Schedule (FSS) Contracts - To place an individual order against an FSS contract or to establish a BPA against an FSS contract based on limited sources, follow the procedures in FAR 8.405-6. </t>
  </si>
  <si>
    <t>5.2.3
5.5.1</t>
  </si>
  <si>
    <t>SS - 167</t>
  </si>
  <si>
    <t>Enable users to document a justification to limit sources on an order placed against a FSS contract or a BPA established against a FSS contract. Enable the user to publish a notice required by FAR 5.301 and post the justification. Enable users to document an order following the ordering procedures outlined in the authoritative references. The system needs to make the action available for viewing in the contract file (justification gets filed in Tab 4, Determinations /Findings /Justifications; the posting gets filed in Tab 26, Notices; and the order gets filed in Tab 23a, Contractual Action) and provide the ability to export the data as a web-form or similar structured manner.</t>
  </si>
  <si>
    <t xml:space="preserve">As a CO/CS, I need to be able to create/upload/import a justification to limit sources on an order placed against a FSS contract or a BPA established against a FSS contract. I also need to publish a notice required by FAR 5.301 and post the justification to provide transparency to the general public. I also need to ensure I use the appropriate ordering procedures as outlined in the authoritative references (e.g., micro purchase/SAT thresholds and above, with/without a statement of work, restrictive competitions, etc.) for the order.  I also need to be able to access the action in the contract file and export it if necessary. </t>
  </si>
  <si>
    <t>Ensure system can efficiently:
- Create/upload/import the justification to limit sources 
- Publish the notice and post the justification
- Create/upload/import the order or establish the BPA
- Use the correct ordering procedures based on the specifics of the acquisition
- Access information in the contract file and export it if necessary</t>
  </si>
  <si>
    <t>Activity 14 - Federal Supply Schedules; Part B - Procedures for Placing FSS Orders at or Below the Micro-Purchase Threshold; Task 2 (Note--Task 1 is in ACQ.010.050 Acquisition Strategy/ Plan Development</t>
  </si>
  <si>
    <t xml:space="preserve">If using the FSS, and for orders at or below the micro-purchase threshold, place an order directly with any FSS contractor that can meet the agency’s needs. </t>
  </si>
  <si>
    <t>SS - 168</t>
  </si>
  <si>
    <t xml:space="preserve">Enable users to document an order placed against a FSS contract or establish a BPA against a FSS contract that follows the procedures outlined in the authoritative references. The system needs to make the action available for viewing in the contract file (Tab 23a, Contractual Action) and provide the ability to export the data as a web-form or similar structured manner. </t>
  </si>
  <si>
    <t xml:space="preserve">As a CO/CS, I need to be able to create/upload/import an order against a FSS contract or establish a BPA against a FSS contract that uses the appropriate ordering procedures as outlined in the authoritative references (e.g., micro purchase/SAT thresholds and above, with/without a statement of work, restrictive competitions, etc.).  I also need to be able to access the action in the contract file and export it if necessary. </t>
  </si>
  <si>
    <t>Ensure system can efficiently:
- Create/upload/import the order or establish the BPA
- Use the correct ordering procedures based on the specifics of the acquisition
- Access information in the contract file and export it if necessary</t>
  </si>
  <si>
    <t>Activity 14 - Federal Supply Schedules; Part C - Procedures for Placing Orders and Establishing a BPA Against an FSS Contract When a Statement of Work (SOW) is not Required; Task 6 (Note--Task 5 is in ACQ.030.050 Best Value Determination and Source Selection Authority Briefing)</t>
  </si>
  <si>
    <t xml:space="preserve">If using the FSS, place the order with a Schedule contractor or establish the BPA. </t>
  </si>
  <si>
    <t>Order/BPA</t>
  </si>
  <si>
    <t xml:space="preserve">Enable users to document and fund an order placed against a FSS contract or establish a BPA against a FSS contract that follows the procedures outlined in the authoritative references. The system needs to make the action available for viewing in the contract file (Tab 23a, Contractual Action) and provide the ability to export the data as a web-form or similar structured manner. </t>
  </si>
  <si>
    <t xml:space="preserve">If using FSS for services, place the FSS order for services with a Schedule contractor or establish the BPA. </t>
  </si>
  <si>
    <t>Activity 14 - Federal Supply Schedules; Part D - Procedures for Placing an Order for Services and Establishing a BPA Against an FSS Contract When a Statement of Work (SOW) is Required; Task 9</t>
  </si>
  <si>
    <t xml:space="preserve">If using FSS for services, document the contract file. </t>
  </si>
  <si>
    <t>5.5.1</t>
  </si>
  <si>
    <t>SS - 169</t>
  </si>
  <si>
    <t>The system shall allow users to document the contract file. The system needs to make the action available for viewing in the contract file (Tab 23a, Contractual Action) and provide the ability to export the data as a web-form or similar structured manner.</t>
  </si>
  <si>
    <t xml:space="preserve">As a CO/CS, I need to be able to document the contract file. </t>
  </si>
  <si>
    <t>Activity 14 - Federal Supply Schedules; Part E - Procedures for Placing Orders Under BPAs Established Against FSS Contracts; Task 1</t>
  </si>
  <si>
    <t xml:space="preserve">For single-award BPAs, place the order directly under the established BPA when the need for the supply or service arises. </t>
  </si>
  <si>
    <t>Enable users to document an order placed against an established BPA that follows the procedures outlined in the authoritative references. The system needs to make the action available for viewing in the contract file (Tab 23a, Contractual Action) and provide the ability to export the data as a web-form or similar structured manner</t>
  </si>
  <si>
    <t>Activity 14 - Federal Supply Schedules; Part E - Procedures for Placing Orders Under BPAs Established Against FSS Contracts; Task 2</t>
  </si>
  <si>
    <t>For multiple-award BPAs where the order is below the micro-purchase threshold, place order with any BPA holder</t>
  </si>
  <si>
    <t>Activity 15 - Simplified Acquisition Procedures; Part A - Simplified Acquisition Procedures; Task 2a (Note--Task 2 is in ACQ.010.050 Acquisition Strategy/ Plan Development) (Note--there is no Task 2b)</t>
  </si>
  <si>
    <t xml:space="preserve"> If use of a required source of supply or existing contract vehicle is not appropriate and the acquisition is at or below the micro-purchase threshold, use the governmentwide commercial purchase card to pay for the micro-purchase. </t>
  </si>
  <si>
    <t>Purchase</t>
  </si>
  <si>
    <t>SS - 170</t>
  </si>
  <si>
    <t>No system requirement - Documentation of purchase card transactions are not presently needed in CWS</t>
  </si>
  <si>
    <t>No user story - Actions associated with purchase card transactions are not presently needed in CWS</t>
  </si>
  <si>
    <t>Activity 15 - Simplified Acquisition Procedures; Part A - Simplified Acquisition Procedures; Task 7</t>
  </si>
  <si>
    <t xml:space="preserve">For SAT buys, issue notice of award, if applicable. </t>
  </si>
  <si>
    <t>SS - 171</t>
  </si>
  <si>
    <t>Enable users to document the notice of award to Federal Business Opportunities (FBO). The system needs to make the action available for viewing in the contract file (Tab 26, Notices) and provide the ability to export the data as a web-form or similar structured manner.</t>
  </si>
  <si>
    <t>As a CO/CS,  I need to issue a notice of award to comply with the authoritative reference. I also need to be able to access the action in the contract file and export it if necessary.</t>
  </si>
  <si>
    <t>Ensure system can efficiently:
- Create/upload/import the notice of award to Federal Business Opportunities (FBO)
- Access information in the contract file and export it if necessary</t>
  </si>
  <si>
    <t>Activity 15 - Simplified Acquisition Procedures; Part A - Simplified Acquisition Procedures; Task 8</t>
  </si>
  <si>
    <t xml:space="preserve">For SAT buys, make the award. </t>
  </si>
  <si>
    <t>Enable users to create the award/order on a variety of award/order forms - Award/Order is generally made by using the SF 44, Purchase Order-Invoice-Voucher, or OF 347 - Order for Supplies or Services (and OF 348 - Order for Supplies and Services Schedule - Continuation), GSA Form 300, or the award portion of Standard Form (SF) 33, Solicitation, Offer, and Award, or SF 1447, Solicitation/Contract (see FAR 53.214). If an offer from a SF 33 leads to further changes, the resulting contract shall be prepared as a bilateral document on SF 26, Award/Contract. Award/Order may also be made using the Standard Form 1449, Solicitation/Contract/Order for Commercial Items. In addition to the FAR-based forms, GSA may use the GSA Form 1535, Recommendation for Award(s), and GSA Form 1535-A, Recommendation for Award(s), Continuation Sheet, to document proposed awards. Enable the user to either incorporate by reference or attach documents to the award (e.g., final proposal revisions, subcontracting plans, etc.) as designated by the user. The system needs to make the action available for viewing in the contract file (Tab 23a, Contractual Action) and provide the ability to export the data as a web-form or similar structured manner.</t>
  </si>
  <si>
    <t>Activity 15 - Simplified Acquisition Procedures; Part B - Simplified Acquisition Procedures--Blanket Purchase Agreements; Task 4</t>
  </si>
  <si>
    <t>For SAT BPAs, make purchase under the BPA.</t>
  </si>
  <si>
    <t>Compliant purchase</t>
  </si>
  <si>
    <t>Enable users to create the award/order on a variety of award/order forms - Award/Order is generally made by using the SF 44, Purchase Order-Invoice-Voucher, or OF 347 - Order for Supplies or Services (and OF 348 - Order for Supplies and Services Schedule - Continuation), GSA 300, or the award portion of Standard Form (SF) 33, Solicitation, Offer, and Award, or SF 1447, Solicitation/Contract (see FAR 53.214). If an offer from a SF 33 leads to further changes, the resulting contract shall be prepared as a bilateral document on SF 26, Award/Contract. Award/Order may also be made using the Standard Form 1449, Solicitation/Contract/Order for Commercial Items. In addition to the FAR-based forms, GSA may use the GSA Form 1535, Recommendation for Award(s), and GSA Form 1535-A, Recommendation for Award(s), Continuation Sheet, to document proposed awards. Enable the user to either incorporate by reference or attach documents to the award (e.g., final proposal revisions, subcontracting plans, etc.) as designated by the user. The system needs to make the action available for viewing in the contract file (Tab 23a, Contractual Action) and provide the ability to export the data as a web-form or similar structured manner.</t>
  </si>
  <si>
    <t>Activity 15 - Simplified Acquisition Procedures; Part B - Simplified Acquisition Procedures--Blanket Purchase Agreements; Task 5</t>
  </si>
  <si>
    <t xml:space="preserve">For SAT BPAs, ensure that purchase limits are within authorized law. </t>
  </si>
  <si>
    <t>SS - 172</t>
  </si>
  <si>
    <t xml:space="preserve">The CWS shall ensure that purchase limits are within authorized law for SAT buys, including test programs. The CWS shall keep current with the authorized thresholds as they change. </t>
  </si>
  <si>
    <t xml:space="preserve">As a CO/CS, I need to ensure that individual purchases do not exceed the simplified acquisition threshold when using simplified acquisition procedures to that my purchase is compliant with the authoritative reference. </t>
  </si>
  <si>
    <t>Ensure the CWS user can efficiently:
- Enforce authorization thresholds for SAT, including test programs
- Make compliant purchases</t>
  </si>
  <si>
    <t>Activity 15 - Simplified Acquisition Procedures; Part B - Simplified Acquisition Procedures--Blanket Purchase Agreements; Task 8</t>
  </si>
  <si>
    <t xml:space="preserve">For SAT BPA buys, record essential elements in an internal memorandum. </t>
  </si>
  <si>
    <t>ACQ.040.010</t>
  </si>
  <si>
    <t>Kickoff Meeting/ Documentation of Contract Transition</t>
  </si>
  <si>
    <t>Conduct and document initial meeting with successful offeror, program manager, contracting officer's technical representative, etc. and provide any information from a previous contract that may be needed by the offeror</t>
  </si>
  <si>
    <t>Activity 30 - Contract Administration Planning; Task 1</t>
  </si>
  <si>
    <t>Determine the extent of contract surveillance.</t>
  </si>
  <si>
    <t>Contract surveillance determination</t>
  </si>
  <si>
    <t>SS - 173</t>
  </si>
  <si>
    <t>Enable users to document the essential elements of the SAT BPA buy. The system needs to make the action available for viewing in the contract file (Tab 23a, Contractual Action) and provide the ability to export the data as a web-form or similar structured manner.</t>
  </si>
  <si>
    <t>As a CO/CS, I need to record essential elements (e.g.,date, supplier, supplies or services, price, delivery date) on the purchase requisition, in an internal memorandum, or on a form developed locally for the purpose so I comply with the authoritative references. I also need to cite the pertinent purchase requisitions and the accounting and appropriation data to properly record the obligation.  I also need to be able to access the action in the contract file and export it if necessary.</t>
  </si>
  <si>
    <t>Ensure system can efficiently:
- Create/upload/import a document that records essential elements of a SAT BPA purchase
- Access information in the contract file and export it if necessary</t>
  </si>
  <si>
    <t>Activity 16 - Sealed Bidding; Part A - Sealed Bidding; Task 23</t>
  </si>
  <si>
    <t>For sealed bidding, make award</t>
  </si>
  <si>
    <t>Award documents</t>
  </si>
  <si>
    <t>6.1.1
6.6.1
*</t>
  </si>
  <si>
    <t>CA - 01</t>
  </si>
  <si>
    <t xml:space="preserve">In planning to administer the contract, enable users to classify contract actions at the time of award as major system acquisition or as a production contract. Prohibit users from classifying Federal Supply Schedule contracts and construction contracts as production contracts. Enable users to designate contracts for special surveillance. Enable users to identify special surveillance required. </t>
  </si>
  <si>
    <t>As a CO/CS, I need to assign specific surveillance methods to high risk major system and production contracts to ensure conformance with project specifications. I also need to be able to access the action in the contract file and export it if necessary.
As an ACO, I need to know what surveillance I am required to document.
As a COR, I need to know what surveillance I am required to perform and document for high risk major system or production contracts.</t>
  </si>
  <si>
    <t>Ensure system can efficiently:
- Classify and identify major system and production acquisition contracts or those otherwise requiring special surveillance
- Identify and display special surveillance methodologies to users
- Access information in the contract file and export it if necessary</t>
  </si>
  <si>
    <t>SS - 174</t>
  </si>
  <si>
    <t>As a CO/CS, I need to create the award/order and/or obligate funds on a variety of forms appropriate to the acquisition and create the award package.  I also need to be able to access the action in the contract file and export it if necessary.</t>
  </si>
  <si>
    <t>Ensure system can efficiently:
- Create and fund the award/order on the appropriate form
- Create the award package
- Access information in the contract file and export it if necessary</t>
  </si>
  <si>
    <t>Activity 16 - Sealed Bidding; Part A - Sealed Bidding; Task 26</t>
  </si>
  <si>
    <t xml:space="preserve">Ensure complete documentation of award is in the file. </t>
  </si>
  <si>
    <t>4.5.2
4.5.3
4.6.1
*</t>
  </si>
  <si>
    <t>SS - 175</t>
  </si>
  <si>
    <t>Enable users to document the sealed bid award. The system needs to make the action available for viewing in the contract file (Tab 23a, Contractual Action) and provide the ability to export the data as a web-form or similar structured manner.</t>
  </si>
  <si>
    <t>As a CO/CS, I need to create/upload/import a document that ensures that bids have been properly solicited (FAR 14.2); bids have been properly submitted (FAR 14.3); bids were awarded by a duly appointed CO following the competition requirements of FAR 6; and the award was made to the responsible bidder whose bid was responsive to the terms of the invitation for bids and was most advantageous to the Government, considering only price and the price related factors included in the invitation (FAR 14.4) so I comply with the authoritative references.  I also need to be able to access the action in the contract file and export it if necessary.</t>
  </si>
  <si>
    <t>Activity 30 - Contract Administration Planning; Task 2</t>
  </si>
  <si>
    <t>Ensure system can efficiently:
- Create/upload/import a proper award document
- Access information in the contract file and export it if necessary</t>
  </si>
  <si>
    <t>Determine what contract administration functions (if any) will be delegated</t>
  </si>
  <si>
    <t>Delegation determination</t>
  </si>
  <si>
    <t>Activity 16 - Sealed Bidding; Part A - Sealed Bidding; Task 27</t>
  </si>
  <si>
    <t>Synopsize contract award.</t>
  </si>
  <si>
    <t>4.5.1
4.5.2
4.5.4
4.6.1
*</t>
  </si>
  <si>
    <t>Enable users to document the synopsis of the award to Federal Business Opportunities (FBO). The system needs to make the action available for viewing in the contract file (Tab 26, Notices) and provide the ability to export the data as a web-form or similar structured manner.</t>
  </si>
  <si>
    <t>Activity 16 - Sealed Bidding; Part A - Sealed Bidding; Task 29</t>
  </si>
  <si>
    <t xml:space="preserve">If less than three bids were received, take appropriate action to increase competition for future requirements. </t>
  </si>
  <si>
    <t>CA - 02</t>
  </si>
  <si>
    <t xml:space="preserve">Enable users to delegate contract administration functions (roles) to named users in accordance with those described in FAR 42.302(a),(b).  Enable users to document the delegation, or enable users to select contract administration functions pursuant to FAR 42.302. The system needs to make the action available for viewing in the contract file (Tab 39, General Correspondence) and provide the ability to export the data as a web-form or similar structured manner. </t>
  </si>
  <si>
    <t>As a CO/CS, I need to be able to delegate contract administration functions to an ACO so roles and responsibilities are clearly defined. I also need to be able to access the action in the contract file and export it if necessary.
As an ACO or COR, I need to know what tasks and authorities have been delegated to me so I can perform the required functions within the scope of my authority.</t>
  </si>
  <si>
    <t>Ensure system can efficiently:
- Create a delegation of ACO functions or allow users to select contract administrations pursuant to the authoritative sources.
- Provide visibility of the functions that have been delegated and to whom to all users
- Access information in the contract file and export it if necessary</t>
  </si>
  <si>
    <t>5.2.3
5.5.1
*</t>
  </si>
  <si>
    <t>SS - 176</t>
  </si>
  <si>
    <t>Enable users to document the actions to take to increase competition for future requirements as applicable. The system needs to make the action available for viewing in the contract file (Tab 3, Acquisition Strategy) and provide the ability to export the data as a web-form or similar structured manner.</t>
  </si>
  <si>
    <t>As a CO/CS, and if I receive less than three bids on my procurement, I need to examine the situation to ascertain the reasons for the small number of responses and if appropriate, take action to increase competition in future solicitations for the same or similar items. I need to include a notation of such action in the records of the invitation for bids. I also need to be able to access the action in the contract file and export it if necessary.</t>
  </si>
  <si>
    <t>Activity 30 - Contract Administration Planning; Task 3</t>
  </si>
  <si>
    <t>Ensure system can efficiently:
- Create/upload/import a memo to the file that identifies actions to take to increase competition for future requirements
- Access information in the contract file and export it if necessary</t>
  </si>
  <si>
    <t>Delegate contract administration functions, as applicable.</t>
  </si>
  <si>
    <t>Delegation letter</t>
  </si>
  <si>
    <t>Activity 16 - Sealed Bidding; Part A - Sealed Bidding; Task 30</t>
  </si>
  <si>
    <t>Should there be an alleged mistake after award, request that the contractor support the alleged mistake.</t>
  </si>
  <si>
    <t>Request to support alleged mistakes</t>
  </si>
  <si>
    <t>CA - 03</t>
  </si>
  <si>
    <t xml:space="preserve">Allow users to delegate contract administration functions (roles) to named users in accordance with those described in FAR 42.302(a),(b).  Allow users to create/upload/import the delegation, or allow users to select contract administration functions pursuant to FAR 42.302. Notify the contractor and the individual who's been delegated contract administration function of the delegation and provide a copy to each. The system needs to make the action available for viewing in the contract file (Tab 39, General Correspondence) and provide the ability to export the data as a web-form or similar structured manner. </t>
  </si>
  <si>
    <t>As a CO/CS I need to be able to delegate contract administration functions to an ACO and/or COR. I need to notify the contractor and the individual(s) I've delegated contract administration functions/tasks/authorities of the delegation, their roles and responsibilities and what they are expected to do in the performance of their duties under the contract. I also need to be able to access the action in the contract file and export it if necessary.
As an ACO or COR, I need to know what tasks and authorities have been delegated to me so I can perform the required functions within the scope of my authority.</t>
  </si>
  <si>
    <t>Ensure system can efficiently:
- Delegate functions/tasks/authorities by selecting from a list or uploading/importing a document, or allow users to select contract administration pursuant to the authoritative sources
- Responsibilities can be viewed by affected users
- Access information in the contract file and export it if necessary</t>
  </si>
  <si>
    <t>SS - 177</t>
  </si>
  <si>
    <t>Enable users to document the request for the contractor to support any alleged mistakes after award.  The system needs to make the action available for viewing in the contract file (Tab 21, Mistakes in Bid/Protests) and provide the ability to export the data as a web-form or similar structured manner.</t>
  </si>
  <si>
    <t>If a mistake in bid is alleged after award, as the CO/CS, I need to request the contractor to support the alleged mistake by submission of written statements and pertinent evidence to include: 1) the contractor’s file copy of the bid, original worksheets and other data used in preparing the bid, subcontractors’ and suppliers’ quotations, if any, published price lists, and any other evidence that will serve to establish the mistake; 2) the manner in which the mistake occurred; and 3) the bid actually intended so I comply with the authoritative references.  I also need to be able to access the action in the contract file and export it if necessary.</t>
  </si>
  <si>
    <t>Ensure system can efficiently:
- Create/upload/import the request to support alleged mistakes in bid
- Access information in the contract file and export it if necessary</t>
  </si>
  <si>
    <t>Activity 30 - Contract Administration Planning; Task 4</t>
  </si>
  <si>
    <t>If required, develop a contract administration plan.</t>
  </si>
  <si>
    <t>Contract administration plan</t>
  </si>
  <si>
    <t>Activity 16 - Sealed Bidding; Part A - Sealed Bidding; Task 31</t>
  </si>
  <si>
    <t>Determine if there was a mistake and if the contracting officer should have been able to detect it.</t>
  </si>
  <si>
    <t>CA - 04</t>
  </si>
  <si>
    <t>Enable users to create a contract administration plan, as applicable. Enable users to document the Quality Assurance Surveillance Plan. The system needs to make the action available for viewing in the contract file (Tab 32, Inspection Reports for plans associated with the master contract or Tab 47 for plans associated with task orders) and provide the ability to export the data as a web-form or similar structured manner.</t>
  </si>
  <si>
    <t>As a CO/CS/COR, I need to know how surveillance will be accomplished to ensure conformance with contract terms and conditions. I also need to know the surveillance I am responsible for performing, including the standards the vendor needs to maintain, the acceptable quality levels of those standards, the method of surveillance and the frequency of surveillance. I also need to be able to access the action in the contract file and export it if necessary.</t>
  </si>
  <si>
    <t>Ensure system can efficiently:
- Create contract administration plan
- Generate QASP independently, from contract work statement, or allow user to create/upload/import external document
- Access and edit QASP
- Access information in the contract file and export it if necessary</t>
  </si>
  <si>
    <t>SS - 178</t>
  </si>
  <si>
    <t>Enable users to document a determination if there was a mistake in a bid and if the CO should have been able to detect it.  The system needs to make the action available for viewing in the contract file (Tab 21, Mistakes in Bid/Protests) and provide the ability to export the data as a web-form or similar structured manner.</t>
  </si>
  <si>
    <t>As the CO/CS, I need to determine if there was a mistake in a bid and if I should have been able to detect it. To help me reach my determination, I need to evaluate the information the contractor submitted as described in the row above so I comply with the authoritative references.  I also need to be able to access the action in the contract file and export it if necessary.</t>
  </si>
  <si>
    <t>Ensure system can efficiently:
- Create/upload/import the determination if there was a mistake in bid
- Access information in the contract file and export it if necessary</t>
  </si>
  <si>
    <t>Activity 30 - Contract Administration Planning; Task 5</t>
  </si>
  <si>
    <t xml:space="preserve">Identify qualified personnel (as authorized and necessary) to represent the contracting officer in administering contract requirements. </t>
  </si>
  <si>
    <t>Activity 16 - Sealed Bidding; Part A - Sealed Bidding; Task 32</t>
  </si>
  <si>
    <t xml:space="preserve">Determine the appropriate action regarding the alleged mistake. </t>
  </si>
  <si>
    <t>SS - 179</t>
  </si>
  <si>
    <t>Enable users to document a determination of the appropriate action to take regarding the alleged mistake.  The system needs to make the action available for viewing in the contract file (Tab 21, Mistakes in Bid/Protests) and provide the ability to export the data as a web-form or similar structured manner.</t>
  </si>
  <si>
    <t>As the CO/CS, I need to determine the appropriate action to take regarding the alleged mistake so I comply with the authoritative references.  I also need to be able to access the action in the contract file and export it if necessary.</t>
  </si>
  <si>
    <t>Ensure system can efficiently:
- Create/upload/import the determination of the appropriate action to take regarding the alleged mistake
- Access information in the contract file and export it if necessary</t>
  </si>
  <si>
    <t>CA - 05</t>
  </si>
  <si>
    <t xml:space="preserve">Restrict the ability to delegate contract administration functions to the Contracting Officer. Create a delegation if the CO elects to delegate functions/tasks. Document the delegation in the contract file. including the information that demonstrates the qualifications of personnel. The system needs to make the action available for viewing in the contract file (Tab 39, General Correspondence) and provide the ability to export the data as a web-form or similar structured manner. </t>
  </si>
  <si>
    <t>As a CO, I need to delegate contract administration functions as appropriate so roles and responsibilities are clearly defined and expectations are clear. I need to validate the individual personnel is qualified and has the necessary training and certification necessary to perform the functions/tasks of the delegation. I also need to be able to access the action in the contract file and export it if necessary.</t>
  </si>
  <si>
    <t>Ensure system can efficiently:
- Create a delegation and supporting documentation
- Access information in the contract file and export it if necessary</t>
  </si>
  <si>
    <t>Activity 16 - Sealed Bidding; Part A - Sealed Bidding; Task 33</t>
  </si>
  <si>
    <t>Prepare a case file and obtain legal clearance before issuing a decision on any alleged mistake.</t>
  </si>
  <si>
    <t>Findings, documented contract file and legal clearance</t>
  </si>
  <si>
    <t>Activity 30 - Contract Administration Planning; Task 6</t>
  </si>
  <si>
    <t xml:space="preserve">Notify the contractor of personnel authorized to represent the contracting officer in the administration of contract requirements. </t>
  </si>
  <si>
    <t>CA - 06</t>
  </si>
  <si>
    <t xml:space="preserve">Notify the contractor of personnel authorized to represent the Contracting Officer in the administration of the contract. Route the delegation to all users impacted by the delegation (e.g., contractor, ACO, CAO, COR, CO, CS, etc.). The system needs to make the action available for viewing in the contract file (Tab 39, General Correspondence) and provide the ability to export the data as a web-form or similar structured manner. </t>
  </si>
  <si>
    <t>As the contractor, I need to understand the roles, responsibilities, and authorities of the individuals that that been delegated contract administration functions/tasks on my contract.
As a CO/CS, I need to notify the contractor of personnel authorized to present the contracting officer in the administration of contract requirements. I need to identify who has what authority to perform specific functions/tasks under the contract. I also need to be able to access the action in the contract file and export it if necessary.
As the person who has been delegated the authority to represent the contracting officer in the administration of contract requirements (e.g., ACO, COR, etc.), I need to understand the roles, responsibilities, and authorities I've been delegated so I can do my job.</t>
  </si>
  <si>
    <t>Ensure system can efficiently:
- Create a delegation. 
- Notify the contractor of the delegation
- Route copies of the delegation to affected users
- Access information in the contract file and export it if necessary</t>
  </si>
  <si>
    <t>SS - 180</t>
  </si>
  <si>
    <t>Enable users to document the CO's findings of the alleged mistake in bid. Enable the user to route it for review and approval prior to issuing a decision on any alleged mistake.  The system needs to make the action available for viewing in the contract file (Tab 21, Mistakes in Bid/Protests)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</si>
  <si>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the CO/CS, I need to determine the appropriate action to take regarding the alleged mistake so I comply with the authoritative references. I need to route my determination and findings to acquisition team members for their review and approval.  I also need to be able to access the action in the contract file and export it if necessary.</t>
  </si>
  <si>
    <t>Ensure system can efficiently:
- Create/upload/import the findings
- Collaborate amongst the acquisition team members
- Route the determination and findings for review and approval
- Access information in the contract file and export it if necessary</t>
  </si>
  <si>
    <t>Activity 31 - Post Award Orientation; Task 1</t>
  </si>
  <si>
    <t>Determine whether a post award orientation is necessary.</t>
  </si>
  <si>
    <t>post award orientation determination</t>
  </si>
  <si>
    <t>Activity 17 - Indefinite-Delivery/ Indefinite-Quantity Contracts and Ordering Procedures; Part B - Procedures for Ordering Under ID/IQ Contracts; Task 6 (Note--Task 5 is addressed in ACQ.030.010 Proposal Evaluation)</t>
  </si>
  <si>
    <t>If ordering from an IDIQ contract, draft the order.</t>
  </si>
  <si>
    <t>Delivery/task order</t>
  </si>
  <si>
    <t>6.1.1.1
6.6.1</t>
  </si>
  <si>
    <t>CA - 07</t>
  </si>
  <si>
    <t xml:space="preserve">Capture determination whether a post award orientation is necessary. </t>
  </si>
  <si>
    <t xml:space="preserve">As a CO/CS, I need to be able to decide to either hold or to not hold a post award orientation and in what form (oral or written). </t>
  </si>
  <si>
    <t>Ensure system can efficiently:
- Capture determination</t>
  </si>
  <si>
    <t>Activity 31 - Post Award Orientation; Task 2</t>
  </si>
  <si>
    <t>Determine the form of the post award orientation, be it written or oral.</t>
  </si>
  <si>
    <t>Determination how to conduct post award orientation</t>
  </si>
  <si>
    <t>Capture determination of the form of the post award orientation, be it written or oral.</t>
  </si>
  <si>
    <t xml:space="preserve">As a CO/CS, I need to decide whether the post award orientation will be written or oral so I can bring all the parties together to benefit from the orientation. </t>
  </si>
  <si>
    <t>Activity 31 - Post Award Orientation; Task 3a (Note--there is no Task 3)</t>
  </si>
  <si>
    <t>Issue a written post award orientation.</t>
  </si>
  <si>
    <t>Written post award orientation</t>
  </si>
  <si>
    <t xml:space="preserve">If the determination is made to conduct a written post award orientation, create the orientation, distributed to the individuals as designated by the Contracting Officer, and document the contract file. The system needs to make the action available for viewing in the contract file (Tab 39, General Correspondence) and provide the ability to export the data as a web-form or similar structured manner. </t>
  </si>
  <si>
    <t xml:space="preserve">As a CO/CS, I need to issue a written post award orientation that identifies the Government's expectations with regards to contract requirements and performance. I need to distribute the written post award orientation to individuals or groups I designate and document the contract file. </t>
  </si>
  <si>
    <t>Ensure system can efficiently:
- Create post award orientation determination
- Route to designated individuals or groups
- Access information in the contract file and export it if necessary</t>
  </si>
  <si>
    <t>Activity 31 - Post Award Orientation; Task 3(b)(i) (Note--there is no Task 3(b))</t>
  </si>
  <si>
    <t>Plan the post award orientation conference.</t>
  </si>
  <si>
    <t>Orientation plan</t>
  </si>
  <si>
    <t>SS - 181</t>
  </si>
  <si>
    <t>Enable users to document an order placed against an IDIQ contract that follows the procedures and the order information as outlined in the authoritative references. The system needs to make the action available for viewing in the contract file (Tab 23a, Contractual Action) and provide the ability to export the data as a web-form or similar structured manner.</t>
  </si>
  <si>
    <t>If the determination is made to conduct an oral post award orientation, enable the user to plan it.</t>
  </si>
  <si>
    <t xml:space="preserve">As a CO/CS, I need to plan for the oral post award orientation and collaborate with the acquisition team so they know what to expect and what their roles are in the orientation. </t>
  </si>
  <si>
    <t>Ensure system can efficiently:
- Enable user to plan post award orientation
- Collaborate with the acquisition team</t>
  </si>
  <si>
    <t xml:space="preserve">As a CO/CS, I need to be able to create/upload/import an order against an IDIQ contract using the appropriate ordering procedures so I comply with the authoritative references. I need to ensure the following order information is captured on my order: 1) Date of order, 2) Contract number and order number; 3) For supplies and services, line item number, subline item number (if applicable), description, quantity, and unit price or estimated cost and fee (as applicable). The corresponding line item number and subline item number from the base contract shall also be included; 4) Delivery or performance schedule; 5) Place of delivery or performance (including consignee); 6) Any packaging, packing, and shipping instructions; 7) Accounting and appropriation data; and 8) Method of payment and payment office, if not specified in the contract.  I also need to be able to access the action in the contract file and export it if necessary. </t>
  </si>
  <si>
    <t>Ensure system can efficiently:
- Create/upload/import the order placed against an IDIQ contract
- Use the correct ordering procedures
- Capture order information as structured data
- Access information in the contract file and export it if necessary</t>
  </si>
  <si>
    <t>Activity 31 - Post Award Orientation; Task 3(b)(ii)</t>
  </si>
  <si>
    <t>Conduct the post award orientation conference.</t>
  </si>
  <si>
    <t xml:space="preserve">Create a summary of the post award orientation conference or upload audio/visual recordings of the event.  The system needs to make the action available for viewing in the contract file (Tab 39, General Correspondence) and provide the ability to export the data as a web-form or similar structured manner. </t>
  </si>
  <si>
    <t>As a CO/CS, I need to conduct the orientation and create a summary of the event or upload the audio/visual recording of the orientation so that there is a record that the Government conducted an orientation. I also need to be able to access the action in the contract file and export it if necessary.</t>
  </si>
  <si>
    <t>Ensure system can efficiently:
- Create post award orientation summary 
- Access information in the contract file and export it if necessary</t>
  </si>
  <si>
    <t>Activity 31 - Post Award Orientation; Task 3(b)(iii)</t>
  </si>
  <si>
    <t>Distribute the post award conference report.</t>
  </si>
  <si>
    <t>Orientation documentation</t>
  </si>
  <si>
    <t>Enable the user to distribute the post award orientation conference report.</t>
  </si>
  <si>
    <t xml:space="preserve">As a CO/CS, I need to distribute the post award orientation conference report to designated parties so that everyone understands the contract requirements and performance expectations. </t>
  </si>
  <si>
    <t>Ensure system can efficiently:
- Distribute conference report</t>
  </si>
  <si>
    <t>Activity 31 - Post Award Orientation; Task 3(b)(iv)</t>
  </si>
  <si>
    <t>Participate in post award subcontractor conference(s) when appropriate.</t>
  </si>
  <si>
    <t>Subcontractor orientation</t>
  </si>
  <si>
    <t>CA - 08</t>
  </si>
  <si>
    <t xml:space="preserve">Create a summary of the post award subcontractor conference or upload audio/visual recordings of the event. The system needs to make the action available for viewing in the contract file (Tab 39, General Correspondence) and provide the ability to export the data as a web-form or similar structured manner. </t>
  </si>
  <si>
    <t>As a CO/CS, I need to participate in the post award subcontract conference and create a summary of the event or upload the audio/visual recording of the orientation so that there is a record that the Government participated in the orientation. I also need to be able to access the action in the contract file and export it if necessary.</t>
  </si>
  <si>
    <t>Ensure system can efficiently:
- Create post award subcontractor conference summary 
- Access information in the contract file and export it if necessary</t>
  </si>
  <si>
    <t>Activity 31 - Post Award Orientation; Task 4</t>
  </si>
  <si>
    <t>6.6.1</t>
  </si>
  <si>
    <t>CA - 09</t>
  </si>
  <si>
    <t>Automatically file post award actions in the appropriate tab of the contract file (Tab 39, General Correspondence).</t>
  </si>
  <si>
    <t>As a CO/CS, I need to document the contract file so I comply with the authoritative references.</t>
  </si>
  <si>
    <t>Activity 40 - Administering Securities; Task 1</t>
  </si>
  <si>
    <t>Obtain required bonds before the contractor is given a notice to proceed with the contract work</t>
  </si>
  <si>
    <t>Bonds</t>
  </si>
  <si>
    <t>CA - 10</t>
  </si>
  <si>
    <t xml:space="preserve">Allow users to record the receipt of payment and performance bonds. Require user certification that bonds are of appropriate values if FAR clause 52.228-15 or 52.228-16 are included in contract.  Ensure the proper forms are used. The system needs to make the action available for viewing in the contract file (Tab 30, Contract Bonds) and provide the ability to export the data as a web-form or similar structured manner. </t>
  </si>
  <si>
    <t>As a CO/CS, I need to ensure that payment and performance bonds are present, complete and of a sufficient amount to comply with FAR clauses 52.228-15 and 52.228-16. I also need to ensure I receive the completed forms and document the contract file.</t>
  </si>
  <si>
    <t>Ensure system can efficiently:
- Record receipt of payment and performance bonds
- Document that bonds are of appropriate value
- Document bonds on the appropriate forms
- Access information in the contract file and export it if necessary</t>
  </si>
  <si>
    <t>Activity 40 - Administering Securities; Task 2</t>
  </si>
  <si>
    <t>Obtain additional security when necessary to protect the Government and persons supplying labor or materials under contracts.</t>
  </si>
  <si>
    <t>Securities</t>
  </si>
  <si>
    <t>CA - 11</t>
  </si>
  <si>
    <t>Allow users to obtain additional security when necessary (additional bond, security, certified or cashiers check, bank draft, money order, currency or irrevocable letter of credit as appropriate), using the standard and/or agency forms prescribed in the authoritative references. The system needs to make the action available for viewing in the contract file (Tab 30, Contract Bonds).</t>
  </si>
  <si>
    <t xml:space="preserve">As a CO/CS, I need to ensure that additional security is provided when required and are present, complete and of a sufficient amount to comply with the authoritative references on the appropriate forms as prescribed. I also need to be able to access the action in the contract file and export it if necessary. 
</t>
  </si>
  <si>
    <t>Ensure system can efficiently:
- Obtain additional security
- Document that additional security is of appropriate value
- Document additional security on the appropriate forms
- Access information in the contract file and export it if necessary</t>
  </si>
  <si>
    <t>Activity 40 - Administering Securities; Task 3</t>
  </si>
  <si>
    <t>Notify the principal and surety of any substitution of surety bonds.</t>
  </si>
  <si>
    <t>CA - 12</t>
  </si>
  <si>
    <t>Notify the principal and surety of any substitution of surety bonds. The system needs to make the action available for viewing in the contract file (Tab 30, Contract Bonds).</t>
  </si>
  <si>
    <t>As a CO/CS, I need to ensure that if a new surety bond covering all or part of the obligations on a bond previously approved is substituted for the original bond as approved by the head of the contracting activity that I notify the principal and surety of the original bond of the effective date of the new bond. I also need to be able to access the action in the contract file and export it if necessary.</t>
  </si>
  <si>
    <t>Ensure system can efficiently:
- Notify appropriate parties
- Access information in the contract file and export it if necessary</t>
  </si>
  <si>
    <t>Activity 46 - Fraud and Exclusion; Task 1 (Note--Task 2 is in ACQ.040.080 Vendor Performance Monitoring and Dispute Resolution)</t>
  </si>
  <si>
    <t>Brief contractors and Government representatives on federal statutes and regulations regarding fraud and other civil or criminal offenses.</t>
  </si>
  <si>
    <t>Briefing deck and kickoff notes</t>
  </si>
  <si>
    <t>CA - 13</t>
  </si>
  <si>
    <t xml:space="preserve">As part of the post award orientation, summarize the procurement integrity brief given to contractors and acquisition team. The system needs to make the action available for viewing in the contract file (Tab 39, General Correspondence) and provide the ability to export the data as a web-form or similar structured manner. </t>
  </si>
  <si>
    <t xml:space="preserve">As a CO/CS, I need to ensure that contractors are briefed on the federal statutes and regulations regarding fraud and other civil or criminal offenses and their contractual responsibilities and obligations to performance in accordance with the contract. 
As a COR, I need to ensure that contractors were made aware of their obligations during performance of the contract. </t>
  </si>
  <si>
    <t>Ensure system can efficiently:
- Create post award orientation and documents
- Access information in the contract file and export it if necessary</t>
  </si>
  <si>
    <t>Activity 17 - Indefinite-Delivery/ Indefinite-Quantity Contracts and Ordering Procedures; Part B - Procedures for Ordering Under ID/IQ Contracts; Task 7</t>
  </si>
  <si>
    <t>If ordering from an IDIQ contract, place the order using any medium specified in the contract.</t>
  </si>
  <si>
    <t>SS - 182</t>
  </si>
  <si>
    <t>Enable users to place the order. The system needs to make the action available for viewing in the contract file (Tab 23a, Contractual Action) and provide the ability to export the data as a web-form or similar structured manner.</t>
  </si>
  <si>
    <t>As a CO/CS, I need to be able to place the order so I comply with the authoritative references.  I also need to be able to access the action in the contract file and export it if necessary.</t>
  </si>
  <si>
    <t>Ensure system can efficiently:
- Place the order
- Access information in the contract file and export it if necessary</t>
  </si>
  <si>
    <t>ACQ.040.020</t>
  </si>
  <si>
    <t>Documentation of Delivery/Acceptance</t>
  </si>
  <si>
    <t>Document the government's receipt and acceptance of goods or services; Receive and review vendor progress reports, invoices, and claims; Determine financial accrual of liability; Determine adjustments to invoiced amounts and interest due, if any; Verify availability and request disbursement of funds; Document approval of vendor invoices and claims</t>
  </si>
  <si>
    <t>Activity 15 - Simplified Acquisition Procedures; Part A - Simplified Acquisition Procedures; Task 12</t>
  </si>
  <si>
    <t xml:space="preserve">Determine the method of payment. </t>
  </si>
  <si>
    <t>Payment</t>
  </si>
  <si>
    <t>Activity 18 - Contracting by Negotiation; Task 25 (Note--Task 24 is in ACQ.030.010 Proposal Evaluation)</t>
  </si>
  <si>
    <t>Make or obtain the final award
decision (or reject all offers).</t>
  </si>
  <si>
    <t>Award decision</t>
  </si>
  <si>
    <t>6.4.1
6.4.2
6.6.1</t>
  </si>
  <si>
    <t>CA - 14</t>
  </si>
  <si>
    <t>Allow user to define payment method(s) at the contract level. Report what payment methods were used and their associated amounts. The system needs to make the action available for viewing in the contract file (Tab 23, Contractual Action) and provide the ability to export the data as a web-form or similar structured manner.</t>
  </si>
  <si>
    <t>As a CO/CS, I need to be able to establish the payment method(s) that will be used under the contract (invoice, government wide purchase card, purchase order, etc.) so the contractor understands how goods and services will be paid for. 
As a contractor, I need to know what type of payment method(s) will be used in the performance of my contract so I know how payment will occur.
As a reviewer, I need to be able to identify and report by fiscal year the number of contracts currently in work by payment method and the amounts disbursed by payment method (e.g. invoice, GPC, fast payment procedures authorized)</t>
  </si>
  <si>
    <t>Ensure system can efficiently:
- Document the payment method(s) that will be used in the performance of the contract
- Report on the payment methods used under the contract and the amounts disbursed by payment method
- Access information in the contract file and export it if necessary</t>
  </si>
  <si>
    <t>4.5.1
4.5.2
4.6.1
*</t>
  </si>
  <si>
    <t>SS - 183</t>
  </si>
  <si>
    <t>Enable users to document the final award decision (or reject all offers). Enable the retrieval of data used to make the award decision (e.g., technical evaluation reports, price analyses, etc.). Enable the routing and review of the final award decision amongst the acquisition team. The system needs to make the action available for viewing in the contract file (Tab 15, Price Negotiation Memorandum)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</si>
  <si>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document the source selection authority’s (SSA) decision based on a comparative assessment of proposals against all source selection criteria in the solicitation in order to ensure a fair and impartial evaluation and proper award. Because the SSA may use reports and analyses prepared by others, I need to be able to retrieve the data from the CWS so the SSA can make an independent judgment. I need to document the source selection decision with the rationale for any business judgments and tradeoffs made or relied on by the SSA, including benefits associated with additional costs. I also need to be able to access the action in the contract file and export it if necessary.</t>
  </si>
  <si>
    <t xml:space="preserve">Activity No. </t>
  </si>
  <si>
    <t>Activity</t>
  </si>
  <si>
    <t>Requirement</t>
  </si>
  <si>
    <t>Reference</t>
  </si>
  <si>
    <t>Authoritative Reference - Agency Supplement</t>
  </si>
  <si>
    <t>Activity 18 - Contracting by Negotiation; Task 26 (Note--Task 25 is in ACQ.030.060 Award Decision)</t>
  </si>
  <si>
    <t>Prepare the contract.</t>
  </si>
  <si>
    <t>Contract documentation</t>
  </si>
  <si>
    <t>Activity 15 - Simplified Acquisition Procedures; Part B - Simplified Acquisition Procedures--Blanket Purchase Agreements; Task 9</t>
  </si>
  <si>
    <t xml:space="preserve">For SAT BPA Buys, record the receipt and acceptance of the goods or services purchased under the BPA. </t>
  </si>
  <si>
    <t>Receipt and acceptance</t>
  </si>
  <si>
    <t>6.3.3
6.6.1
*</t>
  </si>
  <si>
    <t>CA - 15</t>
  </si>
  <si>
    <t>Capture the supplier’s sales document, delivery document, or invoice (if it reflects the essential elements) for the purpose of recording receipt and acceptance of the supplies or services. However, if the purchase is assigned to another activity for administration, document receipt and acceptance of supplies or services in accordance with the authoritative reference. Report by contract, by fiscal year, the number of receipt/acceptance/ rejections. The system needs to make the action available for viewing in the contract file (Tab 33, Receiving Reports) and provide the ability to export the data as a web-form or similar structured manner.</t>
  </si>
  <si>
    <t xml:space="preserve">As a COR, I need to document receipt/acceptance/rejection of supplies/services received/performed under the contract and the date so I can record performance under the contract and effectuate appropriate payment as applicable.
As a CO/CS, I need to be able to identify when delivery/acceptance/rejection occurred and with whom so I can report or take corrective action if necessary, record past performance, and establish physical completion of the contract.
As a reviewer, I need to know how many contracts have been physically completed to identify the number of contracts that are past due for contract closeout.
As a contractor, I need to know when the government has accepted/rejected delivery so I can invoice for rendered supplies/services or take corrective action. </t>
  </si>
  <si>
    <t>Ensure system can efficiently:
- Record receipt and acceptance of supplies/services, individual responsible for the receipt/acceptance/rejection and date of action
- Report by contract, by fiscal year, the number of actions (receipt/ acceptance/rejection)
- Access information in the contract file and export it if necessary</t>
  </si>
  <si>
    <t>CL-1</t>
  </si>
  <si>
    <t>Provide a clause/provision logic service for three-tiers of contract clause/provision logic and management to support the government-wide (i.e. FAR), agency (i.e. GSAR), and local policy (e.g. individual offices) regulatory tiers. Attributes shall include, but are not limited to the following: 
 • Provision or clause indicator
 • Number
 • Title
 • Prescription
 • FAR/GSAM/local policy version date
 • Effective date
 • Text
 • “Incorporated by reference” indicator
 • Uniform Contract Format (UCF) section
 • Status (active, inactive)
 • Fill-ins
 • Owner Organization</t>
  </si>
  <si>
    <t>As a CO/CS, I need to be able to access all the current authoritative references in order to be able to create my solicitation package.  I also need to access previous versions of the authoritative references in order to administer my contracts or respond to disputes, claims or other legal matters.</t>
  </si>
  <si>
    <t>Ensure system can efficiently:
- Access both current and previous versions of authoritative references
- Access all attributes listed in the requirement for clauses/provisions/local policies stored in the CWS</t>
  </si>
  <si>
    <t>Activity 36 - Commercial/Simplified Acquisition Remedies - Part C - Reject Nonconforming Supplies or Services; Task 1</t>
  </si>
  <si>
    <t>When payment is made using fast payment procedures, instruct the contractor to replace, repair, or correct supplies lost, damaged or not conforming to purchase requirements promptly at the contractor’s expense.</t>
  </si>
  <si>
    <t>Letter to contractor</t>
  </si>
  <si>
    <t>Activity 18 - Contracting by Negotiation; Task 29 (Note--Task 28 is in ACQ.030.080 Notification / Debrief of Unsuccessful Offeror)</t>
  </si>
  <si>
    <t>Ensure that appropriate funding is
available.</t>
  </si>
  <si>
    <t>6.3.4.1
6.6.1
*</t>
  </si>
  <si>
    <t>Funding verification</t>
  </si>
  <si>
    <t>CA - 16</t>
  </si>
  <si>
    <t xml:space="preserve">Allow user to create a notice to the contractor requiring it to replace, repair or correct supplies lost, damaged or not conforming to purchase requirements promptly at the contractor's expense. The system needs to make the action available for viewing in the contract file (Tab 32, Inspection Reports) and provide the ability to export the data as a web-form or similar structured manner. </t>
  </si>
  <si>
    <t>As a COR, I need to be able to identify non-conforming supplies/services as part of my overall responsibilities. I need to document receipt/acceptance/rejection of supplies/services received/performed under the contract and the date so I can record performance under the contract and effectuate appropriate payment as applicable
As a CO/CS, I need to be able to notify the contractor of non-conforming supplies and services within 180 days from the date title to the supplies vests in the Government to ensure the Government obtains what it contracted for.  I also need to be able to access the action in the contract file and export it if necessary.</t>
  </si>
  <si>
    <t>Ensure system can efficiently:
- Create notice of non-conforming supplies/services
- Access information in the contract file and export it if necessary</t>
  </si>
  <si>
    <t>Activity 36 - Commercial/Simplified Acquisition Remedies - Part C - Reject Nonconforming Supplies or Services; Task 2</t>
  </si>
  <si>
    <t>Determine sufficiency of evidence to reject the work.</t>
  </si>
  <si>
    <t>Determination of rejection</t>
  </si>
  <si>
    <t>5.1.1
5.5.1
*</t>
  </si>
  <si>
    <t>SS - 184</t>
  </si>
  <si>
    <t>Enable users to validate that appropriate funding is available. The system needs to make the action available for viewing in the contract file (Tab 15, Price Negotiation Memorandum) and provide the ability to export the data as a web-form or similar structured manner.</t>
  </si>
  <si>
    <t>As the CO/CS, I need to be able to validate that appropriate funding is available so I don't violate the Anti-Deficiency Act.  I also need to be able to access the action in the contract file and export it if necessary.</t>
  </si>
  <si>
    <t>Ensure system can efficiently:
- Validate appropriate funding is available
- Access information in the contract file and export it if necessary</t>
  </si>
  <si>
    <t>CL-2</t>
  </si>
  <si>
    <t>Activity 18 - Contracting by Negotiation; Task 30</t>
  </si>
  <si>
    <t>Make the award using Standard Form (SF) 1449, 33 or SF 26 and Optional Form (OF) 307.</t>
  </si>
  <si>
    <t>Award form</t>
  </si>
  <si>
    <t>Support the use of multiple agency level clauses/provisions (e.g. DFARS, etc.) to support assisted acquisition activities on behalf of other agencies as well as GSA use cases (e.g. Assisted Acquisition Services, Technology Transformation Services, OASIS, and other contract vehicles). Attributes shall include, but are not limited to the following: 
 • Provision or clause indicator
 • Number
 • Title
 • Prescription
 • Agency supplemental policy version date
 • Effective date
 • Text
 • “Incorporated by reference” indicator
 • Fill in indicator for clauses/provisions that are incorporated by reference
 • Uniform Contract Format (UCF) section
 • Status (active, inactive)
 • Owner Organization</t>
  </si>
  <si>
    <t>As a CO/CS, I need to access another agency's supplemental regulations in order to provide acquisition support so that I understand what rules and regulations the agency must abide by. I need to review clause and provision prescriptions to determine what additional clauses and provisions to include in the solicitation to comply with the authoritative references. At a minimum, I need to be able to copy selected clauses/ provisions to create/upload/import into my solicitation. I also need to be able to report what agency clauses and provisions I used to be able to keep track in the event of changes.</t>
  </si>
  <si>
    <t>Ensure system can efficiently:
- Enable access to another agency's supplemental regulations
- Access all attributes listed in the requirement for clauses/provisions/local policies stored in the CWS
- Enable the user to review clause/provision prescriptions
- Copy selected clauses/provisions to create/ upload/import into the contract writing functionality of CWS
- Report what agency clauses/provisions are used, including identifying the source of the supplemental regulation (GSAR, DFAR, etc)</t>
  </si>
  <si>
    <t>CA - 17</t>
  </si>
  <si>
    <t xml:space="preserve">Allow user to create a summary of the evidence relied upon to make the determination to reject the work along with any supporting documentation. The system needs to make the action available for viewing in the contract file (Tab 32, Inspection Reports) and provide the ability to export the data as a web-form or similar structured manner. </t>
  </si>
  <si>
    <t xml:space="preserve">As a COR, I need to be able to identify non-conforming supplies/services as part of my overall responsibilities. I need to notify the CO/CS of such non-conforming supplies/services and provide supporting documentation so that corrective action can be taken. I also need to record performance under the contract.
As a CO/CS, I need to be able to determine whether to reject the work based on the evidence presented to me of the nonconforming supplies/services. I need to record contractor performance. I also need to be able to access the action in the contract file and export it if necessary. </t>
  </si>
  <si>
    <t>Ensure system can efficiently:
- Document the determination of non-conforming supplies/services along with supporting documentation
- Enable contractor past performance reporting
- Access information in the contract file and export it if necessary</t>
  </si>
  <si>
    <t>Activity 36 - Commercial/Simplified Acquisition Remedies - Part C - Reject Nonconforming Supplies or Services; Task 3</t>
  </si>
  <si>
    <t>Determine whether to accept a minor non conformance.</t>
  </si>
  <si>
    <t>Determination of acceptance</t>
  </si>
  <si>
    <t>CL-3</t>
  </si>
  <si>
    <t xml:space="preserve">Ensure updates to FAR, GSAM, local policy and other agency supplemental regulations when regulatory or policy changes occur are completed by the effective date specified by the change. </t>
  </si>
  <si>
    <t xml:space="preserve">As a CO/CS, I need to be able to access the most current FAR, GSAM, local policy and other client agency supplemental regulations so I use the proper authoritative reference in each phase of the acquisition life cycle.  As new regulations are issued or existing ones changed or deleted, I need to rely on the fact that the system keeps current with these changes. </t>
  </si>
  <si>
    <t>Ensure system can efficiently:
- Access the most current version of the FAR, GSAM, local policy and client agency supplemental regulations
- Ensure the keeps current with changes to FAR, GSAM, local policy and client agency supplemental regulations</t>
  </si>
  <si>
    <t>CA - 18</t>
  </si>
  <si>
    <t xml:space="preserve">Allow user to determine whether to accept a minor non conformance and any contract adjustment as a result.The system needs to make the action available for viewing in the contract file (Tab 32, Inspection Reports) and provide the ability to export the data as a web-form or similar structured manner. </t>
  </si>
  <si>
    <t>Activity 18 - Contracting by Negotiation; Task 31</t>
  </si>
  <si>
    <t>Synopsize the contract award.</t>
  </si>
  <si>
    <t>As a COR, I need to document whether I accepted any minor non conformance in the supplies/services rendered if I am authorized to do so.
As a CO/CS, I need to document whether I accepted any minor non conformance in the supplies/services rendered and any contract adjustment made as a result. I also need to be able to access the action in the contract file and export it if necessary.</t>
  </si>
  <si>
    <t>Ensure system can efficiently:
- Capture determination
- Document contract adjustments
- Access information in the contract file and export it if necessary</t>
  </si>
  <si>
    <t>CL-4</t>
  </si>
  <si>
    <t>Activity 36 - Commercial/Simplified Acquisition Remedies - Part C - Reject Nonconforming Supplies or Services; Task 4</t>
  </si>
  <si>
    <t xml:space="preserve">Ensure updates to clause logic including updates to all clauses, provisions and provisions from current versions of FAR, GSAM and any other agency supplemental regulations are performed in an automated method (API, XML or other source). Provide the capability to create a method of extracting and converting FAR and other supplemental regulation content. Currently acquisition.gov provides structured DITA XML for the FAR and GSAR, and html for other supplemental regulations. </t>
  </si>
  <si>
    <t xml:space="preserve">Notify the contractor of the Government’s rejection of nonconforming supplies or services. </t>
  </si>
  <si>
    <t xml:space="preserve">As a user, I need to ensure updates to the clause logic service are complete and accurate without my having to intervene in its update. I may also need to extract/convert regulatory content to other internal/external systems that require clause/provision information. </t>
  </si>
  <si>
    <t>Ensure system can efficiently:
- Ensure updates to the clause logic service
- Extract/convert regulatory content to other interna/external systems that may require clause/provision information</t>
  </si>
  <si>
    <t>6.3.3
6.3.4.1
6.6.1
*</t>
  </si>
  <si>
    <t>CL-5</t>
  </si>
  <si>
    <t>CA - 19</t>
  </si>
  <si>
    <t xml:space="preserve">Ensure retention of previous versions of FAR, GSAM, local policy and client agency supplemental regulations, clauses and provisions to enable contract administration. </t>
  </si>
  <si>
    <t xml:space="preserve">Allow user to notify the contractor of the Government's rejection of nonconforming supplies or services and request the appropriate remedy. The system needs to make the action available for viewing in the contract file (Tab 32, Inspection Reports) and provide the ability to export the data as a web-form or similar structured manner. </t>
  </si>
  <si>
    <t>As a CO/CS, I need to be able to access previous versions of the authoritative references in order to administer my contracts or respond to disputes, claims or other legal matters.</t>
  </si>
  <si>
    <t xml:space="preserve">As a COR, I need to document whether I rejected any nonconforming supplies or services and request the appropriate remedy if I am authorized to do so.
As a CO/CS, I need to document whether I rejected any nonconfirming suppliers or services and request the appropriate remedy so I protect the Government's interests and comply with the authoritative references. I also need to be able to access the action in the contract file and export it if necessary.
As a contractor, I need to know when the government has accepted/rejected delivery so I can invoice for rendered supplies/services or take corrective action. </t>
  </si>
  <si>
    <t>Ensure system can efficiently:
- Access previous versions of authoritative references</t>
  </si>
  <si>
    <t>Ensure system can efficiently:
- Create/upload/import the notification to the contractor of the Government's rejection of nonconforming supplies or services
- Document the request for the appropriate remedy
- Access information in the contract file and export it if necessary</t>
  </si>
  <si>
    <t>Activity 22 - Responsibility Determination; Part B - Responsibility for Small Business Concerns; Task 10 (Note--Task 9 is in ACQ.030.010 Proposal Evaluation)</t>
  </si>
  <si>
    <t>Publicize the proposed contract action.</t>
  </si>
  <si>
    <t>Activity 36 - Commercial/Simplified Acquisition Remedies - Part C - Reject Nonconforming Supplies or Services; Task 5</t>
  </si>
  <si>
    <t>Review the contractor’s response.</t>
  </si>
  <si>
    <t>Documented review of the contractor's response</t>
  </si>
  <si>
    <t>CL-6</t>
  </si>
  <si>
    <t>6.3.4.2
6.6.1
*</t>
  </si>
  <si>
    <t>Display the FAR, GSAM and client agency supplemental regulation matrices.</t>
  </si>
  <si>
    <t>CA - 20</t>
  </si>
  <si>
    <t>Allow user to review the contractor's response to the notification of nonconforming supplies/services. Enable collaboration among acquisition team members (including reviewing, revising, routing and approving documents). The system needs to make the action available for viewing in the contract file (Tab 32, Inspection Reports).</t>
  </si>
  <si>
    <t xml:space="preserve">As an acquisition team member, I need to be able to collaborate with the acquisition team and review, revise, comment, approve (as appropriate) and route documents so my CO/CS considers my input in the acquisition.
As a CO/CS,  I need to collaborate with the acquisition team to ensure we have the appropriate strategy to resolve the issue. I need to be able to notify a vendor when their performance fails to conform to contract requirements and offer it the opportunity to replace/reperform at no additional cost.
</t>
  </si>
  <si>
    <t>Ensure system can efficiently:
- Review contractor's response
- Enable team collaboration
- Route for review and approval
- Access information in the contract file and export it if necessary</t>
  </si>
  <si>
    <t>As a CO/CS, i use the matrices to determine what solicitation clauses and provisions I am required to include in my solicitation and which ones I should consider including as applicable.</t>
  </si>
  <si>
    <t>Ensure system can efficiently:
- Display FAR matrix
- Display agency supplement matrices</t>
  </si>
  <si>
    <t>Activity 36 - Commercial/Simplified Acquisition Remedies - Part C - Reject Nonconforming Supplies or Services; Task 6</t>
  </si>
  <si>
    <t>Determine whether to accept the contractor’s offer to cure the non conformance.</t>
  </si>
  <si>
    <t>Determination of offer acceptance</t>
  </si>
  <si>
    <t>ACQ.030.080</t>
  </si>
  <si>
    <t>Notification/Debriefing of Unsuccessful Offerors</t>
  </si>
  <si>
    <t>Prepare and deliver unsuccessful offeror letters; Conduct sessions with unsuccessful offerors identifying deficiencies in their proposals</t>
  </si>
  <si>
    <t>Activity 14 - Federal Supply Schedules; Part C - Procedures for Placing Orders and Establishing a BPA Against an FSS Contract When a Statement of Work (SOW) is not Required; Task 8</t>
  </si>
  <si>
    <t xml:space="preserve">If using FSS, respond to protest, if applicable. </t>
  </si>
  <si>
    <t>Protest response</t>
  </si>
  <si>
    <t>CA - 21</t>
  </si>
  <si>
    <t xml:space="preserve">Capture the determination whether to accept the contractor's offer to cure the non conformance. Enable collaboration among acquisition team members (including reviewing, revising, routing and approving documents). The system needs to make the action available for viewing in the contract file (Tab 32, Inspection Reports) and provide the ability to export the data as a web-form or similar structured manner. </t>
  </si>
  <si>
    <t>As an acquisition team member, I need to be able to collaborate with the acquisition team and review, revise, comment, approve (as appropriate) and route documents so my CO/CS considers my input in the acquisition.
As a CO/CS,  I need to collaborate with the acquisition team to ensure we have the appropriate strategy to resolve the issue. I need to be able to determine whether to accept the contractor's offer to cure the nonconfirmation. I also need to be able to access the action in the contract file and export it if necessary.</t>
  </si>
  <si>
    <t>Ensure system can efficiently:
- Capture determination
- Enable team collaboration
- Route for review and approval
- Access information in the contract file and export it if necessary</t>
  </si>
  <si>
    <t>CL-7</t>
  </si>
  <si>
    <t>Display the prescriptive language of the FAR, GSAM, and other client agency supplemental regulations.</t>
  </si>
  <si>
    <t>As a CO/CS, I need to review the applicable clauses/provisions prescriptions to ascertain whether to include it in my solicitation.</t>
  </si>
  <si>
    <t>Ensure the system can efficiently:
- Display prescriptive language of the FAR, GSAM and other agency supplements thereto</t>
  </si>
  <si>
    <t>5.4.1
5.4.1.iii
5.5.1
*</t>
  </si>
  <si>
    <t>SS - 185</t>
  </si>
  <si>
    <t>Enable users to document the protest response and enable collaboration on the response amongst the acquisition team (customer, PMO, CO/CS, and general counsel). Enable supporting documentation from the acquisition to be attached to the response. The system needs to make the action available for viewing in the contract file (Tab 21, Mistakes in Bids/Protests) and provide the ability to export the data as a web-form or similar structured manner.</t>
  </si>
  <si>
    <t>Activity 36 - Commercial/Simplified Acquisition Remedies - Part C - Reject Nonconforming Supplies or Services; Task 7</t>
  </si>
  <si>
    <t xml:space="preserve">As an acquisition team member, I need to collaborate with my CO/CS on any protest response so the response is complete and accurate. I need to be able to review, make edits/revisions/deletions, and approve the response. 
As a CO/CS, I need to create/upload/import the protest response and supporting documentation. I need to be able to collaborate with acquisition team members on the drafting and finalization of the response and route the response for review and approval.  I also need to be able to access the action in the contract file and export it if necessary.  </t>
  </si>
  <si>
    <t>Determine whether to accept nonconforming supplies or services given a contractor offer of consideration.</t>
  </si>
  <si>
    <t>Ensure system can efficiently:
- Create/upload/import the protest response and supporting documentation.
-Route the response among acquisition team members for review and approval
- Enable acquisition team members to make edits/revisions/deletions
-Access information in the contract file and export it if necessary</t>
  </si>
  <si>
    <t>Determination to accept given contractor consideration</t>
  </si>
  <si>
    <t>CL-8</t>
  </si>
  <si>
    <t>Indicate whether each clause/provision should be included in full text, or listed and incorporated by reference.</t>
  </si>
  <si>
    <t>As a CO/CS, I need to know whether I need to include the clause/provision in full text or list it and incorporate it by reference in order to create my solicitation.</t>
  </si>
  <si>
    <t>Ensure the system can efficiently:
- Instruct the user whether to include the clause/provision in full text or list it and incorporate it by reference</t>
  </si>
  <si>
    <t>6.3.4.3
6.6.1</t>
  </si>
  <si>
    <t>CA - 22</t>
  </si>
  <si>
    <t xml:space="preserve">Capture the determination whether to accept nonconforming supplies/services given a contractor offer of consideration. Enable collaboration among acquisition team members (including reviewing, revising, routing and approving documents). The system needs to make the action available for viewing in the contract file (Tab 32, Inspection Reports) and provide the ability to export the data as a web-form or similar structured manner. </t>
  </si>
  <si>
    <t>As an acquisition team member, I need to be able to collaborate with the acquisition team and review, revise, comment, approve (as appropriate) and route documents so my CO/CS considers my input in the acquisition. 
As a COR, I need to document whether to accept nonconforming supplies/services given a contractor offer of consideration if I am authorized to do so.
As a CO/CS,  I need to collaborate with the acquisition team to ensure we have the appropriate strategy to resolve the issue. I need to be able to determine whether to accept nonconforming supplies/services given a contractor offer of consideration. I also need to be able to access the action in the contract file and export it if necessary.</t>
  </si>
  <si>
    <t>CL-9</t>
  </si>
  <si>
    <t>Provide automatic inclusion of provisions/clauses that are mandatory for all solicitations and contracts without requiring  user response.</t>
  </si>
  <si>
    <t>As a CO/CS, I need to ensure I include all mandatory clauses/provisions to have a legally compliant contract.</t>
  </si>
  <si>
    <t>Ensure the system can efficiently:
- Automatically include mandatory clauses/provisions</t>
  </si>
  <si>
    <t>Activity 36 - Commercial/Simplified Acquisition Remedies - Part C - Reject Nonconforming Supplies or Services; Task 8</t>
  </si>
  <si>
    <t>If the contractor refuses to cure the non conformance or offer acceptable additional consideration, determine whether to initiate termination for cause.</t>
  </si>
  <si>
    <t>Termination determination</t>
  </si>
  <si>
    <t>CL-10</t>
  </si>
  <si>
    <t>Auto-generate all applicable clauses, provisions, local policies and other client supplemental regulations based on the contract type, authoritative reference matices, and user selections.</t>
  </si>
  <si>
    <t>As a CO/CS, I need to be able to generate a solicitation based on my acquisition strategy (e.g., sole source, use of required sources of supply, small business set asides, etc.), contract type, dollar value, the contract format (simplified contract format, uniform contract format or commercial item), and/or other data consistent with the FAR, agency, and local regulations as appropriate. The system needs to automatically pull in the appropriate FAR, GSAM, local policy and client agency supplemental regulations, solicitation clauses and provisions (and their alternates and deviations if so designated) based on my selections, enable me to review the clause/provision prescriptions to ascertain whether to keep the clause/provision, and permit me to include/exclude terms and conditions accordingly. If however, a clause/provision is required, the system shall not permit me to exclude it unless I have an approved waiver or deviation.</t>
  </si>
  <si>
    <t xml:space="preserve">Ensure the user can efficiently:
- Create a solicitation based on the acquisition strategy, type of contract and dollar value
- Use the appropriate contract format (e.g., uniform, simplified, commercial)
- Retrieve and assemble the appropriate clauses/provisions/forms in an automated fashion
- Enable the user to review prescriptions
- Enable the user to include/exclude terms and conditions
- Prohibit the user from excluding required clauses unless there is an approved waiver or deviation in place
- Prompt the user to update clauses/provisions/forms if the solicitation has not been issued 
- Enable the user to update clauses/provisions/forms
- Replicate data to the maximum extent practicable to minimize data entry and pre populate forms
- Format clauses/provisions/forms in a neat, orderly manner </t>
  </si>
  <si>
    <t>CA - 23</t>
  </si>
  <si>
    <t>Activity 14 - Federal Supply Schedules; Part D - Procedures for Placing an Order for Services and Establishing a BPA Against an FSS Contract When a Statement of Work (SOW) is Required; Task 7</t>
  </si>
  <si>
    <t>CL-11</t>
  </si>
  <si>
    <t xml:space="preserve">If using FSS for services, provide timely notification to unsuccessful offerors. </t>
  </si>
  <si>
    <t xml:space="preserve">Capture determination whether to initiate termination for cause and if so, create the termination notice. Enable collaboration among acquisition team members (including reviewing, revising, routing and approving documents). The system needs to make the action available for viewing in the contract file (Tab 41, Termination Notice) and provide the ability to export the data as a web-form or similar structured manner.  </t>
  </si>
  <si>
    <t xml:space="preserve">Include a table of contents and page numbers and revise these as changes occur. </t>
  </si>
  <si>
    <t xml:space="preserve">As a CO/CS, I need to be able to create a table of contents and page numbers to organize my solicitation and enhance its readability. I also need the ability to select page number formats and force page numbers as needed. As I make changes to the solicitation, the system shall revise the table of contents and page numbers accordingly. </t>
  </si>
  <si>
    <t>As an acquisition team member, I need to be able to collaborate with the acquisition team and review, revise, comment, approve (as appropriate) and route documents so my CO/CS considers my input in the acquisition.  I need to be able to review the pertinent contract file documents pursuant to termination to ensure that termination for cause/default or convenience is appropriate and in the best interest of the government.
As a CO/CS, I need to document the determination whether to initiate termination for cause, and if so, be able to terminate a contract for cause/default or for the government's convenience to protect the interest of the government when supplies/services fail to conform to contract requirements or when the government's needs change and no further contractual relationship is required. I need to collaborate with the acquisition team to ensure we have the appropriate strategy to resolve the issue. I also need to be able to access the action in the contract file and export it if necessary.</t>
  </si>
  <si>
    <t>Ensure the user can efficiently:
- Create a table of contents and update table of contents as changes occur
- Number pages and update them as changes occur</t>
  </si>
  <si>
    <t>Ensure system can efficiently:
- Capture determination
- Create termination notice
- Enable team collaboration
- Route for review and approval
- Access information in the contract file and export it if necessary</t>
  </si>
  <si>
    <t>CL-12</t>
  </si>
  <si>
    <t>Automatically update a draft solicitation/order with the most current version of the selected clauses and provisions prior to finalization and notify the user of such updates.</t>
  </si>
  <si>
    <t xml:space="preserve">As a CO/CS, I need to be notified when clauses and provisions have been updated so I can generate a solicitation/order that has the most current versions of the clause and provisions to comply with the authoritative references. </t>
  </si>
  <si>
    <t>Ensure the user can efficiently:
- Notify the user of changes
- Create a solicitation/order that has the most current version of the selected clauses and provisions</t>
  </si>
  <si>
    <t>Activity 36 - Commercial/Simplified Acquisition Remedies - Part D - Enforce Warranty Clause; Task 1</t>
  </si>
  <si>
    <t>Verify that the warranty clause applies</t>
  </si>
  <si>
    <t>Document whether a warranty clause applies</t>
  </si>
  <si>
    <t>5.2.2
5.5.1
*</t>
  </si>
  <si>
    <t>SS - 186</t>
  </si>
  <si>
    <t>Enable users to document the timely notification to unsuccessful offers. Enable collaboration on the notice amongst the acquisition team (customer, PMO, CO/CS, and general counsel). Enable supporting documentation from the acquisition to be attached to the response. The system needs to make the action available for viewing in the contract file (Tab 20, Unsuccessful Bids/Proposals) and provide the ability to export the data as a web-form or similar structured manner.</t>
  </si>
  <si>
    <t xml:space="preserve">As an acquisition team member, I may need to collaborate with my CO/CS on any notification to an unsuccessful offeror so the response is complete and accurate. I need to be able to review, make edits/revisions/deletions, and approve the response. 
As a CO/CS, I need to create/upload/import the timely notification of the unsuccessful offeror(s) and supporting documentation. I need to be able to collaborate with acquisition team members on the drafting and finalization of the response and route the response for review and approval.  I also need to be able to access the action in the contract file and export it if necessary.  </t>
  </si>
  <si>
    <t>Ensure system can efficiently:
- Create/upload/import the timely notification to unsuccessful offeror(s) and supporting documentation.
-Route the response among acquisition team members for review and approval
- Enable acquisition team members to make edits/revisions/deletions
-Access information in the contract file and export it if necessary</t>
  </si>
  <si>
    <t>CL-13</t>
  </si>
  <si>
    <t xml:space="preserve">Enable the use of the forms specified by FAR Part 53 and GSAM Part 553 for all solicitations and contract actions. Prefill forms to the maximum extent practicable. </t>
  </si>
  <si>
    <t xml:space="preserve">As a CO/CS, I need to use the appropriate forms specified by the authoritative references and use system data to pre populate the forms to the maximum extent practicable and enable me to complete the remaining sections of the forms as needed. </t>
  </si>
  <si>
    <t>Ensure system can efficiently:
- Enable the user to use the appropriate forms
- Replicate data to the maximum extent practicable to minimize data entry and pre populate forms</t>
  </si>
  <si>
    <t>Activity 14 - Federal Supply Schedules; Part D - Procedures for Placing an Order for Services and Establishing a BPA Against an FSS Contract When a Statement of Work (SOW) is Required; Task 8</t>
  </si>
  <si>
    <t xml:space="preserve">If using FSS for services, provide brief explanation to unsuccessful offeror, if requested. </t>
  </si>
  <si>
    <t>Debrief</t>
  </si>
  <si>
    <t>CA - 24</t>
  </si>
  <si>
    <t>Allow user to verify that the contract contains a warranty clause and that it applies.</t>
  </si>
  <si>
    <t xml:space="preserve">As a CO/CS, I need to be able to determine if a contracted supply or service is covered by a warranty to ensure that any repair or replacement of the supply or service is performed as warranty work if applicable.
</t>
  </si>
  <si>
    <t>Ensure system can efficiently:
- Verify the contract contains a warranty clause</t>
  </si>
  <si>
    <t>CL-14</t>
  </si>
  <si>
    <t xml:space="preserve">Enable the use of the forms specified by client agency supplemental regulations for all solicitations and contract actions. Prefill forms to the maximum extent practicable. </t>
  </si>
  <si>
    <t>SS - 187</t>
  </si>
  <si>
    <t>Activity 36 - Commercial/Simplified Acquisition Remedies - Part D - Enforce Warranty Clause; Task 2</t>
  </si>
  <si>
    <t>Notify the contractor that the Government intends to exercise its rights under the warranty clause.</t>
  </si>
  <si>
    <t>Enable users to document an explanation to the unsuccessful offeror(s), if requested. Enable collaboration on the notice amongst the acquisition team (customer, PMO, CO/CS, and general counsel). Enable supporting documentation from the acquisition to be attached to the response. The system needs to make the action available for viewing in the contract file (Tab 20, Unsuccessful Bids/Proposals) and provide the ability to export the data as a web-form or similar structured manner.</t>
  </si>
  <si>
    <t>Notification to contractor</t>
  </si>
  <si>
    <t xml:space="preserve">As an acquisition team member, I may need to collaborate with my CO/CS on any explanation to an unsuccessful offeror(s) so the response is complete and accurate. I need to be able to review, make edits/revisions/deletions, and approve the response. 
As a CO/CS, I need to create/upload/import the explanation to the unsuccessful offeror(s) and supporting documentation. I need to be able to collaborate with acquisition team members on the drafting and finalization of the response and route the response for review and approval.  I also need to be able to access the action in the contract file and export it if necessary.  </t>
  </si>
  <si>
    <t>Ensure system can efficiently:
- Create/upload/import the explanation to unsuccessful offeror(s) and supporting documentation.
-Route the response among acquisition team members for review and approval
- Enable acquisition team members to make edits/revisions/deletions
-Access information in the contract file and export it if necessary</t>
  </si>
  <si>
    <t>Activity 14 - Federal Supply Schedules; Part D - Procedures for Placing an Order for Services and Establishing a BPA Against an FSS Contract When a Statement of Work (SOW) is Required; Task 11</t>
  </si>
  <si>
    <t xml:space="preserve">If using FSS for services, respond to protest, if applicable. </t>
  </si>
  <si>
    <t>CA - 25</t>
  </si>
  <si>
    <t>CL-15</t>
  </si>
  <si>
    <t xml:space="preserve">Create the notification to the contractor (and supporting documentation) that the Government intends to exercise its rights to repair or replacement under the identified warranty clause. Distribute the notification. </t>
  </si>
  <si>
    <t>File the completed solicitation/order in the contract file (solicitations are filed in Tab 10, RFP/RFQ and Amendments and task orders are filed in Tab 23a, Contractual Action).</t>
  </si>
  <si>
    <t>As a CO/CS, I need to know when the government is entitled to a remedy under a warranty when a defect is discovered with a product or service. I also need to notify the contractor that the Government intends to exercise its rights under the warranty clause. 
As a COR, I need to report any identified failure or defect with a rendered product or service and create notification to contractor to allow for remedy under warranty.</t>
  </si>
  <si>
    <t>As a CO/CS, I need to document the contract file.</t>
  </si>
  <si>
    <t>Ensure system can efficiently:
- Create notification and supporting documentation
- Distribute notification</t>
  </si>
  <si>
    <t>Ensure system can efficiently:
- Create/upload/import the protest response and supporting documentation.
-Route the response among acquisition team members for review and approval
- Enable acquisition team members to make edits/revisions/deletions 
-Access information in the contract file and export it if necessary</t>
  </si>
  <si>
    <t>Activity 36 - Commercial/Simplified Acquisition Remedies - Part D - Enforce Warranty Clause; Task 3</t>
  </si>
  <si>
    <t xml:space="preserve">Consider the contractor’s recommendation for corrective action (if any). </t>
  </si>
  <si>
    <t>Document results of agreement with the contractor</t>
  </si>
  <si>
    <t>Activity 15 - Simplified Acquisition Procedures; Part A - Simplified Acquisition Procedures; Task 10</t>
  </si>
  <si>
    <t xml:space="preserve">Notify unsuccessful suppliers, if required. </t>
  </si>
  <si>
    <t>Notification of unsuccessful suppliers</t>
  </si>
  <si>
    <t>CL-16</t>
  </si>
  <si>
    <t xml:space="preserve">Identify fill-in clauses and provisions. Fill-in data will be tagged in DITA XML. </t>
  </si>
  <si>
    <t>CA - 26</t>
  </si>
  <si>
    <t>As a CO/CS, I need to know which clauses and provisions have a fill-in so I can complete the required data.</t>
  </si>
  <si>
    <t xml:space="preserve">Allow user to review contractor correspondence. </t>
  </si>
  <si>
    <t>Ensure system can efficiently:
- Identify fill-in clauses and provisions</t>
  </si>
  <si>
    <t>As a CO/CS, I need to consider the contractor's recommendation for corrective action for warranty issues.
As a COR, I need to review the contractor's recommendation for corrective action and consult my CO/CS.</t>
  </si>
  <si>
    <t>Ensure system can efficiently:
- Review contractor correspondence</t>
  </si>
  <si>
    <t>Activity 36 - Commercial/Simplified Acquisition Remedies - Part D - Enforce Warranty Clause; Task 4</t>
  </si>
  <si>
    <t xml:space="preserve">Formally instruct the contractor on the required corrective action. </t>
  </si>
  <si>
    <t>Direction to contractor</t>
  </si>
  <si>
    <t>Activity 15 - Simplified Acquisition Procedures; Part A - Simplified Acquisition Procedures; Task 11</t>
  </si>
  <si>
    <t>CL-17</t>
  </si>
  <si>
    <t>For SAT buys, provide a brief explanation of the award decision, if requested from a supplier</t>
  </si>
  <si>
    <t xml:space="preserve">Allow users to update the required provision/clause fill-in data. The shall include this capability even for terms and conditions that are incorporated by reference--this means notifying the user that the clause/provision/local policy/client agency supplemental regulation that is incorporated by reference has a fill-in that needs to be completed prior to finalizing the solicitation. </t>
  </si>
  <si>
    <t>CA - 27</t>
  </si>
  <si>
    <t xml:space="preserve">As a CO/CS, I need to be able to complete the fill-in data for any clause/provision that has such a field to complete so that my solicitation accurately represents the Government's requirements. This includes clauses/provisions that can be incorporated by reference. </t>
  </si>
  <si>
    <t>Create the instruction and distribute it to the contractor on what required corrective action is needed to correct non-conforming delivery/performance.</t>
  </si>
  <si>
    <t>Ensure the user can efficiently:
- Enable the user to complete fill-in data for clauses/provisions, including such regulations that can be incorporated by reference</t>
  </si>
  <si>
    <t>As a CO/CS, I need to provide a copy of these instructions to the COR so they can perform the functions delegated to them. 
As a COR, I need to know what instruction the CO gave to the contractor on the required correction action so I can perform my duties.</t>
  </si>
  <si>
    <t>Ensure system can efficiently:
- Create contractor instruction
- Distribute instruction to affected parties</t>
  </si>
  <si>
    <t>Activity 36 - Commercial/Simplified Acquisition Remedies - Part D - Enforce Warranty Clause; Task 5</t>
  </si>
  <si>
    <t xml:space="preserve">Monitor contractor compliance with instructions for corrective action. </t>
  </si>
  <si>
    <t>Document performance</t>
  </si>
  <si>
    <t>CL-18</t>
  </si>
  <si>
    <t>Notify users of invalid selections and fill-ins, missing provisions/clauses/local policy/client agency supplemental regulations, and incomplete fill-ins.</t>
  </si>
  <si>
    <t xml:space="preserve">As a CO/CS, I need to know when I've selected an invalid term and condition or did not complete a fill-in for my solicitation so that I minimize errors in the acquisition. </t>
  </si>
  <si>
    <t>Ensure the user can efficiently:
- Flag invalid clause/provision/local policy/client agency supplemental regulation selections
- Flag missing fill-ins
- Notify the CO/CS</t>
  </si>
  <si>
    <t>Activity 16 - Sealed Bidding; Part A - Sealed Bidding; Task 25</t>
  </si>
  <si>
    <t>For sealed bids, notify unsuccessful bidders</t>
  </si>
  <si>
    <t>Notice of unsuccessful offer</t>
  </si>
  <si>
    <t>CA - 28</t>
  </si>
  <si>
    <t xml:space="preserve">Allow user to capture contractor compliance with the instructions for corrective action. </t>
  </si>
  <si>
    <t>CL-19</t>
  </si>
  <si>
    <t xml:space="preserve">As a COR, I need to monitor contractor compliance with the instructions for corrective action so I can perform my duties. 
As a CO/CS, I need to monitor contractor compliance with the instructions for corrective action so I protect the Government's interest. </t>
  </si>
  <si>
    <t>Ensure system can efficiently:
- Capture compliance with instructions for corrective action</t>
  </si>
  <si>
    <t>Provide search capability for the regulations and policies. The system shall enable a user to search text, prescriptive language, selection rules and local prescriptive language for a particular clause number, version, alternate, deviation, title or level prior to adding it to an instrument.</t>
  </si>
  <si>
    <t>As a CO/CS, I need to be able to search the regulations/policies using a variety of search parameters, including, but not limited to, the attributes identified above as well as keyword searches so I can find what I'm looking for.</t>
  </si>
  <si>
    <t>Ensure the user can efficiently:
- Search for clauses/provisions/local policies using a variety of search parameters</t>
  </si>
  <si>
    <t>Activity 36 - Commercial/Simplified Acquisition Remedies - Part D - Enforce Warranty Clause; Task 6</t>
  </si>
  <si>
    <t>If the contractor fails to complete the required corrective action, take unilateral action against the contractor</t>
  </si>
  <si>
    <t>Document unilateral actions taken against the contractor</t>
  </si>
  <si>
    <t>Activity 16 - Sealed Bidding; Part A - Sealed Bidding; Task 28</t>
  </si>
  <si>
    <t>Respond to protest, if applicable</t>
  </si>
  <si>
    <t>CA - 29</t>
  </si>
  <si>
    <t>CL-20</t>
  </si>
  <si>
    <t xml:space="preserve">Allow user to capture the contractor's failure to complete the required corrective action. Allow user to take unilateral action against the contractor. </t>
  </si>
  <si>
    <t>Prevent duplication of selected clauses/provisions/local policies/client agency supplemental regulations.</t>
  </si>
  <si>
    <t xml:space="preserve">As a COR, I need to notify the CO/CS if the contractor fails to complete the required action so enforcement measures can be undertaken.
As a CO/CS, I need to take enforcement measures if the contractor fails to complete the required corrective action. I need to take unilateral action against the contractor (e.g., cure notice, show cause, possible termination). </t>
  </si>
  <si>
    <t>Ensure system can efficiently:
- Document contractor's failure to complete the required corrective action
- Take unilateral action against the contractor</t>
  </si>
  <si>
    <t>As a CO/CS, I need to ensure that clauses/provisions/local policies/client agency supplemental regulations aren't duplicated in my solicitation so I don't have duplicative information in my solicitation.</t>
  </si>
  <si>
    <t>Ensure the user can efficiently:
- Ensure there are no duplicate clauses</t>
  </si>
  <si>
    <t>CL-21</t>
  </si>
  <si>
    <t xml:space="preserve">Prohibit the selection of outdated or invalid clauses/provisions/local policies when creating new solicitations. </t>
  </si>
  <si>
    <t>As a CO/CS, I need to ensure the clauses/provisions/local policies/client agency supplemental regulations I select to be included in my solicitation are current, accurate and complete so the terms and conditions are clear.</t>
  </si>
  <si>
    <t>Ensure the user can efficiently:
- Ensure there are clauses/provisions/local policies are current, accurate and complete</t>
  </si>
  <si>
    <t>Activity 36 - Commercial/Simplified Acquisition Remedies - Part E - Enforce Implied Warranties; Task 1</t>
  </si>
  <si>
    <t>Verify that the deliverable is covered by an implied warranty.</t>
  </si>
  <si>
    <t>Verification that the deliverable is covered by an implied warranty</t>
  </si>
  <si>
    <t>CL-22</t>
  </si>
  <si>
    <t>Provide the ability to report on the clause/provision/local policy/client agency supplemental regulations contained in solicitations and contracts.</t>
  </si>
  <si>
    <t>As a CO/CS, I need to be able to report on solicitation contents under my purview so I can identify which ones need my attention when changes occur.
As a manager, I need to be able to report on the clause/provision/local policy/client agency supplemental regulations contained in the solicitations and contracts across my program areas so I can respond to inquiries or identify which solicitations/contracts require my attention.
As FAS, I need to be able to report on clause/provision/local policy/client agency supplemental regulations usage contained in solicitations and contracts across the organization so I can respond to data calls or identify which solicitations/contracts require attention.</t>
  </si>
  <si>
    <t>Ensure the user can efficiently:
- Report on clause/provision/local policy/client agency supplemental regulation usage in solicitations and contracts at a variety of hierarchical levels (e.g., CO/CS, manager, FAS, etc.)</t>
  </si>
  <si>
    <t>CL-23</t>
  </si>
  <si>
    <t>Activity 17 - Indefinite-Delivery/ Indefinite-Quantity Contracts and Ordering Procedures; Part B - Procedures for Ordering Under ID/IQ Contracts; Task 9 (Note--Task 8 is addressed in ACQ.030.070 Contract Award Issuance)</t>
  </si>
  <si>
    <t>If ordering from an IDIQ contract, respond to any protest</t>
  </si>
  <si>
    <t>Support individual or class deviations from FAR/GSAR. The shall document the contract file (Tab 3, Waivers/Deviations).</t>
  </si>
  <si>
    <t>As a CO/CS, I need to be able to deviate from a regulatory provision implementing a statutory requirement provided the deviation does not violate the underlying statute and I have my agency's approval. I need to route the deviation request for review and approval. Deviations must not be used to defeat the FAR and GSAR approval requirements.</t>
  </si>
  <si>
    <t>Ensure the user can efficiently:
- Support individual or class deviations from FAR/GSAR/local policy clauses and provisions
- Route deviation requests for review and approval
- Document the contract file</t>
  </si>
  <si>
    <t>CA - 30</t>
  </si>
  <si>
    <t xml:space="preserve">Allow user to verify that the deliverable is covered by an implied warranty. The system needs to make the action available for viewing in the contract file (Tab 32, Inspection Reports) and provide the ability to export the data as a web-form or similar structured manner. </t>
  </si>
  <si>
    <t>Ensure system can efficiently:
- Verify the deliverable is covered by warranty
- Access information in the contract file and export it if necessary</t>
  </si>
  <si>
    <t>Activity 36 - Commercial/Simplified Acquisition Remedies - Part E - Enforce Implied Warranties; Task 2</t>
  </si>
  <si>
    <t>Determine whether the contract disclaims the Government’s rights to an implied warranty.</t>
  </si>
  <si>
    <t>Ascertain Government's rights</t>
  </si>
  <si>
    <t>CL-24</t>
  </si>
  <si>
    <t>Enable users to remove or exclude a required clause from an instrument. The system shall require the user to create/upload/import a justification (Tab 3, Waivers/Deviations).</t>
  </si>
  <si>
    <t>As a CO/CS, there may be circumstances where a required clause needs to be removed or excluded from a solicitation (e.g., where there is an approved deviation) to align with business needs or the commercial marketplace. Such actions require me to provide a justification that needs to be documented in the contract file.</t>
  </si>
  <si>
    <t>Ensure the user can efficiently:
- Remove or exclude a required clause from a solicitation</t>
  </si>
  <si>
    <t>Activity 18 - Contracting by Negotiation; Task 21(b)(iii) (Note--Task 21(b)(ii) is in ACQ.030.020 Competitive Range Determination)</t>
  </si>
  <si>
    <t>CA - 31</t>
  </si>
  <si>
    <t>Allow user to determine whether the contract disclaims the Government's rights to an implied warranty.</t>
  </si>
  <si>
    <t>Notify unsuccessful
offerors of their elimination
from the competitive
range</t>
  </si>
  <si>
    <t xml:space="preserve">As a CO/CS, I need to be able to determine whether the contract disclaims the Government's rights to an implied warranty so I protect the Government's interest. </t>
  </si>
  <si>
    <t>Notification of unsuccessful offerors</t>
  </si>
  <si>
    <t>Ensure system can efficiently:
- Document the determination</t>
  </si>
  <si>
    <t>CL-25</t>
  </si>
  <si>
    <t>Enable a user to sort and view clauses in any order.</t>
  </si>
  <si>
    <t xml:space="preserve">As a CO/CS, I need to sort and view clauses in any order (e.g., by clause number, by solicitation section, by date order, etc.) to facilitate ease of viewing and searches. </t>
  </si>
  <si>
    <t>Activity 36 - Commercial/Simplified Acquisition Remedies - Part E - Enforce Implied Warranties; Task 3</t>
  </si>
  <si>
    <t>Ensure the user can efficiently:
- Sort and view clauses in any order</t>
  </si>
  <si>
    <t>If applicable, determine whether the warranty of merchantability has been breached.</t>
  </si>
  <si>
    <t>Determination of contract breach</t>
  </si>
  <si>
    <t>CL-26</t>
  </si>
  <si>
    <t>Allow clause/provisions/local policy/client agency supplemental regulations to be modified, based on regulatory requirements.</t>
  </si>
  <si>
    <t xml:space="preserve">Often, the clause prescription will instruct the CO to insert a clause "substantially as follows". As such, as a CO/CS, I need the ability to modify clauses if the authoritative reference permits such modifications. </t>
  </si>
  <si>
    <t>Ensure system can efficiently:
- Make modifications when permitted</t>
  </si>
  <si>
    <t xml:space="preserve">4.3.4.2
4.6.1
</t>
  </si>
  <si>
    <t>CA - 32</t>
  </si>
  <si>
    <t xml:space="preserve">Allow user to determine whether the warranty of merchantability has been breached. </t>
  </si>
  <si>
    <t xml:space="preserve">As a CO/CS, I need to be able to determine whether the warranty of merchantability has been breached to protect the Government's interest. </t>
  </si>
  <si>
    <t>SS - 188</t>
  </si>
  <si>
    <t>Enable users to document the notification of elimination from the competitive range. Enable collaboration on the notice amongst the acquisition team (customer, PMO, CO/CS, and general counsel). Enable supporting documentation from the acquisition to be attached to the response. The system needs to make the action available for viewing in the contract file (Tab 20, Unsuccessful Bids/Proposals) and provide the ability to export the data as a web-form or similar structured manner.</t>
  </si>
  <si>
    <t xml:space="preserve">As an acquisition team member, I may need to collaborate with my CO/CS on any notification of elimination from the competitive range so the response is complete and accurate. I need to be able to review, make edits/revisions/deletions, and approve the response. 
As a CO/CS, I need to create/upload/import the notification of elimination from the competitive range and supporting documentation. I need to be able to collaborate with acquisition team members on the drafting and finalization of the response and route the response for review and approval.  I also need to be able to access the action in the contract file and export it if necessary.  </t>
  </si>
  <si>
    <t>Ensure system can efficiently:
- Create/upload/import the notification to elimination from the competitive range and supporting documentation.
- Route the response among acquisition team members for review and approval
- Enable acquisition team members to make edits/revisions/deletions
- Access information in the contract file and export it if necessary</t>
  </si>
  <si>
    <t>Activity 36 - Commercial/Simplified Acquisition Remedies - Part E - Enforce Implied Warranties; Task 4</t>
  </si>
  <si>
    <t>If applicable, determine whether the contractor has breached the warranty of fitness for a particular purpose</t>
  </si>
  <si>
    <t>CL-27</t>
  </si>
  <si>
    <t>Prohibit modifications to clauses/provisions/local policy/client agency supplemental regulations based on regulatory requirements.</t>
  </si>
  <si>
    <t xml:space="preserve">As a CO/CS, I must not modify FAR/GSAR/local policy unless the FAR/GSAR/local policy authorizes their modification or I have an approved individual or class deviation so I comply with the authoritative references. </t>
  </si>
  <si>
    <t>Ensure system can efficiently:
- Restrict modifications unless such regulations authorization their modification
- Restrict modifications unless there is an approved individual or class deviation</t>
  </si>
  <si>
    <t>Activity 18 - Contracting by Negotiation; Task 21(b)(iv)</t>
  </si>
  <si>
    <t>Conduct a Pre Award
debriefing, if requested.</t>
  </si>
  <si>
    <t>Pre Award debrief</t>
  </si>
  <si>
    <t>CA - 33</t>
  </si>
  <si>
    <t xml:space="preserve">Allow user to determine whether the contractor has breached the warranty of fitness for a particular purpose. </t>
  </si>
  <si>
    <t xml:space="preserve">As a CO/CS, I need to be able to determine whether the contractor has breached the warranty of fitness for a particular purpose to protect the Government's interest. </t>
  </si>
  <si>
    <t>CL-28</t>
  </si>
  <si>
    <t>Enable a user to include FAR clauses/provisions and agency supplements in an instrument as either full-text or incorporated by reference if permitted by the authoritative reference.</t>
  </si>
  <si>
    <t>As a CO/CS, I need the option to incorporate a clause by reference it is permitted by the regulations or include it as full text.</t>
  </si>
  <si>
    <t>Ensure the user can efficiently:
- Include a clause as full text or incorporated by reference</t>
  </si>
  <si>
    <t>SS - 189</t>
  </si>
  <si>
    <t>Activity 36 - Commercial/Simplified Acquisition Remedies - Part E - Enforce Implied Warranties; Task 5</t>
  </si>
  <si>
    <t>Enable users to document preparatory material to conduct a Pre Award debriefing, if requested, as well as debriefing notes. The CWS shall be able to include documents from the contract file to support the debriefing. Enable collaboration on the debriefing amongst the acquisition team (customer, PMO, CO/CS, and general counsel). Enable supporting documentation from the acquisition to be attached to the response. The system needs to make the action available for viewing in the contract file (Tab 20, Unsuccessful Bids/Proposals) and provide the ability to export the data as a web-form or similar structured manner.</t>
  </si>
  <si>
    <t>Notify the contractor of the breach of the implied warranty.</t>
  </si>
  <si>
    <t>Notification to contractor of contract breach</t>
  </si>
  <si>
    <t xml:space="preserve">As an acquisition team member, I may need to collaborate with my CO/CS on any debriefing request and response so the response is complete and accurate. I need to be able to review, make edits/revisions/deletions, and approve the response. 
As a CO/CS, I need to create/upload/import preparatory material for the debriefing request as well as notes that document the debriefing itself, along with supporting documentation. I need to be able to collaborate with acquisition team members on the drafting and finalization of the debriefing and route the response for review and approval.  I also need to be able to access the action in the contract file and export it if necessary.  </t>
  </si>
  <si>
    <t>Ensure system can efficiently:
- Create/upload/import debriefing materials and notes and supporting documentation
- Route the response among acquisition team members for review and approval
- Enable acquisition team members to make edits/revisions/deletions
- Access information in the contract file and export it if necessary</t>
  </si>
  <si>
    <t>Activity 18 - Contracting by Negotiation; Task 28 (Note--Task 27 is in ACQ.030.060 Award Decision)</t>
  </si>
  <si>
    <t>Notify each offeror in writing when
setting aside an acquisition for a
small business concerns.</t>
  </si>
  <si>
    <t xml:space="preserve">Notification </t>
  </si>
  <si>
    <t>CL-29</t>
  </si>
  <si>
    <t>Enable an enterprise administrator to create, edit or delete a local clause.</t>
  </si>
  <si>
    <t>As an enterprise administrator, I need to create, edit or delete local clauses in support of the organization</t>
  </si>
  <si>
    <t>Ensure the user can efficiently:
- Create, edit or delete local clauses</t>
  </si>
  <si>
    <t>CA - 34</t>
  </si>
  <si>
    <t>4.5.4
4.6.1</t>
  </si>
  <si>
    <t xml:space="preserve">Allow user to notify the contractor of the breach of the implied warranty. Enable the users to collaborate with acquisition team members on the project (including the review, revision, routing, and approving of documents). The system needs to make the action available for viewing in the contract file (Tab 39, General Correspondence) and provide the ability to export the data as a web-form or similar structured manner. </t>
  </si>
  <si>
    <t>As an acquisition team member (such as reviewers, SBTA, general counsel, HCA, SPE, Contracting Director, etc.), I need to be able to collaborate with the acquisition team and review, revise, comment, approve (as appropriate) and route documents.
As the CO/CS, I need to create/upload/ import the document that notifies the contractor of the breach of the implied warranty to protect the Government's interests. I need to provide a copy of these instruction to the COR so they can perform the functions delegated to them. I also need to be able to access the action in the contract file and export it if necessary.
As a COR, I need to receive a copy of the CO notification so I can perform my duties. I also need to be able to access the action in the contract file and export it if necessary.</t>
  </si>
  <si>
    <t>SS - 190</t>
  </si>
  <si>
    <t>Ensure system can efficiently:
- Enable team collaboration
- Notify the contractor of the breach of the implied warranty
- Route for review and approval
- Access information in the contract file and export it if necessary</t>
  </si>
  <si>
    <t xml:space="preserve">Enable users to document a Pre Award notice for small business programs, as applicable. Enable collaboration on the notice amongst the acquisition team (customer, PMO, CO/CS, and general counsel) as needed. Enable supporting documentation from the acquisition to be attached to the response. The system needs to make the action available for viewing in the contract file (Tab 6, Small Business Set-Aside Determination) and provide the ability to export the data as a web-form or similar structured manner. </t>
  </si>
  <si>
    <t xml:space="preserve">As an acquisition team member, I may need to collaborate with my CO/CS on any Pre Award notice for small business programs so the notice is complete and accurate. I need to be able to review, make edits/revisions/deletions, and approve the response. 
As a CO/CS, I need to create/upload/import the Pre Award notice for small business program and supporting documentation. I need to be able to collaborate with acquisition team members on the drafting and finalization of the response and route the response for review and approval.  I also need to be able to access the action in the contract file and export it if necessary.  </t>
  </si>
  <si>
    <t>Ensure system can efficiently:
- Create/upload/import the Pre Award notice for small business programs and supporting documentation
-Route the response among acquisition team members for review and approval
- Enable acquisition team members to make edits/revisions/deletions
-Access information in the contract file and export it if necessary</t>
  </si>
  <si>
    <t>Activity 36 - Commercial/Simplified Acquisition Remedies - Part E - Enforce Implied Warranties; Task 6</t>
  </si>
  <si>
    <t>Negotiate acceptable relief.</t>
  </si>
  <si>
    <t>Activity 18 - Contracting by Negotiation; Task 33 (Note--Task 32 is in ACQ.030.070 Contract Award Issuance)</t>
  </si>
  <si>
    <t>Furnish a written notice to
unsuccessful offerors.</t>
  </si>
  <si>
    <t>Notification to Unsuccessful Offerors</t>
  </si>
  <si>
    <t>6.2.4
6.2.4.1
6.2.4.2
6.2.4.3
6.6.1</t>
  </si>
  <si>
    <t>CA - 35</t>
  </si>
  <si>
    <t>Allow user to collaborate with the acquisition team to identify negotiation objectives for the desired relief. Create a pre negotiation memorandum or memo to the file. Document the negotiation objectives into a negotiation memorandum or memo to the file. The system needs to make the action available for viewing in the contract file (Tab 40, Contract Modification) and provide the ability to export the data as a web-form or similar structured manner.</t>
  </si>
  <si>
    <t xml:space="preserve">5.2.2
5.5.1
</t>
  </si>
  <si>
    <t xml:space="preserve">As an acquisition team member, I need to be able to collaborate with the acquisition team and review, revise, comment, approve (as appropriate) and route documents so my CO/CS considers my input in the acquisition.
As a CO/CS,  I need to collaborate with the acquisition team to ensure we have the appropriate strategy to resolve the issue. I need to be able to establish negotiation objectives, conduct the negotiations, and document the outcome. I also need to formalize the outcome in a contract modification, using a Standard Form 30 to comply with the authoritative references. I need to provide a copy to the contractor and COR so they are kept abreast of the contract terms and conditions. I also need to be able to access the action in the contract file and export it if necessary.
As a COR, I need a copy of contract modifications so that I can perform the duties delegated to me. 
</t>
  </si>
  <si>
    <t>Ensure system can efficiently:
- Enable team collaboration
- Create pre negotiation memorandum or memo to file
- Create negotiation memorandum or memo to file
- Modify the contract
- Distribute the modification to affected parties
- Access information in the contract file and export it if necessary</t>
  </si>
  <si>
    <t>SS - 191</t>
  </si>
  <si>
    <t>Enable users to document a written notice to unsuccessful offerors. Enable collaboration on the notice amongst the acquisition team (customer, PMO, CO/CS, and general counsel). Enable supporting documentation from the acquisition to be attached to the response. The system needs to make the action available for viewing in the contract file (Tab 20, Unsuccessful Bids/Proposals) and provide the ability to export the data as a web-form or similar structured manner.</t>
  </si>
  <si>
    <t xml:space="preserve">As an acquisition team member, I may need to collaborate with my CO/CS on any notification to an unsuccessful offeror so the response is complete and accurate. I need to be able to review, make edits/revisions/deletions, and approve the response. 
As a CO/CS, I need to create/upload/import the written notice to unsuccessful offerors and supporting documentation. I need to be able to collaborate with acquisition team members on the drafting and finalization of the response and route the response for review and approval.  I also need to be able to access the action in the contract file and export it if necessary.  </t>
  </si>
  <si>
    <t>Ensure system can efficiently:
- Create/upload/import the written notice to unsuccessful offeror(s) and supporting documentation
-Route the response among acquisition team members for review and approval
- Enable acquisition team members to make edits/revisions/deletions
-Access information in the contract file and export it if necessary</t>
  </si>
  <si>
    <t>CL-30</t>
  </si>
  <si>
    <t>Activity 36 - Commercial/Simplified Acquisition Remedies - Part E - Enforce Implied Warranties; Task 7</t>
  </si>
  <si>
    <t>Enable an enterprise system administrator to set program area permissions regarding local clauses.</t>
  </si>
  <si>
    <t>Monitor contractor compliance with agreements (if any) to make the Government whole</t>
  </si>
  <si>
    <t>As an enterprise system administrator, I need to set permissions regarding the creation, modification or deletion of local clauses to ensure compliance with policy requirements.</t>
  </si>
  <si>
    <t>Ensure and document that the Government is made whole</t>
  </si>
  <si>
    <t>Ensure the user can efficiently:
- Set permissions</t>
  </si>
  <si>
    <t>Activity 18 - Contracting by Negotiation; Task 34</t>
  </si>
  <si>
    <t>Conduct a post award debriefing, if
requested.</t>
  </si>
  <si>
    <t>post award debrief</t>
  </si>
  <si>
    <t>6.3.1
6.3.2
6.6.1</t>
  </si>
  <si>
    <t>CA - 36</t>
  </si>
  <si>
    <t xml:space="preserve">Record compliance with the agreement to make the Government whole. </t>
  </si>
  <si>
    <t xml:space="preserve">As a COR, I need to monitor contractor compliance with the terms and conditions of the contract so I can perform my duties.
As a CO/CS, I need to monitor contractor compliance with the terms and conditions of the contract so I protect the Government's interest. </t>
  </si>
  <si>
    <t>Ensure system can efficiently:
- Document compliance with the terms and conditions of the contract</t>
  </si>
  <si>
    <t>CL-31</t>
  </si>
  <si>
    <t>Enable a program area administrator with the proper permission to create, edit or delete a local clause.</t>
  </si>
  <si>
    <t>As a program administrator with the proper permission, I need to create, edit or delete local clauses in support of the organization</t>
  </si>
  <si>
    <t>Activity 36 - Commercial/Simplified Acquisition Remedies - Part E - Enforce Implied Warranties; Task 8</t>
  </si>
  <si>
    <t>If the contractor fails to provide acceptable relief within a reasonable time, take appropriate action.</t>
  </si>
  <si>
    <t>Enforce compliance with contract</t>
  </si>
  <si>
    <t>Enable users to document preparatory material to conduct a post award debriefing, if requested, as well as debriefing notes. The CWS shall be able to include documents from the contract file to support the debriefing. Enable collaboration on the debriefing amongst the acquisition team (customer, PMO, CO/CS, and general counsel). Enable supporting documentation from the acquisition to be attached to the response. The system needs to make the action available for viewing in the contract file (Tab 20, Unsuccessful Bids/Proposals) and provide the ability to export the data as a web-form or similar structured manner.</t>
  </si>
  <si>
    <t>CL-32</t>
  </si>
  <si>
    <t>CA - 37</t>
  </si>
  <si>
    <t xml:space="preserve">Allow user to record the contractor's failure to provide acceptable relief. Allow user to take unilateral action against the contractor. The system needs to make the action available for viewing in the contract file (Tab 32, Inspection Reports) and provide the ability to export the data as a web-form or similar structured manner. </t>
  </si>
  <si>
    <t>Enable a user to add, delete, or change any clause by issuing an amendment or modification.</t>
  </si>
  <si>
    <t>As a COR, I need to notify the CO/CS if the contractor fails to provide acceptable relief so enforcement measures can be undertaken.
As a CO/CS, I need to take enforcement measures if the contractor fails to provide acceptable relief. I need to take unilateral action against the contractor (e.g., cure notice, show cause, possible termination). I also need to be able to access the action in the contract file and export it if necessary.</t>
  </si>
  <si>
    <t>As a CO/CS, I need to add, delete, or change any clause by issuing an amendment or modification to my solicitation to comply with the authoritative references.</t>
  </si>
  <si>
    <t>Ensure system can efficiently:
- Document contractor's failure to provide acceptable relief
- Take unilateral action against the contractor
- Access information in the contract file and export it if necessary</t>
  </si>
  <si>
    <t>Activity 18 - Contracting by Negotiation; Task 35</t>
  </si>
  <si>
    <t>Ensure the user can efficiently:
- Add, delete or change any clause by issuing an amendment or modification</t>
  </si>
  <si>
    <t>Respond to any protest, if applicable.</t>
  </si>
  <si>
    <t>Activity 37 - Non-Commercial Acquisition Remedies - Part D - Reject Nonconforming Supplies or Services; Task 1</t>
  </si>
  <si>
    <t>Determine the sufficiency of evidence to reject the work.</t>
  </si>
  <si>
    <t>CL-33</t>
  </si>
  <si>
    <t>Create procurement instruments in accordance with the Procurement Data Standard (PDS) and changes thereto. Note that OFPP is working to develop data standards for contract writing systems, so until they are available, the system shall use DoD's Procurement Data Standard in the interim.</t>
  </si>
  <si>
    <t>As a user, I need to be assured that the instruments I create are in accordance with the procurement data standards and changes thereto. The system needs to facilitate the creation, translation, processing, and sharing of procurement actions. The system output needs to improve visibility and accuracy of contract-related data as well as to support interoperability of third party systems and standardize elements to the maximum extent practicable.</t>
  </si>
  <si>
    <t>Ensure the system can efficiently:
- Create instruments in accordance with PDS
- Facilitate the creation, translation, processing, and sharing of procurement actions
- Improve visibility and accuracy of contract-related data
- Support interoperability of third party systems
- Standardize elements</t>
  </si>
  <si>
    <t>5.3
5.3.1
5.3.2
5.5.1
*</t>
  </si>
  <si>
    <t>SS - 192</t>
  </si>
  <si>
    <t xml:space="preserve">As an acquisition team member, I need to collaborate with my CO/CS on any debriefing request and response so the response is complete and accurate. I need to be able to review, make edits/revisions/deletions, and approve the response. 
As a CO/CS, I need to create/upload/import preparatory material for the debriefing request as well as notes that document the debriefing itself, along with supporting documentation. I need to be able to collaborate with acquisition team members on the drafting and finalization of the debriefing and route the response for review and approval.  I also need to be able to access the action in the contract file and export it if necessary.  </t>
  </si>
  <si>
    <t>CL-34</t>
  </si>
  <si>
    <t>Enable an authorized user to create new "front-page" forms to be used on instruments.</t>
  </si>
  <si>
    <t>As a CO/CS or PMO, I use the front page of a procurement instrument to introduce the opportunity, highlight important information, encourage participation, etc. The ability to add a personal touch to the action is important to building relationships with the supplier community.</t>
  </si>
  <si>
    <t>Ensure the user can efficiently:
- Create a new "front-page" form</t>
  </si>
  <si>
    <t>CL-35</t>
  </si>
  <si>
    <t>Activity 28 - Protests; Part A - Protests of Set-Aside or Small Business Preference Eligibility; Task 1</t>
  </si>
  <si>
    <t xml:space="preserve">Prepare a protest if questioning an offeror’s small business representation. </t>
  </si>
  <si>
    <t>6.3.1
6.3.2
6.3.3
6.6.1</t>
  </si>
  <si>
    <t>Protest</t>
  </si>
  <si>
    <t>CA - 38</t>
  </si>
  <si>
    <t>Enable user to determine if selected clauses from automatic clause selection apply to the entire instrument or one or more line items.</t>
  </si>
  <si>
    <t xml:space="preserve">Allow user to create contract surveillance/acceptance documentation in accordance with applicable contract type. Require user to justify determination to reject tendered service/supplies which may require reviews and approvals. The system needs to make the action available for viewing in the contract file (Tab 32, Inspection Reports for master contracts; Tab 47, Surveillance for task orders) and provide the ability to export the data as a web-form or similar structured manner.  </t>
  </si>
  <si>
    <t>As a CO/CS, I need to determine if selected clauses apply to the entire instrument or to one or more line items so suppliers understand the terms and conditions of the solicitation.</t>
  </si>
  <si>
    <t>As a COR, I need to document inspection of supplies or services has occurred to determine if rendered product or service conforms to contract terms and conditions. I need to be able to accept or reject rendered products or services in accordance with contract terms and conditions to ensure that only conforming deliverables are accepted. I may need to refer rejections for review and approval.
As a CO/CS, I need to be able to determine if products or services delivered have been accepted or rejected so I can take appropriate action with submitted vendor invoice. I may also need to review rejections and approve accordingly. I also need to be able to access the action in the contract file and export it if necessary.</t>
  </si>
  <si>
    <t>Ensure system can efficiently:
- Identify if selected clauses apply to the entire solicitation or to one or more lint items</t>
  </si>
  <si>
    <t>Ensure system can efficiently:
- Create contract surveillance/ acceptance documentation
- Capture COR inspection documentation
- Where the COR inspection documentation denotes non-conformance, enable the CO user to receive a system generated notification for review and approval
- Notify CO user when contract acceptance or rejection or delivery has occurred through a system generated notification</t>
  </si>
  <si>
    <t>Activity 37 - Non-Commercial Acquisition Remedies - Part D - Reject Nonconforming Supplies or Services; Task 2</t>
  </si>
  <si>
    <t>Determine whether to accept a minor non conformance</t>
  </si>
  <si>
    <t>CA - 39</t>
  </si>
  <si>
    <t xml:space="preserve">Allow user to create determination whether to accept a minor non conformance. The system needs to make the action available for viewing in the contract file (Tab 32, Inspection Reports for master contracts; Tab 47, Surveillance for task orders) and provide the ability to export the data as a web-form or similar structured manner.  </t>
  </si>
  <si>
    <t>As a COR, I need to document inspection of supplies or services has occurred to determine if rendered product or service conforms to contract terms and conditions. I need to be able to determine whether to accept a minor non conformance and may collaborate with the CO/CS accordingly.
As a CO/CS, I need to be able to determine whether to accept a minor non conformance so I can take appropriate action with submitted vendor invoice. I also need to be able to access the action in the contract file and export it if necessary.</t>
  </si>
  <si>
    <t>Ensure system can efficiently:
- Create contract surveillance/ non conformance determination
- Capture COR inspection documentation
- Where the COR inspection documentation denotes non-conformance, enable the CO user to receive a system generated notification for review and approval
- Notify CO user when contract acceptance or rejection or delivery has occurred through a system generated notification</t>
  </si>
  <si>
    <t>Activity 37 - Non-Commercial Acquisition Remedies - Part D - Reject Nonconforming Supplies or Services; Task 3</t>
  </si>
  <si>
    <t>Notify the contractor of the Government’s rejection of nonconforming supplies or services.</t>
  </si>
  <si>
    <t xml:space="preserve">5.4.1
5.4.1.i
5.4.1.ii
5.4.1.iii
5.4.1.iv
5.4.1.v
5.5.1
*
</t>
  </si>
  <si>
    <t>CA - 40</t>
  </si>
  <si>
    <t xml:space="preserve">Allow user to create the notification to the contractor (and supporting documentation) that the Government rejected nonconforming supplies or services. Enable the users to collaborate with acquisition team members on the project (including the review, revision, routing, and approving of documents).  The system needs to make the action available for viewing in the contract file (Tab 32, Inspection Reports for master contracts; Tab 47, Surveillance for task orders) and provide the ability to export the data as a web-form or similar structured manner.  </t>
  </si>
  <si>
    <t>As an acquisition team member (such as reviewers, SBTA, general counsel, HCA, SPE, Contracting Director, etc.), I need to be able to collaborate with the acquisition team and review, revise, comment, approve (as appropriate) and route documents.
As the CO/CS, I need to create/upload/ import the document that notifies the contractor of the rejection for nonconforming supplies or services to protect the Government's interests. I need to provide a copy of the notification to the COR so they can perform the functions delegated to them. I also need to be able to access the action in the contract file and export it if necessary.
As a COR, I need to receive a copy of the CO notification so I can perform my duties. I also need to be able to access the action in the contract file and export it if necessary.</t>
  </si>
  <si>
    <t>SS - 193</t>
  </si>
  <si>
    <t>Ensure system can efficiently:
- Enable team collaboration
- Create notification to the contractor of the rejection for nonconforming supplies or services
- Route for review and approval
- Access information in the contract file and export it if necessary</t>
  </si>
  <si>
    <t xml:space="preserve">Enable users to document a protest questioning the offeror's small business representation and enable collaboration on the response amongst the acquisition team (customer, PMO, CO/CS, and general counsel) as needed. Enable supporting documentation from the acquisition to be attached to the response. The system needs to make the action available for viewing in the contract file (Tab 6, Small Business Set-Aside Determination) and provide the ability to export the data as a web-form or similar structured manner. </t>
  </si>
  <si>
    <t xml:space="preserve">As an acquisition team member, I need to collaborate with my CO/CS on any protest response so the response is complete and accurate. I need to be able to review, make edits/revisions/deletions, and approve the response. 
As a CO/CS, I need to create/upload/import a protest questioning the offeror's small business representation, along with supporting documentation. I may need to be able to collaborate with acquisition team members on the drafting and finalization of the protest response and route the response for review and approval.  I also need to be able to access the action in the contract file and export it if necessary.  </t>
  </si>
  <si>
    <t>Ensure system can efficiently:
- Upload business size protest
- Create/upload/import the protest response and supporting documentation.
- Route the response among acquisition team members for review and approval
- Access information in the contract file and export it if necessary</t>
  </si>
  <si>
    <t>Activity 37 - Non-Commercial Acquisition Remedies - Part D - Reject Nonconforming Supplies or Services; Task 4</t>
  </si>
  <si>
    <t>CL-36</t>
  </si>
  <si>
    <t>Enable user to manually associate clauses to one or more line items.</t>
  </si>
  <si>
    <t>CA - 41</t>
  </si>
  <si>
    <t>As a CO/CS, I need to consider the contractor's response to determine what actions are in the Government's best interest. 
As a COR, I need to review the contractor's response and consult with my CO/CS to determine the next steps.</t>
  </si>
  <si>
    <t>Ensure system can efficiently:
- Review contractor correspondence
- Access information in the contract file and export it if necessary</t>
  </si>
  <si>
    <t>Activity 28 - Protests; Part A - Protests of Set-Aside or Small Business Preference Eligibility; Task 1a (Note--There is no Task 1b)</t>
  </si>
  <si>
    <t xml:space="preserve">Promptly forward the protest to the SBA Government Contracting Area Office for the geographical area where the principal office of the concern in question is located. </t>
  </si>
  <si>
    <t>Copy of protest</t>
  </si>
  <si>
    <t>Activity 37 - Non-Commercial Acquisition Remedies - Part D - Reject Nonconforming Supplies or Services; Task 5</t>
  </si>
  <si>
    <t>As a CO/CS, I need to associate which clauses apply to which line item(s) as necessary so suppliers understand the terms and conditions of the solicitation.</t>
  </si>
  <si>
    <t>Ensure system can efficiently:
- Associate which clauses apply to which line items as necessary</t>
  </si>
  <si>
    <t>CA - 42</t>
  </si>
  <si>
    <t xml:space="preserve">Capture the determination whether to accept the contractor's offer to cure the non conformance (and supporting documentation). Enable the users to collaborate with acquisition team members on the action (including the review, revision, routing, and approving of documents).  The system needs to make the action available for viewing in the contract file (Tab 32, Inspection Reports for master contracts; Tab 47, Surveillance for task orders) and provide the ability to export the data as a web-form or similar structured manner.  </t>
  </si>
  <si>
    <t>As an acquisition team member (such as reviewers, SBTA, general counsel, HCA, SPE, Contracting Director, etc.), I need to be able to collaborate with the acquisition team and review, revise, comment, approve (as appropriate) and route documents.
As the CO/CS, I need to determine whether to accept the contractor's offer to cure the non conformance (and supporting documentation) to protect the Government's interests. I need to be able collaborate with the acquisition team as necessary so they are kept apprised of the situation and can provide any input. I also need to be able to access the action in the contract file and export it if necessary.
As a COR, I need to be kept apprised of the situation so I can perform my duties. I also need to be able to access the action in the contract file and export it if necessary.</t>
  </si>
  <si>
    <t>Ensure system can efficiently:
- Enable team collaboration
- Capture determination
- Route for review and approval
- Access information in the contract file and export it if necessary</t>
  </si>
  <si>
    <t>Activity 37 - Non-Commercial Acquisition Remedies - Part D - Reject Nonconforming Supplies or Services; Task 6</t>
  </si>
  <si>
    <t>6.3.4.2
6.3.4.3
6.6.1
*</t>
  </si>
  <si>
    <t>CL-37</t>
  </si>
  <si>
    <t>CA - 43</t>
  </si>
  <si>
    <t xml:space="preserve">Capture determination whether to accept the contractor's offer of consideration for non conformance along with any supporting documentation for the determination. Enable users to collaborate with acquisition team members on the action (including the review, revision, routing, and approving of documents).  The system needs to make the action available for viewing in the contract file (Tab 32, Inspection Reports for master contracts; Tab 47, Surveillance for task orders) and provide the ability to export the data as a web-form or similar structured manner.  </t>
  </si>
  <si>
    <t>Carry forward all clause and line item associations from source instruments, but allow changes prior to instrument execution.</t>
  </si>
  <si>
    <t>As an acquisition team member (such as reviewers, SBTA, general counsel, HCA, SPE, Contracting Director, etc.), I need to be able to collaborate with the acquisition team and review, revise, comment, approve (as appropriate) and route documents.
As the CO/CS, I need to decide whether to accept the contractor's offer of consideration for non conformance (and supporting documentation) when it is appropriate to protect the Government's interests. I need to be able collaborate with the acquisition team as necessary so they are kept apprised of the situation and can provide any input. I also need to be able to access the action in the contract file and export it if necessary.
As a COR, I need to be kept apprised of the situation so I can perform my duties. I also need to be able to access the action in the contract file and export it if necessary.</t>
  </si>
  <si>
    <t>As a CO/CS, I want the system to carry forward all clause and line item(s) associations but allow changes before I complete the solicitation to help me work more efficiently.</t>
  </si>
  <si>
    <t>Ensure system can efficiently:
- Carry forward clause and line item associations
- Allow changes prior to finalizing the solicitation</t>
  </si>
  <si>
    <t xml:space="preserve">5.4.1
5.4.1.i
5.4.1.ii
5.4.1.iii
5.5.1
*
</t>
  </si>
  <si>
    <t>Activity 37 - Non-Commercial Acquisition Remedies - Part D - Reject Nonconforming Supplies or Services; Task 7</t>
  </si>
  <si>
    <t>If the contractor refuses to cure the non conformance or offer acceptable additional consideration, consider the appropriate course of action</t>
  </si>
  <si>
    <t>SS - 194</t>
  </si>
  <si>
    <t>Determine next steps</t>
  </si>
  <si>
    <t xml:space="preserve">Enable the forwarding of a small business representation protest to the SBA Government Contracting Area for the geographical area where the principal office of the concern is located. The system needs to make the action available for viewing in the contract file (Tab 6, Small Business Set-Aside Determination) and provide the ability to export the data as a web-form or similar structured manner. </t>
  </si>
  <si>
    <t xml:space="preserve">As a CO/CS, I need to provide a copy of the small business representation protest to the SBA Government contracting area of the geographical area where the principal office of the concern is located so they can adjudicate the protest.  I also need to be able to access the action in the contract file and export it if necessary.  </t>
  </si>
  <si>
    <t>Ensure system can efficiently:
- Forward a copy of the small business representation protest to the appropriate SBA entity
- Access information in the contract file and export it if necessary</t>
  </si>
  <si>
    <t>CL-38</t>
  </si>
  <si>
    <t>Identify the applicable line items for a particular clause that was automatically selected based on line-item level data criteria.</t>
  </si>
  <si>
    <t>As a CO/CS, I need to identify the applicable line items for a particular clause to facilitate supplier understanding and contract administration.</t>
  </si>
  <si>
    <t>Ensure system can efficiently:
- Identify applicable line items for a particular clause</t>
  </si>
  <si>
    <t>Activity 28 - Protests; Part A - Protests of Set-Aside or Small Business Preference Eligibility; Task 2</t>
  </si>
  <si>
    <t xml:space="preserve">Forward to the SBA a protest of an offeror’s small business status from an interested party unless the protest is premature. </t>
  </si>
  <si>
    <t>CL-39</t>
  </si>
  <si>
    <t>CA - 44</t>
  </si>
  <si>
    <t>Include a statement above, within, or below the clause on the instrument to identify the applicable clauses to one or more Contract Line Item Numbers.</t>
  </si>
  <si>
    <t>CL-40</t>
  </si>
  <si>
    <t>Enable a user to access a summary view of all clause additions, deletions and changes for an instrument.</t>
  </si>
  <si>
    <t>As a user, I need to see a summary view of the changes, deletions and additions made to the solicitation to help me validate its accuracy.</t>
  </si>
  <si>
    <t>Ensure system can efficiently:
- Summarize changes, deletions and additions</t>
  </si>
  <si>
    <t>CL-41</t>
  </si>
  <si>
    <t>Notify the user prior to executing an automatic clause selection process that this action may add, update, or delete clauses on the referenced instrument.</t>
  </si>
  <si>
    <t>As a user, I need a soft warning that before I execute the auto generation process that the action may update, delete or add items to my solicitation so I make sure I have everything completed the way I want it before I generate the solicitation.</t>
  </si>
  <si>
    <t>Ensure system  can efficiently:
- Notify user that autogenerating will make changes to the solicitation</t>
  </si>
  <si>
    <t>5.4.2
5.4.2.i
5.5.1</t>
  </si>
  <si>
    <t>Activity 37 - Non-Commercial Acquisition Remedies - Part E - Enforce Warranty Clause; Task 1</t>
  </si>
  <si>
    <t>Verification that deliverable has a warranty</t>
  </si>
  <si>
    <t>CL-42</t>
  </si>
  <si>
    <t>SS - 195</t>
  </si>
  <si>
    <t xml:space="preserve">Enable the forwarding of a small business representation protest from an interested party. The system needs to make the action available for viewing in the contract file (Tab 6, Small Business Set-Aside Determination) and provide the ability to export the data as a web-form or similar structured manner. </t>
  </si>
  <si>
    <t xml:space="preserve">As a CO/CS, I need to provide a copy of the small business representation protest to the SBA so they can adjudicate the protest.  I also need to be able to access the action in the contract file and export it if necessary.  </t>
  </si>
  <si>
    <t>Activity 28 - Protests; Part A - Protests of Set-Aside or Small Business Preference Eligibility; Task 3</t>
  </si>
  <si>
    <t xml:space="preserve">Determine whether to withhold award pending the outcome of the protest. </t>
  </si>
  <si>
    <t>CA - 45</t>
  </si>
  <si>
    <t xml:space="preserve">Allow user to review the contract file to verify that the warranty clause applies (warranties are typically filed in Tab 23a, Contractual Action). </t>
  </si>
  <si>
    <t>As a CO/CS, I need to be able to determine if a vendor is obligated to offer a remedy in accordance with the terms of a warranty to ensure the Government receives the remedies to which it is entitled.
As a COR, I need to be able to review the applicable warranty clause or other warranty documentation to determine a vendor's obligation to provide a remedy for a warrantied product of service.</t>
  </si>
  <si>
    <t>Ensure system can efficiently:
- Review the contract file</t>
  </si>
  <si>
    <t>5.4.1.ii
5.4.2.ii
5.5.1</t>
  </si>
  <si>
    <t>SS - 196</t>
  </si>
  <si>
    <t xml:space="preserve">Enable users to document the determination whether to withhold award pending the outcome of the protest. Enable the routing, review and approval of documents. The system needs to make the action available for viewing in the contract file (Tab 6, Small Business Set-Aside Determination) and provide the ability to export the data as a web-form or similar structured manner. </t>
  </si>
  <si>
    <t xml:space="preserve">As an acquisition team member, I may need to collaborate with my CO/CS on the determination so the response is complete and accurate. I need to be able to review, make edits/revisions/deletions, and approve the response. 
As a CO/CS, I need to create/upload/import a determination whether to withhold award pending outcome of the protest so I comply with the authoritative sources. I  also need to document the contract file.  </t>
  </si>
  <si>
    <t>Ensure system can efficiently:
- Create/upload/import the determination whether to withhold award pending the outcome of the protest
- Enable the routing, review and approval of documents
- Access information in the contract file and export it if necessary</t>
  </si>
  <si>
    <t>Activity 37 - Non-Commercial Acquisition Remedies - Part E - Enforce Warranty Clause; Task 2</t>
  </si>
  <si>
    <t>Activity 28 - Protests; Part A - Protests of Set-Aside or Small Business Preference Eligibility; Task 4</t>
  </si>
  <si>
    <t xml:space="preserve">If the award is made before receipt of SBA’s size determination, notify SBA that award has been made. </t>
  </si>
  <si>
    <t>CA - 46</t>
  </si>
  <si>
    <t xml:space="preserve">Notify the contractor that the Government intends to exercise its rights under the warranty clause. Enable collaboration among acquisition team members (including reviewing, revising, routing and approving documents). The system needs to make the action available for viewing in the contract file (Tab 39, General Correspondence) and provide the ability to export the data as a web-form or similar structured manner.  </t>
  </si>
  <si>
    <t>As an acquisition team member (such as reviewers, SBTA, general counsel, HCA, SPE, Contracting Director, etc.), I need to be able to collaborate with the acquisition team and review, revise, comment, approve (as appropriate) and route documents.
As a CO/CS, I need to be able to determine if a warranty is in effect for products or services when defects are discovered after acceptance to ensure that remedies offered under warranties can be implemented.</t>
  </si>
  <si>
    <t>Ensure system can efficiently:
- Notify contractor
- Collaborate with the acquisition team
- Route for review and approval
- Distribute notification
- Access information in the contract file and export it if necessary</t>
  </si>
  <si>
    <t>Activity 37 - Non-Commercial Acquisition Remedies - Part E - Enforce Warranty Clause; Task 3</t>
  </si>
  <si>
    <t>5.4.2.i
5.5.1
*</t>
  </si>
  <si>
    <t>Review of contractor's recommendation</t>
  </si>
  <si>
    <t>SS - 197</t>
  </si>
  <si>
    <t xml:space="preserve">Enable users to document a notification to SBA that award was made if the award was made before receipt of SBA's size determination. The system needs to make the action available for viewing in the contract file (Tab 6, Small Business Set-Aside Determination) and provide the ability to export the data as a web-form or similar structured manner. </t>
  </si>
  <si>
    <t>As a CO/CS, I need to notify SBA that award was made if the award was made before receipt of SBA's size determination so if SBA determined the offeror to be ineligible for award, I can terminate the contract (unless terminations isn't in the government's best interest). I also need to be able to access the action in the contract file and export it if necessary.</t>
  </si>
  <si>
    <t>Ensure system can efficiently:
- Create/upload/import a notification to SBA that award was made before receipt of SBA's size determination
- Access information in the contract file and export it if necessary</t>
  </si>
  <si>
    <t>CA - 47</t>
  </si>
  <si>
    <t xml:space="preserve">Allow user to review contractor correspondence (correspondence is typically filed in Tab 39, General Correspondence). </t>
  </si>
  <si>
    <t>Activity 28 - Protests; Part A - Protests of Set-Aside or Small Business Preference Eligibility; Task 5</t>
  </si>
  <si>
    <t xml:space="preserve">Forward to the SBA Office of Hearings and Appeals any appeal of an SBA determination. </t>
  </si>
  <si>
    <t>Activity 37 - Non-Commercial Acquisition Remedies - Part E - Enforce Warranty Clause; Task 4</t>
  </si>
  <si>
    <t>6.3.4.3
6.6.1
*</t>
  </si>
  <si>
    <t>CA - 48</t>
  </si>
  <si>
    <t>5.4.2.iv
5.5.1</t>
  </si>
  <si>
    <t>SS - 198</t>
  </si>
  <si>
    <t xml:space="preserve">Enable the forwarding of any appeal of an SBA determination to the SBA Office of Hearings and Appeals. Enable the routing, review and approval of documents. The system needs to make the action available for viewing in the contract file (Tab 6, Small Business Set-Aside Determination) and provide the ability to export the data as a web-form or similar structured manner. </t>
  </si>
  <si>
    <t xml:space="preserve">As an acquisition team member, I may need to collaborate with my CO/CS on the determination so the response is complete and accurate. I need to be able to review, make edits/revisions/deletions, and approve the response. 
As a CO/CS, I need to provide a copy of any appeal of an SBA determination to the SBA Office of Hearings and Appeals SBA so they can adjudicate the appeal.  I also need to be able to access the action in the contract file and export it if necessary.  </t>
  </si>
  <si>
    <t>Ensure system can efficiently:
- Forward any appeal of an SBA determination
- Enable the routing, review and approval of documents
- Access information in the contract file and export it if necessary</t>
  </si>
  <si>
    <t>Activity 37 - Non-Commercial Acquisition Remedies - Part E - Enforce Warranty Clause; Task 5</t>
  </si>
  <si>
    <t>6.5.1
6.6.1
*</t>
  </si>
  <si>
    <t>Activity 28 - Protests; Part A - Protests of Set-Aside or Small Business Preference Eligibility; Task 6</t>
  </si>
  <si>
    <t xml:space="preserve">Implement SBA determinations. </t>
  </si>
  <si>
    <t>Documents that address the implementation of SBA determinations</t>
  </si>
  <si>
    <t>CA - 49</t>
  </si>
  <si>
    <t>Activity 37 - Non-Commercial Acquisition Remedies - Part E - Enforce Warranty Clause; Task 6</t>
  </si>
  <si>
    <t>Take enforcement measures</t>
  </si>
  <si>
    <t>CA - 50</t>
  </si>
  <si>
    <t>5.4.3.1 
5.5.1</t>
  </si>
  <si>
    <t>SS - 199</t>
  </si>
  <si>
    <t xml:space="preserve">Enable users to document the actions taken to implement SBA determinations. The system needs to make the action available for viewing in the contract file (Tab 6, Small Business Set-Aside Determination) and provide the ability to export the data as a web-form or similar structured manner. </t>
  </si>
  <si>
    <t>As a CO/CS, I need to implement SBA determinations by either withholding suspending or terminating the contract as appropriate to comply with the authoritative sources. I also need to be able to access the action in the contract file and export it if necessary.</t>
  </si>
  <si>
    <t>Ensure system can efficiently:
- Create/upload/import SBA determinations and actions taken to implement SBA determinations
- Access information in the contract file and export it if necessary</t>
  </si>
  <si>
    <t>Activity 39 - Assignment of Claims; Task 1</t>
  </si>
  <si>
    <t>Activity 28 - Protests; Part A - Protests of Set-Aside or Small Business Preference Eligibility; Task 7</t>
  </si>
  <si>
    <t xml:space="preserve">Support SBA or agency action against any business entity that knowingly misrepresented its small business status. </t>
  </si>
  <si>
    <t>Determine if assignment of claims is permissible.</t>
  </si>
  <si>
    <t>Permissibility of assignment of claims</t>
  </si>
  <si>
    <t>CA - 51</t>
  </si>
  <si>
    <t>Allow user to select whether contract is eligible or prohibited from assignment of claims during contract award. If contract is eligible for assignment of claims, allow legal reviewer view only access to contract file to determine if assignment of claims is appropriate based on the contract record. Allow user to designate assignee in system and to allow assignee to receive payment in accordance with assignment. The system needs to make the action available for viewing in the contract file (Tab 35, Special Financing Documents) and provide the ability to export the data as a web-form or similar structured manner.</t>
  </si>
  <si>
    <t>As a CO/CS, I need to know if assignment of claims is permitted on contracts to ensure that I do not permit assignments of claims  when assignment is not in accordance with the terms of the contract.  I need to create/upload contract assignment of claims documentation. I also need to be able to access the action in the contract file and export it if necessary.</t>
  </si>
  <si>
    <t>Ensure system can efficiently:
- Identify and report on contracts including the clause at FAR 52.232-23, or meeting the conditions described at FAR 32.802
- Create the assignment of claims documentation. 
- Access information in the contract file and export it if necessary</t>
  </si>
  <si>
    <t>SS - 200</t>
  </si>
  <si>
    <t xml:space="preserve">Enable users to document the actions taken against any business entity that knowingly misrepresented its small business status as applicable. The system needs to make the action available for viewing in the contract file (Tab 6, Small Business Set-Aside Determination) and provide the ability to export the data as a web-form or similar structured manner. </t>
  </si>
  <si>
    <t>As a CO/CS, I need to document the actions taken against any business entity that knowingly misrepresented its small business status, as applicable, so I can comply with the authoritative sources. I also need to be able to access the action in the contract file and export it if necessary.</t>
  </si>
  <si>
    <t>Ensure system can efficiently:
- Document actions taken against any business entity that knowingly misrepresented its small business status as applicable for the file
- Access information in the contract file and export it if necessary</t>
  </si>
  <si>
    <t>Activity 39 - Assignment of Claims; Task 2</t>
  </si>
  <si>
    <t>Determine if an assignment of claims has already been made</t>
  </si>
  <si>
    <t>Determination if assignment of claims has already been made</t>
  </si>
  <si>
    <t>Activity 28 - Protests; Part B - Agency Protests; Task 1</t>
  </si>
  <si>
    <t xml:space="preserve">Respond to complaint or concern about the acquisition. </t>
  </si>
  <si>
    <t>Response</t>
  </si>
  <si>
    <t>CA - 52</t>
  </si>
  <si>
    <t>Allow user to assign a single trustee/agent/party. Allow/require the user to upload a written notice of assignment when an assignment of claims is accomplished. The system needs to make the action available for viewing in the contract file (Tab 35, Special Financing Documents) and provide the ability to export the data as a web-form or similar structured manner.</t>
  </si>
  <si>
    <t>As a CO/CS, I need to be able to determine if an assignment has been made against a contract so I do not allow an additional assignment to occur. I also need to be able to access the action in the contract file and export it if necessary.</t>
  </si>
  <si>
    <t>Ensure system can efficiently:
- Report or show when an assignment has been made against a contract
- Prevent users from assigning more than 1 trustee/agent/party at a time
- Upload assignment documentation to the contract file</t>
  </si>
  <si>
    <t>Activity 39 - Assignment of Claims; Task 3</t>
  </si>
  <si>
    <t>Identify any problems with the notice of assignment or the assignment of claims instrument</t>
  </si>
  <si>
    <t>Assignment review and analysis</t>
  </si>
  <si>
    <t>5.4.1.iii
5.5.1</t>
  </si>
  <si>
    <t>SS - 201</t>
  </si>
  <si>
    <t>Enable users to document the response to a complaint or concern about the acquisition. The system needs to make the action available for viewing in the contract file (Tab 21, Mistakes in Bids/Protests) and provide the ability to export the data as a web-form or similar structured manner.</t>
  </si>
  <si>
    <t>As a CO/CS, I need to use my best efforts to resolve concerns raised by an interested party through open and frank discussion so I can use inexpensive, informal, procedurally simple, and expeditious resolutions of the protest. I also need to be able to access the action in the contract file and export it if necessary.</t>
  </si>
  <si>
    <t>Ensure system can efficiently:
- Upload the complaint or concern
- Create/upload/import the response to the complaint/concern
- Access information in the contract file and export it if necessary</t>
  </si>
  <si>
    <t>Activity 28 - Protests; Part B - Agency Protests; Task 2</t>
  </si>
  <si>
    <t xml:space="preserve">Attempt to resolve complaints or concerns using established agency or contracting activity alternatives to the protest process. </t>
  </si>
  <si>
    <t>ADR</t>
  </si>
  <si>
    <t>CA - 53</t>
  </si>
  <si>
    <t>Allow FM review user view only permission to review information regarding assignment of claims in contract file (Tab 35, Special Financing Documents).</t>
  </si>
  <si>
    <t>As a CO/CS, I need to ensure that the assignment is accurate so I can acknowledge it in accordance with FAR 32.805 and instruct the contractor that all future invoices or other requests for payment under the contract must specify the name and address of the assignee and include a notation that payments due thereunder have been duly assigned.  I also need to be able to access the action in the contract file and export it if necessary
As a FM user, I need to be notified that an assignment has been made against a contract so I can ensure payments are made to the assignee per the assignment.</t>
  </si>
  <si>
    <t>Ensure system can efficiently:
- Create/upload notice of assignment to tab 35 of the ECF
- Allow a reviewer/FM user read only access to tab 35 of the ECF to review notice of assignment, or the ability for a user to access a copy of notice of assignment from the ECF and transmit to a user for review</t>
  </si>
  <si>
    <t>5.4.1.iii
5.4.1.iv
5.4.1..v
5.5.1</t>
  </si>
  <si>
    <t>SS - 202</t>
  </si>
  <si>
    <t>Enable users to document the response to a complaint or concern about the acquisition. The system needs to make the action available for viewing in the contract file (Tab 20, Unsuccessful Bids/Proposals) and provide the ability to export the data as a web-form or similar structured manner.</t>
  </si>
  <si>
    <t>As a CO/CS, I need to use my best efforts to resolve concerns raised by an interested party through open and frank discussion so I can use inexpensive, informal, procedurally simple, and expeditious resolutions of the protest. Where appropriate, I need to document my use of alternative dispute resolution techniques, third party neutrals, and another agency’s personnel as protest resolution methods. I also need to be able to access the action in the contract file and export it if necessary.</t>
  </si>
  <si>
    <t>Ensure system can efficiently:
- Create/upload/import the response to the complaint/concern
- Access information in the contract file and export it if necessary</t>
  </si>
  <si>
    <t>Activity 28 - Protests; Part B - Agency Protests; Task 3</t>
  </si>
  <si>
    <t>Activity 39 - Assignment of Claims; Task 4</t>
  </si>
  <si>
    <t>Determine whether to override CICA stay</t>
  </si>
  <si>
    <t xml:space="preserve">Identify any problems with the notice of further assignment or reassignment of claims instrument, notice of release, or release instrument. </t>
  </si>
  <si>
    <t>Determination (pre-award)</t>
  </si>
  <si>
    <t>Document problems</t>
  </si>
  <si>
    <t>5.4.1.ii
5.5.1</t>
  </si>
  <si>
    <t>SS - 203</t>
  </si>
  <si>
    <t>Enable users to document the determination whether to override CICA stay. The system needs to make the action available for viewing in the contract file (Tab 21, Mistakes in Bids/Protests) and provide the ability to export the data as a web-form or similar structured manner.</t>
  </si>
  <si>
    <t>As a CO/CS, I need to create/upload/import my determination whether to override a CICA stay so I can protect the government's best interest. I also need to be able to access the action in the contract file and export it if necessary.</t>
  </si>
  <si>
    <t>CA - 54</t>
  </si>
  <si>
    <t>Allow view only user/reviewer to leave comments regarding assignment of claims documentation.</t>
  </si>
  <si>
    <t>As a CO/CS, I need to know if a notice of assignment is accurate and complete before acknowledging it.
As a FM user, I need to be able to review a notice of assignment to ensure that it is correct and acceptable to allow the assignee to receive payment.</t>
  </si>
  <si>
    <t>Ensure system can efficiently:
- File notice of assignment to the appropriate contract tab
- Allow a reviewer/FM user read only access to review notice of assignment
- Route documents for review and/or approval as necessary</t>
  </si>
  <si>
    <t>Activity 28 - Protests; Part B - Agency Protests; Task 4</t>
  </si>
  <si>
    <t xml:space="preserve">If contract award is justified to continue, seek approval. </t>
  </si>
  <si>
    <t>SS - 204</t>
  </si>
  <si>
    <t>Enable users to document the determination to continue with contract award. The system needs to make the action available for viewing in the contract file (Tab 21, Mistakes in Bids/Protests) and provide the ability to export the data as a web-form or similar structured manner.</t>
  </si>
  <si>
    <t>As an acquisition team member, I may need to collaborate with my CO/CS on contract award to comply with authoritative sources. I need to be able to review, make edits/revisions/deletions, and approve the action. 
As a CO/CS, I need to determine if contract award is justified to continue and seek approval accordingly. I need to be able to route such determinations for approval at a level above the CO, or by another official pursuant to agency procedures. I also need to be able to access the action in the contract file and export it if necessary.</t>
  </si>
  <si>
    <t>Activity 39 - Assignment of Claims; Task 5</t>
  </si>
  <si>
    <t>Ensure system can efficiently:
- Create/upload/import the determination
- Route the response among acquisition team members for review and approval
- Access information in the contract file and export it if necessary</t>
  </si>
  <si>
    <t xml:space="preserve">Advise the assignee of any identified problems and any necessary changes. </t>
  </si>
  <si>
    <t>Notification to contractor of problems</t>
  </si>
  <si>
    <t>Activity 28 - Protests; Part B - Agency Protests; Task 5</t>
  </si>
  <si>
    <t xml:space="preserve">If award is withheld, inform the offerors whose offers might become eligible for award of the contract. </t>
  </si>
  <si>
    <t>SS - 205</t>
  </si>
  <si>
    <t>Enable users to document the notification to offerors whose offers might become eligible for award of the contract. The system needs to make the action available for viewing in the contract file (Tab 21, Mistakes in Bids/Protests) and provide the ability to export the data as a web-form or similar structured manner.</t>
  </si>
  <si>
    <t>As an acquisition team member, I may need to collaborate with my CO/CS on notifications to comply with authoritative sources. I need to be able to review, make edits/revisions/deletions, and approve the action. 
As a CO/CS, I need to inform the offerors whose offers might become eligible for award of the contract if award is withheld pending agency resolution of the protest and request that offerors to extend the time for acceptance of their offer to avoid the need for resolicitation. I may need to collaborate on this notice with my acquisition team and will need to be able to route, review and approval actions accordingly. I also need to be able to access the action in the contract file and export it if necessary.</t>
  </si>
  <si>
    <t>Ensure system can efficiently:
- Create/upload/import the notification
- Route the response among acquisition team members for review and approval
- Access information in the contract file and export it if necessary</t>
  </si>
  <si>
    <t>Activity 28 - Protests; Part B - Agency Protests; Task 6</t>
  </si>
  <si>
    <t xml:space="preserve">Determine whether to override CICA stay. </t>
  </si>
  <si>
    <t>Determination (post-award)</t>
  </si>
  <si>
    <t>CA - 55</t>
  </si>
  <si>
    <t>Capture correspondence between the contracting activity and the contractor related to notice of assignment corrections. The system needs to make the action available for viewing in the contract file (Tab 35, Special Financing Documents) and provide the ability to export the data as a web-form or similar structured manner.</t>
  </si>
  <si>
    <t>As a CO/CS I need to ensure that the contract file establishes a record of interactions associated with processing the notice of assignment for audit purposes.</t>
  </si>
  <si>
    <t>Ensure system can efficiently:
- Capture correspondence related to revisions to the notice of assignment
- File correspondence to the appropriate contract tab</t>
  </si>
  <si>
    <t>Activity 39 - Assignment of Claims; Task 6</t>
  </si>
  <si>
    <t xml:space="preserve">Acknowledge receipt of the notice of assignment. </t>
  </si>
  <si>
    <t>Return receipt</t>
  </si>
  <si>
    <t>Activity 28 - Protests; Part B - Agency Protests; Task 7</t>
  </si>
  <si>
    <t>CA - 56</t>
  </si>
  <si>
    <t>Enable users to document the determination to continue with contract award. The system needs to make the action available for viewing in the contract file (Tab 20, Unsuccessful Bids/Proposals) and provide the ability to export the data as a web-form or similar structured manner.</t>
  </si>
  <si>
    <t>Allow user to acknowledge notice of assignment. Change the payment information in the contract from the contracdtor to an assignee via contract modification on SF 30.</t>
  </si>
  <si>
    <t>As a CO/CS I need to acknowledge the notice of assignment IAW FAR 32.805 to ensure that assignee can be paid in accordance with the assignment
As a Contractor I need to ensure that the assignment is acknowledged by the CO to ensure that payments made under the contract become due to the assignee per our assignment.</t>
  </si>
  <si>
    <t xml:space="preserve">Ensure system can efficiently:
- Acknowledge a notice of assignment
- Change the payment information in the system from the contractor to an assignee via modification
</t>
  </si>
  <si>
    <t>Activity 28 - Protests; Part B - Agency Protests; Task 8</t>
  </si>
  <si>
    <t xml:space="preserve">Determine whether to deny or uphold the protest. </t>
  </si>
  <si>
    <t>Activity 39 - Assignment of Claims; Task 7</t>
  </si>
  <si>
    <t>Process documents for the assignment, further assignment, or reassignment of claims following agency and office requirements.</t>
  </si>
  <si>
    <t>Modification and document the file</t>
  </si>
  <si>
    <t>SS - 206</t>
  </si>
  <si>
    <t>CA - 57</t>
  </si>
  <si>
    <t>Enable users to document the determination whether to deny or uphold the protest. The system needs to make the action available for viewing in the contract file (Tab 21, Mistakes in Bids/Protests) and provide the ability to export the data as a web-form or similar structured manner.</t>
  </si>
  <si>
    <t>Allow user to accomplish additional assignments of claims as necessary. Maintain a history of assignees/trustees/parties. Maintain a record of assignment notices and their effective dates.</t>
  </si>
  <si>
    <t>As an acquisition team member, I need to collaborate with my CO/CS on protests to ensure a thorough review of the facts surrounding the protest and development of the agency position. I need to be able to review, make edits/revisions/deletions, and approve the action. 
As a CO/CS, I need to determine whether to deny or uphold the protest and seek approval accordingly. I need to be able to route such determinations for approval pursuant to agency procedures. I also need to be able to access the action in the contract file and export it if necessary.</t>
  </si>
  <si>
    <t>As a CO/CS, I need to be able to replace an existing notice of assignment with a new assignment or reassignment to ensure that payment is due to an assignee per the terms of an assignment of claims.
As a Contractor, I need to ensure that my assignment of claims ensures that payments due to my assignee are accurate when a new assignment or reassignment occur.</t>
  </si>
  <si>
    <t>Ensure system can efficiently:
- Replace a notice of assignment
- Allow a single assignment at one time
- Change the payment information in the system for the contractor to an assignee via modification</t>
  </si>
  <si>
    <t>Activity 28 - Protests; Part B - Agency Protests; Task 9</t>
  </si>
  <si>
    <t xml:space="preserve">Select the proper course of action. </t>
  </si>
  <si>
    <t>Activity 41 - Administering Financing Terms; Part A - Government Financing of Commercial Item Purchases; Task 1</t>
  </si>
  <si>
    <t>Review requests submitted by contractors for Government contract financing, and ensure that the contractor’s request has no defects</t>
  </si>
  <si>
    <t>Disposition of contract financing requests</t>
  </si>
  <si>
    <t>5.4.3
5.4.3.1
5.4.3.2
5.4.3.3
5.5.1</t>
  </si>
  <si>
    <t>SS - 207</t>
  </si>
  <si>
    <t>Enable users to document the selection of the proper course of action after review of the surrounding facts. The system needs to make the action available for viewing in the contract file (Tab 21, Mistakes in Bids/Protests) and provide the ability to export the data as a web-form or similar structured manner.</t>
  </si>
  <si>
    <t>As an acquisition team member, I need to collaborate with my CO/CS on protests to ensure a thorough review of the facts surrounding the protest and selection of the proper course of action. I need to be able to review, make edits/revisions/deletions, and approve the action. 
As a CO/CS, I need to select the proper course of action after a review of the facts surrounding the protest and seek approval accordingly. I need to be able to route such determinations for approval pursuant to agency procedures. I also need to be able to access the action in the contract file and export it if necessary.</t>
  </si>
  <si>
    <t>Ensure system can efficiently:
- Create/upload/import the selection of the proper course of action
- Route the response among acquisition team members for review and approval
- Access information in the contract file and export it if necessary</t>
  </si>
  <si>
    <t>Activity 28 - Protests; Part B - Agency Protests; Task 10</t>
  </si>
  <si>
    <t xml:space="preserve">Issue the protest decision. </t>
  </si>
  <si>
    <t>Decision</t>
  </si>
  <si>
    <t>CA - 58</t>
  </si>
  <si>
    <t>Capture commercial financing terms, if included, on contracts for commercial items.</t>
  </si>
  <si>
    <t xml:space="preserve">As an FM user, or other user with the role of authorizing payment, I need to ensure that contractor invoices comply with the financing terms of contracts for commercial items when financing terms are included.
As a CO/CS, I need to be able to define financing terms, if applicable to authoritative references, on contracts for commercial items to ensure that financing payments are only made when vendor invoices conform to the financing terms.
</t>
  </si>
  <si>
    <t>Ensure system can efficiently:
- Capture commercial financing terms, as determined by the CO, if applicable on contracts for commercial items,
- Allow FM user, or other user responsible for approving payments, to view the financing terms on contracts for commercial items as applicable</t>
  </si>
  <si>
    <t>SS - 208</t>
  </si>
  <si>
    <t>Enable users to document the protest decision. The system needs to make the action available for viewing in the contract file (Tab 21, Mistakes in Bids/Protests) and provide the ability to export the data as a web-form or similar structured manner.</t>
  </si>
  <si>
    <t>Activity 41 - Administering Financing Terms; Part A - Government Financing of Commercial Item Purchases; Task 2a</t>
  </si>
  <si>
    <t>As an acquisition team member, I need to collaborate with my CO/CS on protests to ensure a thorough review of the facts surrounding the protest prior to issuing the protest decision. I need to be able to review, make edits/revisions/deletions, and approve the action. 
As a CO/CS, I need to issue the protest decision after a review of the facts surrounding the protest and seek approval accordingly. I need to be able to route such determinations for approval pursuant to agency procedures. I also need to be able to access the action in the contract file and export it if necessary.</t>
  </si>
  <si>
    <t xml:space="preserve"> If the contractor’s request has defects, transmit the request back to the contractor for correction. </t>
  </si>
  <si>
    <t>Rejected request</t>
  </si>
  <si>
    <t>Activity 28 - Protests; Part B - Agency Protests; Task 11</t>
  </si>
  <si>
    <t xml:space="preserve">Support agency response to any authorized agency appeal. </t>
  </si>
  <si>
    <t>CA - 59</t>
  </si>
  <si>
    <t>Capture confirmation of correspondence regarding contractor request for contract financing.  The system needs to make the action available for viewing in the contract file (Tab 35, Special Financing Documents) and provide the ability to export the data as a web-form or similar structured manner.</t>
  </si>
  <si>
    <t>As a CO/CS, I need to establish substantiating information regarding vendor invoices to comply with the terms of the Prompt Payment Act, and to provide direction to contractors when errors are identified in their invoices for contract financing.
As a FM user, or other user with the role of authorizing payment, I need the ability to identify errors in vendor invoices for contract financing to allow vendor to correct and resubmit.</t>
  </si>
  <si>
    <t xml:space="preserve">Ensure system can efficiently:
- Record the submission of vendor invoices, or to allow a user to upload vendor invoices for financing against contracts for commercial items
- Allow FM user, or other user with role of authorizing payment, to comment on vendor invoices for financing, or to allow user to upload correspondence between FM user, or other user with role of authorizing payment, and vendor regarding errors in invoice
</t>
  </si>
  <si>
    <t>5.4.2
5.4.2.1
5.5.1</t>
  </si>
  <si>
    <t>SS - 209</t>
  </si>
  <si>
    <t>Enable users to retrieve documents from the contract file to support the agency response to any authorized agency appeal. The CWS shall also allow users to create from a template or upload the agency response to any authorized agency appeal. The system needs to make the action available for viewing in the contract file (Tab 21, Mistakes in Bids/Protests) and provide the ability to export the data as a web-form or similar structured manner.</t>
  </si>
  <si>
    <t>As an acquisition team member, I need to collaborate with my CO/CS on appeals to ensure a thorough review of the facts surrounding the protest. I need to be able to review, make edits/revisions/deletions, and approve the action. 
As a CO/CS, I need to prepare and support the agency response to any authorized agency appeal after a review of the facts surrounding the protest and seek approval accordingly. I need to be able to route such determinations for approval pursuant to agency procedures. I also need to be able to access the action in the contract file and export it if necessary.</t>
  </si>
  <si>
    <t>Ensure system can efficiently:
- Create/upload/import the agency appeal response selection of the proper course of action
- Retrieve documents from  the contract file in support of the appeal
- Route the response among acquisition team members for review and approval
- Access information in the contract file and export it if necessary</t>
  </si>
  <si>
    <t>Activity 41 - Administering Financing Terms; Part A - Government Financing of Commercial Item Purchases; Task 2b</t>
  </si>
  <si>
    <t>If the contractor’s request has no defects, determine whether to provide for contract financing payments for the commercial item purchase</t>
  </si>
  <si>
    <t>Determination of request</t>
  </si>
  <si>
    <t>Activity 28 - Protests; Part C - Protests to GAO; Task 1</t>
  </si>
  <si>
    <t xml:space="preserve">Provide notice of protest. </t>
  </si>
  <si>
    <t>CA - 60</t>
  </si>
  <si>
    <t>Capture commercial financing terms, if included, on contracts for commercial items</t>
  </si>
  <si>
    <t>SS - 210</t>
  </si>
  <si>
    <t>Enable users to document the notice of protest. The system needs to make the action available for viewing in the contract file (Tab 21, Mistakes in Bids/Protests) and provide the ability to export the data as a web-form or similar structured manner.</t>
  </si>
  <si>
    <t>As an acquisition team member, I need to collaborate with my CO/CS on protests to be able to support the appropriate course of action. I need to be able to review, make edits/revisions/deletions, and approve the action.
As a CO/CS, I need to provide a notice of protest to the contractor if the award has been made, or, if no award has been made, to all parties who appear to have a reasonable prospect of receiving award if the protest is denied. I need to furnish copies of the protest submissions to such parties with instructions to (i) communicate directly with the GAO, and (ii) provide copies of any such communication to the agency and to other participating parties when they become known. However, if the protester has identified sensitive information and requests a protective order, then I need to obtain a redacted version from the protester to furnish to other interested parties, if one has not already been provided. I also need to be able to route the notice for review and approval pursuant to agency procedures. I also need to be able to access the action in the contract file and export it if necessary.</t>
  </si>
  <si>
    <t>Ensure system can efficiently:
- Create/upload/import the notice of protest
- Route the response among acquisition team members for review and approval
- Forward the final notice to the contractor/interested parties as appropriate
- Access information in the contract file and export it if necessary</t>
  </si>
  <si>
    <t>Activity 41 - Administering Financing Terms; Part A - Government Financing of Commercial Item Purchases; Task 3</t>
  </si>
  <si>
    <t xml:space="preserve">Transmit the approved request to the designated payment office. </t>
  </si>
  <si>
    <t>Transmittal of approved request</t>
  </si>
  <si>
    <t>Activity 28 - Protests; Part C - Protests to GAO; Task 2</t>
  </si>
  <si>
    <t xml:space="preserve">Determine whether or not to continue with contract award or contract performance. </t>
  </si>
  <si>
    <t>5.4.2.ii
5.5.1</t>
  </si>
  <si>
    <t>SS - 211</t>
  </si>
  <si>
    <t>Enable users to document the determination whether or not to continue with contract award or performance. The system needs to make the action available for viewing in the contract file (Tab 21, Mistakes in Bids/Protests) and provide the ability to export the data as a web-form or similar structured manner.</t>
  </si>
  <si>
    <t>As an acquisition team member, I need to collaborate with my CO/CS on whether or not to continue with contract award or contract performance in the event of a protest so the Government's interests are protected. I need to be able to review, make edits/revisions/deletions, and approve the action.
As a CO/CS, I need to determine whether or not to continue with contract award or performance because of urgent and compelling circumstances which significantly affect the interest of the United States that will not permit awaiting the decision of the GAO in order to protect the Government's interest. I will need to work closely with the acquisition team to create the determination to seek approval of the Head of the Contracting Activity to continue and notify GAO of such decision. I also need to give written notice of the decision to the protester and other interested parties. I also need to be able to access the action in the contract file and export it if necessary.</t>
  </si>
  <si>
    <t>Ensure system can efficiently:
- Create/upload/import the determination whether or not to continue with contract award or performance
- Route the response among acquisition team members for review and approval
- Forward the notice to GAO, the protestor and other interested parties as appropriate
- Access information in the contract file and export it if necessary</t>
  </si>
  <si>
    <t>CA - 61</t>
  </si>
  <si>
    <t>Allow the payment office to identify that contractor invoices for financing have been approved and conform to the financing terms included in contracts for commercial items, as applicable</t>
  </si>
  <si>
    <t>As a Payment Office, I need to ensure that vendor invoices for financing conform to the financing terms associated with contracts for commercial items, as applicable.
As a CO/CS, I need the ability to demonstrate that vendor invoices for financing have been reviewed and approved as conforming to financing terms on contracts for commercial items, as applicable</t>
  </si>
  <si>
    <t>Ensure system can efficiently:
- Capture invoice reviews and approvals in the appropriate contract tab</t>
  </si>
  <si>
    <t>Activity 28 - Protests; Part C - Protests to GAO; Task 3</t>
  </si>
  <si>
    <t>Respond to any protester request for documents.</t>
  </si>
  <si>
    <t>Document request response</t>
  </si>
  <si>
    <t>Activity 41 - Administering Financing Terms; Part A - Government Financing of Commercial Item Purchases; Task 4 (Note--This is misnumbered in the FAI Blueprint and is correctly numbered here)</t>
  </si>
  <si>
    <t>Follow up with the designated payment office to confirm timely contract financing payments to the contractor</t>
  </si>
  <si>
    <t>Confirmation of financing payment</t>
  </si>
  <si>
    <t>5.4.2.iii
5.5.1
*</t>
  </si>
  <si>
    <t>SS - 212</t>
  </si>
  <si>
    <t>Enable users to retrieve documents from the contract file to support the request for documents under the protest. The CWS shall also allow users to create from a template or upload the agency response to any document request. The system needs to make the action available for viewing in the contract file (Tab 20, Unsuccessful Bids/Proposals) and provide the ability to export the data as a web-form or similar structured manner.</t>
  </si>
  <si>
    <t>As an acquisition team member, I need to collaborate with my CO/CS on documents that have been requested under the protest.  
As a CO/CS, I need to prepare and support the agency response to any protest request for documents from the contract file and seek approval accordingly. I need to be able to route such determinations for approval pursuant to agency procedures. I also need to be able to access the action in the contract file and export it if necessary.</t>
  </si>
  <si>
    <t>Ensure system can efficiently:
- Create/upload/import the response to the protest request for documents
- Retrieve documents from the contract file in support of the request
- Route the response among acquisition team members for review and approval
- Access information in the contract file and export it if necessary</t>
  </si>
  <si>
    <t>CA - 62</t>
  </si>
  <si>
    <t>Allow user to track invoicing, to include invoice submission date, invoice amount, date of invoice approval, and date of invoice payment for financing</t>
  </si>
  <si>
    <t>As a CO/CS, I need to track financing payments made to contractors on contracts for commercial items, as applicable.</t>
  </si>
  <si>
    <t xml:space="preserve">Ensure system can efficiently:
- Record financing payments made to contractors, or to allow users to upload documentation that demonstrates users are tracking financing payments made to contractors, as applicable
</t>
  </si>
  <si>
    <t>Activity 28 - Protests; Part C - Protests to GAO; Task 4</t>
  </si>
  <si>
    <t xml:space="preserve">Consider whether to take corrective action. </t>
  </si>
  <si>
    <t>Determination to take corrective action</t>
  </si>
  <si>
    <t>Activity 41 - Administering Financing Terms; Part A - Government Financing of Commercial Item Purchases; Task 5 (Note--This is misnumbered in the FAI Blueprint and is correctly numbered here)</t>
  </si>
  <si>
    <t xml:space="preserve">If applicable, monitor the security provided by the contractor for the government contract financing. </t>
  </si>
  <si>
    <t>Performance monitoring</t>
  </si>
  <si>
    <t>Enable users to document the determination whether to take corrective action. The system needs to make the action available for viewing in the contract file (Tab 21, Mistakes in Bids/Protests) and provide the ability to export the data as a web-form or similar structured manner.</t>
  </si>
  <si>
    <t>As an acquisition team member, I need to collaborate with my CO/CS on protests to ensure a thorough review of the facts surrounding the protest and consider whether to take corrective action. I need to be able to review, make edits/revisions/deletions, and approve the action. 
As a CO/CS, I need to select the proper course of action after a review of the facts surrounding the protest and seek approval accordingly. I need to be able to route such determinations for approval pursuant to agency procedures. I also need to be able to access the action in the contract file and export it if necessary.</t>
  </si>
  <si>
    <t>Ensure system can efficiently:
- Create/upload/import the determination to take corrective action
- Route the response among acquisition team members for review and approval
- Access information in the contract file and export it if necessary</t>
  </si>
  <si>
    <t>Activity 28 - Protests; Part C - Protests to GAO; Task 5</t>
  </si>
  <si>
    <t>CA - 63</t>
  </si>
  <si>
    <t xml:space="preserve">Prepare agency report. </t>
  </si>
  <si>
    <t>Notify user assigned administration responsibility of changes in contractor financial condition if commercial contract financing is approved.</t>
  </si>
  <si>
    <t>Report</t>
  </si>
  <si>
    <t>As a CO/CS, I need to ensure that any security obtained per FAR 32.202-4 remains equal to or greater than the amount of unliquidated financing, as applicable</t>
  </si>
  <si>
    <t>Ensure system can efficiently:
- Report or display the amount of unliquidated financing, if applicable</t>
  </si>
  <si>
    <t>Activity 41 - Administering Financing Terms; Part A - Government Financing of Commercial Item Purchases; Task 6 (Note--This is misnumbered in the FAI Blueprint and is correctly numbered here)</t>
  </si>
  <si>
    <t xml:space="preserve">Take appropriate remedial action when the contractor fails to provide adequate security. </t>
  </si>
  <si>
    <t>Remedial action</t>
  </si>
  <si>
    <t>5.4.1
5.4.1.iii
5.5.1</t>
  </si>
  <si>
    <t>Enable users to document the agency response and enable collaboration on the response amongst the acquisition team (customer, PMO, CO/CS, and general counsel). Enable supporting documentation from the acquisition to be attached to the response. The system needs to make the action available for viewing in the contract file (Tab 21, Mistakes in Bids/Protests) and provide the ability to export the data as a web-form or similar structured manner.</t>
  </si>
  <si>
    <t>CA - 64</t>
  </si>
  <si>
    <t>Allow CO/CS user to create from template or import from external document a commercial show cause notice when a vendor fails to provide adequate security when commercial contract provides contract financing. Allow user to create from template of import from external document termination for cause when vendor fails to correct adequate security show cause notice.  The system needs to make the action available for viewing in the contract file (Tab 41, Termination Documents) and provide the ability to export the data as a web-form or similar structured manner.</t>
  </si>
  <si>
    <t>As a CO/CS, I need to ensure that the contractor provides adequate security when commercial financing is provided in accordance with FAR 32.202-4.  I need to create/upload appropriate documents supporting remedial actions including show cause notices and termination for cause notices.  I also need to be able to access the action in the contract file and export it if necessary.</t>
  </si>
  <si>
    <t>Activity 28 - Protests; Part C - Protests to GAO; Task 6</t>
  </si>
  <si>
    <t>Ensure system can efficiently:
- Create or upload a show cause notice for contractors failing to provide security in an amount equal to or greater than the unliquidated financing on a commercial contract, if applicable
- Create or upload other documents including termination for cause
- Access information in the contract file and export it if necessary</t>
  </si>
  <si>
    <t xml:space="preserve">Distribute the agency report on the protest. </t>
  </si>
  <si>
    <t>Distribution of report</t>
  </si>
  <si>
    <t>5.4.2
5.4.2.iii
5.5.1</t>
  </si>
  <si>
    <t>Activity 41 - Administering Financing Terms; Part B - Progress Payments Based on Costs (Government Financing of Non-Commercial Item Purchases; Task 1</t>
  </si>
  <si>
    <t>SS - 213</t>
  </si>
  <si>
    <t>If the contract did not call for progress payments, determine whether to modify the contract to provide them.</t>
  </si>
  <si>
    <t>Determination to permit progress payments</t>
  </si>
  <si>
    <t>Enable users to distribute the agency report on the protest to the protestor, GAO, and other interested parties. The system needs to make the action available for viewing in the contract file (Tab 21, Mistakes in Bids/Protests) and provide the ability to export the data as a web-form or similar structured manner.</t>
  </si>
  <si>
    <t xml:space="preserve">As an acquisition team member, I may need to receive a copy of the agency report as designated by the CO/CS. 
As a CO/CS, I need to distribute the agency report in accordance with the authoritative references. I may need to distribute copies to acquisition team members as well.  I also need to be able to access the action in the contract file and export it if necessary.  </t>
  </si>
  <si>
    <t>Ensure system can efficiently:
- Distribute the agency report on the protest
- Provide a copy to acquisition team members as appropriate
- Access information in the contract file and export it if necessary</t>
  </si>
  <si>
    <t>CA - 65</t>
  </si>
  <si>
    <t>Allow the vendor to create from template or upload external document of determination to permit progress payments or other contract financing after contract award. Allow HCA user to approve determination, or allow user to upload fully executed determination. The system needs to make the action available for viewing in the contract file (Tab 36, Progress Payment Record) and provide the ability to export the data as a web-form or similar structured manner.</t>
  </si>
  <si>
    <t>As a CO/CS, I need to determine if the consideration offered by the contractor is sufficient to warrant including progress payments or other contract financing after contract award and in the best interest of the government. I also need to be able to access the action in the contract file and export it if necessary.</t>
  </si>
  <si>
    <t>Ensure system can efficiently:
- Create or upload a determination that documents the decision to allow or reject a contractor's consideration in exchange for adding, post-award, progress payments or other contract financing.
- Access information in the contract file and export it if necessary</t>
  </si>
  <si>
    <t>Activity 28 - Protests; Part C - Protests to GAO; Task 7</t>
  </si>
  <si>
    <t xml:space="preserve">Respond to any request for additional documents. </t>
  </si>
  <si>
    <t>Additional document request response</t>
  </si>
  <si>
    <t>Activity 41 - Administering Financing Terms; Part B - Progress Payments Based on Costs (Government Financing of Non-Commercial Item Purchases; Task 2</t>
  </si>
  <si>
    <t xml:space="preserve">Tailor the supervision of progress payments to the level necessary to protect the Government’s interest. </t>
  </si>
  <si>
    <t>Supervision of progress payments</t>
  </si>
  <si>
    <t>Enable users to retrieve documents from the contract file to support the request for additional documents under the protest. The CWS shall also allow users to create from a template or upload the agency response to any additional document request. The system needs to make the action available for viewing in the contract file (Tab 21, Mistakes in Bids/Protests) and provide the ability to export the data as a web-form or similar structured manner.</t>
  </si>
  <si>
    <t>CA - 66</t>
  </si>
  <si>
    <t xml:space="preserve">Track progress payments, or shall allow users to import from external document a progress payment tracker .xls or similar. Track progress payments against the project schedule. Notify user when contract progress payments exceed contract progress schedule. Notify user when contract progress payment reach the limit established in the contract progress payment clause. The system needs to make the action available for viewing in the contract file (Tab 36, Progress Payment Record) and provide the ability to export the data as a web-form or similar structured manner. </t>
  </si>
  <si>
    <t>As a CO/CS, I need to establish progress payment schedules and limits as appropriate and consistent with the contract.  I need to provide supervision of progress payments for compliance with schedule, amounts, and overall limits. I also need to be able to access the action in the contract file and export it if necessary.</t>
  </si>
  <si>
    <t>Ensure system can efficiently:
- Report on contractor's financial health score
- Report on adequacy of contractor's accounting system in accordance with FAR 32.503-3
- Report on contractor's FAPIIS summary, specifically non-responsibility determinations, defective pricing,  and terrminations for default
- Access information in the contract file and export it if necessary</t>
  </si>
  <si>
    <t>Activity 28 - Protests; Part C - Protests to GAO; Task 8</t>
  </si>
  <si>
    <t xml:space="preserve">Participate in any hearing scheduled by GAO. </t>
  </si>
  <si>
    <t>Hearing participation</t>
  </si>
  <si>
    <t>5.4.2.iii
5.5.1</t>
  </si>
  <si>
    <t>Activity 41 - Administering Financing Terms; Part B - Progress Payments Based on Costs (Government Financing of Non-Commercial Item Purchases; Task 3</t>
  </si>
  <si>
    <t xml:space="preserve">Determine whether to approve the initiation of progress payments. </t>
  </si>
  <si>
    <t>SS - 214</t>
  </si>
  <si>
    <t>Determination to approve progress payment initiation</t>
  </si>
  <si>
    <t>Enable users to retrieve documents from the contract file to support a request for a GAO hearing in order to prepare for the event. The system needs to make the action available for viewing in the contract file (Tab 21, Mistakes in Bids/Protests) and provide the ability to export the data as a web-form or similar structured manner.</t>
  </si>
  <si>
    <t>As an acquisition team member, I may need to participate in any hearing scheduled by GAO.  
As a CO/CS, I need to prepare for any hearing scheduled by GAO by reviewing contract file contents. I need to be able to collaborate with acquisition team members to prepare for the hearing pursuant to agency procedures. I also need to be able to access the action in the contract file and export it if necessary with any hearing notes as applicable.</t>
  </si>
  <si>
    <t>Ensure system can efficiently:
- Retrieve documents from the contract file to prepare for the hearing
- Collaborate among acquisition team members to prepare for the hearing
- Access information in the contract file and export it if necessary with any hearing notes as applicable</t>
  </si>
  <si>
    <t>6.4.1
6.4.2
6.4.3
6.6.1</t>
  </si>
  <si>
    <t>Activity 28 - Protests; Part C - Protests to GAO; Task 9</t>
  </si>
  <si>
    <t xml:space="preserve">Submit written comments on any hearing held by the GAO. </t>
  </si>
  <si>
    <t>Comments</t>
  </si>
  <si>
    <t>CA - 67</t>
  </si>
  <si>
    <t xml:space="preserve">Allow user to create from template or upload external document a determination that documents vendor performance is acceptable, accounting system is adequate, and vendor financial condition is acceptable to allow progress payment initiation.  The system needs to make the action available for viewing in the contract file (Tab 36, Progress Payment Record) and provide the ability to export the data as a web-form or similar structured manner. </t>
  </si>
  <si>
    <t>As an ACO, I need to be able to create a determination that a contractor 's accounting system and controls are adequate for the proper administration of progress payments so I make a positive or negative determination to initiate progress payments. I also need to be able to access the action in the contract file and export it if necessary.</t>
  </si>
  <si>
    <t>Ensure system can efficiently:
- Create or upload a determination with regards to the initiation of progress payments,
- Access information in the contract file and export it if necessary</t>
  </si>
  <si>
    <t>Enable users to retrieve documents from the contract file to support a request for a GAO hearing in order to prepare for the event. TThe system needs to make the action available for viewing in the contract file (Tab 21, Mistakes in Bids/Protests) and provide the ability to export the data as a web-form or similar structured manner.</t>
  </si>
  <si>
    <t>Activity 41 - Administering Financing Terms; Part B - Progress Payments Based on Costs (Government Financing of Non-Commercial Item Purchases; Task 4</t>
  </si>
  <si>
    <t>Approve or disapprove a request for progress payments</t>
  </si>
  <si>
    <t>Approval/Disapproval</t>
  </si>
  <si>
    <t>Activity 28 - Protests; Part C - Protests to GAO; Task 10</t>
  </si>
  <si>
    <t xml:space="preserve">File a request for reconsideration, if applicable. </t>
  </si>
  <si>
    <t>Request for reconsideration</t>
  </si>
  <si>
    <t>6.4.3
6.6.1</t>
  </si>
  <si>
    <t>CA - 68</t>
  </si>
  <si>
    <t xml:space="preserve">Allow user to document reason for disapproving progress payments, and allow user to document request for an audit when progress payments are disapproved. The system needs to make the action available for viewing in the contract file (Tab 36, Progress Payment Record) and provide the ability to export the data as a web-form or similar structured manner. </t>
  </si>
  <si>
    <t>As an ACO, I need to be able to determine that a contractor's accounting system and controls are adequate for the proper administration of progress payments so I make a positive or negative determination to initiate progress payments. I also need to be able to access the action in the contract file and export it if necessary.</t>
  </si>
  <si>
    <t>SS - 215</t>
  </si>
  <si>
    <t>Enable users to document the agency request for reconsideration, if applicable, and enable collaboration on the request amongst the acquisition team (customer, PMO, CO/CS, and general counsel). Enable supporting documentation from the acquisition to be attached to the request. The system needs to make the action available for viewing in the contract file (Tab 21, Mistakes in Bids/Protests) and provide the ability to export the data as a web-form or similar structured manner.</t>
  </si>
  <si>
    <t xml:space="preserve">As an acquisition team member, I need to collaborate with my CO/CS on any request for reconsideration so the request is complete and accurate. I need to be able to review, make edits/revisions/deletions, and approve the request. 
As a CO/CS, I need to create/upload/import the request for reconsideration and supporting documentation which includes a detailed statement of the factual and legal grounds upon which reversal or modification is deemed warranted, specifying any errors of law made or information not previously considered. I need to be able to collaborate with acquisition team members on the drafting and finalization of the request and route the response for review and approval.  I also need to be able to access the action in the contract file and export it if necessary.  </t>
  </si>
  <si>
    <t>Ensure system can efficiently:
- Create/upload/import the request for reconsideration and supporting documentation.
- Route the response among acquisition team members for review and approval
- Access information in the contract file and export it if necessary</t>
  </si>
  <si>
    <t>Activity 41 - Administering Financing Terms; Part B - Progress Payments Based on Costs (Government Financing of Non-Commercial Item Purchases; Task 5</t>
  </si>
  <si>
    <t xml:space="preserve">Conduct post payment reviews of progress payments. </t>
  </si>
  <si>
    <t>Progress payment reviews</t>
  </si>
  <si>
    <t>CA - 69</t>
  </si>
  <si>
    <t>Activity 28 - Protests; Part C - Protests to GAO; Task 11</t>
  </si>
  <si>
    <t xml:space="preserve">Create from template or upload external document a determination that a post payment review or audit is needed to determine the validity of progress payments already made and expected to be made. The system needs to make the action available for viewing in the contract file (Tab 36, Progress Payment Record) and provide the ability to export the data as a web-form or similar structured manner. </t>
  </si>
  <si>
    <t>As an ACO, I need to conduct periodic post-payment reviews to determine the validity of progress payments already made and expected to be made to ensure that progress payments continue to be in the best interest of the government and conform to the terms of the contract. I also need to be able to access the action in the contract file and export it if necessary.</t>
  </si>
  <si>
    <t>Ensure system can efficiently:
- Create or upload a post-payment determination in accordance with FAR 32.503-5(b)
- Access information in the contract file and export it if necessary</t>
  </si>
  <si>
    <t xml:space="preserve">Report any failure to implement a GAO recommendation. </t>
  </si>
  <si>
    <t>Report to General Counsel and GAO</t>
  </si>
  <si>
    <t>5.4.3.1
5.5.1</t>
  </si>
  <si>
    <t>SS - 216</t>
  </si>
  <si>
    <t>Enable users to document the report to GAO of the agency's failure to implement their recommendation. The system needs to make the action available for viewing in the contract file (Tab 21, Mistakes in Bids/Protests) and provide the ability to export the data as a web-form or similar structured manner.</t>
  </si>
  <si>
    <t>Activity 41 - Administering Financing Terms; Part B - Progress Payments Based on Costs (Government Financing of Non-Commercial Item Purchases; Task 6</t>
  </si>
  <si>
    <t>As an acquisition team member, I need to collaborate with my CO/CS on any failure of the agency to implement a GAO recommendation to comply with the authoritative sources. I need to be able to review, make edits/revisions/deletions, and approve the report.
As a CO/CS, I need to ensure the head of the contracting activity responsible for that contract report a failure to implement GAO recommendations in accordance with the authoritative sources. I need to create/upload/import a report that explains the reasons why the GAO’s recommendation, exclusive of costs, has not been followed by my agency.  I also need to be able to access the action in the contract file and export it if necessary.</t>
  </si>
  <si>
    <t xml:space="preserve">Ensure that the Government’s title to these inventories under the Progress Payments clause is not compromised by other encumbrances. </t>
  </si>
  <si>
    <t>Ensure system can efficiently:
- Create/upload/import the report to GAO
- Collaborate amongst acquisition team members to prepare the report
- Route the response among acquisition team members for review and approval
- Access information in the contract file and export it if necessary</t>
  </si>
  <si>
    <t>Activity 28 - Protests; Part C - Protests to GAO; Task 12</t>
  </si>
  <si>
    <t xml:space="preserve">If an award was suspended or terminated as a result of a protest, negotiate any necessary equitable adjustment or settlement. </t>
  </si>
  <si>
    <t>Equitable adjustment or settlement</t>
  </si>
  <si>
    <t>CA - 70</t>
  </si>
  <si>
    <t xml:space="preserve">Create from template or upload external document describing protective provisions to establish and protect the government's title to to all of the materials, work-in-process, finished goods, and other items of property described in paragraph (d) of the Progress Payments clause. Allow legal reviewer user view only access to the electronic contract file to determine possible violation of the False Claims Act 31 U.S.C.3729.  The system needs to make the action available for viewing in the contract file (Tab 36, Progress Payment Record) and provide the ability to export the data as a web-form or similar structured manner. </t>
  </si>
  <si>
    <t>As a CO/CS, I need to document the protection of government title including contractor's certification that title to property shall vest in the government per 52.232-16(d) to ensure that no arrangement or condition exists that would impair the government’s title to the property affected by progress payment, or steps I take such as so I can require additional protective provisions to establish and protect the government’s title in order to comply with authoritative references.  I also need to be able to access the action in the contract file and export it if necessary.</t>
  </si>
  <si>
    <t>Ensure system can efficiently:
- Record and report on the inclusion of other protective terms in accordance with FAR 32.501-5, if required and as applicable
- Enable a legal reviewer to access appropriate contract documents
- Access information in the contract file and export it if necessary</t>
  </si>
  <si>
    <t>5.4.3.2
5.5.1
*</t>
  </si>
  <si>
    <t>SS - 217</t>
  </si>
  <si>
    <t>Enable users to document a pre negotiation memorandum that addresses any necessary equitable adjustment or settlement as a result of the suspended award or terminated contract as a result of a protest. The system needs to make the action available for viewing in the contract file (Tab 21, Mistakes in Bids/Protests) and provide the ability to export the data as a web-form or similar structured manner.</t>
  </si>
  <si>
    <t xml:space="preserve">As an acquisition team member, I need to collaborate with my CO/CS on any negotiations that may be necessary if an award was suspended or contract terminated as a result of a protest. I need to be able to review and revise the memorandum as necessary.
As a CO/CS, I need to create/upload/import a pre negotiation memorandum that addresses any necessary equitable adjustment or settlement as a result of the suspended award or terminated contract as a result of a protest so I can attempt to negotiate a mutual agreement on a no-cost basis. I also need to be able to access the action in the contract file and export it if necessary. </t>
  </si>
  <si>
    <t>Ensure system can efficiently:
- Create/upload/import the pre negotiation memorandum
- Collaborate amongst acquisition team members to prepare for negotiations
- Route the memorandum among acquisition team members for review and approval
- Access information in the contract file and export it if necessary</t>
  </si>
  <si>
    <t>Activity 41 - Administering Financing Terms; Part B - Progress Payments Based on Costs (Government Financing of Non-Commercial Item Purchases; Task 7</t>
  </si>
  <si>
    <t xml:space="preserve">Liquidate progress payments through deductions in payments to the contractor. </t>
  </si>
  <si>
    <t>Payment deductions</t>
  </si>
  <si>
    <t>Activity 28 - Protests; Part C - Protests to GAO; Task 13</t>
  </si>
  <si>
    <t xml:space="preserve"> Negotiate protest costs. </t>
  </si>
  <si>
    <t>Negotiation</t>
  </si>
  <si>
    <t>CA - 71</t>
  </si>
  <si>
    <t xml:space="preserve">Require users to include a liquidation rate at the time of contract award for contract progress payments, if applicable, and store or calculate total contract value, total amount eligible for progress payments, maximum percentage from FAR 32.501-1(a) or progress payment rate as applicable. The system needs to make the action available for viewing in the contract file (Tab 36, Progress Payment Record) and provide the ability to export the data as a web-form or similar structured manner. </t>
  </si>
  <si>
    <t>As a CO/CS, I need to establish a liquidation rate at the time of award, either in accordance with FAR 32.503-8 or 32.503-9, and apply liquidations in accordance with the liquidation rate to recoup progress payments if necessary.  I also need to be able to access the action in the contract file and export it if necessary.</t>
  </si>
  <si>
    <t>Ensure system can efficiently:
- Establish, record and report liquidation rates based on the calculation described in FAR 32.503-10 and using total contract value, total amount eligible for progress payments, and maximum percentage from FAR 32.501-1(a), or at the progress payment rate, as applicable
- Access information in the contract file and export it if necessary</t>
  </si>
  <si>
    <t>SS - 218</t>
  </si>
  <si>
    <t>Enable users to document a negotiation memorandum that addresses the results of negotiations regarding any equitable adjustment or settlement due to the suspended award/terminated contract. The system needs to make the action available for viewing in the contract file (Tab 21, Mistakes in Bids/Protests) and provide the ability to export the data as a web-form or similar structured manner.</t>
  </si>
  <si>
    <t xml:space="preserve">As an acquisition team member, I need to collaborate with my CO/CS on documenting the results of any negotiations that was necessary due to an award that was suspended or contract terminated as a result of a protest. I need to be able to review and revise the memorandum as necessary.
As a CO/CS, I need to create/upload/import a negotiation memorandum that addressed the results of negotiations regarding any equitable adjustment or settlement that result from the suspended award/terminated contract so I can document the negotiations. I also need to be able to access the action in the contract file and export it if necessary. </t>
  </si>
  <si>
    <t>Ensure system can efficiently:
- Create/upload/import the negotiation memorandum
- Collaborate amongst acquisition team members to document negotiations
- Route the memorandum among acquisition team members for review and approval
- Access information in the contract file and export it if necessary</t>
  </si>
  <si>
    <t>Activity 41 - Administering Financing Terms; Part B - Progress Payments Based on Costs (Government Financing of Non-Commercial Item Purchases; Task 8</t>
  </si>
  <si>
    <t xml:space="preserve">Identify an apparent need to reduce or suspend progress payments, increase the liquidation rate, or take other action to protect the Government’s interest under the Progress Payments clause. </t>
  </si>
  <si>
    <t>Activity 28 - Protests; Part C - Protests to GAO; Task 14</t>
  </si>
  <si>
    <t xml:space="preserve">Demand reimbursement from the awardee of protest costs to the extent those costs resulted from the awardee’s intentional or negligent misstatement, misrepresentation, or mis certification. </t>
  </si>
  <si>
    <t>Demand reimbursement letter</t>
  </si>
  <si>
    <t>SS - 219</t>
  </si>
  <si>
    <t>Enable users to document a demand letter for protest costs to the extent those costs resulted from the awardee's intentional or negligent misstatement, misrepresentation, or mis certification. The system needs to make the action available for viewing in the contract file (Tab 21, Mistakes in Bids/Protests) and provide the ability to export the data as a web-form or similar structured manner.</t>
  </si>
  <si>
    <t xml:space="preserve">As an acquisition team member, I need to collaborate with my CO/CS on drafting a demand letter as a result of a protest. I need to be able to review and revise the memorandum as necessary.
As a CO/CS, I need to create/upload/import a demand letter for protest costs so I can document my determination that the protest was sustained based on the awardee’s negligent or intentional misrepresentation. If the protest was sustained on several issues, I need to apportion the protest costs according to the costs attributable to the awardee’s actions. I need to review the amount of the debt, degree of the awardee’s fault, and costs of collection, and determine whether a demand for reimbursement ought to be made. If it is in the best interests of the Government to seek reimbursement, I need to notify the contractor in writing of the nature and amount of the debt, and the intention to collect by offset if necessary. Before I issue a final decision, I need to afford the contractor an opportunity to inspect and copy agency records pertaining to the debt to the extent permitted by statute and regulation, and to request review of the matter by the head of the contracting activity. I also need to be able to access the action in the contract file and export it if necessary. </t>
  </si>
  <si>
    <t>Ensure system can efficiently:
- Create/upload/import the demand letter
- Collaborate amongst acquisition team members to document the demand terms
- Route the memorandum among acquisition team members for review and approval
- Notify the contractor and afford them the opportunity to review records pertaining to the debt
- Access information in the contract file and export it if necessary</t>
  </si>
  <si>
    <t>Activity 28 - Protests; Part D - Protests to the Court of Federal Claims; Task 1</t>
  </si>
  <si>
    <t xml:space="preserve">Prepare an affidavit and memorandum of facts upon request from the legal counsel representing the Government in a court action. </t>
  </si>
  <si>
    <t>5.4.2.iii
5.4.2.iv
5.5.1
*</t>
  </si>
  <si>
    <t>CA - 72</t>
  </si>
  <si>
    <t>SS - 220</t>
  </si>
  <si>
    <t>Enable users to document a memorandum of facts upon request from the legal counsel representing the Government in a court action. Enable the routing, review and approval of the memorandum. The system needs to make the action available for viewing in the contract file (Tab 21, Mistakes in Bids/Protests) and provide the ability to export the data as a web-form or similar structured manner.</t>
  </si>
  <si>
    <t xml:space="preserve">Create from template or upload external document to document the conditions described in FAR 32.503-6. Allow legal review user view only access to contract file to review progress payment reduction documentation to ensure that Government acts in good faith as a result of overpayments or poor contractor performance. Enable HCA user to approve progress payment reduction or suspension, or allow user to upload fully executed HCA approval into the appropriate contract tab. Create from template or upload external document notification for finance office to reduce the rate of progress payments or suspend progress payments. Transmit notice to finance office, or shall allow user to upload confirmation of correspondence sent to finance office. The system needs to make the action available for viewing in the contract file (Tab 36, Progress Payment Record) and provide the ability to export the data as a web-form or similar structured manner. </t>
  </si>
  <si>
    <t xml:space="preserve">As an acquisition team member, I need to collaborate with my CO/CS on drafting a memorandum of facts so I can create an affidavit. I need to be able to review and revise the memorandum as necessary and approve the final memo.
As a CO/CS, I need to create/upload/import a memorandum of facts so I can give my acquisition team member the facts needed to prepare an affidavit. I also need to be able to access the action in the contract file and export it if necessary. </t>
  </si>
  <si>
    <t>As a CO/CS, I need the ability to suspend or reduce progress payments upon discovery of the existence of one or more of the conditions described in FAR clause 53.232-16(c) to protect the interests of the government.  I also need to be able to access the action in the contract file and export it if necessary.
As the HCA, I need the ability to approve any determination to reduce progress payments made by the CO.</t>
  </si>
  <si>
    <t>Ensure system can efficiently:
- Create/upload/import the memorandum of facts
- Collaborate amongst acquisition team members to document the facts
- Route the memorandum among acquisition team members for review and approval
- Access information in the contract file and export it if necessary</t>
  </si>
  <si>
    <t>Ensure system can efficiently:
- Select FAR 52.232-16(c) as the authority for a modification to suspend progress payments or increase the rate of liquidation, or allow user to manually enter modification authority
- Issue a modification to suspend progress payments or increase the rate of liquidation unilaterally or bilaterally, based upon user selection
- Review the contract file and approve a determination via electronic signature
- Route, review and/or approve documents
- Access information in the contract file and export it if necessary</t>
  </si>
  <si>
    <t>Activity 28 - Protests; Part D - Protests to the Court of Federal Claims; Task 2</t>
  </si>
  <si>
    <t xml:space="preserve">Respond to discovery motions for written records. </t>
  </si>
  <si>
    <t>5.4.2.iv
5.5.1
*</t>
  </si>
  <si>
    <t>SS - 221</t>
  </si>
  <si>
    <t>Enable users to document a response to discovery motions for written records upon request from the legal counsel representing the Government in a court action. Enable the routing, review and approval of the response. The system needs to make the action available for viewing in the contract file (Tab 21, Mistakes in Bids/Protests) and provide the ability to export the data as a web-form or similar structured manner.</t>
  </si>
  <si>
    <t xml:space="preserve">As an acquisition team member, I need to collaborate with my CO/CS on drafting a response to discovery motions for written records so I can comply with the court. I need to be able to review and revise the response as necessary and approve the final memo.
As a CO/CS, I need to create/upload/import a response to discovery motions for written records so I can give my acquisition team member the facts needed to prepare a defense for the Government. I also need to be able to access the action in the contract file and export it if necessary. </t>
  </si>
  <si>
    <t>Activity 41 - Administering Financing Terms; Part B - Progress Payments Based on Costs (Government Financing of Non-Commercial Item Purchases; Task 9</t>
  </si>
  <si>
    <t xml:space="preserve">Notify the contractor of the identified need for action and provide an opportunity for discussion. </t>
  </si>
  <si>
    <t>Ensure system can efficiently:
- Create/upload/import the response to discovery motions for written records
- Collaborate amongst acquisition team members to prepare the response
- Route the memorandum among acquisition team members for review and approval
- Access information in the contract file and export it if necessary</t>
  </si>
  <si>
    <t>Contractor notification</t>
  </si>
  <si>
    <t>6.4.4
6.6.1</t>
  </si>
  <si>
    <t>CA - 73</t>
  </si>
  <si>
    <t>See row 80, above</t>
  </si>
  <si>
    <t>Activity 28 - Protests; Part D - Protests to the Court of Federal Claims; Task 3</t>
  </si>
  <si>
    <t>Give deposition, if ordered by the court,</t>
  </si>
  <si>
    <t>Activity 41 - Administering Financing Terms; Part B - Progress Payments Based on Costs (Government Financing of Non-Commercial Item Purchases; Task 10</t>
  </si>
  <si>
    <t xml:space="preserve">Select and implement a course of action to reduce the Government’s risk. </t>
  </si>
  <si>
    <t>SS - 222</t>
  </si>
  <si>
    <t>Enable users to retrieve documents from the contract file in order to prepare for the court deposition. The system needs to make the action available for viewing in the contract file (Tab 21, Mistakes in Bids/Protests) and provide the ability to export the data as a web-form or similar structured manner.</t>
  </si>
  <si>
    <t>As an acquisition team member, I may need to participate in any deposition ordered by the court.  
As a CO/CS, I need to prepare for any deposition scheduled by the court by reviewing contract file contents. I need to be able to collaborate with acquisition team members to prepare for the deposition pursuant to agency procedures. I also need to be able to access the action in the contract file and export it if necessary with any deposition transcripts as applicable.</t>
  </si>
  <si>
    <t>Ensure system can efficiently:
- Retrieve documents from the contract file to prepare for the deposition
- Collaborate among acquisition team members to prepare for the deposition
- Access information in the contract file and export it if necessary with any deposition transcripts as applicable</t>
  </si>
  <si>
    <t>Activity 28 - Protests; Part D - Protests to the Court of Federal Claims; Task 4</t>
  </si>
  <si>
    <t xml:space="preserve">Provide testimony under oath, as direct by the judge. </t>
  </si>
  <si>
    <t>CA - 74</t>
  </si>
  <si>
    <t xml:space="preserve">Create from template or upload external document to document the conditions described in FAR 32.503-6. Allow legal review user view only access to contract file to review progress payment reduction documentation to ensure that Government acts in good faith as a result of overpayments or poor contractor performance. Enable HCA user to approve progress payment reduction or suspension, or allow user to upload fully executed HCA approval into the appropriate tab of the electronic contract file. Create from template or upload external document notification for finance office to reduce the rate of progress payments or suspend progress payments. Transmit notice to finance office, or shall allow user to upload confirmation of correspondence sent to finance office. The system needs to make the action available for viewing in the contract file (Tab 36, Progress Payment Record) and provide the ability to export the data as a web-form or similar structured manner. </t>
  </si>
  <si>
    <t>As a CO/CS, I need the ability to suspend or reduce progress payments upon discovery of the existence of one or more of the conditions described in FAR clause 53.232-16(c) to protect the interests of the government. I also need to be able to access the action in the contract file and export it if necessary.
As the HCA, I need the ability to approve any determination to reduce progress payments made by the CO.</t>
  </si>
  <si>
    <t>SS - 223</t>
  </si>
  <si>
    <t>Ensure system can efficiently:
- Select FAR 52.232-16(c) as the authority for a modification to suspend progress payments or increase the rate of liquidation, or allow user to manually enter modification authority
- Issue a modification to suspend progress payments or increase the rate of liquidation unilaterally or bilaterally, based upon user selection
- Route, review and/or approve documents
- Access information in the contract file and export it if necessary</t>
  </si>
  <si>
    <t>Enable users to retrieve documents from the contract file in order to prepare for the testimony under oath. The system needs to make the action available for viewing in the contract file (Tab 21, Mistakes in Bids/Protests) and provide the ability to export the data as a web-form or similar structured manner.</t>
  </si>
  <si>
    <t>As an acquisition team member, I may need to participate in any testimony ordered by the court.  
As a CO/CS, I need to prepare for any testimony scheduled by the court by reviewing contract file contents. I need to be able to collaborate with acquisition team members to prepare for the testimony pursuant to agency procedures. I also need to be able to access the action in the contract file and export it if necessary with any testimony transcripts as applicable.</t>
  </si>
  <si>
    <t>Ensure system can efficiently:
- Retrieve documents from the contract file to prepare for the testimony
- Collaborate among acquisition team members to prepare for the testimony
- Access information in the contract file and export it if necessary with any testimony transcripts as applicable</t>
  </si>
  <si>
    <t>Activity 41 - Administering Financing Terms; Part B - Progress Payments Based on Costs (Government Financing of Non-Commercial Item Purchases; Task 11</t>
  </si>
  <si>
    <t xml:space="preserve">Determine the need to adjust the progress payment or liquidation to reduce the contractor’s risk. </t>
  </si>
  <si>
    <t>Determination of need for adjustments</t>
  </si>
  <si>
    <t>CA - 75</t>
  </si>
  <si>
    <t>Activity 28 - Protests; Part D - Protests to the Court of Federal Claims; Task 5</t>
  </si>
  <si>
    <t xml:space="preserve">Act on the court’s decision. </t>
  </si>
  <si>
    <t>Activity 41 - Administering Financing Terms; Part B - Progress Payments Based on Costs (Government Financing of Non-Commercial Item Purchases; Task 12</t>
  </si>
  <si>
    <t xml:space="preserve">Discuss alternatives with the contractor. </t>
  </si>
  <si>
    <t>Alternatives analysis</t>
  </si>
  <si>
    <t>Implement court decision</t>
  </si>
  <si>
    <t>CA - 76</t>
  </si>
  <si>
    <t>Calculate alternative liquidation rates by dividing the expected progress payments by the contract price as follows:
(Estimated costs eligible for progress payments / Total cost of contract) X Progress Payment Rate = Alternate liquidation rate.</t>
  </si>
  <si>
    <t>As a CO/CS, I need to establish a liquidation rate at the time of award, either in accordance with FAR 32.503-8 or 32.503-9, and apply liquidations in accordance with the liquidation rate to recoup progress payments if necessary.</t>
  </si>
  <si>
    <t>Ensure system can efficiently:
- Establish, record and report liquidation rates based on the calculation described in FAR 32.503-10 and using total contract value, total amount eligible for progress payments, and maximum percentage from FAR 32.501-1(a), or at the progress payment rate, as applicable</t>
  </si>
  <si>
    <t>Activity 41 - Administering Financing Terms; Part B - Progress Payments Based on Costs (Government Financing of Non-Commercial Item Purchases; Task 13</t>
  </si>
  <si>
    <t>Issue a contract modification for any change in progress payment or liquidation rates</t>
  </si>
  <si>
    <t>5.4.3
5.5.1
*</t>
  </si>
  <si>
    <t>6.2.1
6.2.2
6.2.3
6.2.4
6.2.5
6.2.6
6.2.7
6.2.8
6.6.1</t>
  </si>
  <si>
    <t>CA - 77</t>
  </si>
  <si>
    <t xml:space="preserve">Create from template or upload external document a notification for the contractor describing any reduction in progress payment rate or suspension of progress payments. Allow finance user to countersign notification, or allow user to upload fully executed and signed notice to appropriate tab in the electronic contract file. Transmit notice to contractor, or allow user to upload external confirmation that correspondence was transmitted to contractor.  The system needs to make the action available for viewing in the contract file (Tab 36, Progress Payment Record) and provide the ability to export the data as a web-form or similar structured manner. </t>
  </si>
  <si>
    <t>SS - 224</t>
  </si>
  <si>
    <t>Enable users to document the court's decision and the agency's implementation of such decision in the contract file as applicable (Tab 21, Mistakes in Bids/Protests).</t>
  </si>
  <si>
    <t>As an acquisition team member, I may need to act on the court's decision to comply with the court order.  
As a CO/CS, I need to implement the court's decision on behalf of the agency to comply with the court order. I need to be able to collaborate with acquisition team members to implement the court order pursuant to agency procedures. I also need to be able to access the action in the contract file and export it if necessary with the court's decision.</t>
  </si>
  <si>
    <t>Ensure system can efficiently:
- Collaborate among acquisition team members to implement court order
- Access information in the contract file and export it if necessary with the court's decision</t>
  </si>
  <si>
    <t>Activity 41 - Administering Financing Terms; Part C - Advance Payments for Non-Commercial Items; Task 1</t>
  </si>
  <si>
    <t>Review the contractor’s application for advance payments.</t>
  </si>
  <si>
    <t>Reviewed application</t>
  </si>
  <si>
    <t>not covered</t>
  </si>
  <si>
    <t>CA - 78</t>
  </si>
  <si>
    <t xml:space="preserve">Intake contractor application for advance payments. Prohibit advance payments on any commercial contract. The system needs to make the action available for viewing in the contract file (Tab 35, Special Financing Documents) and provide the ability to export the data as a web-form or similar structured manner. </t>
  </si>
  <si>
    <t>As a Contractor, I need to be able to submit my application for advance payment to the contracting activity for approval or denial
As a CO/CS, I need to ensure the application is entered in the contract file.  I also need to be able to access the action in the contract file and export it if necessary.</t>
  </si>
  <si>
    <t>Ensure system can efficiently:
- Allow contractors to submit advance payment applications through the system, or the capability for a user to upload contractors applications for advance payment into the system
- Access information in the contract file and export it if necessary</t>
  </si>
  <si>
    <t>Activity 41 - Administering Financing Terms; Part C - Advance Payments for Non-Commercial Items; Task 2</t>
  </si>
  <si>
    <t>After analyzing the contractor’s application for advance payments, determine whether to approve the application.</t>
  </si>
  <si>
    <t>Approval/Disapproval of application</t>
  </si>
  <si>
    <t>SS - 225</t>
  </si>
  <si>
    <t>Enable a user to view a listing of the offered line items in comparison to those identified in the Solicitation in tabular form.</t>
  </si>
  <si>
    <t xml:space="preserve">As an evaluator, I need to view a listing of the offered line items in comparison to those identified in the solicitation to make it easier for me to evaluate the offer and understand what is being offered. </t>
  </si>
  <si>
    <t>Ensure system can efficiently:
- Enable user to view contract lines items from the solicitation and compare it the offer</t>
  </si>
  <si>
    <t>CA - 79</t>
  </si>
  <si>
    <t xml:space="preserve">Create from template or upload external document of D&amp;F required by FAR 32.402(e) and GSAM 32.402. Allow HCA user to electronically sign D&amp;F, or allow user to upload fully executed D&amp;F to appropriate tab in the electronic contract file. Allow finance user read only access to Tab 35 of the contracyt file to review the D&amp;F.  Notify the supplier of the determination. The system needs to make the action available for viewing in the contract file (Tab 35, Special Financing Documents) and provide the ability to export the data as a web-form or similar structured manner. </t>
  </si>
  <si>
    <t>As a CO/CS, I need to review the contractor's application for advance payments so I can approve or deny the application.  If the application is to be approved, I will need to draft a D&amp;F and obtain approval to comply with authoritative references.  I also need to notify the supplier. I also need to be able to access the action in the contract file and export it if necessary.</t>
  </si>
  <si>
    <t>Ensure system can efficiently:
- Create/upload/import a determination regarding approval or denial of contractor's application for advance payments
- Route for review or for user to export document for manual routing and review to financial reviewer and HCA
- Notify the contractor of the determination
- Route, review and/or approve documents
- Access information in the contract file and export it if necessary</t>
  </si>
  <si>
    <t>missing 108, 181, 194, 197, 199, 200, 204, 207, 218, 222, 235</t>
  </si>
  <si>
    <t>SS - 226</t>
  </si>
  <si>
    <t>Enable the user to initiate an award action based upon the listing of offered line items in the vendor proposal.</t>
  </si>
  <si>
    <t>As a CO/CS, I need to be able to initiate an award action based upon the listing of offered line items in the vendor's proposal to assemble the award package.</t>
  </si>
  <si>
    <t xml:space="preserve">Ensure system can efficiently:
- Initiate an award action based upon the listing of offered line items </t>
  </si>
  <si>
    <t>Activity 41 - Administering Financing Terms; Part C - Advance Payments for Non-Commercial Items; Task 3</t>
  </si>
  <si>
    <t>If advance payments are approved, enter into an agreement with the contractor covering special accounts and suitable covenants protecting the Government’s interest.</t>
  </si>
  <si>
    <t>Agreement</t>
  </si>
  <si>
    <t>SS - 227</t>
  </si>
  <si>
    <t>When an evaluation is being conducted, the system shall enable a user to selectively input a user defined factor that applies a monetary amount to a line/sub-line item and total cost for evaluation purposes only.</t>
  </si>
  <si>
    <t>CA - 80</t>
  </si>
  <si>
    <t xml:space="preserve">Create from template or upload external document agreement that conforms with agreement for a special account for advance payments described at FAR 32.411. Allow users to digitally sign agreement, or allow user to upload fully executed document. The system needs to make the action available for viewing in the contract file (Tab 35, Special Financing Documents) and provide the ability to export the data as a web-form or similar structured manner. </t>
  </si>
  <si>
    <t>As a CO/CS, I need to be able to enter into an agreement with the contractor covering special accounts and suitable covenants protecting the Government’s interest. I also need to be able to access the action in the contract file and export it if necessary.</t>
  </si>
  <si>
    <t>Ensure system can efficiently:
- Create or upload an agreement describing any special accounts or other suitable covenants protecting the Government’s interest as described in FAR 32.409-3(d)
- Access information in the contract file and export it if necessary</t>
  </si>
  <si>
    <t>Activity 41 - Administering Financing Terms; Part D - Performance-Based Payments (Government Financing of Non-Commercial Item Purchases); Task 1</t>
  </si>
  <si>
    <t>Identify the contract requirements for performance-based payments.</t>
  </si>
  <si>
    <t>Determination of eligible items</t>
  </si>
  <si>
    <t xml:space="preserve">As a CO/CS, I need to be able to input a user-defined factor that applies a monetary amount to a line-sub-line item and total cost for evaluation purposes only so I can make appropriate trade offs during the evaluation. </t>
  </si>
  <si>
    <t>CA - 81</t>
  </si>
  <si>
    <t xml:space="preserve">Allow user to use performance-based payments only when a Fixed-Price contract type is selected, and when progress payments are not provided. Prevent users from providing progress payments on any order placed against an IDC that provides for performance-based payments. The system needs to make the action available for viewing in the contract file (Tab 35, Special Financing Documents) and provide the ability to export the data as a web-form or similar structured manner. </t>
  </si>
  <si>
    <t>As a CO/CS, I need to define the specifically described events (e.g., milestones) or some measurable criterion of performance so the basis for performance based payments is described explicitly in the contract.  I also need to be able to access the action in the contract file and export it if necessary.</t>
  </si>
  <si>
    <t>Ensure system can efficiently:
- Record and report the performance based payment terms either on a whole contract or line item basis, and
- Record and report a description of what constitutes successful performance, either as a fillable field or as an attached separate document imported by CO user
- Allow performance based payments only on FP contracts that do not have progress payments
- Prevent progress payments on orders against an IDC that provides for performance-based payments
- Access information in the contract file and export it if necessary</t>
  </si>
  <si>
    <t>Ensure system can efficiently:
- Input user-defined factor that applies a monetary amount to a line/sub-line item and total cost</t>
  </si>
  <si>
    <t>Activity 41 - Administering Financing Terms; Part D - Performance-Based Payments (Government Financing of Non-Commercial Item Purchases); Task 2</t>
  </si>
  <si>
    <t>Review contractor requests for performance-based finance payments.</t>
  </si>
  <si>
    <t>Completed review of request</t>
  </si>
  <si>
    <t>SS - 228</t>
  </si>
  <si>
    <t>When the system applies a monetary amount to a line/sub-line item and total cost for evaluation purposes, the system shall calculate the adjusted total cost for the evaluation of the respective vendor submission.</t>
  </si>
  <si>
    <t xml:space="preserve">As a CO/CS, I need the system to calculate the adjusted total cost when monetary amounts are applied to a line/sub-line item for evaluation purposes so I can make appropriate trade offs during the evaluation. </t>
  </si>
  <si>
    <t>Ensure system can efficiently:
- Calculate adjusted totals</t>
  </si>
  <si>
    <t>CA - 82</t>
  </si>
  <si>
    <t xml:space="preserve">Allow vendors to submit requests for performance-based payments in the system. The system needs to make the action available for viewing in the contract file (Tab 35, Special Financing Documents) and provide the ability to export the data as a web-form or similar structured manner.  </t>
  </si>
  <si>
    <t>As a CO/CS, I need to accomplish post-payment, and pre-payment if necessary, review of performance based payments so I can ensure the best interest of the government is protected.  I also need to be able to access the action in the contract file and export it if necessary.</t>
  </si>
  <si>
    <t>Ensure system can efficiently:
- Create or allow a user to import a post-payment and/or pre-payment review of performance-based payments
- File or to allow a user to file the post-payment and/or pre-payment review in contract Tab 35
- Access information in the contract file and export it if necessary</t>
  </si>
  <si>
    <t>SS - 229</t>
  </si>
  <si>
    <t>When an evaluation is being conducted, the system shall enable a user to selectively input a user defined factor that applies a percentage change to a line/sub-line item and total cost for evaluation purposes only.</t>
  </si>
  <si>
    <t xml:space="preserve">As a CO/CS, I need to be able to input a user-defined factor that applies a percentage change to a line-sub-line item and total cost for evaluation purposes only so I can make appropriate trade offs during the evaluation. </t>
  </si>
  <si>
    <t>Ensure system can efficiently:
- Input user-defined factor that applies a percentage change to a line/sub-line item and total cost</t>
  </si>
  <si>
    <t>Activity 41 - Administering Financing Terms; Part D - Performance-Based Payments (Government Financing of Non-Commercial Item Purchases); Task 3</t>
  </si>
  <si>
    <t>Renegotiate the performance-based payment schedule to facilitate contractor billings for any successfully accomplished portions of a government-delayed event or criterion (when appropriate).</t>
  </si>
  <si>
    <t>Renegotiated payment schedule</t>
  </si>
  <si>
    <t>SS - 230</t>
  </si>
  <si>
    <t>When the system applies a percentage change to a line/sub-line item and total cost for evaluation purposes, the system shall calculate the adjusted total cost for the evaluation of respective vendor submission.</t>
  </si>
  <si>
    <t xml:space="preserve">As a CO/CS, I need the system to calculate the adjusted total cost when percentage changes are applied to a line/sub-line item for evaluation purposes so I can make appropriate trade offs during the evaluation. </t>
  </si>
  <si>
    <t>CA - 83</t>
  </si>
  <si>
    <t xml:space="preserve">Allow user to modify the criteria for performance-based payments as necessary when government-caused delays occur and issue a contract modification on SF 30 along with a memo to the file. The system needs to make the action available for viewing in the contract file (Tab 40, Contact Modifications) and provide the ability to export the data as a web-form or similar structured manner. </t>
  </si>
  <si>
    <t>As a CO/CS, I need the ability to modify the specifically described events (e.g., milestones) or other measurable criterion of performance during performance as a result of government caused delays. I also need to be able to access the action in the contract file and export it if necessary.</t>
  </si>
  <si>
    <t>Ensure system can efficiently:
- Modify the specifically described events (e.g., milestones) or other measurable criterion of performance via modification.
- Allow user to select FAR 32.1007(e) as the authority to issue the modification, or allow the user to manually enter the modification authority into the system
- Access information in the contract file and export it if necessary</t>
  </si>
  <si>
    <t>SS - 231</t>
  </si>
  <si>
    <t>Activity 41 - Administering Financing Terms; Part D - Performance-Based Payments (Government Financing of Non-Commercial Item Purchases); Task 4</t>
  </si>
  <si>
    <t>Review information from performance monitoring to ensure that the Government’s title is not compromised by other encumbrances.</t>
  </si>
  <si>
    <t>Enable the user to create an evaluation rating against a submitted offer.</t>
  </si>
  <si>
    <t>CA - 84</t>
  </si>
  <si>
    <t xml:space="preserve">As an evaluator, I need to create an evaluation rating against a submitted offer following the evaluation criteria of the solicitation to help my CO/CS reach a best value determination.
As a CO/CS, I need to make a best value determination based on the evaluations against submitted offers. </t>
  </si>
  <si>
    <t xml:space="preserve">Allow user to suspend or reduce performance-based payments upon discovery of an arrangement that impairs the government's title to property affected by the performance-based payments clause. Allow legal user view only access to the electronic contract file to determine if possible violations of the False Claims Act 31 USC 3729. The system needs to make the action available for viewing in the contract file (Tab 40, Contact Modifications) and provide the ability to export the data as a web-form or similar structured manner. </t>
  </si>
  <si>
    <t>As a CO/CS, I need to document the contractor's certification that title to property shall vest in the government per 52.232-32(f) to ensure that no arrangement or condition exists that would impair the government’s title to the property affected by progress payment, or so I can require additional protective provisions to establish and protect the government’s title. I also need to be able to access the action in the contract file and export it if necessary.</t>
  </si>
  <si>
    <t>Ensure system can efficiently:
- Enable user to create an evaluation rating</t>
  </si>
  <si>
    <t>Ensure system can efficiently:
- Record and report on the inclusion of other protective terms in accordance with FAR 32.501-5, if required and as applicable
- Access information in the contract file and export it if necessary</t>
  </si>
  <si>
    <t>SS - 232</t>
  </si>
  <si>
    <t>Enable the user to revise an evaluation rating against a submitted offer.</t>
  </si>
  <si>
    <t xml:space="preserve">As an evaluator, I need to be able to revise an evaluation rating against a submitted offer following the evaluation criteria of the solicitation to help my CO/CS reach a best value determination.
As a CO/CS, I need to make a best value determination based on the evaluations against submitted offers. </t>
  </si>
  <si>
    <t>Ensure system can efficiently:
- Enable user to revise an evaluation rating</t>
  </si>
  <si>
    <t>Activity 41 - Administering Financing Terms; Part D - Performance-Based Payments (Government Financing of Non-Commercial Item Purchases); Task 5</t>
  </si>
  <si>
    <t>Determine whether to demand repayment of performance-based payments in the event of loss, theft, destruction, or damage to property.</t>
  </si>
  <si>
    <t>Repayment determination</t>
  </si>
  <si>
    <t>missing 85,95,180, 182, 183, 185-189, 190, 200, 286</t>
  </si>
  <si>
    <t>SS - 233</t>
  </si>
  <si>
    <t>Enable a user to conduct one or more Offer rounds.</t>
  </si>
  <si>
    <t>As a CO/CS, I need to be able to conduct one or more Offer rounds to ensure all administrative matters and necessary clarifications can be made in order to complete the evaluation of the offer.</t>
  </si>
  <si>
    <t>Ensure system can efficiently:
- Enable user to conduct one or more Offer rounds</t>
  </si>
  <si>
    <t>CA - 85</t>
  </si>
  <si>
    <t xml:space="preserve">Create/upload a determination to specify that the contractor bears all risk for loss associated with government property with performance based payments in accordance with FAR clause 52.232-32 and to seek repayment. </t>
  </si>
  <si>
    <t>SS - 234</t>
  </si>
  <si>
    <t>As a CO/CS, I need to ensure that the government is protected from risk of loss associated with the specifically described events (e.g., milestones) or other measurable criterion of performance that serve as the basis for performance-based payments, so I can require the contractor to repay the performance based payments related to the property.  I also need to be able to access the action in the contract file and export it if necessary.</t>
  </si>
  <si>
    <t>Enable a user to conduct one or more Negotiation rounds.</t>
  </si>
  <si>
    <t>Ensure system can efficiently:
- Create or to allow a user to upload a determination that repayment of performance based payments is required under FAR 52.232-32(d)
- Route for review and approval to a user with review and approval permissions
- Access information in the contract file and export it if necessary</t>
  </si>
  <si>
    <t>As a CO/CS, I need to be able to conduct one or more Negotiation rounds to ensure all technical and price matters are resolved in order to complete the evaluation of the offer and reach a best value determination.</t>
  </si>
  <si>
    <t>Ensure system can efficiently:
- Enable user to conduct one or more negotiation rounds</t>
  </si>
  <si>
    <t>SS - 235</t>
  </si>
  <si>
    <t>Enable the user to create Evaluation Factors and Subfactors for Source Selection.</t>
  </si>
  <si>
    <t xml:space="preserve">As a CO/CS, I need to be able to create evaluation factors and subfactors for source selection in order for offerors to know how their offers will be evaluated and for the evaluators to know how to evaluate offers. </t>
  </si>
  <si>
    <t>Ensure system can efficiently:
- Enable user to create evaluation factors/subfactors for source selection</t>
  </si>
  <si>
    <t>Activity 41 - Administering Financing Terms; Part D - Performance-Based Payments (Government Financing of Non-Commercial Item Purchases); Task 6</t>
  </si>
  <si>
    <t>Identify any apparent need to reduce or suspend progress payments, increase the liquidation rate, or take other actions to protect the Government’s interests under the Performance-Based Payments clause.</t>
  </si>
  <si>
    <t>SS - 236</t>
  </si>
  <si>
    <t>Enable the user to create multi-step and conditional Evaluation Factors and Subfactors for Source Selection (e.g,. Offers must pass Phase I before moving to Phase II).</t>
  </si>
  <si>
    <t>CA - 86</t>
  </si>
  <si>
    <t xml:space="preserve">As a CO/CS, I need to be able to create multi-step and conditional evaluation factors and subfactors for source selection in order for offerors to know how their offers will be evaluated and for the evaluators to know how to evaluate offers. </t>
  </si>
  <si>
    <t>Enable users to suspend or reduce performance-based payments post-award as necessary</t>
  </si>
  <si>
    <t>As a CO/CS, I need to be able to reduce or suspend performance based payments upon discovery of one or more of the conditions described at FAR clause 52.232-32(e) to protect the interest of the government.</t>
  </si>
  <si>
    <t>Ensure system can efficiently:
- Suspend or reduce performance based payments via modification,
- Select FAR clause 52.232-32(e) as the authority to suspend or reduce performance based payments, or the ability to allow user to manually enter modification authority into system
- Issue a modification to suspend or reduce performance based payments unilaterally
- Access information in the contract file and export it if necessary</t>
  </si>
  <si>
    <t>Activity 41 - Administering Financing Terms; Part D - Performance-Based Payments (Government Financing of Non-Commercial Item Purchases); Task 7</t>
  </si>
  <si>
    <t>Select and implement a course of action to reduce the Government’s risk.</t>
  </si>
  <si>
    <t>Course of action</t>
  </si>
  <si>
    <t>CA - 87</t>
  </si>
  <si>
    <t>Ensure system can efficiently:
- Enable user to create multi-step and conditional evaluation factors/subfactors for source selection</t>
  </si>
  <si>
    <t>Activity 41 - Administering Financing Terms; Part D - Performance-Based Payments (Government Financing of Non-Commercial Item Purchases); Task 8</t>
  </si>
  <si>
    <t>If a contract is modified, adjust the performance-based payment schedule (when necessary).</t>
  </si>
  <si>
    <t>Payment adjustment when necessary</t>
  </si>
  <si>
    <t>CA - 88</t>
  </si>
  <si>
    <t>SS - 237</t>
  </si>
  <si>
    <t>When the user creates Evaluation Factors and Subfactors, enable the user to define the Relative Order of Importance among the respective Evaluation Factors or Subfactors.</t>
  </si>
  <si>
    <t xml:space="preserve">As a CO/CS, I need to be able to define the relative importance of the evaluation factors and subfactors in order for offerors to know how their offers will be evaluated and for the evaluators to know how to evaluate offers. </t>
  </si>
  <si>
    <t>Ensure system can efficiently:
- Enable user to define relative order of importance of evaluation factors/subfactors for source selection</t>
  </si>
  <si>
    <t>Activity 41 - Administering Financing Terms; Part D - Performance-Based Payments (Government Financing of Non-Commercial Item Purchases); Task 9</t>
  </si>
  <si>
    <t>Verify proper liquidation of performance-based finance payments.</t>
  </si>
  <si>
    <t>Verification and document contract file</t>
  </si>
  <si>
    <t>SS - 238</t>
  </si>
  <si>
    <t>When the user creates Evaluation Factors and Subfactors, enable the user to define the ratings for designated Evaluation Factors or Subfactors.</t>
  </si>
  <si>
    <t xml:space="preserve">As a CO/CS, I need to be able to define the ratings that will be used to assess each evaluation factor/subfactor in order for offerors to know how their offers will be evaluated and for the evaluators to know how to evaluate offers. </t>
  </si>
  <si>
    <t>Ensure system can efficiently:
- Enable user to define the ratings for the factors/subfactors for source selection</t>
  </si>
  <si>
    <t>CA - 89</t>
  </si>
  <si>
    <t>Allow user to liquidate performance-based payments as follows:
When performance-based payments are on a delivery basis, the liquidation amount for each delivery shall be the percent of the item price that was previously paid or the designated dollar amount. 
When performance-based payments are on a whole contract basis, liquidation shall be on a pre-determined amount or percentage.</t>
  </si>
  <si>
    <t>As a CO/CS, I need to specify the liquidation rate in the contract to ensure complete liquidation no later than final payment.  I also need to be able to access the action in the contract file and export it if necessary.</t>
  </si>
  <si>
    <t>Ensure system can efficiently:
- Record and report on the liquidation rate of contracts that include performance based payments and FAR clause 52.232-32
- Access information in the contract file and export it if necessary</t>
  </si>
  <si>
    <t>Activity 42 - Allowability of Costs; Part A - Disallowance of Costs; Task 1</t>
  </si>
  <si>
    <t>Determine allowability of incurred costs or costs planned for incurrence.</t>
  </si>
  <si>
    <t>Determination of allowable costs</t>
  </si>
  <si>
    <t>SS - 239</t>
  </si>
  <si>
    <t>When the user creates Evaluation Factors and Subfactors, enable the user to define Evaluation Criteria for each Evaluation Factor and Subfactor.</t>
  </si>
  <si>
    <t xml:space="preserve">As a CO/CS, I need to be able to define the evaluation criteria that will be used to assess each evaluation factor/subfactor in order for offerors to know how their offers will be evaluated and for the evaluators to know how to evaluate offers. </t>
  </si>
  <si>
    <t>Ensure system can efficiently:
- Enable user to define evaluation criteria for evaluation factors/subfactors for source selection</t>
  </si>
  <si>
    <t>CA - 90</t>
  </si>
  <si>
    <t xml:space="preserve">Allow users to reference, store and document determinations of the allowability of incurred costs or planned for incurrence costs on Cost Reimbursement contracts. The system needs to make the action available for viewing in the contract file (Tab 34, Invoices/Vouchers) and provide the ability to export the data as a web-form or similar structured manner. </t>
  </si>
  <si>
    <t>As a CO/CS, I need to review vendor submitted vouchers for cost reimbursement to determine whether or not incurred costs, or those costs planned for incurrence, are allowable under the terms of the contract so I can approve reimbursement or require the vendor to resubmit its voucher without any non-allowable cost elements.  I also need to be able to access the action in the contract file and export it if necessary.</t>
  </si>
  <si>
    <t>Ensure system can efficiently:
- Classify cost reimbursement contracts
- Allow user to upload or import vendor submitted voucher information
- Allow user to generate and store correspondence , or to allow user to upload or import correspondence regarding determinations of allowability of costs on submitted vouchers
- Generate a written notice of intent to disallow costs that follows the format at FAR 42.801(c) or allow user to upload or import written notice of intent to disallow costs
- Access information in the contract file and export it if necessary</t>
  </si>
  <si>
    <t>SS - 240</t>
  </si>
  <si>
    <t>Enable an authorized user to assign specific roles and responsibilities to Source Selection Team (SST) members.</t>
  </si>
  <si>
    <t xml:space="preserve">As a CO/CS, I need to be able to assign roles and responsibilities to evaluation team members so they know what their roles are and what they need to do to evaluate offers. </t>
  </si>
  <si>
    <t>Ensure system can efficiently:
- Enable user to assign roles and responsibilities to evaluation team</t>
  </si>
  <si>
    <t>Activity 42 - Allowability of Costs; Part A - Disallowance of Costs; Task 2</t>
  </si>
  <si>
    <t xml:space="preserve">Attempt to reach a satisfactory settlement through discussions with the contractor. </t>
  </si>
  <si>
    <t>Settlement</t>
  </si>
  <si>
    <t>SS - 241</t>
  </si>
  <si>
    <t>Enable secure transmission of Source Selection sensitive information.</t>
  </si>
  <si>
    <t>As a CO/CS, I need the system to ensure secure transmission of source selection sensitive information to protect the integrity of the procurement.</t>
  </si>
  <si>
    <t>Ensure system can efficiently:
- Securely transmit source selection sensitive information</t>
  </si>
  <si>
    <t>CA - 91</t>
  </si>
  <si>
    <t>SS - 242</t>
  </si>
  <si>
    <t xml:space="preserve">Allow users to document any exchanges with vendors regarding the disallowance of costs resulting from CO review of voucher cost information submitted for Cost Reimbursement contracts. The CWS shall record vendor written responses to notice of intent to disallow costs, and shall allow the CO to record that the vendor response was withdrawn or record the issuance of the COs final decision within 60 days.  The system needs to make the action available for viewing in the contract file (Tab 34, Invoices/Vouchers) and provide the ability to export the data as a web-form or similar structured manner. </t>
  </si>
  <si>
    <t>Enable secure storage of Source Selection sensitive information.</t>
  </si>
  <si>
    <t>As a CO/CS, I need the system to ensure secure storage of source selection sensitive information to protect the integrity of the procurement.</t>
  </si>
  <si>
    <t>As a CO/CS, I need to notify vendors as early as possible that costs submitted for reimbursement are not allowable, and to allow the vendor to reaccomplish its request for reimbursement without the non-allowable costs or respond to the notice with a written response that explains the questioned cost elements. 
As a CO/CS, I need to record any vendor submitted written response so I can either issue a final decision within 60 days of receipt of the written notice, or capture that the written notice was withdrawn within 60 days of receipt.  I also need to be able to access the action in the contract file and export it if necessary.
As an Auditor, I need to be able to review any vouchers for cost reimbursement, decisions regarding the allowability of costs, written notices in response to a notice of intent to disallow costs, and CO final decisions so I can provide audit support in the event of a claim resulting from disallowing non-allowable costs.</t>
  </si>
  <si>
    <t>Ensure system can efficiently:
- Securely store source selection sensitive information</t>
  </si>
  <si>
    <t>Ensure system can efficiently:
- Record a vendor submitted written response to a notice of intent to disallow costs
- Track the date of receipt of vendors written response, either through a system generated timer or tracking function or by allowing user to upload or import written notice with date
- Allow an auditor read only access to the ECF to review submitted vouchers, correspondence and other cost data in the event of an audit or in response to a claim
- Access information in the contract file and export it if necessary</t>
  </si>
  <si>
    <t>Activity 42 - Allowability of Costs; Part A - Disallowance of Costs; Task 3</t>
  </si>
  <si>
    <t>SS - 243</t>
  </si>
  <si>
    <t>Prepare a notice of intent to disallow costs.</t>
  </si>
  <si>
    <t>Display a Source Selection Sensitive data statement when viewing Source Selection sensitive information.</t>
  </si>
  <si>
    <t>Notice to contractor</t>
  </si>
  <si>
    <t xml:space="preserve">As a CO/CS, I need the system to display a source selection sensitive data statement so my evaluation team understands what is sensitive information. </t>
  </si>
  <si>
    <t>Ensure system can efficiently:
- Identify source selection sensitive information</t>
  </si>
  <si>
    <t>6.4.3
6.4.4
6.6.1</t>
  </si>
  <si>
    <t>CA - 92</t>
  </si>
  <si>
    <t>SS - 244</t>
  </si>
  <si>
    <t>Enable an authorized user to execute a Source Selection workflow that corresponds to that user's assigned role.</t>
  </si>
  <si>
    <t>As a CO/CS, I need to review vendor submitted vouchers for cost reimbursement to determine whether or not incurred costs, or those costs planned for incurrence, are allowable under the terms of the contract so I can approve reimbursement or require the vendor to resubmit its voucher without any non-allowable cost elements.   I also need to be able to access the action in the contract file and export it if necessary.</t>
  </si>
  <si>
    <t xml:space="preserve">As an authorized user, I need to execute a workflow permitted by my role to conduct source selection activities assigned to me. </t>
  </si>
  <si>
    <t>Ensure system can efficiently:
- Classify cost reimbursement contracts
- Allow user to upload or import vendor submitted voucher information
- Allow user to generate and store correspondence , or to allow user to upload or import correspondence regarding determinations of allowability of costs on submitted vouchers
- Generate a written notice of intent to disallow costs that follows the format at FAR 42.801(c) or allow user to upload or import writtne notice of intent to disallow costs
- Access information in the contract file and export it if necessary</t>
  </si>
  <si>
    <t>Ensure system can efficiently:
- Execute a source selection workflow that corresponds to that user's role</t>
  </si>
  <si>
    <t>Activity 42 - Allowability of Costs; Part A - Disallowance of Costs; Task 4</t>
  </si>
  <si>
    <t>Issue the notice of intent to disallow costs to the contractor and obtain acknowledgement of contractor receipt.</t>
  </si>
  <si>
    <t>Notice to contractor and return receipt</t>
  </si>
  <si>
    <t>INDUSTRY - PLEASE NOTE - THESE PURPLE ROWS ARE STILL A WORK IN PROGRESS</t>
  </si>
  <si>
    <t>CA - 93</t>
  </si>
  <si>
    <t xml:space="preserve">Report or store confirmation that a notice of intent to disallow costs was received by the vendor. The system needs to make the action available for viewing in the contract file (Tab 34, Invoices/Vouchers) and provide the ability to export the data as a web-form or similar structured manner. </t>
  </si>
  <si>
    <t>As a CO/CS, I need to confirm that a vendor received a notice of intent to disallow cost so I can either process a revised voucher or respond to a written response to the notice within the time frame included in the notice</t>
  </si>
  <si>
    <t>Ensure system can efficiently:
- Capture or upload confirmation of vendor receipt of notice of intent to disallow costs</t>
  </si>
  <si>
    <t>Activity 42 - Allowability of Costs; Part A - Disallowance of Costs; Task 5</t>
  </si>
  <si>
    <t>Respond to the contractor’s rebuttal (if any) of the decision.</t>
  </si>
  <si>
    <t>Response to contractor's rebuttal</t>
  </si>
  <si>
    <t>CA - 94</t>
  </si>
  <si>
    <t xml:space="preserve">Allow users to document any exchanges with vendors regarding the disallowance of costs resulting from CO review of voucher cost information submitted for Cost Reimbursement contracts. Record vendor written responses to notice of intent to disallow costs, and shall allow the CO to record that the vendor response was withdrawn or record the issuance of the COs final decision within 60 days. The system needs to make the action available for viewing in the contract file (Tab 34, Invoices/Vouchers) and provide the ability to export the data as a web-form or similar structured manner. </t>
  </si>
  <si>
    <t>Ensure system can efficiently:
1) the ability to record a vendor submitted written response to a notice of intent to disallow costs
2) the ability to track the date of receipt of vendors written response, either through a system generated timer or tracking function or by allowing user to upload or import written notice with date
3) the ability to allow an auditor read only access to the ECF to review submitted vouchers, correspondence and other cost data in the event of an audit or in response to a claim
4) document contract file</t>
  </si>
  <si>
    <t>Activity 42 - Allowability of Costs; Part A - Disallowance of Costs; Task 6</t>
  </si>
  <si>
    <t xml:space="preserve">Determine the penalty and interest (if any) for contractors that include unallowable costs in final indirect cost rate proposals or the final statements costs under a fixed price incentive contract. </t>
  </si>
  <si>
    <t>Penalty and interest determination</t>
  </si>
  <si>
    <t>CA - 95</t>
  </si>
  <si>
    <t xml:space="preserve">Record the penalties for unallowable costs for Cost Reimbursement type contracts exceeding the threshold in FAR 42.709-0(b).  Create from template or allow upload of penalty determinations for unallowable costs. Create from template or allow upload of a waiver of cost certification. The system needs to make the action available for viewing in the contract file (Tab 34, Invoices/Vouchers) and provide the ability to export the data as a web-form or similar structured manner. </t>
  </si>
  <si>
    <t>As a CO/CS, I need to know the penalty rate for unallowable indirect costs, and the interest penalty if I determine that penalties should be assessed.
As a CO/CS, I need to determine if a waiver is appropriate per FAR 42.709-5 so I can waive the penalty if appropriate.
As a CO/CS, I need to determine if the vendor knowingly submitted unallowable costs so I can refer the matter to the appropriate criminal investigative organization for review and for appropriate coordination of remedies.
AS a CO, I also need to be able to access the action in the contract file and export it if necessary.</t>
  </si>
  <si>
    <t xml:space="preserve">Ensure system can efficiently:
- Allow user to record the interest rate associated with unallowable costs per FAR 42.709-1(a)(1)(ii)
- Create a waiver or import/upload waiver in accordance with FAR 42.709-5 as applicable
- Create/upload a penalty determination
- Access information in the contract file and export it if necessary
</t>
  </si>
  <si>
    <t>Activity 42 - Allowability of Costs; Part B - Payment of Indirect Costs; Task 1</t>
  </si>
  <si>
    <t>Identify the official responsible for determining the final indirect cost rates for the business unit.</t>
  </si>
  <si>
    <t>Responsible official</t>
  </si>
  <si>
    <t>7.2.1
7.3.1</t>
  </si>
  <si>
    <t>7.0 - Closeout</t>
  </si>
  <si>
    <t>CA - 96</t>
  </si>
  <si>
    <t xml:space="preserve">Allow user to specify the cognizant contracting officer, federal agency official, or auditor.  The system needs to make the action available for viewing in the contract file (Tab 34, Invoices/Vouchers) and provide the ability to export the data as a web-form or similar structured manner. </t>
  </si>
  <si>
    <t>As a CO/CS, I need to establish the individual responsible for receiving and reviewing the vendor's final indirect cost rate proposal so I can initiate an advisory audit and negotiate a written indirect cost rate agreement. I also need to be able to access the action in the contract file and export it if necessary.</t>
  </si>
  <si>
    <t>Ensure system can efficiently:
- Capture the cognizant CO, agency official or auditor who is responsible for receiving the vendor's final indirect cost rate proposal, or upload/import this information
- Access information in the contract file and export it if necessary</t>
  </si>
  <si>
    <t>Activity 42 - Allowability of Costs; Part B - Payment of Indirect Costs; Task 2</t>
  </si>
  <si>
    <t>Determine billing rates.</t>
  </si>
  <si>
    <t>Billing rates</t>
  </si>
  <si>
    <t>CA - 97</t>
  </si>
  <si>
    <t xml:space="preserve">Allow user to record billing rates either as fillable data or as an uploaded document. The system needs to make the action available for viewing in the contract file (Tab 34, Invoices/Vouchers) and provide the ability to export the data as a web-form or similar structured manner. </t>
  </si>
  <si>
    <t>As a CO/CS, I need to be able to establish billing rates for temporary reimbursement of incurred costs until final indirect cost rates are negotiated.  I also need to be able to access the action in the contract file and export it if necessary.</t>
  </si>
  <si>
    <t>Ensure system can efficiently:
- Record, either as data input into the system or by allowing users to upload/import document, billing rates for use until final indirect cost rates are negotiated.
- Access information in the contract file and export it if necessary</t>
  </si>
  <si>
    <t>Activity 42 - Allowability of Costs; Part B - Payment of Indirect Costs; Task 3</t>
  </si>
  <si>
    <t>Determine whether or not to apply the quick-closeout procedure to settle indirect costs.</t>
  </si>
  <si>
    <t>Determination whether to apply quick-closeout procedures</t>
  </si>
  <si>
    <t>7.2.1
7.2.1.1
7.3.1</t>
  </si>
  <si>
    <t>CA - 98</t>
  </si>
  <si>
    <t xml:space="preserve">Enable users to create or upload a determination to make use of quick closeout procedures while waiting for final indirect rate audit support. The system needs to make the action available for viewing in the contract file (Tab 34, Invoices/Vouchers) and provide the ability to export the data as a web-form or similar structured manner. </t>
  </si>
  <si>
    <t>As a CO/CS I need to make a determination whether or not to apply quick closeout procedures. I also need to be able to access the action in the contract file and export it if necessary.</t>
  </si>
  <si>
    <t>Ensure system can efficiently:
- Create or allow a user to upload/import a risk assessment that conforms to the requirements of FAR 42.708(a)
- Access information in the contract file and export it if necessary</t>
  </si>
  <si>
    <t>Activity 42 - Allowability of Costs; Part B - Payment of Indirect Costs; Task 4</t>
  </si>
  <si>
    <t>Use the quick-closeout procedure to settle indirect costs.</t>
  </si>
  <si>
    <t>Closeout procedures</t>
  </si>
  <si>
    <t>CA - 99</t>
  </si>
  <si>
    <t>Enable users to use quick closeout procedures while waiting for final indirect rate audit support</t>
  </si>
  <si>
    <t>As a CO/CS, I need to be able to negotiate the final settlement of direct and indirect cost rates using quick closeout procedures so I can close out cost reimbursement contracts that meet the requirements of FAR 42.708(a) in advance of a determination of final cost rates.  I also need to be able to access the action in the contract file and export it if necessary.</t>
  </si>
  <si>
    <t>Ensure system can efficiently:
- Allow user to accomplish contract closeout using quick closeout procedures
- Create or allow a user to upload/import a risk assessment that conforms to the requirements of FAR 42.708(a)
- Access information in the contract file and export it if necessary</t>
  </si>
  <si>
    <t>Activity 42 - Allowability of Costs; Part B - Payment of Indirect Costs; Task 5</t>
  </si>
  <si>
    <t>Obtain from the cognizant agency the final indirect cost rates for the period or periods during which the contract was effect.</t>
  </si>
  <si>
    <t>Final indirect cost rates</t>
  </si>
  <si>
    <t>CA - 100</t>
  </si>
  <si>
    <t xml:space="preserve">Allow user to incorporate final indirect cost rates when provided by agency auditors. The system needs to make the action available for viewing in the contract file (Tab 37, Final Payment Documents) and provide the ability to export the data as a web-form or similar structured manner. </t>
  </si>
  <si>
    <t>As a CO/CS, I need to obtain an indirect cost rate agreement if prepared by an auditor and signed by a contractor so I can negotiate a final settlement based on the indirect cost rate agreement.  I also need to be able to access the action in the contract file and export it if necessary.</t>
  </si>
  <si>
    <t>Ensure system can efficiently:
- Allow a user to file an indirect cost rate agreement prepared by an auditor
- Access information in the contract file and export it if necessary</t>
  </si>
  <si>
    <t>Activity 42 - Allowability of Costs; Part B - Payment of Indirect Costs; Task 6</t>
  </si>
  <si>
    <t>Apply the final indirect cost rates in establishing the final contract price.</t>
  </si>
  <si>
    <t>Final contract price</t>
  </si>
  <si>
    <t>CA - 101</t>
  </si>
  <si>
    <t>Allow user to incorporate final indirect cost rates when provided by agency auditors in establishing the final contract price</t>
  </si>
  <si>
    <t>As a CO/CS, I need to negotiate a final contract price based upon the final rate agreement so I can close out the cost reimbursement contract.  I also need to be able to access the action in the contract file and export it if necessary.</t>
  </si>
  <si>
    <t>Ensure system can efficiently:
- Allow a user to modify the contract total price as a result of final indirect and direct cost rate agreements
- Access information in the contract file and export it if necessary</t>
  </si>
  <si>
    <t>Activity 42 - Allowability of Costs; Part C - Limitation of Costs, Funds, or Total Payment Amount; Task 1</t>
  </si>
  <si>
    <t>Determine if the contractor is approaching a limitation of funds, costs, or payments.</t>
  </si>
  <si>
    <t>Cap determination</t>
  </si>
  <si>
    <t>CA - 102</t>
  </si>
  <si>
    <t>Allow user to track contract payments against funded line items in the system.</t>
  </si>
  <si>
    <t>As a CO/CS, I need to ensure that contract payments do not exceed the limitations established in the contract so I can ensure either additional funding is added to the contract or that performance is halted before exceeding the available funded obligation.</t>
  </si>
  <si>
    <t>Ensure system can efficiently:
- Allow a user to track payments in the system
- Report or show a user the total contract amount as well as the total funding obligated
- Report or indicate that a contract contains the either FAR clause 52.232-20 or 52.232-22</t>
  </si>
  <si>
    <t>Activity 42 - Allowability of Costs; Part C - Limitation of Costs, Funds, or Total Payment Amount; Task 2</t>
  </si>
  <si>
    <t>Decide on an appropriate course of action given the funding and programming information.</t>
  </si>
  <si>
    <t>CA - 103</t>
  </si>
  <si>
    <t xml:space="preserve">Allow user to document the decision on the appropriate course of action selected given the funding and programming information. Enable collaboration among acquisition team members (including reviewing, revising, routing and approving documents). The system needs to make the action available for viewing in the contract file (Tab 37, Final Payment Documents) and provide the ability to export the data as a web-form or similar structured manner. </t>
  </si>
  <si>
    <t>As an acquisition team member, I need to be able to collaborate with the acquisition team and review, revise, comment, approve (as appropriate) and route documents so my CO/CS considers my input in the acquisition.
As a CO/CS, I need to ensure that contract payments do not exceed the limitations established in the contract so I can ensure either additional funding is added to the contract or that performance is halted before exceeding the available funded obligation. I need to be able to run reports (e.g., obligations, invoices, payments) to ensure I manage the contract within my fiscal constraints. I may need to collaborate with the acquisition team if I need additional funding or to discuss contract requirements. I also need to be able to access the action in the contract file and export it if necessary.</t>
  </si>
  <si>
    <t>Ensure system can efficiently:
- Create/upload/import the decision on the appropriate course of action given the funding and programming information
- Collaborate with the acquisition team
- Route, review and approve documents
- Track payments and run reports on funding / invoiced / paid amounts
- Access information in the contract file and export it if necessary</t>
  </si>
  <si>
    <t>Activity 42 - Allowability of Costs; Part C - Limitation of Costs, Funds, or Total Payment Amount; Task 3</t>
  </si>
  <si>
    <t>Notify the contractor in writing of the course of action.</t>
  </si>
  <si>
    <t>CA - 104</t>
  </si>
  <si>
    <t xml:space="preserve">Allow user to create/upload/ import the notification to the contractor (and supporting documentation) of the course of action. Enable the users to collaborate with acquisition team members on the project (including the review, revision, routing, and approving of documents). The system needs to make the action available for viewing in the contract file (Tab 37, Final Payment Documents) and provide the ability to export the data as a web-form or similar structured manner. </t>
  </si>
  <si>
    <t xml:space="preserve">As an acquisition team member (such as reviewers, SBTA, general counsel, HCA, SPE, Contracting Director, etc.), I need to be able to collaborate with the acquisition team and review, revise, comment, approve (as appropriate) and route documents.
As the CO/CS, I need to create/upload/ import the document that notifies the contractor of the course of action to protect the Government's interests. I need to provide a copy of the notification to the COR so they can perform the functions delegated to them. I also need to be able to access the action in the contract file and export it if necessary.
As a COR, I need to receive a copy of the CO notification so I can perform my duties. I also need to be able to access the action in the contract file and export it if necessary. </t>
  </si>
  <si>
    <t>Ensure system can efficiently:
- Enable team collaboration
- Create/upload/import notification to the contractor 
- Route/approve documents
- Access information in the contract file and export it if necessary</t>
  </si>
  <si>
    <t>Activity 42 - Allowability of Costs; Part C - Limitation of Costs, Funds, or Total Payment Amount; Task 4</t>
  </si>
  <si>
    <t>CA - 105</t>
  </si>
  <si>
    <t>The system needs to make the action available for viewing in the contract file (Tab 39, General Correspondence) and provide the ability to export the data as a web-form or similar structured manner.</t>
  </si>
  <si>
    <t>As a CO/CS, I need to document the contract file so I comply with the authoritative references.  I also need to be able to access the action in the contract file and export it if necessary.</t>
  </si>
  <si>
    <t>Activity 43 - Price and Fee Adjustments; Part E - Price Redeterminations; Task 1</t>
  </si>
  <si>
    <t xml:space="preserve">Obtain and verify quarterly limitation on payments statements. </t>
  </si>
  <si>
    <t>Receipt and review of payment statements</t>
  </si>
  <si>
    <t>CA - 106</t>
  </si>
  <si>
    <t>Allow user to upload/import vendor submitted documents or allow vendors to submit quarterly report directly into the system. The system needs to make the action available for viewing in the contract file (Tab 34, Invoices/Vouchers) and provide the ability to export the data as a web-form or similar structured manner.</t>
  </si>
  <si>
    <t>As a CO/CS, I need to ensure that vendors submit quarterly reports per the instructions included in the contract so I can determine whether an adjustment to contract price needs to occur. I also need to be able to access the action in the contract file and export it if necessary.</t>
  </si>
  <si>
    <t>Ensure system can efficiently:
- Upload/import vendor submitted quarterly reports or the ability to allow vendors to submit quarterly reports into the system directly
- Access information in the contract file and export it if necessary</t>
  </si>
  <si>
    <t>Activity 43 - Price and Fee Adjustments; Part E - Price Redeterminations; Task 2</t>
  </si>
  <si>
    <t xml:space="preserve">Pending the redetermination of price, determine whether to adjust billing prices and, if so, the amount of any such adjustment. </t>
  </si>
  <si>
    <t>Revised invoice and payment adjustment when necessary</t>
  </si>
  <si>
    <t>6.4.2
6.6.1</t>
  </si>
  <si>
    <t>CA - 107</t>
  </si>
  <si>
    <t>Allow user to accomplish a modification to address billing price increase or decrease.</t>
  </si>
  <si>
    <t>As a Contractor, I need to be able to resubmit invoices if billing adjustments are required
As a CO/CS, I need to be able to adjust billing prices in between scheduled price redetermination periods to account for substantial differences in actual billing prices and those in the contract.</t>
  </si>
  <si>
    <t>Ensure system can efficiently:
- Allow the contractor to resubmit invoices if billing adjustments are required
- Modify the contract to adjust billing prices, and to cite the authority of FAR 52.216-5 or 52.216-6</t>
  </si>
  <si>
    <t>Activity 43 - Price and Fee Adjustments; Part E - Price Redeterminations; Task 3</t>
  </si>
  <si>
    <t xml:space="preserve">Adjust the billing price(s). </t>
  </si>
  <si>
    <t>6.4.2
6.4.3
6.4.4
6.6.1</t>
  </si>
  <si>
    <t>CA - 108</t>
  </si>
  <si>
    <t>Allow user to accomplish a modification to address billing price increase or decrease and submit a revised invoice.</t>
  </si>
  <si>
    <t>Activity 43 - Price and Fee Adjustments; Part E - Price Redeterminations; Task 4</t>
  </si>
  <si>
    <t xml:space="preserve">Obtain the contractor's proposed price and supporting data for the price redetermination. </t>
  </si>
  <si>
    <t>Price proposal</t>
  </si>
  <si>
    <t>CA - 109</t>
  </si>
  <si>
    <t>Allow user to upload/import contractor submitted documents or allow contractors to submit proposed price and supporting data for price redetermination actions.  Enable the user to route for review such documents amongst one or more selected members of the acquisition team. The system needs to make the action available for viewing in the contract file (Tab 40, Contract Modification) and provide the ability to export the data as a web-form or similar structured manner.</t>
  </si>
  <si>
    <t xml:space="preserve">As an acquisition team member, I need to be able to collaborate with the acquisition team and review, revise, comment, approve (as appropriate) and route documents so my CO/CS considers my input in the acquisition.
As a CO/CS, I need to be able to receive the contractor's proposed price and supporting data for the price redetermination so I can evaluate its merits. I may need to collaborate with the acquisition team on the action. I also need to be able to access the action in the contract file and export it if necessary. </t>
  </si>
  <si>
    <t>Ensure system can efficiently:
- Upload/import contractor submitted documents
- Collaborate among the acquisition team
- Route/approve documents
- Access information in the contract file and export it if necessary</t>
  </si>
  <si>
    <t>Activity 43 - Price and Fee Adjustments; Part E - Price Redeterminations; Task 5</t>
  </si>
  <si>
    <t xml:space="preserve">Establish the Government's position on the price for the redetermination period. </t>
  </si>
  <si>
    <t>pre negotiation memorandum or memo to the file</t>
  </si>
  <si>
    <t>6.2.4
6.2.5
6.6.1</t>
  </si>
  <si>
    <t>CA - 110</t>
  </si>
  <si>
    <t>Allow user to create a price negotiation memorandum from a template or to upload/import an external PNM or memo to the file.  The CWS shall also permit the routing and review of such PNM.memo which may or may not include securing approvals. The system needs to make the action available for viewing in the contract file (Tab 40, Contract Modification) and provide the ability to export the data as a web-form or similar structured manner.</t>
  </si>
  <si>
    <t>As a CO/CS, I need to create price negotiation memorandums or memos to the file so I can document my negotiation objectives and outcomes and comply with authoritative references.  I also need to be able to access the action in the contract file and export it if necessary.</t>
  </si>
  <si>
    <t>Ensure system can efficiently:
- Create a PNM from a template or upload/import an external PNM or memo to the file
- Route PNM/memo to user specified approvers
- Access information in the contract file and export it if necessary</t>
  </si>
  <si>
    <t>Activity 43 - Price and Fee Adjustments; Part E - Price Redeterminations; Task 6</t>
  </si>
  <si>
    <t xml:space="preserve">Negotiate the price for the redetermination period. </t>
  </si>
  <si>
    <t>Negotiation memorandum or memo to file</t>
  </si>
  <si>
    <t>CA - 111</t>
  </si>
  <si>
    <t>Activity 43 - Price and Fee Adjustments; Part E - Price Redeterminations; Task 7</t>
  </si>
  <si>
    <t xml:space="preserve">Modify the contract to reflect the price for the redetermination period. </t>
  </si>
  <si>
    <t>Modification</t>
  </si>
  <si>
    <t>CA - 112</t>
  </si>
  <si>
    <t>Allow user to accomplish contract modification to redetermine contract prices in accordance with FAR clauses 52.216-5 and 52.216-6</t>
  </si>
  <si>
    <t>As a CO/CS, I need to modify the contract so I can accomplish price redeterminations.</t>
  </si>
  <si>
    <t>Ensure system can efficiently:
- Modify the contract to accomplish prospective and retroactive price redeterminations, and to cite the authority of FAR 52.216-5 or 52.216-6</t>
  </si>
  <si>
    <t>Activity 43 - Price and Fee Adjustments; Part E - Price Redeterminations; Task 8</t>
  </si>
  <si>
    <t>CA - 113</t>
  </si>
  <si>
    <t>Make the action available for viewing in the contract file (Tab 40, Contract Modification) and provide the ability to export the data as a web-form or similar structured manner.</t>
  </si>
  <si>
    <t>Activity 44 - Defective Pricing; Task 1</t>
  </si>
  <si>
    <t>Identify factors that suggest cost or pricing data may be defective.</t>
  </si>
  <si>
    <t>Identification of factors</t>
  </si>
  <si>
    <t>CA - 114</t>
  </si>
  <si>
    <t xml:space="preserve">Enable the user to identify factors that suggest cost or pricing data may be defective by enabling the retrieval of cost and pricing data from the contract file (Tab 16, Certified Cost or Pricing Data), review of inspection reports (Tab 32, Inspection), review of invoices (Tab 34, Invoices/ Vouchers). The system needs to make the audit results available for viewing in the contract file (Tab 38, Post Award Audits) and provide the ability to export the data as a web-form or similar structured manner.        </t>
  </si>
  <si>
    <t>As a CO/CS, I need to review vendor submitted vouchers or invoices to determine if any factors are present so I can identify if a vendor supplied defective cost or pricing data.  I may need to collaborate with the auditor to review the factors. I also need to be able to access the action in the contract file and export it if necessary.
As an auditor, I may need to collaborate with the CO/CS to review the factors and discuss next steps.</t>
  </si>
  <si>
    <t>Ensure system can efficiently:
- Capture user reviews of voucher or invoice cost or price elements
- Access information in the contract file and export it if necessary</t>
  </si>
  <si>
    <t>Activity 44 - Defective Pricing; Task 2</t>
  </si>
  <si>
    <t>Discuss concerns about possible defective pricing with the contractor and the auditor.</t>
  </si>
  <si>
    <t>Meeting minutes</t>
  </si>
  <si>
    <t>CA - 115</t>
  </si>
  <si>
    <t xml:space="preserve">Record or store correspondence related to suspected defective cost or pricing data. Create/upload/import a memorandum to the file the concerns about possible defective pricing with the contractor and the auditor. The system needs to make the audit results available for viewing in the contract file (Tab 38, Post Award Audits) and provide the ability to export the data as a web-form or similar structured manner. </t>
  </si>
  <si>
    <t xml:space="preserve">As a CO/CS, I need to be able to request and review information from the contractor suspected of submitting defective cost or pricing data so I can review the facts and factors on hand so I can reach an appropriate determination. I also need to be able to access the action in the contract file and export it if necessary.
As an auditor, I need to be able to support the CO/CS and lend my expertise so they can reach an appropriate determination of defective pricing issues. </t>
  </si>
  <si>
    <t>Ensure system can efficiently:
- Upload/import contractor submitted correspondence and any other supporting documentation
- Collaborate with the audit team
- Create/upload/import a memorandum to the file 
- Access information in the contract file and export it if necessary</t>
  </si>
  <si>
    <t>Activity 44 - Defective Pricing; Task 3</t>
  </si>
  <si>
    <t>Consider the significance of the possible defective pricing.</t>
  </si>
  <si>
    <t>Determination of significance</t>
  </si>
  <si>
    <t>CA - 116</t>
  </si>
  <si>
    <t xml:space="preserve">Allow user to document the degree of significance of the possible defective pricing in a memorandum to the file. The system needs to make the audit results available for viewing in the contract file (Tab 38, Post Award Audits) and provide the ability to export the data as a web-form or similar structured manner. </t>
  </si>
  <si>
    <t>As a CO/CS, I need to exercise my right to a price adjustment, including profit or fee, of any significant amount by which the price was increased because of the defective data in order to protect the Government's interest. I need to be able to review the factors and concerns and reach a determination of next steps. I also need to be able to access the action in the contract file and export it if necessary.</t>
  </si>
  <si>
    <t>Ensure system can efficiently:
- Review the contract file
- Create/upload/import the determination
- Access information in the contract file and export it if necessary</t>
  </si>
  <si>
    <t>Activity 44 - Defective Pricing; Task 4</t>
  </si>
  <si>
    <t xml:space="preserve">If you still suspect that the contract price significantly increased because of defective cost or pricing data, request an audit to evaluate the accuracy, completeness, and currency of the cost or pricing data submitted by the contractor through the close of negotiations. </t>
  </si>
  <si>
    <t>CA - 117</t>
  </si>
  <si>
    <t>Capture and store documentation related to pricing reviews in the contract file (Tab 38, Post Award Audits). Permit the routing and review of audit requests which may or may not include securing approvals.</t>
  </si>
  <si>
    <t>As a CO/CS, I need to be able to use the vendor's support of the accuracy, completeness and currency of the data in question to determine if an audit is required. 
As an acquisition team member, I need to be able to review and route documents, and depending on the document, may also be required to approve such documents so my CO/CS has what she/he needs to document acquisition decisions.</t>
  </si>
  <si>
    <t>Ensure system can efficiently:
- Allow a reviewer view only access to contract file contents
- Create from template or allow a user to upload/import an audit request if needed
- Route documents for reviews, revisions and approvals
- Access information in the contract file and export it if necessary</t>
  </si>
  <si>
    <t>Activity 44 - Defective Pricing; Task 5</t>
  </si>
  <si>
    <t xml:space="preserve">Prepare a defective pricing memorandum documenting the determination and any corrective action taken as a result. </t>
  </si>
  <si>
    <t>Memo to the file</t>
  </si>
  <si>
    <t>CA - 118</t>
  </si>
  <si>
    <t>As a CO/CS, I need to prepare a final determination regarding defective pricing so I can either implement a corrective action or report defective pricing in FAPIIS and CPARS pursuant to FAR 42.1503(h)(1)(ii).
As an acquisition team member, I need to be able to review and route documents, and depending on the document, may also be required to approve such documents so my CO/CS has what she/he needs to document acquisition decisions.</t>
  </si>
  <si>
    <t>Ensure system can efficiently:
- Create from a template or allow a user to upload/import a CO's final decision regarding defective pricing
- File the decision in the contract file
- Route documents for reviews, revisions and approvals
- Access information in the contract file and export it if necessary</t>
  </si>
  <si>
    <t>Activity 44 - Defective Pricing; Task 6</t>
  </si>
  <si>
    <t>Distribute the memorandum.</t>
  </si>
  <si>
    <t>CA - 119</t>
  </si>
  <si>
    <t xml:space="preserve">Capture and store data related to pricing reviews in the contract file (Tab 38, Post Award Audits). </t>
  </si>
  <si>
    <t>As a CO/CS, I need to distribute copies of the CO's final determination to the vendor, the auditor, and the ACO if the contract administration has been delegated to meet the requirements of FAR 15.407-1(d)</t>
  </si>
  <si>
    <t>Ensure system can efficiently:
- Document delivery of the final decision memorandum to the vendor and other appropriate parties
- Access information in the contract file and export it if necessary</t>
  </si>
  <si>
    <t>Activity 44 - Defective Pricing; Task 7a (Note--There is no Task 7)</t>
  </si>
  <si>
    <t xml:space="preserve">If the amount due the Government exceeds the amount remaining on the contract, issue a demand letter. </t>
  </si>
  <si>
    <t>Demand letter</t>
  </si>
  <si>
    <t>CA - 120</t>
  </si>
  <si>
    <t>Enable the user to create/upload/import a demand letter and store it in the contract file (Tab 38, Post Award Audits).</t>
  </si>
  <si>
    <t>As a CO/CS, I need to be able to issue a letter of demand so I can enforce a repayment amount, a penalty amount, if applicable, an interest amount, and inform the vendor that interest will accrue until payment has been made. I also need to be able to access the action in the contract file and export it if necessary.</t>
  </si>
  <si>
    <t xml:space="preserve">Ensure system can efficiently:
- Create a demand letter that conforms to FAR 15.407-1(b)(7)(iv) or a user to upload/import a demand letter
- Access information in the contract file and export it if necessary
</t>
  </si>
  <si>
    <t>Activity 44 - Defective Pricing; Task 7b</t>
  </si>
  <si>
    <t>If the cost or pricing data was understated, consider an offset.</t>
  </si>
  <si>
    <t>Offset</t>
  </si>
  <si>
    <t>CA - 121</t>
  </si>
  <si>
    <t xml:space="preserve">Allow the CO to accomplish an offset via contract modification.  The system needs to make the audit results available for viewing in the contract file (Tab 40, Contract Modifications) and provide the ability to export the data as a web-form or similar structured manner. </t>
  </si>
  <si>
    <t>As a CO/CS, I need to be able to allow an offset for any understated certified cost or pricing data submitted in support of price negotiations so I can ensure the government's interest is protected from defective pricing and document the file.</t>
  </si>
  <si>
    <t>Ensure system can efficiently:
- Allow the user to accomplish a modification to process the offset citing  the authority of FAR 15.407-1(b)
- Access information in the contract file and export it if necessary</t>
  </si>
  <si>
    <t>Activity 44 - Defective Pricing; Task 8</t>
  </si>
  <si>
    <t>Conduct settlement discussions with the contractor to reach a bilateral agreement.</t>
  </si>
  <si>
    <t>Memo to the file or negotiation memorandum</t>
  </si>
  <si>
    <t>CA - 122</t>
  </si>
  <si>
    <t xml:space="preserve">Capture and store documentation related to settlement discussions in the contract file. The system needs to make the action available for viewing in the contract file (Tab 40, Contract Modifications) and provide the ability to export the data as a web-form or similar structured manner. </t>
  </si>
  <si>
    <t>As a CO/CS, I need to be able to document my pre-negotiation objectives so I can demonstrate obtaining a fair and reasonable price when reaching a settlement resulting from defective pricing.</t>
  </si>
  <si>
    <t>Ensure system can efficiently:
- Create from a template or allow a user to upload/import a PNM
- Access information in the contract file and export it if necessary</t>
  </si>
  <si>
    <t>Activity 44 - Defective Pricing; Task 9a (Note--There is no Task 9)</t>
  </si>
  <si>
    <t>If a settlement is reached, modify the contract to reflect the defective pricing settlement.</t>
  </si>
  <si>
    <t>CA - 123</t>
  </si>
  <si>
    <t xml:space="preserve">Allow the CO to accomplish a contract modification when a settlement is reached and document the contract file. The system needs to make the action available for viewing in the contract file (Tab 40, Contract Modifications) and provide the ability to export the data as a web-form or similar structured manner.  </t>
  </si>
  <si>
    <t>As a CO/CS, I need to be able to modify the contract to adjust line item pricing or add additional line items so I can accomplish a settlement resulting from defective pricing.</t>
  </si>
  <si>
    <t>Ensure system can efficiently:
- Allow the user to accomplish a modification to finalize the settlement citing  the authority of FAR 15.407-1
- Access information in the contract file and export it if necessary</t>
  </si>
  <si>
    <t>Activity 44 - Defective Pricing; Task 9b</t>
  </si>
  <si>
    <t>If a settlement is not reached, issue a final decision in accordance with Contract Disputes statute.</t>
  </si>
  <si>
    <t>CO Final decision</t>
  </si>
  <si>
    <t>CA - 124</t>
  </si>
  <si>
    <t xml:space="preserve">Capture and store documentation related to final decisions in the contract file. The system needs to make the action available for viewing in the contract file (Tab 40, Contract Modifications) and provide the ability to export the data as a web-form or similar structured manner.  </t>
  </si>
  <si>
    <t>Ensure system can efficiently:
- Create from a template or allow a user to upload/import a CO's final decision regarding defective pricing
- Access information in the contract file and export it if necessary</t>
  </si>
  <si>
    <t>Activity 44 - Defective Pricing; Task 10</t>
  </si>
  <si>
    <t>Upon issuing a final determination that the contractor submitted defective cost or pricing data, ensure that information relating to the determination is reported in the Federal Awardee Performance and
Integrity Information System
(FAPIIS) module of CPARS.</t>
  </si>
  <si>
    <t>Past performance report</t>
  </si>
  <si>
    <t>6.5.1
6.6.1</t>
  </si>
  <si>
    <t>CA - 125</t>
  </si>
  <si>
    <t xml:space="preserve">Enable the user to create/upload/import a past performance assessment to report the determination of defective cost or pricing data and document the contract file. The system needs to make the action available for viewing in the contract file (Tab 42, Contract Close Out) and provide the ability to export the data as a web-form or similar structured manner. </t>
  </si>
  <si>
    <t xml:space="preserve">As a CO/CS, I need to report past performance to comply with the authoritative references and to help federal agencies assess the contractor's performance in their acquisitions. I also need to be able to access the action in the contract file and export it if necessary. </t>
  </si>
  <si>
    <t>Ensure system can efficiently:
- Report past performance to CPARS
- Access information in the contract file and export it if necessary</t>
  </si>
  <si>
    <t>Activity 45 - Invoices; Task 1</t>
  </si>
  <si>
    <t>Examine the invoice for completeness, and notify the contractor of any defects.</t>
  </si>
  <si>
    <t>Invoice examination and contractor notification</t>
  </si>
  <si>
    <t>CA - 126</t>
  </si>
  <si>
    <t xml:space="preserve">Allow the vendor to submit invoices for products delivered or services rendered, validate invoices map to line items and are otherwise a proper invoice, and store in the contract file. The system needs to make the action available for viewing in the contract file (Tab 34, Invoices/Vouchers) and provide the ability to export the data as a web-form or similar structured manner. </t>
  </si>
  <si>
    <t>As a CO/CS, I need to verify that vendor submitted invoices and vouchers conform to the requirements of the contract and contract payment terms so the vendor can either be paid or be notified that changes are required.</t>
  </si>
  <si>
    <t>Ensure system can efficiently:
- Allow vendor invoicing in the system or upload/import invoices and vouchers to allow a user to view invoice or voucher information in the system
- Notify vendors of invoice or voucher discrepancies when invoicing through the system, or the ability to capture user review of vendor invoices or vouchers on uploaded/imported documents
- Map line items and sub line items with in the corresponding contract line items and sub line items and valid the invoice is proper
- Access information in the contract file and export it if necessary</t>
  </si>
  <si>
    <t>Activity 45 - Invoices; Task 2</t>
  </si>
  <si>
    <t>Identify the terms and conditions of the contract that bear on the amount to be paid.</t>
  </si>
  <si>
    <t>Identification of Ts&amp;Cs</t>
  </si>
  <si>
    <t>CA - 127</t>
  </si>
  <si>
    <t>As a CO/CS, I need to ensure that vendor invoices or vouchers do not exceed available funding on a contract level or contract line item level basis so invoices and vouchers can be paid. I also need to notify the vendor and document discussion of vendor invoice/voucher discrepancies.</t>
  </si>
  <si>
    <t>Ensure system can efficiently:
- Allow a user to view invoice or voucher information in the system and associated contract and contract line item funding related financial information. 
- Allow vendor invoicing in the system or upload/import invoices and vouchers to allow a user to view invoice or voucher information in the system
- Notify vendors of invoice or voucher discrepancies when invoicing through the system, or the ability to capture user review of vendor invoices or vouchers on uploaded/imported documents</t>
  </si>
  <si>
    <t>Activity 45 - Invoices; Task 3</t>
  </si>
  <si>
    <t>Consider documents and determinations that bear on the amount to be paid.</t>
  </si>
  <si>
    <t>Document analysis</t>
  </si>
  <si>
    <t>CA - 128</t>
  </si>
  <si>
    <t>Allow the vendor to submit invoices for products delivered or services rendered, or allow user to record invoicing. The system needs to make the action available for viewing in the contract file (Tab 34, Invoices/Vouchers) and provide the ability to export the data as a web-form or similar structured manner.</t>
  </si>
  <si>
    <t>As a CO/CS, I need to verify that any delivery or performance that requires any additional considerations (GFP returned, warranty documentation provided, etc.) is accomplished and accepted so no payment is issued until vendor performance is completed.</t>
  </si>
  <si>
    <t xml:space="preserve">Ensure system can efficiently:
- Report on the status of contract delivery or performance acceptance, including the receipt of CDRLs or other deliverable items, or to import/upload receiving reports to document acceptance of CDRLs or other deliverable items </t>
  </si>
  <si>
    <t>Activity 45 - Invoices; Task 4</t>
  </si>
  <si>
    <t>Determine whether an assignee is protected from the deduction or withholding.</t>
  </si>
  <si>
    <t>Assignee determination</t>
  </si>
  <si>
    <t>CA - 129</t>
  </si>
  <si>
    <t>Allow user to determine whether an assignee is protected from the deduction or withholding. The system needs to make the action available for viewing in the contract file (Tab 35, Special Financing Documents) and provide the ability to export the data as a web-form or similar structured manner.</t>
  </si>
  <si>
    <t xml:space="preserve">As a CO/CS, I need to determine whether an assignee is protected from the deduction or withholding so payment can be determined.  I also need to be able to access the action in the contract file and export it if necessary. </t>
  </si>
  <si>
    <t>Ensure system can efficiently:
- Determine assignee protections
- Access information in the contract file and export it if necessary</t>
  </si>
  <si>
    <t>Activity 45 - Invoices; Task 5</t>
  </si>
  <si>
    <t>Perform or verify the mathematical computations required to determine the total amount due the contractor.</t>
  </si>
  <si>
    <t>Validated computations</t>
  </si>
  <si>
    <t>CA - 130</t>
  </si>
  <si>
    <t xml:space="preserve">Allow the contractor to submit invoices for products delivered or services rendered, or allow user to record invoicing in the contract file (Tab 34, Invoices/Vouchers). Validate the computations on the invoiced amounts for accuracy. Where inaccuracies are found, the system shall return the invoice.  </t>
  </si>
  <si>
    <t xml:space="preserve">As a CO/CS, I need to ensure the accuracy of contractor invoices so I can authorize the appropriate payment. Where invoices are determined to be inaccurate, they need to be returned to the contractor for correction and resubmission. </t>
  </si>
  <si>
    <t>Ensure system can efficiently:
- Record invoices received
- Validate computations of invoices
- Return inaccurate invoices
- Access information in the contract file and export it if necessary</t>
  </si>
  <si>
    <t>Activity 45 - Invoices; Task 6</t>
  </si>
  <si>
    <t>Contact the contractor to discuss any differences between the amount of the submitted invoice and the amount that the Government proposes to pay.</t>
  </si>
  <si>
    <t>CA - 131</t>
  </si>
  <si>
    <t xml:space="preserve">Allow the user to create/upload/import meeting minutes related to payment discussions to the contract file. The system needs to make the action available for viewing in the contract file (Tab 34, Invoices/Voucher) and provide the ability to export the data as a web-form or similar structured manner. </t>
  </si>
  <si>
    <t xml:space="preserve">As a CO/CS, I need to memorialize discussions with the contractor on payment issues in the contract file to protect the Government's interest. </t>
  </si>
  <si>
    <t>Activity 45 - Invoices; Task 7</t>
  </si>
  <si>
    <t>Submit invoice for payment, and monitor the payments.</t>
  </si>
  <si>
    <t>Proof of payment</t>
  </si>
  <si>
    <t>CA - 132</t>
  </si>
  <si>
    <t>Allow the contractor to submit invoices for products delivered or services rendered, or allow user to record invoicing in the contract file (Tab 34, Invoices/Vouchers). Validate the computations on the invoiced amounts for accuracy. Where inaccuracies are found, the system shall return the invoice. Enable the monitoring of payments. The system needs to make the action available for viewing in the contract file (Tab 34, Invoices/Voucher) and provide the ability to export the data as a web-form or similar structured manner.</t>
  </si>
  <si>
    <t>As a CO/CS, I need to ensure the accuracy of contractor invoices so I can authorize the appropriate payment. Where invoices are determined to be inaccurate, they need to be returned to the contractor for correction and resubmission. I also need to monitor payments made against the contract to ensure payments are made in accordance with the payment terms of the contract and within the obligations available.</t>
  </si>
  <si>
    <t>Ensure system can efficiently:
- Record invoices received
- Validate computations of invoices
- Return inaccurate invoices
- Enable monitoring of payments
- Access information in the contract file and export it if necessary</t>
  </si>
  <si>
    <t>Activity 47 - Collecting Contract Debts; Task 1</t>
  </si>
  <si>
    <t>Promptly determine the amount of the contractor’s indebtedness (if any).</t>
  </si>
  <si>
    <t>CA - 133</t>
  </si>
  <si>
    <t xml:space="preserve">Allow the user to make a determination to identify and document instances and amounts of contractor indebtedness. The system needs to make the action available for viewing in the contract file (Tab 39, General Correspondence) and provide the ability to export the data as a web-form or similar structured manner. </t>
  </si>
  <si>
    <t>As a CO/CS, I need to be able to identify and demand payment resulting from contractor debts so the payment office can collect or liquidate contract debts. I also need to be able to access the action in the contract file and export it if necessary.</t>
  </si>
  <si>
    <t>Ensure system can efficiently:
- Record and report on the date invoices and vouchers are submitted to the government for payment
- Report and record when the government issues payment to the vendor, including the invoice number, payment date, and payment amount
- Create/upload/import a demand for payment resulting from contractor debts
- Access information in the contract file and export it if necessary</t>
  </si>
  <si>
    <t>Activity 47 - Collecting Contract Debts; Task 2</t>
  </si>
  <si>
    <t>Issue a demand for payment as soon as the contracting officer has determined that an actual debt is due the Government and the amount.</t>
  </si>
  <si>
    <t>CA - 134</t>
  </si>
  <si>
    <t xml:space="preserve">Allow a user to issue a demand for payment. The system needs to make the action available for viewing in the contract file (Tab 39, General Correspondence) and provide the ability to export the data as a web-form or similar structured manner. </t>
  </si>
  <si>
    <t>As a CO/CS, I need to issue a demand for payment that meets the requirements of FAR 32.604(b) so the vendor can either contact the contracting activity to dispute the debt or remit payment to the payment office. I need to document the contract file.</t>
  </si>
  <si>
    <t>Ensure system can efficiently:
- Create/upload/import a demand for payment
- Confirm vendor receipt of the demand for payment or to capture an external delivery confirmation (certified mail return receipt or other method that provides evidence of receipt)
- Access information in the contract file and export it if necessary</t>
  </si>
  <si>
    <t>Activity 47 - Collecting Contract Debts; Task 3</t>
  </si>
  <si>
    <t>Negotiate with the contractor concerning the amount of debt and repayment options.</t>
  </si>
  <si>
    <t>CA - 135</t>
  </si>
  <si>
    <t>Allow user to document negotiations and their outcome with the contractor to resolve the debt. The system needs to make the action available for viewing in the contract file (Tab 39, General Correspondence) and provide the ability to export the data as a web-form or similar structured manner.</t>
  </si>
  <si>
    <t xml:space="preserve">As a CO/CS, I need to be able to document my pre-negotiation objectives and the outcome of negotiations so I can settle the debt owed to the Government and establish the terms and conditions of repayment. I also need to be able to access the action in the contract file and export it if necessary. </t>
  </si>
  <si>
    <t>Ensure system can efficiently:
- Create/upload/import the memorandum to the file
- Access information in the contract file and export it if necessary</t>
  </si>
  <si>
    <t>Activity 47 - Collecting Contract Debts; Task 4</t>
  </si>
  <si>
    <t>If the contractor agrees with the amount of debt, issue a demand for payment immediately after determining that an actual debt is due the Government and the amount. Forward the demand to the payment office.</t>
  </si>
  <si>
    <t>CA - 136</t>
  </si>
  <si>
    <t>Allow a user to issue a demand for payment and distribute a copy to the payment office. The system needs to make the action available for viewing in the contract file (Tab 39, General Correspondence) and provide the ability to export the data as a web-form or similar structured manner.</t>
  </si>
  <si>
    <t xml:space="preserve">As a CO/CS, I need to issue a demand for payment that meets the requirements of FAR 32.604(b) so the vendor can either contact the contracting activity to dispute the debt or remit payment to the payment office. I need to forward a copy to the payment office. I also need to be able to access the action in the contract file and export it if necessary. </t>
  </si>
  <si>
    <t>Ensure system can efficiently:
- Create/upload/import a demand for payment
- Route demand to the contractor with a copy to the payment office
- Confirm vendor receipt of the demand for payment or to capture an external delivery confirmation (certified mail return receipt or other method that provides evidence of receipt)
- Access information in the contract file and export it if necessary</t>
  </si>
  <si>
    <t>Activity 47 - Collecting Contract Debts; Task 5</t>
  </si>
  <si>
    <t>Modify the contract to incorporate the agreement.</t>
  </si>
  <si>
    <t>CA - 137</t>
  </si>
  <si>
    <t>Allow user to accomplish contract modification to incorporate the payment agreement and route the agreement to the contractor and payment office. The system needs to make the action available for viewing in the contract file (Tab 40, Contract Modifications) and provide the ability to export the data as a web-form or similar structured manner.</t>
  </si>
  <si>
    <t xml:space="preserve">As a CO/CS, I need to modify the contract to incorporate payment agreements so I can protect the Government's interest. I need to route the modification to the contractor and payment office. I also need to be able to access the action in the contract file and export it if necessary. </t>
  </si>
  <si>
    <t>Ensure system can efficiently:
- Modify the contract
- Route modification
- Access information in the contract file and export it if necessary</t>
  </si>
  <si>
    <t>Activity 47 - Collecting Contract Debts; Task 6</t>
  </si>
  <si>
    <t>If the contractor does not agree to the amount of debt, issue the demand for payment with the final decision. Forward a copy of the demand and the final decision to the payment office.</t>
  </si>
  <si>
    <t>Demand letter and CO final decision</t>
  </si>
  <si>
    <t>CA - 138</t>
  </si>
  <si>
    <t xml:space="preserve">Allow user to issue a contracting officer's final decision that conforms to the requirements of FAR 33.211. The system needs to make the action available for viewing in the contract file (Tab 35, Special Financing Documents) and provide the ability to export the data as a web-form or similar structured manner. </t>
  </si>
  <si>
    <t xml:space="preserve">As a CO/CS, I need to issue a final statement when I am unable to reach an agreement with the vendor on the amount of a debt so debt collection or liquidation can occur. I also need to be able to access the action in the contract file and export it if necessary. </t>
  </si>
  <si>
    <t>Ensure system can efficiently:
- Create a contracting officer's final decision from a template or to allow a user to upload/import one 
- Access information in the contract file and export it if necessary</t>
  </si>
  <si>
    <t>Activity 47 - Collecting Contract Debts; Task 7</t>
  </si>
  <si>
    <t>Upon receipt of the contractor’s written request for deferment of collection, request any information needed to make the request adequate for action.</t>
  </si>
  <si>
    <t>Information for deferment of collection</t>
  </si>
  <si>
    <t>CA - 139</t>
  </si>
  <si>
    <t xml:space="preserve">Allow vendor to submit written requests through the system. The system needs to make the action available for viewing in the contract file (Tab 37, Final Payment Documents) and provide the ability to export the data as a web-form or similar structured manner. </t>
  </si>
  <si>
    <t>As a CO/CS, I need to review vendor submitted requests pertaining to the deferment of debts  so I can develop a recommendation pertaining to the deferment request.</t>
  </si>
  <si>
    <t>Ensure system can efficiently:
- Allow an external user to submit requests or to allow a user to upload/import a vendor submitted request
- Access information in the contract file and export it if necessary</t>
  </si>
  <si>
    <t>Activity 47 - Collecting Contract Debts; Task 8</t>
  </si>
  <si>
    <t>Upon receipt of the contractor’s written request, promptly provide a notification to the payment office and advise the payment office that the contractor’s request is under consideration.</t>
  </si>
  <si>
    <t>Payment office notification</t>
  </si>
  <si>
    <t>CA - 140</t>
  </si>
  <si>
    <t xml:space="preserve">Allow a user to submit correspondence to another user within the system, or shall employ some manner of identifying the contact information for an individual or office assigned financial office functions so that a user can send correspondence related to deferment of collections requests. The system needs to make the action available for viewing in the contract file (Tab 37, Final Payment Documents) and provide the ability to export the data as a web-form or similar structured manner. </t>
  </si>
  <si>
    <t>As a CO/CS, I need to notify the payment office that a vendor has requested deferment of collections so the office responsible for the collection of debts is aware that I am working on a recommendation pertaining to the request.</t>
  </si>
  <si>
    <t>Ensure system can efficiently:
- Allow users to correspond within the system, or the ability to allow users to identify the office or individual responsible for financial functions on each contract and their associated contact information
- Access information in the contract file and export it if necessary</t>
  </si>
  <si>
    <t>Activity 47 - Collecting Contract Debts; Task 9</t>
  </si>
  <si>
    <t>Develop a recommendation on the deferment request.</t>
  </si>
  <si>
    <t>Deferment request recommendation</t>
  </si>
  <si>
    <t>CA - 141</t>
  </si>
  <si>
    <t xml:space="preserve">Record the recommendation on the deferment request. The system needs to make the action available for viewing in the contract file (Tab 37, Final Payment Documents) and provide the ability to export the data as a web-form or similar structured manner. </t>
  </si>
  <si>
    <t>As a CO/CS, I need to provide specific information to the payment office along with my recommendation on the deferment request so they payment office can make their decision on whether to defer collection of the vendor debt.
As a Payment Office, I need to review the CO recommendation on the deferment request, a  copy of the contractor’s request for a deferment of collection, a statement as to whether the contractor has an appeal pending or action filed under the Disputes clause of the contract and the docket number if the appeal has been filed, and a copy of the contracting officer’s final decision so I can decide if a deferment of collections is appropriate</t>
  </si>
  <si>
    <t>Ensure system can efficiently:
- Record the recommendation on the deferment request
- Access information in the contract file and export it if necessary</t>
  </si>
  <si>
    <t>Activity 47 - Collecting Contract Debts; Task 10</t>
  </si>
  <si>
    <t>Forward a copy of the contractor’s request for a deferment of collection along with the written recommendation to the office designated in agency procedures for a decision.</t>
  </si>
  <si>
    <t>Copy of deferment request and recommendation</t>
  </si>
  <si>
    <t>CA - 142</t>
  </si>
  <si>
    <t>Allow user to download selected documents to provide to a reviewer or allow a reviewer read only access to the contract file or portions thereof as designated by the user.</t>
  </si>
  <si>
    <t>As a CO/CS, I need to provide specific information to the payment office along with my recommendation on the deferment request so they payment office can make their decision on whehter to defer collection of the vendor debt.
As a Payment Office, I need to review the CO recommendation on the deferment request, a  copy of the contractor’s request for a deferment of collection, a statement as to whether the contractor has an appeal pending or action filed under the Disputes clause of the contract and the docket number if the appeal has been filed, and a copy of the contracting officer’s final decision so I can decide if a deferment of collections is appropriate</t>
  </si>
  <si>
    <t>Ensure system can efficiently:
- Access information in the contract file and export it if necessary
- Allow a reviewer read only access to the contract file or portions thereof</t>
  </si>
  <si>
    <t>Activity 47 - Collecting Contract Debts; Task 11</t>
  </si>
  <si>
    <t>Monitor contractor compliance with the agreement for repaying the debt or demand letter; identify and notify the contractor of any interest owed the Government.</t>
  </si>
  <si>
    <t>Surveillance plan and follow up notes</t>
  </si>
  <si>
    <t>CA - 143</t>
  </si>
  <si>
    <t xml:space="preserve">Allow user to establish an interest date when the clause at FAR 52.232-17 is included in a contract, or will allow a user to upload/import documentation that establishes the interest date per FAR 52.232-17(e). The system needs to make the action available for viewing in the contract file (Tab 37, Final Payment Documents) and provide the ability to export the data as a web-form or similar structured manner. </t>
  </si>
  <si>
    <t>As a CO/CS, I need to establish the date used to calculate interest so the correct interest rate can be charged on all monies due the government if unpaid within 30 days from the issuance of demand</t>
  </si>
  <si>
    <t xml:space="preserve">Ensure system can efficiently:
- Record and report on the date of demand, or the ability to allow a user to upload/import a demand for payment that includes the date it was issued
- Record confirmation that the vendor received the demand for payment notice, or to allow a user to upload/import the confirmation
- Access information in the contract file and export it if necessary
</t>
  </si>
  <si>
    <t>Activity 47 - Collecting Contract Debts; Task 12</t>
  </si>
  <si>
    <t>If specifically authorized by agency procedures, determine whether to compromise the debt or terminate or suspend further collection action.</t>
  </si>
  <si>
    <t>Determination to compromise the debt, terminate or suspend</t>
  </si>
  <si>
    <t>CA - 144</t>
  </si>
  <si>
    <t xml:space="preserve">Record the determination whether to compromise the debt or terminate or suspend further collection action. The system needs to make the action available for viewing in the contract file (Tab 37, Final Payment Documents) and provide the ability to export the data as a web-form or similar structured manner. </t>
  </si>
  <si>
    <t>As a CO/CS, I need to determine whether to compromise the debt or terminate or suspend further collection actions to protect the Government's interest. I also need to be able to access the action in the contract file and export it if necessary.</t>
  </si>
  <si>
    <t xml:space="preserve">Ensure system can efficiently:
- Record determination
- Access information in the contract file and export it if necessary
</t>
  </si>
  <si>
    <t>Activity 47 - Collecting Contract Debts; Task 13</t>
  </si>
  <si>
    <t>Refer noncompliance with deferment agreements or demand letter to the payment office.</t>
  </si>
  <si>
    <t>CA - 145</t>
  </si>
  <si>
    <t xml:space="preserve">Refer noncompliance with deferment agreements or demand letter to the payment office. The system needs to make the action available for viewing in the contract file (Tab 37, Final Payment Documents) and provide the ability to export the data as a web-form or similar structured manner. </t>
  </si>
  <si>
    <t>As a payment office, I need to determine what action, if any, to take regarding noncompliance with deferment agreements or demand letters. I need to work closely with the CO/CS in determining next steps.
As a CO/CS, I need to work with my payment office to determine what action to take for noncompliance actions to protect the Government's interest  I also need to be able to access the action in the contract file and export it if necessary.</t>
  </si>
  <si>
    <t>ACQ.040.030</t>
  </si>
  <si>
    <t>Contract Modification</t>
  </si>
  <si>
    <t>Issue a written change in the terms of a contract after agreement is obtained for bilateral modifications; Includes novation agreements, change-of-name agreements, and change in period of performance; Verify availability of and obligate or deobligate funds</t>
  </si>
  <si>
    <t>Activity 33 - Contract Modification and Adjustment; Part A - Modifications and Equitable Adjustments; Task 1</t>
  </si>
  <si>
    <t>Determine whether there is a need for a government- or contractor proposed modification.</t>
  </si>
  <si>
    <t>Modification determination</t>
  </si>
  <si>
    <t>6.2.1
6.6.1</t>
  </si>
  <si>
    <t>CA - 146</t>
  </si>
  <si>
    <t>Allow users to determine the need for a modification. Record this with the documentation supporting the modification. The system needs to make the action available for viewing in the contract file (Tab 40, Contract Modifications) and provide the ability to export the data as a web-form or similar structured manner.</t>
  </si>
  <si>
    <t>As a CO/CS, I need to be able to determine if the terms of a contract need to be modified so I can ensure the contract continues to meet the needs of the government</t>
  </si>
  <si>
    <t>Ensure system can efficiently:
- Capture correspondence related to the changing needs of the government from either government or contractor stakeholders
- Access information in the contract file and export it if necessary</t>
  </si>
  <si>
    <t>Activity 33 - Contract Modification and Adjustment; Part A - Modifications and Equitable Adjustments; Task 2</t>
  </si>
  <si>
    <t>Determine whether to use a unilateral or bilateral modification</t>
  </si>
  <si>
    <t>Determination of mod type</t>
  </si>
  <si>
    <t>CA - 147</t>
  </si>
  <si>
    <t>Enable user to issue contract modifications on a unilateral or bilateral basis</t>
  </si>
  <si>
    <t>As a CO/CS, I need to be able to identify the scope of proposed contract term revisions so I can determine whether I have unilateral authority to issue a contract modification. I also need to be able to access the action in the contract file and export it if necessary.</t>
  </si>
  <si>
    <t>Ensure system can efficiently:
- Specify whether a modification is unilateral or bilateral
- Release or otherwise finalize a unilateral contract modification without any approval, coordination, signature or other action of the contractor
- Require vendor approval, coordination, signature or other action in addition to the CO when a modification is bilateral</t>
  </si>
  <si>
    <t>Activity 33 - Contract Modification and Adjustment; Part A - Modifications and Equitable Adjustments; Task 3a (Note-there is no Task 3)</t>
  </si>
  <si>
    <t>If the administrative change is forward priced, issue a change order.</t>
  </si>
  <si>
    <t>Contract modification</t>
  </si>
  <si>
    <t>CA - 148</t>
  </si>
  <si>
    <t>Enable user to issue contract modifications on a unilateral or bilateral basis using a SF 30. Enable user to specify the modification authority in Block 13 (a, b, c or d as appropriate). Prepopulate modifications to the maximum extent practical. The system needs to make the action available for viewing in the contract file (Tab 40, Contract Modifications) and provide the ability to export the data as a web-form or similar structured manner.</t>
  </si>
  <si>
    <t>As a CO/CS, I need to be able to issue both unilateral and bilateral contract modifications and report to FPDS. I need to ensure I have a conformed contract. I also need to be able to access the action in the contract file and export it if necessary.</t>
  </si>
  <si>
    <t>Ensure system can efficiently:
- Identify whether a modification is unilateral or bilateral
- Require vendor approval, coordination, signature or other action in addition to the CO when a modification is bilateral
- Conform the contract
- Report to FPDS
- Access information in the contract file and export it if necessary</t>
  </si>
  <si>
    <t>Activity 33 - Contract Modification and Adjustment; Part A - Modifications and Equitable Adjustments; Task 3(b)(i) (Note--there is no Task 3b)</t>
  </si>
  <si>
    <t>If the proposed change is not forward priced, determine the authority for equitable adjustment.</t>
  </si>
  <si>
    <t>Determination of modification authority</t>
  </si>
  <si>
    <t>CA - 149</t>
  </si>
  <si>
    <t>Enable user to specify the modification authority cited in Block 13.</t>
  </si>
  <si>
    <t>As a CO/CS, I need to be able to cite the proper modification authority so I properly execute a modification in accordance with the applicable modification authority</t>
  </si>
  <si>
    <t>Ensure system can efficiently:
- Enable user to specify modification authority
- Issue modifications</t>
  </si>
  <si>
    <t xml:space="preserve">Activity 33 - Contract Modification and Adjustment; Part A - Modifications and Equitable Adjustments; Task 3(b)(ii) </t>
  </si>
  <si>
    <t xml:space="preserve">Prepare a pre negotiation position. </t>
  </si>
  <si>
    <t xml:space="preserve">Pre-Negotiation Memorandum, combined PNM, or memo to the file
</t>
  </si>
  <si>
    <t>6.2.4
6.6.1</t>
  </si>
  <si>
    <t>CA - 150</t>
  </si>
  <si>
    <t>Enable user to document a pre-negotiation objective by either creating or uploading/importing a pre-negotiation or memo to the file and route it for review and approval if necessary. The system needs to make the action available for viewing in the contract file (Tab 40, Contract Modifications)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</si>
  <si>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be able to document my pre-negotiation position so I can ensure my negotiation results in best value to the government and I may need to collaborate with team members for review or approval. I also need to be able to access the action in the contract file and export it if necessary.</t>
  </si>
  <si>
    <t>Ensure system can efficiently:
- Create or store a pre negotiation memorandum or memo to the file
- Route it to reviewers in the system
- Access information in the contract file and export it if necessary</t>
  </si>
  <si>
    <t xml:space="preserve">Activity 33 - Contract Modification and Adjustment; Part A - Modifications and Equitable Adjustments; Task 3(b)(iii) </t>
  </si>
  <si>
    <t>Negotiate with the contractor</t>
  </si>
  <si>
    <t>Negotiation memorandum, combined negotiation memorandum, or memo to the file</t>
  </si>
  <si>
    <t>CA - 151</t>
  </si>
  <si>
    <t>Enable user to document a pre-negotiation objective by either creating or uploading/importing a negotiation memorandum or memo to the file and route it for review and approval if necessary. The system needs to make the action available for viewing in the contract file (Tab 40, Contract Modifications) and provide the ability to export the data as a web-form or similar structured manner.</t>
  </si>
  <si>
    <t>As an acquisition team member, I need to be able to review and route documents, and depending on the document, may also be required to approve such documents so the CO/CS has what she/he needs to document acquisition decisions. 
As a CO/CS, I need to be able to document the results of my negotiation to comply with the authoritative references. I also need to be able to access the action in the contract file and export it if necessary.</t>
  </si>
  <si>
    <t>Ensure system can efficiently:
- Create/upload/import negotiation memorandum or memo to the file
- Route it for reviews and approvals
- Access information in the contract file and export it if necessary</t>
  </si>
  <si>
    <t xml:space="preserve">Activity 33 - Contract Modification and Adjustment; Part A - Modifications and Equitable Adjustments; Task 3(b)(iv) </t>
  </si>
  <si>
    <t>Prepare a supplemental agreement.</t>
  </si>
  <si>
    <t>Bilateral modification</t>
  </si>
  <si>
    <t>CA - 152</t>
  </si>
  <si>
    <t>Enable user to issue contract modifications on a bilateral basis using a SF 30. Enable user to specify the modification authority in Block 13 (a, b, c or d as appropriate). Prepopulate modifications to the maximum extent practical. The system needs to make the action available for viewing in the contract file (Tab 40, Contract Modifications) and provide the ability to export the data as a web-form or similar structured manner.</t>
  </si>
  <si>
    <t>As a CO/CS, I need to be able to issue bilateral contract modifications and report to FPDS. I need to ensure I have a conformed contract. I also need to be able to access the action in the contract file and export it if necessary.</t>
  </si>
  <si>
    <t xml:space="preserve">Activity 33 - Contract Modification and Adjustment; Part A - Modifications and Equitable Adjustments; Task 4a (Note--there is no Task 4) </t>
  </si>
  <si>
    <t>If no agreement can be reached on the equitable adjustment make a unilateral adjustment.</t>
  </si>
  <si>
    <t>Unilateral modification</t>
  </si>
  <si>
    <t>CA - 153</t>
  </si>
  <si>
    <t>Enable user to issue contract modifications on an unilateral basis using a SF 30. Enable user to specify the modification authority in Block 13 (a, b, c or d as appropriate). Prepopulate modifications to the maximum extent practical. The system needs to make the action available for viewing in the contract file (Tab 40, Contract Modifications) and provide the ability to export the data as a web-form or similar structured manner.</t>
  </si>
  <si>
    <t>As a CO/CS, I need to be able to issue unilateral contract modifications and report to FPDS. I need to ensure I have a conformed contract. I also need to be able to access the action in the contract file and export it if necessary.</t>
  </si>
  <si>
    <t>Activity 33 - Contract Modification and Adjustment; Part A - Modifications and Equitable Adjustments; Task 4b</t>
  </si>
  <si>
    <t>If agreement is reached, modify the contract using a bilateral contract modification</t>
  </si>
  <si>
    <t>CA - 154</t>
  </si>
  <si>
    <t>Enable user to issue contract modifications on a biiateral basis using a SF 30. Enable user to specify the modification authority in Block 13 (a, b, c or d as appropriate). Prepopulate modifications to the maximum extent practical. The system needs to make the action available for viewing in the contract file (Tab 40, Contract Modifications) and provide the ability to export the data as a web-form or similar structured manner.</t>
  </si>
  <si>
    <t>Activity 33 - Contract Modification and Adjustment; Part A - Modifications and Equitable Adjustments; Task 5</t>
  </si>
  <si>
    <t>Modify the contract using a unilateral contract modification.</t>
  </si>
  <si>
    <t>CA - 155</t>
  </si>
  <si>
    <t>Activity 33 - Contract Modification and Adjustment; Part A - Modifications and Equitable Adjustments; Task 6</t>
  </si>
  <si>
    <t xml:space="preserve">Document the contract file. </t>
  </si>
  <si>
    <t>Document contract file with modification and supporting documentation</t>
  </si>
  <si>
    <t>CA - 156</t>
  </si>
  <si>
    <t>The system needs to make the action available for viewing in the contract file (Tab 40, Contract Modifications) and provide the ability to export the data as a web-form or similar structured manner.</t>
  </si>
  <si>
    <t>As a CO/CS, I need to ensure all modifications are documented correctly in the contract file so I create an auditable record of the entire contract life cycle.</t>
  </si>
  <si>
    <t>Ensure system can efficiently:
- Store modifications and their associated documentation in the appropriate contract tab
- Maintain a record of all contract modifications issued against each contract action
- Record all changes made to a contract action in a sequential list or other format
- Create a conformed version of the contract action, current with respect to the most recent modification</t>
  </si>
  <si>
    <t>Activity 33 - Contract Modification and Adjustment; Part B - Extraordinary Contract Adjustments; Task 1</t>
  </si>
  <si>
    <t>Identify officials with authority to grant extraordinary relief.</t>
  </si>
  <si>
    <t>Correct authority to grant relief</t>
  </si>
  <si>
    <t>CA - 157</t>
  </si>
  <si>
    <t xml:space="preserve">Enable a user to identify officials with the authority to grant extraordinary relief. The system needs to make the action available for viewing in the contract file (Tab 40, Contract Modifications) and provide the ability to export the data as a web-form or similar structured manner. </t>
  </si>
  <si>
    <t>As a CO/CS, I need to identify who has the property authority to grant extraordinary relief and document the contract file. I also need to be able to access the action in the contract file and export it if necessary.</t>
  </si>
  <si>
    <t>Ensure the system can efficiently:
- Record the identify of the proper authority to grant extraordinary relief
- Access information in the contract file and export it if necessary</t>
  </si>
  <si>
    <t>Activity 33 - Contract Modification and Adjustment; Part B - Extraordinary Contract Adjustments; Task 2</t>
  </si>
  <si>
    <t>Determine whether the requested relief is within the authority to enter into extraordinary contract actions.</t>
  </si>
  <si>
    <t>Scope of authority</t>
  </si>
  <si>
    <t>CA - 158</t>
  </si>
  <si>
    <t xml:space="preserve">Enable a user to identify the scope of authority.  The system needs to make the action available for viewing in the contract file (Tab 40, Contract Modifications) and provide the ability to export the data as a web-form or similar structured manner. </t>
  </si>
  <si>
    <t>As a CO/CS, I need to the scope of the authority.</t>
  </si>
  <si>
    <t>Ensure the system can efficiently:
- Record the scope of authority
- Access information in the contract file and export it if necessary</t>
  </si>
  <si>
    <t>Activity 33 - Contract Modification and Adjustment; Part B - Extraordinary Contract Adjustments; Task 3</t>
  </si>
  <si>
    <t>If the requested relief is outside the authority to enter into extraordinary contract actions, prepare a Memorandum of Decision denying the contractor’s request</t>
  </si>
  <si>
    <t>Decision memorandum denying request</t>
  </si>
  <si>
    <t>CA - 159</t>
  </si>
  <si>
    <t>Enable a user to create/upload/import a decision memorandum denying the contractor's request for relief. The system needs to make the action available for viewing in the contract file (Tab 40, Contract Modifications) and provide the ability to export the data as a web-form or similar structured manner.</t>
  </si>
  <si>
    <t>As a CO/CS, I need to create/upload/import my decision denying the contractor's request for relief and document the contract file.</t>
  </si>
  <si>
    <t>Ensure the system can efficiently:
- Create/upload/import decision
- Access information in the contract file and export it if necessary</t>
  </si>
  <si>
    <t>Activity 33 - Contract Modification and Adjustment; Part B - Extraordinary Contract Adjustments; Task 4</t>
  </si>
  <si>
    <t xml:space="preserve">If the requested relief is within the limits on authority, ensure that the contractor’s request for contract adjustment includes all required information. </t>
  </si>
  <si>
    <t>Review of request</t>
  </si>
  <si>
    <t>CA - 160</t>
  </si>
  <si>
    <t xml:space="preserve">Enable a user to create/upload/import a review of the contractor's request. The system needs to make the action available for viewing in the contract file (Tab 40, Contract Modifications) and provide the ability to export the data as a web-form or similar structured manner.  </t>
  </si>
  <si>
    <t>As a CO/CS, I need to create/upload/import the results of my review of the contractor's request and document the contract file.</t>
  </si>
  <si>
    <t>Ensure the system can efficiently:
- Create/upload/import review results
- Access information in the contract file and export it if necessary</t>
  </si>
  <si>
    <t>Activity 33 - Contract Modification and Adjustment; Part B - Extraordinary Contract Adjustments; Task 5</t>
  </si>
  <si>
    <t>Investigate the request.</t>
  </si>
  <si>
    <t>Analysis of request</t>
  </si>
  <si>
    <t>CA - 161</t>
  </si>
  <si>
    <t xml:space="preserve">Enable a user to create/upload/import an analysis of the contractor's request. The system needs to make the action available for viewing in the contract file (Tab 40, Contract Modifications) and provide the ability to export the data as a web-form or similar structured manner.  </t>
  </si>
  <si>
    <t>As a CO/CS, I need to create/upload/import my analysis of the contractor's request and document the contract file.</t>
  </si>
  <si>
    <t>Ensure the system can efficiently:
- Create/upload/import analysis
- Access information in the contract file and export it if necessary</t>
  </si>
  <si>
    <t>Activity 33 - Contract Modification and Adjustment; Part B - Extraordinary Contract Adjustments; Task 6</t>
  </si>
  <si>
    <t xml:space="preserve">Determine whether to request the agency head (or designee) to grant relief. </t>
  </si>
  <si>
    <t>Determination of relief</t>
  </si>
  <si>
    <t>CA - 162</t>
  </si>
  <si>
    <t xml:space="preserve">Enable a user to determine whether to request the agency head or designee grant relief. The system needs to make the action available for viewing in the contract file (Tab 40, Contract Modifications) and provide the ability to export the data as a web-form or similar structured manner. </t>
  </si>
  <si>
    <t>As a CO/CS, I need to determine whether to request the agency head or designee grant relief and document the contract file.</t>
  </si>
  <si>
    <t>Ensure the system can efficiently:
- Record determination
- Access information in the contract file and export it if necessary</t>
  </si>
  <si>
    <t>Activity 33 - Contract Modification and Adjustment; Part B - Extraordinary Contract Adjustments; Task 7</t>
  </si>
  <si>
    <t xml:space="preserve">Prepare a Memorandum of Decision approving or denying the request. </t>
  </si>
  <si>
    <t>Decision memorandum</t>
  </si>
  <si>
    <t>CA - 163</t>
  </si>
  <si>
    <t xml:space="preserve">Enable a user to create/upload/import a decision memorandum approving or denying the contractor's request for relief. The system needs to make the action available for viewing in the contract file (Tab 40, Contract Modifications) and provide the ability to export the data as a web-form or similar structured manner. </t>
  </si>
  <si>
    <t>As a CO/CS, I need to create/upload/import my decision approving or denying the contractor's request for relief and document the contract file.</t>
  </si>
  <si>
    <t>Activity 33 - Contract Modification and Adjustment; Part B - Extraordinary Contract Adjustments; Task 8</t>
  </si>
  <si>
    <t>Prepare, execute, and issue the contract action (new contract, amendment without consideration, or contract modification).</t>
  </si>
  <si>
    <t>New contract action, amendment or SF 30</t>
  </si>
  <si>
    <t>CA - 164</t>
  </si>
  <si>
    <t xml:space="preserve">Enable users to create/upload a new contract action, amendment or contract modification using the appropriate form as designated by the user. The system needs to make the action available for viewing in the contract file (Tab 40, Contract Modifications) and provide the ability to export the data as a web-form or similar structured manner. </t>
  </si>
  <si>
    <t xml:space="preserve">As a CO/CS, I need to create/upload a new contract action, amendment or contract modification as appropriate, using the correct form for the circumstance. I also need to be able to access the action in the contract file and export it if necessary. </t>
  </si>
  <si>
    <t>Ensure system can efficiently:
- Create/upload the contract, amendment or modification
- Verify SAM eligibility for new contracts
- Access information in the contract file and export it if necessary</t>
  </si>
  <si>
    <t>Activity 33 - Contract Modification and Adjustment; Part B - Extraordinary Contract Adjustments, Task 9</t>
  </si>
  <si>
    <t xml:space="preserve">Document the file. </t>
  </si>
  <si>
    <t>CA - 165</t>
  </si>
  <si>
    <t xml:space="preserve">The system needs to make the action available for viewing in the appropriate tab of the contract file and provide the ability to export the data as a web-form or similar structured manner. </t>
  </si>
  <si>
    <t xml:space="preserve">As a CO/CS, I need to document the file. </t>
  </si>
  <si>
    <t>Activity 34 - Options; Task 1</t>
  </si>
  <si>
    <t>Determine whether there is an existing need and if so, whether the existing need can be fulfilled by exercising the option.</t>
  </si>
  <si>
    <t>Determination of need</t>
  </si>
  <si>
    <t>CA - 166</t>
  </si>
  <si>
    <t>Enable user to contact the requiring activity to determine if the requiring activity still needs the contracted service or supplies</t>
  </si>
  <si>
    <r>
      <t xml:space="preserve">As an acquisition team member, I need to be able to review and route documents, and depending on the document, may also be required to approve such documents so the CO/CS has what she/he needs to document acquisition decisions. 
</t>
    </r>
    <r>
      <rPr>
        <sz val="10"/>
        <color rgb="FFFF0000"/>
        <rFont val="Arial"/>
      </rPr>
      <t xml:space="preserve">
</t>
    </r>
    <r>
      <rPr>
        <sz val="10"/>
        <color rgb="FF000000"/>
        <rFont val="Arial"/>
      </rPr>
      <t>As a CO/CS, I need to know if my customer still needs the contract so I can determine if an option is the best method of meeting this recurring need</t>
    </r>
  </si>
  <si>
    <t>Ensure system can efficiently:
- Create or upload/import a determination that an option meets an existing need
- Route documents for review and/or approval to team members as necessary.</t>
  </si>
  <si>
    <t>Activity 34 - Options; Task 2</t>
  </si>
  <si>
    <t xml:space="preserve">Provide a written notice to the contractor of the intent to exercise the option. </t>
  </si>
  <si>
    <t>Notice of intent to exercise option</t>
  </si>
  <si>
    <t>6.2.1
6.2.3
6.2.5
6.2.7</t>
  </si>
  <si>
    <t>CA - 167</t>
  </si>
  <si>
    <t xml:space="preserve">Enable a user to create/upload/import a notice of intent to exercise the option in accordance with FAR clause 52.217-9 when included in the contract. The system needs to make the action available for viewing in the contract file (Tab 40, Contract Modifications) and provide the ability to export the data as a web-form or similar structured manner. </t>
  </si>
  <si>
    <t>As a CO/CS, I need to send the vendor a written notice of intent to exercise the option within the time frame indicated in the clause at FAR 52.217-9 is included in the contract so I maintain my unilateral authority to exercise the option</t>
  </si>
  <si>
    <t>Ensure system can efficiently:
- Create/upload/import a written notice of intent to exercise the option
- Record the date the notice was transmitted to the vendor
- Access information in the contract file and export it if necessary</t>
  </si>
  <si>
    <t>Activity 34 - Options; Task 3</t>
  </si>
  <si>
    <t>Determine that funds are available.</t>
  </si>
  <si>
    <t>Availability of funds determination</t>
  </si>
  <si>
    <t>CA - 168</t>
  </si>
  <si>
    <t>Record and report on the availability of certified funds, but will not prevent user from continuing work on contract action in the absence of funding. 
Warn user prior to the award of a contract if funding is not available, but do not prevent user from awarding a contract without funding provided the contract type selected is an IDC, BPA, BOA, BA or other ordering instrument.</t>
  </si>
  <si>
    <t>As a CO/CS, I need to know if certified funding is available so that I do not violate the Anti Deficiency Act by exercising an option without funding. I need to know if certified funding is needed before exercising an option so that I do not delay performance of an ordering instrument (such as an IDC, BPA, BOA, BA etc.) due to a lack of funding.</t>
  </si>
  <si>
    <t>Ensure system can efficiently:
- Validate and report on the availability of funding as a purchase request, MIPR, GSA Form 300, or requisition from Tab 1 of the contract file or the financial system of record
- Generate a warning or other system notification when user attempts to exercise an option without funding, or without sufficient funding
- Override the system warning or notification regarding missing or inadequate funding based on contract type or user input justification</t>
  </si>
  <si>
    <t>Activity 34 - Options; Task 4</t>
  </si>
  <si>
    <t>Determine whether a synopsis is required for the option.</t>
  </si>
  <si>
    <t>Synopsis determination</t>
  </si>
  <si>
    <t>CA - 169</t>
  </si>
  <si>
    <t xml:space="preserve">Record and report on the inclusion of options when the action was synopsized. </t>
  </si>
  <si>
    <t xml:space="preserve">As a CO/CS, I need to confirm that options were included at the time the requirement was synopsized so I can determine that exercising the option is accomplished in accordance with the terms of the contract in the memorandum to the file. </t>
  </si>
  <si>
    <t>Ensure system can efficiently:
- Record validation of synopsis in the memorandum to the file
- Access information in the contract file and export it if necessary</t>
  </si>
  <si>
    <t>Activity 34 - Options; Task 5</t>
  </si>
  <si>
    <t>Determine whether the contractor is responsible and has satisfactory performance.</t>
  </si>
  <si>
    <t>CA - 170</t>
  </si>
  <si>
    <t xml:space="preserve">Capture correspondence from the COR or other end user related to adequacy of vendor performance. The system needs to make the action available for viewing in the appropriate tab of the contract file and provide the ability to export the data as a web-form or similar structured manner. </t>
  </si>
  <si>
    <t>As a CO/CS, I need to ensure  that vendor performance is at least satisfactory so I can  determine whether or not exercising an option is in the governments best interest</t>
  </si>
  <si>
    <t>Ensure system can efficiently:
- Capture COR, PMO or end user correspondence related to vendor performance 
- Access information in the contract file and export it if necessary</t>
  </si>
  <si>
    <t>Activity 34 - Options; Task 6</t>
  </si>
  <si>
    <t>Determine the option price</t>
  </si>
  <si>
    <t>Price determination</t>
  </si>
  <si>
    <t>CA - 171</t>
  </si>
  <si>
    <t xml:space="preserve">Capture price determination and supporting documentation. The system needs to make the action available for viewing in the appropriate tab (Tab 40, Contract Modifications) of the contract file and provide the ability to export the data as a web-form or similar structured manner. </t>
  </si>
  <si>
    <t>As a CO, I need to determine that exercising the option is in the best interest of the government, so I need to accomplish an informal analysis of prices or an examination of the market indicates that the option price is better than prices available in the market or that the option is the more advantageous offer.</t>
  </si>
  <si>
    <t>Ensure system can efficiently:
- Create from a template or upload/import a price analysis
- Access information in the contract file and export it if necessary</t>
  </si>
  <si>
    <t>Activity 34 - Options; Task 7</t>
  </si>
  <si>
    <t>Research market prices for the supplies and services covered by the option</t>
  </si>
  <si>
    <t>CA - 172</t>
  </si>
  <si>
    <t>Ensure system can efficiently:
- Create from a template or upload/import a price analysis 
- Access information in the contract file and export it if necessary</t>
  </si>
  <si>
    <t>Activity 34 - Options; Task 8</t>
  </si>
  <si>
    <t>Prepare a written determination for the contract file.</t>
  </si>
  <si>
    <t>Option determination</t>
  </si>
  <si>
    <t>6.2.3.1
6.2.3.2
6.6.1</t>
  </si>
  <si>
    <t>CA - 173</t>
  </si>
  <si>
    <t xml:space="preserve">Capture written determination to exercise an option. The system needs to make the action available for viewing in the appropriate tab (Tab 40, Contract Modifications) of the contract file and provide the ability to export the data as a web-form or similar structured manner.  </t>
  </si>
  <si>
    <t>As a CO, I need to determine that exercising the option is in the best interest of the government, so I need to accomplish a written determination that indicates that the option is the advantageous method of meeting the government's ongoing need.</t>
  </si>
  <si>
    <t>Ensure system can efficiently:
- Create from a template of upload/import a determination to exercise the option
- Access information in the contract file and export it if necessary</t>
  </si>
  <si>
    <t>Activity 34 - Options; Task 9</t>
  </si>
  <si>
    <t>Exercise the option.</t>
  </si>
  <si>
    <t>Option exercise</t>
  </si>
  <si>
    <t>6.2.7
6.6.1</t>
  </si>
  <si>
    <t>CA - 174</t>
  </si>
  <si>
    <t>Ensure system can efficiently:
- Identify whether a modification is unilateral or bilateral
- Require vendor approval, coordination, signature or other action in addition to the CO when a modification is bilateral
- Report to FPDS
- Access information in the contract file and export it if necessary</t>
  </si>
  <si>
    <t>Activity 43 - Price and Fee Adjustments; Part A - Economic Price Adjustments; Task 1</t>
  </si>
  <si>
    <t>Obtain any data required for economic price adjustment.</t>
  </si>
  <si>
    <t>Receipt of data</t>
  </si>
  <si>
    <t>6.2.3.1</t>
  </si>
  <si>
    <t>CA - 175</t>
  </si>
  <si>
    <t>Enable user to record the prices of the agreed-upon level in published or otherwise established prices of specific items or the contract end items at the time of award, and shall report on changes in prices exceeding a specified threshold or allow user to upload/import updated price information/data when EPA is based on established prices. Enable user to upload/import vendor supplied payroll and/or material receipt data at the time of award and when changes in the cost of labor or materials occur when EPA is based on actual changes in costs. Report on the change in the index used in the contract for EPA beginning from a user specified date, or allow user to upload/import index information when an index is used for EPA. The system needs to make the action available for viewing in the contract file (Tab 40, Contract Modifications) and provide the ability to export the data as a web-form or similar structured manner.</t>
  </si>
  <si>
    <t>As a CO, I need to document changes in the established prices, costs of materials and/or labor, or published indexes change so that I can accomplish an EPA when appropriate in accordance with the terms of the contract.</t>
  </si>
  <si>
    <t>Ensure system can efficiently:
- View or upload/import EPA related changes in established prices, actual costs, or published indexes change
- Specify the established price or index at the time of award to establish the period used for EPA
- Access information in the contract file and export it if necessary</t>
  </si>
  <si>
    <t>Activity 43 - Price and Fee Adjustments; Part A - Economic Price Adjustments; Task 2</t>
  </si>
  <si>
    <t>Verify the information.</t>
  </si>
  <si>
    <t>Verified information</t>
  </si>
  <si>
    <t>CA - 176</t>
  </si>
  <si>
    <t>Activity 43 - Price and Fee Adjustments; Part A - Economic Price Adjustments; Task 3</t>
  </si>
  <si>
    <t xml:space="preserve">Prepare and (when necessary) negotiate the price adjustment for the items covered by the adjustment. </t>
  </si>
  <si>
    <t>Pre Negotiation memorandum or memo to the file</t>
  </si>
  <si>
    <t>6.2.4.1
6.2.4.2
6.2.4.3
6.6.1</t>
  </si>
  <si>
    <t>CA - 177</t>
  </si>
  <si>
    <t>The CWS shall allow user to create from a template or upload/import a PNM that documents the pre-negotiation objectives and results of negotiation , and stores the document in tab 40 of the ECF</t>
  </si>
  <si>
    <t>As an acquisition team member, I need to be able to review and route documents, and depending on the document, may also be required to approve such documents so the CO/CS has what she/he needs to document acquisition decisions. 
As a CO, I need to negotiate EPA when FAR clause 52.216-4 is included in the contract so that I can ensure the adjustment only applies to appropriate items including   labor costs or materials that were obtained following the cost change used as the basis for the EPA.</t>
  </si>
  <si>
    <t>Ensure system can efficiently:
1) document a pre-negotiation objective and negotiation outcome from a template, or upload/import PNM documents and supporting materials
2) route the PNM for review and/or approval among team members
3) Access information in the contract file and export it if necessary</t>
  </si>
  <si>
    <t>Activity 43 - Price and Fee Adjustments; Part A - Economic Price Adjustments; Task 4</t>
  </si>
  <si>
    <t xml:space="preserve">Modify the contract to incorporate the economic price adjustment. </t>
  </si>
  <si>
    <t>CA - 178</t>
  </si>
  <si>
    <t>The CWS shall allow user to record the prices of the agreed-upon level in published or otherwise established prices of specific items or the contract end items at the time of award, and shall report on changes in prices exceeding a specified threshold or allow user to upload/import updated price information/data when EPA is based on established prices
The CWS shall allow user to upload/import vendor supplied payroll and/or material receipt data at the time of award and when changes in the cost of labor or materials occur when EPA is based on actual changes in costs. 
The CWS shall report on the change in the index used in the contract for EPA beginning from a user specified date, or allow user to upload/import index information to tab 40 of the ECF when an index is used for EPA.</t>
  </si>
  <si>
    <t>Ensure system can efficiently:
1) either view or upload/import EPA related changes in established prices, actual costs, or published indexes change
2) specify the established price or index at the time of award to establish the period used for EPA
3) Access information in the contract file and export it if necessary in tab XX
4) Execution of the Mod</t>
  </si>
  <si>
    <t>ACQ.040.040</t>
  </si>
  <si>
    <t>Contract Closeout</t>
  </si>
  <si>
    <t>Document evidence of physical completion; Verify contractor’s final invoice has been submitted; Prepare contract completion statement; De-obligate any remaining funds</t>
  </si>
  <si>
    <t>Activity 51 - Closeout; Task 1</t>
  </si>
  <si>
    <t>Verify that the contract is physically completed</t>
  </si>
  <si>
    <t>Completed review of contract</t>
  </si>
  <si>
    <t>7.1.2
7.1.3
7.3.1</t>
  </si>
  <si>
    <t>CA - 179</t>
  </si>
  <si>
    <t>The CWS shall enable users to verify that the contract is physically completed. The CWS shall enable users to prepare a contract completion statement and document the contract is physically completed. The CWS shall document the contract file (Tab 42, Contract Closeout Documents).</t>
  </si>
  <si>
    <t>As a CO/CS, I need to ensure the contractor has completed all deliveries and/or performed all services and the Government has inspected and accepted these supplies and/or services in order to verify that the contract is physically completed. I will document this review in the contract completion statement that I must prepare. I will also document the contract file.</t>
  </si>
  <si>
    <t>Ensure system can efficiently:
- Verify contract is physically completed
- Create/upload contract completion statement
- Access information in the contract file and export it if necessary tap 42</t>
  </si>
  <si>
    <t>Activity 51 - Closeout; Task 2</t>
  </si>
  <si>
    <t>Verify that documents and clearances required for contract closeout have been received</t>
  </si>
  <si>
    <t>Receipt of documents and clearances</t>
  </si>
  <si>
    <t>CA - 180</t>
  </si>
  <si>
    <t>The CWS shall enable users to verify that documents and clearances required for contract closeout have been received. The CWS shall enable users to document this in the contract completion statement. The CWS shall document the contract file (Tab 42, Contract Closeout Document).</t>
  </si>
  <si>
    <t>As a CO/CS, I need to ensure all documents and clearances required by FAR 4.804-5(a)(1) through (15) have been received. I will document this review in the contract completion statement and document the contract file.</t>
  </si>
  <si>
    <t>Ensure system can efficiently:
- Verify contract is physically completed
- Verify all documents and clearances for closeout have been received
- Document the contract completion statement
- Access information in the contract file and export it if necessary</t>
  </si>
  <si>
    <t>Activity 51 - Closeout; Task 3</t>
  </si>
  <si>
    <t>Confirm that there are no unresolved issues that preclude contract closeout</t>
  </si>
  <si>
    <t>Confirmation that contract is ready to closeout</t>
  </si>
  <si>
    <t>CA - 181</t>
  </si>
  <si>
    <t>The CWS shall enable users to confirm there are no unresolved issues that preclude contract closeout and document this confirmation in the contract completion statement. The CWS shall document the contract file (Tab 42, Contract Closeout Document).</t>
  </si>
  <si>
    <t>As a CO/CS, I need to ensure there are no unresolved issues for each of the documents and clearances required by FAR 4.804-5(a)(1) through (15). I will document this review in the contract completion statement and document the contract file.</t>
  </si>
  <si>
    <t>Ensure system can efficiently:
- Ensure there are no unresolved issues that preclude contract closeout
- Document the contract completion statement
- Access information in the contract file and export it if necessary</t>
  </si>
  <si>
    <t>Activity 51 - Closeout; Task 4</t>
  </si>
  <si>
    <t>If the contract appears to be physically complete, determine if quick-closeout procedures are appropriate</t>
  </si>
  <si>
    <t>Determination if quick closeout procedures are appropriate</t>
  </si>
  <si>
    <t>7.1.1
7.3.1</t>
  </si>
  <si>
    <t>CA - 182</t>
  </si>
  <si>
    <t>The CWS shall enable users to determine if quick closeout procedures are appropriate. The CWS shall document the contract file (Tab 42, Contract Closeout Document).</t>
  </si>
  <si>
    <t>As a CO/CS, I need to perform a risk assessment and determine if quick closeout procedures are appropriate so I comply with the authoritative references. I will need to negotiate the settlement of direct and indirect costs if the contract is physically complete and costs to be allocated are insignificant (less than $1M or 10% of the total contract amount). I will document this review in the contract completion statement and document the contract file.</t>
  </si>
  <si>
    <t>Ensure system can efficiently:
- Use quick closeout procedures if appropriate
- Document the contract completion statement
- Access information in the contract file and export it if necessary</t>
  </si>
  <si>
    <t>Activity 51 - Closeout; Task 5</t>
  </si>
  <si>
    <t xml:space="preserve">If quick-closeout procedures are not appropriate, initiate final payment to or collection of overpayments from the contractor. </t>
  </si>
  <si>
    <t>Payment or Collection</t>
  </si>
  <si>
    <t>CA - 183</t>
  </si>
  <si>
    <t>The CWS shall enable users to initiate final payment to or collection of overpayments from the contractor if quick closeout procedures are not appropriate. The CWS shall document the contract file (Tab 42, Contract Closeout Document).</t>
  </si>
  <si>
    <t>As a CO/CS, I need to initiate final payment to or collection of overpayments from the contractor so I can comply with regulatory or statutory requirements for timely contract closeout. I also need to ensure payments do not negatively impact GSAs accurate and timely financial reporting. I will document payments in the contract completion statement and document the contract file.</t>
  </si>
  <si>
    <t>Ensure system can efficiently:
- Initiate, manage and track final payment to or collection of overpayments from the contractor
- Document the contract completion statement
- Access information in the contract file and export it if necessary</t>
  </si>
  <si>
    <t>Activity 51 - Closeout; Task 6</t>
  </si>
  <si>
    <t>Upon receipt of the contractor’s indirect cost proposal, determine which procedure to use to establish final indirect cost rates</t>
  </si>
  <si>
    <t>Determination of which procedure to use to establish final indirect cost rates</t>
  </si>
  <si>
    <t>CA - 184</t>
  </si>
  <si>
    <t>The CWS shall enable users to document the determination which procedure to use to establish final indirect cost rates. The CWS shall document the contract file (Tab 42, Contract Closeout Document).</t>
  </si>
  <si>
    <t>As a CO/CS, I need to determine which procedure to use to establish final indirect cost rates so I comply with FAR 42.705-1. I will document the procedure in the contract completion statement and document the contract file.
As an auditor, I need to know which procedure the CO/CS used to establish final indirect cost rates so I can conduct an audit in accordance with general accounting standards and report my findings to the CO/CS.</t>
  </si>
  <si>
    <t>WF-1</t>
  </si>
  <si>
    <t>Ensure system can efficiently:
- Document the determination which procedure to use to establish final indirect cost rates
- Document the contract completion statement
- Ensure the auditor has access to what he/she needs to conduct an audit
- Access information in the contract file and export it if necessary</t>
  </si>
  <si>
    <t>Enable a user to create a manual workflow for an action or contract file for review and approval by one or more users or security groups.</t>
  </si>
  <si>
    <t>Users need the ability to create a manual workflow for review and approval by one or more users or security groups so work can continue when the system either isn't able to automate the action or when the action requires unique business rules specific to the circumstance.</t>
  </si>
  <si>
    <t>Ensure system can efficiently:
- Create a manual workflow for review and approval</t>
  </si>
  <si>
    <t>Activity 51 - Closeout; Task 7</t>
  </si>
  <si>
    <t xml:space="preserve">Request an audit of the contractor’s final incurred cost proposal by the Defense Contract Audit Agency (DCAA). </t>
  </si>
  <si>
    <t>CA - 185</t>
  </si>
  <si>
    <t>The CWS shall enable users to request an audit of the contractor's final incurred cost proposal by the DCAA. The CWS shall document the contract file (Tab 42, Contract Closeout Document).</t>
  </si>
  <si>
    <t>As a CO/CS, I need to document my request for a DCAA audit of the contractor's final incurred cost proposal so I provide reasonable assurance that the amounts claimed are not in excess of that
which is properly due the contractor in accordance with the terms of the contract and comply with the authoritative references. I will document the request in the contract completion statement as applicable and document the contract file.
As an auditor, I need to conduct an audit of the contractor's final incurred cost to provide reasonable assurance that the amounts claimed are not in excess of that
which is properly due the contractor in accordance with the terms of the contract and report my findings to the CO/CS.</t>
  </si>
  <si>
    <t>Ensure system can efficiently:
- Create/upload the request for audit
- Document the contract completion statement
- Ensure the auditor has access to what he/she needs to conduct an audit
- Access information in the contract file and export it if necessary</t>
  </si>
  <si>
    <t>Activity 51 - Closeout; Task 8</t>
  </si>
  <si>
    <t>When using the contracting officer determination procedure, the contracting officer must conduct negotiations. Under the auditor determination procedure, the auditor is responsible for seeking agreement on indirect costs with the contractor</t>
  </si>
  <si>
    <t>CO determination - Negotiation memorandum; Audit determination - Agreement on indirect cost</t>
  </si>
  <si>
    <t>WF-2</t>
  </si>
  <si>
    <t>Enable a user to create automated workflows for an action or contract file for review and approval by one or more users or security groups.</t>
  </si>
  <si>
    <t>Users need the ability to create an automated workflow for review and approval by one or more users or security groups to maximize workflow efficiency and comply with the agency's review and approval requirements.</t>
  </si>
  <si>
    <t>CA - 186</t>
  </si>
  <si>
    <t>Ensure system can efficiently:
- Create an automated workflow for review and approval</t>
  </si>
  <si>
    <t>The CWS shall enable users when using the CO determination procedure to establish pre negotiation objectives in preparation for negotiations. The CWS shall enable users to document negotiations and outcomes.  Under the auditor determination procedure, the CWS shall enable users to document the agreement on indirect costs between the auditor and the contractor.  The CWS shall document the contract file (Tab 42, Contract Closeout Document).</t>
  </si>
  <si>
    <t>As a CO/CS, and if using the CO determination procedures, I need to establish my negotiation objectives in my pre negotiation memorandum, conduct final indirect cost rate negotiations, and document the outcomes. If using the auditor determination procedures, I need to request an audit from the cognizant auditor of the rates so I comply with the authoritative references. I need to document the contract completion statement and document the contract file.
As an auditor, under the auditor determination procedures, I need to conduct an audit of the rates in accordance with general accounting standards and report my findings to the CO/CS.</t>
  </si>
  <si>
    <t>Ensure system can efficiently:
- Create/upload the pre negotiation and negotiation memoranda or the audit request and results, as appropriate
- Document the contract completion statement
- Ensure the auditor has access to what he/she needs to conduct an audit
- Access information in the contract file and export it if necessary</t>
  </si>
  <si>
    <t>WF-3</t>
  </si>
  <si>
    <t>Enable a user to initiate multiple workflows per action.</t>
  </si>
  <si>
    <t>Users need the ability to initiate multiple workflows per action to maximize workflow efficiency and minimize cycle time.</t>
  </si>
  <si>
    <t>Ensure system can efficiently:
- Initiate multiple workflows</t>
  </si>
  <si>
    <t>Activity 51 - Closeout; Task 9</t>
  </si>
  <si>
    <t>If using the contracting officer officer determination procedure, prepare a written indirect cost rate agreement. Under the auditor determination procedure, the auditor is responsible for preparing the written indirect cost rate agreement</t>
  </si>
  <si>
    <t>Indirect cost rate agreement</t>
  </si>
  <si>
    <t>WF-4</t>
  </si>
  <si>
    <t>When a user initiates multiple workflows, ensure that only one workflow includes the task to approve and digitally sign an action.</t>
  </si>
  <si>
    <t>The system needs to ensure that only one workflow includes the task to approve and sign an action so that duplicate approvals do not occur.</t>
  </si>
  <si>
    <t>Ensure system can efficiently:
- Ensure one workflow includes the task to approve and sign an action</t>
  </si>
  <si>
    <t>WF-5</t>
  </si>
  <si>
    <t>CA - 187</t>
  </si>
  <si>
    <t>The CWS shall enable users when using the CO determination procedure to document the agreement of indirect cost rates. Under the auditor determination procedure, the CWS shall enable users to document the written indirect cost rate agreement.  The CWS shall document the contract file (Tab 42, Contract Closeout Document).</t>
  </si>
  <si>
    <t>Enable an authorized user to create standard process models.</t>
  </si>
  <si>
    <t>Authorized users need the ability to create standard process models for acquisition actions to maximize workflow efficiency.</t>
  </si>
  <si>
    <t>As a CO/CS, and if using the CO determination procedures, I need to document the written indirect cost rate agreement. If using the auditor determination procedures, I need to document the written agreement between the auditor and the contractor. I need to document the contract completion statement and document the contract file.
As an auditor, under the auditor determination procedures, I need to give the CO/CS the written indirect cost agreement.</t>
  </si>
  <si>
    <t>Ensure system can efficiently:
- Create standard process models for various acquisition actions</t>
  </si>
  <si>
    <t>Ensure system can efficiently:
- Create/upload the written indirect cost rate agreement, as appropriate
- Document the contract completion statement
- Ensure the auditor has access to what he/she needs to conduct an audit
- Access information in the contract file and export it if necessary</t>
  </si>
  <si>
    <t>WF-6</t>
  </si>
  <si>
    <t>Enable an authorized user to create workflow business rules.</t>
  </si>
  <si>
    <t>Authorized users need the ability to create workflow business rules to fit the action and maximize consistency and efficiency.</t>
  </si>
  <si>
    <t>Ensure system can efficiently:
- Create workflow business rules</t>
  </si>
  <si>
    <t>Activity 51 - Closeout; Task 10</t>
  </si>
  <si>
    <t>When using the contracting officer determination procedure, prepare a negotiation memorandum</t>
  </si>
  <si>
    <t>WF-7</t>
  </si>
  <si>
    <t>Enable an authorized user to create system workflow components.</t>
  </si>
  <si>
    <t>Authorized users need the ability to create system workflow components  to fit the action and maximize consistency and efficiency.</t>
  </si>
  <si>
    <t xml:space="preserve">Ensure system can efficiently:
- Create system workflow components </t>
  </si>
  <si>
    <t>WF-8</t>
  </si>
  <si>
    <t>CA - 188</t>
  </si>
  <si>
    <t>Enable a user to reference administrator-established workflow models, business rules and components during workflow creation.</t>
  </si>
  <si>
    <t>The CWS shall enable users when using the CO determination procedure to establish pre negotiation objectives in preparation for negotiations. The CWS shall enable users to document negotiations and outcomes.  The CWS shall document the contract file (Tab 42, Contract Closeout Document).</t>
  </si>
  <si>
    <t>Users need the ability to use administrator-established workflow models, business processes and components during workflow creation to fit the action and maximize consistency and efficiency.</t>
  </si>
  <si>
    <t>Ensure system can efficiently:
- Enable users to use administrator-established workflow models, business processes and components during workflow creation</t>
  </si>
  <si>
    <t>As a CO/CS, and if using the CO determination procedures, I need to establish my negotiation objectives in my pre negotiation memorandum, conduct final indirect cost rate negotiations, and document the outcomes.  I need to document the contract completion statement and document the contract file.</t>
  </si>
  <si>
    <t>Ensure system can efficiently:
- Create/upload the pre negotiation and negotiation memorandum 
- Document the contract completion statement
- Access information in the contract file and export it if necessary</t>
  </si>
  <si>
    <t>WF-9</t>
  </si>
  <si>
    <t>Enable a user to include one or more tasks within each workflow.</t>
  </si>
  <si>
    <t>Users need to include or or more tasks within each workflow in order to efficiently complete an action.</t>
  </si>
  <si>
    <t>Ensure system  can efficiently:
- Enable users to include one or more tasks within each workflow</t>
  </si>
  <si>
    <t>Activity 51 - Closeout; Task 11</t>
  </si>
  <si>
    <t>In the event that—under the auditor determination procedure—the auditor is unable to reach agreement on final indirect costs with the contractor, upon receipt of audit report, resolve any disagreements between contractor and auditor.</t>
  </si>
  <si>
    <t>Resolution of disagreements and document the file</t>
  </si>
  <si>
    <t>WF-10</t>
  </si>
  <si>
    <t>Ensure that a workflow task includes, at a minimum, the following data: identification of a responsible user or group, task or action, and due date.</t>
  </si>
  <si>
    <t>Workflow tasks need to identify what the task is, who is responsible for it, and when the task is due so there is clear understanding of the needed action.</t>
  </si>
  <si>
    <t>Ensure system can efficiently:
- Identify the task to be completed, who the task is assigned to, and when the task is due</t>
  </si>
  <si>
    <t>WF-11</t>
  </si>
  <si>
    <t>CA - 189</t>
  </si>
  <si>
    <t>Enable a user to establish one or more escalation rules for a given task.</t>
  </si>
  <si>
    <t>The CWS shall enable users to document the resolution of any disagreements between the contractor and auditor under the auditor determination procedure. The CWS shall document the contract file (Tab 42, Contract Closeout Document).</t>
  </si>
  <si>
    <t>Users need to establish one or more escalation rules for any given task so workflow is not impeded.</t>
  </si>
  <si>
    <t>Ensure system can efficiently:
- Establish one or more escalation rules</t>
  </si>
  <si>
    <t>As a CO/CS, I need to document the resolution of any disagreements between the contractor and auditor under the audit determination procedure. I need to document the contract completion statement and document the contract file.</t>
  </si>
  <si>
    <t>Ensure system can efficiently:
- Create/upload the resolution of any disagreements between the contractor and auditor 
- Document the contract completion statement
- Access information in the contract file and export it if necessary</t>
  </si>
  <si>
    <t>WF-12</t>
  </si>
  <si>
    <t>Activity 51 - Closeout; Task 12</t>
  </si>
  <si>
    <t>Enable an authorized user to establish one or more exception rules for a given task.</t>
  </si>
  <si>
    <t>Promptly distribute resulting documents</t>
  </si>
  <si>
    <t>Authorized users need the ability to establish one or more exceptions rules for a given task so workflow is not impeded or unusual circumstances warrant an exception</t>
  </si>
  <si>
    <t>Document distribution</t>
  </si>
  <si>
    <t>Ensure system can efficiently:
- Establish one or more exceptions</t>
  </si>
  <si>
    <t>WF-13</t>
  </si>
  <si>
    <t>Enable the user to identify one or more events that trigger task completion.</t>
  </si>
  <si>
    <t>Users need to identify one or more events that trigger task completion so work can be flagged as completed.</t>
  </si>
  <si>
    <t>Ensure system can efficiently:
- Identify one or more events that trigger task completion</t>
  </si>
  <si>
    <t>WF-14</t>
  </si>
  <si>
    <t>CA - 190</t>
  </si>
  <si>
    <t>The CWS shall enable users to distribute closeout documents.  The CWS shall document the contract file (Tab 42, Contract Closeout Document).</t>
  </si>
  <si>
    <t>When all the events that trigger task completion are recorded as having occurred, flag the requisite task as completed and record the completion date.</t>
  </si>
  <si>
    <t>As a CO/CS, I need to document the contract completion statement, distribute it as appropriate and document the contract file.</t>
  </si>
  <si>
    <t>Completed tasks shall be flagged as completed when all the events that trigger task completion have been completed. The system shall also record the completion date.</t>
  </si>
  <si>
    <t>Ensure system can efficiently:
- Document the contract completion statement 
- Route contract closeout documents as appropriate
- Access information in the contract file and export it if necessary</t>
  </si>
  <si>
    <t>Ensure system can efficiently:
- Flag task completion
- Record completion date</t>
  </si>
  <si>
    <t>WF-15</t>
  </si>
  <si>
    <t>When a task completion date is recorded, calculate task duration and enable metric dashboards.</t>
  </si>
  <si>
    <t>When a task is completed the system shall calculation the task duration so that cycle time can be measured and reported.</t>
  </si>
  <si>
    <t>Ensure system can efficiently:
- Calculate task duration
- Provide dashboards and reports on cycle time</t>
  </si>
  <si>
    <t>Activity 51 - Closeout; Task 13</t>
  </si>
  <si>
    <t>When using the contracting officer determination procedure, notify the contractor of the individual costs which were considered unallowable and the respective amounts of the disallowance.</t>
  </si>
  <si>
    <t>WF-16</t>
  </si>
  <si>
    <t>Enable a user to identify workflow tasks as mandatory, optional, or informational.</t>
  </si>
  <si>
    <t>Users need to identify workflow tasks as mandatory, optional or informational so that the recipient understands what is expected of them.</t>
  </si>
  <si>
    <t>Ensure system can efficiently:
- Identify workflow tasks as mandatory, optional or informational</t>
  </si>
  <si>
    <t>WF-17</t>
  </si>
  <si>
    <t>CA - 191</t>
  </si>
  <si>
    <t>Enable a user to create a workflow that includes sequential or parallel tasks.</t>
  </si>
  <si>
    <t>The CWS shall enable users when using the CO determination procedure to notify the contractor of the individual costs which were considered unallowable and the respective amounts of the disallowance. The CWS shall document the contract file (Tab 42, Contract Closeout Document).</t>
  </si>
  <si>
    <t>Users need to create a workflow that includes sequential or parallel tasks to fit the action and maximize consistency and efficiency.</t>
  </si>
  <si>
    <t>As a CO/CS, and if using the CO determination procedures, I need to notify the contractor of the individual costs which were considered unallowable and the respective amounts of the disallowance so that I can settle the amounts and closeout the contract timely. I need to document the contract completion statement and document the contract file.</t>
  </si>
  <si>
    <t>Ensure system can efficiently:
- Create a workflow that includes sequential or parallel tasks</t>
  </si>
  <si>
    <t>Ensure system can efficiently:
- Create/upload the notice to the contractor 
- Document the contract completion statement
- Access information in the contract file and export it if necessary</t>
  </si>
  <si>
    <t>Activity 51 - Closeout; Task 14</t>
  </si>
  <si>
    <t>Ensure that the contractor submits a completion invoice or voucher reflecting the settled amounts and rates within 120 days—or longer period, if approved in writing by the contracting officer—after settlement of the final annual indirect cost rates for all years of a physically complete contract.</t>
  </si>
  <si>
    <t>Completion invoice/voucher</t>
  </si>
  <si>
    <t>WF-18</t>
  </si>
  <si>
    <t xml:space="preserve">Deliver an integrated workflow management capability to automate routing of actions for review and approvals. </t>
  </si>
  <si>
    <t xml:space="preserve">As an acquisition team member, I need to receive and send data in a variety of forms and media in order to review them and provide my input. Depending on the data, type of contract, dollar value of the action, or other reason, I may need to concur or approve them. I may also need to route the data to additional team members for their review, input, concurrence or approval and in doing so, need the ability to configure the routing both on a one-time and routine basis. I may need to recall routing when the recipient is absent and redirect the action accordingly. In my absence, I need to be able to delegate actions that are routed to me to a designee so work can continue.
As a CO/CS, I need to create/upload/import and send data in a variety of forms and media in each acquisition life cycle phase to plan, solicit, evaluate, award, administer and close out contract or task/delivery orders. I need to route data to selected acquisition team members for their review and action and need the ability to configure the routing both on a one-time and routine basis. I may need to recall routing when the recipient is absent and redirect the data accordingly. Depending on the action, I may need to concur or approve them. I also need to ensure the data gets "filed" in the appropriate tab of the official contract file. </t>
  </si>
  <si>
    <t>Ensure system can efficiently:
- Deliver an integrated workflow management capability
- Automate routing
- Receive and send data
- Review, edit, concur, reject or approve actions
- Configure routing both on a one-time and routine basis
- Recall routing and redirect routing as necessary
- Create and send data
- Record data in the official contract file</t>
  </si>
  <si>
    <t>WF-19</t>
  </si>
  <si>
    <t>Enable users to create, revise and delete distribution lists.</t>
  </si>
  <si>
    <t xml:space="preserve">As a users, I need to distribute actions to a variety of individuals throughout the acquisition life cycle depending on the action, dollar value, and authoritative reference. The system needs to enable users to create, revise and delete distribution lists to help process actions more efficiently. The system needs to enable users to create standard distribution lists both on a one-time and routine basis, modify them for a particular action or permanently, and create ad-hoc distribution lists. </t>
  </si>
  <si>
    <t>Ensure system can efficiently:
- Create distribution lists on a one-time and routine basis
- Revise distribution lists
- Delete distribution lists</t>
  </si>
  <si>
    <t>CA - 192</t>
  </si>
  <si>
    <t>The CWS shall enable users to receive the contractor's completion invoice or voucher reflecting the settled amounts and rates within 120 days--or longer if approved by the CO--after settlement of the final annual indirect cost rates for all years of a physically complete contract. The CWS shall document the contract file (Tab 42, Contract Closeout Document).</t>
  </si>
  <si>
    <t>As a CO/CS, I need to document the receipt of the contractor's completion invoice/voucher reflecting the settled amounts and rates within 120 days (or longer if I approve) after settlement of the final annual indirect cost rates for all years of a physically complete contract so that I can closeout the contract timely. I need to document the contract completion statement and document the contract file.</t>
  </si>
  <si>
    <t>Ensure system can efficiently:
- Create/upload the receipt of the invoice/voucher 
- Document the contract completion statement
- Access information in the contract file and export it if necessary</t>
  </si>
  <si>
    <t>WF-20</t>
  </si>
  <si>
    <t xml:space="preserve">Enable the CO to identify acquisition team members and establish roles and responsibilities and make revisions thereto. Enable acquisition team members to collaborate at the same time on an action. Enable users to route, review, revise, concur and/or approve actions in a secure manner. Log actions to create and maintain an audit trail. </t>
  </si>
  <si>
    <t>As an acquisition team member, I need to be able to collaborate on the acquisition and provide my input for consideration. Collaboration activities include reviewing, revising, concurring, approving, and rejecting actions at all stages of the acquisition life cycle. 
As a CO/CS, I need to identify acquisition team members and their roles and responsibilities, as well as their permissions related to acquisition actions. I need to be able to add/remove acquisition team members, alter roles and responsibilities, and alter permissions if necessary. I need the CWS to log actions to create and maintain an audit trail for the contract file.</t>
  </si>
  <si>
    <t>Ensure system can efficiently:
- Enable CO to identify acquisition team members, set roles and responsibilities and permissions and make revisions thereto
- Enable collaboration among the acquisition team
- Log actions to create and maintain an audit trail</t>
  </si>
  <si>
    <t>Activity 51 - Closeout; Task 15</t>
  </si>
  <si>
    <t>Deobligate excess funds by executing a bilateral Standard Form (SF) 30.</t>
  </si>
  <si>
    <t>SF 30</t>
  </si>
  <si>
    <t>WF-21</t>
  </si>
  <si>
    <t>Enable multiple approval processes including single user approvals, multiple user approvals, group approvals where all reviewers must approve and those where a single approver (e.g. first response) from a group may approve. Enable the mixing of those types of approval steps within a single overall process.</t>
  </si>
  <si>
    <t>Approval of acquisition actions are dependent on the circumstances of the specific action and as such, the system must support a variety of approval processes including single user approvals, multiple user approvals, and group approvals so that the appropriate approvals are secured to ensure proper oversight of acquisitions. The user needs to be able to configure the approval process to the acquisition action unless otherwise designated by the authoritative reference.</t>
  </si>
  <si>
    <t>Ensure system can efficiently:
- Establish approval processes that include single user approvals, multiple user approvals, and/or group approvals as appropriate</t>
  </si>
  <si>
    <t>CA - 193</t>
  </si>
  <si>
    <t>The CWS shall enable users to document the deobligation of excess funds in the financial system of records. The CWS shall also enable users to create/upload a contract modification using the Standard Form 30, complete the form's contents, verify SAM eligibility, and send the form to the contractor for his/her signature. The CWS shall also enable the contractor to return the signed document to the CO. The CWS shall enable the CO to verify SAM eligibility right before executing the modification. The CWS shall document the contract file (Tab 42, Contract Closeout Document).</t>
  </si>
  <si>
    <t xml:space="preserve">As a CO/CS, I need to deobligate excess funds in the financial system of record. I also need to create/upload a contract modification recording the deobligation for bilateral execution between the contractor and the CO. I need to be able to verify SAM eligibility of the mod, just prior to sending it to the contractor and once again just prior to CO execution of the modification. I also need to be able to access the action in the contract file and export it if necessary. </t>
  </si>
  <si>
    <t>Ensure system can efficiently:
- Deobligate excess funds
- Create/upload contract modification for bilateral execution
- Verify SAM eligibility
- Access information in the contract file and export it if necessary</t>
  </si>
  <si>
    <t>WF-22</t>
  </si>
  <si>
    <t xml:space="preserve">Enable workflow processes that are either predefined and strictly enforced (i.e. locked down) and/or fully configurable by the user on an ad-hoc basis based on the specific business process requirement.  Enable the creation of templates that are configurable unless otherwise designated by FAS. </t>
  </si>
  <si>
    <t xml:space="preserve">Workflow processes are dependent on the circumstances of the specific action and as such, the system must support a variety of processes that are either predefined and strictly enforced (i.e., locked down such as when acquisitions require the Head of the Contracting Activity or Senior Procurement Executive signatures) and/or fully configurable by the user on an ad-hoc basis. The system shall support the creation, use, and configurability of templates to enable data to be captured in a structured format to enable consistency across the organization unless otherwise designated by FAS. The system shall pre populate templates to the maximum extent practicable with data existing in the system to minimize data entry errors and increase efficiency. </t>
  </si>
  <si>
    <t>Ensure system can efficiently:
- Enable workflow processes that are predefined and required for specific business processes
- Enable ad-hoc workflow processes as needed for other business processes
- Enable workflow processes that vary by region/office/portfolio specific use cases
- Support the creation, use and configurability of templates
- pre populate templates</t>
  </si>
  <si>
    <t>Activity 51 - Closeout; Task 16</t>
  </si>
  <si>
    <t>Prepare a contract completion statement.</t>
  </si>
  <si>
    <t>Contract completion statement</t>
  </si>
  <si>
    <t>WF-23</t>
  </si>
  <si>
    <t>Support multiple types of digital and manual signatures, i.e unilateral (one signature), bilaterial (two signatures), and multi-lateral (multiple signatories), or just review (capturing approval, but no watermark) including digital signature capability (for hash and watermark) consistent with Digital/Electronic Signatures tab.</t>
  </si>
  <si>
    <t>Users need to sign a variety of actions consistent with their roles and permissions to comply with authoritative references. In the event digital signatures are not possible, users need the ability to manually sign actions.</t>
  </si>
  <si>
    <t>Ensure system can efficiently:
- Enable workflow processes that support digital signatures by one or more parties as appropriate
- Digitally sign actions
- Support manual signature actions</t>
  </si>
  <si>
    <t>7.2
7.3.1</t>
  </si>
  <si>
    <t>CA - 194</t>
  </si>
  <si>
    <t>The CWS shall enable users to create/upload a contract completion statement. The CWS shall document the contract file (Tab 42, Contract Closeout Document).</t>
  </si>
  <si>
    <t xml:space="preserve">As a CO/CS, I need to prepare a contract completion statement that addresses all the elements required by the authoritative references. I also need to be able to access the action in the contract file and export it if necessary. </t>
  </si>
  <si>
    <t>Ensure system can efficiently:
- Create/upload a contract completion statement
- Access information in the contract file and export it if necessary</t>
  </si>
  <si>
    <t>WF-24</t>
  </si>
  <si>
    <t xml:space="preserve">Allow multiple types of approval for individual workflow process steps, including at least system recordation of user acceptance (UI button click) and digital signature applied to actions.
</t>
  </si>
  <si>
    <t>Users need to establish workflow processes that include approval types appropriate to the business process, including digitally signing contracts and other actions to comply with authoritative references.</t>
  </si>
  <si>
    <t>Ensure system can efficiently:
- Enable workflow processes that include approval types that use digital signatures on actions
- Enable workflow processes that have approval types that are system recordation of approval</t>
  </si>
  <si>
    <t>Activity 51 - Closeout; Task 17</t>
  </si>
  <si>
    <t>Ensure that contractor performance evaluations have been submitted into the Contractor Performance Assessment Reporting System (CPARS).</t>
  </si>
  <si>
    <t>7.2.2
7.3.1</t>
  </si>
  <si>
    <t>WF-25</t>
  </si>
  <si>
    <t xml:space="preserve">Track changes suggested by reviewers and allow the originator to approve/reject suggested changes.  </t>
  </si>
  <si>
    <t xml:space="preserve">The system needs to be able to track version control and restore previous versions if necessary.
Users need to see the comments, revisions, or changes they make for the originator's consideration.
The originator needs to be able to review, approve or reject suggested changes on actions. </t>
  </si>
  <si>
    <t>CA - 195</t>
  </si>
  <si>
    <t>Ensure system can efficiently:
- Track changes and versions
- Restore previous versions
- Enable users to see comments, revisions or changes made
- Enable originator to review, approve or reject suggested changes</t>
  </si>
  <si>
    <t>The CWS shall enable users to ensure contractor performance evaluations have been submitted into CPARS. The CWS shall document the contract file (Tab 42, Contract Closeout Document).</t>
  </si>
  <si>
    <t xml:space="preserve">As a CO/CS, I need to ensure contractor performance evaluations have been submitted into CPARS so I comply with the authoritative references. I also need to be able to access the action in the contract file and export it if necessary. </t>
  </si>
  <si>
    <t>Ensure system can efficiently:
- Ensure CPAR evaluations are submitted
- Access information in the contract file and export it if necessary</t>
  </si>
  <si>
    <t>WF-26</t>
  </si>
  <si>
    <t xml:space="preserve">Track and resend the approved/rejected changes to one or more reviewers/approvers as designated  </t>
  </si>
  <si>
    <t xml:space="preserve">As the action originator, I need to be able to approve or reject suggested changes. I need to resend the approved/rejected revisions to one or more reviewers/approvers as I designate.  I also need to be able to track action versions and restore previous versions if necessary. </t>
  </si>
  <si>
    <t>Ensure system can efficiently:
- Enable review and revision of actions
- Track changes and versions
- Accept changes/revisions
- Resend approved/rejected revision to one or more reviewers/approvers as designated</t>
  </si>
  <si>
    <t>WF-27</t>
  </si>
  <si>
    <t>Prompt approval steps for reviewers/approvers who are not regular system users when necessary.</t>
  </si>
  <si>
    <t>As a reviewer/approver, I will require access to the system in order to review and approve actions in order to comply with authoritative references. Because of my role, I may not be a regular user of the system and may need help with reviewing/approving actions so I need the system to prompt the approval steps I need to follow when necessary.</t>
  </si>
  <si>
    <t>Ensure system can efficiently:
- Guide users through the approval processes
- Review and approve action</t>
  </si>
  <si>
    <t>Activity 51 - Closeout; Task 18</t>
  </si>
  <si>
    <t>Dispose of the contract file.</t>
  </si>
  <si>
    <t>File disposition</t>
  </si>
  <si>
    <t>WF-28</t>
  </si>
  <si>
    <t>Support review/approval reassignment and delegates.</t>
  </si>
  <si>
    <t>As a reviewer/approver, I need to reassign work or delegate work in the event of short or long-term periods of unavailability and notify both the originator and new recipient of such reassignments/ delegates so that work continues unimpeded.
As the originator or the CO/CS, I need to know when work gets reassigned/delegated and to whom. I also need the ability to recall work and redirect it as designated so that work continues unimpeded.</t>
  </si>
  <si>
    <t>Ensure system can efficiently:
- Reassign/delegate work for short or long-term periods of unavailability
- Notify the originator and new recipient of such reassignments/delegates
- Permit the originator to recall and redirect work as designated</t>
  </si>
  <si>
    <t>WF-29</t>
  </si>
  <si>
    <t xml:space="preserve">Enable the restriction of reassignment and/or delegation of approval requests as required for different business processes. </t>
  </si>
  <si>
    <t>As a reviewer/approver, I need to ensure if I need to reassign/delegate actions that such reassignment/delegation is restricted to internal agency email addresses. I also need to be able to restrict reassignments/ delegates for different business processes - for example, if I am the Head of the Contracting Activity and something requires my signature alone (i.e., it is not delegable), the system needs to restrict such reassignment/delegations. 
As the originator or CO/CS, I need to know when such restrictions occur and by whom so I can ensure work continues unimpeded. I need the ability to recall and redirect the work as needed.</t>
  </si>
  <si>
    <t>Ensure system can efficiently:
- Restrict reassignment/delegations based on need/different business processes
- Notify the action originator of any restrictions and by whom
- Permit the action originator to recall and redirect work as designated</t>
  </si>
  <si>
    <t>7.3.2</t>
  </si>
  <si>
    <t>CA - 196</t>
  </si>
  <si>
    <t xml:space="preserve">The CWS shall enable users to dispose of the contract file. </t>
  </si>
  <si>
    <t>As a CO/CS, I need properly dispose of the contract file so I comply with the authoritative references and the National Archives and Records Administration (NARA) General Records Schedule 1.1, Financial Management and Reporting Records.</t>
  </si>
  <si>
    <t>Ensure system can efficiently:
- Properly dispose of the contract file</t>
  </si>
  <si>
    <t>WF-30</t>
  </si>
  <si>
    <t>Enable the management of approval process including timeframes, notifications, reminders, and reassignments.</t>
  </si>
  <si>
    <t>As the originator, I need to ensure reviewers/approvers know when actions are due so work continues unimpeded. I need the system to provide daily reminders and updates for work in queue or in process along with the due date and who to contact for additional information. I need to be able to run a report that identifies work in process, to whom it is assigned, the due date, and what work is overdue.
As a manager, I need to be able to run a report that identifies, by originator, work in process, to whom it is assigned, the due date, and what work is overdue.</t>
  </si>
  <si>
    <t>Ensure system can efficiently:
- Manage the review and approval process including timeframes, notifications, reminders and reassignments
- Run a report as denoted</t>
  </si>
  <si>
    <t>WF-31</t>
  </si>
  <si>
    <t>Enable system actions to occur for both successful and unsuccessful approval processes (e.g. post related actions to the contract file, return an action status to back to draft, etc).</t>
  </si>
  <si>
    <t xml:space="preserve">As the originator or CO/CS, I need the system to perform actions for both successful and unsuccessful approval processes. Approved actions shall be automatically filed in the appropriate tab of the contract for the action being approved and be retrievable as a historical record. Unapproved actions will require the system to reset the action to draft so corrections can be made and rerouted.  </t>
  </si>
  <si>
    <t>Ensure system can efficiently:
- Automatically file approved actions in the appropriate tab of the contract for the action being approved
- Retrieve approved actions from the contract file
- Configure additional actions to be performed at conclusion of successful and unsuccessful approval processes (e.g. launch new workflow/approval processes, update system data, provide notifications, etc.) 
- Reset the action to draft for unapproved actions</t>
  </si>
  <si>
    <t>ACQ.040.050</t>
  </si>
  <si>
    <t>Earned Value Management</t>
  </si>
  <si>
    <t>Perform earned value management to track program execution and risk</t>
  </si>
  <si>
    <t>WF-32</t>
  </si>
  <si>
    <t xml:space="preserve">Minimize the necessity for data entry during transaction processing. Data should be entered once and shared throughout the system and across acquisition lifecycles. The system shall replicate data to minimize data entry in order to support the federal government acquisition life cycle from requirement definition to contract close-out and record archives. </t>
  </si>
  <si>
    <t>All roles: I need the system to replicate data to minimize data entry and improve data quality of actions as they move through its life cycle.</t>
  </si>
  <si>
    <t>Ensure system can efficiently:
- Replicate data (reuse and map existing stored data fields into subsequent processes)
- Minimize data entry
- Improve data quality and consistency</t>
  </si>
  <si>
    <t>WF-33</t>
  </si>
  <si>
    <t>Provide workflow configuration functionality to support business processes unique to a portfolio.</t>
  </si>
  <si>
    <t>All roles: I need to ensure the workflow supports my program's business processes but at the same time, keep with the intent of an enterprise-wide system. I may need to configure workflow to assign, route, review, and approve work based on a preset list or as designated.</t>
  </si>
  <si>
    <t>Ensure system can efficiently:
- Configure workflow to meet program needs while keeping with the overall intent of an enterprise-wide system
- Designate workflow based on a preset list or as designated</t>
  </si>
  <si>
    <t>WF-34</t>
  </si>
  <si>
    <t>CA - 197</t>
  </si>
  <si>
    <t>Provide review and approval configuration functionality to support processes unique to a portfolio.</t>
  </si>
  <si>
    <t>All roles: I need to ensure the approval workflow supports by program's business processes but at the same time, keep with the intent of an enterprise-wide system. I may need to configure approval workflow to assign, route, review and approve work based on a preset list or as designated.</t>
  </si>
  <si>
    <t>If the acquisition is subject to Earned Value Management (EVM) System requirements, the CWS shall enable users to ensure there is an approved acquisition plan (filed in Tab 3, Acquisition Strategy), adequate funding (Tab 1, Procurement Request/Funding Certification), the work statement includes a contract work structure and requirements include a performance schedule (Tab 2, Describing Agency Needs), and the solicitation requires the submission of monthly EVM reports (Tab 10, RFP/RFQ and Amendments). The CWS shall document the contract file.</t>
  </si>
  <si>
    <t>Ensure system can efficiently:
- Configure approval workflow to meet program needs while keeping with the overall intent of an enterprise-wide system
- Designate approval workflow based on a preset list or as designated</t>
  </si>
  <si>
    <t>As a CO/CS, I need to ensure I comply with the authoritative references on acquisitions subject to Earned Value Management System requirements so I can preclude possible problems or concerns during the project. I also need to be able to access the action in the contract file and export it if necessary.</t>
  </si>
  <si>
    <t>Ensure system can efficiently:
- - Access information in the contract file and export it if necessary with all the required elements of EVM</t>
  </si>
  <si>
    <t>WF-35</t>
  </si>
  <si>
    <t>Provide the status of work-in-process through the acquisition life cycle.</t>
  </si>
  <si>
    <t>All roles: I need to be aware of the status of work in process throughout the acquisition life cycle so I can participate in the timely award and administration of contracts. I need to know what my workload is, what has been completed, what is in process, and what needs to be completed so that I manage my workload appropriately and report out to managers.  I need the ability to configure what data I'd like to see both on a routine and ad-hoc basis.
As a manager, I need to have complete visibility into my unit's workflow. I need the information at all levels (e.g., CO/CS, branch, division, center, office, etc.). The information needed includes, but is not limited to, what work is assigned, when it was assigned, to whom it was assigned, the progress of the work, the number of days the work has been in progress, etc.  I need the ability to configure what data I'd like to see both on a routine and ad-hoc basis.
As FAS, I need to have complete visibility into my organization's workflow and be able to review reports at all levels as specified above.  I need the ability to configure what data I'd like to see both on a routine and ad-hoc basis.</t>
  </si>
  <si>
    <t>Ensure system can efficiently:
- Enable workflow management and status of work in progress at all levels
- Provide workload metrics
- Display configurable dashboards to view data
- Run reports to provide information as denoted</t>
  </si>
  <si>
    <t>WF-36</t>
  </si>
  <si>
    <t>Capture and report the routing, review, approval and rejection actions by user, by action, including the date, time, author/approver, and action comments.</t>
  </si>
  <si>
    <t>As the originator or CO/CS, I need to be able to maintain an accurate record of the routing, review, approvals/rejections by action, including the date, time, author/approver, and action comments in order to have an audit trail of the action.</t>
  </si>
  <si>
    <t>Ensure system can efficiently:
- Access audit log information and report on workflow by user, by action</t>
  </si>
  <si>
    <t>WF-37</t>
  </si>
  <si>
    <t>Enable the visibility of the workflow from an individual user and a program level at any given time.</t>
  </si>
  <si>
    <t>All roles: I need to have visibility of the workflow throughout the acquisition life cycle so I can participate in the timely award and administration of contracts. I need to know what my workload is, what has been completed, what is in process, and what needs to be completed so that I manage my workload appropriately and report out to managers. I need the ability to configure what data I'd like to see both on a routine and ad-hoc basis.
As a manager, I need to have complete visibility into my unit's workflow. I need the information at all levels (e.g., Program, user, CO/CS, branch, division, center, office, etc.). The information needed includes, but is not limited to, what work is assigned, when it was assigned, to whom it was assigned, the progress of the work, the number of days the work has been in progress, etc.  I need the ability to configure what data I'd like to see both on a routine and ad-hoc basis.
As FAS, I need to have complete visibility into my organization's workflow and be able to review reports at all levels as specified above.  I need the ability to configure what data I'd like to see both on a routine and ad-hoc basis.</t>
  </si>
  <si>
    <t>WF-38</t>
  </si>
  <si>
    <t>Generate workflow event-based user alerts to both internal and external users.</t>
  </si>
  <si>
    <t>As the originator or CO/CS, I need to ensure reviewers/approvers know when actions are due so work continues unimpeded. I need the system to provide daily reminders and updates for work in queue or in process along with the due date and who to contact for additional information.  I need to be able to see data / run a report that identifies where work is in process, to whom it is assigned, the due date, what work is overdue, and when they were alerted for internal and external users.  I need the ability to configure what data I'd like to see both on a routine and ad-hoc basis.
As a manager, I need to be able to run a report that identifies, by user, where work is in process, to whom it is assigned, the due date, what work is overdue, and when alerts were generated.  I need the ability to configure what data I'd like to see both on a routine and ad-hoc basis.</t>
  </si>
  <si>
    <t>Ensure system can efficiently:
- Generate workflow event-based user alerts to both internal and external users
- Run a report of alerts as denoted
- Display configurable dashboards to view data</t>
  </si>
  <si>
    <t>WF-39</t>
  </si>
  <si>
    <t xml:space="preserve">Ensure that all outstanding workflow processes are terminated before or when a contract file is retired and sent to archives or purged. </t>
  </si>
  <si>
    <t>As a CO/CS, I need the system to stop workflow processes for completed contracts before they have been closed out and retired/archived/purged so the record reflects closure.</t>
  </si>
  <si>
    <t>ACQ.040.060</t>
  </si>
  <si>
    <t xml:space="preserve">Ensure system can efficiently:
- Terminate outstanding workflow processes </t>
  </si>
  <si>
    <t>Incentive/Award Fee Management</t>
  </si>
  <si>
    <t>Determine and document whether the requirements for a fee payment have been met; Provide information to enable payment of fees; Includes fee determination for Cost Plus Fixed Fee (CPFF) and Cost Plus Award Fee (CPAF) contracts</t>
  </si>
  <si>
    <t>Activity 43 - Price and Fee Adjustments; Part B - Incentive Price Revision; Task 1</t>
  </si>
  <si>
    <t>Obtain and verify quarterly limitation on payments statements.</t>
  </si>
  <si>
    <t>Receipt and verification of limitation</t>
  </si>
  <si>
    <t>WF-40</t>
  </si>
  <si>
    <t xml:space="preserve">Enable the appointment and tracking of Contracting Officer Representatives (COR) and certifications. The following information shall be captured and tracked: The COR Name, level of COR certification, the certification expiration date, appointment/delegation date, period of performance of the delegation, appointing/delegating Contracting Officer, scope of the appointment/delegation by contract/order (e.g., what functions are delegated and contracts/order numbers) , appointment/delegation status, status of an annual review, and a location identifier where specific COR records can be kep and where the COR can provide a copy of their COR certification. </t>
  </si>
  <si>
    <t xml:space="preserve">As a CO/CS, I routinely appoint contracting officer representatives to assist me in the administration of my contracts. In creating/uploading/importing these appointments/delegations, I need to capture and track a variety of information to include the COR name, COR certification level, the certification expiration date, the appointment/delegation date, period of performance of the delegation, the cognizant contracting officer, the scope of the appointment/delegation by contract/order, the status of the appointment/delegation, when annual reviews are needed, and where I can find COR records in order to comply with audit findings and employ management oversight of such actions. </t>
  </si>
  <si>
    <t>Ensure system can efficiently:
- Create COR appointments/delegations
- Capture and track COR information as specified
- Retrieve COR records
- Run reports on CORs workload and status</t>
  </si>
  <si>
    <t>CA - 198</t>
  </si>
  <si>
    <t>The CWS shall enable users to document quarterly limitation on payments statements submitted by the contractor. The CWS shall document the past performance in the contract file (Tab 32, Inspection Reports).</t>
  </si>
  <si>
    <t>As a CO/CS, I need to document receipt and acceptance of contract deliverables so I can comply with the authoritative references. I also need to be able to access the action in the contract file and export it if necessary.</t>
  </si>
  <si>
    <t>Ensure system can efficiently:
- Document receipt of contract deliverable (quarterly limitation on payment statements)
- - Access information in the contract file and export it if necessary</t>
  </si>
  <si>
    <t>WF-41</t>
  </si>
  <si>
    <t>Alert the CO when a COR's certification is scheduled to expire at least 60 days prior to the expiration date and again 14 days prior to the expiration date.</t>
  </si>
  <si>
    <t>As a CO/CS, I need to be notified when my COR's certification will soon expire and be reminded accordingly so I have time to ensure the COR is making progress to renew the certification and if not, to take the appropriate action to resolve expiring certifications.</t>
  </si>
  <si>
    <t>Ensure system can efficiently:
- Notify the CO/CS when COR certifications are expiring
- Establish reminder notifications</t>
  </si>
  <si>
    <t>WF-42</t>
  </si>
  <si>
    <t>Enable the CO to create a notice withdrawing the COR appointment/delegation. The system shall enable distribution of such withdrawal notice as designated by the CO.</t>
  </si>
  <si>
    <t>As a CO/CS, when COR certification are set to expire, I must take appropriate action to withdraw the appointment/delegation and notify the COR and the Contractor of such action in order to have the proper oversight of my contract actions.</t>
  </si>
  <si>
    <t>Ensure system can efficiently:
- Withdraw the COR appointment/delegation 
- Notify the COR and the contractor of such action</t>
  </si>
  <si>
    <t>Activity 43 - Price and Fee Adjustments; Part B - Incentive Price Revision; Task 2</t>
  </si>
  <si>
    <t>Determine whether to adjust billing prices and, if so, the amount of any such adjustment.</t>
  </si>
  <si>
    <t>Determination to adjust pricing</t>
  </si>
  <si>
    <t>CA - 199</t>
  </si>
  <si>
    <t>WF-43</t>
  </si>
  <si>
    <t>The CWS shall enable users to document the determination whether to adjust billing prices and if so, the amount of any such adjustment. The CWS shall document the contract file (Tab 40, Contract Modification).</t>
  </si>
  <si>
    <t>Alert the CO when a COR's certification has expired.</t>
  </si>
  <si>
    <t>As a CO/CS, I need to determine whether to adjust billing prices and if so, the amount of any such adjustment so that I comply with the authoritative references. I also need to be able to access the action in the contract file and export it if necessary.</t>
  </si>
  <si>
    <t>As a CO/CS, I need to be notified when my COR's certification expired so I can take further action if necessary.</t>
  </si>
  <si>
    <t>Ensure system can efficiently:
- Document the determination whether to adjust billing prices and amounts to adjust
- - Access information in the contract file and export it if necessary</t>
  </si>
  <si>
    <t>Ensure system can efficiently:
- Receive notification of expired COR certifications</t>
  </si>
  <si>
    <t>Activity 43 - Price and Fee Adjustments; Part B - Incentive Price Revision; Task 3</t>
  </si>
  <si>
    <t>Adjust the billing price(s).</t>
  </si>
  <si>
    <t>WF-44</t>
  </si>
  <si>
    <t>Adjusted pricing</t>
  </si>
  <si>
    <t>Alert the CO when the period of performance of a COR's delegation is scheduled to expire at least 30 days prior to the end of the performance period and again 7 days prior to the end of the performance period.</t>
  </si>
  <si>
    <t>As a CO/CS, I need to be notified when the period of performance of my COR's delegation will soon expire and be reminded accordingly so I have time to ensure the COR delegation is properly managed.</t>
  </si>
  <si>
    <t>Ensure system can efficiently:
- Notify the CO/CS when the period of performance of the COR delegation is coming to an end
- Establish reminder notifications</t>
  </si>
  <si>
    <t>CA - 200</t>
  </si>
  <si>
    <t>The CWS shall enable users to adjust the billing price(s) and document the rationale in a memorandum to the file. The CWS shall document the contract file (Tab 40, Contract Modification).</t>
  </si>
  <si>
    <t>As a CO/CS, I need to adjust the billing price(s) so that I have a basis for payment and comply with the authoritative references. I also need to be able to access the action in the contract file and export it if necessary.</t>
  </si>
  <si>
    <t>Ensure system can efficiently:
- Document the billing price adjustments and rationale 
- - Access information in the contract file and export it if necessary</t>
  </si>
  <si>
    <t>WF-45</t>
  </si>
  <si>
    <t>Capture and track COR workload at all organizational levels and enable COR dashboards/reports to be displayed/ran.</t>
  </si>
  <si>
    <t>As a CO/CS, I need to see my CORS workload so I can distribute work accordingly.
As a manager, I need to be able to manage workload to provide proper oversight.
As a COR, I need to be able manage my workload to be an effective COR.
As FAS, I need to be able to manage workload and respond to data calls regarding CORs, their status and their workload.</t>
  </si>
  <si>
    <t xml:space="preserve">Ensure system can efficiently:
- Display a COR workload dashboard
- Report COR workload </t>
  </si>
  <si>
    <t>Activity 43 - Price and Fee Adjustments; Part B - Incentive Price Revision; Task 4</t>
  </si>
  <si>
    <t>If the contract provides for successive targets, establish either a firm fixed-price or final profit adjustment formula.</t>
  </si>
  <si>
    <t>Pricing or adjustment formula</t>
  </si>
  <si>
    <t>CA - 201</t>
  </si>
  <si>
    <t>The CWS shall enable users to document the establishment of either a firm fixed-price or final profit adjustment formula for determining final profit. The CWS shall document the contract file (Tab 40, Contract Modification).</t>
  </si>
  <si>
    <t>As a CO/CS, I need to establish the firm fixed price or profit adjustment formula I'll use to determine the final profit permitted so that I comply with the authoritative reference. I also need to be able to access the action in the contract file and export it if necessary.</t>
  </si>
  <si>
    <t>Ensure system can efficiently:
- Document the establishment of either a firm fixed-price or final profit adjustment formula for determining profit
- - Access information in the contract file and export it if necessary</t>
  </si>
  <si>
    <t>WF-46</t>
  </si>
  <si>
    <t>Enable an authorized user to assign/reassign workload and retain assignment history throughout the full life cycle process. Reassignments can occur singular or in bulk - the system needs the ability to make bulk reassignments in an efficient manner.</t>
  </si>
  <si>
    <t>As a system administrator, I need to assign, reassign actions and retain assignment history and cycle time through the life cycle process so workload can be managed and measured by the organization</t>
  </si>
  <si>
    <t>Ensure system can efficiently:
- Enable reassignments singularly and in bulk
- Retain assignment history and cycle tie</t>
  </si>
  <si>
    <t>Activity 43 - Price and Fee Adjustments; Part B - Incentive Price Revision; Task 5</t>
  </si>
  <si>
    <t xml:space="preserve">Verify data submitted by the contractor for establishing the final total price, and ensure that the calculated total contract price does not exceed the ceiling price. </t>
  </si>
  <si>
    <t>Verified data</t>
  </si>
  <si>
    <t>WF-47</t>
  </si>
  <si>
    <t>Enable an authorized user to update workload assignments at multiple designated instrument levels consistent with that user's role.</t>
  </si>
  <si>
    <t>As a system administrator, I need to update workload assignments at multiple designated instrument levels consistent with that user's role so workload can be managed and measured by the organization.</t>
  </si>
  <si>
    <t>Ensure system can efficiently:
- Update workload assignments at multiple designated instrument levels consistent with that user's role</t>
  </si>
  <si>
    <t>CA - 202</t>
  </si>
  <si>
    <t>The CWS shall enable users to receive data from the contractor for establishing the final total price. The CWS shall be able to validate contractor computations and ensure the total price does not exceed the ceiling price and document this in the memorandum for the file (Tab 40, Contract Modifications).</t>
  </si>
  <si>
    <t>As a CO/CS, I need to verify contractor submitted data, check calculations, and ensure the total price doesn't exceed the contract's ceiling price to protect the Government's interest. I also need to be able to access the action in the contract file and export it if necessary.</t>
  </si>
  <si>
    <t>Ensure system can efficiently:
- Receive contractor data
- Verify calculations
- Ensure total price doesn't exceed ceiling price
- - Access information in the contract file and export it if necessary</t>
  </si>
  <si>
    <t>WF-48</t>
  </si>
  <si>
    <t>When an authorized user updates workload assignments at multiple instrument levels, enable the user to execute en masse updates, based on user-defined criteria.</t>
  </si>
  <si>
    <t>The system needs to enable the system administrator to execute en masse updates, based on user-defined criteria so that workload reassignments may be made in the most efficient manner possible.</t>
  </si>
  <si>
    <t>Ensure system can efficiently:
- Execute en masse updates based on user-defined criteria</t>
  </si>
  <si>
    <t>Activity 43 - Price and Fee Adjustments; Part B - Incentive Price Revision; Task 6</t>
  </si>
  <si>
    <t>Establish the Government’s negotiation position for negotiation of final cost and price.</t>
  </si>
  <si>
    <t>pre negotiation memorandum or memo to file</t>
  </si>
  <si>
    <t>CA - 203</t>
  </si>
  <si>
    <t>WF-49</t>
  </si>
  <si>
    <t>The CWS shall allow user to create or upload/import a Price Negotiation Memorandum or memorandum to the file to the contract file (Tab 40, Contract Modifications).</t>
  </si>
  <si>
    <t>As a CO/CS, I need to document my negotiation objectives so that I can demonstrate that I negotiate a fair and reasonable price for changes in the contract terms and conditions</t>
  </si>
  <si>
    <t>Enable a user assigned a supervisor role to view pending and completed work assigned to users designated as reporting to that supervisor.</t>
  </si>
  <si>
    <t>Ensure system can efficiently:
- Create a PNM or memorandum to the file
- Route PNM or memo for reviews and approvals to individuals specified by user
- Access information in the contract file and export it if necessary</t>
  </si>
  <si>
    <t>As a supervisor, I need to view pending and completed work assigned to my employees so I can manage and measure workload. I may need to run a workload report of my employees.</t>
  </si>
  <si>
    <t>Ensure system can efficiently:
- Enable visibility into supervisor's employees workload
- Display workload dashboards and enable reports to be run</t>
  </si>
  <si>
    <t>Activity 43 - Price and Fee Adjustments; Part B - Incentive Price Revision; Task 7</t>
  </si>
  <si>
    <t>Negotiate final price.</t>
  </si>
  <si>
    <t>Price negotiation memorandum or memo to file</t>
  </si>
  <si>
    <t>WF-50</t>
  </si>
  <si>
    <t>Enable an authorized user to view all pending work within the area of responsibility assigned to that user's role.</t>
  </si>
  <si>
    <t>The system needs to enable visibility into workload based on the area of responsibility assigned to that user's role.</t>
  </si>
  <si>
    <t>Ensure system can efficiently:
- Enable visibility into workload based on the area of responsibility assigned to that user's role</t>
  </si>
  <si>
    <t>CA - 204</t>
  </si>
  <si>
    <t>The CWS shall enable users to document quarterly limitation on payments statements submitted by the contractor. The CWS shall enable users to document the determination whether to adjust billing prices and amounts to adjust. The CWS shall enable users to modify the contract to account for any price revisions using standard forms such as SF 30. The CWS shall accurately transmit modifications to FPDS. The CWS shall document the contract file (Tab 40, Contract Modification).</t>
  </si>
  <si>
    <t>As a CO/CS, I need to establish the total final price of the items specified in the schedule of items by applying to final negotiated cost an adjustment for profit or loss and modify the contract accordingly so I can comply with the authoritative references. I need to ensure the modification is accurately transmitted and reflected in FPDS. I also need to be able to access the action in the contract file and export it if necessary.</t>
  </si>
  <si>
    <t>Ensure system can efficiently:
- Document quarterly limitation on payment statements
- Document the determination whether to adjust billing prices and amounts to adjust
- Create/upload the modification to the contract using standard forms such as SF30
- Accurately transmit modifications to FPDS
- - Access information in the contract file and export it if necessary</t>
  </si>
  <si>
    <t>WF-51</t>
  </si>
  <si>
    <t>Activity 43 - Price and Fee Adjustments; Part B - Incentive Price Revision; Task 8</t>
  </si>
  <si>
    <t>Enable an authorized user to override a mandatory workflow task for users.</t>
  </si>
  <si>
    <t>Modify the contract to reflect the final total price.</t>
  </si>
  <si>
    <t>As an authorized user, I may need to override a workflow task for users as a result of an exception or unusual circumstance so work can continue unimpeded.</t>
  </si>
  <si>
    <t>Ensure system can efficiently:
- Override a workflow task</t>
  </si>
  <si>
    <t>CA - 205</t>
  </si>
  <si>
    <t>The CWS shall enable users to accomplish a bilateral modification to establish a final total price for the line items indicated in clause FAR 52.216-16(a)  or 52.216-17(a)</t>
  </si>
  <si>
    <t>As a CO, I need to be able to define the final total price of identified line items in firm and successive target incentive contracts once the amount of the earned incentives is known so that I can establish a final price that is not subject to revision within the ceiling price established in the contract</t>
  </si>
  <si>
    <t>Ensure system can efficiently:
- execute a bilateral modification to establish a final total price and cite the authority at FAR 52.216-16(e) or FAR 52.216-17(g)</t>
  </si>
  <si>
    <t>WF-52</t>
  </si>
  <si>
    <t>Activity 43 - Price and Fee Adjustments; Part B - Incentive Price Revision; Task 9</t>
  </si>
  <si>
    <t>Enable the workflow originator to delegate the workflow originator functions to another user.</t>
  </si>
  <si>
    <t>As an authorized user, I may need to delegate the workflow originator functions to another user to account for absences or turnover.</t>
  </si>
  <si>
    <t>Ensure system can efficiently:
- Delegate the workflow originator functions</t>
  </si>
  <si>
    <t>WF-53</t>
  </si>
  <si>
    <t>Prohibit a user from editing workflow comments made by another user.</t>
  </si>
  <si>
    <t>The system needs to prohibit users from editing workflow comments made by another user to preserve the integrity and auditability of the action.</t>
  </si>
  <si>
    <t>Ensure system can efficiently:
- Prohibit users from editing workflow comments made by another user</t>
  </si>
  <si>
    <t>CA - 206</t>
  </si>
  <si>
    <t>The CWS shall document the contract file (Tab 40, Contract Modifications).</t>
  </si>
  <si>
    <t>WF-54</t>
  </si>
  <si>
    <t>Prohibit a user assigned to a task from making changes to workflow comments once the user has completed the assigned task.</t>
  </si>
  <si>
    <t>The system needs to prohibit users assigned to a task from making changes to workflow comments once the user has completed the task to preserve the integrity and auditability of the action.</t>
  </si>
  <si>
    <t>Ensure system can efficiently:
- Prohibit users assigned to a task from making changes to workflow comments once the user has completed the task</t>
  </si>
  <si>
    <t>Activity 43 - Price and Fee Adjustments; Part B - Incentive Price Revision; Task 10</t>
  </si>
  <si>
    <t>Process the final invoice for payment.</t>
  </si>
  <si>
    <t>WF-55</t>
  </si>
  <si>
    <t>If the workflow has not been completed, the system shall enable a user assigned to a task to make additional workflow comments once the user has completed the assigned task.</t>
  </si>
  <si>
    <t>CA - 207</t>
  </si>
  <si>
    <t>The CWS shall allow user to process the final invoice for payment and document the file (Tab 34, Invoices/Vouchers)</t>
  </si>
  <si>
    <t>As a CO/CS, I need to review the final invoice and authorize the payment to comply with the terms and conditions of the contract. I also need to be able to access the action in the contract file and export it if necessary.</t>
  </si>
  <si>
    <t>Ensure system can efficiently:
- Process final invoice
- Authorize payment
- Access information in the contract file and export it if necessary</t>
  </si>
  <si>
    <t>The system needs to allow users assigned to a task to make additional workflow comments once the user has completed the task if the workflow has not been completed so additional comments can be considered.</t>
  </si>
  <si>
    <t xml:space="preserve">Ensure system can efficiently:
- Allow users assigned to a task to make additional workflow comments once the user has completed the task if the workflow has not been completed </t>
  </si>
  <si>
    <t>Activity 43 - Price and Fee Adjustments; Part C - Award Fee Adjustments; Task 1</t>
  </si>
  <si>
    <t>Collect data on the contractor’s performance against each contract criterion for determining the award fee amount.</t>
  </si>
  <si>
    <t>Performance data</t>
  </si>
  <si>
    <t>Air Force Award Fee Guide, March 2010 available at https://www.acq.osd.mil/dpap/ccap/cc/jcchb/files/topical/1restricted/award.fee.oct08.pdf; and NASA Award Fee Contract Guide, July 2006.</t>
  </si>
  <si>
    <t>WF-56</t>
  </si>
  <si>
    <t>Prohibit a user from making changes to workflow comments once the workflow has been completed.</t>
  </si>
  <si>
    <t>The system needs to prohibit users from making changes to workflow comments once the workflow has been completed to preserve the integrity and auditability of the action.</t>
  </si>
  <si>
    <t>Ensure system can efficiently:
- Prohibit users from making changes to workflow comments once the workflow has been completed</t>
  </si>
  <si>
    <t>CA - 208</t>
  </si>
  <si>
    <t>The CWS shall allow COR user or other user responsible for performance monitoring to record contractor performance against an established list of metrics.
The CWS shall report on contractor performance to internal users and to the contractor as well</t>
  </si>
  <si>
    <t>As a COR or other government user responsible for performance reporting, I need to report on the contractors performance against established performance metrics in the contract so that the vendor and the award fee board can be informed of the contractor performance
As a Contractor user, I need to be able to see how the government has evaluated my performance so I can either improve or continue to perform at a level that results in earning the maximum fee possible
As a CO/CS user, I need to be able to view recorded vendor performance so I can ensure that performance is reported according to the schedule outline in the contract</t>
  </si>
  <si>
    <t>Ensure the CWS government user can efficiently:
- record contractor performance and display reported performance to government and contractor users, or download recorded performance for transmission to government and contractor users</t>
  </si>
  <si>
    <t>WF-57</t>
  </si>
  <si>
    <t>Enable users to view their assigned tasks in one location.</t>
  </si>
  <si>
    <t>As a user, I need the system to enable me to view all of my tasks in a single location so I don't overlook any action.</t>
  </si>
  <si>
    <t>Ensure system can efficiently:
- Enable users to view tasks in one location</t>
  </si>
  <si>
    <t>Activity 43 - Price and Fee Adjustments; Part C - Award Fee Adjustments; Task 2</t>
  </si>
  <si>
    <t>Brief the award fee board.</t>
  </si>
  <si>
    <t>Briefing</t>
  </si>
  <si>
    <t>WF-58</t>
  </si>
  <si>
    <t>Enable a user assigned a workflow task to enter text into a comments field up to 4000 characters when conducting the task as part of a workflow.</t>
  </si>
  <si>
    <t>The system needs to let users enter text into a comment field so acquisition team members can consider information germane to the workflow task.</t>
  </si>
  <si>
    <t>Ensure system can efficiently:
- Enable users to make comments</t>
  </si>
  <si>
    <t>WF-59</t>
  </si>
  <si>
    <t>Enable a user to complete defined workflow tasks electronically within the system.</t>
  </si>
  <si>
    <t>As a user, I need the system to enable me to complete my workflow tasks electronically in the system to accomplish work in the most efficient manner and provide an audit trail.</t>
  </si>
  <si>
    <t>Ensure system can efficiently:
- Enabler users to complete defined workflow tasks electronically in the system</t>
  </si>
  <si>
    <t>CA - 209</t>
  </si>
  <si>
    <t>As a CO user, I need to be able to review a contractors recorded performance evaluations so that I can create or view a summary of the contractors performance including any identified strengths, weaknesses and other pertinant performance information.
As a contractor user, I need to be able to submit a self assessment to the contracting activity, COR or other government user responsible for recording performance so that the government award fee can consider my self assessment along with my recorded performance information</t>
  </si>
  <si>
    <t>Ensure system can efficiently:
- view summary data of performance reports or view performance reports to create summary information for an award fee board briefing
- allow contractors to either import or send for inclusion their performance self assessment</t>
  </si>
  <si>
    <t>WF-60</t>
  </si>
  <si>
    <t>During a workflow, enable an authorized user to authorize reviewers to input changes to the action under review, with attached comments.</t>
  </si>
  <si>
    <t>As a user, I need the system to enable me to authorize reviewers to input changes to the action under review with attached comments for my consideration.</t>
  </si>
  <si>
    <t>Ensure system can efficiently:
- Enable reviewers to input changes to the actions under review with attached comments</t>
  </si>
  <si>
    <t>Activity 43 - Price and Fee Adjustments; Part C - Award Fee Adjustments; Task 3</t>
  </si>
  <si>
    <t>Discuss the board’s award-fee determination or recommendation with the contractor and request any feedback or rebuttal.</t>
  </si>
  <si>
    <t>Air Force Award Fee Guide, March 2010 at https://www.acq.osd.mil/dpap/ccap/cc/jcchb/files/topical/1restricted/award.fee.oct08.pdf; NASA Award Fee Contract Guide, July 2006.</t>
  </si>
  <si>
    <t>WF-61</t>
  </si>
  <si>
    <t>When a reviewer has input changes to the action under review, enable the user managing the workflow to accept or reject the changes made.</t>
  </si>
  <si>
    <t>CA - 210</t>
  </si>
  <si>
    <t>As a user that originated the action, I need the system to enable me to accept or reject suggested changes.</t>
  </si>
  <si>
    <t xml:space="preserve">The CWS shall allow government user to create or upload the Fee Determination Officer (FDO) or Award Fee Board (AFB) overall contractor rating and award fee amount for the evaluation period </t>
  </si>
  <si>
    <t>Ensure system can efficiently:
- Enable the user that originated the action to accept or reject changes</t>
  </si>
  <si>
    <t>As a government user, I need to be able to record the FDO or AFB overall rating and award fee amount for the contractor during the evaluation period so I can give the contractor an opportunity to review the FDO or AFB determination and provide a rebuttal, if applicable</t>
  </si>
  <si>
    <t>Ensure system can efficiently: 
- record the FDO or AFB overall rating and award fee determination for the evaluation period
- provide the determination to the contractor for review and rebuttal, as applicable</t>
  </si>
  <si>
    <t>WF-62</t>
  </si>
  <si>
    <t>When a change is made to action under review, retain the change until the workflow is complete.</t>
  </si>
  <si>
    <t>The system needs to retain changes until the workflow is complete to maintain an audit trail.</t>
  </si>
  <si>
    <t>Ensure system can efficiently:
- Retain changes until workflow is complete</t>
  </si>
  <si>
    <t>Activity 43 - Price and Fee Adjustments; Part C - Award Fee Adjustments; Task 4</t>
  </si>
  <si>
    <t>Determine the amount of the award fee and add it either to the base fee or price.</t>
  </si>
  <si>
    <t>Fee determination</t>
  </si>
  <si>
    <t>CA - 211</t>
  </si>
  <si>
    <t>The CWS shall allow government user to accomplish a modification to adjust the base fee or total price of the contract and cite the authority of the award fee plan or FAR 16.401(e)</t>
  </si>
  <si>
    <t>WF-63</t>
  </si>
  <si>
    <t>As a CO, I need to be able to add the earned award fee to the contract by modification within 15 days of issuing the FDO decision to the contractor so I can comply with the authoritative reference.</t>
  </si>
  <si>
    <t xml:space="preserve">Ensure system can efficiently:
- execute  a modification to increase the total price or the base fee 
</t>
  </si>
  <si>
    <t>When a user does not have sufficient authority to perform a workflow task, the system shall prevent that task from being assigned to the user.</t>
  </si>
  <si>
    <t>The system needs to account for user authorities in work assignments and workflow to ensure authorities and permissions are enforced.</t>
  </si>
  <si>
    <t>Ensure system can efficiently:
- Prevent tasks from being assigned to users that don't have sufficient authority to perform the task</t>
  </si>
  <si>
    <t>WF-64</t>
  </si>
  <si>
    <t>When an approval task is rejected, the system shall enable a user to re-work a previous workflow task.</t>
  </si>
  <si>
    <t>As a user, if an approval task is rejected, I need to be able re-work a previous workflow task to make the necessary corrections or take other appropriate action.</t>
  </si>
  <si>
    <t>Activity 43 - Price and Fee Adjustments; Part C - Award Fee Adjustments; Task 5</t>
  </si>
  <si>
    <t>Ensure system can efficiently:
- Enable users to re-work a previous workflow task to make corrections or take other action</t>
  </si>
  <si>
    <t>WF-65</t>
  </si>
  <si>
    <t>The system shall record initial and re-worked task statistics in the workflow history.</t>
  </si>
  <si>
    <t>The system need to maintain workflow history to provide an audit trail.</t>
  </si>
  <si>
    <t>Ensure system can efficiently:
- Record workflow history</t>
  </si>
  <si>
    <t>CA - 212</t>
  </si>
  <si>
    <t>Activity 43 - Price and Fee Adjustments; Part D - Incentive Fee Adjustments; Task 1</t>
  </si>
  <si>
    <t>Monitor the contractor’s cost and performance</t>
  </si>
  <si>
    <t>Past performance / performance metrics</t>
  </si>
  <si>
    <t>CA - 213</t>
  </si>
  <si>
    <t>Activity 43 - Price and Fee Adjustments; Part D - Incentive Fee Adjustments; Task 2</t>
  </si>
  <si>
    <t xml:space="preserve">Upon receipt of invoices, determine the pro rata amount of fee to pay. </t>
  </si>
  <si>
    <t xml:space="preserve">Payment amount </t>
  </si>
  <si>
    <t>CA - 214</t>
  </si>
  <si>
    <t>The CWS shall allow a CO the ability to review and approve or disapprove vendor invoices submitted against contracts with incentives and document the file tab xx</t>
  </si>
  <si>
    <t>As a CO, I need the ensure that 15% of the total incentive fee or $100,000, whichever is less, is held in reserve on the contract so I can protect the government's interest when an incentive fee is used on a contract. 
As a CO, I need to be able to release up to 90% of the reserved fee amount when the contractor submits an adequate certified final indirect cost rate proposal covering the year of physical completion of the contract, provided the contractor has satisfied all other contract terms and conditions, including the submission of the final patent and royalty reports, and is not delinquent in submitting final vouchers on prior years’ settlements so I can comply with the authoritative reference.</t>
  </si>
  <si>
    <t>Ensure the CWS government user can efficiently:
- review and approve payment of invoices that include incentive fee, or at an amount that the CO user specifies in accordance with FAR 52.216-10(c)(2)
- document the file tab xx</t>
  </si>
  <si>
    <t>Activity 43 - Price and Fee Adjustments; Part D - Incentive Fee Adjustments; Task 3</t>
  </si>
  <si>
    <t xml:space="preserve">Adjust total target cost, target fee, minimum fee, and maximum fee (as appropriate). </t>
  </si>
  <si>
    <t>Payment adjustment</t>
  </si>
  <si>
    <t>CA - 215</t>
  </si>
  <si>
    <t>The CWS shall allow a CO the ability to change the target cost, target fee, minimum fee, and maximum fee on a contract with an incentive or award fee resulting from changing contract terms</t>
  </si>
  <si>
    <t>As a CO, I need to adjust the target cost, target fee, minimum fee, and maximum fee in accordance with clause FAR 52.216-10(d) so I can ensure the governmen't best interest is protected during performance under a contract with an incentive or award fee when a modification alters the work accomplished under the contract</t>
  </si>
  <si>
    <t>Ensure the CWS government user can efficiently:
- adjust the contract target fee, target cost, and minimum and maximum fee as a result of changing contract requirements</t>
  </si>
  <si>
    <t>Activity 43 - Price and Fee Adjustments; Part D - Incentive Fee Adjustments; Task 4</t>
  </si>
  <si>
    <t xml:space="preserve">At closeout, total the allowable costs for application of the incentive formula. </t>
  </si>
  <si>
    <t>Fee adjustment amount</t>
  </si>
  <si>
    <t>CA - 216</t>
  </si>
  <si>
    <t>The CWS shall allow a government user to create or upload a total allowable cost worksheet that includes contract cost elements arising out of contract performance when an incentive or award fee is included in a contract</t>
  </si>
  <si>
    <t>As a CO, I need to be able to account for allowable costs that cannot be included in the total allowable costs used for fee calculation so that I can accurately calculate the adjusted fee</t>
  </si>
  <si>
    <t>Ensure the CWS government user can:
- create or upload a worksheet that captures allowable costs that are not part of the total allowable costs for fee calculation</t>
  </si>
  <si>
    <t>Activity 43 - Price and Fee Adjustments; Part D - Incentive Fee Adjustments; Task 5</t>
  </si>
  <si>
    <t xml:space="preserve">Calculate the fee payable. </t>
  </si>
  <si>
    <t>CA - 217</t>
  </si>
  <si>
    <t>The CWS shall require the government user to complete the fill in portion of clause FAR 52.216-10(e)(1) when included in a contract action</t>
  </si>
  <si>
    <t>As a CO, I need to indicate the calculation I will use to calculate the adjusted incentive fee in clause FAR 52.216-10(e)(1)  so that I can determine the adjusted fee</t>
  </si>
  <si>
    <t>Ensure the CWS government user can efficiently:
- complete the fill in clause for the incentive fee calculation
- search for and access fill-in clause data
- calculate the adjusted incentive fee</t>
  </si>
  <si>
    <t>Activity 43 - Price and Fee Adjustments; Part D - Incentive Fee Adjustments; Task 6</t>
  </si>
  <si>
    <t>Modify the contract to reflect the final cost and fee/profit.</t>
  </si>
  <si>
    <t>CA - 218</t>
  </si>
  <si>
    <t>The CWS shall allow government user to accomplish a modification to establish the total allowable cost of the contract and adjusted fee of the contract and cite the authority of FAR 52.216-10(f)</t>
  </si>
  <si>
    <t>As a CO, I need to modify the contract once the total allowable cost is known so I can calculate the final fee adjustment and capture both the contractor's concurrence as evidenced by signing the modification</t>
  </si>
  <si>
    <t xml:space="preserve">Ensure system can efficiently:
- execute a modification to establish the total allowable cost and final fee calculation
</t>
  </si>
  <si>
    <t>ACQ.040.070</t>
  </si>
  <si>
    <t>Contractor Clearance Tracking</t>
  </si>
  <si>
    <t>Track/document the status of contractors' clearances</t>
  </si>
  <si>
    <t>ACQ.040.080</t>
  </si>
  <si>
    <t>Vendor Performance Monitoring and Dispute Resolution</t>
  </si>
  <si>
    <t>Document ongoing review of vendor performance; Document and address issues and/or disputes with the vendor; Document and provide information to support suspension and/or debarment of vendor</t>
  </si>
  <si>
    <t>Activity 25 - Cost Accounting Standards; Task 9 (Note--Task 8 is under ACQ.030.010 Proposal Evaluation)</t>
  </si>
  <si>
    <t xml:space="preserve">For contracts where Cost Account Standards are applicable, assign the contract to the cognizant administrative contracting officer (ACO) for CAS administration. </t>
  </si>
  <si>
    <t>Cognizant Federal Agency Official (CFAO) delegation</t>
  </si>
  <si>
    <t>CA - 219</t>
  </si>
  <si>
    <t>The CWS shall allow the CO to assign CAS administration to a CFAO, or allow a CFAO user access to the contract when contract action is classified as subject to CAS</t>
  </si>
  <si>
    <t>As a CO, I need to delegate a CFAO for CAS administration within 30 days of contract award to comply with authoritative reference.
As a CFAO, I need to be able to review all cost accounting practices on CAS covered contracts and subcontracts to ensure that any cost impacts from  a change in cost accounting practice or noncompliance are resolved.</t>
  </si>
  <si>
    <t>Ensure system can efficiently:
- identify the CFAO assigned responsibility for CAS related administration
-allow the CFAO to accomplish D&amp;Fs and store in the appropriate tab in the ECF
-allow a CFAO user access to the contract file to accomplish CAS related administration</t>
  </si>
  <si>
    <t>Activity 32 - Monitor Subcontract Management; Part A - Advanced Notification and Consent to Subcontract; Task 1</t>
  </si>
  <si>
    <t>Identify subcontracts that require contracting officer consent.</t>
  </si>
  <si>
    <t>Identification of subcontracts requiring CO consent</t>
  </si>
  <si>
    <t>CA - 220</t>
  </si>
  <si>
    <t>The CWS shall allow the CO to identify subcontracts that require consent either in a contract clause, contract template or elsewhere in the system that allows the vendor identify applicable subcontracts.</t>
  </si>
  <si>
    <t>As a CO, I need to identify subcontracts that require government consent so that I can  determine whether or not to consent to subcontracting in performance of the requirement</t>
  </si>
  <si>
    <t>Ensure system can efficiently:
1) identify subcontracts that require CO consent</t>
  </si>
  <si>
    <t>Activity 32 - Monitor Subcontract Management; Part A - Advanced Notification and Consent to Subcontract; Task 2</t>
  </si>
  <si>
    <t>When the prime contractor has an approved purchasing system, determine whether consent is required to protect Government interests.</t>
  </si>
  <si>
    <t>Consent determination</t>
  </si>
  <si>
    <t>CA - 221</t>
  </si>
  <si>
    <t>The CWS shall allow the CO to identify subcontracts that require consent either in a contract clause, contract template or elsewhere in the system that allows the vendor identify applicable subcontracts.
The CWS shall allow the CO to record and report on whether a contractor has an approved purchasing system at the contract level</t>
  </si>
  <si>
    <t>Ensure system can efficiently:
1) identify subcontracts that require CO consent
2) identify whether or not a contract is being performed by a vendor with an approved purchasing system</t>
  </si>
  <si>
    <t>Activity 32 - Monitor Subcontract Management; Part A - Advanced Notification and Consent to Subcontract; Task 3a (Note--there is no Task 3)</t>
  </si>
  <si>
    <t>When the prime contractor does not have an approved purchasing system, determine if type of contract requires consent.</t>
  </si>
  <si>
    <t>CA - 222</t>
  </si>
  <si>
    <t>See Row 236, above</t>
  </si>
  <si>
    <t>Activity 32 - Monitor Subcontract Management; Part A - Advanced Notification and Consent to Subcontract; Task 3b</t>
  </si>
  <si>
    <t>When the prime contractor does not have an approved purchasing system, determine whether the unpriced action (including unpriced modifications or delivery orders) exceeds the SAT.</t>
  </si>
  <si>
    <t>SAT determination</t>
  </si>
  <si>
    <t>CA - 223</t>
  </si>
  <si>
    <t>Activity 32 - Monitor Subcontract Management; Part A - Advanced Notification and Consent to Subcontract; Task 3(b)(i)</t>
  </si>
  <si>
    <t xml:space="preserve">Determine whether subcontracts are cost reimbursement, time-and-materials, or labor-hour. </t>
  </si>
  <si>
    <t>Subcontract determination</t>
  </si>
  <si>
    <t>CA - 224</t>
  </si>
  <si>
    <t>Activity 32 - Monitor Subcontract Management; Part A - Advanced Notification and Consent to Subcontract; Task 3(b)(ii)</t>
  </si>
  <si>
    <t>Determine whether subcontracts are fixed-price and exceed a certain threshold.</t>
  </si>
  <si>
    <t>CA - 225</t>
  </si>
  <si>
    <t>Activity 32 - Monitor Subcontract Management; Part A - Advanced Notification and Consent to Subcontract; Task 3c</t>
  </si>
  <si>
    <t xml:space="preserve">Determine whether consent is required under other circumstances. </t>
  </si>
  <si>
    <t>CA - 226</t>
  </si>
  <si>
    <t>Ensure system can efficiently:
- Identify subcontracts that require CO consent</t>
  </si>
  <si>
    <t>Activity 32 - Monitor Subcontract Management; Part A - Advanced Notification and Consent to Subcontract; Task 4</t>
  </si>
  <si>
    <t>Respond to the contractor’s advance notification of a subcontract requiring consent to subcontract.</t>
  </si>
  <si>
    <t>Response to contractor</t>
  </si>
  <si>
    <t>CA - 227</t>
  </si>
  <si>
    <t>The CWS shall allow the CO to file correspondence related to subcontracts including notifications and responses in tab 23b of the ECF</t>
  </si>
  <si>
    <t>As a CO, I need to receive a notification from a vendor prior to the vendor's award of a subcontract that meets the requirements of FAR 44.201-2(b) so I can make a determination of consent to subcontract.  I also need to respond to the notification and document the contract file.</t>
  </si>
  <si>
    <t>Ensure system can efficiently:
- Record vendor notifications regarding subcontracts that require consent
- Record responses to consent requests
- Access information in the contract file and export it if necessary</t>
  </si>
  <si>
    <t>Activity 32 - Monitor Subcontract Management; Part B - Contractor's Purchasing System Reviews; Task 1</t>
  </si>
  <si>
    <t xml:space="preserve">Determine whether a review of a contractor’s purchasing system is appropriate. </t>
  </si>
  <si>
    <t>Review of contractor's purchasing system</t>
  </si>
  <si>
    <t>CA - 228</t>
  </si>
  <si>
    <t>The CWS shall report on the total awarded value of a vendor's non-fixed priced contracts and notify the user when the value exceeds the threshold indicated in FAR 44.302(a).  The CWS shall record and report on the date(s) a CPSR was performed. The CWS shall document the contract file (Tab 39, General Correspondence).</t>
  </si>
  <si>
    <t>As a CO from the cognizant contracting administration office, I need to determine if a purchasing system review is necessary based on the expected non-fixed price sales to government exceed thresholds in authoritative references and the time frame from the previous review so I can determine if a purchasing system review needs to be accomplished.</t>
  </si>
  <si>
    <t>Ensure system can efficiently:
- View the date a CPSR was performed
- Store the expected non-fixed price sales to government for applicable contracts 
- Advise the user if the value exceeds the threshold in the authoritative sources triggering a CPSR
- Determine which office is responsible for contract administration, specifically with respect to CPSRs
- Access information in the contract file and export it if necessary</t>
  </si>
  <si>
    <t>Activity 32 - Monitor Subcontract Management; Part B - Contractor's Purchasing System Reviews; Task 2</t>
  </si>
  <si>
    <t>Conduct the CPSR.</t>
  </si>
  <si>
    <t>CA - 229</t>
  </si>
  <si>
    <t>The CWS shall allow user to record the results of the review of the contractor's purchasing system and document the file (Tab 39, General Correspondence).</t>
  </si>
  <si>
    <t>As an ACO, I need to document the contract file.</t>
  </si>
  <si>
    <t>Activity 32 - Monitor Subcontract Management; Part B - Contractor's Purchasing System Reviews; Task 3</t>
  </si>
  <si>
    <t xml:space="preserve">Determine whether to grant, withhold, or withdraw purchasing system approval. </t>
  </si>
  <si>
    <t>CPSR determination</t>
  </si>
  <si>
    <t>CA - 230</t>
  </si>
  <si>
    <t>As an ACO, I need to determine whether a CPSR is needed at least every 3 years. If one is needed, I need to distribute copies of the CPSR, notifications of the granting, withholding, or withdrawal of system approval, Government recommendation on improving the contractor's purchasing system, and the contractor's response. Copies go to the cognizant audit office, any activity required by the agency, the contractor,  and the contract file.</t>
  </si>
  <si>
    <t>Ensure system can efficiently:
- Record CPSR results
- Grant, withhold, or withdraw system approval
- Distribute copies
- Access information in the contract file and export it if necessary</t>
  </si>
  <si>
    <t>Activity 32 - Monitor Subcontract Management; Part B - Contractor's Purchasing System Reviews; Task 4</t>
  </si>
  <si>
    <t xml:space="preserve">Promptly notify the contractor in writing when granting, withholding, or withdrawing purchasing system approval. </t>
  </si>
  <si>
    <t>Notification to contractor of CPSR determination</t>
  </si>
  <si>
    <t>CA - 231</t>
  </si>
  <si>
    <t>Activity 32 - Monitor Subcontract Management; Part B - Contractor's Purchasing System Reviews; Task 5</t>
  </si>
  <si>
    <t>Distribute information on purchasing system approval status.</t>
  </si>
  <si>
    <t>CA - 232</t>
  </si>
  <si>
    <t>Activity 32 - Monitor Subcontract Management; Part B - Contractor's Purchasing System Reviews; Task 6</t>
  </si>
  <si>
    <t>Establish a program for contractor purchasing system surveillance.</t>
  </si>
  <si>
    <t>CPSR program</t>
  </si>
  <si>
    <t>CA - 233</t>
  </si>
  <si>
    <t>Enable a user to either create a CPSR plan from a template or import/upload an external plan to the contract file (Tab 39, General Correspondence).</t>
  </si>
  <si>
    <t>As an ACO, I need to document my surveillance methods for monitoring the vendor's purchasing system and subcontracting so that I can ensure the vendor is effectively managing their purchasing program.</t>
  </si>
  <si>
    <t xml:space="preserve">Ensure system can efficiently:
- Create or upload/import a purchasing program surveillance plan
- Access information in the contract file and export it if necessary </t>
  </si>
  <si>
    <t>Activity 32 - Monitor Subcontract Management; Part B - Contractor's Purchasing System Reviews; Task 7</t>
  </si>
  <si>
    <t>Take measures to protect the Government’s interests on specific contracts when an ACO denies or withdraws purchasing system approval.</t>
  </si>
  <si>
    <t>CA - 234</t>
  </si>
  <si>
    <t>The CWS shall allow user to import/upload vendor provided corrective action plan when an ACO denies or withdraws purchasing system approval.  The CWS shall document the contract file (Tab 39, General Correspondence).</t>
  </si>
  <si>
    <t>As an ACO, I need to require the vendor to provide a corrective action plan within 15 days of my written notification that denies or withdraws approval of their purchasing system so that I can review their corrective actions and ensure that all deficiencies are addressed and so that I can schedule a follow up review.</t>
  </si>
  <si>
    <t>Ensure system can efficiently:
- Document the receipt and review of the vendor submitted corrective action plan in response to denial or withdrawal of approval of vendor's purchasing system
- Access information in the contract file and export it if necessary</t>
  </si>
  <si>
    <t>Activity 32 - Monitor Subcontract Management; Part B - Contractor's Purchasing System Reviews; Task 8</t>
  </si>
  <si>
    <t>Maintain information on the status of the contractor’s purchasing system.</t>
  </si>
  <si>
    <t>CA - 236</t>
  </si>
  <si>
    <t>The CWS shall allow user to create, upload or import a memorandum to the file to capture general administrative correspondence and documentation and document the contract file (Tab 39, General Correspondence).</t>
  </si>
  <si>
    <t>As a CO, I need to be able to document the contract file with background information so that an auditor or other contracting specialist can interpret the entire acquisition history of the contract</t>
  </si>
  <si>
    <t>Ensure system can efficiently:
- Document contracting actions through memorandums to the file
- Access information in the contract file and export it if necessary</t>
  </si>
  <si>
    <t>Activity 32 - Monitor Subcontract Management; Part C - Make-or-Buy Plans, Task 1</t>
  </si>
  <si>
    <t>Identify changes in a make-or-buy program.</t>
  </si>
  <si>
    <t>Documentation of changes to make-or-buy program</t>
  </si>
  <si>
    <t>CA - 237</t>
  </si>
  <si>
    <t>The CWS shall report on all contracts that include FAR clause 52.215-9, or otherwise allow user to easily identify contracts containing the FAR clause 52.215-9 and document the contract file (Tab 39, General Correspondence).</t>
  </si>
  <si>
    <t>As the vendor, I need to request, in writing, any proposed change to the make or buy program described in the contract so the CO can review and either approve or disapprove my request.
As a CO/CS, I need to review the vendor submitted make or buy program change request so that I can approve or deny the request.</t>
  </si>
  <si>
    <t>Ensure system can efficiently:
- Document the receipt of a vendor make or buy program change request
- Document the CO decision to either approve or deny the request
-  Access information in the contract file and export it if necessary</t>
  </si>
  <si>
    <t>Activity 32 - Monitor Subcontract Management; Part C - Make-or-Buy Plans, Task 2</t>
  </si>
  <si>
    <t>Determine whether to accept a change in the make-or-buy program</t>
  </si>
  <si>
    <t>Determination to accept changes to make-or-buy program</t>
  </si>
  <si>
    <t>CA - 238</t>
  </si>
  <si>
    <t>Ensure system can efficiently:
- Document the receipt of a vendor make or buy program change request
- Document the CO decision to either approve or deny the request
- Access information in the contract file and export it if necessary</t>
  </si>
  <si>
    <t>Activity 32 - Monitor Subcontract Management; Part C - Make-or-Buy Plans, Task 3</t>
  </si>
  <si>
    <t>Negotiate an equitable adjustment.</t>
  </si>
  <si>
    <t>CA - 239</t>
  </si>
  <si>
    <t>The CWS shall allow user to create or upload/import a Price Negotiation Memorandum to the contract file (Tab 40, Contract Modifications).</t>
  </si>
  <si>
    <t>As a CO, I need to document my negotiation objectives so that I can demonstrate that I negotiate a fair and reasonable price for changes in the contract terms and conditions</t>
  </si>
  <si>
    <t>Ensure system can efficiently:
- Create a PNM from a template or upload/import one
- Route PNM for reviews and approvals to individuals specified by user
- Access information in the contract file and export it if necessary</t>
  </si>
  <si>
    <t>Activity 32 - Monitor Subcontract Management; Part D - Small Business Subcontracting; Task 1</t>
  </si>
  <si>
    <t>Determine whether the contractor met or exceeded applicable small business subcontracting requirements</t>
  </si>
  <si>
    <t>Review subcontracting reports</t>
  </si>
  <si>
    <t>CA - 240</t>
  </si>
  <si>
    <t>The CWS shall enable user to view subcontracting goals</t>
  </si>
  <si>
    <t>As a CO, I need to monitor the prime contractor's compliance with its subcontracting plan so that I ensure the prime is meeting its subcontracting goals and take appropriate action if required</t>
  </si>
  <si>
    <t>Ensure the CWS can efficiently
- report or display reporting due date for eSRS
- review report submissions in eSRS, or seamlessly transfer from system to eSRS to review report</t>
  </si>
  <si>
    <t>Activity 32 - Monitor Subcontract Management; Part D - Small Business Subcontracting; Task 2</t>
  </si>
  <si>
    <t xml:space="preserve">Identify situations where small business subcontracting plan goals appear to fail due to a lack of good faith effort. </t>
  </si>
  <si>
    <t>Analyze subcontracting reports</t>
  </si>
  <si>
    <t>CA - 241</t>
  </si>
  <si>
    <t>Activity 32 - Monitor Subcontract Management; Part D - Small Business Subcontracting; Task 3</t>
  </si>
  <si>
    <t xml:space="preserve">Notify the contractor of any apparent failure to make a good faith effort to comply with its small business subcontracting plan. </t>
  </si>
  <si>
    <t>Notification to contractor of apparent subcontracting failure</t>
  </si>
  <si>
    <t>6.3.2
6.6.1</t>
  </si>
  <si>
    <t>CA - 242</t>
  </si>
  <si>
    <t>The CWS shall allow the user to transmit correspondence to the contractor or upload correspondence.  The CWS shall allow routing of documents for review and/or approval as needed and document the contract file tab xx.</t>
  </si>
  <si>
    <t>As an acquisition team member, I need to be able to review and route documents, and depending on the document, may also be required to approve such documents so the CO/CS has what she/he needs to document acquisition decisions. 
As a CO, I need to notify the contractor when I believe it has failed to make a good faith effort to comply with its subcontracting plan so that I can give them 15 days to respond with a description of their good faith efforts and so that I can determine if liquidated damages are appropriate.
As a CO, I need to notify the Small Business Technical Advisor that I believe the contractor failed to make a good faith effort to comply with its subcontracting plan so that I comply with GSAR policy</t>
  </si>
  <si>
    <t>Ensure the CWS user can efficiently
- transmit or store correspondence from the CO to the contractor
- route documentation to a reviewer, or download documentation to send to a reviewer outside the system
- Access information in the contract file and export it if necessary tab xx</t>
  </si>
  <si>
    <t>Activity 32 - Monitor Subcontract Management; Part D - Small Business Subcontracting; Task 4</t>
  </si>
  <si>
    <t>Determine whether to assess liquidated damages for contractor failure to make a good faith effort to comply with its small business subcontracting plan.</t>
  </si>
  <si>
    <t>Liquidated damages assessment</t>
  </si>
  <si>
    <t>CA - 243</t>
  </si>
  <si>
    <t>The CWS shall allow the user to create from template or upload a final decision regarding liquidated damages resulting from a contractor's failure to make a good faith effort to meet its subcontracting goals.  The CWS shall also allow documenting the contracting file in tab xx.</t>
  </si>
  <si>
    <t>As a CO, I need to create a final decision letter that conforms to the requirements of GSAR 519.705-7(b) so that I can demand liquidated damages from a contractor and notify the SBTA that I am demanding liquidated damages from the contractor</t>
  </si>
  <si>
    <t>Ensure system can efficiently: 
- create a final decision letter from a template or upload an external letter
- route letter to SBTA in the system, or download the letter for external routing
- Access information in the contract file and export it if necessary</t>
  </si>
  <si>
    <t>Activity 32 - Monitor Subcontract Management; Part D - Small Business Subcontracting; Task 5</t>
  </si>
  <si>
    <t>Issue a final decision assessing liquidated damages for contractor failure to make a good faith effort to comply with its small business subcontracting plan.</t>
  </si>
  <si>
    <t>CO final decision</t>
  </si>
  <si>
    <t>CA - 244</t>
  </si>
  <si>
    <t>The CWS shall allow the user to create or upload a final decision regarding liquidated damages resulting from a contractor's failure to make a good faith effort to meet its subcontracting goals.  The CWS shall also allow documenting the contracting file in tab xx.</t>
  </si>
  <si>
    <t>Activity 32 - Monitor Subcontract Management; Part D - Small Business Subcontracting; Task 6</t>
  </si>
  <si>
    <t xml:space="preserve">Determine the amount of any incentive payment due the contractor for exceeding its small business subcontracting plan goals. </t>
  </si>
  <si>
    <t>Incentive determination</t>
  </si>
  <si>
    <t>CA - 245</t>
  </si>
  <si>
    <t>The CWS shall allow user to establish incentives at the time of contract award.  The CWS shall allow creation from template or upload of an incentive payment determination.  The CWS shall also document the contract file (Tab 39, General Correspondence).</t>
  </si>
  <si>
    <t>As a CO/CS, I need the ability to add financial incentives to the contract so that I can monetarily incentivize the contractor for exceeding subcontracting goals if incentives were negotiated at the time of subcontracting plan approval. I also need to be able to access the action in the contract file and export it if necessary.</t>
  </si>
  <si>
    <t>Ensure system can efficiently:
- Add monetary incentives to a contract
- Create/upload/import incentive payment determination
- Access information in the contract file and export it if necessary</t>
  </si>
  <si>
    <t>Activity 35 - Performance Management; Task 1</t>
  </si>
  <si>
    <t>Monitor contracting officer’s representatives (CORs) and other government support personnel.</t>
  </si>
  <si>
    <t>COR monitoring</t>
  </si>
  <si>
    <t>6.1.1
6.6.1</t>
  </si>
  <si>
    <t>CA - 246</t>
  </si>
  <si>
    <t>The CWS shall allow user to delegate contract administration functions to an internal or external (customer) COR as appropriate. The CWS shall allow user to route copies of the delegation to the contractor, COR, and acquisition team members as designated. The CWS shall document the contract file (Tab 39, General Correspondence).</t>
  </si>
  <si>
    <t>As a contractor, I need to understand the roles and responsibilities, and the authorities vested therein, of the acquisition team. I need to acknowledge receipt of the COR delegation so the CO/CS can document the contract file. 
As a CO/CS, I need to delegate contract administration functions to a COR so that delegated functions can be performed by an individual with either greater subject matter expertise or other qualifications to ensure conforming contractor performance. I need to provide copies of the COR delegation to the contractor, COR and acquisition team members as designated. I also need to be able to access the action in the contract file and export it if necessary.
As a COR, I need to understand the duties and functions delegated to me so I can effectively perform my duties.</t>
  </si>
  <si>
    <t>Ensure system can efficiently:
- Create/upload/import a COR delegation of authority letter
- Intake/allow contractor receipt of the delegation
- Route copies of such delegations to the contractor, the COR, and acquisition team members as designated
- Access information in the contract file and export it if necessary</t>
  </si>
  <si>
    <t>Activity 35 - Performance Management; Task 2</t>
  </si>
  <si>
    <t>Respond to contractor requests for approval or other Government action.</t>
  </si>
  <si>
    <t>CA - 247</t>
  </si>
  <si>
    <t>The CWS shall allow user to create or upload/import responses to contractor requests for approvals or other Government actions (examples include but are not limited to contractor requests to use used, reconditioned or remanufactured supplies or requests for overtime) and to associate the response to the original request. The CWS shall also document the contract file (Tab 39, General Correspondence).</t>
  </si>
  <si>
    <t>As a customer, I need to respond to contractor requests for approval or other action so as not to impede contract performance. 
As a supplier, I need to the Government to respond to my requests for approvals or other action so I can comply with the terms and conditions of my contract.
As a CO/CS, I need to respond to contractor requests for approval or other action so as not to impede contract performance. I also need to be able to access the action in the contract file and export it if necessary. so there is a history of approvals or other action.</t>
  </si>
  <si>
    <t xml:space="preserve">Ensure system can efficiently:
- Intake or allow upload of contractor requests
- Create or upload/import responses to contractor requests
- Associate the response to the original request
- Access information in the contract file and export it if necessary
</t>
  </si>
  <si>
    <t>Activity 35 - Performance Management; Task 3</t>
  </si>
  <si>
    <t xml:space="preserve">Perform duties related to first article testing (if applicable). </t>
  </si>
  <si>
    <t>First article testing report</t>
  </si>
  <si>
    <t>CA - 248</t>
  </si>
  <si>
    <t>The CWS shall allow user to document the duties taken related to first article testing. The CWS shall also document the contract file (Tab 32a, Inspection Reports).</t>
  </si>
  <si>
    <t>As a supplier, I need to know the results of the first article testing so I can either take corrective action or continue performance to comply with the terms and conditions of my contract.
As a CO/CS, I need to either approve, conditionally approve or disapprove the first article and notify the contractor of the action taken as well as provide a copy of the notification to the ACO (if one is delegated). I also need to be able to access the action in the contract file and export it if necessary. so there is a history of approvals or other action.
As an ACO, I need to be aware of first article testing and results thereof so I can fulfill my duties as the ACO.</t>
  </si>
  <si>
    <t xml:space="preserve">Ensure system can efficiently:
- Document first article testing and results
- Notify supplier of test results
- Notify ACO of first article test and results
- Access information in the contract file and export it if necessary
</t>
  </si>
  <si>
    <t>Activity 35 - Performance Management; Task 4</t>
  </si>
  <si>
    <t>Obtain feedback on contractor performance or deliverables.</t>
  </si>
  <si>
    <t>CA - 249</t>
  </si>
  <si>
    <t>The CWS shall allow user to document the contractor's performance and enable the import of relevant performance information into CPARS. The CWS shall also document the contract file (Tab 42, Contract Closeout Documents).</t>
  </si>
  <si>
    <t>As a CO/CS, I need to obtain feedback on contractor performance or deliverables from a variety or sources (e.g., ACO, customers, PMO, etc.) so I can document CPARS. I also need to import relevant performance information I received into CPARS. I also need to be able to access the action in the contract file and export it if necessary.
As an ACO, I need monitor and report contractor compliance to the terms and conditions of the contract so I can fulfill my duties as the ACO.</t>
  </si>
  <si>
    <t xml:space="preserve">Ensure system can efficiently:
- Receive feedback on contractor performance
- Document contractor performance
- Upload/import relevant past performance to CPARS
- Access information in the contract file and export it if necessary
</t>
  </si>
  <si>
    <t>Activity 35 - Performance Management; Task 5</t>
  </si>
  <si>
    <t>Verify and document evidence of actual or potential performance problems, constructive changes, or other breaches.</t>
  </si>
  <si>
    <t>CA - 250</t>
  </si>
  <si>
    <t>The CWS shall allow user to document the evidence of actual or potential performance problems, construction changes, or other breaches and enable the import of relevant performance information into CPARS. The CWS shall also document the contract file (Tab 42, Contract Closeout Documents).</t>
  </si>
  <si>
    <t>Activity 35 - Performance Management; Task 5a</t>
  </si>
  <si>
    <t>Determine potential impact of any identified performance problems, constructive changes, or other breaches on cost, delivery, and other requirements.</t>
  </si>
  <si>
    <t>Analysis of performance</t>
  </si>
  <si>
    <t>CA - 251</t>
  </si>
  <si>
    <t>The CWS shall allow user to create/upload/import the determination of the potential impact of any identified performance problems, constructive changes, or other breaches on cost, delivery and other requirements. The CWS shall also enable the import of relevant performance information into CPARS. The CWS shall also document the contract file (Tab 42, Contract Closeout Documents).</t>
  </si>
  <si>
    <t>As a CO/CS, I need to make a determination of the potential impact of any identified performance problems, constructive changes, or other breaches and take action accordingly so I protect the Government's interest and document CPARS. I also need to import relevant performance information I received into CPARS. I also need to be able to access the action in the contract file and export it if necessary.</t>
  </si>
  <si>
    <t xml:space="preserve">Ensure system can efficiently:
- Create/upload/import the determination of any identified performance problems, constructive changes, or other breaches
- Document contractor performance
- Upload/import relevant past performance to CPARS
- Access information in the contract file and export it if necessary
</t>
  </si>
  <si>
    <t>Activity 35 - Performance Management; Task 5b</t>
  </si>
  <si>
    <t>Resolve problems informally (where possible)</t>
  </si>
  <si>
    <t>Problem resolution</t>
  </si>
  <si>
    <t>CA - 252</t>
  </si>
  <si>
    <t>The CWS shall allow user to document actions taken to resolve problems. The CWS shall also enable the import of relevant performance information into CPARS. The CWS shall also document the contract file (Tab 42, Contract Closeout Documents).</t>
  </si>
  <si>
    <t>As a CO/CS, I need to resolve problems informally where possible and document associated actions so I protect the Government's interest and document CPARS. I also need to import relevant performance information I received into CPARS. I also need to be able to access the action in the contract file and export it if necessary.</t>
  </si>
  <si>
    <t xml:space="preserve">Ensure system can efficiently:
- Create/upload/import the documentation of actions taken to resolve problems
- Document contractor performance
- Upload/import relevant past performance to CPARS
- Access information in the contract file and export it if necessary
</t>
  </si>
  <si>
    <t>Activity 35 - Performance Management; Task 6</t>
  </si>
  <si>
    <t>Invoke formal contractual remedies to resolve identified problems.</t>
  </si>
  <si>
    <t>Contract administration</t>
  </si>
  <si>
    <t>CA - 253</t>
  </si>
  <si>
    <t>The CWS shall allow user to document contractual remedies invoked or taken to resolve problems. The CWS shall also enable the import of relevant performance information into CPARS. The CWS shall also document the contract file (Tab 42, Contract Closeout Documents).</t>
  </si>
  <si>
    <t>As a CO/CS, I need to invoke contractual remedies to resolve problems and document associated actions so I protect the Government's interest and document CPARS. I also need to import relevant performance information I received into CPARS. I also need to be able to access the action in the contract file and export it if necessary.</t>
  </si>
  <si>
    <t xml:space="preserve">Ensure system can efficiently:
- Create/upload/import the documentation of contractual remedies taken to resolve problems
- Document contractor performance
- Upload/import relevant past performance to CPARS
- Access information in the contract file and export it if necessary
</t>
  </si>
  <si>
    <t>Activity 35 - Performance Management; Task 7a (Note--there is no Task 7)</t>
  </si>
  <si>
    <t>Investigate potential or actual delays (if any).</t>
  </si>
  <si>
    <t>CA - 254</t>
  </si>
  <si>
    <t>The CWS shall allow user to document the investigation of potential or actual delays (if any). The CWS shall also enable the import of relevant performance information into CPARS. The CWS shall also document the contract file (Tab 42, Contract Closeout Documents).</t>
  </si>
  <si>
    <t>As a CO/CS, I need to investigate potential or actual delays to resolve problems and document associated actions so I protect the Government's interest and document CPARS. I also need to import relevant performance information I received into CPARS. I also need to be able to access the action in the contract file and export it if necessary.</t>
  </si>
  <si>
    <t xml:space="preserve">Ensure system can efficiently:
- Create/upload/import the investigation results of potential or actual delays
- Document contractor performance
- Upload/import relevant past performance to CPARS
- Access information in the contract file and export it if necessary
</t>
  </si>
  <si>
    <t>Activity 35 - Performance Management; Task 7b</t>
  </si>
  <si>
    <t>Obtain and verify evidence of delay in contract performance.</t>
  </si>
  <si>
    <t>CA - 255</t>
  </si>
  <si>
    <t>The CWS shall allow user to create/upload/import the evidence and verification of performance delays in a memorandum to the file. The CWS shall also enable the import of relevant performance information into CPARS. The CWS shall also document the contract file (Tab 42, Contract Closeout Documents).</t>
  </si>
  <si>
    <t>As a CO/CS, I need to obtain and verify evidence of performance delays to resolve problems and document associated actions so I protect the Government's interest and document CPARS. I also need to import relevant performance information I received into CPARS. I also need to be able to access the action in the contract file and export it if necessary.</t>
  </si>
  <si>
    <t xml:space="preserve">Ensure system can efficiently:
- Create/upload/import the evidence documentation and verification of performance delays
- Document contractor performance
- Upload/import relevant past performance to CPARS
- Access information in the contract file and export it if necessary
</t>
  </si>
  <si>
    <t>Activity 35 - Performance Management; Task 7c</t>
  </si>
  <si>
    <t xml:space="preserve">Determine whether the delay was caused by the Government or by the contractor. </t>
  </si>
  <si>
    <t>Cause determination</t>
  </si>
  <si>
    <t>CA - 256</t>
  </si>
  <si>
    <t xml:space="preserve">The CWS shall allow user to create/upload/import the determination as to who caused the delay (Government or contractor) in the memorandum to the file. The CWS shall document the contract file (Tab 42, Contract Closeout Documents). </t>
  </si>
  <si>
    <t>As a CO/CS, I need to determine whether the delay was caused by the Government or by the contractor. I also need to notify the COR of my determination. I also need to be able to access the action in the contract file and export it if necessary. 
As a COR, I need to know whether the delay was caused by the Government or by the contractor so that I can document performance accordingly.</t>
  </si>
  <si>
    <t xml:space="preserve">Ensure system can efficiently:
- Create/upload/import the determination as to who caused the delay
- Notify the COR
- Access information in the contract file and export it if necessary
</t>
  </si>
  <si>
    <t>Activity 35 - Performance Management; Task 7(c)(i)</t>
  </si>
  <si>
    <t>If the delay was caused by the contractor, identify the type of delay.</t>
  </si>
  <si>
    <t>Type of delay identification</t>
  </si>
  <si>
    <t>CA - 257</t>
  </si>
  <si>
    <t xml:space="preserve">The CWS shall allow user to create/upload/import the type of delay (excusable/non excusable) in the memorandum to the file. The CWS shall document the contract file (Tab 42, Contract Closeout Documents). </t>
  </si>
  <si>
    <t>As a CO/CS, I need to identify whether the delay is excusable or not. I also need to notify the COR of my determination. I also need to be able to access the action in the contract file and export it if necessary. 
As a COR, I need to know whether the delay was caused by the Government or by the contractor so that I can document performance accordingly.</t>
  </si>
  <si>
    <t xml:space="preserve">Ensure system can efficiently:
- Create/upload/import the determination as to the type of delay
- Notify the COR
- Access information in the contract file and export it if necessary
</t>
  </si>
  <si>
    <t>Activity 35 - Performance Management; Task 7(c)(i)(A)</t>
  </si>
  <si>
    <t>If the delay is excusable or commingled, prepare a finding of facts on the delay.</t>
  </si>
  <si>
    <t>Finding of fact</t>
  </si>
  <si>
    <t>CA - 258</t>
  </si>
  <si>
    <t xml:space="preserve">The CWS shall allow user to create/upload/import a finding of facts on the delay in the memorandum to the file. The CWS shall document the contract file (Tab 42, Contract Closeout Documents). </t>
  </si>
  <si>
    <t>As a CO/CS, I need to create/upload/ import a memorandum to the file that addresses my findings of fact regarding the delay so I comply with the authoritative references. I also need to share my findings with the COR. I also need to be able to access the action in the contract file and export it if necessary. 
As a COR, I need to review the CO/CS findings of fact regarding the delay so that I can document performance accordingly.</t>
  </si>
  <si>
    <t xml:space="preserve">Ensure system can efficiently:
- Create/upload/import the memorandum to the file
- Notify the COR
- Access information in the contract file and export it if necessary
</t>
  </si>
  <si>
    <t>Activity 35 - Performance Management; Task 7(c)(i)(B)</t>
  </si>
  <si>
    <t>Given a finding of an excusable or commingled delay, develop a position on modifying the delivery schedule or other contractual requirements.</t>
  </si>
  <si>
    <t>Government position</t>
  </si>
  <si>
    <t>6.2.3
6.2.4.1
6.2.4.2
6.6.1</t>
  </si>
  <si>
    <t>CA - 259</t>
  </si>
  <si>
    <t xml:space="preserve">The CWS shall allow user to create/upload/import the CO's position on modifying the delivery schedule or other contractual requirements in the memorandum to the file. The CWS shall document the contract file (Tab 42, Contract Closeout Documents). </t>
  </si>
  <si>
    <t>As a CO/CS, I need to document my position on modifying the delivery schedule or other contractual requirements so I protect the Government's interests. I also need to share my findings with the COR. I also need to be able to access the action in the contract file and export it if necessary. 
As a COR, I need to review the CO/CS position regarding the delay so that I can document performance accordingly.</t>
  </si>
  <si>
    <t xml:space="preserve">Ensure system can efficiently:
- Create/upload/import the CO's position
- Notify the COR
- Access information in the contract file and export it if necessary
</t>
  </si>
  <si>
    <t>Activity 35 - Performance Management; Task 7(c)(i)(C) (Note--this is misnumbered in the FAI Blueprint - the number here is correct)</t>
  </si>
  <si>
    <t xml:space="preserve">Upon developing a position, negotiate a bilateral modification. </t>
  </si>
  <si>
    <t>CA - 260</t>
  </si>
  <si>
    <t xml:space="preserve">The CWS shall allow user to document the negotiations in the memorandum to the file along with any adjustments made to the price, schedule or delivery. The CWS shall use the information to populate a Standard Form (SF) 30 to the maximum extent practicable and enable the user to make revisions/additions to the SF 30. The CWS shall enable routing of the SF 30 to the supplier. The CWS shall document the contract file (Tab 40, Contract Modifications). </t>
  </si>
  <si>
    <t>As a CO/CS, I need to document my negotiations and make any adjustments to the price, schedule or delivery so I comply with the authoritative references. I need to create/upload/import a SF 30 documenting the modifications made to the contract. I also need to share my findings with the COR. I also need to be able to access the action in the contract file and export it if necessary. 
As a COR, I need to understand what was negotiated regarding the delay so that I can document performance accordingly.</t>
  </si>
  <si>
    <t xml:space="preserve">Ensure system can efficiently:
- Create/upload/import the negotiation outcomes
- Perform the contract modification citing the authority
- Create the SF30 from system data
- Enable revisions/additions to the SF30 data prior to committing the modification
- Provide a copy of the modification to the supplier
- Notify the COR
- Access information in the contract file and export it if necessary
</t>
  </si>
  <si>
    <t>Activity 35 - Performance Management; Task 7(c)(ii)(A)  (Note--this is misnumbered in the FAI Blueprint - the number here is correct)</t>
  </si>
  <si>
    <t>If the delay was caused by the Government, determine the amount of the adjustment</t>
  </si>
  <si>
    <t>Determination of adjustment amount</t>
  </si>
  <si>
    <t>CA - 261</t>
  </si>
  <si>
    <t xml:space="preserve">The CWS shall allow user to create/upload/import a record of the negotiations in the memorandum to the file along with any adjustments made to the price, schedule or delivery. The CWS shall use the information to populate a Standard Form (SF) 30 to the maximum extent practicable and enable the user to make revisions/additions to the SF 30. The CWS shall enable routing of the SF 30 to the supplier. The CWS shall document the contract file (Tab 40, Contract Modifications). </t>
  </si>
  <si>
    <t>As a CO/CS, I need to document my negotiations and make any adjustments to the price, schedule or delivery so I comply with the authoritative references. I need to create/upload/import a SF 30 documenting the modifications made to the contract and send a copy to the supplier. I also need to share my findings with the COR. I also need to be able to access the action in the contract file and export it if necessary. 
As a COR, I need to understand what was negotiated regarding the delay so that I can document performance accordingly.</t>
  </si>
  <si>
    <t>Activity 35 - Performance Management; Task 7(c)(ii)(B)  (Note--this is misnumbered in the FAI Blueprint - the number here is correct)</t>
  </si>
  <si>
    <t xml:space="preserve">After determining the amount of the adjustment, modify the contract accordingly. </t>
  </si>
  <si>
    <t>CA - 262</t>
  </si>
  <si>
    <t>Activity 35 - Performance Management; Task 8 (note--Blueprint Task 7 is mis-numbered and should be Task 8)</t>
  </si>
  <si>
    <t>Maintain documentation in record of file</t>
  </si>
  <si>
    <t>CA - 263</t>
  </si>
  <si>
    <t>Activity 35 - Performance Management; Task 8a</t>
  </si>
  <si>
    <t>Identify a potential need to stop work</t>
  </si>
  <si>
    <t>Determination of need to stop work</t>
  </si>
  <si>
    <t>CA - 264</t>
  </si>
  <si>
    <t>The CWS shall allow user to create or upload a stop work order based on the need to stop work, estimated stop work time period, and determination and require approval of the stop work order at a level above the CO.  The CWS shall document the contract file (Tab 39, General Correspondence.)</t>
  </si>
  <si>
    <t>As a CO, I need to be able to direct the contractor to suspend performance in situations where there is insufficient time to accomplish a bilateral modification so that I can ensure that the government is protected when unforeseen situations arise that may make completion of contract performance undesirable</t>
  </si>
  <si>
    <t>Ensure system can efficiently:
- Create or upload a stop work order
- Route stop work order to 1 or more user specified individuals or groups
- Access information in the contract file and export it if necessary</t>
  </si>
  <si>
    <t>Activity 35 - Performance Management; Task 8b</t>
  </si>
  <si>
    <t>Estimate the time period that work must be stopped (i.e., period of delay).</t>
  </si>
  <si>
    <t>Estimate of stop work order time period</t>
  </si>
  <si>
    <t>CA - 265</t>
  </si>
  <si>
    <t>See row 278, above</t>
  </si>
  <si>
    <t>Activity 35 - Performance Management; Task 8c</t>
  </si>
  <si>
    <t>Determine whether or not to issue a stop-work order.</t>
  </si>
  <si>
    <t>Stop work order determination</t>
  </si>
  <si>
    <t>CA - 266</t>
  </si>
  <si>
    <t>Activity 35 - Performance Management; Task 8d</t>
  </si>
  <si>
    <t>Issue a written stop-work order to stop all or part of the work.</t>
  </si>
  <si>
    <t>Stop work order</t>
  </si>
  <si>
    <t>CA - 267</t>
  </si>
  <si>
    <t>Activity 35 - Performance Management; Task 8e</t>
  </si>
  <si>
    <t>Discuss the stop-work order with the contractor and modify the order (if necessary) considering the results of the discussion.</t>
  </si>
  <si>
    <t>Document discussions with contractor</t>
  </si>
  <si>
    <t>CA - 268</t>
  </si>
  <si>
    <t>The CWS shall allow user to create/upload/import a memorandum to the file that memorializes the discussions held with the contractor and along with the resolution of the stop work order. The CWS shall document the contract file (Tab 39, General Correspondence).</t>
  </si>
  <si>
    <t>As a CO/CS, I need to memorialize my discussions with the contractor and modify the stop work order as a result of those discussions as necessary. I need to determine the resolution of the stop work order by 1) terminating the contract; or 2) cancelling the stop work order; or 3) extending the period of the stop work order if it is necessary and document the contract file.</t>
  </si>
  <si>
    <t>Ensure system can efficiently:
- Create/upload/import a memorandum
- Document resolution of the stop work order
- Access information in the contract file and export it if necessary</t>
  </si>
  <si>
    <t>Activity 35 - Performance Management; Task 8f</t>
  </si>
  <si>
    <t>Take appropriate action to resolve the stop-work order.</t>
  </si>
  <si>
    <t>Resolution of stop work order</t>
  </si>
  <si>
    <t>CA - 269</t>
  </si>
  <si>
    <t>See row 282, above</t>
  </si>
  <si>
    <t>Activity 35 - Performance Management; Task 8g</t>
  </si>
  <si>
    <t>Proceed to Task 8.</t>
  </si>
  <si>
    <t>CA - 270</t>
  </si>
  <si>
    <t>Activity 35 - Performance Management; Task 9a (Note--there is no Task 9)</t>
  </si>
  <si>
    <t>Determine the need to suspend work.</t>
  </si>
  <si>
    <t>Determination to suspend work</t>
  </si>
  <si>
    <t xml:space="preserve"> User Story</t>
  </si>
  <si>
    <t xml:space="preserve"> Acceptance Criteria</t>
  </si>
  <si>
    <t>General-1</t>
  </si>
  <si>
    <t>Ensure each PIID used to identify a solicitation or contract action is unique Governmentwide, and will remain so for at least 20 years from the date of contract award. Use the PIID to identify all solicitation and contract actions. Use the PIID to identify solicitation and contract actions in designated support and reporting systems (e.g., Federal Procurement Data System, System for Award Management), in accordance with regulations, applicable authorities, and agency policies and procedures. Ensure the PIID follows the proper identifying numbers for the organizational entity using the system.</t>
  </si>
  <si>
    <t xml:space="preserve">As a CO/CS, I use a unique procurement instrument identifier for all actions associated with that identifier throughout the acquisition life cycle in order to comply with the authoritative references. </t>
  </si>
  <si>
    <t>Ensure system can efficiently:
- Use the established PIID as designated by the agency</t>
  </si>
  <si>
    <t>CA - 271</t>
  </si>
  <si>
    <t>The CWS shall allow user to create or upload an order for a suspension of work under a construction or architect-engineer contract for a reasonable period of time. The CWS shall allow the contractor to submit a written claim for increases in the cost of performance, excluding profit, for suspension orders. If such claim is received, the CWS shall allow the user to address the claim and modify the contract accordingly. The CWS shall document the contract file (Tab 39, General Correspondence and if a claim results, file the claim under Tab 42, Contract Close Out Documents).</t>
  </si>
  <si>
    <t>As a CO/CS, I need to be able to direct the contractor to suspend performance in situations where there is insufficient time to accomplish a bilateral modification so that I can ensure that the government is protected when unforeseen situations arise that may make completion of contract performance undesirable. I also need to address any contract claims submitted of such suspensions and modify the contract accordingly. I also need to be able to access the action in the contract file and export it if necessary.</t>
  </si>
  <si>
    <t>Ensure system can efficiently:
- Create or upload a suspension order
- Receive contractor claims
- Resolve contractor claims
- Modify the contract if necessary
- Access information in the contract file and export it if necessary</t>
  </si>
  <si>
    <t>Activity 35 - Performance Management; Task 9b</t>
  </si>
  <si>
    <t>Order the contractor, in writing, to suspend the work</t>
  </si>
  <si>
    <t>Suspension work order</t>
  </si>
  <si>
    <t>CA - 272</t>
  </si>
  <si>
    <t>See row 285, above</t>
  </si>
  <si>
    <t>Activity 35 - Performance Management; Task 9c</t>
  </si>
  <si>
    <t>Determine whether an adjustment should be made because of an unreasonable delay, suspension or interruption of the contract, and modify the contract accordingly</t>
  </si>
  <si>
    <t>Adjustment determination and contract modification as applicable</t>
  </si>
  <si>
    <t>CA - 273</t>
  </si>
  <si>
    <t>Activity 35 - Performance Management; Task 9d</t>
  </si>
  <si>
    <t>CA - 274</t>
  </si>
  <si>
    <t>General-2</t>
  </si>
  <si>
    <t>Obtain UPIID through a GSA provided web service</t>
  </si>
  <si>
    <t>Activity 36 - Commercial/Simplified Acquisition Remedies - Part A - Select A Formal Contract Remedy; Task 1</t>
  </si>
  <si>
    <t>Obtain evidence of any reported contractor failure to perform or other breach of contract.</t>
  </si>
  <si>
    <t>General-3</t>
  </si>
  <si>
    <t>Prohibit duplicate PIIDs</t>
  </si>
  <si>
    <t>As a user, I need to ensure PIIDs are not inadvertently duplicated to ensure reporting accuracy.</t>
  </si>
  <si>
    <t>Ensure the system can efficiently:
- Prohibit duplicate PIIDs</t>
  </si>
  <si>
    <t>CA - 275</t>
  </si>
  <si>
    <t>The CWS shall allow user to collect evidence of reported contractor failures or other breach of contract and analyze such evidence in reaching a determination that the contractor failed to performance in accordance with the contract terms and conditions. The CWS shall enable the user to collaborate with the acquisition team on the appropriate remedy(ies) to correct performance and whether to reduce or withhold payment as a result. The CWS shall allow the user to create/upload/import a cure notice and document the file (Tab 41, Termination Documents).</t>
  </si>
  <si>
    <t xml:space="preserve">As an acquisition team member, I need to be able to review and route documents, and depending on the document, may also be required to approve such documents so the CO/CS has what she/he needs to document acquisition decisions. 
As a CO/CS, I need to collect evidence of reported contractor performance failures or other breach and analyze the evidence to reach a determination that the contractor is in default. I need to collaborate with the acquisition team to select the appropriate remedy for the performance failure and determine whether to reduce or withhold payments. I also need the ability to issue a cure notice to the contractor so they understand the gravity of the performance failure and can take corrective action. I also need to be able to access the action in the contract file and export it if necessary. </t>
  </si>
  <si>
    <t>Ensure system can efficiently:
- Collect evidence of reported contractor failures or other breach
- Document the analysis of such evidence
- Document determination
- Collaborate with the acquisition team
- Create/upload/import a cure notice</t>
  </si>
  <si>
    <t>Activity 36 - Commercial/Simplified Acquisition Remedies - Part A - Select A Formal Contract Remedy; Task 2</t>
  </si>
  <si>
    <t>Determine if the contractor failed to comply with contract requirements</t>
  </si>
  <si>
    <t>Determination of failure to comply with contract terms</t>
  </si>
  <si>
    <t>General-4</t>
  </si>
  <si>
    <t>Enable an authorized user to permit the user to choose between automatic or manual assignment of an instrument number only as long as the manually assigned number complies with the GSAM. Note - automatic assignments are the norm, but on occasion, it is necessary to manually assign an instrument number.</t>
  </si>
  <si>
    <t>As an authorized user, I need the ability to manually establish an instrument number (e.g., loading dummy contracts) if the circumstances warrant such action.</t>
  </si>
  <si>
    <t>Ensure the system can efficiently:
- Enable manual assignment
- Prohibit duplicate manual assignment
- Track manual assignment</t>
  </si>
  <si>
    <t>CA - 276</t>
  </si>
  <si>
    <t>See row 289, above</t>
  </si>
  <si>
    <t>Activity 36 - Commercial/Simplified Acquisition Remedies - Part A - Select A Formal Contract Remedy; Task 3</t>
  </si>
  <si>
    <t>Select one or more formal remedies</t>
  </si>
  <si>
    <t>Document selected remedy</t>
  </si>
  <si>
    <t>General-5</t>
  </si>
  <si>
    <t>Enable the designation of non-overlapping instrument serial ranges for one or more instrument types for an associated program/security group.</t>
  </si>
  <si>
    <t>FAS has numerous program offices that place orders against established vehicles and needs the ability to assign a range of instrument numbers each fiscal year per program/security group to enable data tracking and reporting. When the user is a member of a program/security group associated with a designated range of numbers, the system shall enable the user to create an instrument with an identifying number in that range.</t>
  </si>
  <si>
    <t>Ensure the system can efficiently:
- Establish a range of instrument numbers for each program office each fiscal year and enable its use
- Report on actions per program/security group</t>
  </si>
  <si>
    <t>CA - 277</t>
  </si>
  <si>
    <t>Activity 36 - Commercial/Simplified Acquisition Remedies - Part A - Select A Formal Contract Remedy; Task 4</t>
  </si>
  <si>
    <t xml:space="preserve">Determine whether to reduce or withhold payment. </t>
  </si>
  <si>
    <t>General-6</t>
  </si>
  <si>
    <t>Provide a soft warning to the user if a manually assigned instrument number is out of sequence with other associated and executed actions.</t>
  </si>
  <si>
    <t>As a user, I need to be notified when establishing an instrument number manually if the number is out of sequence so I can take corrective action.</t>
  </si>
  <si>
    <t>Ensure the system can efficiently:
- Notify out-of-sequence numbering for manual transactions</t>
  </si>
  <si>
    <t>General-7</t>
  </si>
  <si>
    <t>Initiate the creation of an instrument without referencing a Purchase Request as designated by the user and permitted by the business rules.</t>
  </si>
  <si>
    <t>FAS creates numerous multiple award IDIQ contracts that don't require a PR to create the contract vehicle as funding typically occurs at the order level. However, for certain vehicles, FAS may fund any guaranteed minimum order of these contract vehicles without the use of a PR (but not always).</t>
  </si>
  <si>
    <t>Ensure the system can efficiently:
- Initiate creation of an instrument without a PR</t>
  </si>
  <si>
    <t>CA - 278</t>
  </si>
  <si>
    <t>General-8</t>
  </si>
  <si>
    <t>Enable the selection of a fiscal year beyond the current fiscal year during the unique instrument number assignment process.</t>
  </si>
  <si>
    <t>FAS often awards contracts that aren't effective until the new fiscal year. As such, users need the ability to select a fiscal year beyond the current year so the system can assign an appropriate unique instrument number.</t>
  </si>
  <si>
    <t>Ensure the system can efficiently:
- Enable user to select a fiscal year beyond the current fiscal year during the unique instrument assignment process</t>
  </si>
  <si>
    <t>Activity 36 - Commercial/Simplified Acquisition Remedies - Part B - Cure Notice; Task 1</t>
  </si>
  <si>
    <t>Determine whether to issue a cure notice.</t>
  </si>
  <si>
    <t>Determination to issue cure notice and supporting documentation (e.g., review, approvals, etc.)</t>
  </si>
  <si>
    <t>General-9</t>
  </si>
  <si>
    <t>Enable the creation of one or more instruments based upon one or more selected source documents wherein the pertinent data from the source document is pre populated into the instrument.</t>
  </si>
  <si>
    <t>FAS uses its own contract vehicles and requires the system to carryover data from the source contract to the order.</t>
  </si>
  <si>
    <t>Ensure the system can efficiently:
- Minimize data entry
- Facilitate ordering</t>
  </si>
  <si>
    <t>General-10</t>
  </si>
  <si>
    <t>Create an award instrument that incorporates all terms and conditions from a solicitation by carrying forward the exact data from the solicitation instrument into a draft award instrument unless otherwise designated by the user.</t>
  </si>
  <si>
    <t>Users want to minimize the data entry necessary in drafting contracts or orders so having the system carry the terms and conditions from the solicitation to the draft award helps users be more efficient. Users also need to be able to designate which terms and conditions don't carry forward as applicable.</t>
  </si>
  <si>
    <t>Ensure the system can efficiently:
- Minimize data entry
- Designate which terms and conditions don't carry forward</t>
  </si>
  <si>
    <t>CA - 279</t>
  </si>
  <si>
    <t>General-11</t>
  </si>
  <si>
    <t>Enable an authorized user within their delegated authority to sign contracts and orders.</t>
  </si>
  <si>
    <t>As a CO, I need to execute contracts and task orders to officially commit the Government to the purchase.</t>
  </si>
  <si>
    <t>Ensure system can efficiently:
- Enable an authorized user to sign awards using digital signature as described in the digital signature tab</t>
  </si>
  <si>
    <t>Activity 36 - Commercial/Simplified Acquisition Remedies - Part B - Cure Notice; Task 2</t>
  </si>
  <si>
    <t>Issue the cure notice.</t>
  </si>
  <si>
    <t>Cure notice to contractor</t>
  </si>
  <si>
    <t>General-12</t>
  </si>
  <si>
    <t>Enable a user to create new contracts and orders based on an existing contract/order of the same instrument type by replicating Contract Line Items (CLINs), Clauses, Terms and Conditions, and formats from the source instrument into the destination instrument and assigning a new instrument identifier.</t>
  </si>
  <si>
    <t xml:space="preserve">FAS awards and administers several multiple award indefinite delivery/indefinite quantity contracts under various programs like GWACs or MACs and needs to be able to copy contracts and orders into a new contract/order with a new instrument identifier to improve the efficiency of managing these programs. </t>
  </si>
  <si>
    <t>Ensure the system can efficiently:
- Minimize data entry
- Enable copying</t>
  </si>
  <si>
    <t>CA - 280</t>
  </si>
  <si>
    <t>General-13</t>
  </si>
  <si>
    <t>Enable a user to issue orders against non-GSA instruments without requiring the user to manually recreate the basic external award instrument.</t>
  </si>
  <si>
    <t>FAS places orders against other agency contract vehicles and requires the system to carry forward contract information without recreating the basic external award instrument to minimize data entry and the number of systems the workforce needs to work in.</t>
  </si>
  <si>
    <t>Ensure the system can efficiently:
- Enable users to issue orders without recreating the basic external award document</t>
  </si>
  <si>
    <t>Activity 36 - Commercial/Simplified Acquisition Remedies - Part B - Cure Notice; Task 3</t>
  </si>
  <si>
    <t>Obtain the contractor’s response and determine the validity of any supporting data offered by the contractor</t>
  </si>
  <si>
    <t>Review contractor's response</t>
  </si>
  <si>
    <t>General-14</t>
  </si>
  <si>
    <t>Upon creation of a user profile, leverage existing GSA FAS organizational information for users to support access controls and user profile data (e.g., warrant levels, user role, security group), where possible.</t>
  </si>
  <si>
    <t>All users can benefit if the system can leverage GSA FAS organizational information to support access controls and user profile data to minimize the data entry needed to create a user profile.</t>
  </si>
  <si>
    <t>Ensure system can efficiently:
- Leverage existing GSA FAS organizational information</t>
  </si>
  <si>
    <t>CA - 281</t>
  </si>
  <si>
    <t>General-15</t>
  </si>
  <si>
    <t>The CWS shall allow user to receive the contractor's response to the cure notice and review the evidence and supporting data offered by the contractor regarding the performance failure or other breach. The CWS shall allow user to determine the appropriate next steps which could include 1) modifying the contract; or 2) terminating the contract either for cause or for convenience and document the file (Tab 41, Termination Documents).</t>
  </si>
  <si>
    <t>Generate alerts, emails, and notices to notify appropriate individuals whenever an action or activity is required throughout the acquisition life cycle as designated by the user. When actions remain open, send follow up alerts, emails, and notices on a user-designated schedule until the user takes action (either by completing the action or silencing the notifications).</t>
  </si>
  <si>
    <t xml:space="preserve">As a CO/CS, I need to be able to review the contractor's response to my cure notice and examine the supporting data provided by the contractor to reach a determination on the appropriate next steps which could result in either modifying the contract or terminating it in order to protect the Government's interest. If I elect to modify the contract, I need the CWS to create/upload/import the data needed for the modification. If I elect to terminate the contract, I need the CWS to create/upload/import the termination notice and document the file (Tab 41, Termination Documents). </t>
  </si>
  <si>
    <t>A user need to be notified whenever an action or activity is required of the user throughout the acquisition life cycle so that actions are completed timely. If a user doesn't take timely action, the system needs to generate reminders as designated by the user until the action is completed or the notification is silenced.</t>
  </si>
  <si>
    <t>Ensure system can efficiently:
- Receive and review contractor response
- Document determination of next steps
- Either modify the contract or terminate it, as determined by the CO/CS
- Create/upload/import the data needed to modify the contract or create the termination notice
- Access information in the contract file and export it if necessary</t>
  </si>
  <si>
    <t>Ensure system can efficiently:
- Generate alerts, emails, and notices timely
- Generate follow up when actions remain open
- Silence notifications</t>
  </si>
  <si>
    <t>General-16</t>
  </si>
  <si>
    <t>Enable users to execute a final data integrity validation process prior to finalizing actions.</t>
  </si>
  <si>
    <t>As a user, I need the system to validate the data integrity of actions prior to finalizing them so I protect the Government's best interest.</t>
  </si>
  <si>
    <t>Activity 36 - Commercial/Simplified Acquisition Remedies - Part B - Cure Notice; Task 4</t>
  </si>
  <si>
    <t>Ensure system can efficiently:
- Validate data integrity of actions</t>
  </si>
  <si>
    <t>Determine the next step</t>
  </si>
  <si>
    <t>Document decision</t>
  </si>
  <si>
    <t>General-17</t>
  </si>
  <si>
    <t>Enable users to resolve the issues identified when an action fails a data integrity check.</t>
  </si>
  <si>
    <t>As a user, I need to be able to understand why the final data integrity validation failed so I can take corrective action to protect the Government's best interest.</t>
  </si>
  <si>
    <t>Ensure system can efficiently:
- Identify errors so the user knows how to fix them
- Enable the user to fix the error(s)</t>
  </si>
  <si>
    <t>General-18</t>
  </si>
  <si>
    <t>Automatically perform edit checks as the user executes actions within the system.</t>
  </si>
  <si>
    <t>As a user, I need to know when there are errors in the action I'm working on to minimize the amount of re-work necessary.</t>
  </si>
  <si>
    <t>Ensure system can efficiently:
- Perform edit checks
- Notify user of errors</t>
  </si>
  <si>
    <t>General-19</t>
  </si>
  <si>
    <t>Enable users to establish default and ad-hoc notification preferences for a variety of actions to include alerts, notifications, errors, overdue items, on-screen help, etc..</t>
  </si>
  <si>
    <t>As a user, I need the ability to establish default and ad-hoc preferences for how the system notifies me of actions that require my attention or are overdue.</t>
  </si>
  <si>
    <t>Ensure system can efficiently:
- Enable users to establish notification preferences</t>
  </si>
  <si>
    <t>General-20</t>
  </si>
  <si>
    <t>Enable user to mark data created/uploaded/ imported with the appropriate release restrictions as follows: "Source Selection Information-See FAR 2.101 and 3.104."</t>
  </si>
  <si>
    <t>As a CO/CS, I need the ability to mark data as procurement sensitive to guard against its inadvertent release.</t>
  </si>
  <si>
    <t>Ensure system can efficiently:
- Mark procurement sensitive data with the appropriate legend</t>
  </si>
  <si>
    <t>CA - 282</t>
  </si>
  <si>
    <t>See row 295, above</t>
  </si>
  <si>
    <t>General-21</t>
  </si>
  <si>
    <t>Secure procurement sensitive data from unauthorized release.</t>
  </si>
  <si>
    <t>As a user, I must not inadvertently release procurement sensitive data so I don't violate ethics and procurement integrity regulations.</t>
  </si>
  <si>
    <t>Ensure system can efficiently:
- Secure procurement sensitive data from unauthorized release</t>
  </si>
  <si>
    <t>Activity 36 - Commercial/Simplified Acquisition Remedies - Part B - Cure Notice; Task 5a (Note--there is no Task 5)</t>
  </si>
  <si>
    <t>General-22</t>
  </si>
  <si>
    <t>If the decision is to take no further action, provide written notice of the contractor and document a finding of facts.</t>
  </si>
  <si>
    <t>Enable user to use single sign on (SSO) capabilities to initially log into the system based on GSA credentials and use those credentials to access all parts of the system without re authenticating.</t>
  </si>
  <si>
    <t>Notice to contractor and document finding of facts</t>
  </si>
  <si>
    <t>As a user, I want to work in the  as efficiently as possible and minimize the number of separate systems I need to log into to perform work.</t>
  </si>
  <si>
    <t>Ensure system can efficiently:
- Use SSO to log into the 
- Access all modules and functionality of the  without re-authenticating</t>
  </si>
  <si>
    <t>General-23</t>
  </si>
  <si>
    <t>Incorporate organizational Procurement Management Review (PMR), headquarters, local level checklists and user aides into the system for actions and workflows.</t>
  </si>
  <si>
    <t xml:space="preserve">Checklists and user aides help me understand and comply with policy and ensure contract quality and consistency across acquisition outputs. </t>
  </si>
  <si>
    <t>Ensure system can efficiently:
- Incorporate checklists and user aides</t>
  </si>
  <si>
    <t>CA - 283</t>
  </si>
  <si>
    <t>Activity 36 - Commercial/Simplified Acquisition Remedies - Part B - Cure Notice; Task 5b</t>
  </si>
  <si>
    <t xml:space="preserve">If the decision is to modify the contract, execute a bilateral modification. </t>
  </si>
  <si>
    <t>General-24</t>
  </si>
  <si>
    <t>Enable users at all levels to incorporate and monitor progress towards small business and competition goals.</t>
  </si>
  <si>
    <t>Identifying socio-economic and competition goals and progress in achieving them is a critical function of my job.  I need to slice and dice the data and share the information in order to respond to data calls, redirect acquisition efforts if needed or identify areas that require additional attention. Goals and progress thereto are needed at all hierarchy levels of the organization.</t>
  </si>
  <si>
    <t>Ensure system can efficiently:
- Incorporate and track progress towards socio-economic and competition goals at all levels
- Produce data in dashboards where data can be downloaded or imaged, shared and distributed</t>
  </si>
  <si>
    <t>General-25</t>
  </si>
  <si>
    <t>When multiple awards or Indefinite Delivery Vehicles (IDV) are made, enable a user to establish cumulative minimum and maximum constraints at both the instrument level and the line item level for individual contracts, or for the group.</t>
  </si>
  <si>
    <t>As an enterprise contract manager, I need to establish cumulative minimum and maximum constraints at both the contract level and line item level for individual contracts or for the group in order to help me manage my contract vehicle so I may take the appropriate action as necessary.</t>
  </si>
  <si>
    <t>Ensure the user can efficiently:
- Establish min/max constraints at contract and line item levels
- Enable enterprise contract managers to manage the IDV</t>
  </si>
  <si>
    <t>CA - 284</t>
  </si>
  <si>
    <t>Activity 36 - Commercial/Simplified Acquisition Remedies - Part B - Cure Notice; Task 5c</t>
  </si>
  <si>
    <t xml:space="preserve">If the decision is to terminate the contractor for convenience or cause, implement the termination. </t>
  </si>
  <si>
    <t>Termination document</t>
  </si>
  <si>
    <t>General-26</t>
  </si>
  <si>
    <t>Provide visibility for GSA enterprise contracts (such as GSA Schedules, OASIS, Alliant, etc.) and their ordering procedures and make them available to issue orders against.</t>
  </si>
  <si>
    <t>Visibility of acquisition vehicles helps me determine if it's a viable acquisition vehicle to use for my requirement and tells me what I need to do to place orders against them so I comply with ordering procedures.</t>
  </si>
  <si>
    <t>Ensure system can efficiently:
- Capture and display enterprise contracts and their ordering procedures</t>
  </si>
  <si>
    <t>General-27</t>
  </si>
  <si>
    <t>Calculate and display the ceiling, obligated and remaining values associated with minimum and maximum constraints of GSA enterprise contracts as orders and modifications are awarded or amounts are decreased.</t>
  </si>
  <si>
    <t>Visibility of contract ceilings and awards for GSA-enterprise contracts helps me as a user to determine if it's a viable acquisition vehicle to use for my requirement.  
As an enterprise contract manager, visibility of contract ceilings and awards helps me manage my contract vehicle so I may take the appropriate action as ceilings are reached.</t>
  </si>
  <si>
    <t>Ensure the user can efficiently:
- Display contract ceilings to enterprise contract users
- Enable enterprise contract managers to track orders to monitor ceilings</t>
  </si>
  <si>
    <t>General-28</t>
  </si>
  <si>
    <t>CA - 285</t>
  </si>
  <si>
    <t>Provide ceiling and award visibility into GSA enterprise contracts such as those described above. When the sum of quantities, face value and obligated value reaches 75% of the basic instrument ceiling, the system shall notify the owner of that instrument.</t>
  </si>
  <si>
    <t>General-29</t>
  </si>
  <si>
    <t>Provide visibility for other non-GSA enterprise contracts (e.g., Chess, NASA SEWP, etc.) and their ordering procedures and make them available to issue orders against.</t>
  </si>
  <si>
    <t>Ensure system can efficiently:
- Capture and display non-GSA enterprise contracts and their ordering procedures</t>
  </si>
  <si>
    <t>Activity 36 - Commercial/Simplified Acquisition Remedies - Part B - Cure Notice; Task 6</t>
  </si>
  <si>
    <t>General-30</t>
  </si>
  <si>
    <t>Provide ceiling and award visibility into other non-GSA enterprise contracts such as those described above.</t>
  </si>
  <si>
    <t xml:space="preserve">Visibility of contract ceilings for non-GSA enterprise contracts helps me determine if it's a viable acquisition vehicle to use for my requirement. </t>
  </si>
  <si>
    <t>Ensure the user can efficiently:
- Display contract ceilings to ordering entities</t>
  </si>
  <si>
    <t>General-31</t>
  </si>
  <si>
    <t>When the system receives an externally generated transaction, validate the transaction for processing.</t>
  </si>
  <si>
    <t>As a user, I want to work on validated data to minimize errors and improve contract quality.</t>
  </si>
  <si>
    <t>Ensure system can efficiently:
- Work with validated data</t>
  </si>
  <si>
    <t>CA - 286</t>
  </si>
  <si>
    <t>General-32</t>
  </si>
  <si>
    <t>When the system generates an external transaction, validate the transaction prior to sending.</t>
  </si>
  <si>
    <t>As a user, I want to ensure my work is validated to minimize errors and improve contract quality.</t>
  </si>
  <si>
    <t>Ensure system can efficiently:
- Ensure data is validated before release</t>
  </si>
  <si>
    <t>Activity 37 - Non-Commercial Acquisition Remedies - Part A - Select a Formal Contract Remedy; Task 1</t>
  </si>
  <si>
    <t>General-33</t>
  </si>
  <si>
    <t>When the validation of an external transaction fails, issue an error message that identifies the error.</t>
  </si>
  <si>
    <t>As a user, I need to know what is wrong so the problem can be fixed.</t>
  </si>
  <si>
    <t>Ensure system can efficiently:
- Know when errors occur
- Know how to fix the error</t>
  </si>
  <si>
    <t>General-34</t>
  </si>
  <si>
    <t>Automatically generate the hierarchical relationship between an instrument and its constituent line items when the instrument is created to enable tracking and reporting of contract ceilings, maximum order limitations or quantity limitations of line items.</t>
  </si>
  <si>
    <t>As a user, I need to be able to enforce contract ceilings or line item maximums to not exceed the established levels. The system needs to track the quantities/dollars accordingly. For example, if there is an established quantity limit on a line item of 100 and an order is placed for 25, I need the system to identify the remaining availability. As another example, if I am close to an established contract ceiling, I need the system to notify me before the ceiling is reached (as specified elsewhere in these requirements).</t>
  </si>
  <si>
    <t>Ensure system can efficiently:
- Relate an instrument to its line items
- Enable enforcement of ceilings, maximum order limitations, or line item maximums
- Report on status</t>
  </si>
  <si>
    <t>CA - 287</t>
  </si>
  <si>
    <t>The CWS shall allow users to create or upload performance/surveillance reports to the contract file (Tab 42, Contract Closeout Documents),</t>
  </si>
  <si>
    <t>As a COR, I need to record contract surveillance/inspection reports in the contract file so that I can justify performance ratings that I assign the contractor in CPARS. 
As a CO/CS, I need to be able to review surveillance/inspection reports so that I can validate that performance reports are substantiated/justified by sufficient documentation in the contract file.</t>
  </si>
  <si>
    <t xml:space="preserve">Ensure system can efficiently:
- Store surveillance/inspection reports in the contract file
- Review surveillance/inspection reports in determining contractor performance ratings </t>
  </si>
  <si>
    <t>Activity 37 - Non-Commercial Acquisition Remedies - Part A - Select a Formal Contract Remedy; Task 2</t>
  </si>
  <si>
    <t>Determine contract compliance</t>
  </si>
  <si>
    <t>General-35</t>
  </si>
  <si>
    <t>CA - 288</t>
  </si>
  <si>
    <t>When user edits an instrument, automatically revise the hierarchical relationship between an instrument and its constituent line items.</t>
  </si>
  <si>
    <t xml:space="preserve">As a user, I need to rely that the system has the most accurate ceiling, MOL, or maximums on hand so I do not exceed the established levels. </t>
  </si>
  <si>
    <t>Ensure system can efficiently:
- Ensure changes in an edited instrument are reflected in its line items</t>
  </si>
  <si>
    <t>Activity 37 - Non-Commercial Acquisition Remedies - Part A - Select a Formal Contract Remedy; Task 3</t>
  </si>
  <si>
    <t>Select one or more formal remedies.</t>
  </si>
  <si>
    <t>Determination of appropriate remedy</t>
  </si>
  <si>
    <t>General-36</t>
  </si>
  <si>
    <t>Link instruments and line items and carry them forward through the procurement life cycle.</t>
  </si>
  <si>
    <t xml:space="preserve">As a user, I want to create/maintain the link between the instrument and its line items so I maintain fidelity of contract actions and improve quality. </t>
  </si>
  <si>
    <t>Ensure system can efficiently:
- Create/maintain link between the instrument and its line items</t>
  </si>
  <si>
    <t>CA - 289</t>
  </si>
  <si>
    <t>General-37</t>
  </si>
  <si>
    <t>Activity 37 - Non-Commercial Acquisition Remedies - Part A - Select a Formal Contract Remedy; Task 4</t>
  </si>
  <si>
    <t>Enable a user to view a list of all orders issued against a selected basic instrument.</t>
  </si>
  <si>
    <t xml:space="preserve">Visibility of orders placed against a selected basic instrument helps me understand how the instrument is being used so I can be a more effective program manager. </t>
  </si>
  <si>
    <t>Ensure system can efficiently:
- View a list orders issued against a selected basic instrument</t>
  </si>
  <si>
    <t>General-38</t>
  </si>
  <si>
    <t>When a list of all orders issued against a selected basic instrument is displayed, include the quantities, dollar values awarded, and obligated dollar values for the associated conformed orders in the view.</t>
  </si>
  <si>
    <t xml:space="preserve">Visibility of order details placed against a selected basic instrument helps me understand how the instrument is being used that I can be a more effective program manager. </t>
  </si>
  <si>
    <t>Ensure system can efficiently:
- View order details issued against a selected basic instrument</t>
  </si>
  <si>
    <t>General-39</t>
  </si>
  <si>
    <t xml:space="preserve">Enable users to create a contract file and automatically file documents based on the established business rules. Permit overrides of the established business rules, subject to approval, for filing on an exception basis and keep a record of approvals and exceptions along with the ability to report on such. </t>
  </si>
  <si>
    <t>As a CO/CS, I need to create a contract file for my acquisition to comply with the authoritative references and serve as a record of the transactions therein.
As a supervisor, I need access to contract files so I can review and assess employee performance and ensure quality contracts. I also need to approve overrides for filing on an exception basis. I need to run a report on the number of overrides and exceptions and reasoning for such.
As an auditor, I need access to contract file so I can audit the contract file and/or perform quality reviews. I also need to review overrides and exceptions.
As a COR, I need access to the contract files that the CO has delegated to me so I can perform my duties as the COR and document the contract file.
As an Industrial Operations Analyst, I need access to the contract files that I am assigned to so I can perform my duties as the Industrial Operations Analyst and document the contract file.
As an Administrative Contracting Officer, I need access to the contract files that I am assigned to so I can perform my duties as the Administrative Contracting Officer and document the contract file.</t>
  </si>
  <si>
    <t>CA - 290</t>
  </si>
  <si>
    <t>Activity 37 - Non-Commercial Acquisition Remedies - Part B - Prepare a Cure or Show Cause Notice; Task 1</t>
  </si>
  <si>
    <t>Cure notice determination</t>
  </si>
  <si>
    <t>General-40</t>
  </si>
  <si>
    <t>Enable users to attach / append information or document(s) to actions in my queue.</t>
  </si>
  <si>
    <t>As a user, I may need to supplement an action with additional information and need a way to be able to make this information available to others.</t>
  </si>
  <si>
    <t>Ensure system can efficiently:
- Attach / append the action with additional information</t>
  </si>
  <si>
    <t>General-41</t>
  </si>
  <si>
    <t xml:space="preserve">Provide the end user with a conformed version of the contract, inclusive of modifications. If requested by the end user, provide a log that identifies actions that comprise the conformed version of the contract. </t>
  </si>
  <si>
    <t>As a CO/CS, my copy of the contract needs to be current, accurate and complete. I don't want to go through each modification to ensure I understand all my terms and conditions--the contract needs to be conformed with each modification issued so that I can properly administer the contract and render decisions.
As a COR, my copy of the contract needs to be current, accurate and complete so I can perform the duties delegated to me by my CO.
As an auditor, my copy of the contract needs to be current, accurate and complete to aid in the accuracy of my audit findings.</t>
  </si>
  <si>
    <t>Ensure system can efficiently:
- Obtain a conformed version of the contract</t>
  </si>
  <si>
    <t>CA - 291</t>
  </si>
  <si>
    <t>General-42</t>
  </si>
  <si>
    <t>Enable an enterprise system administrator to create, modify and store master templates.</t>
  </si>
  <si>
    <t>As an enterprise system administrator, I need to create, modify and store master templates for the organization at-large to use to comply with policy requirements and/or streamline acquisitions.</t>
  </si>
  <si>
    <t>Ensure system can efficiently:
- Create, modify and store master templates</t>
  </si>
  <si>
    <t>General-43</t>
  </si>
  <si>
    <t>Activity 37 - Non-Commercial Acquisition Remedies - Part B - Prepare a Cure or Show Cause Notice; Task 2</t>
  </si>
  <si>
    <t>Enable an enterprise system administrator to set program area permissions regarding master templates.</t>
  </si>
  <si>
    <t>As an enterprise system administrator, I need to set permissions regarding the use or modification of master templates to ensure compliance with policy requirements.</t>
  </si>
  <si>
    <t>Issue the cure notice</t>
  </si>
  <si>
    <t>Ensure system can efficiently:
- Set permissions</t>
  </si>
  <si>
    <t>General-44</t>
  </si>
  <si>
    <t>Enable a user to export master templates. Ensure users export the most current master templates.</t>
  </si>
  <si>
    <t xml:space="preserve">As a user, I want to export current templates to streamline the steps to complete an action and improve the quality of that action. </t>
  </si>
  <si>
    <t>Ensure system can efficiently:
- Export current versions of master templates</t>
  </si>
  <si>
    <t>General-45</t>
  </si>
  <si>
    <t>Enable a program area administrator to create, modify and store locally defined templates for their program area needs unless otherwise restricted by the enterprise administrator.</t>
  </si>
  <si>
    <t>As a program area administrator, I need to create, modify and store locally defined templates for my program area to meet my business needs.</t>
  </si>
  <si>
    <t>Ensure system can efficiently:
- Create, modify and store locally defined templates</t>
  </si>
  <si>
    <t>CA - 292</t>
  </si>
  <si>
    <t>General-46</t>
  </si>
  <si>
    <t>Enable a user to export local templates unless otherwise restricted by the enterprise administrator. Ensure users export the most current local templates.</t>
  </si>
  <si>
    <t>Ensure system can efficiently:
- Export current locally defined templates</t>
  </si>
  <si>
    <t>Activity 37 - Non-Commercial Acquisition Remedies - Part B - Prepare a Cure or Show Cause Notice; Task 3</t>
  </si>
  <si>
    <t>Obtain the contractor’s response, and determine the validity of any supporting data offered by the contractor.</t>
  </si>
  <si>
    <t>General-47</t>
  </si>
  <si>
    <t xml:space="preserve">When master and local templates are used, prefill data fields in templates with all available data. </t>
  </si>
  <si>
    <t>As a user of templates, I want the data fields pre filled with data already in the system to minimize the data entry needed to complete the template.</t>
  </si>
  <si>
    <t>Ensure system can efficiently:
- Prefill data fields with system data
- Review system pre filled data for accuracy</t>
  </si>
  <si>
    <t>General-48</t>
  </si>
  <si>
    <t>Enable a user to update metadata about an instrument without the need to execute a modification.</t>
  </si>
  <si>
    <t>As a CO/CS, I may make data entry or other errors in loading a contract action report into the system and need the ability to make corrections to the CAR (including FPDS) without executing a modification. These errors are typically clerical in nature.</t>
  </si>
  <si>
    <t>Ensure system can efficiently:
- Correct data entry errors without executing a contract modification</t>
  </si>
  <si>
    <t>CA - 293</t>
  </si>
  <si>
    <t>General-49</t>
  </si>
  <si>
    <t>Enable a user to create concurrent modifications against a conformed instrument.</t>
  </si>
  <si>
    <t>As a CO/CS, I need to be able to create concurrent modifications against a conformed contract to work more efficiently.</t>
  </si>
  <si>
    <t>Ensure system can efficiently:
- Create concurrent modifications</t>
  </si>
  <si>
    <t>Activity 37 - Non-Commercial Acquisition Remedies - Part B - Prepare a Cure or Show Cause Notice; Task 4</t>
  </si>
  <si>
    <t>Determine the next step.</t>
  </si>
  <si>
    <t>General-50</t>
  </si>
  <si>
    <t>Enable an authorized user to create a single modification instrument that applies to multiple award instruments. Enable the user to validate the accuracy of the modification. Enable the user to designate distribution list of modification (e.g., send to ALL contractors, send to SOME contractors (and designate which ones by program, CLIN, name, etc.). Once validated, automatically distribute the modification to some or all contractors as designated by the user.</t>
  </si>
  <si>
    <t xml:space="preserve">As a CO/CS, I need to create a modification that applies to one or more contracts, contract vehicles or Contract Line Items/Special Item Numbers. I need the ability to review the modification before its distribution to ensure quality of the modification. I need to specify who should receive the modification and then instruct the system to distribute the modification accordingly. </t>
  </si>
  <si>
    <t>Ensure system can efficiently:
- Create a modification that applies to one or more contracts or contract vehicles
- Review modification quality
- Designate distribution lists
- Distribute the modification as designated</t>
  </si>
  <si>
    <t>General-51</t>
  </si>
  <si>
    <t>Enable a user to cancel an unexecuted, bilateral modification.</t>
  </si>
  <si>
    <t>As a CO/CS, I need to be able to cancel an unexecuted, bilateral modification to correct errors or simply withdraw the action.</t>
  </si>
  <si>
    <t>Ensure system can efficiently:
- Cancel an unexecuted,  bilateral modification</t>
  </si>
  <si>
    <t>CA - 294</t>
  </si>
  <si>
    <t>General-52</t>
  </si>
  <si>
    <t>When a user modifies a contract/order, create and store a conformed version of the contract/order as well as the modification that incorporates all executed changes of the contract/order up through and including those made on the modification/amendment.</t>
  </si>
  <si>
    <t>As a user, I need to be working with the conformed version of the contract/order at all times in order to perform my role in the acquisition.
As a CO/CS, I also need to see the modification as a stand-alone action in order to maintain an accuracy history of the contract/order file.</t>
  </si>
  <si>
    <t>Ensure system can efficiently:
- Compile and display a conformed version of the contract/order
- Display the modification as a stand-alone action</t>
  </si>
  <si>
    <t>Activity 37 - Non-Commercial Acquisition Remedies - Part B - Prepare a Cure or Show Cause Notice; Task 5a (Note--there is no Task 5)</t>
  </si>
  <si>
    <t>Maintain a history of each conformed version of the contract/order as well as the modification that incorporates all executed changes of the contract/order up through and including those made on the modification/amendment.</t>
  </si>
  <si>
    <t>The system needs to maintain an audit trail of events and a historical record to preserve the integrity of the acquisition and enable understanding of the changes.</t>
  </si>
  <si>
    <t>Ensure system can efficiently:
- Maintain each conformed version of the contract/order for historical purposes</t>
  </si>
  <si>
    <t>General-53</t>
  </si>
  <si>
    <t>When a user modifies a contract/order, create and store a modification log that identifies the modification number, type of modification, and identifier to enable users to quickly review modification history without having to access each individual modification.</t>
  </si>
  <si>
    <t>As a CO/CS, I need to be able to easily see the number and type of modifications to the contract as well as a modification identifying so that I understand what the modification was for without having to open the modification to see its contents. This modification log helps me look for modifications more efficiently.</t>
  </si>
  <si>
    <t>Ensure system can efficiently:
- Create and store a modification log</t>
  </si>
  <si>
    <t>General-54</t>
  </si>
  <si>
    <t>Include the text "Conformed through &lt;#&gt; of current signed modifications as of [signature date of selected modification]" on each page.</t>
  </si>
  <si>
    <t>CA - 295</t>
  </si>
  <si>
    <t>As a user, I need to be able to see the terms and conditions of the contract/order at any given time in order to perform my role in the acquisition.</t>
  </si>
  <si>
    <t>Ensure system can efficiently:
- Generate, view and print a conformed version of the contract/order through a user specified modification</t>
  </si>
  <si>
    <t>General-55</t>
  </si>
  <si>
    <t>The system shall restrict access to vendor proposals by role within a Source Selection Team</t>
  </si>
  <si>
    <t>As a CO/CS, I need to control access to procurement sensitive information during evaluations and ensure information is shared with the source selection team in accordance with their assigned roles to protect the integrity of the procurement</t>
  </si>
  <si>
    <t>Ensure system can efficiently:
- Restrict access to vendor proposals by role</t>
  </si>
  <si>
    <t>Activity 37 - Non-Commercial Acquisition Remedies - Part B - Prepare a Cure or Show Cause Notice; Task 5b</t>
  </si>
  <si>
    <t>General-56</t>
  </si>
  <si>
    <t>The system shall enable an authorized user to upload data/documents into one or more sections in the contract file based on the user's selection in an easy, efficient manner (e.g., drag and drop).</t>
  </si>
  <si>
    <t>As a user, I need to upload data/documents to one or more sections of the contract file that are not auto-filed by the system as I designate so my contract file is complete.</t>
  </si>
  <si>
    <t>Ensure system can efficiently:
- Upload multiple data/documents into one or more sections of the contract file as the user designates</t>
  </si>
  <si>
    <t>General-57</t>
  </si>
  <si>
    <t>When multiple documents are uploaded, the system shall present a selection menu to enable the user to associate each document with its assigned section.</t>
  </si>
  <si>
    <t>As a CO/CS, I need to be able to select where the documents should be filed. I need the ability to make designations singularly (one record at a time) and in bulk (several records at a time).</t>
  </si>
  <si>
    <t>Ensure system can efficiently:
- Enable the user to designate the filing location of the documents, singularly and in bulk.</t>
  </si>
  <si>
    <t>General-58</t>
  </si>
  <si>
    <t>Enable a user to tag a document in the contract file as draft.</t>
  </si>
  <si>
    <t>As a CO/CS, I will be working on a variety of actions. I need to tag documents as drafts to enable collaboration and editing of drafts with the acquisition team.</t>
  </si>
  <si>
    <t>Ensure system can efficiently:
- Tag documents in the contract file as draft</t>
  </si>
  <si>
    <t>CA - 296</t>
  </si>
  <si>
    <t>General-59</t>
  </si>
  <si>
    <t>Enable a user to tag a document in the contract file as final.</t>
  </si>
  <si>
    <t>As a CO/CS, I will be working on a variety of actions. I need to tag documents as final to distinguish it from drafts and so the system can flag the document as final and lock it down.</t>
  </si>
  <si>
    <t>Ensure system can efficiently:
- Tag documents in the contract file as final</t>
  </si>
  <si>
    <t>General-60</t>
  </si>
  <si>
    <t>Prohibit a user from making edits to a document tagged in the contract file as Final.</t>
  </si>
  <si>
    <t>As a CO/CS, I need to ensure the integrity of the contract file so I need the system to prohibit users from making edits to final documents in the contract file.</t>
  </si>
  <si>
    <t>Ensure system can efficiently:
- Prohibit a user from making edits to final documents in the contract file</t>
  </si>
  <si>
    <t>Activity 37 - Non-Commercial Acquisition Remedies - Part B - Prepare a Cure or Show Cause Notice; Task 5c</t>
  </si>
  <si>
    <t>General-61</t>
  </si>
  <si>
    <t>Store electronic documents in the contract file up to 250 Gigabytes per file.</t>
  </si>
  <si>
    <t>As a CO/CS, I need to ensure my contract file is current, accurate and complete. Some of my contract files will be large (20 year multiple award schedule contracts for example) and contain large files (webinars, video files for example).</t>
  </si>
  <si>
    <t>Ensure system can efficiently:
- Store electronic documents</t>
  </si>
  <si>
    <t>General-62</t>
  </si>
  <si>
    <t>Enable the user create a new contract file with the same structure as an existing contract file.</t>
  </si>
  <si>
    <t>As a CO/CS, I need to be able to create a new contract file by copying an existing contract file to minimize the work associated with creating new contract files on master contracts where individual contracts will contain identical information in certain tabs (for example, one acquisition plan for a Multiple Award Schedule (MAS) contract will be identical for all the contracts awarded under that MAS).</t>
  </si>
  <si>
    <t>Ensure system can efficiently:
- Enable the user to designate which sections of an existing contract file to copy forward to a new contract file, both singular and in bulk</t>
  </si>
  <si>
    <t>General-63</t>
  </si>
  <si>
    <t>When a new contract file has been created by reproducing the structure of another contract file, enable the user to copy some or all the contents of the original contract file to the new contract file.</t>
  </si>
  <si>
    <t>CA - 297</t>
  </si>
  <si>
    <t>General-64</t>
  </si>
  <si>
    <t>Enable user to differentiate between pre and post award actions</t>
  </si>
  <si>
    <t>As a CO/CS, I need to be able to differentiate between pre- and post-award actions so that my contract file is accurate.</t>
  </si>
  <si>
    <t>Ensure system can efficiently:
- Differentiate between pre- and post-award actions</t>
  </si>
  <si>
    <t>Activity 37 - Non-Commercial Acquisition Remedies - Part B - Prepare a Cure or Show Cause Notice; Task 6</t>
  </si>
  <si>
    <t>General-65</t>
  </si>
  <si>
    <t>Default the designated Issuing Office information on an instrument based upon the instrument creator's user profile.</t>
  </si>
  <si>
    <t>As a CO/CS, all of my contract actions need to reflect my office as the issuing office based on my profile to minimize data entry.</t>
  </si>
  <si>
    <t>Ensure system can efficiently:
- Designate issuing office information based on user profile</t>
  </si>
  <si>
    <t>General-66</t>
  </si>
  <si>
    <t>Enable a user to select the designated Issuing Office information on an instrument.</t>
  </si>
  <si>
    <t>As a CO/CS, I may need to select issuing office information on an instrument that is not based on my user profile when I lend my support to other organizational components.</t>
  </si>
  <si>
    <t>Ensure system can efficiently:
- Enable user to select issuing office other than the user's profile</t>
  </si>
  <si>
    <t>General-67</t>
  </si>
  <si>
    <t>Enable a user to edit the designated Issuing Office information on an instrument.</t>
  </si>
  <si>
    <t>As a CO/CS, I need to edit the designated issuing office information on an instrument that is not based on my user profile when I lend my support to other organizational components.</t>
  </si>
  <si>
    <t>Ensure system can efficiently:
- Enable user to edit the designated issuing office information</t>
  </si>
  <si>
    <t>General-68</t>
  </si>
  <si>
    <t>Enable an authorized user to establish and edit/delete instrument templates for multiple acquisition scenarios.</t>
  </si>
  <si>
    <t>As a system administrator, I need to establish, edit/delete templates for multiple acquisition scenarios in order to streamline the acquisition process, ensure consistency, and improve contract quality.</t>
  </si>
  <si>
    <t>Ensure system can efficiently:
- Establish templates for multiple acquisition scenarios
- Edit/delete templates for multiple acquisition scenarios</t>
  </si>
  <si>
    <t>General-69</t>
  </si>
  <si>
    <t>Enable an authorized user to establish unique document formatting options for instruments including setting or suppressing section, clause, and text headers, page headers and footers, and forced page breaks between each instrument section.</t>
  </si>
  <si>
    <t>Users need to be able to format output/documents in a variety of ways to meet the end user's needs.</t>
  </si>
  <si>
    <t>Ensure system can efficiently:
- Enable document/output formatting options</t>
  </si>
  <si>
    <t>General-70</t>
  </si>
  <si>
    <t>CA - 298</t>
  </si>
  <si>
    <t>Enable a user to compare a draft modification instrument to the conformed instrument and identify all of the data changes between the two instruments.</t>
  </si>
  <si>
    <t>Users need to be able to compare drafts to the existing output/documents and identify differences between the two instruments in order to readily see what has changed.</t>
  </si>
  <si>
    <t>Ensure system can efficiently:
- Compare documents/output in order to highlight changes</t>
  </si>
  <si>
    <t>General-71</t>
  </si>
  <si>
    <t>Automatically calculate the cycle time in number of days for each procurement action by buyer, user role and organization. Calculated from date received to date completed.</t>
  </si>
  <si>
    <t>As PMO, I need to see the cycle time for individual milestones (plan vs actual) so I can see where the bottlenecks are and manage my program more effectively.
As a supervisor, I need to measure how long my acquisition team/employee has had an action. I need to be able to see where the bottlenecks are in the process so I can work to eliminate them. 
As FAS, I need to be able measure cycle time for individual milestones so that I can determine if workload needs to be realigned, resources added, policy revised, etc.</t>
  </si>
  <si>
    <t>Ensure system can efficiently:
- Calculate cycle time by buyer, by user role, and organizational component
- Display dashboards or generate reports</t>
  </si>
  <si>
    <t>Activity 37 - Non-Commercial Acquisition Remedies - Part C - Assess Liquidated Damages; Task 1</t>
  </si>
  <si>
    <t xml:space="preserve">Document all evidence pertinent to the assessment of liquidated damages. </t>
  </si>
  <si>
    <t>Document the assessment of liquidated damages</t>
  </si>
  <si>
    <t>General-72</t>
  </si>
  <si>
    <t>Automatically calculate the number of days for an individual milestone based on start date to milestone actual date.</t>
  </si>
  <si>
    <t>Ensure system can efficiently:
- Calculate cycle time for individual milestones (plan vs actual)
- Display dashboards or generate reports</t>
  </si>
  <si>
    <t>General-73</t>
  </si>
  <si>
    <t>Provide the capability for an authorized user to identify standard cycle times based upon each procurement action and method combination.</t>
  </si>
  <si>
    <t>As FAS, I need to be able measure cycle time across procurement actions and methods to ascertain cycle time efficiencies.</t>
  </si>
  <si>
    <t>Ensure system can efficiently:
- Calculate cycle time across procurement actions and methods by office and organizational component
- Display dashboards or generate reports</t>
  </si>
  <si>
    <t>General-74</t>
  </si>
  <si>
    <t>Provide the capability for a system administrator to establish and integrate cycle time standards across the contract phases and provide a visual display corresponding to status indicators.</t>
  </si>
  <si>
    <t>As FAS, I need to be able to see and measure cycle time across contract phases to so that I can determine if workload needs to be realigned, resources added, policy revised, etc.</t>
  </si>
  <si>
    <t>Ensure system can efficiently:
- Calculate cycle time across contract phases by office and organizational component
- Display dashboards or generate reports</t>
  </si>
  <si>
    <t>General-75</t>
  </si>
  <si>
    <t>Update cycle time calculations based upon user-specified criteria.</t>
  </si>
  <si>
    <t>As FAS, I need to be able to specify various criterion to use to measure cycle time to enable data analysis.</t>
  </si>
  <si>
    <t>Ensure system can efficiently:
- Calculate cycle time based upon user-specified criteria
- Display dashboards or generate reports</t>
  </si>
  <si>
    <t>General-76</t>
  </si>
  <si>
    <t>When the system updates cycle time calculations, it shall update the associated milestones.</t>
  </si>
  <si>
    <t>All users need the system to automatically update the actual milestones from the planned milestones as actions are completed so there is an accurate account of cycle time.</t>
  </si>
  <si>
    <t>Ensure system can efficiently:
- Automatically update milestones based on actuals compared to plan
- Display dashboards or generate reports</t>
  </si>
  <si>
    <t>CA - 299</t>
  </si>
  <si>
    <t>The CWS shall track the date that delivery or performance is due, and document when delivery or performance occurs.
The CWS shall enable the user to determine if a liquidated damages clause is included in a contract, order, call, or other contract document</t>
  </si>
  <si>
    <t>As a CO, I need to determine when delivery or performance occurred under the contract so that I can determine if liquidated damages are appropriate at the rate established in clause FAR 52.211-11 or -12 as appropriate.</t>
  </si>
  <si>
    <t>Ensure system can efficiently:
- determine if a liquidated damages clause is included in the contract
- determine if delivery or performance occurred in accordance with the contract terms, or if liquidated damages are appropriate at the rates documented in the contract</t>
  </si>
  <si>
    <t>General-77</t>
  </si>
  <si>
    <t>Enable the user to compare cycle time calculations to the average cycle time for the same procurement action and method combination.</t>
  </si>
  <si>
    <t>All users need to be able to see comparative cycle time data across the organization to ascertain best practices.</t>
  </si>
  <si>
    <t>Ensure system can efficiently:
- Visually display comparative cycle time data across the organization for the same procurement action and method combination</t>
  </si>
  <si>
    <t>Activity 37 - Non-Commercial Acquisition Remedies - Part C - Assess Liquidated Damages; Task 2</t>
  </si>
  <si>
    <t xml:space="preserve">Compute the dollar amount of liquidated damages. </t>
  </si>
  <si>
    <t>General-78</t>
  </si>
  <si>
    <t>Amount of liquidated damages due</t>
  </si>
  <si>
    <t>Identify procurement actions as early, on-time, or late when the forecasted cycle time is compared to a predefined cycle time standard value.</t>
  </si>
  <si>
    <t>All users need a visual cue identifying whether forecasted cycle time is early, on-time or late when compared to predefined cycle time standards to readily identify problem areas or best practices.</t>
  </si>
  <si>
    <t>Ensure system can efficiently:
- Identify actions as early, on-time or late</t>
  </si>
  <si>
    <t>General-79</t>
  </si>
  <si>
    <t>Identify procurement actions as early, on-time, or late when the actual cycle time is compared to a predefined Procurement Action Lead Time cycle time standard value.</t>
  </si>
  <si>
    <t>All users need a visual cue identifying whether actual cycle time is early, on-time or late when compared to predefined cycle time standards to readily identify problem areas or best practices.</t>
  </si>
  <si>
    <t>General-80</t>
  </si>
  <si>
    <t>CA - 300</t>
  </si>
  <si>
    <t>Prevent the modification of the actual milestone dates.</t>
  </si>
  <si>
    <t>The CWS shall track the date that delivery or performance is due, and document when delivery or performance occurs.</t>
  </si>
  <si>
    <t>All users need assurance that actual milestone dates cannot be altered to preserve the integrity of the acquisition.</t>
  </si>
  <si>
    <t>Ensure system can efficiently:
- Prevent the modification of actual milestone dates</t>
  </si>
  <si>
    <t>As a CO, I need to calculate the number of days that delivery or performance was delayed so that I can calculate the liquidated damages to assess the contractor based on the rate in the liquidated damages clause</t>
  </si>
  <si>
    <t>Ensure system can efficiently:
- determine when delivery or performance occurred and when it was scheduled to occur.
- identify the rate of liquidated damages per day described in the liquidated damages clause</t>
  </si>
  <si>
    <t>General-81</t>
  </si>
  <si>
    <t>Capture comments regarding planned vs actual milestone dates as applicable.</t>
  </si>
  <si>
    <t>All users need the ability to capture comments regarding planned vs actual milestones if applicable to explain anomalies in the cycle time.</t>
  </si>
  <si>
    <t>Ensure system can efficiently:
- Capture comments regarding planned vs actual milestones</t>
  </si>
  <si>
    <t>Activity 37 - Non-Commercial Acquisition Remedies - Part C - Assess Liquidated Damages; Task 3</t>
  </si>
  <si>
    <t>Informally present the case for liquidated damages to the contractor.</t>
  </si>
  <si>
    <t xml:space="preserve">Memo to the file documenting the case for liquidated damages </t>
  </si>
  <si>
    <t>General-82</t>
  </si>
  <si>
    <t>Display the user's current workload assignment queue on command.</t>
  </si>
  <si>
    <t>All users need to see what is in their queue to work and when it is due in order to manage their workload.
As a supervisor, I need to see what is in my employee's queue to work and when it is due in order to manage workload.</t>
  </si>
  <si>
    <t>Ensure system can efficiently:
- Display current workload assignments</t>
  </si>
  <si>
    <t>General-83</t>
  </si>
  <si>
    <t>Display the user's completed workload assignment queue on command.</t>
  </si>
  <si>
    <t>All users need to see their completed workload assignment queue in order to report on performance.
As a supervisor, I need to see my employee's completed workload assignment queue to report out on performance.</t>
  </si>
  <si>
    <t>Ensure system can efficiently:
- Display completed workload assignments</t>
  </si>
  <si>
    <t>General-84</t>
  </si>
  <si>
    <t>Enable a user to tailor the workload assignment queue display.</t>
  </si>
  <si>
    <t>All users need the ability to tailor their dashboard to account for user preferences.</t>
  </si>
  <si>
    <t>Ensure system can efficiently:
- Account for user preference display options</t>
  </si>
  <si>
    <t>CA - 301</t>
  </si>
  <si>
    <t>The CWS shall document the contract file of any discussions regarding liquidated damages with the contract (Tab 39, General Correspondence).</t>
  </si>
  <si>
    <t>As a CO, I need to discuss delays in delivery or performance with the contractor so I can make an informed decision with regard to liquidated damages</t>
  </si>
  <si>
    <t>Ensure system can efficiently: 
- store correspondence in tab 39 of the contract</t>
  </si>
  <si>
    <t>General-85</t>
  </si>
  <si>
    <t>Enable a user to formally accept an incoming requirements package.</t>
  </si>
  <si>
    <t>An authorized user needs to be able to accept incoming requirements package to log new work and track its progress.</t>
  </si>
  <si>
    <t>Ensure system can efficiently:
- Record acceptance of requirements package and track its progress</t>
  </si>
  <si>
    <t>General-86</t>
  </si>
  <si>
    <t>Enable an authorized user to formally reject an incoming requirements package.</t>
  </si>
  <si>
    <t>An authorized user needs to be able to reject incoming requirements package when appropriate and provide an explanation of the rejection.</t>
  </si>
  <si>
    <t>Ensure system can efficiently:
- Record rejection of requirements package and rationale.</t>
  </si>
  <si>
    <t>Activity 37 - Non-Commercial Acquisition Remedies - Part C - Assess Liquidated Damages; Task 4</t>
  </si>
  <si>
    <t>Notify the contractor in writing that the Government intends to assess liquidated damages.</t>
  </si>
  <si>
    <t>General-87</t>
  </si>
  <si>
    <t>Enable an authorized user to create, modify or delete a business rule that allows or restricts one or more system functions.</t>
  </si>
  <si>
    <t>As an authorized user, I need to create, modify or delete business rules that allows or restricts one or more system functions to ensure a structured governance process exists for the contract acquisition life cycle management system.</t>
  </si>
  <si>
    <t>Ensure system can efficiently:
- Create, modify or delete a business rule</t>
  </si>
  <si>
    <t>General-88</t>
  </si>
  <si>
    <t>When a business rule is created, the system shall enable the authorized user to define the message associated with the business rule validation status.</t>
  </si>
  <si>
    <t>As an authorized user, I need to define the message associated with the business rule validation status so that the message is meaningful to the user community.</t>
  </si>
  <si>
    <t>Ensure system can efficiently:
- Define the business rule validation status message</t>
  </si>
  <si>
    <t>General-89</t>
  </si>
  <si>
    <t>When a business rule is created, the system shall enable a system administrator to identify compliance with the business rule as mandatory or non-mandatory.</t>
  </si>
  <si>
    <t>As a system administrator, I need to whether compliance with a business rule is mandatory or non-mandatory.</t>
  </si>
  <si>
    <t>Ensure system can efficiently:
- Identify compliance as mandatory or non-mandatory</t>
  </si>
  <si>
    <t>CA - 302</t>
  </si>
  <si>
    <t>As a CO, I need to notify the contractor that I intend to assess liquidated damages so that the contractor understands the damage suffered as a result of delayed delivery or performance</t>
  </si>
  <si>
    <t>General-90</t>
  </si>
  <si>
    <t>Enable an authorized user to specifically identify users who are authorized to finalize an award instrument that references an inactive vendor.</t>
  </si>
  <si>
    <t>On occasion, system overrides by authorized users are required to process work for a variety of reasons</t>
  </si>
  <si>
    <t>Ensure system can efficiently:
- Enabled authorized users to finalize awards with an inactive vendor</t>
  </si>
  <si>
    <t>General-91</t>
  </si>
  <si>
    <t>Automatically alert the user that the "Vendor [CAGE] registration will expire on [expiration date]" when selecting a vendor on an award instrument where the vendor registration date is due to expire within 30 days.</t>
  </si>
  <si>
    <t>Activity 37 - Non-Commercial Acquisition Remedies - Part C - Assess Liquidated Damages; Task 5</t>
  </si>
  <si>
    <t>As a CO/CS performing an assisted acquisition service on behalf of the Department of Defense client, I need to know when a vendor's CAGE registration will expire so I can effectively manage the acquisition.</t>
  </si>
  <si>
    <t>Provide the contractor with an opportunity to present any reasons why it should be relieved from the requirement to pay liquidated damages.</t>
  </si>
  <si>
    <t>Ensure system can efficiently:
- Alert use of expiring CAGE registration dates</t>
  </si>
  <si>
    <t>Memo to the file documenting liquidated damages discussions</t>
  </si>
  <si>
    <t>General-92</t>
  </si>
  <si>
    <t>Enable a system administrator to create a business rule that notifies the user when a services Period of Performance (PoP) exceeds 12 months.</t>
  </si>
  <si>
    <t>As a CO/CS dealing with appropriated monies, I need to know when a services period of performance exceeds 12 months so that I can plan accordingly and ensure I have the proper funding.</t>
  </si>
  <si>
    <t>Ensure system can efficiently:
- Notify user when a services period of performance exceeds 12 months</t>
  </si>
  <si>
    <t>CA - 303</t>
  </si>
  <si>
    <t>As a CO, I need to allow the vendor to request relief from liquidated damages for extenuating circumstances so that I can determine whether assessing liquidated damages is appropriate or whether to grant relief to the contractor</t>
  </si>
  <si>
    <t>General-93</t>
  </si>
  <si>
    <t>Enable a system administrator to create a business rule that notifies a user when award instrument data is not consistent with an authoritative source.</t>
  </si>
  <si>
    <t>As a CO/CS, I need to be notified when award data isn't consistent with an authoritative source so that I don't inadvertently make an error.</t>
  </si>
  <si>
    <t>Ensure system can efficiently:
- Notify user when award data isn't consistent with an authoritative source</t>
  </si>
  <si>
    <t>General-94</t>
  </si>
  <si>
    <t>Enable a system administrator to create a business rule that enables a user to include selected data elements on a modification instrument irrespective of the authoritative source.</t>
  </si>
  <si>
    <t>As a CO/CS, I need to be able to include selected data elements on a modification without regard of the authoritative source as circumstances warrant.</t>
  </si>
  <si>
    <t>Ensure system can efficiently:
- Include selected data elements on a modification instrument</t>
  </si>
  <si>
    <t>Activity 37 - Non-Commercial Acquisition Remedies - Part C - Assess Liquidated Damages; Task 6</t>
  </si>
  <si>
    <t>Determine if the contractor is entitled partial or complete relief from assessment of liquidated damages.</t>
  </si>
  <si>
    <t>Analysis and evaluation of contractor reasons</t>
  </si>
  <si>
    <t>General-95</t>
  </si>
  <si>
    <t>Enable an authorized user to create a business rule that prescribes when to notify the user prior to expiration of relevant certifications.</t>
  </si>
  <si>
    <t>As a CO/CS, I need to be alerted when relevant certifications are expiring so that I can take appropriate action.</t>
  </si>
  <si>
    <t>Ensure system can efficiently:
- Alert user of relevant expiring certifications</t>
  </si>
  <si>
    <t>General-96</t>
  </si>
  <si>
    <t>CA - 304</t>
  </si>
  <si>
    <t>Create a business rule that prohibits a user from editing financial data fields.</t>
  </si>
  <si>
    <t>As a user, I need the system to prohibit me from editing financial data fields to maintain fidelity of the action.</t>
  </si>
  <si>
    <t>Ensure system can efficiently:
- Prohibit a user from editing financial data fields</t>
  </si>
  <si>
    <t>General-97</t>
  </si>
  <si>
    <t>Configure the internal system processes to comply with agency-defined enterprise business rules.</t>
  </si>
  <si>
    <t xml:space="preserve">As a user, I need the system to enable me to comply with agency-defined enterprise business rules so I am compliant with agency policy. </t>
  </si>
  <si>
    <t>Ensure system can efficiently:
- Configure system to comply with agency-defined enterprise business rules</t>
  </si>
  <si>
    <t>Activity 37 - Non-Commercial Acquisition Remedies - Part C - Assess Liquidated Damages; Task 7</t>
  </si>
  <si>
    <t xml:space="preserve">If liquidated damages are assessed in part or in whole, withhold payment and/or collect debt. </t>
  </si>
  <si>
    <t>Direction to withhold payment and/or collect debt</t>
  </si>
  <si>
    <t>General-98</t>
  </si>
  <si>
    <t>Configure the internal system processes at multiple business levels.</t>
  </si>
  <si>
    <t xml:space="preserve">Multiple business levels will have different needs. The system will need to be configured to meet business needs in order to accomplish tasks and aide in system adoption. </t>
  </si>
  <si>
    <t>Ensure system can efficiently:
- Be configured to meet multiple business needs</t>
  </si>
  <si>
    <t>General-99</t>
  </si>
  <si>
    <t>When a user is finalizing an instrument, the system shall perform a validation check against the applicable business rules prior to its finalization.</t>
  </si>
  <si>
    <t>CA - 305</t>
  </si>
  <si>
    <t>Enable a user to accomplish a contract modification and cite the authority of FAR clause 52.211-11 or 52.211-12 as appropriate and document the contract file in tab 40</t>
  </si>
  <si>
    <t>As a CO, I need to be able to reduce contract price so that I can assess liquidated damages for delayed delivery or performance.</t>
  </si>
  <si>
    <t>As a user, I need the system to perform validation checks against the established business rules as a quality control measure prior to finalization of an action.</t>
  </si>
  <si>
    <t>Ensure system can efficiently:
- Perform a validation check against the applicable business rules</t>
  </si>
  <si>
    <t>Ensure system can efficiently:
- perform a contract modification to reduce contract price to assess liquidated damages
- Access information in the contract file and export it if necessary tab 40</t>
  </si>
  <si>
    <t>General-100</t>
  </si>
  <si>
    <t>When the system performs a validation check against business rules, the system shall inform the user of business rule deviations with 100% accuracy.</t>
  </si>
  <si>
    <t xml:space="preserve">As a user, I need the system to inform me of business rule deviations with 100% accuracy so I am compliant with any business rule deviations. </t>
  </si>
  <si>
    <t>Ensure system can efficiently:
- Inform user of business rule deviations with 100% accuracy</t>
  </si>
  <si>
    <t>Activity 37 - Non-Commercial Acquisition Remedies - Part F - Select a Formal Contract Remedy Under Fraud, Gross Mistake, or Latent Defect; Task 1</t>
  </si>
  <si>
    <t>Determine if a latent defect existed at the time of acceptance</t>
  </si>
  <si>
    <t>Document latent defect</t>
  </si>
  <si>
    <t>General-101</t>
  </si>
  <si>
    <t>When the user overrides a non-mandatory business rule deviation that the system has reported, the system shall record this action electronically.</t>
  </si>
  <si>
    <t>As an organization, I need to know when users override a non-mandatory business rule deviation so I can determine if changes to the system or the business rule needs to be made.</t>
  </si>
  <si>
    <t>Ensure system can efficiently:
- Record and report when users override a non-mandatory business rule deviation that the system has reported</t>
  </si>
  <si>
    <t>General-102</t>
  </si>
  <si>
    <t>When the user attempts to override a mandatory business rule deviation that the system has reported, the system shall prohibit the execution of this command and notify the user accordingly.</t>
  </si>
  <si>
    <t>As an organization, I need to know when users attempt to override a mandatory business rule deviation so I can determine if changes to the system or the business rule needs to be made. The system shall notify the user that override of the mandatory business rule deviation is prohibited.</t>
  </si>
  <si>
    <t>Ensure system can efficiently:
- Notify users</t>
  </si>
  <si>
    <t>General-103</t>
  </si>
  <si>
    <t>When the system records a user override of a business rule, the user shall be prompted to enter and save a rationale statement justifying the deviation.</t>
  </si>
  <si>
    <t>As a user, whenever I override a business rule, the system needs to prompt me to enter and save a rationale statement justifying the deviation from the business rule so the organization can determine when rules may need to be changed.</t>
  </si>
  <si>
    <t>Ensure system can efficiently:
- Prompt users to enter and save a rationale statement
- Report back on rationale</t>
  </si>
  <si>
    <t>CA - 306</t>
  </si>
  <si>
    <t>Enable a user to create or upload a surveillance or other inspection report that identifies the discovery of a latent defect in tab 32</t>
  </si>
  <si>
    <t xml:space="preserve">As a COR/Inspector, I need to be able to accomplish an inspection or surveillance report so that I can document the discovery of a latent defect in an accepted supply or service
As a CO, I need to be notified when a latent defect is discovered so that I can work towards a price reduction, replacement, re-performance, or other corrective action to address the latent defect </t>
  </si>
  <si>
    <t>Ensure system can efficiently: 
- store surveillance or inspection reports in tab 32 of the contract</t>
  </si>
  <si>
    <t>General-104</t>
  </si>
  <si>
    <t>Enable specified authorized users to access an instrument on a read only basis for a limited period of time.</t>
  </si>
  <si>
    <t xml:space="preserve">Intermittent users will require access to the system on an as designated basis to perform certain tasks such as procurement management reviews and audits. </t>
  </si>
  <si>
    <t>Ensure system can efficiently:
- Provide view access to data for a period of time as designated</t>
  </si>
  <si>
    <t>Activity 37 - Non-Commercial Acquisition Remedies - Part F - Select a Formal Contract Remedy Under Fraud, Gross Mistake, or Latent Defect; Task 2</t>
  </si>
  <si>
    <t>Determine if the Government’s acceptance was induced by suspected fraud or gross mistake amounting to fraud.</t>
  </si>
  <si>
    <t>Determination of suspected fraud or gross mistake amounting to fraud</t>
  </si>
  <si>
    <t>General-105</t>
  </si>
  <si>
    <t>Enable the user to select line items and sub-line items from the conformed basic instrument when initiating a Order.</t>
  </si>
  <si>
    <t>As a CO/CS, I need to be able to select contract line items and sub-line items to order from the contract.</t>
  </si>
  <si>
    <t>Ensure system can efficiently:
- Enable user to select line/sub-line items</t>
  </si>
  <si>
    <t>CA - 307</t>
  </si>
  <si>
    <t>The CWS shall document the contract file of any discussions regarding suspected fraud or gross mistake with the contract (Tab 39, General Correspondence).</t>
  </si>
  <si>
    <t>As a COR/Inspector/ACO, I need to be able to document any discoveries of possible fraud or gross mistake amounting to fraud so that my concerns can be made part of the official record in the contract file
As a CO, I need to be notified when a COR/Inspector/ACO discovers evidence of possible fraud or gross mistake amounting to fraud so that I can determine an appropriate response</t>
  </si>
  <si>
    <t>Activity 37 - Non-Commercial Acquisition Remedies - Part F - Select a Formal Contract Remedy Under Fraud, Gross Mistake, or Latent Defect; Task 3</t>
  </si>
  <si>
    <t>Discuss the latent defect, fraud, or gross mistake amounting to fraud with the contractor</t>
  </si>
  <si>
    <t>Discussion with the contractor to discuss issue</t>
  </si>
  <si>
    <t>General-106</t>
  </si>
  <si>
    <t>Enable the user to create a Justification and Approval (J&amp;A) in a form that can be redacted.</t>
  </si>
  <si>
    <t xml:space="preserve">As a CO/CS, I need to create a Justification and Approval (J&amp;A) for certain procurement actions required by the authoritative references. I need to do so in a form that can be redacted in the event I need to post the J&amp;A to comply with authoritative references. </t>
  </si>
  <si>
    <t>CA - 308</t>
  </si>
  <si>
    <t>As a CO, I need to be able to communicate the identification of a latent defect, fraud or gross mistake amounting to fraud with the contractor so that I can determine what remedy is appropriate to address the issue</t>
  </si>
  <si>
    <t>Ensure system can efficiently: 
- store correspondence in tab 32 of the contract</t>
  </si>
  <si>
    <t>Ensure system can efficiently:
- Create a J&amp;A in a form that can be redacted</t>
  </si>
  <si>
    <t>Activity 37 - Non-Commercial Acquisition Remedies - Part F - Select a Formal Contract Remedy Under Fraud, Gross Mistake, or Latent Defect; Task 4</t>
  </si>
  <si>
    <t>If the contractor refuses to make the Government whole, determine the remedy.</t>
  </si>
  <si>
    <t>Remedy determination</t>
  </si>
  <si>
    <t>General-107</t>
  </si>
  <si>
    <t>When a redacted Justification and Approval (J&amp;A) is stored in the contract file, the system shall store it separately from the original, unredacted document.</t>
  </si>
  <si>
    <t xml:space="preserve">As a CO/CS, when I redact a Justification and Approval (J&amp;A) for certain procurement actions as required by the authoritative references, I need the system to file the redacted J&amp;A separately from the original. </t>
  </si>
  <si>
    <t>Ensure system can efficiently:
- Store redacted J&amp;A separately from the original</t>
  </si>
  <si>
    <t>General-108</t>
  </si>
  <si>
    <t>When a Justification and Approval (J&amp;A) has been redacted and saved, the system shall record the state of the document as redacted.</t>
  </si>
  <si>
    <t>As a CO/CS, I need the system to identify redacted J&amp;As as such so that reviewers are clear on what they are reviewing.</t>
  </si>
  <si>
    <t>Ensure system can efficiently:
- Identify the redacted J&amp;A as being redacted</t>
  </si>
  <si>
    <t>General-109</t>
  </si>
  <si>
    <t>Enable the user to include the redacted Justification and Approval (J&amp;A) as an attachment to a public notice.</t>
  </si>
  <si>
    <t xml:space="preserve">As a CO/CS, I need to be able to post the redacted J&amp;A with my public notice to maximize transparency into the procurement process. </t>
  </si>
  <si>
    <t>Ensure system can efficiently:
- Enable redacted J&amp;A to be posted with the public notice</t>
  </si>
  <si>
    <t>General-110</t>
  </si>
  <si>
    <t>Enable the user to create an Exception to Fair Opportunity in a form that can be redacted.</t>
  </si>
  <si>
    <t xml:space="preserve">As a CO/CS, I need to create an Exception to Fair Opportunity for certain procurement actions required by the authoritative references. I need to do so in a form that can be redacted in the event I need to post the exception to fair opportunity to comply with authoritative references. </t>
  </si>
  <si>
    <t>Ensure system can efficiently:
- Create an Exception to Fair Opportunity in a form that can be redacted</t>
  </si>
  <si>
    <t>CA - 309</t>
  </si>
  <si>
    <t>The CWS shall document any remedy applied to address a latent defect, fraud, or gross mistake amounting to fraud in tab 32 of the contract</t>
  </si>
  <si>
    <t>As a CO, I need to give the contractor 10 days from the date of the notice to either replace or re-perform at no additional cost, and if they refuse to replace or correct the deliverables and charge the contractor</t>
  </si>
  <si>
    <t>General-111</t>
  </si>
  <si>
    <t>When an Exception to Fair Opportunity is redacted, the system shall automatically save the original document.</t>
  </si>
  <si>
    <t>Activity 38 - Documenting Past Performance; Task 1</t>
  </si>
  <si>
    <t xml:space="preserve">Determine whether a documented evaluation of contractor performance is required. </t>
  </si>
  <si>
    <t>Determination that past performance evaluation is required</t>
  </si>
  <si>
    <t xml:space="preserve">As a CO/CS, when I redact an Exception to Fair Opportunity for certain procurement actions as required by the authoritative references, I need the system to file the redacted Exception to Fair Opportunity separately from the original. </t>
  </si>
  <si>
    <t>Ensure system can efficiently:
- Store redacted Exception to Fair Opportunity separately from the original</t>
  </si>
  <si>
    <t>CA - 310</t>
  </si>
  <si>
    <t>General-112</t>
  </si>
  <si>
    <t>The CWS shall indicate if a contract requires CPARS reporting</t>
  </si>
  <si>
    <t>As a CO, I need to report contractor performance annually for contracts, orders, calls, or other contractual actions exceeding the simplified acquisition threshold annually so that I comply with federal regulations regarding contract reporting</t>
  </si>
  <si>
    <t>When an Exception to Fair Opportunity has been redacted and saved, the system shall record the state of the document as redacted.</t>
  </si>
  <si>
    <t>Ensure system can efficiently:
- identify which contracts or orders require annual CPARS reporting</t>
  </si>
  <si>
    <t>As a CO/CS, I need the system to identify redacted Exceptions to Fair Opportunity as such so that reviewers are clear on what they are reviewing.</t>
  </si>
  <si>
    <t>Ensure system can efficiently:
- Identify the redacted Exception to Fair Opportunity as being redacted</t>
  </si>
  <si>
    <t>General-113</t>
  </si>
  <si>
    <t>The system shall enable the user to include the redacted Exception to Fair Opportunity as an attachment to a public notice.</t>
  </si>
  <si>
    <t xml:space="preserve">As a CO/CS, I need to be able to post the redacted Exception to Fair Opportunity with my public notice to maximize transparency into the procurement process. </t>
  </si>
  <si>
    <t>Ensure system can efficiently:
- Enable redacted Exception to Fair Opportunity to be posted with the public notice</t>
  </si>
  <si>
    <t>Activity 38 - Documenting Past Performance; Task 2</t>
  </si>
  <si>
    <t>Identify those individuals responsible for preparing and reviewing interim evaluations, if required, and final evaluations</t>
  </si>
  <si>
    <t>Determination of responsible parties to perform evaluations</t>
  </si>
  <si>
    <t>CA - 311</t>
  </si>
  <si>
    <t>The CWS shall record the names of responsible parties, including the contracting officer, technical office, program management office, quality assurance office (COR), and end user</t>
  </si>
  <si>
    <t>As a CO, I need to be able to identify the individuals responsible for accomplishing CPARS reporting so that I can notify them when annual reports are due</t>
  </si>
  <si>
    <t>Ensure system can efficiently:
- identify the individuals responsible for CPARS reporting</t>
  </si>
  <si>
    <t>Activity 38 - Documenting Past Performance; Task 3</t>
  </si>
  <si>
    <t>Collect and document past performance information throughout the period of performance.</t>
  </si>
  <si>
    <t>Past performance evaluations</t>
  </si>
  <si>
    <t>CA - 312</t>
  </si>
  <si>
    <t>The CWS shall allow users to create or upload performance/surveillance reports to tab 32 of the contract</t>
  </si>
  <si>
    <t>As a COR/Inspector, I need to record contract surveillance/inspection reports in the contract file so that I can justify performance ratings that I assign the contractor in CPARS 
As a CO, I need to be able to review surveillance/inspection reports so that I can validate that performance reports are substantiated/justified by sufficient documentation in the contract file</t>
  </si>
  <si>
    <t xml:space="preserve">Ensure system can efficiently:
- store surveillance/inspection reports in the contract file
- review surveillance/inspection reports in determining contractor performance ratings </t>
  </si>
  <si>
    <t>Activity 38 - Documenting Past Performance; Task 4</t>
  </si>
  <si>
    <t>Prepare and submit all past performance evaluations electronically in the Contractor Performance Assessment Reporting System (CPARS)</t>
  </si>
  <si>
    <t>CA - 313</t>
  </si>
  <si>
    <t>Activity 38 - Documenting Past Performance; Task 5</t>
  </si>
  <si>
    <t>Retain the past performance evaluation and related information to support future award decisions.</t>
  </si>
  <si>
    <t>CA - 314</t>
  </si>
  <si>
    <t>Activity 38 - Documenting Past Performance; Task 6</t>
  </si>
  <si>
    <t>Determine whether reporting to FAPIIS is required.</t>
  </si>
  <si>
    <t>CA - 315</t>
  </si>
  <si>
    <t>The CWS shall allow users to both identify when and create or file documentation associated with the conditions described in FAR 42.1503(h) for FAPIIS reporting</t>
  </si>
  <si>
    <t>As a CO, I need to report the existence of any condition described in FAR 42.1503(h) to FAPIIS within 3 days so that I comply with the authoritative reference</t>
  </si>
  <si>
    <t>Ensure system can efficiently:
- identify if and when a determination identified in FAR 42.1503(h) has been reported to FAPIIS
- Access information in the contract file and export it if necessary tab xx</t>
  </si>
  <si>
    <t>Activity 38 - Documenting Past Performance; Task 7</t>
  </si>
  <si>
    <t>Determine whether to refer negative performance information to the debarring official.</t>
  </si>
  <si>
    <t>Determination to refer to debarring official</t>
  </si>
  <si>
    <t>CA - 316</t>
  </si>
  <si>
    <t>The CWS shall allow user to document any referral made to the Suspension and Debarment Official upon discovery of any one or more of the causes identified in FAR 9.406-2 and document the ECF in tab xx</t>
  </si>
  <si>
    <t>As a CO, I need to notify the Suspension and Debarment Official of any serious contract improprieties or performance deficiencies so that an investigation can be conducted.  I also need to be able to access the action in the contract file and export it if necessary.</t>
  </si>
  <si>
    <t>Ensure system can efficiently:
- document any contract improprieties or serious performance deficiencies 
- route contract documents to the Suspension and Debarment Official
- Access information in the contract file and export it if necessary tab xx</t>
  </si>
  <si>
    <t>Activity 40 - Administering Securities; Task 4</t>
  </si>
  <si>
    <t xml:space="preserve">Obtain consent from the surety for contract modifications (when required). </t>
  </si>
  <si>
    <t>Consent</t>
  </si>
  <si>
    <t>CA - 317</t>
  </si>
  <si>
    <t>The CWS shall identify contracts that have surety and those that require surety consent for modification.  The CWS shall notify user when a surety (bond) is required for contract performance, and will include the surety contact information and document the ECF tab XX</t>
  </si>
  <si>
    <t>As a CO, I need to obtain consent from a surety (bond provider) whenever I contemplate modifying a contract in such a way that increases its total price so that I can ensure that the contractor's bond is adequate to cover the increased total price of the contract</t>
  </si>
  <si>
    <t xml:space="preserve">Ensure system can efficiently:
- identify which contracts have surety and those requiring consent for modification
- identify the surety providing the contractor's bond
- create or upload a completed SF 1414 Consent of Surety prior to accomplishing a contract modification
- Access information in the contract file and export it if necessary tab xx
</t>
  </si>
  <si>
    <t>Activity 40 - Administering Securities; Task 5</t>
  </si>
  <si>
    <t>Furnish information to interested parties.</t>
  </si>
  <si>
    <t>Information for interested parties</t>
  </si>
  <si>
    <t>CA - 318</t>
  </si>
  <si>
    <t>The CWS shall store requests for information from a surety, subcontractor or supplier in tab 30</t>
  </si>
  <si>
    <t xml:space="preserve">As a CO, I need to provide the information specified in FAR 28.106-6 upon request from a surety, subcontractor, or supplier so that payment and performance bonds can be used to ensure contractors pay their subcontractors and suppliers as well as perform in accordance with the contract terms </t>
  </si>
  <si>
    <t>Ensure system can efficiently:
- obtain information identified in FAR 28.106-6 upon request from a surety, subcontractor, supplier or other party that provided labor or materials and has not been paid. and Access information in the contract file and export it if necessary</t>
  </si>
  <si>
    <t>Activity 40 - Administering Securities; Task 6</t>
  </si>
  <si>
    <t xml:space="preserve">Arrange for payment to be made to the contractor in care of the surety (when requested by the surety and the contractor and any assignees agree). </t>
  </si>
  <si>
    <t>Payment arrangements</t>
  </si>
  <si>
    <t>CA - 319</t>
  </si>
  <si>
    <t>The CWS shall store requests from the surety as agreed to by the contractor and any assignees, for payments made to the contractor to be sent to the surety care of the contractor.</t>
  </si>
  <si>
    <t>As a CO, I need to ensure that payments made to the contractor can be made to the surety in care of the contractor when requested by the surety as a result of a termination for default so that I can ensure payments are transmitted to the correct entity.  
As a CO, I need to notify the designated disbursing officer of the change in mailing address for checks, if applicable, when the surety requests that payments be sent to them care of the contractor so that payments are sent to the appropriate entity.</t>
  </si>
  <si>
    <t>Ensure system can efficiently:
- indicate the organization that will receive payments on a contract
- track all changes to payment entities for a contract
- store any requests from payment from a surety in tab 30</t>
  </si>
  <si>
    <t>Activity 40 - Administering Securities; Task 7</t>
  </si>
  <si>
    <t xml:space="preserve">Accept a surety-takeover agreement when it is in the Government’s best interest. </t>
  </si>
  <si>
    <t>Surety takeover agreement</t>
  </si>
  <si>
    <t>CA - 320</t>
  </si>
  <si>
    <t>Enable a user to document any arrangement in lieu of a termination for default in tab 41
Enable a user to document a surety takeover agreement in tab 41 and allow legal reviewer to access contract file</t>
  </si>
  <si>
    <t>As a CO, I need to accomplish a memorandum for the contract file whenever a course of action is taken in lieu of termination for default so that the rationale for the action are made part of the official record.
As a CO, I need to be able to permit continued performance in lieu of termination for default using a methodology identified in FAR 49.402-4 so that I can avoid having to terminate a contract for default 
As a CO, I need to negotiate an agreement with the surety in the event of a termination for default so that I can ensure the surety completes the work and the government pays the surety up to the balance of unpaid contract price at the time of default.</t>
  </si>
  <si>
    <t>Ensure system can efficiently:
- create or upload a memorandum that explains any decision made in lieu of a termination for default in tab 41 if an action in lieu of termination for default is accomplished
- track all changes to payment entities for a contract
- create or upload a "takeover" agreement in tab 41</t>
  </si>
  <si>
    <t>Activity 40 - Administering Securities; Task 8</t>
  </si>
  <si>
    <t xml:space="preserve">Obtain funds from the surety to cover the defaulting contractor’s and the surety’s liability to the Government. </t>
  </si>
  <si>
    <t>Funding</t>
  </si>
  <si>
    <t>CA - 321</t>
  </si>
  <si>
    <t>Enable a user to create or upload a demand letter to a defaulting contractor and its surety that identifies all the costs associated with reprocurement.  The CWS shall document the contract file in tab xx.</t>
  </si>
  <si>
    <t>As a CO, I need to identify all the costs associated with reprocurement when a contractor is terminated for default so that I can recoup those costs from the defaulting contractor and/or its surety for use in reprocuring the supplies or services</t>
  </si>
  <si>
    <t>Ensure system can efficiently:
- create or upload a demand letter for the costs of reprocurement
- route demand letter and other contract documents to legal reviewer
- Access information in the contract file and export it if necessary tab xx</t>
  </si>
  <si>
    <t>Activity 40 - Administering Securities; Task 9</t>
  </si>
  <si>
    <t xml:space="preserve">Report surety performance that may merit debarment. </t>
  </si>
  <si>
    <t>Reports</t>
  </si>
  <si>
    <t>CA - 322</t>
  </si>
  <si>
    <t>The CWS shall allow user to create or upload a report or other documentation that indicates evidence of an action described in FAR 28.203-7(b), and shall flag excluded individual sureties in the system.   The CWS shall document the contract file in tab xx.</t>
  </si>
  <si>
    <t>As a CO, I need to know if an individual surety has an active exclusion in the System for Award Management so that I do not accept a bond from an excluded individual surety.
As a CO, I need to accomplish a referral whenever I become aware of a condition described in FAR 28.203-7(b) so that a legal review and SPE determination regarding individual surety exclusion can be accomplished.</t>
  </si>
  <si>
    <t>Ensure system can efficiently: 
- determine if an individual surety has an active exclusion in SAM
- create or upload a referral memorandum that conforms to the requirements of GSAM 528.203-7(b)
- route contract documents to legal and SPE reviewer 
- Access information in the contract file and export it if necessary tab xx</t>
  </si>
  <si>
    <t>Activity 46 - Fraud and Exclusion; Task 2 (Note--Task 1 is in ACQ.040.010 Kickoff Meeting/ Documentation of Contract Transition)</t>
  </si>
  <si>
    <t>Identify indications of fraud or other wrongdoing by offerors or contractors.</t>
  </si>
  <si>
    <t>CA - 323</t>
  </si>
  <si>
    <t>The CWS shall allow user to create or upload Memo for Record (MFR) document</t>
  </si>
  <si>
    <t>As a CO, I need to be able to document concerns related to fraud or other wrongdoing so that my concerns become part of the official record</t>
  </si>
  <si>
    <t>Ensure system can efficiently:
- create or upload an MFR to the user-specified tab in the contract appropriate to the topic of the MFR</t>
  </si>
  <si>
    <t>Activity 46 - Fraud and Exclusion; Task 3</t>
  </si>
  <si>
    <t>Report any suspicion of fraud and other civil or criminal offenses.</t>
  </si>
  <si>
    <t>CA - 324</t>
  </si>
  <si>
    <t>The CWS shall allow user to create or upload Memo for Record MFR document</t>
  </si>
  <si>
    <t>Activity 46 - Fraud and Exclusion; Task 4</t>
  </si>
  <si>
    <t>Advise whistleblowers on seeking protection from contractor reprisal.</t>
  </si>
  <si>
    <t>Advice for whistleblowers</t>
  </si>
  <si>
    <t>CA - 325</t>
  </si>
  <si>
    <t>The CWS shall document the contract file any advice given to whistleblowers on seeking protection from reprisals (Tab 39, General Correspondence).</t>
  </si>
  <si>
    <t>As a CO/CS, I need to document the file.</t>
  </si>
  <si>
    <t>Ensure the CWS user can efficiently
- - Access information in the contract file and export it if necessary</t>
  </si>
  <si>
    <t>Activity 46 - Fraud and Exclusion; Task 5</t>
  </si>
  <si>
    <t>Inform other officials who have a need to know about investigations of fraud or other civil or criminal offense.</t>
  </si>
  <si>
    <t>Memorandum for other officials as needed</t>
  </si>
  <si>
    <t>CA - 326</t>
  </si>
  <si>
    <t>The CWS shall allow user to create or upload Memo for Record MFR document</t>
  </si>
  <si>
    <t>As a CO, I need to be able to document concerns related to fraud or other civil/criminal investigations so that my concerns become part of the official record</t>
  </si>
  <si>
    <t>Activity 46 - Fraud and Exclusion; Task 6</t>
  </si>
  <si>
    <t>Provide additional information requested by responsible officials.</t>
  </si>
  <si>
    <t>Additional information as requested</t>
  </si>
  <si>
    <t>CA - 327</t>
  </si>
  <si>
    <t>The CWS shall allow user to create or upload Memo for Record MFR document</t>
  </si>
  <si>
    <t>As a CO, I need to be able to document the release of contract related information so that a record is maintained in the contract file</t>
  </si>
  <si>
    <t>Activity 48 - Administering Special Terms and Conditions; Part A - Miscellaneous Terms and Conditions; Task 1</t>
  </si>
  <si>
    <t>Investigate reports or complaints of contractor failure to comply with contract labor law requirements</t>
  </si>
  <si>
    <t>Investigation report</t>
  </si>
  <si>
    <t>CA - 328</t>
  </si>
  <si>
    <t>The CWS shall allow user to create or upload Memo for Record MFR document</t>
  </si>
  <si>
    <t>As a CO, I need to document complaints related to a contractor failing to comply with labor laws so that I can record the deficiency in the contract file and record any correspondence with the Department of Labor related to the complaint</t>
  </si>
  <si>
    <t>Activity 48 - Administering Special Terms and Conditions; Part A - Miscellaneous Terms and Conditions; Task 2</t>
  </si>
  <si>
    <t xml:space="preserve">Respond to contractor requests and resolve problems with respect to the payment of overtime premiums. </t>
  </si>
  <si>
    <t>CA - 329</t>
  </si>
  <si>
    <t>The CWS shall allow user to create or upload MFR document.  The CWS shall identify clauses and fill-in values when applicable contained in contracts for searching and reporting purposes.</t>
  </si>
  <si>
    <t>As a CO, I need to be able to direct a contractor to the clause FAR 52.222-2 if overtime is approved for a contract so that the contractor can determine if overtime is authorized and, if so, what the overtime premium is for the contract.</t>
  </si>
  <si>
    <t>Ensure system can efficiently:
- identify whether clause FAR 52.222-2 is included in a contract and what the overtime premium is for the contract
- report on the number of contracts containing clause FAR 52.222-2
- create or upload an MFR to the user-specified tab in the contract appropriate to the topic of the MFR</t>
  </si>
  <si>
    <t>Activity 48 - Administering Special Terms and Conditions; Part A - Miscellaneous Terms and Conditions; Task 3</t>
  </si>
  <si>
    <t xml:space="preserve">Investigate complaints and other reports of noncompliance with clauses on protecting the environment, maintaining a drug free workplace, and protection of individual privacy. </t>
  </si>
  <si>
    <t>CA - 330</t>
  </si>
  <si>
    <t>The CWS shall allow user to create or upload Memo for Record MFR document</t>
  </si>
  <si>
    <t>As a CO, I need to be able to document concerns compliance with environmental requirements, drug free workplace act compliance, and privacy protections so that my concerns become part of the official record</t>
  </si>
  <si>
    <t>Activity 48 - Administering Special Terms and Conditions; Part A - Miscellaneous Terms and Conditions; Task 4</t>
  </si>
  <si>
    <t xml:space="preserve">Review and approve or disapprove contractor insurance plans and proposed changes thereto; investigate and resolve problems with insurance coverage. </t>
  </si>
  <si>
    <t>Approval/disapproval of insurance plans; investigation report</t>
  </si>
  <si>
    <t>CA - 331</t>
  </si>
  <si>
    <t>The CWS shall allow user to specify, when applicable, insurance requirements</t>
  </si>
  <si>
    <t>As a CO, I need to be able to specify insurance requirements, as applicable, on contracts so that contractors are aware of the minimum coverage levels and amounts that are needed for contract performance</t>
  </si>
  <si>
    <t>Ensure system can efficiently:
- specify insurance coverage, either in the Schedule or elsewhere, and specify any insurance documentation required before beginning contract performance.
- report on contracts with insurance requirements</t>
  </si>
  <si>
    <t>Activity 48 - Administering Special Terms and Conditions; Part A - Miscellaneous Terms and Conditions; Task 5</t>
  </si>
  <si>
    <t xml:space="preserve">Investigate and resolve problems with security. </t>
  </si>
  <si>
    <t>CA - 332</t>
  </si>
  <si>
    <t>The CWS shall allow user to identify required level of plant security, if applicable, and document related inspections and reports to the contract file in tab xx.</t>
  </si>
  <si>
    <t>As a CO, I need to record the results of inspections related to plant security so I can ensure that the contractor is compliant with the classification level of the contract.</t>
  </si>
  <si>
    <t>Ensure system can efficiently:
- identify a contractor's plant security level, if applicable
- upload any security inspections accomplished with regards to proper handling of classified material/information
- document the contrac file tab xx</t>
  </si>
  <si>
    <t>Activity 48 - Administering Special Terms and Conditions; Part A - Miscellaneous Terms and Conditions; Task 6</t>
  </si>
  <si>
    <t xml:space="preserve">Execute documents to provide for duty-free entry of contract-related shipments of supplies. </t>
  </si>
  <si>
    <t>Signed documents</t>
  </si>
  <si>
    <t>CA - 333</t>
  </si>
  <si>
    <t>The CWS shall allow user to specify products that are exempted from duty by the Harmonized Tariff Schedule of the US and upload the signed documents to the contract file in tab xx.</t>
  </si>
  <si>
    <t>As a CO, I need to indicate if supplies purchased outside of the USA are exempted from duty so I can exempt the contractor from paying duty when importing them into the USA.</t>
  </si>
  <si>
    <t>Ensure system can efficiently:
- specify if supplies are exempted from duty
- Access information in the contract file and export it if necessary in tab xx</t>
  </si>
  <si>
    <t>Activity 48 - Administering Special Terms and Conditions; Part B - Government Property; Task 1</t>
  </si>
  <si>
    <t xml:space="preserve">Conduct an analysis of the contractor’s property management policies, procedures, practices, and systems. </t>
  </si>
  <si>
    <t>CA - 334</t>
  </si>
  <si>
    <t>The CWS shall allow user to create or upload Memo for Record MFR document</t>
  </si>
  <si>
    <t>As an CO/ACO, I need to analyze the contractor's property management policies, procedures, practices and systems so I can issue government furnished property and rely on the contractor to ensure it is maintained properly</t>
  </si>
  <si>
    <t>Ensure system can efficiently:
- create or upload an MFR that documents the completion of a property management system analysis
- create or upload an MFR to the user-specified tab in the contract appropriate to the topic of the MFR</t>
  </si>
  <si>
    <t>Activity 48 - Administering Special Terms and Conditions; Part B - Government Property; Task 2</t>
  </si>
  <si>
    <t xml:space="preserve">Notify the contractor if the contractor’s property management system does not comply with contractual requirements. </t>
  </si>
  <si>
    <t>CA - 335</t>
  </si>
  <si>
    <t>The CWS shall store correspondence regarding property management in tab 39</t>
  </si>
  <si>
    <t>As an CO/ACO, I need to notify the contractor when its property management system fails to meet the contract terms so that the contractor can correct identified discrepancies</t>
  </si>
  <si>
    <t>Ensure system can efficiently:
- specify the property management requirements in the contract, either using clause FAR 52.245-1 or an addendum
- record correspondence related to the contractor's property management system
- Access information in the contract file and export it if necessary tab 39</t>
  </si>
  <si>
    <t>Activity 48 - Administering Special Terms and Conditions; Part B - Government Property; Task 3</t>
  </si>
  <si>
    <t xml:space="preserve">Notify the contractor, in writing, that failure to take the required corrective action may result in consequences. </t>
  </si>
  <si>
    <t>CA - 336</t>
  </si>
  <si>
    <t>As an CO/ACO, I need to be able to verify that the contractor has corrected deficiencies with its property management system, so I can revoke the Government’s assumption of risk for loss of Government property if the contractor has failed to correct the identified discrepancies</t>
  </si>
  <si>
    <t>Ensure system can efficiently:
- issue a revocation of the government's assumption of risk for government property if the contractor fails to address deficiencies related to its property management system, either from a template or in the system
- Access information in the contract file and export it if necessary tab 39</t>
  </si>
  <si>
    <t>Activity 48 - Administering Special Terms and Conditions; Part B - Government Property; Task 4</t>
  </si>
  <si>
    <t xml:space="preserve">Modify the contract when Government property is transferred from one contract to another. </t>
  </si>
  <si>
    <t>CA - 337</t>
  </si>
  <si>
    <t>The CWS shall maintain a record of government furnished property (GFP) assigned to the contract</t>
  </si>
  <si>
    <t>As an CO/ACO, I need to be able to transfer government furnished property from one contract to another so that I can ensure GFP is accounted for on the appropriate contract</t>
  </si>
  <si>
    <t>Ensure system can efficiently:
- record GFP assigned to a contract
- transfer GFP from one contract to another via contract modification
- Access information in the contract file and export it if necessary tab XX</t>
  </si>
  <si>
    <t>Activity 48 - Administering Special Terms and Conditions; Part B - Government Property; Task 5</t>
  </si>
  <si>
    <t xml:space="preserve">Monitor delivery of the Government property as stipulated in the contract. </t>
  </si>
  <si>
    <t>CA - 338</t>
  </si>
  <si>
    <t>The CWS shall maintain a record of all contractor acquired, government furnished property (GFP) assigned to the contract</t>
  </si>
  <si>
    <t>As the CO/ACO, I need to ensure that any property purchased for use on the contract by the contractor and to which the contractor is entitled reimbursement is recorded as government furnished property so that the government retains title to the property at the end of the contract period</t>
  </si>
  <si>
    <t>Ensure system can efficiently:
- record contractor acquired GFP into a register or other record in the system that captures a serial number or other type of identifying information
- Access information in the contract file and export it if necessary tab xx</t>
  </si>
  <si>
    <t>Activity 48 - Administering Special Terms and Conditions; Part B - Government Property; Task 6</t>
  </si>
  <si>
    <t xml:space="preserve">Ensure receipt of report of any loss or otherwise unaccounted for property from plant clearance officer. </t>
  </si>
  <si>
    <t>CA - 339</t>
  </si>
  <si>
    <t>The CWS shall maintain a disposal record of government furnished property and document the contract file in tab 32</t>
  </si>
  <si>
    <t>As the CO/ACO, I need to record any disposal of government furnished property, including property lost or otherwise accounted for, so that I maintain an accurate inventory of all GFP assigned to a contract</t>
  </si>
  <si>
    <t xml:space="preserve">Ensure system can efficiently:
- create or upload an SF 1424 to track disposal and loss of GFP and file in tab 32
- maintain an accurate inventory of contract GFP
</t>
  </si>
  <si>
    <t>Activity 48 - Administering Special Terms and Conditions; Part B - Government Property; Task 7</t>
  </si>
  <si>
    <t xml:space="preserve">Collect rents or assess penalties under the Use and Charges clause of the contract. </t>
  </si>
  <si>
    <t>Rents receipt or documentation of penalties</t>
  </si>
  <si>
    <t>CA - 340</t>
  </si>
  <si>
    <t>The CWS shall allow user to create or upload government furnished property use and rental agreements to tab 39</t>
  </si>
  <si>
    <t>As the CO/ACO, I need to document a use and rental agreement when government furnished property will be used by the contractor for work not attributable to my contract so I can determine when rent should be charged and in what amount</t>
  </si>
  <si>
    <t>Ensure system can efficiently:
- create or upload a use and rent agreement
- calculate any rental amount due based on the agreement
- Access information in the contract file and export it if necessary tab 39</t>
  </si>
  <si>
    <t>Activity 48 - Administering Special Terms and Conditions; Part C - Intellectual Property; Task 1</t>
  </si>
  <si>
    <t xml:space="preserve">Identify, investigate, and resolve patent-related problems. </t>
  </si>
  <si>
    <t>CA - 341</t>
  </si>
  <si>
    <t>The CWS shall allow user to create or upload Memo for Record (MFR) document</t>
  </si>
  <si>
    <t>As a CO, I need to document issues as they arise during contract performance with regards to patents, data, and copyrights so that I can create an audit trail of events in the contract file.</t>
  </si>
  <si>
    <t>Activity 48 - Administering Special Terms and Conditions; Part C - Intellectual Property; Task 2</t>
  </si>
  <si>
    <t xml:space="preserve">Identify, investigate, and resolve problems with data rights. </t>
  </si>
  <si>
    <t>CA - 342</t>
  </si>
  <si>
    <t>Activity 49 - Resolving Disputes; Task 1</t>
  </si>
  <si>
    <t xml:space="preserve">Determine whether a disagreement under or related to a contract constitutes a dispute. </t>
  </si>
  <si>
    <t>Dispute determination</t>
  </si>
  <si>
    <t>CA - 343</t>
  </si>
  <si>
    <t>The CWS shall allow user to indicate that a claim has been filed in the system</t>
  </si>
  <si>
    <t>As a CO, I need to document the receipt of a claim so that I can track the time I have to render a decision, 60 days or a date I specify for certified claims</t>
  </si>
  <si>
    <t>Ensure system can efficiently:
- identify contracts that the contractor has filed a claim against
- track the time remaining to render a decision based on dollar value of claim
- report on number of claims filed</t>
  </si>
  <si>
    <t>Activity 49 - Resolving Disputes; Task 2</t>
  </si>
  <si>
    <t xml:space="preserve">Resolve disagreements other than disputes using negotiation or other appropriate methods. </t>
  </si>
  <si>
    <t>Disagreement resolution</t>
  </si>
  <si>
    <t>GSA Order CSL P 5050.1A</t>
  </si>
  <si>
    <t>CA - 344</t>
  </si>
  <si>
    <t>The CWS shall allow user to indicate that alternative dispute resolution (ADR) has been requested as a mitigation method</t>
  </si>
  <si>
    <t>As a CO, I need to attempt to resolve disagreements regarding the obligations of the parties under a contract at the lowest level possible so I can avoid a claim by resolution at the level of the CO or through the use of ADR if necessary</t>
  </si>
  <si>
    <t>Ensure system can efficiently:
- document a pre-PNM and PNM once negotiations resulting from a disagreement over the obligation of the parties is completed
- document that ADR has been requested by the CO or the contractor 
- report on the number of contract actions in which ADR has been used</t>
  </si>
  <si>
    <t>Activity 49 - Resolving Disputes; Task 3</t>
  </si>
  <si>
    <t xml:space="preserve">Reject any claim that is not timely. </t>
  </si>
  <si>
    <t>For untimely claims, claim rejection</t>
  </si>
  <si>
    <t>CA - 345</t>
  </si>
  <si>
    <t>The CWS shall allow user to indicate that a claim has been filed in the system and track status and resolution.  The CWS shall document the contract file.</t>
  </si>
  <si>
    <t>As a CO, I need to reject claims when untimely, or when filed greater than 6 years from accrual of the claim, so that the claim can be resolved as quickly as possible</t>
  </si>
  <si>
    <t>Ensure system can efficiently:
- identify contracts that the contractor has filed a claim against
- document that the CO has rejected the claim as untimely
- Access information in the contract file and export it if necessary tab xx</t>
  </si>
  <si>
    <t>Activity 49 - Resolving Disputes; Task 4</t>
  </si>
  <si>
    <t xml:space="preserve">Prepare the Government’s position on the contractor’s claim. </t>
  </si>
  <si>
    <t>CA - 346</t>
  </si>
  <si>
    <t>The CWS shall allow user to create or upload a written decision regarding a claim initiated by the government. The CWS shall document the contract file.</t>
  </si>
  <si>
    <t>As a CO, I need to be able to review a claim initiated by the government against the contractor so that I can issue a written decision as required by the authoritative reference</t>
  </si>
  <si>
    <t>Ensure system can efficiently:
- create or upload a written decision to tab 42</t>
  </si>
  <si>
    <t>Activity 49 - Resolving Disputes; Task 5</t>
  </si>
  <si>
    <t xml:space="preserve">Attempt to resolve the dispute through negotiations or a method of alternative dispute resolution. </t>
  </si>
  <si>
    <t>Dispute resolution</t>
  </si>
  <si>
    <t>CA - 347</t>
  </si>
  <si>
    <t>Activity 49 - Resolving Disputes; Task 6</t>
  </si>
  <si>
    <t xml:space="preserve">Prepare the contracting officer’s written decision. </t>
  </si>
  <si>
    <t>CO decision</t>
  </si>
  <si>
    <t>CA - 348</t>
  </si>
  <si>
    <t>The CWS shall allow user to create or upload a CO decision that conforms to the requirements of FAR 33.211(a)(4)</t>
  </si>
  <si>
    <t>As a CO, I need to prepare a written decision regarding a claim within 60 days or a time period I specify upon receipt of the claim so that I notify the contractor of my decision regarding its claim and provide the contractor information regarding their right and instructions on appealing my decision if desired.</t>
  </si>
  <si>
    <t>Ensure system can efficiently:
- create or upload a CO decision to tab 42 
- transmit the decision in a manner that allows the system to generate a read receipt, or allow user to upload confirmation of receipt in tab 42</t>
  </si>
  <si>
    <t>Activity 49 - Resolving Disputes; Task 7</t>
  </si>
  <si>
    <t xml:space="preserve">Issue the decision, and initiate payment/collection of any amount due under the decision. </t>
  </si>
  <si>
    <t>CO decision and disposition of decision</t>
  </si>
  <si>
    <t>CA - 349</t>
  </si>
  <si>
    <t>The CWS shall allow user to transmit CO decision to contractor through the system or allow user to upload confirmation that the contractor received the CO decision
The CWS shall allow user to create or upload a demand for payment that conforms to the requirements of FAR 32.604(b) and document the contract file in tab 42</t>
  </si>
  <si>
    <t>As a CO, I need to notify the contractor of my decision with regards to a claim and, when my decision results in a finding that the contractor is indebted to the government, I need to notify the contractor by issuing a demand for payment so that I can resolve the claim
As a Payment Office, I need to work with the CO when a claim involves a demand for payment so that I can ensure correct payment instructions are provided to the contractor</t>
  </si>
  <si>
    <t>Ensure system can efficiently:
- create or upload a CO decision to tab 42 
- transmit the decision in a manner that allows the system to generate a read receipt, or allow user to upload confirmation of receipt in tab 42
- transmit a demand for payment to the contractor that allows the system to generate a read receipt, or allow user to upload confirmation of receipt in tab 42</t>
  </si>
  <si>
    <t>Activity 49 - Resolving Disputes; Task 8</t>
  </si>
  <si>
    <t xml:space="preserve">If the contractor appeals to the agency’s Board of Contract Appeals, prepare a claims file as requested. </t>
  </si>
  <si>
    <t>Claims file</t>
  </si>
  <si>
    <t>CA - 350</t>
  </si>
  <si>
    <t>Enable a user to generate a claims file, or to select contract file documents for download to an external claims file that conforms to the requirements described at http://www.cbca.gsa.gov/ for a CBCA appeal or a COFC Litigation Report that conforms to the requirements of GSAM 533.212-2(c)</t>
  </si>
  <si>
    <t xml:space="preserve">As a CO, I need to prepare an appeal file whenever a contractor appeals my decision regarding a claim so that I am compliant with the authoritative reference
</t>
  </si>
  <si>
    <t>Ensure system can efficiently:
- create an appeal file in the system or download selected contract file documents for assembly into an external appeal file
***NOTE - the CBCA requires a very specific hard copy format for appeal files in addition to electronic files, and approval from the CBCA--through GSA OGC--is needed for electronic only appeal files***</t>
  </si>
  <si>
    <t>Activity 49 - Resolving Disputes; Task 9</t>
  </si>
  <si>
    <t>If contractor appeals to the Court, prepare a claims file as requested.</t>
  </si>
  <si>
    <t>CA - 351</t>
  </si>
  <si>
    <t>Activity 49 - Resolving Disputes; Task 10</t>
  </si>
  <si>
    <t xml:space="preserve">Participate in appeal proceedings as requested by the agency’s counsel or Board of Contract Appeals, or the Court. </t>
  </si>
  <si>
    <t>Appeal resolution</t>
  </si>
  <si>
    <t>CA - 352</t>
  </si>
  <si>
    <t>The CWS shall document the contract file as necessary (Tab 24, Legal Review).</t>
  </si>
  <si>
    <t>Activity 50 - Termination; Part A - Determine Whether to Terminate a Contract and the Method of Termination; Task 1</t>
  </si>
  <si>
    <t>Identify indicators of the possible need to terminate a contract</t>
  </si>
  <si>
    <t>Identification of indicators</t>
  </si>
  <si>
    <t>CA - 353</t>
  </si>
  <si>
    <t>The CWS shall document the contract file as necessary of indicators that suggest a need to terminate a contract (Tab 41, Termination Documents).</t>
  </si>
  <si>
    <t>Activity 50 - Termination; Part A - Determine Whether to Terminate a Contract and the Method of Termination; Task 2</t>
  </si>
  <si>
    <t xml:space="preserve">With other members of the Government acquisition team, identify available alternatives for action and the associated pros and cons. </t>
  </si>
  <si>
    <t>CA - 354</t>
  </si>
  <si>
    <t>The CWS shall document the contract file as necessary of alternatives to termination along with their pros and cons (Tab 41, Termination Documents).</t>
  </si>
  <si>
    <t>Activity 50 - Termination; Part A - Determine Whether to Terminate a Contract and the Method of Termination; Task 3</t>
  </si>
  <si>
    <t xml:space="preserve">Select the appropriate termination method. </t>
  </si>
  <si>
    <t>Termination method</t>
  </si>
  <si>
    <t>CA - 355</t>
  </si>
  <si>
    <t>The CWS shall document the contract file of the selected termination method (Tab 41, Termination Documents).</t>
  </si>
  <si>
    <t>Activity 50 - Termination; Part B - Termination of Contracts for the Government's Convenience; Task 1</t>
  </si>
  <si>
    <t xml:space="preserve">Document the need to terminate a contract partially or completely for convenience. </t>
  </si>
  <si>
    <t>CA - 356</t>
  </si>
  <si>
    <t>The CWS shall allow user to generate or upload a request for termination settlement proposal whenever a termination for the government's convenience is considered.  The CWS shall also document the contract file in tab xx.</t>
  </si>
  <si>
    <t>As a CO, I need to notify the contractor of the government's intention to terminate the contract for convenience and request a termination settlement proposal so that I can negotiate an appropriate settlement when terminating a contract for the government's convenience</t>
  </si>
  <si>
    <t>Ensure system can efficiently:
- create or upload a request for termination settlement proposal
- Access information in the contract file and export it if necessary in tab xx</t>
  </si>
  <si>
    <t>Activity 50 - Termination; Part B - Termination of Contracts for the Government's Convenience; Task 2</t>
  </si>
  <si>
    <t>Issue a notice of termination for convenience.</t>
  </si>
  <si>
    <t>Notice of termination for convenience</t>
  </si>
  <si>
    <t>CA - 357</t>
  </si>
  <si>
    <t>The CWS shall allow user to create or upload a termination notice that conforms to the requirements of FAR 49.102 when a termination for convenience is accomplished when appropriate. The CWS shall also document the contract file in tab xx.</t>
  </si>
  <si>
    <t>As a CO, I need to send a notice of termination to the contractor that conforms to the requirements of FAR 49.102(a) so that I can proceed with a termination for the government's convenience
As a CO, I need to confirm that the contractor, contract administration office if applicable and any known assignee, guarantor, or surety of the contractor if applicable received the notice of termination so I can comply with the authoritative reference</t>
  </si>
  <si>
    <t>Ensure the CWS user can efficiently:
- create or upload a notice of termination that conformns to FAR 49.102(a)
- transmit the notice to the vendor from the system or upload confirmation that the notice was received by all parties indicated in FAR 49.102(b)
- Access information in the contract file and export it if necessary in tab xx</t>
  </si>
  <si>
    <t>Activity 50 - Termination; Part B - Termination of Contracts for the Government's Convenience; Task 3</t>
  </si>
  <si>
    <t xml:space="preserve">Conduct a conference with the prime contractor to develop a definite program for effecting the settlement. </t>
  </si>
  <si>
    <t>Settlement conference</t>
  </si>
  <si>
    <t>CA - 358</t>
  </si>
  <si>
    <t>The CWS shall store correspondence related to a termination settlement conference in tab 41</t>
  </si>
  <si>
    <t>As a CO, I need to document the minutes and details of any termination settlement conference in tab 41 so I maintain a complete record of the acquisition in the contract file</t>
  </si>
  <si>
    <t>Ensure system can efficiently:
- create or upload termination settlement conference documents in tab 41</t>
  </si>
  <si>
    <t>Activity 50 - Termination; Part B - Termination of Contracts for the Government's Convenience; Task 4</t>
  </si>
  <si>
    <t xml:space="preserve">Amend or rescind the termination notice (when appropriate). </t>
  </si>
  <si>
    <t>Termination amendment or rescission</t>
  </si>
  <si>
    <t>CA - 359</t>
  </si>
  <si>
    <t>The CWS shall enable the user to amend, revise, rescind, and/or reinstate the notice of termination as appropriate. The CWS shall store revisions to the termination notice in tab 41</t>
  </si>
  <si>
    <t>As a CO, I may need to amend or rescind a notice of termination so that I can correct nonsubstantive mistakes in the notice; add supplemental data or instructions; rescind the notice if it is determined that items terminated had been completed or shipped before the contractor’s receipt of the notice; or reinstate the terminated portion of a contract in whole or in part if I determine that circumstances clearly indicate a requirement for the terminated items; and reinstatement is advantageous to the Government.</t>
  </si>
  <si>
    <t>Ensure system can efficiently:
- amend or revise a notice of termination
- send amended or revised notice of termination to all parties indicated in FAR 49.102(b) and confirm receipt, either through the system or uploaded to the system
- Access information in the contract file and export it if necessary tab xx</t>
  </si>
  <si>
    <t>Activity 50 - Termination; Part B - Termination of Contracts for the Government's Convenience; Task 5</t>
  </si>
  <si>
    <t>Determine the disposition and termination treatment of completed end items</t>
  </si>
  <si>
    <t>6.3.3
6.6.1</t>
  </si>
  <si>
    <t>CA - 360</t>
  </si>
  <si>
    <t>The CWS shall record accepted end items or services, or allow user to upload a record of acceptance and inspection for supplies received or services rendered.  The CWS shall document the contract file in tab xx.</t>
  </si>
  <si>
    <t>As a CO, I need to be able to determine how many supplies have been accepted or services performed up to the date of the termination so that I can exclude them from consideration in the termination settlement.</t>
  </si>
  <si>
    <t>Ensure system can efficiently:
- identify the supplies accepted and services performed and accepted up to the date of a termination
- Access information in the contract file and export it if necessary tab xx</t>
  </si>
  <si>
    <t>Activity 50 - Termination; Part B - Termination of Contracts for the Government's Convenience; Task 6</t>
  </si>
  <si>
    <t>Ensure the prime contractor’s termination settlement proposal and, where appropriate, the subcontractors’ settlement proposals are acceptable for settlement action</t>
  </si>
  <si>
    <t>CA - 361</t>
  </si>
  <si>
    <t>The CWS shall store the contractor submitted termination settlement proposal, and subcontractor termination settlement proposal if applicable, in the contract file (Tab 41, Termination Documents).</t>
  </si>
  <si>
    <t>As a CO, I need to review the termination settlement proposal submitted by the contractor, and subcontractor(s) if applicable, so that I can ensure they were submitted within 1 year of the effective date of the termination, they were submitted on the correct format as prescribed in FAR 49.206-1, and conform to the requirements  of FAR 49.206-1(c) and 49.206-2.</t>
  </si>
  <si>
    <t>Ensure system can efficiently:
- Review submitted termination settlement proposals
- Access information in the contract file and export it if necessary</t>
  </si>
  <si>
    <t>Activity 50 - Termination; Part B - Termination of Contracts for the Government's Convenience; Task 7</t>
  </si>
  <si>
    <t xml:space="preserve">Execute a no-cost settlement (when appropriate). </t>
  </si>
  <si>
    <t>6.2.3.1
6.2.3.2
6.2.3.3
6.6.1</t>
  </si>
  <si>
    <t>CA - 362</t>
  </si>
  <si>
    <t>The CWS shall allow user to create or upload a settlement agreement regardless of dollar value and document the contract file (Tab 41, Termination Documents).</t>
  </si>
  <si>
    <t>As a CO, I need to be able to negotiate a settlement at no cost provided the conditions at FAR 49.109-4 are present so I can complete the contract termination</t>
  </si>
  <si>
    <t>Ensure system can efficiently:
- Create or upload a settlement agreement without limitation to dollar value
- Access information in the contract file and export it if necessary</t>
  </si>
  <si>
    <t>Activity 50 - Termination; Part B - Termination of Contracts for the Government's Convenience; Task 8</t>
  </si>
  <si>
    <t>Request any specialized assistance to analyze the contractor’s settlement proposal</t>
  </si>
  <si>
    <t>Request for specialized assistance</t>
  </si>
  <si>
    <t>CA - 363</t>
  </si>
  <si>
    <t>The CWS shall allow a cost/price analyst access to the contract file, or allow user to download contract file documents for accounting reviews.</t>
  </si>
  <si>
    <t>As a CO, I need to request assistance from specialists with respect to accounting reviews and to obtain advice and assistance on accounting matters so I can expedite the termination settlement.</t>
  </si>
  <si>
    <t>Ensure system can efficiently:
- Review accounting information submitted by the contractor and/or subcontractor(s) with their termination settlement proposal
- Allow a cost/price analyst or accountant access to the contract file to review accounting information</t>
  </si>
  <si>
    <t>Activity 50 - Termination; Part B - Termination of Contracts for the Government's Convenience; Task 9</t>
  </si>
  <si>
    <t xml:space="preserve">If the termination is for either a commercial item contract or a simplified acquisition, negotiate a settlement based on percentage of price plus any reasonable charges, and proceed to Task 15. </t>
  </si>
  <si>
    <t>CA - 364</t>
  </si>
  <si>
    <t>The CWS shall allow user to create/upload/import a memorandum to the file (Tab 41, Termination Documents).</t>
  </si>
  <si>
    <t>As a CO, I need the be able to document my negotiation position and the outcome of the negotiation so I can document that I achieved best value for the government</t>
  </si>
  <si>
    <t>Ensure system can efficiently:
- Create/upload/import a memorandum to the file
- Route document for reviews to user specified individuals
- Access information in the contract file and export it if necessary</t>
  </si>
  <si>
    <t>Activity 50 - Termination; Part B - Termination of Contracts for the Government's Convenience; Task 10</t>
  </si>
  <si>
    <t>If the termination is for a non commercial item contract, determine whether to authorize contractors to settle subcontracts terminated in whole or in part without approval or ratification</t>
  </si>
  <si>
    <t>CA - 365</t>
  </si>
  <si>
    <t>The CWS shall allow user to store written request to conclude settlements of subcontracts terminated in whole or in part without approval or ratification when the amount of settlement is $100,000 or less. The CWS shall document the contract file (Tab 41, Termination Documents).</t>
  </si>
  <si>
    <t>As a CO I need to determine if allowing the prime contractor to settle terminated subcontracts valued at up to $100,000 without my involvement is in the government's best interest so that I can approve or deny the written request</t>
  </si>
  <si>
    <t>Ensure system can efficiently:
-Store contractors written request
- Allow user to create or upload D&amp;F related to allowing prime contractor to settle terminated subcontracts
- Access information in the contract file and export it if necessary</t>
  </si>
  <si>
    <t>Activity 50 - Termination; Part B - Termination of Contracts for the Government's Convenience; Task 11</t>
  </si>
  <si>
    <t xml:space="preserve">Upon determining not to authorize contractors to settle subcontracts terminated in whole or in part without approval or ratification, approve, ratify, or disapprove subcontract termination settlements. </t>
  </si>
  <si>
    <t>Approval/ratification/or disapproval of subcontract termination settlements</t>
  </si>
  <si>
    <t>CA - 366</t>
  </si>
  <si>
    <t>The CWS shall allow user to store subcontract termination settlement proposals and termination settlement agreements between a prime and subcontractor in the contract file (Tab 41, Termination Documents). The CWS shall allow the user to create/upload/import an analysis of the subcontractor settlement agreement that conforms to the requirements of FAR 49.108-3(c). The CWS shall allow the user to transmit or upload confirmation of contractor receipt of the written approval or disapproval of the proposed subcontractor termination settlement agreement and justification, if disapproved.</t>
  </si>
  <si>
    <t>As a CO/CS, I need to review any proposed termination settlement between a prime contractor and its subcontractor so that I can determine that the settlement was necessary as a result of a termination, arrived at in good faith, is reasonable in amount, is allocable to the terminated portion of the contract or if allocable only in part, that the proposed allocation is reasonable, and that the settlement does not include any amount for loss of anticipatory profits or consequential damages resulting from the termination of any subcontract.  I need to review each subcontractor termination settlement agreement to ensure that adequate accounting information is provided so that I justify my decision to approve or disapprove the proposed settlement agreement. I need to notify the prime contractor of my decision to approve or disapprove their proposed termination settlement agreement with their subcontractor, along with any reasons for the disapproval, so the prime contractor can finalize its termination settlement with its subcontractor. I need to document the file.</t>
  </si>
  <si>
    <t>Ensure the CWS user can efficiently:
- Store contractor supplied subcontractor termination settlement proposal and supporting documentation
- Create/upload/import analysis of proposed settlement agreement
- Allow a cost/price analyst or accountant access to the contract file for pricing support, or allow user to download documents for external review
- Send written approval or disapproval decision to contractor or upload confirmation of contractor receipt of written decision
- Access information in the contract file and export it if necessary</t>
  </si>
  <si>
    <t>Activity 50 - Termination; Part B - Termination of Contracts for the Government's Convenience; Task 12</t>
  </si>
  <si>
    <t xml:space="preserve">If contractors are authorized to settle subcontracts terminated in whole or in part without approval or ratification, and the prime contractor is unable to reach an acceptable negotiated settlement with a subcontractor, resolve the problem. </t>
  </si>
  <si>
    <t>CA - 367</t>
  </si>
  <si>
    <t>The CWS shall allow user to store subcontract termination settlement proposals and termination settlement agreements between a prime and subcontractor in the contract file (Tab 41, Termination Documents).</t>
  </si>
  <si>
    <t>As a CO/CS, I need to be able to exclude a subcontractor settlement proposal from my settlement proposal with a prime contractor; to establish a settlement agreement between the government, the prime contractor and the subcontractor; or, as a last resort, to directly engage in a settlement agreement with a subcontractor, so that I can complete and conclude a termination settlement. I also need to be able to access the action in the contract file and export it if necessary.</t>
  </si>
  <si>
    <t>Ensure the CWS user can efficiently:
- Store contractor supplied subcontractor termination settlement proposal and supporting documentation
- Create/upload/import analysis of proposed settlement agreement
- Allow a cost/price analyst or accountant access to the contract file for pricing support, or allow user to download documents for external review
- Send correspondence to a prime and subcontractor, to include a proposed settlement agreement, or upload correspondence
- Access information in the contract file and export it if necessary</t>
  </si>
  <si>
    <t>Activity 50 - Termination; Part B - Termination of Contracts for the Government's Convenience; Task 13</t>
  </si>
  <si>
    <t xml:space="preserve">Establish the Government’s pre negotiation position on the settlement and negotiate. </t>
  </si>
  <si>
    <t>CA - 368</t>
  </si>
  <si>
    <t>The CWS shall allow user to create or upload pre-PNM and PNM to the contract file (Tab 41, Termination Documents).</t>
  </si>
  <si>
    <t>As a CO/CS, I need the be able to document my negotiation position and the outcome of the negotiation so I can document that I achieved best value for the government</t>
  </si>
  <si>
    <t>Ensure system can efficiently:
- Create/upload/import a pre-PNM and PNM
- Route document for reviews to user specified individuals
- Access information in the contract file and export it if necessary</t>
  </si>
  <si>
    <t>Activity 50 - Termination; Part B - Termination of Contracts for the Government's Convenience; Task 14</t>
  </si>
  <si>
    <t>If no negotiated agreement can be reached, issue a unilateral settlement by determination</t>
  </si>
  <si>
    <t>Unilateral settlement determination</t>
  </si>
  <si>
    <t>CA - 369</t>
  </si>
  <si>
    <t>The CWS shall allow user to create or upload a notification providing the contractor 15 days to provide accounting information to support a settlement decision, and capture receipt by the contractor in the system or by uploaded external confirmation.
The CWS shall allow user to create/upload/import a determination of the amount due under the unilateral agreement and to transmit to the contractor and confirm receipt, or upload external confirmation of receipt
The CWS shall store all written evidence the CO relied upon in reaching their decision in the contract file (Tab 41, Termination Documents).</t>
  </si>
  <si>
    <t>As a CO/CS, I need to request accounting information from the contractor that either substantiates an earlier proposed termination settlement agreement or allows me to determine the amount due the contractor so I can complete a final settlement decision. I need to archive all documentation that I relied upon to reach my final settlement determination so I can support my determination in the event a claim is filed. I need to document the contract file.</t>
  </si>
  <si>
    <t>Ensure system can efficiently:
- Confirm contractor receipt of the notification required by FAR 49.109-7(b)
- Create/upload/import a written determination of the amount due a contractor resulting from a termination in tab 41
- Confirm contractor receipt of the determination required by FAR 49.109-7(d)
- Archive all accounting data submitted by the contractor or otherwise obtained and relied upon in reaching the determination of settlement amount
- Access information in the contract file and export it if necessary</t>
  </si>
  <si>
    <t>Activity 50 - Termination; Part B - Termination of Contracts for the Government's Convenience; Task 15</t>
  </si>
  <si>
    <t>Prepare a settlement negotiation memorandum</t>
  </si>
  <si>
    <t>Negotiation memorandum or memorandum for the file</t>
  </si>
  <si>
    <t>CA - 370</t>
  </si>
  <si>
    <t>Activity 50 - Termination; Part B - Termination of Contracts for the Government's Convenience; Task 16</t>
  </si>
  <si>
    <t>Obtain reviews and clearances of the proposed settlements</t>
  </si>
  <si>
    <t>Review and clearances</t>
  </si>
  <si>
    <t>3rd Party Systems - 1</t>
  </si>
  <si>
    <t>CPARS</t>
  </si>
  <si>
    <t>6.2.6
6.6.1</t>
  </si>
  <si>
    <t>CA - 371</t>
  </si>
  <si>
    <t>The CWS shall enable the routing, review, and/or approval of the proposed settlements amongst the acquisition team and/or other user selected reviewers and document the file (Tab 41, Termination Documents).</t>
  </si>
  <si>
    <t>As a CO/CS, I need to route proposed termination settlements to the authority specified in GSAM 549.111 or to the individual or office delegated by the authority named in GSAM 549.111 and document the file with the reviewed/approved document.</t>
  </si>
  <si>
    <t>Ensure te CWS user can efficiently:
- Route documents using a custom workflow
- Access information in the contract file and export it if necessary</t>
  </si>
  <si>
    <t>Enable the user to access and review past performance data contained within the Contract Performance Assessment Reporting System (CPARS). Make data available for viewing in the contract file (see CTAG tab) and provide the ability to export the data as a web-form or similar structured manner.</t>
  </si>
  <si>
    <t>As a CO/CS, I need to access and review contractor past performance assessments to comply with the authoritative references.</t>
  </si>
  <si>
    <t>Activity 50 - Termination; Part B - Termination of Contracts for the Government's Convenience; Task 17</t>
  </si>
  <si>
    <t xml:space="preserve">Make final payment or, where the partial payment was in excess of the final amount of the settlement, demand repayment. </t>
  </si>
  <si>
    <t>Ensure system can efficiently:
- Allow user to access and review contractor past performance assessments
- Access information in the contract file and export it if necessary</t>
  </si>
  <si>
    <t>CA - 372</t>
  </si>
  <si>
    <t>The CWS shall allow submission of contractor invoices, vouchers and/or other requests for payment and/or settlement.  The CWS shall allow user to create/upload/import the settlement of account document or payment and also manage and record related accounting.  The CWS shall document the contract file (Tab 41, Termination Documents).</t>
  </si>
  <si>
    <t>As a CO/CS, I need to review contractor and subcontractor requests for partial payment under the termination portions of a contract so that I can approve of deny the request for payment. I need to determine if any partial payment exceed the amount prescribed in the termination settlement, and if an overpayment occurred, determine the amount and date of the overpayment so I can issue a demand for payment that includes the amount of the overpayment and interest calculated from the date of the overpayment. I need to ensure that any invoice, voucher, or other payment request for partial payment under the terminated portions of a contract are certified in accordance with FAR 49.112-1(h)(1) so that I can approve the request for purchase as prescribed in 49.112-1(h)(2). I also need to be able to access the action in the contract file and export it if necessary.</t>
  </si>
  <si>
    <t>Ensure system can efficiently:
- Capture vendor submitted invoice, voucher or other payment request
- Create/upload/import a demand for payment that conforms to the requirements of the authoritative references
- Complete the notation required by FAR 49.112-1(h)(2) when approving an invoice, voucher or other request for partial payment
- Access information in the contract file and export it if necessary</t>
  </si>
  <si>
    <t>Activity 50 - Termination; Part B - Termination of Contracts for the Government's Convenience; Task 18</t>
  </si>
  <si>
    <t>Calculate and release excess funds</t>
  </si>
  <si>
    <t>Excess funds</t>
  </si>
  <si>
    <t>CA - 373</t>
  </si>
  <si>
    <t>The CWS allows user to create or upload a release of excess funds letter and document the contract file (Tab 41, Termination Documents).</t>
  </si>
  <si>
    <t>As a TCO, I need to submit a request to release excess funds in the format required by FAR 49.604 to the CO so that the Government can release any excess funds that remain on the contract as a result of a termination and document the contract file.</t>
  </si>
  <si>
    <t>Ensure system can efficiently:
- Create/upload/import a request to release excess funds
- Send the request to the contracting activity specified in the request
- Access information in the contract file and export it if necessary</t>
  </si>
  <si>
    <t>Activity 50 - Termination; Part B - Termination of Contracts for the Government's Convenience; Task 19</t>
  </si>
  <si>
    <t xml:space="preserve">Given a contractor’s request for an equitable adjustment on the remainder of a fixed-price contract partially terminated for convenience, make an equitable adjustment (when appropriate). </t>
  </si>
  <si>
    <t>3rd Party Systems - 2</t>
  </si>
  <si>
    <t>CA - 374</t>
  </si>
  <si>
    <t xml:space="preserve">The CWS shall store contractor submitted requests for equitable adjustment. The CWS allows user to create/upload/import a memorandum to the file documenting the decision to grant/deny the contractor's request for an equitable adjustment along with supporting rationale. If an equitable price adjustment is granted, the CWS shall enable the bilateral modification of the contract using a Standard Form 30 or other agency designated form, pre-populating the form to the maximum extent practicable. The CWS shall allow user to route SF30 for review and approval, and once approved, route to the Contractor for execution. The CWS shall enable the contractor to execute the modification and return it to the CO for final signature. The CWS shall document the contract file (Tab 40, Contract Modification). </t>
  </si>
  <si>
    <t xml:space="preserve">As a contractor, I'd like to be able to send my CO requests for equitable adjustment. If the request is granted, I want the modification to be routed to me for signature and once I sign, I need to route it back to my CO to execute. I need a copy of the executed modification for my files.
As a CO/CS, I need to be able to receive and review contractor requests and take action on such requests as may be appropriate. If the request results in the need for a contract modification, I need to create/upload/draft a modification using the appropriate forms and have the CWS pre-populate as much information required by the form as possible to minimize data entry and errors. I need to be able to send the modification to the contractor for signature, and once I receive the contractor's signed modification, I need to executie the modification. I also need to be able to access the action in the contract file and export it if necessary. </t>
  </si>
  <si>
    <t>Ensure system can efficiently:
- Receive and store contractor requests
- Create/upload/import a memorandum to the file
- Create/upload/import a contract modification
- Route documents for review and approval
- Access information in the contract file and export it if necessary</t>
  </si>
  <si>
    <t>Enable the user to input past performance data into the Contract Performance Assessment Reporting System (CPARS). Make data available for viewing in the contract file (Tab 42, Contract Closeout) and provide the ability to export the data as a web-form or similar structured manner.</t>
  </si>
  <si>
    <t>Activity 50 - Termination; Part C - Termination of Contracts for Cause or Default; Task 1</t>
  </si>
  <si>
    <t>Document the case for terminating a contract partially or completely for cause or default</t>
  </si>
  <si>
    <t>As a CO/CS or COR, I need to input contractor past performance assessments to comply with the authoritative references.</t>
  </si>
  <si>
    <t>Ensure system can efficiently:
- Allow user to access and input contractor past performance assessments
- Access information in the contract file and export it if necessary</t>
  </si>
  <si>
    <t xml:space="preserve">6.3.4.1
</t>
  </si>
  <si>
    <t>CA - 375</t>
  </si>
  <si>
    <t>The CWS shall allow user to create/upload/import a termination for cause notification that conforms to the appropriate authoritative reference and supporting documentation and document the contract file (Tab 41, Termination Documents).</t>
  </si>
  <si>
    <t>As a CO/CS, when termination for cause is contemplated in accordance with FAR 8.406-4 and 12.403, I need to send the contractor a written notification regarding the termination so that I comply with the authoritative reference. When termination for default is contemplated in accordance with FAR 49.402 or 49.403, I need to send a written notification to the contractor warning of the possibility of a termination for default or a show cause notice so that I can give the contractor an opportunity to explain why a termination for default is not appropriate. I need to document the contract file.</t>
  </si>
  <si>
    <t>Ensure system can efficiently:
- Create/upload/import a notification of termination for cause and supporting documentation in accordance with the appropriate authoritative reference
- - Access information in the contract file and export it if necessary</t>
  </si>
  <si>
    <t>Activity 50 - Termination; Part C - Termination of Contracts for Cause or Default; Task 2</t>
  </si>
  <si>
    <t>Discuss the propriety of terminating a contract for cause/default with technical personnel and legal counsel</t>
  </si>
  <si>
    <t>3rd Party Systems - 3</t>
  </si>
  <si>
    <t>eBUY</t>
  </si>
  <si>
    <t>Enable the user to post and manage opportunities on eBUY. This includes importing quotes from eBUY into the system for evaluation and processing; transmitting award information from the system back into eBUY; and providing data analytics on eBUY actions. Make data available for viewing in the contract file (see CTAG tab) and provide the ability to export the data as a web-form or similar structured manner.
The e-Buy component of GSA Advantage is an online Request for Quotation (RFQ) tool designed to facilitate the request for submission of quotations for a wide range of commercial supplies and services that are offered by GSA Schedule and Government wide Acquisition Contract (GWAC) contractors. For Federal agencies (buyers), e-Buy maximizes their buying power by leveraging the power of the Internet to increase Schedule and GWAC contractor participation to obtain quotations that result in best value purchase decisions. For Schedule and GWAC contractors (sellers), e-Buy provides greater opportunities to offer quotations and increase business volume for supplies and services provided under their Schedule contracts and GWACs. It's interfaces are webservices. It's hardware is Linux, UNIX. It's operating system is Windows, RHEL, Solaris. Most infrastructure components are virtual machines. It's development platform is JBoss, Sybase ASE, Database Objects, Web Services, CSS, JavaScript, Korn Shell, Perl,C++, C Shell, Bourne Shell, XSLT, Hibernate, Spring, Struts, Ant, Junit ,JPA, AspectJ, JEE, Web Services, Open A, Apache, LDAP,  Google Analytics, Apache FOB, iText, Angular, Solr,Nginx,Python,Ansible, Elastic.Kibana,GraphicsMagick, Talend,  OAuth 2.0, SAML, XML, Java and Javascript.Redis, Monetra.</t>
  </si>
  <si>
    <t>As a CO/CS, I need to post RFI and RFQs to eBUY following the GSA Schedule ordering procedures to advertise opportunities to suppliers. I also need to manage the RFI/RFQ, receive and answer questions, receive quotes and no bids, import quotes and no bids into the system for evaluation, make an award determination, and post the award decision back to eBUY. I also need to be able to access the information in the contract file and export it if necessary.</t>
  </si>
  <si>
    <t>Ensure system can efficiently:
- Post opportunities on eBUY
- Manage opportunities on EBUY
- Access information in the contract file and export it if necessary</t>
  </si>
  <si>
    <t>CA - 376</t>
  </si>
  <si>
    <t>The CWS shall allow users to collaborate among the acquisition team regarding the termination action. The CWS shall enable the routing, review and/or approval of actions/documents as appropriate. 
The CWS shall enable the routing, review, and/or approval of documents amongst the acquisition team.</t>
  </si>
  <si>
    <t xml:space="preserve">As a CO/CS, I need to discuss the nature of the termination with contracting, technical, and legal counsel so I can choose the approriate termination type </t>
  </si>
  <si>
    <t>Ensure system can efficiently:
- Enable collaboration among the team
- Route, review and/or approve actions/documents</t>
  </si>
  <si>
    <t>Activity 50 - Termination; Part C - Termination of Contracts for Cause or Default; Task 3</t>
  </si>
  <si>
    <t>Issue notice of termination for cause/ default</t>
  </si>
  <si>
    <t>Notice of termination</t>
  </si>
  <si>
    <t>3rd Party Systems - 4</t>
  </si>
  <si>
    <t>Federal Business Opportunities (FBO)</t>
  </si>
  <si>
    <t xml:space="preserve">Establish an interface with Federal Business Opportunities (FBO) to automatically send public notices on Federal Business Opportunities without further data entry from the user. Make data available for viewing in the contract file (Tab 8, Synopsis/Advertisement) and provide the ability to export the data as a web-form or similar structured manner. </t>
  </si>
  <si>
    <t>As a CO/CS, I want to minimize the number of systems I need to interact with to do my job. Automating required Federal Business Opportunities (FBO) public notices enables me to focus on higher level activities in lieu of data entry. I also need to be able to access the information in the contract file and export it if necessary.</t>
  </si>
  <si>
    <t>Ensure system can efficiently:
- Automatically interface with Federal Business Opportunities (FBO)
- Automatically post and manage public notices in FBO
- Access information in the contract file and export it if necessary</t>
  </si>
  <si>
    <t>FBO.gov</t>
  </si>
  <si>
    <t>CA - 377</t>
  </si>
  <si>
    <t>The CWS shall allow user to create/upload/import a termination for cause notification and document the contract file (Tab 41, Termination Documents).</t>
  </si>
  <si>
    <t>As a CO/CS, when termination for cause is contemplated in accordance with FAR 12.403, I need to send the contractor a written notification regarding the termination so that I comply with the authoritative reference.
As a CO/CS when termination for default is contemplated in accordance with FAR 49.402 or 49.403, I need to send a written notification to the contractor warning of the possibility of a termination for default or a show cause notice so that I can give the contractor an opportunity to explain why a termination for default is not appropriate
As a CO/CS, I need to notify the Small Business Administration whenever a show cause notice is issued to a small business to comply with FAR 49.402-3(e)(4).
I also need to be able to access the action in the contract file and export it if necessary.</t>
  </si>
  <si>
    <t xml:space="preserve">Ensure system can efficiently:
- Create/upload/import a notification of termination for cause based on the appropriate authoritative reference
- Route notice to appropriate parties and confirm receipt
- Access information in the contract file and export it if necessary </t>
  </si>
  <si>
    <t>Activity 50 - Termination; Part C - Termination of Contracts for Cause or Default; Task 4</t>
  </si>
  <si>
    <t>Inform parties who may be involved in or affected by the termination</t>
  </si>
  <si>
    <t>Notification to surety, disbursing officer, or other impacted party</t>
  </si>
  <si>
    <t>CA - 378</t>
  </si>
  <si>
    <t>The CWS shall allow user to create or upload notice to surety, disbursing officer or other impacted party and document the contract file (Tab 41, Termination Documents).</t>
  </si>
  <si>
    <t>As a CO/CS, I need to notify a surety, disbursing officer, or other impacted party whenever termination for default appears imminent so I comply with the authoritative reference. I need to notify the Small Business Administration whenever a termination for default is contemplated against a small business to comply with the authoritative references.</t>
  </si>
  <si>
    <t>Ensure system can efficiently:
- Create/upload/import a notice of impending termination for default and transmit it to interested parties, or upload confirmation that notice was sent
- Access information in the contract file and export it if necessary</t>
  </si>
  <si>
    <t>Activity 50 - Termination; Part C - Termination of Contracts for Cause or Default; Task 5</t>
  </si>
  <si>
    <t xml:space="preserve">Conduct a conference with the prime contractor to review the termination process (when appropriate). </t>
  </si>
  <si>
    <t>CA - 379</t>
  </si>
  <si>
    <t>The CWS shall allow user to document the conference with the prime contractor to review the termination process in the contract file (Tab 41, Termination Documents).</t>
  </si>
  <si>
    <t>As a CO, I need to discuss the termination process with the contractor so I can ensure that the vendor fully understands its responsibilities during and after the termination, as appropriate, and document the contract file.</t>
  </si>
  <si>
    <t>Ensure system can efficiently:
- Document termination conference
- Access information in the contract file and export it if necessary</t>
  </si>
  <si>
    <t>3rd Party Systems - 5</t>
  </si>
  <si>
    <t xml:space="preserve">Post a solicitation or combined pre-solicitation/solicitation notice to Federal Business Opportunities (FBO). Make data available for viewing in the contract file (Tab 8, Synopsis/Advertisement) and provide the ability to export the data as a web-form or similar structured manner. </t>
  </si>
  <si>
    <t>As a CO/CS, I am required to transmit a notice to Federal Business Opportunities (FBO) in order to maximize competition, broaden industry participation, assist small business concerns, and to comply with the authoritative references. I also need to be able to access the information in the contract file and export it if necessary.</t>
  </si>
  <si>
    <t>Ensure system can efficiently:
- Post a solicitation or combined pre-solicitation/solicitation notice to Federal Business Opportunities (FBO)
- Access information in the contract file and export it if necessary</t>
  </si>
  <si>
    <t>Activity 50 - Termination; Part C - Termination of Contracts for Cause or Default; Task 6</t>
  </si>
  <si>
    <t>Amended or rescinded termination notice</t>
  </si>
  <si>
    <t>CA - 380</t>
  </si>
  <si>
    <t>The CWS shall allow user to amend, revise, rescind, and/or reinstate the notice of termination as appropriate. The CWS shall store revisions to the termination notice in the contract file (Tab 41, Termination Documents).</t>
  </si>
  <si>
    <t>As a CO/CS, I may need to amend or rescind a notice of termination so that I can correct nonsubstantive mistakes in the notice; add supplemental data or instructions; rescind the notice if it is determined that items terminated had been completed or shipped before the contractor’s receipt of the notice; or reinstate the terminated portion of a contract in whole or in part if I determine that circumstances clearly indicate a requirement for the terminated items; and reinstatement is advantageous to the Government. I also need to be able to access the action in the contract file and export it if necessary.</t>
  </si>
  <si>
    <t>Ensure system can efficiently:
- Amend, revise, rescind, and/or reinstate a notice of termination
- Route notice and confirm receipt, either through the system or uploaded to the system
- Access information in the contract file and export it if necessary</t>
  </si>
  <si>
    <t>3rd Party Systems - 6</t>
  </si>
  <si>
    <t>Activity 50 - Termination; Part C - Termination of Contracts for Cause or Default; Task 7</t>
  </si>
  <si>
    <t>Settle a cost-reimbursement contract termination for default, and proceed to Task 16</t>
  </si>
  <si>
    <t xml:space="preserve">Post the solicitation to the Federal Business Opportunities (FBO). Make data available for viewing in the contract file (Tab 8, Synopsis/Advertisement) and provide the ability to export the data as a web-form or similar structured manner. </t>
  </si>
  <si>
    <t>As a CO/CS, I am required to post the solicitation to Federal Business Opportunities (FBO) in order to maximize competition, broaden industry participation, assist small business concerns, and to comply with the authoritative references. I also need to be able to access the information in the contract file and export it if necessary.</t>
  </si>
  <si>
    <t>Ensure system can efficiently:
- Post a solicitation to Federal Business Opportunities (FBO)
- Access information in the contract file and export it if necessary</t>
  </si>
  <si>
    <t>3rd Party Systems - 7</t>
  </si>
  <si>
    <t>CA - 381</t>
  </si>
  <si>
    <t>The CWS shall store and retrieve the contractor's submitted termination settlement proposal, and subcontractor termination settlement proposal, if applicable, in the contract file (Tab 41, Termination Documents).</t>
  </si>
  <si>
    <t xml:space="preserve">Post a J&amp;A for Brand Name Specifications, Other than Full and Open Competition and Limited Sources with a link to the applicable solicitation in Federal Business Opportunities (FBO). Make data available for viewing in the contract file (Tab 8, Synopsis/Advertisement) and provide the ability to export the data as a web-form or similar structured manner. </t>
  </si>
  <si>
    <t xml:space="preserve">As a CO/CS, I need to review the termination settlement proposal submitted by the contractor, and subcontractor(s) if applicable, so that I can ensure they were submitted within 1 year of the effective date of the termination, the were submitted in the correct format as prescribed by the authoritative references, and conform to the requirements of the authoritative references. </t>
  </si>
  <si>
    <t>As a CO/CS, I am required to make publically available J&amp;As to Federal Business Opportunities (FBO) in order to comply with the authoritative references. I also need to be able to access the information in the contract file and export it if necessary.</t>
  </si>
  <si>
    <t>Ensure system can efficiently:
- Store and retrieve for review submitted termination settlement proposals
- Access information in the contract file and export it if necessary</t>
  </si>
  <si>
    <t>Ensure system can efficiently:
- Post J&amp;A to Federal Business Opportunities (FBO)
- Access information in the contract file and export it if necessary</t>
  </si>
  <si>
    <t>Activity 50 - Termination; Part C - Termination of Contracts for Cause or Default; Task 8</t>
  </si>
  <si>
    <t>If the contract in question is a fixed price contract, determine whether to accept completed supplies and/or manufacturing materials</t>
  </si>
  <si>
    <t>Determination to accept completed supplies and/or manufacturing materials</t>
  </si>
  <si>
    <t>3rd Party Systems - 8</t>
  </si>
  <si>
    <t>Post an amendment to a solicitation or combined pre-solicitation/solicitation notice to Federal Business Opportunities (FBO) and document the contract file (Tab 8, Synopsis/Advertisement).</t>
  </si>
  <si>
    <t>CA - 382</t>
  </si>
  <si>
    <t xml:space="preserve">The CWS shall allow user to create/upload/import a memorandum to the file documenting whether to accept completed supplies and/or manufacturing materials or upload a memorandum directing a contractor to transfer title or delivery of items. The CWS shall document the contract file (Tab 41, Termination Documents). </t>
  </si>
  <si>
    <t>As a CO/CS, I need to direct the contractor to transfer title and deliver to the government any completed supplies, and partially completed supplies and materials, parts, tools, dies, jigs, fixtures, plans, drawings, information, and contract rights (collectively referred to as “manufacturing materials”) that the contractor has specifically produced or acquired for the terminated portion of the contract so I can ensure that the government obtains the materials and supplies it's obligated to pay for. I need to document the file.</t>
  </si>
  <si>
    <t>Ensure system can efficiently:
- Create/upload/import a memorandum to the file
- Access information in the contract file and export it if necessary</t>
  </si>
  <si>
    <t>As a CO/CS, I am required to transmit amendments to any notice to Federal Business Opportunities (FBO) in order to maximize competition, broaden industry participation, assist small business concerns, and to comply with the authoritative references. I also need to be able to access the information in the contract file and export it if necessary.</t>
  </si>
  <si>
    <t>Ensure system can efficiently:
- Post an amendment to a solicitation or combined pre-solicitation/solicitation notice to Federal Business Opportunities (FBO)
- Access information in the contract file and export it if necessary</t>
  </si>
  <si>
    <t>Activity 50 - Termination; Part C - Termination of Contracts for Cause or Default; Task 9</t>
  </si>
  <si>
    <t>Review the contractor’s proposal on the amount of payment for manufacturing materials delivered and accepted, and for the protection and preservation of the property in possession</t>
  </si>
  <si>
    <t>Proposal analysis</t>
  </si>
  <si>
    <t>6.2.4.2
6.6.1</t>
  </si>
  <si>
    <t>CA - 383</t>
  </si>
  <si>
    <t>The CWS shall allow user to create/upload/import a memorandum to the file that analyzes the contractor's proposal. The CWS shall enable the routing, review, and/or approval of documents amongst the acquisition team. The CWS shall document the contract file (Tab 41, Termination Documents).</t>
  </si>
  <si>
    <t>As a CO/CS, I need to document the analysis of the contractor's proposal so I can determine the best interests of the Government and resolution strategy.</t>
  </si>
  <si>
    <t>Ensure system can efficiently:
- Create/upload/import a memorandum to the file
- Route documents for review and approval
- Access information in the contract file and export it if necessary</t>
  </si>
  <si>
    <t>Activity 50 - Termination; Part C - Termination of Contracts for Cause or Default; Task 10</t>
  </si>
  <si>
    <t>3rd Party Systems - 9</t>
  </si>
  <si>
    <t xml:space="preserve">Negotiate an agreement on the amount of payment for manufacturing materials delivered and accepted, and for the protection and preservation of the property. </t>
  </si>
  <si>
    <t xml:space="preserve">Post an amendment to the solicitation to the Federal Business Opportunities (FBO). Make data available for viewing in the contract file (Tab 8, Synopsis/Advertisement) and provide the ability to export the data as a web-form or similar structured manner. </t>
  </si>
  <si>
    <t>As a CO/CS, I am required to post amendments to the solicitation to Federal Business Opportunities (FBO) in order to maximize competition, broaden industry participation, assist small business concerns, and to comply with the authoritative references. I also need to be able to access the information in the contract file and export it if necessary.</t>
  </si>
  <si>
    <t>Ensure system can efficiently:
- Post an amendment to a solicitation to Federal Business Opportunities (FBO)
- Access information in the contract file and export it if necessary</t>
  </si>
  <si>
    <t>CA - 384</t>
  </si>
  <si>
    <t>The CWS shall allow user to create/upload/import a memorandum to the file. The CWS shall enable the routing, review, and/or approval of documents amongst the acquisition team. The CWS shall document the contract file (Tab 41, Termination Documents).</t>
  </si>
  <si>
    <t>As a CO/CS, I need to document the outcome of my negotiation so I can demonstrate that I achieved best value for the government</t>
  </si>
  <si>
    <t>3rd Party Systems - 10</t>
  </si>
  <si>
    <t>Post a cancellation to a solicitation or combined pre-solicitation/solicitation notice to Federal Business Opportunities (FBO) and document the contract file (Tab 8, Synopsis/Advertisement).</t>
  </si>
  <si>
    <t>As a CO/CS, I am required to transmit cancellations to any notice to Federal Business Opportunities (FBO) in order to maximize competition, broaden industry participation, assist small business concerns, and to comply with the authoritative references.I also need to be able to access the information in the contract file and export it if necessary.</t>
  </si>
  <si>
    <t>Ensure system can efficiently:
- Post a cancellation of a solicitation or combined pre-solicitation/solicitation notice to Federal Business Opportunities (FBO)
- Access information in the contract file and export it if necessary</t>
  </si>
  <si>
    <t>Activity 50 - Termination; Part C - Termination of Contracts for Cause or Default; Task 11</t>
  </si>
  <si>
    <t>Issue a final decision, if no agreement is reached on the payment amount for any manufacturing materials delivered and accepted, and for any protection and preservation of the property.</t>
  </si>
  <si>
    <t>Final decision</t>
  </si>
  <si>
    <t>3rd Party Systems - 11</t>
  </si>
  <si>
    <t>CA - 385</t>
  </si>
  <si>
    <t xml:space="preserve">Cancel a solicitation in Federal Business Opportunities (FBO). Make data available for viewing in the contract file (Tab 8, Synopsis/Advertisement) and provide the ability to export the data as a web-form or similar structured manner. </t>
  </si>
  <si>
    <t xml:space="preserve">The CWS shall allow user to create/upload/import the CO's final decision and supporting documentation and document the contract file (Tab 41, Termination Documents). </t>
  </si>
  <si>
    <t>As a CO/CS, I  may need to cancel solicitations in Federal Business Opportunities (FBO) to keep interested parties informed of the opportunity and to comply with the authoritative references.I also need to be able to access the information in the contract file and export it if necessary.</t>
  </si>
  <si>
    <t xml:space="preserve">As a CO/CS, I need to issue a final decision in the performance of my duties and document the file. </t>
  </si>
  <si>
    <t>Ensure system can efficiently:
- Cancel the solicitation in Federal Business Opportunities (FBO)
- Access information in the contract file and export it if necessary</t>
  </si>
  <si>
    <t>Ensure system can efficiently:
- Create/upload/import CO final decision and supporting documentation
- Access information in the contract file and export it if necessary</t>
  </si>
  <si>
    <t>Activity 50 - Termination; Part C - Termination of Contracts for Cause or Default; Task 12</t>
  </si>
  <si>
    <t xml:space="preserve">Determine the amount owed the contractor (if any). </t>
  </si>
  <si>
    <t>Amount owed the contractor (if any)</t>
  </si>
  <si>
    <t>3rd Party Systems - 12</t>
  </si>
  <si>
    <t>FPDS</t>
  </si>
  <si>
    <t>Report contract actions per FAR 4.604 directly into FPDS without further data entry from the user. Make data available for viewing in the contract file (Tab 27, Contract Reporting) and provide the ability to export the data as a web-form or similar structured manner.  Notify the user if an action errors out in FPDS and enable the action to be corrected and resubmitted through the CWS. Generate reports and enable reports to be examined and compared to data in FPDS to ensure those actions have been reported accurately.</t>
  </si>
  <si>
    <t>As a CO/CS, I need to minimize the number of systems I need to interact with so I can work more efficiently. I need the system to automatically populate actions to FPDS without further action from me. I also need to be able to access the information in the contract file and export it if necessary. I need to be notified when actions error out and understand the reasons for the error. I also need the ability to correct the error through the system and have the system retransmit the record back to FPDS. I need to be able to examine and compare data in FPDS to ensure my actions have been reported accurately. 
As a manager, I need to be able to track errors and proper reporting into FPDS across my program areas so I can respond to inquiries or identify which actions require my attention.
As FAS, I need to be able to track errors and contract reporting across the FAS organization so I can respond to data calls or identify which actions require attention.</t>
  </si>
  <si>
    <t>Ensure system can efficiently:
- Report contract actions in compliance with the authoritative references
- Eliminate further data entry from the user into FPDS
- Document proper FPDS reporting
- Notify when FPDS errors occur and what needs to be done to correct the action
- Permit correction of the action through the system and resubmitted to FPDS
- Enable reports to be examined and compared to data in FPDS
- Access information in the contract file and export it if necessary</t>
  </si>
  <si>
    <t>CA - 386</t>
  </si>
  <si>
    <t>The CWS shall create/upload/import a memorandum to the file that identifies any amounts owed the contractor (if any) regarding the termination action and document the contract file (Tab 41, Termination Documents).</t>
  </si>
  <si>
    <t>As a CO/CS, I need to determine the amount owed to the contractor for supplies/services accepted, if any, as part of the termination for cause/default action so I can comply with the authoritative references.</t>
  </si>
  <si>
    <t>Ensure system can efficiently:
- Create/upload/import a memorandum for the file
- Access information in the contract file and export it if necessary</t>
  </si>
  <si>
    <t>Activity 50 - Termination; Part C - Termination of Contracts for Cause or Default; Task 13</t>
  </si>
  <si>
    <t>Select and apply one or more available remedies</t>
  </si>
  <si>
    <t>Selected remedy</t>
  </si>
  <si>
    <t>6.3.3</t>
  </si>
  <si>
    <t>CA - 387</t>
  </si>
  <si>
    <t>The CWS shall create/upload/import a memorandum to the file that identifies the remedy(ies) selected by the CO regarding the termination action and document the contract file (Tab 41, Termination Documents).</t>
  </si>
  <si>
    <t>As a CO/CS, I need prepare a memorandum for the file that explains the reasons I took a selected action when terminating a contract for cause/default or when selecting a course of action in lieu of a termination for cause/default so I can comply with the authoritative references.</t>
  </si>
  <si>
    <t>3rd Party Systems - 13</t>
  </si>
  <si>
    <t xml:space="preserve">When an award instrument has been created, make the Contract Action Report (CAR) available to the user in the contract file. Automatically populate awards in FPDS without further user action. Make data available for viewing in the contract file (Tab 27, Contract Reporting) and provide the ability to export the data as a web-form or similar structured manner. </t>
  </si>
  <si>
    <t>Activity 50 - Termination; Part C - Termination of Contracts for Cause or Default; Task 14</t>
  </si>
  <si>
    <t xml:space="preserve">Reprocure the remaining requirement (when appropriate). </t>
  </si>
  <si>
    <t>Reprocurement</t>
  </si>
  <si>
    <t>As a CO/CS, I need to ensure actions are properly reported to FPDS to comply with the authoritative references. I also need to be able to access the information in the contract file and export it if necessary.</t>
  </si>
  <si>
    <t>Ensure system can efficiently:
- Report actions to FPDS
- Access information in the contract file and export it if necessary</t>
  </si>
  <si>
    <t>CA - 388</t>
  </si>
  <si>
    <t xml:space="preserve">The CWS shall allow user to document the reprocurement action with the remaining requirement and document the contract file (Tab 41, Termination Documents). </t>
  </si>
  <si>
    <t>As an acquisition team member, I need to be able to collaborate with the acquisition team and review, revise, comment, approve (as appropriate) and route documents so my CO/CS considers my input in the acquisition.
As a CO/CS, I need to repurchase the supplies or services that the terminated contractor failed to deliver or perform and charge the reprocurement to the terminated contractor's account so that I can ensure the Government's need is met. I need to collaborate with the acquisition team.</t>
  </si>
  <si>
    <t>Ensure system can efficiently:
- Create/upload/import data regarding the reprocurement action and supporting documentation
- Collaborate with the acquisition team
- Route, review and approve documents
- Access information in the contract file and export it if necessary</t>
  </si>
  <si>
    <t>3rd Party Systems - 14</t>
  </si>
  <si>
    <t xml:space="preserve">As awards are modified and options extended, make the CAR available to the user in the contract file. Automatically populate actions in FPDS without further user action. Make data available for viewing in the contract file (Tab 27, Contract Reporting) and provide the ability to export the data as a web-form or similar structured manner. </t>
  </si>
  <si>
    <t>Activity 50 - Termination; Part C - Termination of Contracts for Cause or Default; Task 15</t>
  </si>
  <si>
    <t xml:space="preserve">Demand payment by the contractor for any amount owed the Government for reprocurement costs. </t>
  </si>
  <si>
    <t>3rd Party Systems - 15</t>
  </si>
  <si>
    <t>Identify errors in contract reporting in both the CAR and FPDS in a manner so the user understands what needs to be done to correct the error. Identfy the type and number of errors associated with the CAR. As CAR errors are addressed and fixed, resubmit the updated CAR to FPDS.  Make data available for viewing in the contract file (Tab 27, Contract Reporting) and provide the ability to export the data as a web-form or similar structured manner. Update error reports daily and distribute to end users and other key systems personnel.</t>
  </si>
  <si>
    <t>As a CO/CS, I need to know if there is an error in the CAR and/or FPDS and what I need to do to fix the error in order to ensure accurate reporting of actions.  I also need to be able to access the information in the contract file and export it if necessary.</t>
  </si>
  <si>
    <t>Ensure system can efficiently:
- Report actions to FPDS
- Identify and allow users to correct errors in FPDS action reports 
- Access information in the contract file and export it if necessary</t>
  </si>
  <si>
    <t>3rd Party Systems - 16</t>
  </si>
  <si>
    <t>When a change to business operations is required due to changed business rules or external GSA business systems, modify system by the effective date specified by the change or as mutually agreed to in writing to meet the new requirements.</t>
  </si>
  <si>
    <t>As FAS, I need to be able to adjust to changing environments with the third party systems I need to interact with. Changes as a result of new regulatory requirements or changed business processes (G-invoicing is a good example) or business systems will have an impact on the contract acquisition lifecycle management system that will require the contractor to adapt in kind so that we remain compliant.</t>
  </si>
  <si>
    <t>CA - 389</t>
  </si>
  <si>
    <t>The CWS shall allow user to create/upload/import a demand letter regarding any amount in excess of the remaining balance of the terminated contract following a reprocurement
The CWS shall document the contract file (Tab 41, Termination Documents).</t>
  </si>
  <si>
    <t>As a CO/CS, I need to be able to issue a letter of demand so I can enforce a repayment amount, a penalty amount, if applicable, an interest amount, and inform the contractor that interest will accrue until payment has been made. I also need to be able to access the action in the contract file and export it if necessary.</t>
  </si>
  <si>
    <t>Ensure system can efficiently:
- Create/upload/import a demand letter
- Access information in the contract file and export it if necessary</t>
  </si>
  <si>
    <t>Ensure system can efficiently:
- Be modified to reflect a change to business operations, business rules or external business systems</t>
  </si>
  <si>
    <t>Activity 50 - Termination; Part C - Termination of Contracts for Cause or Default; Task 16</t>
  </si>
  <si>
    <t>Prepare a memorandum for the contract file explaining the reasons for the actions taken</t>
  </si>
  <si>
    <t>3rd Party Systems - 17</t>
  </si>
  <si>
    <t>Enable user to search individual records in data originating from 3rd party systems for procurement status using a single or multiple descriptors</t>
  </si>
  <si>
    <t>As a CO/CS, I need to be able to search for individual records in data originating from 3rd party systems for procurement status using one or more descriptors. For example, I may need to check whether a supplier already has an EEO clearance or I may need a wage determination for a specific location or I may need to examine a SAM record or a subcontracting plan.</t>
  </si>
  <si>
    <t>Ensure system can efficiently:
- Search for individual records in data originating from 3rd party systems for procurement status using one or more descriptors</t>
  </si>
  <si>
    <t>CA - 390</t>
  </si>
  <si>
    <t>The CWS shall allow user to create/upload/import a memorandum for the file documenting the rationale for termination or course of action in lieu of termination and document the contract file (Tab 41, Termination Documents).</t>
  </si>
  <si>
    <t>As a CO/CS, I need prepare a memorandum for the file that explains the reasons I took a selected action when terminating a contract for default or when selecting a course of action in lieu of a termination for default so I can comply with the authoritative references.</t>
  </si>
  <si>
    <t>3rd Party Systems - 18</t>
  </si>
  <si>
    <t>Interface with an enterprise procurement data warehouse.</t>
  </si>
  <si>
    <t>As a user, I need the CWS to be able to interface with an enterprise procurement data warehouse so that I can meet FAS enterprise reporting, data analytics, and business intelligence needs. For example, GSA is the category manager for several categories and having the ability to tap into a procurement data warehouse will help improve management of the category.</t>
  </si>
  <si>
    <t>Ensure system can efficiently:
- Interface with an enterprise procurement data warehouse</t>
  </si>
  <si>
    <t>Activity 50 - Termination; Part C - Termination of Contracts for Cause or Default; Task 17</t>
  </si>
  <si>
    <t xml:space="preserve">Ensure that information related to termination notices and any amendments are reported in the Federal Awardee Performance and Integrity Information System (FAPIIS). </t>
  </si>
  <si>
    <t>Past performance reporting</t>
  </si>
  <si>
    <t>3rd Party Systems - 19</t>
  </si>
  <si>
    <t>When a user changes the state of an instrument maintained in the system, send an update of the instrument data to the enterprise procurement data warehouse.</t>
  </si>
  <si>
    <t>As a user, I need to ensure the enterprise data warehouse is current, accuate and complete so that I have all the data I need to make good decisions.</t>
  </si>
  <si>
    <t>Ensure system can efficiently:
- Send instrument updates to the enterprise procurement data warehouse</t>
  </si>
  <si>
    <t>CA - 391</t>
  </si>
  <si>
    <t>The CWS shall allow the user to report past performance information and document the contract file (Tab 42, Contract Close Out Documents.</t>
  </si>
  <si>
    <t>3rd Party Systems - 20</t>
  </si>
  <si>
    <t>As a CO/CS, I need to report all terminations for cause/default in FAPIIS within 3 calendar days of accomplishing the termination so I comply with the authoritative references. I also need to be able to access the action in the contract file and export it if necessary.</t>
  </si>
  <si>
    <t>Ensure system can efficiently:
- Capture the date a termination for cause/default notice was sent to the contractor
- Document or report that the termination for cause/default was reported in FAPIIS in the required time frame</t>
  </si>
  <si>
    <t>When a user changes procurement action metadata maintained in the system, send an update of the procurement action metadata to the enterprise procurement data warehouse.</t>
  </si>
  <si>
    <t>3rd Party Systems - 21</t>
  </si>
  <si>
    <t>System for Award Management (SAM)</t>
  </si>
  <si>
    <t>ACQ.040.090</t>
  </si>
  <si>
    <t>Acquisition Reporting</t>
  </si>
  <si>
    <t>Provide reports on acquisition status and outcomes (e.g., contracts awarded, dollar value, type of contract, vendor information, time to award); Includes acquisition milestone reporting and providing award information to Federal Procurement Data System (FPDS)</t>
  </si>
  <si>
    <t>Activity 12 - Socioeconomic Programs and Set-Asides; Part A - Acquisitions Not Exceeding the Simplified Acquisition Threshold; Task 8 (Note--Task 7 is in ACQ.030.050 Best Value Determination and Source Selection Authority Briefing. Also, there is a paragraph numbering error in the FAI Blueprint - this should be Task 8 (and not 7)</t>
  </si>
  <si>
    <t xml:space="preserve">If procurement is set-aside, report the award to the Federal Procurement Data System-Next Generation (FPDS-NG). </t>
  </si>
  <si>
    <t>Receive and import all data on a contractor from SAM into separate fields. Data received is not editable and includes at least, but not limited to, vendor's name, address, SAMMI number (currently DUNS), and CAGE code.</t>
  </si>
  <si>
    <t>FPDS load</t>
  </si>
  <si>
    <t>SAM elements need to be captured in separate fields to enable all users to tag and report of the data.</t>
  </si>
  <si>
    <t>Ensure system can efficiently:
- Interface with SAM
- Capture SAM elements in separate data fields to enable tagging and reporting of data</t>
  </si>
  <si>
    <t>SAM.gov</t>
  </si>
  <si>
    <t>6.2.8.1
6.6.1</t>
  </si>
  <si>
    <t>CA - 392</t>
  </si>
  <si>
    <t>The CWS shall automatically report awards and modifications to FPDS so that the workforce need not separately enter any part of the transaction into FPDS. The CWS shall generate a report of the contract load along with the FPDS report and file both in the contract file (Tab 27, Contract Reporting).</t>
  </si>
  <si>
    <t xml:space="preserve">As a CO/CS, I need to award and modify contracts in the CWS and have award/mod information automatically be reported to FPDS on a timely basis so I can 1) minimize data entry errors; and 2) validate and verify proper reporting as required by the authoritative references. I also need to be able to access the action in the contract file and export it if necessary. </t>
  </si>
  <si>
    <t>Ensure the FAS user can efficiently:
- Capture all contract actions that require reporting to FPDS
- Report contract actions to FPDS
- Export contract action data on demand
- - Access information in the contract file and export it if necessary</t>
  </si>
  <si>
    <t>3rd Party Systems - 22</t>
  </si>
  <si>
    <t>Establish an interface with the System for Award Management (SAM) to extract vendor Excluded Parties List data maintained in SAM. Make data available for viewing in the contract file (Tab 17, Responsibility Determination) and provide the ability to export the data as a web-form or similar structured manner.</t>
  </si>
  <si>
    <t>As a CO/CS, an automated interface with SAM to extract vendor Excluded Parties List data enables me to minimize the number of acquisition systems I log into to award or modify a contract/order.  I also need to be able to access the information in the contract file and export it if necessary.</t>
  </si>
  <si>
    <t>Ensure system can efficiently:
- Establish SAM interface
- Extract vendor Excluded Parties List data
- Use Excluded Party List data to support business rules within the system
- Access information in the contract file and export it if necessary</t>
  </si>
  <si>
    <t>Activity 14 - Federal Supply Schedules; Part C - Procedures for Placing Orders and Establishing a BPA Against an FSS Contract When a Statement of Work (SOW) is not Required; Task 7</t>
  </si>
  <si>
    <t xml:space="preserve">If using FSS, report the award to the Federal Procurement Data System-Next Generation (FPDS-NG). </t>
  </si>
  <si>
    <t>CA - 393</t>
  </si>
  <si>
    <t>The CWS shall automatically report delivery order awards and modifications to FPDS so that the workforce need not separately enter any part of the transaction into FPDS. The CWS shall generate a report of the delivery order load along with the FPDS report and file both in the contract file (Tab 45, Award Documents).</t>
  </si>
  <si>
    <t xml:space="preserve">As a CO/CS, I need to award and modify delivery orders in the CWS and have award/mod information automatically be reported to FPDS on a timely basis so I can 1) minimize data entry errors; and 2) validate and verify proper reporting as required by the authoritative references. I also need to be able to access the action in the contract file and export it if necessary. </t>
  </si>
  <si>
    <t>Ensure the FAS user can efficiently:
- Capture all contract actions that require reporting to FPDS
- Report delivery order awards/modifications to FPDS
- Export deliver order awards/modifications data on demand
- - Access information in the contract file and export it if necessary</t>
  </si>
  <si>
    <t>3rd Party Systems - 23</t>
  </si>
  <si>
    <t>Automatically identify any contractor on the Excluded Parties List with a matching SAMMI number (currently DUNS), company name, and authorized negotiator name(s). Make data available for viewing in the contract file (Tab 17, Responsibility Determination) and provide the ability to export the data as a web-form or similar structured manner.</t>
  </si>
  <si>
    <t>As a CO/CS, I need the system to automatically identify any contractor on the Excluded Parties List data with a matching SAMMI number (currently DUNS) or name in SAM on receipt of offer and immediately prior to awarding or modifying a contract to ensure the Government does business with responsible contractors. I also need to be able to access the information in the contract file and export it if necessary.</t>
  </si>
  <si>
    <t>Ensure system can efficiently:
- Identify any contractor on the Excluded Parties List with a matching SAMMI number (currently DUNS), company name and authorized negotiator name(s)
- Access information in the contract file and export it if necessary</t>
  </si>
  <si>
    <t>Activity 14 - Federal Supply Schedules; Part D - Procedures for Placing an Order for Services and Establishing a BPA Against an FSS Contract When a Statement of Work (SOW) is Required; Task 10</t>
  </si>
  <si>
    <t xml:space="preserve">If using FSS for services, report the award to the Federal Procurement Data System-Next Generation (FPDS-NG). </t>
  </si>
  <si>
    <t>CA - 394</t>
  </si>
  <si>
    <t>The CWS shall automatically report task order awards and modifications to FPDS so that the workforce need not separately enter any part of the transaction into FPDS. The CWS shall generate a report of the task order load along with the FPDS report and file both in the contract file (Tab 45, Award Documents).</t>
  </si>
  <si>
    <t xml:space="preserve">As a CO/CS, I need to award and modify task orders in the CWS and have award/mod information automatically be reported to FPDS on a timely basis so I can 1) minimize data entry errors; and 2) validate and verify proper reporting as required by the authoritative references. I also need to be able to access the action in the contract file and export it if necessary. </t>
  </si>
  <si>
    <t>Ensure the FAS user can efficiently:
- Capture all contract actions that require reporting to FPDS
- Report task order awards/modifications to FPDS
- Export task order awards/modifications data on demand
- - Access information in the contract file and export it if necessary</t>
  </si>
  <si>
    <t>3rd Party Systems - 24</t>
  </si>
  <si>
    <t>Activity 15 - Simplified Acquisition Procedures; Part A - Simplified Acquisition Procedures; Task 9</t>
  </si>
  <si>
    <t xml:space="preserve">Report the award to the Federal Procurement Data System-Next Generation (FPDS-NG). </t>
  </si>
  <si>
    <t>Establish an interface with the System for Award Management (SAM) to extract vendor Representations and Certifications data maintained in SAM. Make data available for viewing in the contract file (Tab 17, Responsibility Determination) and provide the ability to export the data as a web-form or similar structured manner.</t>
  </si>
  <si>
    <t>As a CO/CS, an automated interface with SAM to extract vendor representations and certifications enables me to minimize the number of acquisition systems I log into to award or modify a contract/order. I also need to be able to access the information in the contract file and export it if necessary.</t>
  </si>
  <si>
    <t>Ensure system can efficiently:
- Establish SAM interface
- Extract vendor representations and certifications
- Access information in the contract file and export it if necessary</t>
  </si>
  <si>
    <t>CA - 395</t>
  </si>
  <si>
    <t>Activity 16 - Sealed Bidding; Part A - Sealed Bidding; Task 24</t>
  </si>
  <si>
    <t>Report the award to the Federal Procurement Data System-Next Generation (FPDS-NG)</t>
  </si>
  <si>
    <t>3rd Party Systems - 25</t>
  </si>
  <si>
    <t>Establish an interface with the System for Award Management (SAM) to extract vendor-specific data maintained in SAM. Make data available for viewing in the contract file (Tab 17, Responsibility Determination) and provide the ability to export the data as a web-form or similar structured manner.</t>
  </si>
  <si>
    <t>As a CO/CS, an automated interface with SAM to extract vendor specific data maintained in SAM enables me to minimize the number of acquisition systems I log into to award or modify a contract/order.</t>
  </si>
  <si>
    <t>Ensure system can efficiently:
- Establish SAM interface
- Extract vendor specific data
- Access information in the contract file and export it if necessary</t>
  </si>
  <si>
    <t>CA - 396</t>
  </si>
  <si>
    <t>3rd Party Systems - 26</t>
  </si>
  <si>
    <t>Enable a user to retrieve entity information from the System for Award Management (SAM) using a structured query. Make data available for viewing in the contract file (Tab 17, Responsibility Determination) and provide the ability to export the data as a web-form or similar structured manner.</t>
  </si>
  <si>
    <t>As a CO/CS, an automated interface with SAM to retrieve entity information from SAM and enables me to minimize the number of acquisition systems I log into to award or modify a contract/order. I also need to be able to access the information in the contract file and export it if necessary.</t>
  </si>
  <si>
    <t>Ensure system can efficiently:
- Establish SAM interface
- Retrieve entity information using a structured query
- Access information in the contract file and export it if necessary</t>
  </si>
  <si>
    <t>Activity 17 - Indefinite-Delivery/ Indefinite-Quantity Contracts and Ordering Procedures; Part B - Procedures for Ordering Under ID/IQ Contracts; Task 8</t>
  </si>
  <si>
    <t>If ordering from an IDIQ contract, report the award to the Federal Procurement Data System-Next Generation (FPDS-NG).</t>
  </si>
  <si>
    <t>CA - 397</t>
  </si>
  <si>
    <t>3rd Party Systems - 27</t>
  </si>
  <si>
    <t>Enable the user to refresh the vendor information on an award instrument by submitting a query to the System for Award Management (SAM).</t>
  </si>
  <si>
    <t>As a CO/CS, I need the most current vendor information in SAM each time I query it so that I have accurate information for my contract/order.</t>
  </si>
  <si>
    <t>Ensure system can efficiently:
- Refresh vendor information for each query</t>
  </si>
  <si>
    <t>Activity 18 - Contracting by Negotiation; Task 32</t>
  </si>
  <si>
    <t>Report the award to the Federal
Procurement Data System-Next
Generation (FPDS-NG).</t>
  </si>
  <si>
    <t>FPDS reporting</t>
  </si>
  <si>
    <t>CA - 398</t>
  </si>
  <si>
    <t>3rd Party Systems - 28</t>
  </si>
  <si>
    <t>Wage Determination Online (WDOL)</t>
  </si>
  <si>
    <t>Activity 22 - Responsibility Determination; Part B - Responsibility for Small Business Concerns; Task 11</t>
  </si>
  <si>
    <t>Establish an interface with the beta.sam.gov for the purpose of accessing and retrieving prevailing wage rates. Make data available for viewing in the contract file (Tab 5, Department of Labor Wage Determinations) and provide the ability to export the data as a web-form or similar structured manner.</t>
  </si>
  <si>
    <t>Report the award to the Federal Procurement Data System-Next Generation (FPDS-NG).</t>
  </si>
  <si>
    <t>CA - 399</t>
  </si>
  <si>
    <t>Activity 29 - Inquiries and Freedom of Information Act (FOIA) Requests; Part B - FOIA Requests, Task 1</t>
  </si>
  <si>
    <t>Determine whether the Freedom of Information Act (FOIA) request is for records that are exempt from mandatory public disclosure</t>
  </si>
  <si>
    <t>Exemption determination</t>
  </si>
  <si>
    <t>As a CO/CS, an automated interface with beta.sam.gov to obtain wage determinations enables me to minimize the number of acquisition systems I log into to award/modify a contract/order. I also need to be able to access the information in the contract file and export it if necessary.</t>
  </si>
  <si>
    <t>CA - 400</t>
  </si>
  <si>
    <t>The CWS shall allow users to retrieve documents from the contract file to support Freedom of Information Act (FOIA) requests. The CWS shall also allow users to create/upload/import the agency response to the FOIA request and document the contract file (Tab 24, FOIAS/Congressionals).</t>
  </si>
  <si>
    <t>As an acquisition team member, I need to collaborate with my CO/CS on FOIA requests to ensure information requested can be released. I need to be able to review, make edits/revisions/deletions, and approve the action. 
As a CO/CS, I need to prepare and support the agency response to FOIAs after a review of the information requested and seek approval as necessary. I also need to be able to access the action in the contract file and export it if necessary.</t>
  </si>
  <si>
    <t>Ensure system can efficiently:
- Retrieve documents from the contract file to respond to FOIAS
- Create/upload/import the agency response to FOIAs
- Route the response among acquisition team members for review and approval
- - Access information in the contract file and export it if necessary</t>
  </si>
  <si>
    <t>Activity 29 - Inquiries and Freedom of Information Act (FOIA) Requests; Part B - FOIA Requests, Task 2</t>
  </si>
  <si>
    <t xml:space="preserve">Upon receipt of a FOIA request, assign an individualized tracking number to requests that will take longer than ten days to process, and provide that tracking number to the requester. </t>
  </si>
  <si>
    <t>Tracking number</t>
  </si>
  <si>
    <t>Ensure system can efficiently:
- Interface with beta.sam.gov for wage determinations
- Access and retrieve wage determinations</t>
  </si>
  <si>
    <t>CA - 401</t>
  </si>
  <si>
    <t>The CWS shall allow users to identify the GSA-designated control number of the FOIA, associate that number to the corresponding FOIA response, and document the file (Tab 24, FOIAs/Congressionals).</t>
  </si>
  <si>
    <t>As a CO/CS, I need to be able to associate the FOIA response to the GSA-designated control number assigned by the FOIA office and document the file.</t>
  </si>
  <si>
    <t>Ensure system can efficiently:
- Identify the GSA-designated control number
- Associate the control number to the FOIA response</t>
  </si>
  <si>
    <t>Activity 29 - Inquiries and Freedom of Information Act (FOIA) Requests; Part B - FOIA Requests, Task 3</t>
  </si>
  <si>
    <t>Verify that the requestor has submitted a proper FOIA request</t>
  </si>
  <si>
    <t>FOIA review</t>
  </si>
  <si>
    <t>CA - 402</t>
  </si>
  <si>
    <t>3rd Party Systems - 29</t>
  </si>
  <si>
    <t>Receive and import one or more wage determinations and store that determination in the resulting contract file (Tab 5, Department of Labor Wage Determinations).</t>
  </si>
  <si>
    <t>As a CO/CS, an automated interface with beta.sam.gov to receive and import the appropriate wage determination(s) directly into the contract file (for contracts, Tab 5, Department of Labor Wage Determinations; for modifications, Tab 40, Contract Modifications).</t>
  </si>
  <si>
    <t>Activity 29 - Inquiries and Freedom of Information Act (FOIA) Requests; Part B - FOIA Requests, Task 3a (Note--There is no Task 3b)</t>
  </si>
  <si>
    <t>Ensure system can efficiently:
- Receive and import one or more wage determinations
- Access information in the contract file and export it if necessary</t>
  </si>
  <si>
    <t>If the requestor submits an improper FOIA request, clarify the scope of the request with the requestor, and assist the requester in reformulating the request</t>
  </si>
  <si>
    <t>FOIA assistance</t>
  </si>
  <si>
    <t>CA - 403</t>
  </si>
  <si>
    <t>3rd Party Systems - 30</t>
  </si>
  <si>
    <t>Electronic Subcontracting Reporting System (eSRS)</t>
  </si>
  <si>
    <t>Establish an interface with the Electronic Subcontracting Reporting System (eSRS) to extract supplier performance against subcontracting plans goals for contract administration. Make data available for viewing in the contract file (Tab 23b, Subcontracting Reports) and provide the ability to export the data as a web-form or similar structured manner.</t>
  </si>
  <si>
    <t>As a CO/CS, an automated interface with the Electronic Subcontracting Reporting System (eSRS) to extract supplier performance against subcontracting goals established in the contract enables me to minimize the number of acquisition systems I log into to administer a contract. I also need to be able to access the information in the contract file and export it if necessary.</t>
  </si>
  <si>
    <t>Ensure system can efficiently:
- Interface wtih eSRS
- Extract performance against subcontracting goals
- Access information in the contract file and export it if necessary</t>
  </si>
  <si>
    <t>Activity 29 - Inquiries and Freedom of Information Act (FOIA) Requests; Part B - FOIA Requests, Task 4</t>
  </si>
  <si>
    <t>Upon receipt of a proper FOIA request, make a determination on the request within twenty working days, seeking assistance from the FOIA Public Liaison as necessary.</t>
  </si>
  <si>
    <t>FOIA determination</t>
  </si>
  <si>
    <t>CA - 404</t>
  </si>
  <si>
    <t>3rd Party Systems - 31</t>
  </si>
  <si>
    <t>Legacy System - CPP Suite</t>
  </si>
  <si>
    <t>Activity 29 - Inquiries and Freedom of Information Act (FOIA) Requests; Part B - FOIA Requests, Task 5</t>
  </si>
  <si>
    <t>Determine whether to grant a request for expedited access within ten calendar days of its receipt.</t>
  </si>
  <si>
    <t>Expedited access determination</t>
  </si>
  <si>
    <t xml:space="preserve">Depending on the functionality offered and legacy migration strategy, you may be required to establish an interface with City Pair Program systems including Airfare, City Pair Offer Preparation System (COPS), and City Pair Awards (CPAwards)
Airfare includes offer information used for evaluation, source selection, and contract administration. 
City Pair Offer Preparation System (COPS) is the City Pair Program's vendor portal to submit offers to enable offer submission during its annual procurement cycle
City Pair Awards is City Pair Program's evaluation tool. Markets are evaluated for both technical and price by the acquisition team. Data is extracted to simplify evaluation of thousands of markets.
Technical overview on combined basis for these three systems:
- Java, Adobe Cold Fusion and Sybase
- ~10 Government, ~20 suppliers
- Interfaces between Airfare, City Pair Offer Preparation System (COPS), City Pair Awards, and City Pair Website to display current and historical markets and fares
This integration, if required, will be scoped separately. 
Migration plan needs to be defined as does the long term business strategy.
 It's development platform is Powerbuilder, Sybase Database Server, AJAX, Eclipse, SQL, CFM, HTML, JavaScript components, Stored Procedures,  and PowerBuilder
</t>
  </si>
  <si>
    <t>CA - 405</t>
  </si>
  <si>
    <t>As a CO/CS in the Office of Travel, Transportation and Logistics, I use Airfare to conduct source selection activities for the annual procurement of air passenger transportation services. The tool automates the evaluation process by scoring proposals against a point schematic established by the solicitation. It enables large volumes of contract line items to be evaluated in a simplified, efficient manner. Offer evaluation scores and pricing are clearly represented side-by-side to enable at-a-glance reviews of the offer.
As a CO/CS in the Office of Travel, Transportation and Logistics, I use COPS to receive offers from the airline carriers for the annual procurement of air passenger transportation services. The tool intakes large volumes of contract line item markets, technical information about the offer (e.g., number of flights, type of flights, timeband of flights, type of aircraft, etc.) as well as price. COPS enables the evaluation process by feeding information to AIRFARE to score proposals against a point schematic established by the solicitation.
As a CO/CS in the Office of Travel, Transportation and Logistics, I use CPAwards to conduct source selection activities for the annual procurement of air passenger transportation services. The tool automates the award process and generates reports.</t>
  </si>
  <si>
    <t xml:space="preserve">Ensure system can efficiently
- Interface with Airfare, COPS, and/or CP Awards
- Enable the successful submission of offers
- Enable the user to have the needed functionality to successful award contracts
</t>
  </si>
  <si>
    <t>3rd Party Systems - 32</t>
  </si>
  <si>
    <t>Legacy System - Acquisition Planning Module</t>
  </si>
  <si>
    <t>Depending on the functionality offered and legacy migration strategy, you may be required to establish an interface with Acquisition Planning Module (APM) to extract acquisition planing information. This integration, if required, will be scoped separately.
Migration plan needs to be defined as does the long term business strategy.
Appian cloud base
GSA-wide system ~ 1100+ FAS users
Interfaces with IT Solutions Shop (ITSS), Tracking and Ordering System (TOS), Electronic Acquisition System Integration (EASi)(which is GSA PBS' acquisition management system) and Electronic Content Management System (ECMS)(which is FAS's current electronic contract filing system)</t>
  </si>
  <si>
    <t>As a CO/CS, I use the Acquisition Planning Module (APM) to create and route acquisition plans for my procurement actions that require a written acquisition plan in order to comply with the authoritative references.</t>
  </si>
  <si>
    <t>Ensure system can efficiently:
- Interface with Acquisition Planning Module
- Enable the successful creation, routing and approval of acquisition plans</t>
  </si>
  <si>
    <t>Activity 29 - Inquiries and Freedom of Information Act (FOIA) Requests; Part B - FOIA Requests, Task 6</t>
  </si>
  <si>
    <t xml:space="preserve">Undertake a search that is reasonably calculated to uncover all relevant documents. </t>
  </si>
  <si>
    <t>FOIA search</t>
  </si>
  <si>
    <t>3rd Party Systems - 33</t>
  </si>
  <si>
    <t>Legacy System - ASSIST</t>
  </si>
  <si>
    <t xml:space="preserve">Depending on the functionality offered and legacy migration strategy, you may be required to establish an interface with ASSIST (and/or its related suite of applications including ITSS, ITOMS, CPRM, OMIS, and TOS) to extract end-to-end acquisition lifecycle actions and data. The related applications functions are currently being migrated into ASSIST with completion targeted in FY 21.  This functionality migration may or may not be complete when any decision to proceed with integration is made. This integration, if required, will be scoped separately.
Related application overview:
- Contractor Payment Reporting Module (CPRM) enables key business processes and data collection to occur. 
- ITOMS is primarily utilized by GSA Funding Managers to process order funding, generate monthly accruals and financial reports, and error-handling when order processing is not able to follow the normal workflow into external GSA Financial systems. Other GSA users to include Customer Service Representatives (CSRs) and Contracting Officers (Cos) may use ITOMS as well based on the privileges assigned to these functional roles.
- IT Solutions Shop (ITSS) is a web-based user interface for all Client and Contractor functionality (customer and vendor portal) as well as a majority of GSA functions.
- On-Line Management Information System (OMIS). OMIS provides employee timesheets, project billings, project expense tracking, project fiscal reporting, and management reporting tools. OMIS supports the financial data processing operations for the Federal Systems Integration and Management Center (FEDSIM), and HSPD-12 Program Office. OMIS data entry is supported by front-end utilities called FMT and FM Lite. FMT supports purchase order data entry for paper-based actions while FM Lite supports the financial pre-processing for purchases orders generated through TOS. OMIS was originally developed to track financial transactions for the National Program Offices. This includes Interagency agreement data with lines of accounting through obligations on specific Task Orders, Invoicing by vendors and ultimately client billings.
Migration plan needs to be defined as does the long term business strategy.
- Tracking and Ordering System (TOS) is a web-based purchase order system where procurement requests are created, funding is approved, orders are awarded, and industry partner invoicing is performed. 
These related systems, CPRM, ITOMS, ITSS, OMIS, and TOS are scheduled for sunset as functions migrate to ASSIST.
AAS-wide system 
~700 CO/CSs, ~1000 other GSA, ~9700 clients, ~20,000 suppliers
Interfaces with Pegasys, SAM, eBUY, FSS Online, eOffer, VITAP, GAMS, APM, Pay.gov, FPDS </t>
  </si>
  <si>
    <t xml:space="preserve">As a CO/CS, I use ASSIST to prepare, execute, and administer assisted acquisitions. I use ASSIST for fee management, funds management, acquisition management (task orders), document management, funds management as well as collaborate with clients and contractors. </t>
  </si>
  <si>
    <t>Ensure system can efficiently:
- Interface with ASSIST
- Enable funds, project and acquisition management</t>
  </si>
  <si>
    <t>CA - 406</t>
  </si>
  <si>
    <t>3rd Party Systems - 34</t>
  </si>
  <si>
    <t>Legacy System - CONEXUS</t>
  </si>
  <si>
    <t>Depending on the functionality offered and legacy migration strategy, you may be required to establish an interface with CONEXUS (or its successor) to extract end-to-end acquisition lifecycle actions and data. This integration, if required, will be scope separately.
Migration plan needs to be defined as does the long term business strategy.
~30 acquisition workforce
Interfaces with GSA systems:  NHC, Pegasys, DPA Tool; interfaces with external systems:  iConectiv, Tax Vender (QSI), EIS Vendors</t>
  </si>
  <si>
    <t xml:space="preserve">As a CO/CS, I use CONEXUS for post-acquisition fulfillment tracking and management. CONEXUS helps customers manage agency funding, create, submit and track service orders, reconcile invoices, disputes and reporting. </t>
  </si>
  <si>
    <t>Ensure system can efficiently:
- Interface with CONEXUS
- Enable users to fulfill, track and manage acquisitions</t>
  </si>
  <si>
    <t>Activity 29 - Inquiries and Freedom of Information Act (FOIA) Requests; Part B - FOIA Requests, Task 7</t>
  </si>
  <si>
    <t>Upon locating records responsive to a FOIA request, determine whether any of those records, or information contained in those records, originated with another agency or agency component.</t>
  </si>
  <si>
    <t>Record origination determination</t>
  </si>
  <si>
    <t>3rd Party Systems - 35</t>
  </si>
  <si>
    <t>Legacy System - MAS</t>
  </si>
  <si>
    <t>CA - 407</t>
  </si>
  <si>
    <r>
      <t xml:space="preserve">Depending on the functionality offered and legacy migration strategy, you may be required to establish an interface with the existing suite of application supporting the Multiple Award Schedules (MAS) program.  
These systems include: 
- eOffer and eMod which is the Multiple Award Schedule Program's vendor portal. Vendors submit offers and mods for evaluation and award determinations and collaborate with the CO throughout the lifecycle.
     ~109,406 users (but note that some user certifications may be expired and users who have never logged in but are a part of the contract)
     Interfaces with Schedule Elibrary, PricePoint, ECMS, FSS Online, FSS19, ORS, SWS, Salianis (which facilitates digital signatures)
- The Contracting Officer Review System (CORS) was created as a means to provide contracting officer oversight and review of incoming vendor catalogs. It provides for the review and approval of both FAS and VA Schedule contracts. CORS is currently accessed via the Web by upwards of 300 contracting officers within both FAS and the Veterans Administration. Catalogs are reviewed and posted on GSA Schedules eLibrary and GSA Advantage. It interfaces with FSS19OP, EC/EDI/Fax Gateway, GSA Advantage, ECMS, SIP. It's hardware is Linux UNIX. It's operating system is Windows, RHEL, Solaris. Most infrastructure components are virtual machines. It's development platform is JEE, JBoss, Sybase ASE, JavaScript, JDBC, Documentum, Spring.
- MASS Mods, which are Government initiated contract revisions developed to eliminate the paperwork and snail-mail burden associated with traditional paper modifications. Mass Mods are initiated when uniform changes to large segments of the FSS contractor community are required. Examples include solicitation refreshes and addition of contract requirements. 
     ~ </t>
    </r>
    <r>
      <rPr>
        <sz val="10"/>
        <color rgb="FFFF0000"/>
        <rFont val="Arial"/>
      </rPr>
      <t>XXX</t>
    </r>
    <r>
      <rPr>
        <sz val="10"/>
        <color rgb="FF000000"/>
        <rFont val="Arial"/>
      </rPr>
      <t xml:space="preserve"> users
     Interfaces with FSS Online, SWS, Contracts Online
- Offer Registration System (ORS), which enables COs to record, track and evaluate offers under the Multiple Award Schedule program.
     ~869 CO/CS - all MAS
     Interfaces with SWS, ECMS, FSS Online, eOffer/eMod, FBO, SAM
- Schedule Input Program Tool (SIP), which provides support mechanisms and tools for commercial vendors, assistance, sales reporting and report cards. It also is the tool used to upload electronic catalogs. 
     ~1500 users
     Interfaces with VSC, EC/EDI/Fax Gateway, Schedule ELibrary, FSS19OP, MPM, PICA
- Solicitation Writing System (SWS), which enables GSA Contracting Officials to prepare electronic solicitations. SWS standardizes the format and layout of all FAS solicitations, and enables electronic submission of offers/proposals.
     ~ 350 users
     Interfaces with FBO, eOffer/eMod, ORS, FSSOnline, Contracts Online, MASS Mod, eBUY
- On-Line Contract Management System (OCMS). OCMS consists of four main software capabilities: Contractor Assessment and Action Items, Contract Details, SubContracting Details, and Fee Management Reports. 
     ~ 500 FAS, 100 other
     Interfaces with 72AQRS, eViewer, FSSOnline, FSS19QC. May interface with other applications.
This integration, if required, will be scoped separately.
Migration plan needs to be defined as does the long term business strategy.
</t>
    </r>
  </si>
  <si>
    <t xml:space="preserve">As a CO/CS, I use CORS to review contractor catalogs and price lists under the Multiple Award Schedule program to ensure they comply with the terms and conditions of the contract.
As a supplier, I use eOffer/eMod under the MAS program to submit an offer/modification to the CO/CS for processing to secure and maintain my contract. This includes authentication, completing my offer/modification, submitting my offer/modification, negotiating, and award.
As a CO/CS, I use eOffer/eMod to review, evaluate, negotiate and award offers and modifications under the MAS program. Use of the system prepares the award documents and transmits the award package to FSSOnline for processing.
As a CO/CS, an automated interface with the MASS Mods enables me to minimize the number of acquisition systems I log into to perform acquisition functions. I use the MASS Mods to distribute refreshed solicitations and make bulk changes to numerous contracts simultaneously. 
As a CO/CS, an automated interface with the Offer Registration System enables me to minimize the number of acquisition systems I log into to perform acquisition functions. I use the ORS to assign, process, award, and track offers.
As a supplier, an automated interface with the Schedule Input Program Tool enables my CO/CS to minimize the number of acquisition systems they log into to perform acquisition functions. I use the SIP to upload catalog and price lists for my CO to review in the Contracting Officer Review System (CORs).
As a CO/CS, an automated interface with the Solicitation Writing System (SWS) enables me to minimize the number of acquisition systems I log into to perform acquisition functions. I use the SWS to draft solicitations.
As a CO/CS, an automated interface with On-Line Contract Management System (OCMS) enables me to minimize the number of acquisition systems I log into to perform acquisition functions. I use OCMS to manage contract details, reassignments, subcontracting, reports, IFF claims, variances, and payments, investigate complaints, conduct performance assessment reports, and other contract administration tasks.
</t>
  </si>
  <si>
    <t xml:space="preserve">Ensure system can efficiently:
- Interface with CORS, eOffer/eMod, MASS Mods, ORS, SWS, OCMS, and SIP
- Enable the review of catalogs and price lists
- Enable the user to have needed functionality
- Enable the user to import or export information as designated
</t>
  </si>
  <si>
    <t>Activity 29 - Inquiries and Freedom of Information Act (FOIA) Requests; Part B - FOIA Requests, Task 8</t>
  </si>
  <si>
    <t xml:space="preserve">Complete a segregability analysis and determine which portion of the responsive documents can be disclosed as nonexempt and which portions can be appropriately withheld as exempt. </t>
  </si>
  <si>
    <t>FOIA analysis</t>
  </si>
  <si>
    <t>3rd Party Systems - 36</t>
  </si>
  <si>
    <t>Legacy System - FSS Online</t>
  </si>
  <si>
    <t>CA - 408</t>
  </si>
  <si>
    <t xml:space="preserve">Depending on the functionality offered and legacy migration strategy, you may be required to establish an interface with FSS Online, which is the front-end application to the FSS-19 database system. It is used to track and manage a vendor's contract from award through close out. At the highest level, FSS Online is used as a procurement management tool for the Contracting Officer (CO) / Contract Specialist community. Using FSS Online PR Module, COs and CSs can track and manage a vendor’s contract from the date of award through the life of the contract. FSS Online provides the CO/CS with the ability to manage contracts, manually input orders, manage vendor information, and report on contract activity. It interfaces with eOffer, eMods and ORS. FSSOnline also provide capabilties to Track orders, NSN header maintenance, manages incomplete order processing and amends orders and NSN descriptions and production planning. Modules include: Data Entry - Used by regional and field offices to generate input to FSS-19; IM - Tracking of orders and stock replenishment; Mods - Contract modifications (paper and eMods); NIF - NSN Header Maintenance; PR - This is the major component of FSS On-line. Contains NSN description and production planning; QC - Quality Control, CMV, CAV, OCMS; Security - Delegate data entry rights to FSS-online users. Assigns rights and search IDs. Provides access to FSS-Online, Data entry, ORS and OCMS; WIP - Incomplete order processing and amend orders; Web Services - Provides interfaces from/to other web based Applications (eOffer,eMods, ORS, ROADS, Advantage, ECMS, VSC and others). 
This integration, if required, will be scoped separately.
Migration plan needs to be defined as does the long term business strategy.
~1700 users
Interfaces with ASAP, CORS, CSC. eBUY, Schedule ELibrary, eMod, GSA Advantage, GSS Virtual Stores, OCMS, OMS, PO Portal, SIP, ORS, ECMS/D2, SWS, ROADS and VSC. May interface with numerous other systems.
Additionally, the information below is from the COMET solicitation with regards to modernization efforts
■ The FSS19 family of applications supports GSA’s Core Capabilities of Supply Chain Management, Order Management, Contract Writing and Catalog Management. The FSS19 application suite is one of a number of application suites running on the Unisys Mainframe.
● This investment creates cloud-native applications that enable faster time to market and promote innovative customer offerings that position GSA to deliver on the Federal Marketplace Strategy and the Cornerstone Initiatives. It minimizes GSA’s risk and “technical debt” by reducing dependency on decades-old technology.
● This modernization will be executed incrementally over a period of three years by developing cloud-native applications in Java and MySQL to provide the functionality required to support GSA’s business lines that is currently provided by the FSS19 family of applications.
● FSS19 modernization in Years 2 and 3 will be impacted by decisions made with respect to the Contract Writing System (CWS) COTS solution and the degree of support this solution will provide for GSA’s contract writing business functions.
■ Major Systems Impacted;  FSS19, FSSOnline, CSM Web Services, Pegasys Connect
■ In Progress or Planned: Planned
■ Technical Complexity: Medium to High
It's development platform is PowerBuilder version 2017, and OPENA ODBC 
</t>
  </si>
  <si>
    <t xml:space="preserve">As a CO/CS, I use FSS Online for a variety of things as referenced in the requirements. It serves, however, as one of the primary acquisition management systems I use for MAS and non-MAS programs. </t>
  </si>
  <si>
    <t>Ensure system can efficiently:
- Interface with FSS Online
- Enable end-to-end contract acquisition lifecycle management</t>
  </si>
  <si>
    <t>Activity 29 - Inquiries and Freedom of Information Act (FOIA) Requests; Part B - FOIA Requests, Task 9</t>
  </si>
  <si>
    <t>Respond to inquiries regarding the status of FOIA requests, seeking assistance from the FOIA Public Liaison as necessary.</t>
  </si>
  <si>
    <t>FOIA response</t>
  </si>
  <si>
    <t>3rd Party Systems - 37</t>
  </si>
  <si>
    <t>Legacy System - FSS 19</t>
  </si>
  <si>
    <t xml:space="preserve">FSS-19 is the Federal Acquisition Service (FAS) operations and management system that supports the GSA mission to procure and distribute supplies across the Federal Government. 
FSS-19 is predominantly a batch system that runs on a Unisys Libra CS6390 mainframe. Batch cycles are run nightly, Sunday through Friday. Weekly, Monthly, Quarterly, Semi-Annual, Annual, and As-Required batch cycles are also run. Online access is mostly for inquiry but with some file updating. The data is unclassified. 
Because of its size and complexity, FSS-19 is functionally separated into 8 modules. The modules are:
PM - Production Management
IM - Inventory Management
LM - Logistics Data Management
OP - Order Processing
PR - Procurement
QC - Quality Control
SD - Supply Distribution
FI - Finance Interface
The IM and SD modules, and portions of the OP and PR modules, no longer process data as those functions are now performed by the Order Management System (OMS). 
Data is received into FSS-19 via the DoD DARS and DLMS networks, via SFTP, and from GSA systems.  Customer information and reports are output via DARS and DLMS, SFTP, Simple Mail Transfer Protocol (SMTP), Electronic Data Interchange (EDI), and Facsimile (FAX)
 It's development platform is COBOL 74/85 programs, Work Flow Language (WFL), ALGOL programs, SORT, TEXTDATA, DATA, and DASDL (Database Definition)
</t>
  </si>
  <si>
    <t>CA - 409</t>
  </si>
  <si>
    <t>3rd Party Systems - 38</t>
  </si>
  <si>
    <t>Legacy System - Network Hosting Center (NHC)</t>
  </si>
  <si>
    <t xml:space="preserve">Depending on the functionality offered and legacy migration strategy, you may be required to establish an interface with Network Hosting Center (NHC) (and related application WITS) which is a contract management tool for telecom services. It has pre-award capability, solicitation writing, and post-award capabilities. 
- Washington Interagency Telecommunications System (WITS) enables price comparisons of telecommunication offerings and is customer agency facing system.
This integration, if required, will be scoped separately.
Business decision will be needed to determine long-term strategy after FY19.
NHC
~ 120 FAS, ~280 client users, ~200 suppliers
Interfaces with EMORRIS, CONEXUS, Telecomm vendors, iConectiv, clients, TOPS
</t>
  </si>
  <si>
    <t>As a CO/CS, an automated interface with the NHC enables me to minimize the number of acquisition systems I log into to perform acquisition functions. I use the NHC to see marketplace pricing, technical data repository, task order writing, scope review, review supplier submissions and source selection, award, modifications, and contract administration. I also use it for reporting and data analytics. 
As a CO/CS, an automated interface with the Washington Interagency Telecommunications System (WITS) enables me to minimize the number of acquisition systems I log into to perform acquisition functions. I use the WITS for market research and price analysis.</t>
  </si>
  <si>
    <t>Ensure system can efficiently:
- Interface with NHC or its successor
- Interface with WITS
- Enable the user to have needed functionality
- Enable the user to import information as designated</t>
  </si>
  <si>
    <t>Activity 29 - Inquiries and Freedom of Information Act (FOIA) Requests; Part B - FOIA Requests, Task 10</t>
  </si>
  <si>
    <t xml:space="preserve">Release information authorized for disclosure in any form or format requested by the person if the record is readily reproducible by the agency in that form or format. </t>
  </si>
  <si>
    <t>FOIA release</t>
  </si>
  <si>
    <t>3rd Party Systems - 39</t>
  </si>
  <si>
    <t>Activity Address Code (AAC)</t>
  </si>
  <si>
    <t>AAC Inquiry is an internet web application that provides addressing information for GSA and DoD assigned Activity Address Codes.  In addition, you can find the Transportation Control Number (TCN) associated with a purchase order or requisition generated through GSA Advantage. Access to the web application is controlled by validating User ID and password. The system shall interface with an authoritative entity management system to obtain and maintain current Address data in the form of Activity Address Codes (AAC) for civilian and Department of Defense Offices.  Currently the Department of Defense Address Activity Directory (DoDAAD), as provided by the Defense Logistics Agency's (DLA) Defense Logistics Managements Standards Office (DLMSO) is the known authoritative source. This application is used primarly by Supply Chain Management and is Federal in scope. The interfaces are webservices. It's hardware is Linux VM Windows UNIX. It's operating system is Windows, RHEL, Solaris. Most infrastructure components are virtual machines. The development platform is JavaScript, JEE, SQL, JDBC, Sybase ASE, LDAP,Spring, Saml.</t>
  </si>
  <si>
    <t>As a CO/CS, an automated interface to Activity Address Code (AAC) data enables me to maintain accurate records of acquisition transactions and comply with authoritative references.</t>
  </si>
  <si>
    <t>Ensure system can efficiently:
- Interface with Activity Address Code
- Maintain accurate and current address data
- Search, select, and assign AAC's to procurement instruments
- Require usage of AAC's on procurement instruments consistent with the FAR and GSA policy</t>
  </si>
  <si>
    <t>CA - 410</t>
  </si>
  <si>
    <t>3rd Party Systems - 40</t>
  </si>
  <si>
    <t>Pegasys</t>
  </si>
  <si>
    <t>Activity 29 - Inquiries and Freedom of Information Act (FOIA) Requests; Part B - FOIA Requests, Task 11</t>
  </si>
  <si>
    <t xml:space="preserve">When denying a request in full or in part, provide the requester with certain information about the action taken on the request. </t>
  </si>
  <si>
    <t xml:space="preserve">Establish an interface with GSA's financial system (currently provided on the CGI Momentum platform and named Pegasys). Pegasys is used as a system for the data entry of purchasing transactions. The purchasing subsystem enables GSA to incur costs against its budgets by recording these spending transactions. </t>
  </si>
  <si>
    <t>As a user, I need the system to be able to integrate with my financial system so I can properly fund, modify, manage, and close out funds associated with my acquisition.</t>
  </si>
  <si>
    <t>Ensure system can efficiently:
- Provide required functionality between the system and the financial system</t>
  </si>
  <si>
    <t>CA - 411</t>
  </si>
  <si>
    <t>3rd Party Systems - 41</t>
  </si>
  <si>
    <t>Activity 29 - Inquiries and Freedom of Information Act (FOIA) Requests; Part B - FOIA Requests, Task 12</t>
  </si>
  <si>
    <t>Distributed Ledger Technology (DLT)</t>
  </si>
  <si>
    <t xml:space="preserve">“Route” any “misdirected” FOIA request to the appropriate agency component within ten days of receiving the request. </t>
  </si>
  <si>
    <t>FOIA reassignment</t>
  </si>
  <si>
    <t>Enable GSA to integrate with existing Artifical Intelligence, Robotic Process Automation, Distributed Ledger Technologies and new ones. Integrations, if required, will be scoped separately.  Acquisition Virtual Assistant (AVA) is GSA’s emerging technology pilot which focuses on automating the proposal review process for Multiple Award Schedules. AVA is composed of Hyperledger Fabric distributed ledger technology and multiple microservices that include business process automation and artificial intelligence.
GSA is projecting the completion of microservices to support the automation of the following business processes:
- Financial Review Determination (FRD).  FRD automates the comparison of financial information to industry standards using IRS report “Corporate Income Tax Return Complete Report;
- Equal Employment Opportunity (EEO) preaward registry check;
- Contract review checklist;
- Oral evaluation scheduling and technical evaluation documentation;
- End User License Agreement (EULA) review that will employ natural language processing to aid the acquisition workforce in identifying terms and conditions unacceptable to the federal government;
- Product price analysis, and;
- Integration with the RPA pilot</t>
  </si>
  <si>
    <t>As a user, I use emerging technology to automate low-value acquisition tasks so I can focus on high level activities.</t>
  </si>
  <si>
    <t>Ensure system can efficiently:
- Work in harmony with emerging technologies to foster continuous process improvement</t>
  </si>
  <si>
    <t>3rd Party Systems - 42</t>
  </si>
  <si>
    <t>uPIID Assignment</t>
  </si>
  <si>
    <t>CA - 412</t>
  </si>
  <si>
    <t>The CWS shall establish an interface to the GSA-wide uPIID generator service for the assignment of procurement instrument identifiers.  This is a web service with an XML based request and XML based return value.</t>
  </si>
  <si>
    <t>The CWS shall allow user to route any misdirected FOIA request to the appropriate agency and create/upload/ import a response to the requestor regarding the redirected FOIA within the allotted timeframes.</t>
  </si>
  <si>
    <t>As a user, I need to assign unique identifiers to procurment instruments I create with CWS so that I comply with the authoritative references and do not duplicate identifiers.</t>
  </si>
  <si>
    <t xml:space="preserve">Ensure system can efficiently:
- Interface with the uPIID generator
- Assign correct and valid uPIIDs to all contract instruments created </t>
  </si>
  <si>
    <t xml:space="preserve">
As a user, I need to route any misdirected FOIA request to the appropriate agency and notify the requestor who the appropriate responding agency should be. </t>
  </si>
  <si>
    <t>Ensure system can efficiently:
- Retrieve documents from the contract file to respond to FOIAS
- Create/upload the agency response to FOIAs</t>
  </si>
  <si>
    <t>Activity 29 - Inquiries and Freedom of Information Act (FOIA) Requests; Part B - FOIA Requests, Task 13</t>
  </si>
  <si>
    <t>Make a determination on an administrative appeal within twenty working days after its receipt.</t>
  </si>
  <si>
    <t>3rd Party Systems - 43</t>
  </si>
  <si>
    <t>Provide a resources center with links and useful infomation for the user on GSA solication identification, pricing, and scope confirmation.</t>
  </si>
  <si>
    <t>As a user, I need to be able to find information and links to related sites so that I may navigate and perform market research tasks quickly and easily.</t>
  </si>
  <si>
    <t xml:space="preserve">Ensure system can efficiently:
-Ensure system and site has useful and relevant content and links to assist customers
</t>
  </si>
  <si>
    <t>CA - 413</t>
  </si>
  <si>
    <t>The CWS shall allow user to make a determination on an administrative appeal within 20 working days after its receipt and document the contract file (Tab 24, FOIAs/Congressionals). This may require collaboration among the acquisition team that the CWS shall facilitate.</t>
  </si>
  <si>
    <t>As an acquisition team member, I need to collaborate with my CO/CS on FOIA requests to ensure information requested can be released.
As a CO/CS, I need to prepare and support the agency response to FOIAs after a review of the information requested and seek approval accordingly. I need to be able to route such determinations for approval pursuant to agency procedures. I also need to be able to access the action in the contract file and export it if necessary.</t>
  </si>
  <si>
    <t>Ensure system can efficiently:
- Retrieve documents from the contract file to respond to FOIAS
- Create/upload the agency response to FOIAs
- Route the response among acquisition team members for review and approval
- - Access information in the contract file and export it if necessary</t>
  </si>
  <si>
    <t>Activity 29 - Inquiries and Freedom of Information Act (FOIA) Requests; Part B - FOIA Requests, Task 14</t>
  </si>
  <si>
    <t>3rd Party Systems - 44</t>
  </si>
  <si>
    <t>Enterprise Content Management Solution (ECMS)</t>
  </si>
  <si>
    <t>Seek mediation services from the Office of Government Information Services (OGIS) of the National Archives and Records Administration (NARA), if necessary.</t>
  </si>
  <si>
    <t>Depending on the solution you may need to integrate with our existing Electronic Contract File and current viewer for storing, retreiving, and viewing of current and future documents.  It's development platform is Java, JSPs, HTML, XML, Net (ASPx), Visual Basic, Oracle, IIS, JBoss, EMC Documentum, Web Service, ECFv – user interface, BADI, Quarantine, CenterStage, D2, Records Management, xCP, Apache, Kofax, and Input Accel.</t>
  </si>
  <si>
    <t>As a user, I need to store, retreive, and/or view documents in the electronic contract file</t>
  </si>
  <si>
    <t>Ensure system can efficiently:
-Ensure the systen can store, retrieve, and/or view current and future documents</t>
  </si>
  <si>
    <t>CA - 414</t>
  </si>
  <si>
    <t>Allow users to document the outcome of seeking mediation services in the contract file (Tab 24, FOIAs/Congressionals).</t>
  </si>
  <si>
    <t>As a user, I want to resolve issues in the most expeditious manner that protects the Government's interest which can include mediation services. If this path is chosen, the contract file needs to reflect the outcome of those mediation services.</t>
  </si>
  <si>
    <t>Ensure system can efficiently:
- Document mediation outcomes in the contract file</t>
  </si>
  <si>
    <t>ACQ.040.100</t>
  </si>
  <si>
    <t>Acquisition Analysis and Forecasting</t>
  </si>
  <si>
    <t>Conduct analyses of agency's historical acquisition needs, patterns, and processes; Forecast agency's acquisition demand</t>
  </si>
  <si>
    <t>CA - 415</t>
  </si>
  <si>
    <t>Provide reporting capabilities on historical contract actions by date, office, type, process step duration, and other appropriate factors to support forecasting of agency's acquisition demand, AWF requirements to meet demand, and inform process improvements throughout the acquisition life cycle.</t>
  </si>
  <si>
    <t>As a supervisor/manager, I need to review aggregated performance data across multiple (and varied) levels of supervisory control to make demand forecasts and identify process improvements so that I can manage and improve efficiency of acquisition operations.</t>
  </si>
  <si>
    <t>Ensure system can efficiently:
- Retrieve reports on activity within the system that inform acquisition demand and drive process efficiency and improvement throughout the acquisition life cycle across multiple levels of supervisory control</t>
  </si>
  <si>
    <t>CA - 416</t>
  </si>
  <si>
    <t>Capture contract metadata to enable reporting, data analytics and fulfilling responses to data calls and Freedom of Information Requests.</t>
  </si>
  <si>
    <t>As a user, I need the ability to create dashboards and reports to response to data calls or inquiries or to manage categories, programs, or workload.</t>
  </si>
  <si>
    <t>Requirement ID</t>
  </si>
  <si>
    <t>Sign- 1</t>
  </si>
  <si>
    <t>Signatures</t>
  </si>
  <si>
    <t>“Digital signature” is a term for a technology-specific process often used to authenticate identity and/or to verify the integrity of electronic records. The system shall support digital signatures (internal and external) for documents transmitted via the vendor portal.</t>
  </si>
  <si>
    <t>The system needs to authenticate identities to ensure the integrity of the acquisition actions. Electronic signatures negate the need to secure hard copy signatures and brings efficiencies to the signature process.</t>
  </si>
  <si>
    <t>Ensure system can efficiently:
- Authenticate identities
- Secure signatures</t>
  </si>
  <si>
    <t>Sign- 2</t>
  </si>
  <si>
    <t>The system shall have the capability to apply electronic signatures to packages of one or more related documents.</t>
  </si>
  <si>
    <t>Sign- 3</t>
  </si>
  <si>
    <t>The system shall have the capability to capture at least Name, Email, and timestamp data in the signature block.</t>
  </si>
  <si>
    <t>Sign- 4</t>
  </si>
  <si>
    <t>When a digital signature is applied, the system shall require user re-authentication.</t>
  </si>
  <si>
    <t>Sign- 5</t>
  </si>
  <si>
    <t>The system shall capture and store the user's digital signature as part of the instrument.</t>
  </si>
  <si>
    <t>Sign- 6</t>
  </si>
  <si>
    <t>The system shall enable an authorized user to sign an award instrument.</t>
  </si>
  <si>
    <t>Sign- 7</t>
  </si>
  <si>
    <t>Once an instrument has been signed, the system shall prohibit changes to that version of the instrument.</t>
  </si>
  <si>
    <t>Sign- 8</t>
  </si>
  <si>
    <t>When the instrument is signed, the system shall create, store and save to a designated file directory an outbound transaction data set.</t>
  </si>
  <si>
    <t>Sign- 9</t>
  </si>
  <si>
    <t>Upon instrument signature, the system shall create and save to the contract file a read-only digital file exactly replicating the instrument package, including all documents, exhibits, and attachments added to the instrument.</t>
  </si>
  <si>
    <t>Sign- 10</t>
  </si>
  <si>
    <t>Upon instrument signature, the system shall record the Line Item Obligation Amount against any PR Line Item referenced in an award instrument line item.</t>
  </si>
  <si>
    <t>Sign- 11</t>
  </si>
  <si>
    <t>Upon instrument signature, the system shall distribute the signed instrument package in "read-only" digital format to recipients identified by the user.</t>
  </si>
  <si>
    <t>Sign- 12</t>
  </si>
  <si>
    <t>The system shall enable a vendor to execute a digital signature on a bilateral award instrument.</t>
  </si>
  <si>
    <t>Sign- 13</t>
  </si>
  <si>
    <t>When a bilateral award instrument is signed by both parties, the system shall store the signed award instrument in the contract file.</t>
  </si>
  <si>
    <t>Sign- 14</t>
  </si>
  <si>
    <t>When the vendor has signed an award instrument, the system shall enable a warranted Contracting Officer to apply his or her signature to the award instrument.</t>
  </si>
  <si>
    <t>Sign- 15</t>
  </si>
  <si>
    <t>When a user initiates multiple workflows, the system shall ensure that only one workflow includes the task to approve and digitally sign an instrument or document.</t>
  </si>
  <si>
    <t>Sign- 16</t>
  </si>
  <si>
    <t>When a user completes a workflow task, the system shall attach the user's digital signature.</t>
  </si>
  <si>
    <t>Sign- 17</t>
  </si>
  <si>
    <t>When a document requires one or more electronic signatures, each unique signature shall be digitally recorded with the time signed.</t>
  </si>
  <si>
    <t>Sign- 18</t>
  </si>
  <si>
    <t>The system shall identify a document as "Signed", "Approved", or "Final" upon completion of the final approval task in a workflow.</t>
  </si>
  <si>
    <t>RM- 1</t>
  </si>
  <si>
    <t>Records Management</t>
  </si>
  <si>
    <t>Manage records in accordance with GSA Policy OAS-P-1820.1 Records Management Policy or its successor.</t>
  </si>
  <si>
    <t>As a user, I am required to manage records in accordance with my agency's policies and the authoritative references.</t>
  </si>
  <si>
    <t xml:space="preserve">Ensure system can efficiently:
- Manage records </t>
  </si>
  <si>
    <t>RM- 2</t>
  </si>
  <si>
    <t>Comply with Federal Acquisition Regulations (FAR) Section 4.805, GSAM 504.805, Defense Federal Acquisition Regulation Supplement (DFARS) Subpart 204.8, Department of Defense Grants and Agreements Regulations (DODGARS), and Army Regulation 715, and other agencies' supplemental regulations for the retention, storage, closeout and destruction of contract files.</t>
  </si>
  <si>
    <t>As a user, I need the system to enable the retention, storage, closeout and destruction of contract files so I can comply with the authoritative references.</t>
  </si>
  <si>
    <t xml:space="preserve">Ensure system can efficiently:
- Comply with authoritative references </t>
  </si>
  <si>
    <t>RM- 3</t>
  </si>
  <si>
    <t xml:space="preserve">The system shall be certified as an authorized Electronic Records Management Software Application in compliance with the requirements of Department of Defense Directive 5015.2 Department of Defense Records Management Program for DoD actions. </t>
  </si>
  <si>
    <t>As a user that provides assisted acquisition services to DoD and other agency clients, I need the system to be certified as an authorized electronic records management software application to comply with client agency regulations.</t>
  </si>
  <si>
    <t>Ensure system:
- Is certified</t>
  </si>
  <si>
    <t>RM- 4</t>
  </si>
  <si>
    <t>Comply with Department of Defense 5015.02-STD, Design Criteria Standard for Electronic Records Management Software Applications.</t>
  </si>
  <si>
    <t xml:space="preserve">As a user that provides assisted acquisition services to DoD, I need the system to be able to comply with authoritative references in order to provide acquisition services to the client. </t>
  </si>
  <si>
    <t>RM- 5</t>
  </si>
  <si>
    <t>Comply with Army Regulation 25-400-2, The Army Records Information Management System (ARIMS).</t>
  </si>
  <si>
    <t xml:space="preserve">As a user that provides assisted acquisition services to Army, I need the system to be able to comply with authoritative references in order to provide acquisition services to the client. </t>
  </si>
  <si>
    <t>RM- 6</t>
  </si>
  <si>
    <t>Comply with data archiving and record retention rules published by the National Archives and Records Administration (NARA), Government Accountability Office (GAO), and National Institute of Standards and Technology (NIST) when providing electronic records filing functionality.</t>
  </si>
  <si>
    <t>As a user, I need the system to manage records so I can comply with the authoritative references.</t>
  </si>
  <si>
    <t>RM- 7</t>
  </si>
  <si>
    <t>Maintain data associated with records management, including date of activity, initiator of activity, and resolution of that activity.</t>
  </si>
  <si>
    <t>As a user, I need the system to maintain data associated with the records management so I know the activity history in the event of an issue with the record.</t>
  </si>
  <si>
    <t xml:space="preserve">Ensure system can efficiently:
- Maintain activity history of the record </t>
  </si>
  <si>
    <t>RM- 8</t>
  </si>
  <si>
    <t>Create, update and delete a set of document-specific attributes assignable to documents included in the contract file.</t>
  </si>
  <si>
    <t>As a user, I need to be able to create, revise and delete a set of document-specific attributes assignable to documents included in the contract file to help with document identification.</t>
  </si>
  <si>
    <t>Ensure system can efficiently:
- Enable document-specific attributes</t>
  </si>
  <si>
    <t>RM- 9</t>
  </si>
  <si>
    <t>Build filing rules that enable the system to associate document attributes with sections of the contract file.</t>
  </si>
  <si>
    <t>As a user, I need the system to build filing rules to associate document attributes with sections of the contract file to help locate information in the file.</t>
  </si>
  <si>
    <t>Ensure system can efficiently:
- Build filing rules to associate document attributes with sections of the contract file</t>
  </si>
  <si>
    <t>RM- 10</t>
  </si>
  <si>
    <t>Ensure each document within an area of a contract file has a unique document identifier.</t>
  </si>
  <si>
    <t>As a user, I need to ensure each contract file has a unique identifier to enable me to locate it in the future.</t>
  </si>
  <si>
    <t>Ensure system can efficiently:
- Assign a unique document identifier</t>
  </si>
  <si>
    <t>RM- 11</t>
  </si>
  <si>
    <t>When a document is uploaded as an attachment to an instrument that has one or more attributes corresponding to a filing rule, store the document in the correct section or subsection of the contract file.</t>
  </si>
  <si>
    <t>As a user, I need the system to store the contract in the right section/sub-section of the contract file when attachments are uploaded.</t>
  </si>
  <si>
    <t>Ensure system can efficiently:
- Upload documents to the right section/sub-section of the contract file</t>
  </si>
  <si>
    <t>RM- 12</t>
  </si>
  <si>
    <t>When a section or subsection of a contract file has not been created and a document is uploaded according to a filing rule that requires placement in that folder or subfolder, create the respective folder or subfolder and complete the upload accordingly.</t>
  </si>
  <si>
    <t>As a user, I need the system to create a folder/sub-folder to upload attachments into the right section of the contract file if such section or sub-section hasn't been created yet.</t>
  </si>
  <si>
    <t xml:space="preserve">Ensure system can efficiently:
- Create folder/subfolder </t>
  </si>
  <si>
    <t>RM- 13</t>
  </si>
  <si>
    <t>Enable an authorized user to archive a contract file while retaining the organizational structure and contents of the file.</t>
  </si>
  <si>
    <t>As an authorized user, I need to ensure the integrity of the organizational structure and contents of the file when it is archived.</t>
  </si>
  <si>
    <t>Ensure system can efficiently:
- Retain organizational structure and contents of the file when archived</t>
  </si>
  <si>
    <t>RM- 14</t>
  </si>
  <si>
    <t>Store an Archive Date for each contract file to indicate archival eligibility.</t>
  </si>
  <si>
    <t>As a user, I need the system to store an archive date for each contract file to indicate its eligibility so I know when it is possible to archive the file.</t>
  </si>
  <si>
    <t>Ensure system can efficiently:
- Store an archive date</t>
  </si>
  <si>
    <t>RM- 15</t>
  </si>
  <si>
    <t>Store a Final Destruction Date for each contract file to indicate purge eligibility.</t>
  </si>
  <si>
    <t>As a user, I need the system to store a final destruction date for each contract file to indicate its purge eligibility so I know when it is possible to purge the file.</t>
  </si>
  <si>
    <t>Ensure system can efficiently:
- Store a final destruction date</t>
  </si>
  <si>
    <t>RM- 16</t>
  </si>
  <si>
    <t>Enable a user to manually update the Archive Date of a contract file.</t>
  </si>
  <si>
    <t>As a user, I need the ability to manually update the archive date of a contract file when circumstances warrant it.</t>
  </si>
  <si>
    <t>Ensure system can efficiently:
- Manually update the archive date</t>
  </si>
  <si>
    <t>RM- 17</t>
  </si>
  <si>
    <t>Enable a user to manually update the Final Destruction Date of a contract file.</t>
  </si>
  <si>
    <t>As a user, I need the ability to manually update the final destruction date of a contract file when circumstances warrant it.</t>
  </si>
  <si>
    <t>Ensure system can efficiently:
- Manually update the final destruction date</t>
  </si>
  <si>
    <t>RM- 18</t>
  </si>
  <si>
    <t>Provide the capability for an authorized user to flag a contract file as Ineligible for Archive and Purge.</t>
  </si>
  <si>
    <t>As a user, I need the ability to flag a contract file as ineligible for archive and purge.</t>
  </si>
  <si>
    <t>Ensure system can efficiently:
- Flag a contract file as ineligible</t>
  </si>
  <si>
    <t>RM- 19</t>
  </si>
  <si>
    <t>When a contract file is flagged as Ineligible for Archive or Purge, prevent users from executing an archive and purge process for that file.</t>
  </si>
  <si>
    <t>As a user, I need the system to prevent me from archiving or purging a file when it is flagged as ineligible for such actions to prevent an inadvertent loss of data.</t>
  </si>
  <si>
    <t>Ensure system can efficiently:
- Prevent archival or purge when files are flagged as ineligible</t>
  </si>
  <si>
    <t>RM- 20</t>
  </si>
  <si>
    <t>Enable an authorized user to remove an Ineligible for Archive and Purge flag on a contract file.</t>
  </si>
  <si>
    <t>As an authorized user, I need to be able to remove a contract as ineligible for archive and purge when circumstances warrant it.</t>
  </si>
  <si>
    <t>Ensure system can efficiently:
- Remove a contract as ineligible</t>
  </si>
  <si>
    <t>RM- 21</t>
  </si>
  <si>
    <t>Prohibit the archival and purging of a contract file when the associated contract files are not eligible to be archived and purged.</t>
  </si>
  <si>
    <t>As a user, I need the system to stop me from archiving and purging a contract file if the files are flagged as ineligible.</t>
  </si>
  <si>
    <t>Ensure system can efficiently:
- Prevent user from archiving and purging file flagged as ineligible</t>
  </si>
  <si>
    <t>RM- 22</t>
  </si>
  <si>
    <t>Retain all contract file links and associations when it is archived.</t>
  </si>
  <si>
    <t>As a user, I need the system to retain all contract file links and associations when it is archived so that in the event I need to retrieve the file from archive, I am able to have complete access to the contract file.</t>
  </si>
  <si>
    <t>Ensure system can efficiently:
- Retain all contract file links and associations</t>
  </si>
  <si>
    <t>RM- 23</t>
  </si>
  <si>
    <t>Enable an authorized user to restore a contract file from archive into active status.</t>
  </si>
  <si>
    <t>As an authorized user, I need to be able to restore a contract file from archive into active status in the event something necessitates a reopening of the file.</t>
  </si>
  <si>
    <t>Ensure system can efficiently:
- Restore a contract file from archive into active status</t>
  </si>
  <si>
    <t>RM- 24</t>
  </si>
  <si>
    <t>Notify a designated user twenty four hours prior to purging a contract file.</t>
  </si>
  <si>
    <t>As a user, I need 24 hours advance notice before the system purges a contract so I can ensure there is no further need for the contract file.</t>
  </si>
  <si>
    <t>Ensure system can efficiently:
- Notify user 24 hours in advance of purging a contract file</t>
  </si>
  <si>
    <t>RM- 25</t>
  </si>
  <si>
    <t>Automatically reset any previously stored retention period entries when an award instrument is reopened.</t>
  </si>
  <si>
    <t>As a user, automatically reset any previously stored retention period entries when a contract file is reopened.</t>
  </si>
  <si>
    <t>Ensure system can efficiently:
- Automatically reset any previously stored retention period entries when a contract file is reopened</t>
  </si>
  <si>
    <t>RM- 26</t>
  </si>
  <si>
    <t>When archiving or purging a contract file, terminate outstanding workflow processes pertaining to that contract file.</t>
  </si>
  <si>
    <t>The system needs to terminate outstanding workflow processes when a contract file is archived or purged.</t>
  </si>
  <si>
    <t>Ensure system can efficiently:
- Terminate outstanding workflow processes when a contract file is archived or purged</t>
  </si>
  <si>
    <t>Requirement No.</t>
  </si>
  <si>
    <t>VP-1</t>
  </si>
  <si>
    <t>Provide a secure vendor portal with the minimum capabilities outlined below for pre- and post-award activities including, but not limited to: 
- Intake of offers or other responses and attachments to solicitation-related notices such as Request for Information, sources sought, broad agency announcements)  
- Intake of questions related to solicitation-related notices and management of responses/answers to those questions including response publication
- Record communications between vendor and contracting office 
- Execution of contract actions
- Intake of vendor invoices (a federated environment with multiple intake channels for invoice data is anticipated and plans for consolidation have not been made) 
- Intake of vendor requests for contract modification
- Intake of vendor deliverables
- Vendor access to contract documents and data (solicitations, notices, award, mods, financial data including obligations, invoices, receipts, disbursements)</t>
  </si>
  <si>
    <t>As a vendor, I need an interface to GSA to manage my interactions for proposals, awards, and contract administration. For pre-award, I'd like to learn of acquisition opportunities, understand what I need to do to participate in acquisitions, submit offers and attachments for the Government to consider, ask questions and get answers to my questions, get feedback on my offer, negotiate terms and conditions, and execute contract actions. Post award, I need the ability to manage all facets of my contract from contract kick-off to contract closeout, including submission of deliverables, modifications, invoices, ask questions and get answers to my questions, get feedback on my performance, access to my conformed contract, submit reports, sales, and remit fees.
As a CO/CS, I need an end-to-end acquisition management system to interact with vendors. For pre-award, I'd like to post opportunities, assure vendors understand what they need to do to participate in acquisitions, provide training, receive offers, evaluate offers, collaborate with vendors on their offers, negotiate terms and conditions, and execute contract actions. Post-award, I need the ability to manage all facets of my contract from contract kick-off to contract closeout, including receipt of deliverables, receipt of invoices, reconcile invoices and payments, process modifications, respond to questions, give feedback on vendor performance, receive reports, sales and payments, and have access to my conformed contract.</t>
  </si>
  <si>
    <t>Ensure system can efficiently:
- Provide a secure vendor portal to support both pre- and post-award processes
- Intake opportunities and display to vendors
- Intake offers from vendors
- Track communications between vendors and contracting office
- Execute contract actions
- Intake vendor invoices
- Intake vendor requests for contract modification
- Intake vendor deliverables
- Provide vendor access to contract documents and data</t>
  </si>
  <si>
    <t>VP-2</t>
  </si>
  <si>
    <t>Provide configurable workflow capability to help vendors submit responses, modifications, record actions and communications with the contracting office, and integrate executed modifications into the conformed contract.</t>
  </si>
  <si>
    <t>As a vendor, I need to be able to submit actions to the appropriate individual or group for action. For example, if a COR is designated on my contract, I will be required to send actions for the COR's attention, while other submissions will be direct to my CO/CS. Other submissions may need to go to a finance office or to an auditor. As such, I need the vendor portal to provide workflow capability so that actions can be directed to the appropriate place/person for action.
As a CO/CS, I need to be able to configure workflow capability to help vendors submit actions to the appropriate individual or group for action so I provide timely and proper contract support.</t>
  </si>
  <si>
    <t>Ensure system can efficiently:
- Provide configurable workflow capability for vendors through the vendor portal</t>
  </si>
  <si>
    <t>VP-3</t>
  </si>
  <si>
    <t>Identify document and data submission versions and maintain a historical record and change history.</t>
  </si>
  <si>
    <t>All users need to identify document and data submission versions and be able to see both the historical record and the change history in order to maintain an audit trail.</t>
  </si>
  <si>
    <t>Ensure system can efficiently:
- Provide an audit trail by identifying document and data submission versions and maintain a historical record/change history</t>
  </si>
  <si>
    <t>VP-4</t>
  </si>
  <si>
    <t>Provide a supportive configurable workflow for evaluations based on FAR Parts, 6, 8, 12, 13, 14, 15, 16, and 19.</t>
  </si>
  <si>
    <t>All users need a configurable workflow process to fit the acquisition needs for FAR Parts 6, 8, 12, 13, 14, 15, 16 and 19 acquisitions to take advantage of the flexibilities afforded therein.</t>
  </si>
  <si>
    <t>Ensure system can efficiently:
- Provide configurable workflow capability to support evaluations based on FAR parts 6, 8, 12, 13, 14, 15, 16, and 19.</t>
  </si>
  <si>
    <t>VP-5</t>
  </si>
  <si>
    <t>Eliminate duplicative inputs and outputs.</t>
  </si>
  <si>
    <t>All users need to eliminate duplicative inputs and outputs. Having identical deliverables add confusion to the process and the contract file.</t>
  </si>
  <si>
    <t>Ensure system can efficiently:
- Prevent/avoid and or identify duplicative inputs and outputs</t>
  </si>
  <si>
    <t>VP-6</t>
  </si>
  <si>
    <t>Flag for CO/CS if vendor's company name, SAMMI number (currently DUNs), or authorized negotiators are found in SAM's exclusion records.</t>
  </si>
  <si>
    <t xml:space="preserve">As a CO/CS, I need to know if any vendor is on the SAM exclusion list so I don't entertain offers from excluded parties. This includes verifying the SAMMI number (currently DUNs), the company name, and each authorized negotiator name does not appear on the SAM exclusion list and maintain a record of SAM verification in the contract file. </t>
  </si>
  <si>
    <t>Ensure system can efficiently:
- Check SAM exclusion records for vendor name, SAMMI number (currently DUNs) and authorized negotiators
- Access information in the contract file and export it if necessary</t>
  </si>
  <si>
    <t>VP-7</t>
  </si>
  <si>
    <t>Provide the ability for vendors to electronically input quotes/offers pricing data in response to a solicitation as structured data at the CLIN and subCLIN level.</t>
  </si>
  <si>
    <t>As a CO/CS, the system needs to enable the receipt and evaluation of offers and pricing data in a structured manner so I can reach an award determination.</t>
  </si>
  <si>
    <t>Ensure system can efficiently:
- Enable vendors to electronically submit quotes/offers pricing data with structured data at CLIN and subCLIN level
- Record time and date of action</t>
  </si>
  <si>
    <t>VP-8</t>
  </si>
  <si>
    <t>Manage multiple vendor users as authorized negotiators on a per offer and contract basis.  Also, identify those that are authorized to sign on a per offer and per contract basis.</t>
  </si>
  <si>
    <t>The system needs to enable and manage multiple vendor users as authorized negotiators. Often, vendors will use consultants to help them submit an offer and will designate that consultant as an authorized negotiator in addition to vendor representatives.</t>
  </si>
  <si>
    <t>Ensure system can efficiently:
- Assign individual vendor user negotiator users to individual offer/contract as negotiators
- Assign individual vendor user negotiator users as authorized to sign contracts on an individual offer/contract basis</t>
  </si>
  <si>
    <t>VP-9</t>
  </si>
  <si>
    <t>Generate unique identifying code to assign each offeror's submission and shall transmit this code to the offeror and designated contracting officer. Maintain links from the offer to the solicitation, any potential award resulting from the offer, contract administration and related documents to maintain integrity of the contract file.</t>
  </si>
  <si>
    <t>Each offer needs to be uniquely identified from cradle to grave in order to locate and process actions, provide assistance, provide an audit trail, and maintain integrity of the contract file. The identification code needs to be transmitted to both the offeror and the designated CO and the system needs to link this code to all actions associated with the offer throughout its acquisition life-cycle.</t>
  </si>
  <si>
    <t>Ensure system can efficiently:
- Generate unique code for offers
- Transmit code to vendor and CO
- Link the code to all related documents and actions</t>
  </si>
  <si>
    <t>VP-10</t>
  </si>
  <si>
    <t>Maintain automatic synchronization of solicitation data published in the vendor portal based on the solicitation content in the system including amendments, open and close dates and other data as appropriate.</t>
  </si>
  <si>
    <t>The system needs to ensure solicitation data published in the vendor portal is the same as the solicitation content in the system and maintain automatic synchronization when changes occur. This ensures that the vendor and the government are working on the same page.</t>
  </si>
  <si>
    <t>Ensure system can efficiently:
- Synchronize solicitation data between the system and the vendor portal</t>
  </si>
  <si>
    <t>VP-11</t>
  </si>
  <si>
    <t xml:space="preserve">Allow setting of solicitation posting times in advance and support response closing dates and times by user selectable timezone. </t>
  </si>
  <si>
    <t xml:space="preserve">As a CO/CS, I need to be able to establish when my solicitation will open and close so vendors know to submit quotes/offers. I need to be able to set the solicitation posting day and time in advance and support various closing dates and times.  </t>
  </si>
  <si>
    <t>Ensure system can efficiently:
- Schedule solicitation posting times in advance
- Support setting posting and response closing dates and times by user selected timezone</t>
  </si>
  <si>
    <t>VP-12</t>
  </si>
  <si>
    <t>Allow versioning of vendor offer/quote information and enable access to the version history data.</t>
  </si>
  <si>
    <t>As a vendor, I need to access my offer/quote and make changes to it as necessary. I need access to the version history data so I know what I submitted and when.</t>
  </si>
  <si>
    <t>Ensure system can efficiently:
- Record time and date of action
- Allow update and versioning of vendor offer/quote information
- Enable access to version history data</t>
  </si>
  <si>
    <t>VP-13</t>
  </si>
  <si>
    <t>Store vendor submitted documents and metadata in the electronic contract file consistent with GSA policy as implemented by individual offices.</t>
  </si>
  <si>
    <t>As a vendor, I need to submit my offer/quote.  My  submitted documents should be stored in the electronic contract file per GSA policy.</t>
  </si>
  <si>
    <t>Ensure system can efficiently:
- Store documents and metadata about vendor submissions in the ECF
- Access information in the contract file and export it if necessary</t>
  </si>
  <si>
    <t>VP-14</t>
  </si>
  <si>
    <t>“Digital signature” is a term for a technology-specific process often used to authenticate identity and/or to verify the integrity of electronic records. Support digital signatures (internal and external) for actions transmitted via the vendor portal in accordance with requirements in Digital/Electronic Signatures.</t>
  </si>
  <si>
    <t>As a CO/CS, I need to sign the awarded contract. The digital signature shall be displayed on the appropriate records.  
As a vendor, I need to sign the awarded contract.  The digital signature shall be displayed on the appropriate records.</t>
  </si>
  <si>
    <t>Ensure system can efficiently:
- Execute digital signatures consistent with GSA policy
- Display digital signatures on the appropriate records</t>
  </si>
  <si>
    <t>VP-15</t>
  </si>
  <si>
    <t>Perform validation on vendor submissions to ensure compliance with the solicitation, contract, or modification requirements. The system shall present errors and/or warning to users when submissions do not pass system validation.</t>
  </si>
  <si>
    <t>As a vendor, I need to submit my offer/quote.  When submitting my offer/quote, the system should validate my offer/quote is complete and there are no errors in my submissions.</t>
  </si>
  <si>
    <t xml:space="preserve">Ensure system can efficiently:
- Validate vendor submissions
- Show errors to vendor if any data is incorrect
- Indicate submission is complete if there are no errors
</t>
  </si>
  <si>
    <t>VP-16</t>
  </si>
  <si>
    <t>Direct parts of the vendor submissions to responsible parties based on established workflows as designated by the Government user (e.g., price quote/proposal routes to price evaluators; technical quote/proposal routes to the technical evaluation team) on a configurable basis as appropriate.</t>
  </si>
  <si>
    <t>As a CO/CS, I need to route vendor submissions to responsible parties based on established workflows as designated by the Government (for example, price quotes/proposals are routed to price evaluators; technical quotes/proposals are routed to technical evaluation teams) on a configurable basis so that submissions can go to designated parties/team/evaluators as appropriate.</t>
  </si>
  <si>
    <t>Ensure system can efficiently:
- Enable configurable and standardized workflow for evaluation of offers as designated
- Record time and date of action</t>
  </si>
  <si>
    <t>VP-17</t>
  </si>
  <si>
    <t>Enable recorded collaborative real time negotiation sessions between the vendor and the CO/CS.</t>
  </si>
  <si>
    <t>As a CO/CS, I want to support/enable a recorded collaborative real time sessions with the vendor so that negotiations can be done in real time.
As a vendor, I want to support/enable a recorded collaborative real time session with the CO/CS so that negotiations can be done in real time.</t>
  </si>
  <si>
    <t xml:space="preserve">Ensure system can efficiently:
- Record collaborative real time negotiation sessions performed via vendor portal
- Store the recording in the contract file
- Record time and date of action
</t>
  </si>
  <si>
    <t>VP-18</t>
  </si>
  <si>
    <t>Provide capability for signature execution of actions in accordance with requirements in Digital/Electronic Signatures. Enable users to review all contents of the submission prior to acceptance and application of electronic signature.</t>
  </si>
  <si>
    <t xml:space="preserve">As a vendor/user, I need to be able to review all contents of the submission prior to acceptance and application of electronic signature so that I can confirm my submissions before signature application.
As a CO/CS, I need to be able to review  the vendors signed documents as part of the submission prior to acceptance and application of electronic signature so that I can award the package.
As a system , I need to provide  capability for signature execution of actions in accordance with requirements in Digital/Electronic Signatures so that vendors/users can append /apply electronic signatures. </t>
  </si>
  <si>
    <t>Ensure system can efficiently:
- Enable users to review all submission contents prior to executing actions
- Provide digital signature capability in accordance with the requirements</t>
  </si>
  <si>
    <t>VP-19</t>
  </si>
  <si>
    <t>Support vendor users, with logins bursting up to 1000 concurrent vendor users and provide an efficient user experience.</t>
  </si>
  <si>
    <t>As a system, I want to provide capability to support up to 1000 concurrent vendor users so that optimal system performance can be sustained.</t>
  </si>
  <si>
    <t>Ensure system can efficiently:
- Scale to accommodate high user volumes without system degradations</t>
  </si>
  <si>
    <t>VP-20</t>
  </si>
  <si>
    <t xml:space="preserve">Support access to prior and current quotes (e.g. relate original quote with an updated quote as items are added, or prices are negotiated) to analyze for trends (analyze the quotes for specific items from various suppliers over time).
</t>
  </si>
  <si>
    <t xml:space="preserve">As a CO/CS, I need to access prior supplier quotes so that I can perform price analysis on current offers.
</t>
  </si>
  <si>
    <t xml:space="preserve">Ensure system can efficiently:
- Save quote/proposal to the system
- Compare quotes at the line item level 
across offers to different solicitations
</t>
  </si>
  <si>
    <t>VP-21</t>
  </si>
  <si>
    <t>Enable a user to include supporting documents as attachments to a public notice.</t>
  </si>
  <si>
    <t xml:space="preserve">As a CO/CS, I need to access prior supplier quotes so that I can perform price analysis on current offers.
</t>
  </si>
  <si>
    <t>Ensure system can efficiently:
- Enable user a include supporting attachments to a public notice posted to FBO</t>
  </si>
  <si>
    <t>VP-22</t>
  </si>
  <si>
    <t>When an authorized user attaches supporting documents to a public notice, the system shall store each document up to a limit of 250 GB per document.</t>
  </si>
  <si>
    <t>As a user, I need to allow an authorized user to upload supporting public notice document up to a limit of 250 GB per document, and be able to store it within that capacity so that system does not run out of storage space.</t>
  </si>
  <si>
    <t>Ensure system can efficiently:
-Enable user to upload documents up to 250 GB in size
- Access information in the contract file and export it if necessary</t>
  </si>
  <si>
    <t>VP-23</t>
  </si>
  <si>
    <t>Enable an authorized user to post a solicitation to a restricted group of vendors.</t>
  </si>
  <si>
    <t>As a CO/CS, I need to have the ability to post a solicitation to a  defined/configured group of vendors so that selected vendor group can be targeted for contract offer.</t>
  </si>
  <si>
    <t xml:space="preserve">Ensure system can efficiently:
- Solicitation details are viewable in the vendor portal by the selected vendors
- Unselected vendors cannot view solicitation
</t>
  </si>
  <si>
    <t>VP-24</t>
  </si>
  <si>
    <t>Enable an authorized Government user to automatically/manually create an entry for a Proposal Submission Package for the vendor.</t>
  </si>
  <si>
    <t>As a user, I need to enable an authorized Government user to automatically/manually create an entry for a Proposal Submission Package for a vendor in exceptional cases where vendor is unable to do so via the vendor portal so that  a record of submission package is maintained.</t>
  </si>
  <si>
    <t>Ensure system can efficiently:
- Allow authorized government user to load vendor proposal when necessary
- Access information in the contract file and export it if necessary</t>
  </si>
  <si>
    <t>VP-25</t>
  </si>
  <si>
    <t>When a solicitation is amended, send a notification to interested parties.</t>
  </si>
  <si>
    <t>As a CO/CS, I need to be able to send notification to participating vendors when a solicitation is amended so that they can be current on solicitation requirements/updates.</t>
  </si>
  <si>
    <t xml:space="preserve">Ensure system can efficiently:
- Vendors receive notification of solicitation amendment
</t>
  </si>
  <si>
    <t>VP-26</t>
  </si>
  <si>
    <t>Allow vendors to register as users in the system.</t>
  </si>
  <si>
    <t>As a vendor, I need a capability to register as a user so that I will can use the vendor portal.</t>
  </si>
  <si>
    <t>Ensure system can efficiently:
- Allow vendors to register in the system</t>
  </si>
  <si>
    <t>VP-27</t>
  </si>
  <si>
    <t>When the timestamp is calculated, store the timestamp with the submission and revisions thereto.</t>
  </si>
  <si>
    <t>As a user, I need to determine the timestamp data value in UTC format and be stored with submissions so that I can keep record of vendor submission time.</t>
  </si>
  <si>
    <t xml:space="preserve">Ensure system can efficiently:
- Record date and time in UTC
- Display the timestamp of the submission and revisions thereto
</t>
  </si>
  <si>
    <t>VP-28</t>
  </si>
  <si>
    <t>When the system enters a timestamp, send a notice to the vendor that shows the time that was stamped on the submission.</t>
  </si>
  <si>
    <t>As a CO/CS, I need to send a confirmation notice to the vendor that shows the time was stamped on the submission so that he/she can be apprised that the submission was received.</t>
  </si>
  <si>
    <t>Ensure system can efficiently:
-Confirmation is sent that submission is received
- Access information in the contract file and export it if necessary</t>
  </si>
  <si>
    <t>Category</t>
  </si>
  <si>
    <t>Notes</t>
  </si>
  <si>
    <t>VP-29</t>
  </si>
  <si>
    <t>Notify the owner of the procurement action upon receipt of a vendor response.</t>
  </si>
  <si>
    <t>As a CO/CS, I need to be informed as owner of the procurement action upon receipt of a vendor response so that I am apprised of procurement progress.</t>
  </si>
  <si>
    <t xml:space="preserve">Ensure system can efficiently:
- Solicitation owner/offer reviewer is sent notification when an offer is received
</t>
  </si>
  <si>
    <t>SYS-1</t>
  </si>
  <si>
    <t>VP-30</t>
  </si>
  <si>
    <t>ACL</t>
  </si>
  <si>
    <t>Enable an authorized user to automatically/manually enter the effective date and time which will be used to determine the timeliness of the submission.</t>
  </si>
  <si>
    <t>Provide a capability for users, based on their role, to view related documents, data and activities resulting from their action (e.g., submission of purchase request).</t>
  </si>
  <si>
    <t>As an vendor, I need to know the effective date and time of my submission as recorded by the system so I can use it to determine the timeliness of the submission.
As an authorized user, I need to manually be able to enter the effective date and time for a submission that was not automatically captured so that the system can use it to determine the timeliness of the submission.</t>
  </si>
  <si>
    <t>The system needs to provide users with role-based capabilities to view documents, data and activities that have access to in order to verify and complete their tasks.</t>
  </si>
  <si>
    <t>Ensure system can efficiently:
- Store the effective date of manual submission
- Track the user and date/time of manual submission
- Verify timeliness of submitted offers</t>
  </si>
  <si>
    <t>Ensure system can efficiently:
 - Assign users one or more roles
-  Enable users to view documents, data, and activities related to their roles to complete their tasks
 - View activity related information</t>
  </si>
  <si>
    <t>VP-31</t>
  </si>
  <si>
    <t>Enable the vendor to view a summary list of responses they have submitted with the current status of the associated procurement actions.</t>
  </si>
  <si>
    <t>As a vendor,  I need to view a summary list of responses submitted with the current status of the associated procurement  actions so that a snapshot of it can be viewed.</t>
  </si>
  <si>
    <t>Ensure system can efficiently:
- Response summary is received
- Response summary is viewable
- Access response summary in the contract file and export it if necessary</t>
  </si>
  <si>
    <t>VP-32</t>
  </si>
  <si>
    <t>Enable a vendor to include supporting documents up to 250 GB per file as attachments to a Proposal Submission Package.</t>
  </si>
  <si>
    <t xml:space="preserve">As a vendor, I need to be able to upload supporting document up to a limit of 250 GB per file as attachment to a proposal Submission Package so that system storage space can be efficiently managed.
 </t>
  </si>
  <si>
    <t>Ensure system can efficiently:
- Enable the vendor to upload documents up to 250 GB per document
- Access proposal submission package and supporting documentation in the contract file and export it if necessary</t>
  </si>
  <si>
    <t>VP-33</t>
  </si>
  <si>
    <t>In addition to the system assigned identifier, enable a vendor to specify their own proposal identifier for a Proposal Submission Package.</t>
  </si>
  <si>
    <t>As a vendor, I need to provide my own proposal identifier on my proposal so that I can track and relate it within my own internal systems.</t>
  </si>
  <si>
    <t>Ensure system can efficiently:
- Enable vendors to add their own proposal identifier to proposals
- Display such identifier, along with the system assigned identifier to the vendor and CO/CS</t>
  </si>
  <si>
    <t>VP-34</t>
  </si>
  <si>
    <t>Enable a vendor to designate a Proposal Submission Package as its Final Proposal Revision after negotiations.</t>
  </si>
  <si>
    <t>As a vendor, after negotiation, I need to flag and submit this submission as my final proposal revision to my offer/quote so the CO/CS can make a final award decision.</t>
  </si>
  <si>
    <t>Ensure system can efficiently:
- Identify submission as final proposal revision
- Display designation of final proposal revision</t>
  </si>
  <si>
    <t>VP-35</t>
  </si>
  <si>
    <t>SYS-2</t>
  </si>
  <si>
    <t>Enable a user to subscribe to public notices published by the system.</t>
  </si>
  <si>
    <t>As a vendor, I need to register to view any public notices published to the system so I can determine their impact.</t>
  </si>
  <si>
    <t>Ensure system can efficiently:
- Create registration profiles
- Enable users to subscribe to public notices</t>
  </si>
  <si>
    <t>Provide a capability for authorized users to extract metadata and display selected data for category management reporting and other agency purposes.</t>
  </si>
  <si>
    <t xml:space="preserve">The system needs to enable authorized users to extract metadata and display selected data for category management reporting and other agency purposes to respond to data calls, keep agencies apprised of category management and related information, identify trends and best practices, sales, contract values, types of contracts, etc. </t>
  </si>
  <si>
    <t>Ensure system can efficiently:
 - Extract metadata and display selected data</t>
  </si>
  <si>
    <t>VP-36</t>
  </si>
  <si>
    <t>When subscribing to public notices, enable the user to create personalized notification settings.</t>
  </si>
  <si>
    <t>As a vendor, I need to create a personal notification setting to view any public notices so I can control the frequency and type of notifications I receive.</t>
  </si>
  <si>
    <t>Ensure system can efficiently:
- Enable users to access and change notification settings
- Enable profile setting to be saved</t>
  </si>
  <si>
    <t>VP-37</t>
  </si>
  <si>
    <t>Enable a Government or vendor user to search for public notice postings.</t>
  </si>
  <si>
    <t xml:space="preserve">As a user, I need to be able to search all public notices so I can find the appropriate notice I need.  </t>
  </si>
  <si>
    <t>Ensure system can efficiently:
- Allow government or vendor users to search notices
- Select the appropriate notice</t>
  </si>
  <si>
    <t>VP-38</t>
  </si>
  <si>
    <t>When a vendor creates a profile, enable the vendor to use their SAMMI number (currently DUNS) to load their data from the System for Award Management (SAM).</t>
  </si>
  <si>
    <t xml:space="preserve">As a vendor, I need to use my SAMMI number (currently DUNS) to create an account profile so I can create/modify/update offer/proposals, modifications, and etc. </t>
  </si>
  <si>
    <t>Ensure system can efficiently:
- Capture and store vendor's SAMMI number (currently DUNS)
- Create vendor accounts with the SAMMI number (currently DUNS) based on SAM registration information
- Save SAMMI number (currently DUNS) and associate it with the appropriate profile</t>
  </si>
  <si>
    <t>VP-39</t>
  </si>
  <si>
    <t>When the system processes a vendor transaction, the system shall access and transmit the SAMMI number (currently DUNS).</t>
  </si>
  <si>
    <t>As a vendor, I need my SAMMI number (currently DUNS) to be transferred as part of my offer/proposal, modification, etc. so the reviewing point of contract can associate my submission with my company.</t>
  </si>
  <si>
    <t>Ensure system can efficiently:
- Submit SAMMI number (currently DUNS) with all appropriate metadata
- Display the SAMMI number (currently DUNS) as part of the submission package</t>
  </si>
  <si>
    <t>VP-40</t>
  </si>
  <si>
    <t>Enable vendors to submit as part of their Proposal Submission Package, a list of Representations and Certifications.</t>
  </si>
  <si>
    <t xml:space="preserve">As a vendor, I need my Representations and certifications to be included as part of my submission package so that my package information is complete. </t>
  </si>
  <si>
    <t>Ensure system can efficiently:
- Process representation and certifications information submitted
- Save representations and certifications</t>
  </si>
  <si>
    <t>SYS-3</t>
  </si>
  <si>
    <t>Base access privileges within the system on combinations of groups (user organizational hierarchy) and roles assigned to users.</t>
  </si>
  <si>
    <t>As a user, I need to be able to assign individual users both roles and organizational hierarchy in order so that users can perform actions and view data appropriate to their role, responsibilities and organization.</t>
  </si>
  <si>
    <t>Ensure system can efficiently:
- Assign users one or more roles
- Assign users to an organization hierarchy
- Grant access to users based on their role, responsibility and organizational hierarchy</t>
  </si>
  <si>
    <t>SYS-4</t>
  </si>
  <si>
    <t>Authentication</t>
  </si>
  <si>
    <t>When a user has been locked out, deny that user access to the system.</t>
  </si>
  <si>
    <t>VP-41</t>
  </si>
  <si>
    <t>As a user, I need to be able to deny access to users that have been locked out so they no longer have system access.</t>
  </si>
  <si>
    <t>Ensure system can efficiently:
- Lock out users from gaining access to the system</t>
  </si>
  <si>
    <t>When the vendor provides a list of Representations and Certifications with the Proposal Submission Package, store the list of Representations and Certifications in the appropriate place in the electronic contract file (Tab 17, Responsibility Determination).</t>
  </si>
  <si>
    <t xml:space="preserve">As a CO/CS, I need vendor representations and certifications that are included as part of their submission package to be stored in the electronic contract file per the authoritative references so that the package is complete. </t>
  </si>
  <si>
    <t>Ensure system can efficiently:
- Access representations and certifications in the contract file and export it if necessary</t>
  </si>
  <si>
    <t>SYS-5</t>
  </si>
  <si>
    <t>When an authorized user has reached the specified number of consecutive failed login attempts within a particular time frame, lock out a user. Maintain a log to include date, time and user.</t>
  </si>
  <si>
    <t xml:space="preserve">The system needs to monitor the number of times a user attempts to log into the system consecutively and lock them out in accordance with the security standards so they no longer have system access. </t>
  </si>
  <si>
    <t>Ensure system can efficiently:
- Monitor login attempts
- Lock out a user once they exceed the specified number of consecutive failed login attempts
- Maintain a log to include date, time and user</t>
  </si>
  <si>
    <t>VP-42</t>
  </si>
  <si>
    <t>When an offer is submitted, enable the respondent to register eligibility for set-aside or socio-economic consideration.</t>
  </si>
  <si>
    <t xml:space="preserve">As a vendor, I need to be able to designate eligibility as set-aside for socio-economic considerations as part of my submission package so my submission is considered complete. </t>
  </si>
  <si>
    <t>Ensure system can efficiently:
- Designate socio-economic size status
- Access socio-economic information in the contract file and export it if necessary</t>
  </si>
  <si>
    <t>SYS-6</t>
  </si>
  <si>
    <t>Enable a user to authenticate his or her identity to the system using a Government issued Personal Identity Verification (PIV) card.</t>
  </si>
  <si>
    <t>As a user, I need to be able to authenticate and identify a user through a Government issued PIV card so that system can ensure only authorized users can access the system.</t>
  </si>
  <si>
    <t>Ensure system can efficiently:
- Allow access to a user through a  Government issued PIV card</t>
  </si>
  <si>
    <t>VP-43</t>
  </si>
  <si>
    <t>When an offer is submitted, the system shall enable the user to verify the respondent's eligibility for set-aside or socio-economic consideration through the System for Award Management interface.</t>
  </si>
  <si>
    <t xml:space="preserve">As a CO/CS, I need to be able to verify the vendors set-aside designation as part of their submission package so I can determine if they qualify for award under the set-aside designation. </t>
  </si>
  <si>
    <t>Ensure system can efficiently:
- Verify SAM representations and certifications for socioeconomic size status based on NAICS codes appropriate to the solicitation</t>
  </si>
  <si>
    <t>VP-44</t>
  </si>
  <si>
    <t>Enable the user to remove an offer from evaluation consideration and notify the CO/CS.</t>
  </si>
  <si>
    <t>As a vendor, I need the ability to withdraw my offer/proposal from review, so it is not in consideration for award.
As a CO/CS, I need to know when a vendor has withdrawn their offer/proposal so I can record the action accordingly.</t>
  </si>
  <si>
    <t>Ensure system can efficiently:
- Permit vendors to withdraw offers/proposals
- Record date and time
- Notify the CO/CS</t>
  </si>
  <si>
    <t>SYS-7</t>
  </si>
  <si>
    <t>Enable an authorized user to authenticate his or her identity to the system through a secure means consistent with NIST guidance and GSA security policy appropriate to the authentication assurance level required for the system for selected user groups that are unable to leverage a PIV card (e.g. vendors, other agency customer users, etc.).  This may include, but it is not limited to, username and password with approved multi-factor authentication (MFA).</t>
  </si>
  <si>
    <t>As a user, I need to enable authorized user to authenticate his/her identity with username and password that are consistent with NIST standard requirements and GSA security policy for selected user groups.</t>
  </si>
  <si>
    <t>Ensure system can efficiently:
- Allow access to a user through authentication of his/her identity with username and password</t>
  </si>
  <si>
    <t>SYS-8</t>
  </si>
  <si>
    <t>Support single-sign-on (SSO) for GSA users leveraging GSA's Active Directory implementation.</t>
  </si>
  <si>
    <t>As a user, I need to be able to support single-sign-on (SSO) for GSA users using GSA's Active Directory implementation standard so that users do not need to maintain separate credentials.</t>
  </si>
  <si>
    <t>Ensure system can efficiently:
-  Allow every user to log in and authenticate user's identity through GSA Active Directory instance</t>
  </si>
  <si>
    <t>VP-45</t>
  </si>
  <si>
    <t>Enable the user reinstate an offer for evaluation consideration if the solicitation has not closed.</t>
  </si>
  <si>
    <t>As a vendor, I need to ability to copy and/or update my withdrawn offer/proposal so that it can be resubmitted for review.</t>
  </si>
  <si>
    <t>Ensure system can efficiently:
- Enable user to resubmit an offer for evaluation consideration with or without edits</t>
  </si>
  <si>
    <t>SYS-9</t>
  </si>
  <si>
    <t>Business Rule</t>
  </si>
  <si>
    <t>Do not require a purchase request to be created for non-funded base award vehicles and modifications.</t>
  </si>
  <si>
    <t>As a CO/CS, I need to be able to create non-funded base award vehicles and modifications without a linked PR when appropriate.</t>
  </si>
  <si>
    <t>Ensure system can efficiently:
- System should validate if the PR is required or not
- If PR is not required, system shall complete the process</t>
  </si>
  <si>
    <t>VP-46</t>
  </si>
  <si>
    <t>Enable the user to enter a reason for removing an offer from evaluation consideration.</t>
  </si>
  <si>
    <t>As a vendor, I need to be able to provide a reason for withdrawing my submission for review so there is a record of my decision.</t>
  </si>
  <si>
    <t>Ensure system can efficiently:
- Capture reason for removing an offer</t>
  </si>
  <si>
    <t>VP-47</t>
  </si>
  <si>
    <t>When a user posts a solicitation to the vendor portal, automatically resend the public notice to Federal Business Opportunities (FBO) if designated to do so by the user. If designated to send to FBO, file a copy of the public notice in the contract file (Tab 8, Synopsis/Advertisement).</t>
  </si>
  <si>
    <t>SYS-10</t>
  </si>
  <si>
    <t xml:space="preserve">As a CO/CS, I want to maximize competition by posting my solicitation to the vendor portal AND to Federal Business Opportunities (FBO) if I so designate. This lets me minimize the number of systems I need to interact with to do my job. Automating required Federal Business Opportunities (FBO) public notices enables me to focus on higher level activities in lieu of data entry. I also need to be able to access the action in the contract file and export it if necessary. </t>
  </si>
  <si>
    <t>Configuration</t>
  </si>
  <si>
    <t>Ensure system can efficiently:
- Enable the user to designate whether a solicitation should also be posted to Federal Business Opportunities (FBO) 
- Automatically interface with Federal Business Opportunities (FBO) to post the notice
- Access information in the contract file and export it if necessary</t>
  </si>
  <si>
    <t>Enable a system administrator or authorized user to assign and/or delete a combination of roles and groups to multiple users in a single action.</t>
  </si>
  <si>
    <t>As a system administrator or authorized user, I need to assign and/or delete a combination of roles and groups to multiple users in a single action so that privileges can be assigned/removed en bloc to group of users quicker.</t>
  </si>
  <si>
    <t>Ensure system can efficiently:
- System administrator can assign/or delete a user role, combination of roles to groups or multiple users in a single action</t>
  </si>
  <si>
    <t>VP-48</t>
  </si>
  <si>
    <t>When a user posts a Justification &amp; Approval (J&amp;A) notice to the vendor portal, automatically resend the public notice to Federal Business Opportunities (FBO) if designated to do so by the user. If designated to send to FBO, file a copy of the public notice in the contract file (the J&amp;A is filed in Tab 4, Determination and Findings while the postings are filed in Tab 8, Synopsis/Advertisement).</t>
  </si>
  <si>
    <t xml:space="preserve">As a CO/CS, I am required to post a notice to Federal Business Opportunities (FBO) anytime I restrict competition to provide as much transparency as I can on the action. Having the system resend this notice enables administrative tasks to be managed by the system and allows me to focus on higher level activities in lieu of data entry. I also need to be able to access the action in the contract file and export it if necessary. </t>
  </si>
  <si>
    <t>Ensure system can efficiently:
- Enable the user to designate whether a Justification &amp; Approval (J&amp;A) should also be posted to Federal Business Opportunities (FBO) 
- Automatically interface with Federal Business Opportunities (FBO) to post the notice
- Access information in the contract file and export it if necessary</t>
  </si>
  <si>
    <t>SYS-11</t>
  </si>
  <si>
    <t>VP-49</t>
  </si>
  <si>
    <t>Enable a system administrator or authorized user to create, modify, and delete user profiles.</t>
  </si>
  <si>
    <t>When a user posts a public notice to the vendor portal, resend the public notice to Federal Business Opportunities (FBO) in an automated manner (API, XML or other source) if designated to do so by the user. Document the contract file (Tab 8, Synopsis/Advertisement).</t>
  </si>
  <si>
    <t xml:space="preserve">As a system administrator or authorized user, I need to create, modify, and delete user profiles for system maintenance purposes. </t>
  </si>
  <si>
    <t>Ensure system can efficiently:
-  Authorized administrator can create or modify or delete user profiles</t>
  </si>
  <si>
    <t>As a CO/CS, I am required to post notices to Federal Business Opportunities (FBO). Having the system resend vendor portal notices to FBO enables me to minimize the number of acquisition systems I need to log into to complete work and keeps me compliant with the authoritative reference.</t>
  </si>
  <si>
    <t>Ensure system can efficiently:
- Post public notices to Federal Business Opportunities
- Access information in the contract file and export it if necessary</t>
  </si>
  <si>
    <t>VP-50</t>
  </si>
  <si>
    <t>A view only version of each historical record per contract shall be accessible by all current authorized users of the vendor portal.</t>
  </si>
  <si>
    <t>As a vendor, I need to access a view only version of each historical record for this contract consistent with the authorities granted in the user's role.</t>
  </si>
  <si>
    <t>Ensure system can efficiently:
- Display a view only version of each historical record to authorized vendor users</t>
  </si>
  <si>
    <t>SYS-12</t>
  </si>
  <si>
    <t>Enable a system administrator or authorized user lock out and unlock one or more users.</t>
  </si>
  <si>
    <t>As a system administrator or authorized user, I need to go into the system to lock out or unlock one or more users so that control access to the system.</t>
  </si>
  <si>
    <t xml:space="preserve">Ensure system can efficiently:
- Allow a system administrator to lock out or unlock one or more users </t>
  </si>
  <si>
    <t>SYS-13</t>
  </si>
  <si>
    <t>Enable a system administrator or authorized user to configure the system to establish and enforce business rules for the system and applicable user groups.</t>
  </si>
  <si>
    <t>As a system administrator or authorized user, I need to configure the system to establish and enforce business rules for the overall system and applicable user groups.</t>
  </si>
  <si>
    <t>Ensure system can efficiently:
- Configure business rules in system to enforce business rules for the overall system and applicable user groups</t>
  </si>
  <si>
    <t>SYS-14</t>
  </si>
  <si>
    <t>Enable system administrator or authorized user to broadly configure the system without the involvement of developers.</t>
  </si>
  <si>
    <t>As a system administrator or authorized user, I need to broadly configure the system without the involvement of developers so that the system easily and flexibly responds to changing business requirements.</t>
  </si>
  <si>
    <t xml:space="preserve">Ensure system can efficiently:
- Enable system administrator or authorized user to configure the system as needed </t>
  </si>
  <si>
    <t>SYS-15</t>
  </si>
  <si>
    <t>Dev/ops</t>
  </si>
  <si>
    <t>Have the capability to deploy multiple pre-production environments in an ad-hoc basis (e.g. dev, test, staging, training) in addition to a production environment.</t>
  </si>
  <si>
    <t>As a user, I need to be able to deploy multiple pre-production environments (e.g. dev, test, and staging, demonstration, training) in addition to a production environment to meet DevOps and training needs quickly and flexibly.</t>
  </si>
  <si>
    <t>Ensure system can efficiently:
- Deploy pre-production environments for dev, test, staging or training on an ad-hoc basis
- Shut down pre-production environments when no longer needed</t>
  </si>
  <si>
    <t>SYS-16</t>
  </si>
  <si>
    <t>The pre-production environments will be capable of handling production-scale data load.</t>
  </si>
  <si>
    <t>As a user, I need pre-production environments to be able to handle production scale data for both realistic business rule testing and performance load testing purposes.</t>
  </si>
  <si>
    <t>Ensure system can efficiently:
- Load production scale data sets into pre-production environments</t>
  </si>
  <si>
    <t>SYS-17</t>
  </si>
  <si>
    <t>Provide an automated testing capability for code and configuration advancement in support of scaled agile integration and deployment pipeline processes.</t>
  </si>
  <si>
    <t>As a user, I need to support automated testing capability for code and configuration advancement in order to facilitate a DevOps scaled agile integration and deployment pipeline processes.</t>
  </si>
  <si>
    <t>Ensure system can efficiently:
- Provide an automated testing module or API that can control code and configuration change testing and output in relation to agile deployment
- Support DevOps integration and deployment pipeline</t>
  </si>
  <si>
    <t>SYS-18</t>
  </si>
  <si>
    <t>Document authoring</t>
  </si>
  <si>
    <t>Provide comprehensive capability for authoring documents leveraging templates and data stored (field values and complete documents/attachments) in the system to populate content in the document to eliminate the need to use external word processing tools and ensure consistency of data between final documents and the data used in reporting.  This would include examples such as solicitations, awards, modifications, determinations and findings, contract correspondence, etc.</t>
  </si>
  <si>
    <t>As a CO/CS, I need to be able to leverage templates and data stored in the system to populate content in the task I'm working to streamline my work. The more automation and pre-population the system can do, the less data entry I need to do which improves the quality and consistency of the action.</t>
  </si>
  <si>
    <t>Ensure system can efficiently:
- Use templates and data stored in the system to populate documents</t>
  </si>
  <si>
    <t>SYS-19</t>
  </si>
  <si>
    <t>Have the capability to manage solicitation attachments as part of single package (e.g. solicitations that include multiple parts split into discrete sections/documents for management and posting).</t>
  </si>
  <si>
    <t>As a CO/CS, I need to be able to manage solicitation attachments as multiple separate sections/documents within a single solicitation package so that I can publish and post complex solicitations. I also need to be able to add, edit, delete, print and view the attachments.</t>
  </si>
  <si>
    <t>Ensure system can efficiently:
- Manage multiple solicitation attachments as part of a package through add, edit, delete, print and view capabilities</t>
  </si>
  <si>
    <t>SYS-20</t>
  </si>
  <si>
    <t>Provide the ability to design and utilize templates to create solicitations, awards, and other documents to help teams standardize the organization and presentation of the data and reduce errors caused by duplicate data entry.</t>
  </si>
  <si>
    <t>As a user, I need to design/upload and utilize templates to create solicitations, awards, and other actions to help teams standardize the organization and presentation of the data and reduce errors caused by duplicate data entry.</t>
  </si>
  <si>
    <t>Ensure system can efficiently:
- Create solicitations, awards and other documents using templates
- Upload/design templates for purposes above</t>
  </si>
  <si>
    <t>SYS-21</t>
  </si>
  <si>
    <t>DR/COOP/audit</t>
  </si>
  <si>
    <t>Upon system failure and restoration, report any transactions or processes that failed to process completely.</t>
  </si>
  <si>
    <t>As a system, I need to be able to log/record the point of failure when a system fails or interrupted during transaction processing so that an audit trail of the time of occurence, transaction data/value before and after can be reported and continued at resumption of processing.</t>
  </si>
  <si>
    <t>Ensure system can efficiently:
- Log/record transaction failure in log file during processing, including transaction record, error message, causes and time of occurrence
- Display the reason codes for transaction failure/error codes during processing and enable it to be printed
- Reprocess and log uncompleted transactions due to failure</t>
  </si>
  <si>
    <t>SYS-22</t>
  </si>
  <si>
    <r>
      <t xml:space="preserve">Provide backup, recovery and disaster recovery procedures and processes in the cloud environment for the target applications and services that support the following objectives:
•        Recovery Point Objective (RPO) – Ability to recover all system data entered within </t>
    </r>
    <r>
      <rPr>
        <sz val="10"/>
        <color rgb="FFFF0000"/>
        <rFont val="Arial"/>
      </rPr>
      <t>xx</t>
    </r>
    <r>
      <rPr>
        <sz val="10"/>
        <color rgb="FF000000"/>
        <rFont val="Arial"/>
      </rPr>
      <t xml:space="preserve"> minutes prior to triggering incident occurrence.
•        Recovery Time Objective (RTO) – Ability to restore all system services within </t>
    </r>
    <r>
      <rPr>
        <sz val="10"/>
        <color rgb="FFFF0000"/>
        <rFont val="Arial"/>
      </rPr>
      <t>xx</t>
    </r>
    <r>
      <rPr>
        <sz val="10"/>
        <color rgb="FF000000"/>
        <rFont val="Arial"/>
      </rPr>
      <t xml:space="preserve">  hours of triggering incident occurrence.
•        Data Backup Location – Data backups maintained or replicated at a site geographically disparate from the production site such that the loss of one data center does not prohibit recovery of data within the prescribed RTO.
</t>
    </r>
  </si>
  <si>
    <t>As a system, I need to be able to provide information assurance capability in a cloud environment to meet RPO/RTO objectives so that business continuity of operations and disaster recovery can be realized in the event of a disaster or disruption.
Also, as a system, I need to be able to support data backup/replication at a site geographically disparate from the production site such that the loss of one data center does not prohibit recovery of data within the prescribed RTO.</t>
  </si>
  <si>
    <r>
      <t xml:space="preserve">Ensure system can efficiently:
•  Meet Recovery Point Objective (RPO) – Ability to recover all system data entered within </t>
    </r>
    <r>
      <rPr>
        <sz val="10"/>
        <color rgb="FFFF0000"/>
        <rFont val="Arial"/>
      </rPr>
      <t>xx</t>
    </r>
    <r>
      <rPr>
        <sz val="10"/>
        <color rgb="FF000000"/>
        <rFont val="Arial"/>
      </rPr>
      <t xml:space="preserve"> minutes prior to triggering incident occurrence.
•  Meet Recovery Time Objective (RTO) – Ability to restore all system services within </t>
    </r>
    <r>
      <rPr>
        <sz val="10"/>
        <color rgb="FFFF0000"/>
        <rFont val="Arial"/>
      </rPr>
      <t>xx</t>
    </r>
    <r>
      <rPr>
        <sz val="10"/>
        <color rgb="FF000000"/>
        <rFont val="Arial"/>
      </rPr>
      <t xml:space="preserve">  hours of triggering incident occurrence.
</t>
    </r>
  </si>
  <si>
    <t>SYS-23</t>
  </si>
  <si>
    <t>Data​ ​and​ ​systems​ ​must be​ ​recoverable​ ​in​ ​a​ ​way that​ ​can​ ​survive​ ​broad regional​ ​disasters, through​ ​a​ ​risk​ ​based geographic​ ​distribution of​ ​operational​ ​and​ ​data storage​ ​facilities.</t>
  </si>
  <si>
    <t>As a system, I need to be able to support a recovery capability that​ ​can​ ​survive​ ​broad regional​ ​disasters, through​ ​a​ ​risk​ ​based geographic​ ​distribution of​ ​operational​ ​and​ ​data storage​ ​facilities.</t>
  </si>
  <si>
    <t>Ensure system can efficiently:
- Ensure recovery capability is in disperse geographical locations
- Ensure operational and data storage facilities are in disperse geographical locations</t>
  </si>
  <si>
    <t>SYS-24</t>
  </si>
  <si>
    <t>Enable an system administrator or authorized user to customize the content of an error message.</t>
  </si>
  <si>
    <t>As an system administrator or authorized user, I need to be able to customize the content of an error message so that the messages can be meaningful to users.</t>
  </si>
  <si>
    <t>Ensure system can efficiently:
- Enable authorized system administrator to customize content of an error message</t>
  </si>
  <si>
    <t>SYS-25</t>
  </si>
  <si>
    <t>When entering date and time, use an unambiguous known standard for user input based upon the time zone configured in the user profile.  System data and calculations on date/time data shall be based on UTC time to ensure consistent handling of date and time in the system across worldwide time zones.</t>
  </si>
  <si>
    <t>As a user, I need to be able to enter dates and times in my local timezone based on my user profile so that system can correctly track events based on time and date.  I also need to be able to view dates and times in my local timezone based on my user profile so that I can easily understand date and time information displayed to me.  As a user I need the system to store date and time data in UTC format so that the system can interface date and time data correctly with other systems.</t>
  </si>
  <si>
    <t>Ensure system can efficiently:
- Allow user to configure time zone in user profile
- Allow user to enter date and time data based on their time zone
- Display date/time data to users correctly translated to their user profile time zone
- Ensure date and time data is stored consistent with coordinated universal time (UTC)</t>
  </si>
  <si>
    <t>Customer-1</t>
  </si>
  <si>
    <t>Enable the customer to send to the contracting activity its requirements package. Enable the user to receive requirements packages and notify the requiring activity of formal acceptance or rejection of a requirements package. Make data available for viewing in the contract file (Tab 2, Describing Agency Needs) and provide the ability to export the data as a web-form or similar structured manner.</t>
  </si>
  <si>
    <t>As a customer, I need to send my requirements package to the contracting activity for action and want to know its status.
As a CO/CS, I need to review the customer's requirement package to ensure I have everything I need to process the action. If I do, I need the system to notify the customer that I've accepted the requirements package. If the requirements package is deficient or incomplete, I need the system to notify the customer that I've rejected it and the reasons why.  I also need to be able to access this information in the contract file and export it if necessary.</t>
  </si>
  <si>
    <t>Ensure system can efficiently:
- Intake customer requirements packages
- Receive customer requirements packages
- Review such packages
- Accept or reject customer requirements packages
- Notify the customer
- Access information in the contract file and export it if necessary</t>
  </si>
  <si>
    <t>SYS-26</t>
  </si>
  <si>
    <t>Provide an context sensitive online help capability for the user (i.e., lead users to complete elements or provide hints, tips or guidance to allow users to learn how to use the solution)</t>
  </si>
  <si>
    <t xml:space="preserve">As a user, I need to have access to an online help functionality so that I spend less time looking for information/answers related to use of the application. 
</t>
  </si>
  <si>
    <t>Ensure system can efficiently:
- View and navigate online help functionality
- Lead users to complete elements or provide hints, tips or guidance to allow users to learn how to use the solution
- Maintain and update online help capabilities to keep up with ongoing system improvements</t>
  </si>
  <si>
    <t>SYS-27</t>
  </si>
  <si>
    <t>Comply with Section 508 of the Rehabilitation Act.</t>
  </si>
  <si>
    <t>As a user, I need the system to comply with Section 508 requirements for disabled people so that the system can be made accessible to them.</t>
  </si>
  <si>
    <t>Ensure system can efficiently: 
- Meet Section 508 accessibility requirements as applicable throughout the system</t>
  </si>
  <si>
    <t>SYS-28</t>
  </si>
  <si>
    <t>Provide consistent and standardized error-handling and reporting across functional modules.</t>
  </si>
  <si>
    <t>As a user, I need the system to ensure that all errors presented to end users are handled through a standardized error-handling routine across all functional modules within the system. I also need a report of errors to enable system administration where appropriate.</t>
  </si>
  <si>
    <t>Ensure system can efficiently:
- Display errors/messaging through a standardized error-handling routine consistent across the board
- Report errors</t>
  </si>
  <si>
    <t>SYS-29</t>
  </si>
  <si>
    <t>Enable an enterprise system administrator to tailor the online help utility.</t>
  </si>
  <si>
    <t>As a system administrator, I need to tailor the online help utility so that the content can be current and meets user needs.</t>
  </si>
  <si>
    <t>Ensure system can efficiently:
- Allow system administrator to update online help contents</t>
  </si>
  <si>
    <t>SYS-30</t>
  </si>
  <si>
    <t>Provide a single user interface for administration of the functional security model.</t>
  </si>
  <si>
    <t>As a system administrator, I need  a single user interface for administration so that authorized users access to application are limited to their needed system/business functions.</t>
  </si>
  <si>
    <t>Ensure system can efficiently:
 - Allow system administrators to administer all system functional security through a single user interface</t>
  </si>
  <si>
    <t>SYS-31</t>
  </si>
  <si>
    <t>When the user sends a message to email, comply with GSA security and email policy.</t>
  </si>
  <si>
    <t>As a user, I need the system to ensure messages are sent through email, complies with GSA FAS security and email policy so that personal safety and data integrity can be protected and maintained.</t>
  </si>
  <si>
    <t xml:space="preserve">Ensure system can efficiently:
- Comply with GSA security &amp; email policy when sending email messages </t>
  </si>
  <si>
    <t>Customer-2</t>
  </si>
  <si>
    <t>SYS-32</t>
  </si>
  <si>
    <t>Automatically notify a designated user when an incoming requirements package has not been accepted or rejected after 3 days of receipt.</t>
  </si>
  <si>
    <t>Distribute application-generated messages with attached files via the agency e-mail system.</t>
  </si>
  <si>
    <t>As a customer, I need to be notified when the requirements package I sent has not been accepted or rejected after 3 days of receipt so I can follow up with the contracting activity.
As a CO/CS, I need to be alerted when an incoming requirements package has not been attended to after 3 days of its receipt in order to provide timely acquisition support and good customer service.</t>
  </si>
  <si>
    <t>As a user, I need application-generated messages with attached files distributed via the agency e-mail system so that data files and messages are secured and controlled in compliance with GSA security and email policy.</t>
  </si>
  <si>
    <t>Ensure system can efficiently:
- Notify user of inaction</t>
  </si>
  <si>
    <t>Ensure system can efficiently:
- Comply with GSA security &amp; email policy when distributing messages with attached files</t>
  </si>
  <si>
    <t>SYS-33</t>
  </si>
  <si>
    <t>Auto File emails in the appropriate contract tab.</t>
  </si>
  <si>
    <t>As a user, I need the system to Auto File emails into the appropriate contract tab to minimize the administrative task of moving emails to the contract file.</t>
  </si>
  <si>
    <t xml:space="preserve">Ensure system can efficiently:
- Auto File emails into the appropriate contract tab </t>
  </si>
  <si>
    <t>Customer-3</t>
  </si>
  <si>
    <t>When a user formally accepts a Purchase Request or Purchase Request Amendment, prompt the user to link the respective Purchase Request to an existing acquisition record or create a new acquisition record.</t>
  </si>
  <si>
    <t>As a customer, I need to know the acquisition record identifier my purchase request is linked to in the event I have questions or need to make changes.
As a CO/CS, once I accept a purchase request or purchase request amendment, I need to associate it with an existing acquisition record or create a new one to maintain fidelity of the action so I can track the acquisition through its life cycle.</t>
  </si>
  <si>
    <t>Ensure system can efficiently:
- Link the purchase request or purchase request amendment to an existing acquisition record or create a new acquisition record</t>
  </si>
  <si>
    <t>Customer-4</t>
  </si>
  <si>
    <t>When a user formally accepts a Requirements Package, prompt the user to link the accepted requirements package to an existing acquisition record or create a new acquisition record.</t>
  </si>
  <si>
    <t>As a customer, I need to know the acquisition record identifier my requirements package is linked to in the event I have questions or need to make changes.
As a CO/CS, once I accept a requirements package, I need to associate it with an existing acquisition record or create a new one to maintain fidelity of the action so I can track the acquisition through its life cycle.</t>
  </si>
  <si>
    <t>Ensure system can efficiently:
- Link the requirements package to an existing acquisition record or create a new acquisition record</t>
  </si>
  <si>
    <t>SYS-34</t>
  </si>
  <si>
    <t>Enable the user to access specific system functions based on user roles.</t>
  </si>
  <si>
    <t>As a user, I need to access system/application functions as defined in my user roles so that users do not go beyond authorized access to functionalities.</t>
  </si>
  <si>
    <t>Ensure system can efficiently:
- Enable users to perform tasks or privileges as defined in their user roles(s)
- Prevent users from accessing functions not defined in their user role(s)</t>
  </si>
  <si>
    <t>Customer-5</t>
  </si>
  <si>
    <t xml:space="preserve">Provide the automated capability to notify the requiring activity of status changes to a Purchase Request or Purchase Request Amendment and file the notification in the contract file (Tab 1, Purchase Request/Funding Certification). Provide the automated capability to notify the requiring activity of status changes to a Requirements Package. Make data available for viewing in the contract file (Tab 2, Describing Agency Needs) and provide the ability to export the data as a web-form or similar structured manner. </t>
  </si>
  <si>
    <t>As a customer, I want to know when the status on my purchase request, purchase request amendment or requirements package changes so I'm kept apprised of my acquisition.
As a CO/CS, I need the system to notify the customer when status changes on its action to keep them apprised of the progress on their acquisition.  I also need to be able to access this information in the contract file and export it if necessary.</t>
  </si>
  <si>
    <t>Ensure system can efficiently:
- Notify customers of status changes on acquisition actions
- Access information in the contract file and export it if necessary</t>
  </si>
  <si>
    <t>SYS-35</t>
  </si>
  <si>
    <t>Support import and creation of documents, attachments, and multimedia material in numerous formats including but not necessarily limited to:
· Microsoft Office (e.g., Excel, Word)
· Google suit (e.g., Google docs, Google sheets)
· PDF
· Text 
· Comma Delimited 
- Web form/data</t>
  </si>
  <si>
    <t>As a user, I need the system to support import and creation of documents, attachments, and multimedia material in numerous formats including but not necessarily limited to:
Microsoft Office (e.g., Excel, Word), Google suit (e.g., Google docs, Google sheets), PDF,  Text, Comma Delimited, web forms, and web data so that user can have flexibility working with multiple document/multimedia  format.</t>
  </si>
  <si>
    <t xml:space="preserve">Ensure system can efficiently:
- Support import and creation of documents in the Microsoft Office (e.g., Excel, Word), Google suit (e.g., Google docs, Google sheets), PDF,  Text, Comma Delimited formats, Web Form, and Web Data </t>
  </si>
  <si>
    <t>SYS-36</t>
  </si>
  <si>
    <t>Have the capability to associate actions and activities to related documents and activities, such as solicitations, awards, and award modifications, D&amp;F's, J&amp;A's, requests and responses, etc.</t>
  </si>
  <si>
    <t>As a user, I need to associate documents and activities to related documents and activities, such as solicitations, awards, award modifications, D&amp;F's, J&amp;A's, requests and responses, so that related documents can be easily accessed.</t>
  </si>
  <si>
    <t xml:space="preserve">Ensure system can efficiently:
 - Associate actions and activities to related document and activities
</t>
  </si>
  <si>
    <t>SYS-37</t>
  </si>
  <si>
    <t>Support the ability to track and manage multiple versions of a single instance of content.</t>
  </si>
  <si>
    <t>As a user, I need to track and manage multiple versions of a single instance of content/document so that I can monitor the editing history of content.</t>
  </si>
  <si>
    <t>Ensure system can efficiently:
- Allow user to access all versions of documents and track users responsible for changes to documents
- Restore prior versions of changed documents if necessary</t>
  </si>
  <si>
    <t>Customer-6</t>
  </si>
  <si>
    <t xml:space="preserve">When an award instrument associated with a Purchase Request has been signed, automatically notify the requiring activity. Make data available for viewing in the contract file (Tab 39, General Correspondence) and provide the ability to export the data as a web-form or similar structured manner. </t>
  </si>
  <si>
    <t>SYS-38</t>
  </si>
  <si>
    <t>As a customer, I want to know when an award instrument associated with my purchase request has been signed so I'm kept apprised of my acquisition.
As a CO/CS, I need the system to notify the customer when an award instrument associated with a purchase request is signed. I also need to be able to access this information in the contract file and export it if necessary.</t>
  </si>
  <si>
    <t>Ensure system can efficiently:
- Notify customers of award
- Associate award with the purchase request
- Access information in the contract file and export it if necessary</t>
  </si>
  <si>
    <t>Have the capability to publish the content and data the system stores to an external repository to support records management or other purposes.</t>
  </si>
  <si>
    <t>As  a user, I need the system to provide capability to publish stored content and data to an external repository in an automated, manual, and ad-hoc basis so that the system can distribute content to other systems for records management or other purposes.</t>
  </si>
  <si>
    <t xml:space="preserve">Ensure system can efficiently:
- Automatically publish stored content and data to external systems
- Manually export stored content and data on an ad-hoc basis </t>
  </si>
  <si>
    <t>SYS-39</t>
  </si>
  <si>
    <t>Incorporate enterprise search and retrieval based on the metadata in the system.</t>
  </si>
  <si>
    <t>As a user, I need the system to allow enterprise search and retrieval of content/data from the system so that users can easily find information contained in the system from a single query.</t>
  </si>
  <si>
    <t>Ensure system can efficiently:
- Allow user to perform enterprise search 
- Allow user to access and retrieve content and data</t>
  </si>
  <si>
    <t>SYS-40</t>
  </si>
  <si>
    <t xml:space="preserve">Have the capability to provide event calendaring to track regular (predefined) and custom (ad-hoc) events based on contract dates or other values (i.e., period of performance, reply suspense, deliverable due dates, etc.) and provide user configurable notification services via multiple channels (e.g., in system calendar/dashboard, email, etc.). </t>
  </si>
  <si>
    <t>As a user, I need the system to provide the capability of event calendaring to track regular (predefined) and custom  (ad-hoc) events based on contract dates or other values and provide user configurable notification services via multiple channels to help me keep organized and manage my actions. I also need the ability to configure my own notifications for each channel.</t>
  </si>
  <si>
    <t>Ensure system can efficiently:
- Enable user to navigate into a calendar dashboard
- Enable user to organize days/month/year, plan/set contract events into the calendar dashboard
- Enable user to add, change or delete contract events</t>
  </si>
  <si>
    <t>Customer-7</t>
  </si>
  <si>
    <t>Enable user to establish predefined customer oriented notices (status, progress, pending, received, etc.) for an individual document, action or package</t>
  </si>
  <si>
    <t>As a customer, I want regular status updates on my acquisition so I'm kept apprised of my acquisition.
As a CO/CS or PMO, keeping the customer informed of its acquisition status fosters good customer service. The system needs to let me craft notices at various stages of the procurement throughout its life cycle (e.g., status, progress, pending, received, awarded, modified, etc.) and tailor such notices for an action.</t>
  </si>
  <si>
    <t>SYS-41</t>
  </si>
  <si>
    <t>Ensure system can efficiently:
- Establish predefined customer oriented notices
- Enable tailoring of notices</t>
  </si>
  <si>
    <t>Provide robust support for Procurement Action Lead Time (PALT) calculation, monitoring, and reporting.</t>
  </si>
  <si>
    <t>As a user, I need the system to provide PALT calculation, monitoring, and reporting so that users/system can determine the processing times to measure performance and identify bottlenecks.</t>
  </si>
  <si>
    <t>Ensure system can efficiently:
- Assign PALT times to various contract actions
- Allow user to see PALT time remaining for tasks
- Allow user to report on PALT times for all tasks</t>
  </si>
  <si>
    <t>Customer-8</t>
  </si>
  <si>
    <t>Enable the user to access past performance data contained in the contract in order to report contractor performance to the Contractor Performance Assessment Reporting System (CPARS).</t>
  </si>
  <si>
    <t>As a CO/CS, I need to report contractor past performance to comply with the authoritative references. The system needs to let me access past performance data in the contract file to facilitate reporting.</t>
  </si>
  <si>
    <t>Ensure system can efficiently:
- Access past performance data
- Facilitate CPARS reporting</t>
  </si>
  <si>
    <t>SYS-42</t>
  </si>
  <si>
    <t>Have a robust API that provides access to internal system functions to support future integrations as part of a service oriented architecture within the FAS enterprise acquisition ecosystem using open data standards to the maximum extent practicable.</t>
  </si>
  <si>
    <t xml:space="preserve">As a user, I need the system to have an existing standard API integration capability so that FAS can build future system integrations to system as part of a service oriented architecture within the FAS enterprise acquisition ecosystem </t>
  </si>
  <si>
    <t xml:space="preserve">Ensure system can efficiently:
- Provide API capability using open data standards to the maximum extent practicable to enable access to the system from external systems
</t>
  </si>
  <si>
    <t>SYS-43</t>
  </si>
  <si>
    <t>Enable users to configure their system display desktop to suit their needs (e.g., calendar event, workload tracking, status report, dashboards, to do, inbox, etc.).</t>
  </si>
  <si>
    <t>As a user, I want to be able to configure my display so that the data presented to me is meaningful and enables me to be more efficient.</t>
  </si>
  <si>
    <t>Ensure system can efficiently:
- Enable users to configure their system display desktop</t>
  </si>
  <si>
    <t>Customer-9</t>
  </si>
  <si>
    <t>Enable customers to register for the customer portal.</t>
  </si>
  <si>
    <t>SYS-44</t>
  </si>
  <si>
    <t>As a customer, I want to be able to register as a user for the customer portal so that I can do business with GSA.</t>
  </si>
  <si>
    <t>Ensure system can efficiently:
- Allow customer users to register for customer portal</t>
  </si>
  <si>
    <t>Provide a robust dashboard and reporting capability across the metadata to provide both detail and summary data in standard and end-user customizable formats.</t>
  </si>
  <si>
    <t>As a user. I need to see data and/or generate reports across the metadata within the system at both the detail and summary data in standard and customizable formats so I can analyze data, respond to data calls, provide reports, etc.</t>
  </si>
  <si>
    <t>Ensure system can efficiently:
- Generate report and/or be able to export from a dashboard
- Customize report as needed
- Generate summary or detail report
- Enable data analytics</t>
  </si>
  <si>
    <t>SYS-45</t>
  </si>
  <si>
    <t xml:space="preserve">Have the capability to support acquisitions at offices/programs where customer (i.e., third-party) funding and accounting management is required such as for assisted acquisition scenarios.  </t>
  </si>
  <si>
    <t>As a user, I need manage the funding and accounting of customer (third-party) money in certain transactions and business lines such as assisted acquisition scenarios so that I can comply with financial and regulatory requirements.</t>
  </si>
  <si>
    <t>Ensure system can efficiently:
- Support funding and accounting management for third party funding</t>
  </si>
  <si>
    <t>Customer-10</t>
  </si>
  <si>
    <t>SYS-46</t>
  </si>
  <si>
    <t>Enable customers to create a profile for their agency to track and review transactions with GSA</t>
  </si>
  <si>
    <t xml:space="preserve">As a customer, I want to create a profile with my preferences including permissions and privileges to track and review relevant activities, transactions ad information available on the portal </t>
  </si>
  <si>
    <t>Have the capability to support and report on multiple cost recovery models (current FAS has 12, but additional ones are possible) based on a variety of factors in concert with customer funding management when required such as for assisted acquisition scenarios.</t>
  </si>
  <si>
    <t>Ensure system can efficiently:
- Create a customer profile</t>
  </si>
  <si>
    <t xml:space="preserve">As a user, I need to be able to support and report on multiple cost recovery models based on a variety of factors in concert with customer funding management when required such as for assisted acquisition scenarios. </t>
  </si>
  <si>
    <t>Ensure system can efficiently:
- Support and report on multiple cost recovery models for customer funding as required</t>
  </si>
  <si>
    <t>SYS-47</t>
  </si>
  <si>
    <t>Customer-11</t>
  </si>
  <si>
    <t>Enable a customer to communication with the PMO or CO/CS regarding their requirements</t>
  </si>
  <si>
    <t>The system shall recover from both internal and external transaction failures without the loss of any data.</t>
  </si>
  <si>
    <t>As a customer, I need to communicate with GSA about my requirements and individual contract engagements.
As a PMO, I need to respond to my customers about their potential requirements.
As a CO/CS, I need to communicate with my customers about their contract engagements and have these tracked so that I can deliver the best outcome</t>
  </si>
  <si>
    <t>As a user, I need the system to control and manage the point of failure in transaction processing so that system can recover from both internal and external transaction failures without the loss of any data.</t>
  </si>
  <si>
    <t>Ensure system can efficiently:
- Intake customer correspondence about potential requirements and existing engagements
- Track and exchange correspondence between GSA and the customer</t>
  </si>
  <si>
    <t>Ensure system can efficiently:
- Recover from transaction failures without losing or corrupting any data
- Handle error and termination at transaction source/input
- Handle error and termination during transaction processing
- Handle error and termination during transaction processing output/write/commit
- Record/log prior/after processing states data for re-processing</t>
  </si>
  <si>
    <t>SYS-48</t>
  </si>
  <si>
    <t>Store any error messages returned by any interface(s) for the purposes of debugging and have the capability to display those error messages directly to the end user. Maintain a log to enable system administrator to review error messages and take appropriate action.</t>
  </si>
  <si>
    <t>Customer-12</t>
  </si>
  <si>
    <t>The system needs to be store any error messages returned by any interface(s) for the purposes of debugging and have the capability to display those error messages directly to the end user with no disruption. The system also needs to maintain a log to enable a system administrator to review error messages and take appropriate action.</t>
  </si>
  <si>
    <t>Ensure system can efficiently:
- Display error messages to end user when the error occurs
- Log and store error messages that can be viewed or printed by authorized users</t>
  </si>
  <si>
    <t>Enable customers to search through portal for contents</t>
  </si>
  <si>
    <t xml:space="preserve">As a customer, I need to be able to search transactions my agency is working on with FAS so I can find the information I need about them. </t>
  </si>
  <si>
    <t>Ensure system can efficiently:
- Enable customer to search their transactions with FAS
- Enable customer to see search results</t>
  </si>
  <si>
    <t>SYS-49</t>
  </si>
  <si>
    <t>Enable tracking of transactions (user actions) based upon the respective organizational and program area to which the transaction applies.</t>
  </si>
  <si>
    <t>As a user, I need the system to track transactions (user actions) based upon my respective organizational and program area so that they can be identified, traced or reported.</t>
  </si>
  <si>
    <t>Ensure system can efficiently:
- Relate and track transaction/application functions and data to specific organization and program areas 
- Allow a user to identify to identify the organizational and program area for work in progress</t>
  </si>
  <si>
    <t>Customer-13</t>
  </si>
  <si>
    <t>Provide a resources center with links and useful infomation for the customer on GSA programs, ordering, etc.</t>
  </si>
  <si>
    <t>As a customer, I need to be able to find information and links to related sites so that I may navigate and perform tasks quickly and easily</t>
  </si>
  <si>
    <t>SYS-50</t>
  </si>
  <si>
    <t>Deploy the system to all approved GSA issued equipment including thin client laptop, notebook, tablet, and mobile platforms.</t>
  </si>
  <si>
    <t>As a user, I need to be able to access the system on any government-issued equipment and platforms in order to do my job.</t>
  </si>
  <si>
    <t>Ensure system can efficiently:
- Access the system through all government-issued equipment such as thin client laptop, notebook, tabliet and mobile platforms</t>
  </si>
  <si>
    <t>Customer-14</t>
  </si>
  <si>
    <t>Enable users to create receiving reports and review contract deliverables</t>
  </si>
  <si>
    <t xml:space="preserve">As a customer, I want to be able to verify that receiving reports and contract deliverables have been submitted so I can ensure the contractor is preforming </t>
  </si>
  <si>
    <t>Ensure system can efficiently:
- Provide a view of submitted receiving reports and contract deliverables</t>
  </si>
  <si>
    <t>SYS-51</t>
  </si>
  <si>
    <t>When a user's permissions is downgraded in the user profile, the system shall exclude access to data at the level of the previous permissions.</t>
  </si>
  <si>
    <t>Users are only permitted to access data based on their permissions. The system needs to enforce access to data to protect the integrity of the system.</t>
  </si>
  <si>
    <t>Ensure system can efficiently:
- Control access to data based on permissions</t>
  </si>
  <si>
    <t>SYS-52</t>
  </si>
  <si>
    <t xml:space="preserve">General
</t>
  </si>
  <si>
    <t>Enable system-wide notifications of messages including planned outages, service disruptions, enhancements, process changes, and other information of interest to the end user community. Log and report notifications as requested.</t>
  </si>
  <si>
    <t>As a user, I want system-wide generated notification messages for planned outages, service disruptions, enhancements, process changes, and other information of interest to the end user community so that they can be well informed of the state of affairs of the system. The system needs to log and report notifications as well for performance monitoring purposes.</t>
  </si>
  <si>
    <t>Ensure system can efficiently:
- Generate and disseminate system messages to user community 
- Maintain a log of system wide notifications and report as requested</t>
  </si>
  <si>
    <t>SYS-53</t>
  </si>
  <si>
    <t xml:space="preserve">General </t>
  </si>
  <si>
    <t>Leverage, support, and/or incorporate emerging technologies (e.g. RPA, DLT, etc.).</t>
  </si>
  <si>
    <t>All users need a system that is capable of leveraging and/or incorporating latest emerging technology to ensure the system can support me performing my job easily and efficiently.</t>
  </si>
  <si>
    <t>Ensure system can efficiently:
- Leverage/support RPA processes
- Incorporate emerging technologies (such as through system APIs)</t>
  </si>
  <si>
    <t>SYS-54</t>
  </si>
  <si>
    <t>General/Procurement</t>
  </si>
  <si>
    <t>Provide a means for the COR (or other authorized user) to track and manage due dates of vendor deliverables, inspection, receipt and acceptance/rejection thereof.</t>
  </si>
  <si>
    <t>As a COR, I need the system to provide a means to track and manage due dates of vendor deliverables, inspection, receipt and acceptance/rejection thereof so that I can maintain a record for reporting purposes and fulfill the duties delegated to me.</t>
  </si>
  <si>
    <t>Ensure system can efficiently:
- COR (or other authorized user) is able to track and manage due dates of deliverables, inspection, receipt and acceptance/rejection thereof
- Record actions in the appropriate tab of the contract file</t>
  </si>
  <si>
    <t>SYS-55</t>
  </si>
  <si>
    <t>Provide a capability for a centralized contract-level data repository for users to receive, store/file, and view all contract-related information, such as contract terms and conditions, pricing, quality assurance surveillance plans, deliverables, invoices, reports, etc. Enable access to data in conformance with GSA policy for contract tab advisory guide tab references and local policies.</t>
  </si>
  <si>
    <t xml:space="preserve">As a user, I need to access to the contract data and I need to be able to find it easily. </t>
  </si>
  <si>
    <t>Ensure system can efficiently:
 -Receive, store/file, and view all contract data
- Conform to GSA's contract tab advisory guide tab references and local policies</t>
  </si>
  <si>
    <t>SYS-56</t>
  </si>
  <si>
    <t>Complete an electronic checklist related to various contract activities such as for closeout.</t>
  </si>
  <si>
    <t>As a user, I want the system to complete an electronic checklist related to various contract activities such as for closeout so that users can ensure consistency and completeness of contract task activities.</t>
  </si>
  <si>
    <t>Ensure system can efficiently:
-  Complete electronic checklist related to contract activities, such as for closeout</t>
  </si>
  <si>
    <t>SYS-57</t>
  </si>
  <si>
    <t>Provide a mass modification capability to identify contracts that require updating and then updating them with a user created modification as appropriate. This involves large numbers of contracts (hundreds to thousands) that need to be modified at once. The system will need to trigger and track workflows as needed on individual contracts in both unilateral and bilateral modification scenarios. Affected contracts may include those with specific clauses/provisions, all awardees under particular multiple award contract vehicles (e.g., OASIS, Alliant, Automotive, etc.) or other criteria. Enable completion of workflow and file the output in the appropriate tab of the contract file.</t>
  </si>
  <si>
    <t xml:space="preserve">As I user, I need to identify contracts that require modification. I need to either draft a modification or use a modification created by the organization and trigger the system to modify the applicable contracts with the modification. I need to system to modify large numbers of contracts (hundreds to thousands) to include clause/provision changes and other updates at one time without having to go into each individual contract to modify them. I need the system to initiate notifications and workflow, close workflow when complete and file the output into the appropriate tab of the individual contract file. </t>
  </si>
  <si>
    <t>Ensure system can efficiently:
- Provide capability to search for contracts to modify
- Select those contracts to modify
- Apply the modifications to selected contracts and initiate workflow as applicable on those contracts
- Track workflow
- Close workflow when complete
- File output into the appropriate tab of the individual contract file</t>
  </si>
  <si>
    <t>SYS-58</t>
  </si>
  <si>
    <t>Have the capability to keep track of both contracting and funding office Activity Address Code (AAC) throughout life cycle and carry this forward as appropriate.</t>
  </si>
  <si>
    <t>As a user, I need the system to track both contracting and funding AACs throughout life cycle of a contract so that the system can identify both contracting and funding office to report the data to FPDS and facilitate internal reporting.</t>
  </si>
  <si>
    <t>Ensure system can efficiently:
- Identify and track AACs for contracting office
- Identify and track AAC's for funding office
- Report those values to FPDS-NG and elsewhere as appropriate</t>
  </si>
  <si>
    <t>SYS-59</t>
  </si>
  <si>
    <t>Track government furnished property/information associated with the contract including assigned recipients.</t>
  </si>
  <si>
    <t>As a CO/CS or COR, I need to track government furnished property/information associated with the contract including assigned recipients, type of furnished property, other attributes such as value, location, etc. so that a record of government assets can be adequately maintained and accounted for.</t>
  </si>
  <si>
    <t>Ensure system can efficiently:
- Store a list of government furnished property/information items
- Configure attributes for tracking items
- Record status and update the data throughout the contract life cycle</t>
  </si>
  <si>
    <t>SYS-60</t>
  </si>
  <si>
    <t>Support GSA and non-GSA sourced inspection and acceptance actions (e.g., inspection reports, receiving reports) (relevant for requisition programs where products are delivered or services performed directly to the customer agency end user).</t>
  </si>
  <si>
    <t xml:space="preserve">As a user, I need the system to have the capability to support inspection and receiving reports generated by GSA and non-GSA sources to document acceptance of goods and services so that a record of contract deliveries can be adequately maintained. </t>
  </si>
  <si>
    <t>Ensure system can efficiently:
 - Accept inspection and receiving reports from both GSA sources consistent with GSA policy and procedures as well as non-GSA sources
- Create/receive/upload data as proof of delivery or performance</t>
  </si>
  <si>
    <t>SYS-61</t>
  </si>
  <si>
    <t>Performance</t>
  </si>
  <si>
    <t>Identify when a low-bandwidth connection is being used or other poor network performance issues are found. Log performance issues for tracking, reporting and performance.</t>
  </si>
  <si>
    <t>The system shall identify when poor network performance occurs so that performance problems can be diagnosed and corrected. The system shall log, track, and report network performance issues.</t>
  </si>
  <si>
    <t>Ensure system can efficiently:
- Identify low-bandwidth connection and other poor network performance issues through on screen message display and notification to the system administrator.
- Log performance issues for tracking, reporting and performance</t>
  </si>
  <si>
    <t>SYS-62</t>
  </si>
  <si>
    <t xml:space="preserve">Ensure system performs at optimal operating levels. The system shall incur no performance degradation if batch, queued, ETL, bulk updates, scheduled reports, or similar processing actions are implemented within the solution.  </t>
  </si>
  <si>
    <t>As a user, I need to be able to transact my normal responsibilities at all times even if the system may be processing other data such as for submitted reports, transaction files from interfacing systems, and bulk record updates without performance degradation so that I perform my job.</t>
  </si>
  <si>
    <t>Ensure system can efficiently:
- Function without performance degradation during bulk transaction and other data processing events</t>
  </si>
  <si>
    <t>SYS-63</t>
  </si>
  <si>
    <t>When operating in a connected mode using a low-bandwidth connection, constrain services provided as necessary to ensure users can operate successfully within the constrained bandwidth.</t>
  </si>
  <si>
    <t>As a user, I need the system to manage services when connected in low-bandwidth environment so I can continue to successfully operate within the constrained bandwidth.</t>
  </si>
  <si>
    <t>Ensure system can efficiently:
 - Ensure successful operations when connected in a low-bandwidth environment</t>
  </si>
  <si>
    <t>SYS-64</t>
  </si>
  <si>
    <t>Ensure system is scalable to support at least 1,000 concurrent users.</t>
  </si>
  <si>
    <t>As a user, I need the system to be able to support at least 1,000 concurrent users without performance degradation.</t>
  </si>
  <si>
    <t>Ensure system can efficiently:
 - Support up at least 1,000 concurrent users without performance degradation</t>
  </si>
  <si>
    <t>SYS-65</t>
  </si>
  <si>
    <t>Enable the CO to assign and delegate functional capabilities to designated COR(s), and/or other POC(s) as well as rescind them on a per contract basis.</t>
  </si>
  <si>
    <t>As a CO, I need to be able to assign and delegate tasks/functions to designated COR (s) and/or other POC(s) on a per contract basis so that they can act on my behalf to execute delegated tasks. I also need the ability to rescind assignments and delegations on a per contract basis.</t>
  </si>
  <si>
    <t>Ensure system can efficiently:
- Enable the CO to delegate tasks/functions to CORs/POC(s) on a per contract basis
- Ensure delegated users (COR, POC, etc) can perform their delegated tasks
- Rescind delegations</t>
  </si>
  <si>
    <t>SYS-66</t>
  </si>
  <si>
    <t>Enable roles for category office users to have visibility of dashboards and data appropriate to the category.</t>
  </si>
  <si>
    <t>As a category office user, I need to be able to view dashboards and data so that I can monitor category specific activities.</t>
  </si>
  <si>
    <t>Ensure system can efficiently:
- Allow category office user to view dashboards and data applicable to their category</t>
  </si>
  <si>
    <t>SYS-67</t>
  </si>
  <si>
    <t>Support role based access controls (RBAC) with users capable of possessing multiple roles.</t>
  </si>
  <si>
    <t xml:space="preserve">As a user, I need to be able to perform actions in the system consistent with my job assignment.  I also may have job assignments spanning multiple roles. </t>
  </si>
  <si>
    <t>Ensure system can efficiently:
- Perform actions consistent with assigned role
- Enable a user to have multiple roles</t>
  </si>
  <si>
    <t>SYS-68</t>
  </si>
  <si>
    <t>Security</t>
  </si>
  <si>
    <t>Meet the necessary security requirements to enable it to operate in FAS as a production system.</t>
  </si>
  <si>
    <t>As a user, I need the system to meet necessary security requirements so that I can safely and securely use the system.</t>
  </si>
  <si>
    <t>Ensure system can:
 - Achieve a GSA ATO
 - Maintain compliance with security policies</t>
  </si>
  <si>
    <t>SYS-69</t>
  </si>
  <si>
    <t>Automatically suspend erroneous Application Programmer Interface (API) transactions.</t>
  </si>
  <si>
    <t>As a system, I need to be able to detect and suspend erroneous API transactions, so that system integrity is not compromised. System shall log the transaction for audit trail.</t>
  </si>
  <si>
    <t>Ensure system can efficiently:
- Detect and suspend erroneous API transactions
- Log erroneous transaction into audit log record</t>
  </si>
  <si>
    <t>SYS-70</t>
  </si>
  <si>
    <t>Support Internet Protocol v6 (IPv6) for internet communication.</t>
  </si>
  <si>
    <t>As a user, I need the system to be able to support Internet protocol v6 (IPv6), so that the system can operate on current/latest version of internet communication.</t>
  </si>
  <si>
    <t>Ensure system can efficiently:
- Support Internet Protocol v6 (IPv6)</t>
  </si>
  <si>
    <t>SYS-71</t>
  </si>
  <si>
    <t>Prevent the upload of self-executable files that may pose an unacceptable security risk to the system. Log and report attempts.</t>
  </si>
  <si>
    <t>As a system, I need to protect myself against self-executable files that may pose an unacceptable security risk by introducing viruses, malware, or other harmful data into the system. I need the system to maintain a log and report attempts.</t>
  </si>
  <si>
    <t>Ensure system can efficiently:
- Prevent the upload of self-executable files
- Log and report attempts</t>
  </si>
  <si>
    <t>SYS-72</t>
  </si>
  <si>
    <t>System Audit</t>
  </si>
  <si>
    <t>When an auditable data element is changed, collect and store the source of the change in an audit log, to include the value of data element prior to and after the changes, the date and time the change occurred, and the user who changed the data element.</t>
  </si>
  <si>
    <t>As a user, I need to be able to audit changes to data elements in the system, including, at least, the source of change, the value of data element prior to and after the changes, the date and time the change occurred, and the user responsible for the change.</t>
  </si>
  <si>
    <t>Ensure system can efficiently:
 - Track auditable data element changes in an audit log
 - Compare data value before and after change, including date and time the change occurred, the user changed data element and the identity of user who made the change(s)</t>
  </si>
  <si>
    <t>SYS-73</t>
  </si>
  <si>
    <t>Enable an authorized user to query the audit log by type of event, event date, and user identification.</t>
  </si>
  <si>
    <t>As a user, I need to enable authorized users to be able to query and view the audit log by type of event, event date, and user identification for audit trail purposes.</t>
  </si>
  <si>
    <t xml:space="preserve">Ensure system can efficiently:
- Allow authorized user to query and view audit log by by type of event, event date, and user identification  </t>
  </si>
  <si>
    <t>SYS-74</t>
  </si>
  <si>
    <t>When the system makes a new entry into the audit log, it shall record the type of change based on system-defined criteria.</t>
  </si>
  <si>
    <t>As a user, I need to be able to record new entry made into the audit log by the system by type of entry or change based on system-defined criteria.</t>
  </si>
  <si>
    <t>Ensure system can efficiently:
- Audit log entry is organized by type of entry or change
- Log entry can be viewed, listed or printed</t>
  </si>
  <si>
    <t>SYS-75</t>
  </si>
  <si>
    <t>Enable audit tracking for all data changing capabilities within the system.</t>
  </si>
  <si>
    <t>As a system, I need to be able to collect and store data relating to any activities performed in the system for audit trail purposes.</t>
  </si>
  <si>
    <t>Ensure system can efficiently:
- Collect and store any and all activities performed in the system
- Stored activities can be viewed, listed and printed</t>
  </si>
  <si>
    <t>SYS-76</t>
  </si>
  <si>
    <t>UI/UX</t>
  </si>
  <si>
    <t>Enable a user to access system processes using an intuitive graphical user interface.</t>
  </si>
  <si>
    <t>As a user, I need a system that provide an easy to use and understand GUI experience so that I can perform my job easily and efficiently.</t>
  </si>
  <si>
    <t>Ensure system can efficiently:
- Delivery a great user experience with quality interactions with application/system when navigating, searching, scanning, data entry, execution of transactions and optimizing task flows
- Meet target end-user satisfaction ratings</t>
  </si>
  <si>
    <t>SYS-77</t>
  </si>
  <si>
    <t>Provide a responsive user interface design for mobile access.</t>
  </si>
  <si>
    <t>As a user, I need to have mobile access capability to the system to increase system access and productivity.</t>
  </si>
  <si>
    <t>Ensure system can efficiently:
- Enable users to access the system on mobile devices and perform functions and tasks in a secure manner
- Meet target end-user satisfaction ratings</t>
  </si>
  <si>
    <t>SYS-78</t>
  </si>
  <si>
    <t>Have the capability of deploying user experience requirements as defined by the GSA Federal Marketplace (FMP) Initiative's Digital Experience requirements.  These are expected to be "technology agnostic standard style sheets, templates and modular UI components that can be used by any website".</t>
  </si>
  <si>
    <t>As a user, I need the system to be consistent with the FMP Digital Experience requirements, content, and guidelines to ensure UI/UX experience across all FAS systems.</t>
  </si>
  <si>
    <t>Ensure system can efficiently:
 - Deploy user experience requirements as defined by FMP Digital Experience guidelines</t>
  </si>
  <si>
    <t>SYS-79</t>
  </si>
  <si>
    <t>Provide the ability to support instruments with at least 2,000,000 (and still growing) CLINs and/or subCLIN per offer/contract</t>
  </si>
  <si>
    <t>As a user, I need the ability to add up to, but not limited to, 2,000,000 CLINs and/or Sub-CLINs to my offer/contract so that I can submit my quote/proposal or manage my contract.</t>
  </si>
  <si>
    <t>Ensure system can efficiently:
- Support 2,000,000+ line item rows for offers and contracts</t>
  </si>
  <si>
    <t>SYS-80</t>
  </si>
  <si>
    <t>The system shall be deployed as a cloud computing Software-as-a-Service (SaaS) solution fully managed by the contractor in an environment that is FedRAMP Authorized at the Moderate Impact Level.</t>
  </si>
  <si>
    <t>As a cloud system, I need to meet security requirements consistent with FISMA and FedRAMP so that I comply with authoritative references.</t>
  </si>
  <si>
    <t>Ensure system can efficiently:
- Achieve FedRAMP ATO</t>
  </si>
  <si>
    <t>FM-1</t>
  </si>
  <si>
    <t>Integrate with GSA's financial system to support the needed functionality throughout the acquisition lifecycle including, at least, capability to properly commit, obligate, accrue, and close out funds and manage receipt of goods and services.</t>
  </si>
  <si>
    <t>As a user, I need the system to be able to integrate with my financial system so I can properly commit, obligate, accrue, and close out funds associated with my acquisition. I also need to manage the receipt of goods and services.</t>
  </si>
  <si>
    <t>FM-2</t>
  </si>
  <si>
    <t>Purchase Request</t>
  </si>
  <si>
    <t>Consolidate procurement requests by copying all line items to a single new procurement request and the ability to create multiple awards from one procurement request.</t>
  </si>
  <si>
    <t xml:space="preserve">As a user, I establish multiple award contracts or government-wide acquisition contracts and need the ability to copy line items to a single new procurement request. I also need the ability to create multiple awards from one procurement request (for example, I may award multiple contracts as a result of a single procurement and need to fund the minimum guarantee with a single purchase order. </t>
  </si>
  <si>
    <t>Ensure system can efficiently:
- Copy all line items to a single new procurement request
- Create multiple awards from one procurement request</t>
  </si>
  <si>
    <t>FM-3</t>
  </si>
  <si>
    <t>Use a single GSA's financial system Document Number (PDN) for committing funds from multiple sources (multiple accounting strings) and use a single document number for obligating funds from multiple procurement requests.</t>
  </si>
  <si>
    <t>As a user, I need the capability to commit/decommit funds from multiple sources of funding on a single procurement request (document number) and use one or more purchase requests to obligate/deobligate funds as I manage contracts so that I minimize the number of separate transactions needed in managing acquisitions, such as occur in large GWAC, MAC, or MAS program.</t>
  </si>
  <si>
    <t>Ensure system can efficiently:
- Use multiple funding sources (line items) on individual procurement requests
- Use a single GSA's financial system Document Number for obligating/deobligating funds from multiple procurement requests</t>
  </si>
  <si>
    <t>FM-4</t>
  </si>
  <si>
    <t>Reporting</t>
  </si>
  <si>
    <t>Provide a mechanism to track and report a contract discount for early payment.</t>
  </si>
  <si>
    <t>As a user, having the system provide a tracking mechanism for this purpose will enable me to take advantage of prompt payment discounts where it makes financial sense to pay early.  I may also need to report on which of my contracts have prompt payment discounts and the terms of such.</t>
  </si>
  <si>
    <t>Ensure system can efficiently:
- Track contract discounts for early payment
- Report prompt payment discount and terms</t>
  </si>
  <si>
    <t>FM-5</t>
  </si>
  <si>
    <t>Invoice Acceptance</t>
  </si>
  <si>
    <t>Provide receiving and invoicing functionalities, including:
 a) View and manage receipts
 b) Receive invoices
 c) Route invoices as supporting documentation for validation and approval in creation of receiving reports</t>
  </si>
  <si>
    <t xml:space="preserve">As a COR, my CO/CS will often delegate to me oversight of contractor invoices. As such, I need to view and manage receipts, receive invoices, and route invoices for approval in order to perform the functions delegated to me. 
As a CO, I need to ensure invoices are received and tracked and properly supported to authorize payment. </t>
  </si>
  <si>
    <t>Ensure system can efficiently:
- View and manage receipts
- Receive invoices
- Route invoices as supporting documentation for validation and approval in creation of receiving reports</t>
  </si>
  <si>
    <t>FM-6</t>
  </si>
  <si>
    <t>Verify availability and perform funds commitment through creation of purchase requests.</t>
  </si>
  <si>
    <t>As a user, I need to ensure funds are available before I commit them on an acquisition so I comply with proper financial principles and don't violate the Anti-Deficiency Act.</t>
  </si>
  <si>
    <t>Ensure system can efficiently:
- Verify availability of funds
- Reserve/commit funds in GSA's financial system</t>
  </si>
  <si>
    <t>FM-7</t>
  </si>
  <si>
    <t>Purchase Order</t>
  </si>
  <si>
    <t>Verify availability and perform obligation or deobligation of funds for awards and modifications</t>
  </si>
  <si>
    <t>As a user, I need to ensure funds are available before I obligate or deobligate funds for awards and modifications so I comply with proper financial principles and don't violate the Anti-Deficiency Act.</t>
  </si>
  <si>
    <t>Ensure system can efficiently:
- Verify availability of funds
- Obligate/deobligate funds</t>
  </si>
  <si>
    <t>FM-8</t>
  </si>
  <si>
    <t>Receiving Report</t>
  </si>
  <si>
    <t>Create and manage receipts and accruals</t>
  </si>
  <si>
    <t xml:space="preserve">As a user, I need to create and manage receipts and accruals to comply with proper financial principles and use the appropriate monies for the acquisition. </t>
  </si>
  <si>
    <t>Ensure system can efficiently:
- Create and manage receipts
- Create and manage accruals</t>
  </si>
  <si>
    <t>FM-9</t>
  </si>
  <si>
    <t>Support accounting templates including searches and favorites</t>
  </si>
  <si>
    <t>As a user, my accounting templates vary by fiscal year and sometimes by acquisition, depending on the circumstance. I need the ability to search for templates and save my favorite ones to minimize the time I spent looking for the right accounting string to use for my acquisition.</t>
  </si>
  <si>
    <t>Ensure system can efficiently:
- Enable searches for accounting templates
- Enable the creation and revision of favorites lists</t>
  </si>
  <si>
    <t>FM-10</t>
  </si>
  <si>
    <t>The system shall provide the capability to track delivered orders against obligations.</t>
  </si>
  <si>
    <t>As a user, I need to be able to track delivered orders against obligations so I comply with proper financial principles and don't violate the Anti-Deficiency Act. I also need to have a financial accounting for each of my applicable contracts so I know when adjustments may need to be made.</t>
  </si>
  <si>
    <t>Ensure system can efficiently:
- Track delivered orders against obligations</t>
  </si>
  <si>
    <t>FM-11</t>
  </si>
  <si>
    <t xml:space="preserve">Customer Funding </t>
  </si>
  <si>
    <t>Track customer agency funding for assisted acquisition scenarios.</t>
  </si>
  <si>
    <t xml:space="preserve">As a user, I need to be able to track customer agency funding for assisted acquisitions to properly account for customer funds and fees collected and to support audits.  This includes ceiling amounts, invoice amounts, and project income.  I also need to be able to see funding dashboards and export data to a report as necessary. </t>
  </si>
  <si>
    <t>Ensure system can efficiently:
- Track customer agency funding from receipt to closeout
- Track ceiling amounts, invoice amounts, and project income.</t>
  </si>
  <si>
    <t>FM-12</t>
  </si>
  <si>
    <t>Support a many to many relationship between multiple PR's and multiple line items on those PR's to order documents (award, mod) and their line items.</t>
  </si>
  <si>
    <t>As a user, I need the system to be able to support a many-to-many relationship between multiple procurement requests and multiple line items on those procurement requests to order documents (both awards and modifications) and their line items to account for different project codes, fees, contract line items funds,reconcile contract line items, etc. to comply with proper financial principles.</t>
  </si>
  <si>
    <t>Ensure system can efficiently:
- Support a many-to-many relationship between multiple procurement requests and multiple line items</t>
  </si>
  <si>
    <t>FM-13</t>
  </si>
  <si>
    <t>Map receipt and invoice line items back to financial order document (ie the obligation) line items.</t>
  </si>
  <si>
    <t>As a user, I need to be able to map receipt and invoice line items back to the financial order document line items so maintain proper accounting of the order and its lines items. This helps me reconcile items to maintain proper financial principles.</t>
  </si>
  <si>
    <t>Ensure system can efficiently:
- Map receipt and invoice line items back to financial order document line items</t>
  </si>
  <si>
    <t>FM-14</t>
  </si>
  <si>
    <t xml:space="preserve">Support queries against linked financial data.  </t>
  </si>
  <si>
    <t>As a user, I need to make queries against linked financial data - for example, in order to revise labor hours on a contract line item, I will need to know how much money was obligated on the line item, how much has been invoiced, and how much has been expended so I can a full picture of the financial state of that line item.</t>
  </si>
  <si>
    <t>Ensure system can efficiently:
- Support queries</t>
  </si>
  <si>
    <t>FM-15</t>
  </si>
  <si>
    <t xml:space="preserve">Allow vendor invoices for products delivered or services rendered to be submitted by the vendor via vendor portal and also imported via integration with the GSA's financial system. Provide the user with a log of submissions. </t>
  </si>
  <si>
    <t>As a user, I'd like one place to submit contract deliverables and invoices to minimize the number of systems I need to interact with. I also need a log of submissions so I can keep track of what I submitted and when.</t>
  </si>
  <si>
    <t>Ensure system can efficiently:
- Allow vendor invoices to be submitted via vendor portal
- Import from GSA's financial system vendor invoice data submitted through other channels
- Provide a log of submissions</t>
  </si>
  <si>
    <t>FM-16</t>
  </si>
  <si>
    <t>Error Management</t>
  </si>
  <si>
    <t>If the process of creating or amending/correcting a record in the GSA's financial system fails, the system shall return the record to a draft/editable state so that it can be edited.</t>
  </si>
  <si>
    <t>As a user, if a record fails while I'm creating or amending it in the GSA's financial system, I need the system to return the record to a draft state so I can make the necessary edits and resubmit the record.</t>
  </si>
  <si>
    <t>Ensure system can efficiently:
- Return the record to a draft state when the record initially fails</t>
  </si>
  <si>
    <t>FM-17</t>
  </si>
  <si>
    <t>Allow a user to select an accounting line(s) (pulled from GSA's financial system) on a procurement request in the system.</t>
  </si>
  <si>
    <t>As a requisitioner, I should be able to choose my accounting line on a procurement request in the system based on a predefined list entered within GSA's financial system so I can ensure my accounting information is correct and I don't have to manually input these values.</t>
  </si>
  <si>
    <t>Ensure system can efficiently:
- Provide accounting line(s), pulled from GSA's financial system, on a procurement request in the system
- Allows users to select accounting line(s), pulled from GSA's financial system, on a procurement request in the system</t>
  </si>
  <si>
    <t>FM-18</t>
  </si>
  <si>
    <t>Provide only current fiscal year accounting lines for user selection on a procurement request in the system.</t>
  </si>
  <si>
    <t>As a requisitioner, in the system I should only be able to choose current fiscal year accounting lines for use on a procurement request so that I do not select an outdated accounting line.</t>
  </si>
  <si>
    <t>Ensure system can efficiently: 
- Provide only current fiscal year accounting line(s), pulled from GSA's financial system, on a procurement request in the system</t>
  </si>
  <si>
    <t>FM-19</t>
  </si>
  <si>
    <t>Provide only active accounting lines for user selection on a procurement request in the system.</t>
  </si>
  <si>
    <t>As a requisitioner, in the system I should only be able to choose active fiscal year accounting lines for use on a procurement request so that I do not enter an outdated or rescinded accounting line.</t>
  </si>
  <si>
    <t>Ensure system can efficiently: 
- Provide only active accounting line(s), pulled from GSA's financial system, on a procurement request in the system</t>
  </si>
  <si>
    <t>FM-20</t>
  </si>
  <si>
    <t>Conduct a validation check on an accounting line(s) in GSA's financial system to prevent the creation of a procurement request in GSA's financial system if there are insufficient funds available.</t>
  </si>
  <si>
    <t>As a requisitioner, I should receive a notification if a procurement request document fails to generate in GSA's financial system due to insufficient funds available on my accounting line(s) so that I am aware when a purchase request needs to be updated.</t>
  </si>
  <si>
    <t>Ensure system can efficiently: 
- Prevent a procurement request document from being created within GSA's financial system if insufficient funds are available</t>
  </si>
  <si>
    <t>FM-21</t>
  </si>
  <si>
    <t>Allow the user to check funds availability on an accounting line(s) in GSA's financial system on a procurement request in the system.</t>
  </si>
  <si>
    <t>As a requisitioner, I should be able to check what funds are available for each of my accounting lines in GSA's financial system from the system so I do not spend time creating and routing a procurement request that cannot be funded.
As a requisitioner, I should be able to check what funds are available for each of my accounting lines in GSA's financial system from the system so I can seamlessly continue creating the procurement request.</t>
  </si>
  <si>
    <t>Ensure system can efficiently: 
- Checks funds availability, on an accounting line(s) in GSA's financial system, on the procurement request in the system</t>
  </si>
  <si>
    <t>FM-22</t>
  </si>
  <si>
    <t>At the time of the final finance approval on a procurement request in the system, create a procurement request document and send to GSA's financial system via web services.</t>
  </si>
  <si>
    <t>As a finance user, I should be able to provide final approval on the procurement request in the system so that the relevant commitment details are passed to GSA's financial system</t>
  </si>
  <si>
    <t>Ensure system can efficiently: 
- Send the procurement request information to GSA's financial system when the final finance approval is given
- Ensure GSA's financial system creates a new procurement request document when final finance approval is given in the system</t>
  </si>
  <si>
    <t>FM-23</t>
  </si>
  <si>
    <t>Map field values on the procurement request in the system to the procurement request document in GSA's financial system.</t>
  </si>
  <si>
    <t>As a requisitioner, I should be able to input data values in my procurement request in the system that are mapped to the procurement request document within GSA's financial system so I do not need to do double work to ensure information is consistent across both systems</t>
  </si>
  <si>
    <t>Ensure system can efficiently:
- Map field values from the procurement request in the system to the procurement request document in GSA's financial system
- Pass field values from the procurement request in the system to the procurement request document in GSA's financial system</t>
  </si>
  <si>
    <t>FM-24</t>
  </si>
  <si>
    <t>If the process of creating a procurement request document in GSA's financial system fails due to functional, technical or validation errors (e.g., accounting line data or other required data fail validation), provide an error message to the system user describing why the action failed. The error/rejections shall be handled in real time to enable the users to see the errors and reasons on screen and be allowed to correct and process in real time.</t>
  </si>
  <si>
    <t>As a requisitioner, I should receive an error notice in the system when the procurement request document in GSA's financial system fails to generate, with a description of why the document failed, so that I can easily make necessary changes to my procurement request before re-submitting for processing</t>
  </si>
  <si>
    <t>Ensure system can efficiently:
- Return an error message if a procurement request document fails to generate in GSA's financial system that includes reasons for errors</t>
  </si>
  <si>
    <t>FM-25</t>
  </si>
  <si>
    <t>When the procurement request document is created in GSA's financial system, send the procurement request document number to the system based on the agreed upon-numbering rule.</t>
  </si>
  <si>
    <t>As a requisitioner, I should be able to see the GSA's financial system procurement request document number within the system after final approval is provided so I know that the GSA's financial system procurement request document was successfully generated
As a requisitioner, I should be able to see the GSA's financial system procurement request document number within the system after final approval is provided so I can easily maintain mapping between both systems</t>
  </si>
  <si>
    <t>Ensure system can efficiently:
- Display the GSA's financial system procurement request document number on the purchase request in the system</t>
  </si>
  <si>
    <t>FM-26</t>
  </si>
  <si>
    <t>Support the update of a procurement request document in GSA's financial system through a user-initiated action in the system.</t>
  </si>
  <si>
    <t>As a requisitioner, I should be able to update the procurement request document in GSA's financial system through a procurement request amendment in the system so that the financial system always reflects the most current details</t>
  </si>
  <si>
    <t>Ensure system can efficiently:
- Ensure GSA's financial system updates the procurement request document in GSA's financial system when a procurement request amendment is approved within the system</t>
  </si>
  <si>
    <t>FM-27</t>
  </si>
  <si>
    <t>Allow a user to select an accounting line(s) (pulled from GSA's financial system) on a procurement request amendment in the system.</t>
  </si>
  <si>
    <t>As a requisitioner, I should be able to choose my accounting line in the system based on a predefined list entered within GSA's financial system so I can ensure my accounting information is correct
As a requisitioner, I should be able to choose my accounting line in the system based on a predefined list entered within GSA's financial system so I do not have to manually input these values</t>
  </si>
  <si>
    <t>Ensure system can efficiently:
- Provide accounting line(s), pulled from GSA's financial system, on a procurement request amendment in the system</t>
  </si>
  <si>
    <t>FM-28</t>
  </si>
  <si>
    <t>Provide only current fiscal year accounting lines for user selection on a procurement request amendment in the system.</t>
  </si>
  <si>
    <t>As a requisitioner, I should only be able to choose current fiscal year accounting lines in the system for use on a procurement request amendment so that I do not enter an outdated accounting line</t>
  </si>
  <si>
    <t>Ensure system can efficiently:
- Provide only current fiscal year accounting line(s), pulled from GSA's financial system, on a procurement request amendment in the system</t>
  </si>
  <si>
    <t>FM-29</t>
  </si>
  <si>
    <t>Provide only active accounting lines for user selection on a procurement request amendment in the system.</t>
  </si>
  <si>
    <t>As a requisitioner, I should only be able to choose active fiscal year accounting lines in the system for use on a procurement request amendment so that I do not enter an outdated or rescinded accounting line</t>
  </si>
  <si>
    <t>Ensure system can efficiently:
- Provide only active accounting line(s), pulled from GSA's financial system, on a procurement request amendment in the system</t>
  </si>
  <si>
    <t>FM-30</t>
  </si>
  <si>
    <t>Conduct a validation check on an accounting line(s) in GSA's financial system to prevent the update of a procurement request document via a procurement request amendment in the system if there are insufficient funds available.</t>
  </si>
  <si>
    <t>As a requisitioner, I should not be able to submit a procurement request amendment for review and approval in the system if there are insufficient funds available</t>
  </si>
  <si>
    <t>Ensure system can efficiently:
- Prevent a procurement request document from being updated within GSA's financial system if insufficient funds are available</t>
  </si>
  <si>
    <t>FM-31</t>
  </si>
  <si>
    <t>Allow the user to check funds availability on an accounting line(s) in GSA's financial system on a procurement request amendment in the system.</t>
  </si>
  <si>
    <t>As a requisitioner, in the system I should be able to check what funds are available for each of my accounting lines in GSA's financial system so I do not spend time creating and routing a procurement request amendment that cannot be funded
As a requisitioner, in the system I should be able to check what funds are available for each of my accounting lines in GSA's financial system so I can seamlessly continue creating the procurement request amendment</t>
  </si>
  <si>
    <t>Ensure system can efficiently:
- Check funds availability, on an accounting line(s) in GSA's financial system, on the procurement request amendment in the system</t>
  </si>
  <si>
    <t>FM-32</t>
  </si>
  <si>
    <t>Provide the ability to update a procurement request document in GSA's financial system by adding funds to an existing accounting line via a procurement request amendment in the system.</t>
  </si>
  <si>
    <t>As a requisitioner, I should be able to add funds to an existing accounting line through a procurement request amendment in the system so my funding information reflects the most current and updated amounts</t>
  </si>
  <si>
    <t>Ensure system can efficiently:
- Ensure GSA's financial system updates the procurement request document in GSA's financial system by adding funds to an existing accounting line when a procurement request amendment is approved in the system</t>
  </si>
  <si>
    <t>FM-33</t>
  </si>
  <si>
    <t>Update a procurement request document in GSA's financial system by adding funding with a new accounting line via a procurement request amendment in the system.</t>
  </si>
  <si>
    <t xml:space="preserve">As a requisitioner, I should be able to add funds from a new accounting line to an existing procurement request through a procurement request amendment in the system so my procurement request reflects the total available across all funding lines </t>
  </si>
  <si>
    <t>Ensure system can efficiently:
- Ensure GSA's financial system updates the procurement request document in GSA's financial system by adding funds to a new accounting line when a procurement request amendment is approved in the system</t>
  </si>
  <si>
    <t>FM-34</t>
  </si>
  <si>
    <t>At the time of the final finance approval of a procurement request amendment in the system, send the procurement request amendment commitment amount(s) and accounting line(s) to update the procurement request document in GSA's financial system.</t>
  </si>
  <si>
    <t>As a finance user, I should be able to provide final approval on the procurement request amendment in the system so that the GSA's financial system procurement request document can be updated with the commitment amount(s) and accounting line(s)</t>
  </si>
  <si>
    <t>Ensure system can efficiently:
- Send the procurement request amendment commitment amount(s) and accounting line(s) to update the procurement request document in GSA's financial system when the final finance approval is given</t>
  </si>
  <si>
    <t>FM-35</t>
  </si>
  <si>
    <t>Provide the ability to cancel a procurement request document in GSA's financial system via a procurement request amendment in the system.</t>
  </si>
  <si>
    <t>As a requisitioner, I should be able to cancel a procurement request document in GSA's financial system through a procurement request amendment in the system so that I can stop progress on a procurement request</t>
  </si>
  <si>
    <t>Ensure system can efficiently:
- Ensure GSA's financial system cancels the procurement request document in GSA's financial system when a procurement request amendment to cancel a procurement request is executed in the system</t>
  </si>
  <si>
    <t>FM-36</t>
  </si>
  <si>
    <t>Do not allow a procurement request document in GSA's financial system to be cancelled if funds on the procurement request have already been obligated via an associated award.</t>
  </si>
  <si>
    <t xml:space="preserve">As a requisitioner, I should not be able to cancel a procurement request document in GSA's financial system through a procurement request amendment in the system if funds have been obligated so that all the funds are accounted for within GSA's financial system </t>
  </si>
  <si>
    <t>Ensure system can efficiently:
- Ensure GSA's financial system does not cancel the procurement request document in GSA's financial system when funds on the procurement request have been obligated by an associated award</t>
  </si>
  <si>
    <t>FM-37</t>
  </si>
  <si>
    <t>At the time of the final finance approval on a procurement request amendment in the system to cancel a procurement request document in GSA's financial system, send information from the procurement request amendment in the system to cancel the procurement request document.</t>
  </si>
  <si>
    <t xml:space="preserve">As a finance user, I should be able to provide final approval on the procurement request amendment in the system to cancel a procurement request document in GSA's financial system so that the procurement request document is cancelled 
</t>
  </si>
  <si>
    <t>Ensure system can efficiently:
- Send the procurement request amendment information to cancel the procurement request document in GSA's financial system when the final finance approval is given</t>
  </si>
  <si>
    <t>FM-38</t>
  </si>
  <si>
    <t>Provide the ability to update a procurement request document in GSA's financial system by decommitting funds on an accounting line via a procurement request amendment in the system.</t>
  </si>
  <si>
    <t>As a requisitioner, I should be able to decommit funds on an accounting line through a procurement request amendment in the system so my funding information reflects the most current and updated amounts</t>
  </si>
  <si>
    <t>Ensure system can efficiently:
- Ensure GSA's financial system updates the procurement request document in GSA's financial system by decommitting funds on an accounting line when a purchase request amendment is approved in the system</t>
  </si>
  <si>
    <t>FM-39</t>
  </si>
  <si>
    <t>Do not allow a procurement request amendment in the system to decommit funds on any accounting line on a procurement request document in GSA's financial system by more than the remaining commitment amount.</t>
  </si>
  <si>
    <t>As a requisitioner, I should not be able to decommit funds on any accounting line by more than the remaining committed amount</t>
  </si>
  <si>
    <t xml:space="preserve">Ensure system can efficiently:
- Ensure GSA's financial system does not decommit funds by more than the existing amount on an accounting line(s) on the procurement request document in GSA's financial system </t>
  </si>
  <si>
    <t>FM-40</t>
  </si>
  <si>
    <t>At the time of the final finance approval on a procurement request amendment in the system to decommit funds on a procurement request document in GSA's financial system, send the procurement request decommitment amount(s) and accounting line(s) to update the procurement request document in GSA's financial system.</t>
  </si>
  <si>
    <t>Ensure system can efficiently:
- Send the procurement request decommitment amount(s) and accounting line(s) to the procurement request document in GSA's financial system when the final finance approval is given</t>
  </si>
  <si>
    <t>FM-41</t>
  </si>
  <si>
    <t>If the process of amending a procurement request document in GSA's financial system fails due to functional, technical or validation errors (e.g., accounting line data or other required data fail validation), provide an error message to the system user describing why the action failed. The error/rejections shall be handled in real time to enable the users to see the errors and reasons on screen and be allowed to correct and process in real time.</t>
  </si>
  <si>
    <t>As a requisitioner, I should receive an error notice when the amendments in the system to my procurement request document in GSA's financial system fail to generate, with a description of why the document failed, so that I can easily make necessary changes to my procurement request before re-submitting for processing</t>
  </si>
  <si>
    <t>Ensure system can efficiently:
- Return an error message if a procurement request document fails to update in GSA's financial system that includes reasons for errors</t>
  </si>
  <si>
    <t>FM-42</t>
  </si>
  <si>
    <t>If the process of amending a procurement request document in GSA's financial system fails due to functional, technical or validation errors (e.g., accounting line data or other required data fail validation), return the procurement request amendment in the system to a draft/editable state and the procurement request document in GSA's financial system will not be updated by the amendment.</t>
  </si>
  <si>
    <t>As a user, in the system I should be able to correct documents that failed in GSA's financial system so that I can make necessary corrections and continue moving forward with my acquisition</t>
  </si>
  <si>
    <t xml:space="preserve">Ensure system can efficiently:
- Return the procurement request amendment to a draft/editable state when the process of amending a procurement request document in GSA's financial system fails </t>
  </si>
  <si>
    <t>FM-43</t>
  </si>
  <si>
    <t>When an unfunded award is executed in the system, do not not send any award information, including the obligation amount(s) and all related accounting line(s), to initiate the creation of the Purchase Order document (GSA Form 300) in GSA's financial system.</t>
  </si>
  <si>
    <t>As a CO, I should not go through any financial components in the system when issuing a non-funded award so that I can prevent non-funded data from being populated in GSA's financial system</t>
  </si>
  <si>
    <t>Ensure system can efficiently:
- Ensure GSA's financial system does not create the Purchase Order document (GSA Form 300) when an unfunded award is executed in the system</t>
  </si>
  <si>
    <t>FM-44</t>
  </si>
  <si>
    <t>Support the creation of a Purchase Order document (GSA Form 300) in GSA's financial system initiated from the system. The Purchase Order shall reference the related procurement request (Document Number and Accounting Line Number).</t>
  </si>
  <si>
    <t>As a CO, I should be able to create a Purchase Order document (GSA Form 300) in GSA's financial system initiated in the system that references the related procurement request (document number, accounting line number) so that my document references the correct procurement request</t>
  </si>
  <si>
    <t>Ensure system can efficiently:
- Ensure GSA's financial system creates the Purchase Order document (GSA Form 300) when an award is executed in the system
- Ensure the GSA's financial system Purchase Order document (GSA Form 300) references the related procurement request, including Document Number and Accounting Line Number)</t>
  </si>
  <si>
    <t>FM-45</t>
  </si>
  <si>
    <t>Conduct a validation check, based on the procurement request/Commitment balance, to prevent the creation of a Purchase Order document (GSA Form 300) in GSA's financial system if there are insufficient funds available.</t>
  </si>
  <si>
    <t>As a CO, I should not be able to generate a Purchase Order document (GSA Form 300) in GSA's financial system from the system if insufficient funds are available so that there is not an overdraw of funds available within GSA's financial system</t>
  </si>
  <si>
    <t>Ensure system can efficiently:
- Ensure GSA's financial system does not create the Purchase Order document (GSA Form 300) when there are not sufficient funds committed on the GSA's financial system procurement request</t>
  </si>
  <si>
    <t>FM-46</t>
  </si>
  <si>
    <t>Allow the user to check funds availability on an accounting line(s) in GSA's financial system on an award action in the system.</t>
  </si>
  <si>
    <t>As a CO, I should be able to initiate a funds availability check on the accounting line(s) on my award action from the system so I can verify I have enough funds to cover my good or service</t>
  </si>
  <si>
    <t>Ensure system can efficiently:
- Check funds availability, on an accounting line(s) in GSA's financial system, on the Purchase Order in the system</t>
  </si>
  <si>
    <t>FM-47</t>
  </si>
  <si>
    <t>When a funded award is executed in the system,  send the obligation amount(s) and all related accounting line(s) to the Purchase Order document (GSA Form 300) in GSA's financial system.</t>
  </si>
  <si>
    <t>As a CO, my obligation and accounting line(s) information are sent to GSA's financial system upon final approval in the system so I do not need to manually re-enter information across multiple systems</t>
  </si>
  <si>
    <t>Ensure system can efficiently:
- Send the procurement request obligation amount(s) and accounting line(s) to the Purchase Order document (GSA Form 300) in GSA's financial system when the Purchase Order document is created in GSA's financial system</t>
  </si>
  <si>
    <t>FM-48</t>
  </si>
  <si>
    <t>Map field values on the award in the system to the Purchase Order document (GSA Form 300) in GSA's financial system.</t>
  </si>
  <si>
    <t>As a CO, my award information in the system is mapped to the Purchase Order document (GSA Form 300) in GSA's financial system so I do not need to manually re-enter information across multiple systems</t>
  </si>
  <si>
    <t>Ensure system can efficiently:
- Map field values from the award document in the system to the Purchase Order document in GSA's financial system
- Pass field values from the award document in the system to the Purchase Order document in GSA's financial system</t>
  </si>
  <si>
    <t>FM-49</t>
  </si>
  <si>
    <t>When a funded award is executed in the system, create a Purchase Order document (GSA Form 300) in GSA's financial system. The Purchase Order shall reference the related procurement request(s) (Document Number(s) and Accounting Line Number(s)).</t>
  </si>
  <si>
    <t>As a CO, I should be able to create a Purchase Order document (GSA Form 300) from the system that references the related procurement request (Document Number, Accounting Line Number) so that my document references the correct procurement request</t>
  </si>
  <si>
    <t>Ensure system can efficiently:
- Ensure GSA's financial system creates a Purchase Order document (GSA Form 300) when an award is executed in the system
- Ensure the Purchase Order document (GSA Form 300) in GSA's financial system references the associated procurement request, including Document Number and Accounting Line Number</t>
  </si>
  <si>
    <t>FM-50</t>
  </si>
  <si>
    <t>Reference the procurement request document in GSA's financial system funding the obligation to the Purchase Order document (GSA Form 300).</t>
  </si>
  <si>
    <t>As a CO, in the system I should be able to see a reference to the procurement request document in GSA's financial system funding the obligation to the Purchase Order document (GSA Form 300) so I can track financial associations throughout the procurement life cycle</t>
  </si>
  <si>
    <t>Ensure system can efficiently:
- Ensure the Purchase Order document (GSA Form 300) in GSA's financial system references the associated procurement request</t>
  </si>
  <si>
    <t>FM-51</t>
  </si>
  <si>
    <t>If the award is funded by multiple procurement requests, reference each procurement request Document Number and Accounting Line Number in GSA's financial system funding the obligation to the Purchase Order document (GSA Form 300).</t>
  </si>
  <si>
    <t>As a CO, in the system I should be able to see a reference to each procurement request Document Number and Accounting Line Number in GSA's financial system funding the obligation to the Purchase Order document (GSA Form 300) so I can track all financial associations throughout the procurement life cycle</t>
  </si>
  <si>
    <t>Ensure system can efficiently:
- Ensure the GSA's financial system Purchase Order document (GSA Form 300) references each procurement request Document Number and Accounting Line Number funding that award</t>
  </si>
  <si>
    <t>FM-52</t>
  </si>
  <si>
    <t>If the process of creating a Purchase Order document (GSA Form 300) in GSA's financial system fails due to functional, technical or validation errors (e.g., vendor data or other required data fail validation), provide an error message to the system user describing why the action failed. The error/rejections shall be handled in real time to enable the users to see the errors and reasons on screen and be allowed to correct and process in real time.</t>
  </si>
  <si>
    <t>As a CO, I should receive error messages in the system returned by the GSA's financial system interface if the creation of a procurement request document (GSA Form 300) in GSA's financial system fails, so I know when document processing fails or other actions happen in GSA's financial system and can take the necessary follow-up actions</t>
  </si>
  <si>
    <t>Ensure system can efficiently:
- Return an error message if a Purchase Order document (GSA Form 300) fails to generate in GSA's financial system that includes reasons for errors</t>
  </si>
  <si>
    <t>FM-53</t>
  </si>
  <si>
    <t>If the process of creating a Purchase Order document (GSA Form 300) in GSA's financial system fails due to functional, technical or validation errors (e.g., vendor data or other required data fail validation), return the award in the system to a pre-award state and the Purchase Order document will not be created in GSA's financial system.</t>
  </si>
  <si>
    <t>As a CO, I should be able to correct my award documents that failed in GSA's financial system so I can continue moving forward with my acquisition</t>
  </si>
  <si>
    <t xml:space="preserve">Ensure system can efficiently:
- Return the Purchase Order document (GSA Form 300) to a draft/editable state when the process of creating a Purchase Order document (GSA Form 300) in GSA's financial system fails </t>
  </si>
  <si>
    <t>FM-54</t>
  </si>
  <si>
    <t>When the Purchase Order document (GSA Form 300) is created in GSA's financial system, send the Purchase Order document number (GSA Form 300) to the system.</t>
  </si>
  <si>
    <t>As a CO, my GSA's financial system Purchase Order document number should automatically be populated within the system to eliminate manual re-entry of fields between both systems</t>
  </si>
  <si>
    <t>Ensure system can efficiently:
- Ensure the GSA's financial system Purchase Order Document Number (GSA Form 300) is captured on the award document in the system</t>
  </si>
  <si>
    <t>FM-55</t>
  </si>
  <si>
    <t>Prevent funds on an expired accounting line from being obligated.</t>
  </si>
  <si>
    <t>As a CO, I should be prevented from executing an obligation on an expired accounting line so that the CO has an opportunity to replace it with an active accounting line</t>
  </si>
  <si>
    <t>Ensure system can efficiently:
- Prevent funds on an expired accounting line from being obligated</t>
  </si>
  <si>
    <t>FM-56</t>
  </si>
  <si>
    <t>Support the update of a Purchase Order document (GSA Form 300) in GSA's financial system through a user-initiated action in the system.</t>
  </si>
  <si>
    <t>As a CO, I should be able to update the Purchase Order document in GSA's financial system through a Purchase Order modification in the system so that the financial system always reflects the most current details</t>
  </si>
  <si>
    <t>Ensure system can efficiently:
- Ensure GSA's financial system updates the Purchase Order document (GSA Form 300) in GSA's financial system when a Purchase Order modification is executed within the system</t>
  </si>
  <si>
    <t>FM-57</t>
  </si>
  <si>
    <t>If an administrative (non-funded) award modification is executed in the system on a funded award, for example to change the COR, send the changes to the Purchase Order document (GSA Form 300) in GSA's financial system so that all modifications, including non-funded, to the contract are documented.</t>
  </si>
  <si>
    <t>As a finance user, if I am completing an administrative modification in the system to a funded award, the interface should send the changes to the Purchase Order so that the GSA's financial system Purchase Order document (GSA Form 300) reflects all modifications, including non-funded.</t>
  </si>
  <si>
    <t xml:space="preserve">Ensure system can efficiently:
- Send the funded Purchase Order modification information to update the Purchase Order document (GSA Form 300) in GSA's financial system when the Purchase Order modification is executed within the system  </t>
  </si>
  <si>
    <t>FM-58</t>
  </si>
  <si>
    <t>Provide the ability to update an existing Purchase Order document (GSA Form 300) in GSA's financial system by obligating additional funds on an existing accounting line via an award modification in the system.</t>
  </si>
  <si>
    <t>As a CO, I should be able to obligate funds to an existing accounting line through a Purchase Order modification in the system so my funding information reflects the most current and updated amounts</t>
  </si>
  <si>
    <t>Ensure system can efficiently:
- Ensure GSA's financial system updates the Purchase Order document (GSA Form 300) in GSA's financial system by adding funds to an existing accounting line when a Purchase Order modification is executed within the system</t>
  </si>
  <si>
    <t>FM-59</t>
  </si>
  <si>
    <t>Provide the ability to update an existing Purchase Order document (GSA Form 300) in GSA's financial system by obligating additional funds on a new accounting line via an award modification in the system.</t>
  </si>
  <si>
    <t>As a CO, I should be able to obligate additional funds from a new accounting line through a Purchase Order modification in the system so my funding information reflects the most current and updated amounts</t>
  </si>
  <si>
    <t>Ensure system can efficiently:
- Ensure GSA's financial system updates the Purchase Order document (GSA Form 300) in GSA's financial system by adding funds to a new accounting line when a Purchase Order modification is executed within the system</t>
  </si>
  <si>
    <t>FM-60</t>
  </si>
  <si>
    <t>Conduct a validation check, based on the procurement request/Commitment balance, to prevent the update of a Purchase Order in GSA's financial system via an award modification in the system if there are insufficient funds available.</t>
  </si>
  <si>
    <t xml:space="preserve">As a CO, I should not be able to submit a Purchase Order modification for review and approval in the system if there are insufficient funds available on my accounting lines
</t>
  </si>
  <si>
    <t>Ensure system can efficiently:
- Ensure GSA's financial system does not update the Purchase Order document (GSA Form 300) when there are not sufficient funds committed on the GSA's financial system procurement request</t>
  </si>
  <si>
    <t>FM-61</t>
  </si>
  <si>
    <t>Allow the user to check funds availability on an accounting line(s) in GSA's financial system on an award modification action in the system.</t>
  </si>
  <si>
    <t>As a CO, I should be able to check what funds are available for each of my accounting lines in GSA's financial system from the system so I do not spend time creating and routing a Purchase Order modification that cannot be funded
As a CO, I should be able to check what funds are available for each of my accounting lines in GSA's financial system from the system so I can seamlessly continue creating the Purchase Order modification</t>
  </si>
  <si>
    <t>Ensure system can efficiently:
- Check funds availability, on an accounting line(s) in GSA's financial system, on the award modification in the system</t>
  </si>
  <si>
    <t>FM-62</t>
  </si>
  <si>
    <t>When a funded award modification is executed in the system, send the award modification obligation amount(s) and accounting line(s) to update the Purchase Order document (GSA Form 300) in GSA's financial system.</t>
  </si>
  <si>
    <t>As a finance user, I should be able to provide final approval on the Purchase Order modification in the system so that the GSA's financial system Purchase Order document (GSA Form 300) can be updated with the obligation amount(s) and accounting line(s)</t>
  </si>
  <si>
    <t xml:space="preserve">Ensure system can efficiently:
- Send the Purchase Order modification obligation amount(s) and accounting line(s) to update the Purchase Order document (GSA Form 300) in GSA's financial system when the Purchase Order modification is executed within the system </t>
  </si>
  <si>
    <t>FM-63</t>
  </si>
  <si>
    <t>Provide the ability to update a Purchase Order document (GSA Form 300) in GSA's financial system by deobligating funds on an accounting line via an award modification in the system.</t>
  </si>
  <si>
    <t xml:space="preserve">As a CO, when I award a modification in the system to deobligate funds the interface should update the Purchase Order document (GSA Form 300) in GSA's financial system so that the amounts remain consistent
As a CO, I should not be able to deobligate funds on any accounting line by more than the remaining committed amount so that the amounts remain consistent </t>
  </si>
  <si>
    <t xml:space="preserve">Ensure system can efficiently:
- Create Purchase Order modifications to deobligate funds on accounting lines on a Purchase Order document (GSA Form 300) in GSA's financial system
</t>
  </si>
  <si>
    <t>FM-64</t>
  </si>
  <si>
    <t>When an award modification to deobligate funds is executed in the system, send the award modification deobligation amount(s) and accounting line(s) to update the Purchase Order document (GSA Form 300) in GSA's financial system.</t>
  </si>
  <si>
    <t>As a finance user, I should be able to provide final approval on the award modification to deobligate funds in the system so that the GSA's financial system Purchase Order document (GSA Form 300) can be updated with the deobligated amount(s) and accounting line(s)</t>
  </si>
  <si>
    <t>Ensure system can efficiently:
- Send the Purchase Order modification deobligation amount(s) and accounting line(s) to update the Purchase Order document (GSA Form 300) in GSA's financial system when the Purchase Order modification is executed within the system</t>
  </si>
  <si>
    <t>FM-65</t>
  </si>
  <si>
    <t>If the process of updating a Purchase Order document (GSA Form 300) in GSA's financial system fails due to functional, technical or validation errors (e.g., vendor data or other required data fail validation), provide an error message to the system user describing why the action failed. The error/rejections shall be handled in real time to enable the users to see the errors and reasons on screen and be allowed to correct and process in real time.</t>
  </si>
  <si>
    <t>As a CO, I should receive an error notice in the system when the modification to my Purchase Order document in GSA's financial system fails to generate, with a description of why the document failed, so that I can easily make necessary changes to my procurement request before re-submitting for processing</t>
  </si>
  <si>
    <t>Ensure system can efficiently:
- Return an error message if a Purchase Order document (GSA Form 300) fails to update in GSA's financial system that includes reasons for errors</t>
  </si>
  <si>
    <t>FM-66</t>
  </si>
  <si>
    <t>If the process of updating a Purchase Order document (GSA Form 300) in GSA's financial system fails due to functional, technical or validation errors (e.g., vendor data or other required data fail validation), return the award modification in the system to a pre-award state and the Purchase Order document will not be updated in GSA's financial system.</t>
  </si>
  <si>
    <t>As a CO, in the system I should be able to correct documents that failed in GSA's financial system so that I can make necessary corrections and continue moving forward with my acquisition</t>
  </si>
  <si>
    <t xml:space="preserve">Ensure system can efficiently:
- Return the Purchase Order document (GSA Form 300) to a draft/editable state when the process of updating a Purchase Order document (GSA Form 300) in GSA's financial system fails </t>
  </si>
  <si>
    <t>FM-67</t>
  </si>
  <si>
    <t>Support the creation of a Receipt document in GSA's financial system through a user-initiated action in the system.</t>
  </si>
  <si>
    <t xml:space="preserve">As a COR, I should be able to generate receiving reports in the system so I can generate and maintain appropriate records of the exchange of goods and services </t>
  </si>
  <si>
    <t>Ensure system can efficiently:
- Ensure GSA's financial system creates a Receipt document in GSA's financial system when the receiving report is created in the system</t>
  </si>
  <si>
    <t>FM-68</t>
  </si>
  <si>
    <t>When a receiving report is completed in the system, create a Receipt document in GSA's financial system.</t>
  </si>
  <si>
    <t>As a COR, I should be able to send my receiving report generated in the system to GSA's financial system to create the GSA's financial system Receipt document so that all necessary information is captured in the financial system and I am not required to re-enter details</t>
  </si>
  <si>
    <t>Ensure system can efficiently:
- Ensure GSA's financial system creates a Receipt document in GSA's financial system when the receiving report is completed in the system</t>
  </si>
  <si>
    <t>FM-69</t>
  </si>
  <si>
    <t>Map field values on the receiving report in the system to the GSA's financial system Receipt document. The receipt shall reference the Purchase Order document (GSA Form 300) and all data elements shall be carried forward from that line of the order to the receipt. Only receipt and accepting fields are required to be populated.</t>
  </si>
  <si>
    <t>As a COR, I should be able to input data values in my receiving report in the system that are mapped to the Purchase Receipt document within GSA's financial system so I do not need to do double work to ensure information is consistent across both systems
As a COR, I should be able to see the Purchase Order document (GSA Form 300) referenced on my receipt so I can easily reference the ordering document when developing my Receipt document</t>
  </si>
  <si>
    <t>Ensure system can efficiently:
- Map field values from the receiving report in the system to the Receipt document in GSA's financial system
- Pass field values from the receiving report in the system to the Receipt document in GSA's financial system</t>
  </si>
  <si>
    <t>FM-70</t>
  </si>
  <si>
    <t>Send the Purchase Order document number referenced on the receiving report to the Receipt document in GSA's financial system.</t>
  </si>
  <si>
    <t>As a COR, I should be able to see the Purchase Order document (GSA Form 300) referenced on my Receipt document in GSA's financial system so I can easily reference the ordering document when developing my Receipt document</t>
  </si>
  <si>
    <t xml:space="preserve">Ensure system can efficiently:
- Ensure the Receipt document in GSA's financial system references the associated Purchase Order document number </t>
  </si>
  <si>
    <t>FM-71</t>
  </si>
  <si>
    <t>If the process of creating a Receipt document in GSA's financial system fails due to functional, technical or validation errors (e.g., vendor data or other required data fail validation), provide an error message to the system user describing why the action failed. The error/rejections shall be handled in real time to enable the users to see the errors and reasons on screen and be allowed to correct and process in real time.</t>
  </si>
  <si>
    <t>As a COR, I should receive an error notice in the system when the Receipt document in GSA's financial system fails to generate, with a description of why the document failed, so that I can easily make necessary changes to my Receipt document before re-submitting for processing</t>
  </si>
  <si>
    <t>Ensure system can efficiently:
- Return an error message if a Receipt document fails to generate in GSA's financial system that includes reasons for errors</t>
  </si>
  <si>
    <t>FM-72</t>
  </si>
  <si>
    <t>If the process of creating a Receipt document in GSA's financial system fails due to functional, technical or validation errors (e.g., vendor data or other required data fail validation), return the receiving report in the system to a draft/editable state and the Receipt document will not be updated in GSA's financial system.</t>
  </si>
  <si>
    <t>As a COR, I should be able to correct documents that failed in GSA's financial system so that I can make necessary corrections and continue moving forward with my receiving report</t>
  </si>
  <si>
    <t>Ensure system can efficiently:
- Return the receiving report to a draft/editable state when the process of creating a Receipt document in GSA's financial system fails</t>
  </si>
  <si>
    <t>FM-73</t>
  </si>
  <si>
    <t>When the Receipt document is created in GSA's financial system, send the GSA's financial system Receipt document number to the system.</t>
  </si>
  <si>
    <t>As a COR, my GSA's financial system Receipt document number should automatically be populated within the system so I have consistent document numbering between systems and can eliminate manual re-entry of fields between both systems</t>
  </si>
  <si>
    <t>Ensure system can efficiently:
- Ensure the GSA's financial system Receipt Document Number is captured on the receiving report in the system</t>
  </si>
  <si>
    <t>FM-74</t>
  </si>
  <si>
    <t>Support the correction of a Receipt document in GSA's financial system through a user-initiated action in the system.</t>
  </si>
  <si>
    <t>As a COR, I should be able to correct my receiving report in the system so that I can account for any wrong entries or other errors to ensure my receiving report accurately reflects the goods or services received
As a COR, I should be able to correct my receiving report in the system so that GSA's financial system can correct the receipt and reflect the most updated details</t>
  </si>
  <si>
    <t xml:space="preserve">Ensure system can efficiently:
- Correct receiving reports 
- Ensure the Receipt document in GSA's financial system is updated based on changes implemented on the receiving report in the system </t>
  </si>
  <si>
    <t>FM-75</t>
  </si>
  <si>
    <t>Include a system ID for each program with all transactions to indicate that the transaction is from that program (example, 'ITC' would be for the Information Technology Category).</t>
  </si>
  <si>
    <t>As a system administrator, I should easily be able to identify those transactions in the system emanating from each program so that I can more seamlessly identify those transactions that are within my division.</t>
  </si>
  <si>
    <t>Ensure system can efficiently:
- Ensure the system ID for each program is captured in GSA's financial system when transactions take place in GSA's financial system that originate from the system</t>
  </si>
  <si>
    <t>Tab Num.</t>
  </si>
  <si>
    <t>Sub</t>
  </si>
  <si>
    <t>Tab Name</t>
  </si>
  <si>
    <t>Contents</t>
  </si>
  <si>
    <t>Policy References</t>
  </si>
  <si>
    <t>Tab</t>
  </si>
  <si>
    <t>Unfiled</t>
  </si>
  <si>
    <t>Procurement Request/Funding Certification</t>
  </si>
  <si>
    <t>IGE
 Funding
 Interagency Agreement
 D&amp;F
This tab contains the requisition or requests for contract action as well as recommendations for the use of other than full and open competition along with supporting documentation. It includes the purchase request, independent government cost estimate, interagency agreement (and modifications thereto), and where technical personnel recommend the use of other than full and open competition, it also includes the associated D&amp;F. Lastly, it includes pre- and post-award changes to the documents covered by this Tab.</t>
  </si>
  <si>
    <t>Requirement Category</t>
  </si>
  <si>
    <t>CAT-1</t>
  </si>
  <si>
    <t>Catalog Management (if ordered)</t>
  </si>
  <si>
    <t>Usability</t>
  </si>
  <si>
    <t>Single platform that provides real-time collaboration for various actors in the system</t>
  </si>
  <si>
    <t>As a CM Platform user, I need to have access to a common catalog platform that allows real-time visbility into catalogs , and real-time message exchanges through the platform</t>
  </si>
  <si>
    <t>Ensure there is a single platform that provides real-time collaboration for various actors</t>
  </si>
  <si>
    <t>CAT-2</t>
  </si>
  <si>
    <t>Be the single source of catalog data such that GSA systems, Contracting Officers and Vendors can work from a common catalog platform with real time access to catalog data</t>
  </si>
  <si>
    <t xml:space="preserve">As a CM Platform user, I need to have a single authoritative repository for current catalog data </t>
  </si>
  <si>
    <t>Ensure system provides real time access to catalog data</t>
  </si>
  <si>
    <t>CAT-3</t>
  </si>
  <si>
    <t>Offer a workflow solution where the business process of the catalog management life cycle is managed.</t>
  </si>
  <si>
    <t>As a vendor or CO/CS, I need a solutiion that enables the full lifecyle of catalog management, including catalog ingest, review, enrichment, retrieval and maintenance</t>
  </si>
  <si>
    <t>Ensure system can efficiently:
- Provide a workflow solution to manage the business process of catalog management life-cycle</t>
  </si>
  <si>
    <t>CAT-4</t>
  </si>
  <si>
    <t>Allow the CO/CS the ability to review and adjudicate either the complete or a portion of the catalog supplied by the vendors</t>
  </si>
  <si>
    <t>As a CO/CS, I need the capability to manage partial catalog submissions, when only a portion of contract items are added, deleted and/or changed</t>
  </si>
  <si>
    <t>Ensure system can easily:
- Enable users to review and adjudicate the catalog supplied by contractors in whole or in part</t>
  </si>
  <si>
    <t>CAT-5</t>
  </si>
  <si>
    <t>Allow the vendor the ability to update either the complete or a portion of the catalog as directed by the CO/CS</t>
  </si>
  <si>
    <t>As a vendor, I need the capability to perform whole, and partial catalog submissions, when only a portion of contract items are added, deleted and/or changed</t>
  </si>
  <si>
    <t>Ensure system can easily:
- Enable vendors to submit either whole or partial catalog updates</t>
  </si>
  <si>
    <t>CAT-6</t>
  </si>
  <si>
    <t>Allow for an intuitive user interface for vendors to manage catalogs.</t>
  </si>
  <si>
    <t>As a vendor, I need an easy and modern user interface to submit and modify catalogs</t>
  </si>
  <si>
    <t>Ensure system provides intuitive user interface to manage catalogs.</t>
  </si>
  <si>
    <t>CAT-7</t>
  </si>
  <si>
    <t>Allow for enhanced search and filtering capabilities within a given catalog or across catalogs</t>
  </si>
  <si>
    <t xml:space="preserve">As a CM Platform user, I need data filters that allow for searching within and across catalogs  </t>
  </si>
  <si>
    <t>Ensure system can efficiently:
- Enable search and filtering capabilities with a given catalog and across catalogs</t>
  </si>
  <si>
    <t>CAT-8</t>
  </si>
  <si>
    <t>Can be used to categorize and compare products and services, including their prices.</t>
  </si>
  <si>
    <t>As a CO/CS, I need to be able to categorize products and services to include new product submissions</t>
  </si>
  <si>
    <t>Ensure system can categorize and compare products and services.</t>
  </si>
  <si>
    <t>CAT-9</t>
  </si>
  <si>
    <t>Provides an easy mechanism to manage item prices.</t>
  </si>
  <si>
    <t>As a vendor, I need to be able to easily update the prices of the items in my catalog</t>
  </si>
  <si>
    <t>Ensure system can efficiently:
- Enable easy management of item prices from a vendor perspective.</t>
  </si>
  <si>
    <t>CAT-10</t>
  </si>
  <si>
    <t>Provides an easy and intuitive mechanism to manage item prices.</t>
  </si>
  <si>
    <t>As a CO/CS, I need to have the ability to easily approve any updates to item prices.</t>
  </si>
  <si>
    <t>Ensure system can efficiently:
- Enable easy management of item prices from a CO/CS perspective.</t>
  </si>
  <si>
    <t>CAT-11</t>
  </si>
  <si>
    <t>Catalog versioning and availability of older catalog versions for comparison and review by contracting officers for a given vendor</t>
  </si>
  <si>
    <t>As a GSA CM Platform user, I need to be able to compare historical item pricing and overall product offerings from previous catalogs, for a given vendor</t>
  </si>
  <si>
    <t>Ensure system can efficiently:
- Enable review and analysis of historic catalog information, for a given vendor</t>
  </si>
  <si>
    <t>CAT-12</t>
  </si>
  <si>
    <t>Catalog versioning and availability of older catalog versions for comparison and review by contracting officers across vendors</t>
  </si>
  <si>
    <t>As a GSA CM Platform user, I need to be able to compare historical item pricing and overall product offerings from previous catalogs, across two different vendors</t>
  </si>
  <si>
    <t>Ensure system can efficiently:
- Enable review and analysis of historic catalog information, across vendors</t>
  </si>
  <si>
    <t>CAT-13</t>
  </si>
  <si>
    <t>Provide a mechanism to report internal and externally identified metrics.</t>
  </si>
  <si>
    <t xml:space="preserve">As a CM Platform user, I need to be able to access and track metrics relevant to my catalog. </t>
  </si>
  <si>
    <t>Ensure system can efficiently:
- Display metrics and enable customized reports to be downloaded</t>
  </si>
  <si>
    <t>CAT-14</t>
  </si>
  <si>
    <t>Reliability</t>
  </si>
  <si>
    <t>Perform data integrity validation upon vendor catalog upload and notify them of errors and warnings immediately so that they could fix and resubmit catalogs, if needed.</t>
  </si>
  <si>
    <t>As a Vendor, upon uploading of catalog, get notified of any issues with the catalog and a means to resubmit either the entire catalog or unprocessed portions of the catalog that had errors.</t>
  </si>
  <si>
    <t>Ensure system can efficiently:
- Validate catalog uploads
- Notify contractors of errors
- Enable correction of errors
- Enable resubmission of catalog</t>
  </si>
  <si>
    <t>CAT-15</t>
  </si>
  <si>
    <t>Enrich and/or standardize the data across catalogs.</t>
  </si>
  <si>
    <t>Allow for the CM Platform user to see enriched and standardized data, such as a standardized manufacturer name, part number or picture of an item that was not supplied in that manner by the vendor</t>
  </si>
  <si>
    <t>Ensure system can efficiently:
- Standardize data across catalogs</t>
  </si>
  <si>
    <t>CAT-16</t>
  </si>
  <si>
    <t>Flexibility</t>
  </si>
  <si>
    <t>Allow for configuration of catalog items such as varying markup.</t>
  </si>
  <si>
    <t>Describing Agency Needs</t>
  </si>
  <si>
    <t>Allow for the CM Platform user to easily manipulate attributes applied to catalog items such as discounts, markups, etc.</t>
  </si>
  <si>
    <t>Ensure system can efficiently:
- Allow configuration of catalog items such as varying markup</t>
  </si>
  <si>
    <t>Requirements
 OMB MAX Business Case
 Program Change Requests
This tab contains OMB MAX business cases, program change requests (e.g., 1649, 88, etc.), agency requirements and other technical documents. Also included in this section is the market research documentation used to help define the agency requirement. It includes pre- and post-award changes to the documents covered by this Tab.</t>
  </si>
  <si>
    <t>FAR 11.1 - Selecting and Developing Requirements Documents
 FAR 11,2 - Using and Maintaining Requirements Documents
 FAR 12.202 - Market Research and Description of Agency Need
 GSAR 511.1 - Selecting and Developing Requirements Documents
 GSAR 511.2 - Using and Maintaining Requirements Documents
 FAS IL 2011-08 - Submission of Change Request for a Federal Supply Schedule (FSS) – The 1649 Process
 FAS IL 2014-01 - Development, Review and Approval of Business Cases for Government Wide Acquisition Contracts, Multi-Agency and Agency Specific Vehicles
 Revised March 30, 2015</t>
  </si>
  <si>
    <t>CAT-17</t>
  </si>
  <si>
    <t>The solution should include Product Information Management (PIM) such as categories, images, features, specifications, prices and Master Data Management (MDM)</t>
  </si>
  <si>
    <t xml:space="preserve">Identify industry standards for a catalog management solution in regards to Product Information Management (ie. metadata) and Master Data Management and apply best practices. </t>
  </si>
  <si>
    <t xml:space="preserve">Ensure system can:
- Include Product Information Management
- Include Master Data Management </t>
  </si>
  <si>
    <t>CAT-18</t>
  </si>
  <si>
    <t>Be able to accept vendor catalogs in multiple commonly used formats.</t>
  </si>
  <si>
    <t>Accept catalogs per the identified formats for catalogs.</t>
  </si>
  <si>
    <t>Ensure system can efficiently:
- Accept catalogs in multiple commonly used formats</t>
  </si>
  <si>
    <t>CAT-19</t>
  </si>
  <si>
    <t>Be able to produce catalogs in multiple formats.</t>
  </si>
  <si>
    <t>Generate and publish catalogs per identified formats for catalogs.</t>
  </si>
  <si>
    <t>Ensure system can efficiently:
- Produce catalogs in mulitple used formats</t>
  </si>
  <si>
    <t>CAT-20</t>
  </si>
  <si>
    <t>Efficiently and expeditiously push/publish the appropriate catalogs to multiple destination order processing and order management systems such as OMS, GECO, Advantage, Fedmall etc.</t>
  </si>
  <si>
    <t>Efficiently push/publish to multiple destinations to conform to the identified SLA for publishing catalog.</t>
  </si>
  <si>
    <t>Ensure system can efficiently:
- Push/Publish catalogs to recipient systems</t>
  </si>
  <si>
    <t>CAT-21</t>
  </si>
  <si>
    <t>Be able to integrate with third party systems that can help with enriching data. (eg. from XSB or from the manufacturer, icecat, sprichard etc.).</t>
  </si>
  <si>
    <t>Integrate with identified third party systems that need to be integrated with.</t>
  </si>
  <si>
    <t>Ensure system can efficiently:
- Integrate with third party systems</t>
  </si>
  <si>
    <t>CAT-22</t>
  </si>
  <si>
    <t>Easily update catalogs upon GSA initiated contractual actions in accordance to regulations. (eg. as a result of Trade Agreements Act (TAA), Essentially The Same(ETS), COO, MIA, removal of items from catalog may be warranted)</t>
  </si>
  <si>
    <t>As a CO/CS, performing contractual actions that comply with regulations and update the catalogs accordingly.</t>
  </si>
  <si>
    <t>Ensure system can quickly:
- Update catalogs when government-initiated actions occur</t>
  </si>
  <si>
    <t>CAT-23</t>
  </si>
  <si>
    <t>Easily update catalogs upon vendor initiated actions (eg. non-product availability)</t>
  </si>
  <si>
    <t>As a vendor, performing catalog updates on items update the catalogs within the CM Platform.</t>
  </si>
  <si>
    <t>Ensure system can quickly:
- Update catalogs when vendor-initiated actions occur</t>
  </si>
  <si>
    <t>CAT-24</t>
  </si>
  <si>
    <t>Allow cross-selling, or up-selling capability.</t>
  </si>
  <si>
    <t>As a CM Platform user, I need to be able to group/bundle related products to establish cross and upsell relationships between products</t>
  </si>
  <si>
    <t>Ensure system can efficiently:
- Permit cross-selling or up-selling capability</t>
  </si>
  <si>
    <t>CAT-25</t>
  </si>
  <si>
    <t>Easily scale to handle processing and distribution of large catalogs (i.e more than 1,000,000 items)</t>
  </si>
  <si>
    <t>Increase the size of catalogs and ensure that the system is able handle per the identified SLA for processing and distribution of catalogs.</t>
  </si>
  <si>
    <t>Ensure system can efficiently:
- Scale to handle processing and distribution of large catalogs</t>
  </si>
  <si>
    <t>CAT-26</t>
  </si>
  <si>
    <t>Easily scale to handle increased set of recipient systems for catalog distribution</t>
  </si>
  <si>
    <t>Increase the number of recipient systems and ensure that the system is able handle per the identified SLA for catalog distribution to recipient systems.</t>
  </si>
  <si>
    <t>Ensure system can  scale to handle increased set of recipient systems for catalog distribution</t>
  </si>
  <si>
    <t>CAT-27</t>
  </si>
  <si>
    <t>Solution should be able to scale to handle for increasing types of contracts based on implementation within the Contract Acquisition Life-cycle Management System.</t>
  </si>
  <si>
    <t>Increase the number of contract types and ensure that the system is able handle per the identified SLA for catalog distribution across contract types.</t>
  </si>
  <si>
    <t>Ensure system can efficiently:
- Scale to handle increased types of contracts on implementation in system</t>
  </si>
  <si>
    <t>CAT-28</t>
  </si>
  <si>
    <t>Meet or exceed industry standards with respect to system availability.</t>
  </si>
  <si>
    <t>Identify industry standards for system availability and ensure that the system is available per the identified SLA.</t>
  </si>
  <si>
    <t>Ensure system can:
- Deliver system availability in accordance with industry standards</t>
  </si>
  <si>
    <t>Acquisition Strategy</t>
  </si>
  <si>
    <t>Acquisition Plan
 Source Selection/Technical Evaluation Plans
 Waivers/Deviations
 Contract Bundling/Analysis
 A-76
 This tab contains the acquisition plan, source selection or technical evaluation plan, identification of government team, conflict of interest/non-disclosure forms, GSA Form 3617 Record of Authorization of Access to Proprietary or Source Selection Information, A76 determinations, market research findings for the purpose of identifying sources, customary commercial practices and pricing structures, and ensuring solicitation clauses are consistent. If the solicitation is tailored in a manner inconsistent with commercial practice, this tab must include a clause waiver from the Senior Procurement Executive. Lastly, include pre- and post-award changes to the documents covered by this Tab.</t>
  </si>
  <si>
    <t>FAR 7.105 - Contents of Written Acquisition Plans
 GSAM 507.1 - Acquisition Plans
 GSA Form 3617 - Record of Authorization of Access to Proprietary or Source Selection Information
 GSA Administrator Memo dated 10/11/2012 - Updated Preferred Use of Existing GSA Contract Vehicles
 AA 2014-07 - Guidance on Use of Existing GSA Acquisition Vehicles While Meeting GSA's Acquisition Goals
 PIN 2015-01 - Advanced Acquisition Planning</t>
  </si>
  <si>
    <t>FAR 7.105</t>
  </si>
  <si>
    <t>GSAM 507.1</t>
  </si>
  <si>
    <t>GSA Form 3617</t>
  </si>
  <si>
    <t>GSA Adim Memo dated 10.11.2012</t>
  </si>
  <si>
    <t>AA-2014-07</t>
  </si>
  <si>
    <t>PIN 2015-01</t>
  </si>
  <si>
    <t>Determinations/Findings/Justifications</t>
  </si>
  <si>
    <t>Determinations and Findings/Justification
 This tab contains D&amp;Fs required when taking certain contracting actions (e.g., ratifications, limited/sole source, period of performance in excess of 5 years, Section 508 exceptions, T&amp;M or Labor Hour contracts, etc.), CO justification to use other than full and open competition, and authorization to use Government supply sources. Lastly, include pre- and post-award changes to the documents covered by this Tab.</t>
  </si>
  <si>
    <t>FAR 1.7 - Determination and Findings
 FAR 6.2 - Full and Open Competition After Exclusion of Sources
 FAR 6.3 - Other Than Full and Open Competition
 FAR 51.102(a) - Authorization to Use Government Supply Sources
 GSAM 501.7 - Determination and Findings
 GSAM 506.2 - Full and Open Competition After Exclusion of Sources
 GSAM 506.3 - Other Than Full and Open Competitions
 MV 11-06 - Requirements for Preparation of Class Deviations to the GSAM
 AA 2015-06 - Procedures for Requesting Approval from the GSA Senior Procurement Executive (SPE)
 FAS Memo Dated 02/12/2015, Revised 03/21/2015 - Routing Procurement Documentation Requiring the FAS Commissioner and/or the Senior Procurement Executive (SPE) approval or concurrence
 PIN 2009-02 - Time and Materials (T&amp;M) and Labor Hour (LH) Task Orders Awarded Under GWAC Contracts --Ordering Contracting Officers and Contract Specialists</t>
  </si>
  <si>
    <t>FAR 1.7</t>
  </si>
  <si>
    <t>FAR 6.2</t>
  </si>
  <si>
    <t>FAR 6.3</t>
  </si>
  <si>
    <t>FAR 51.102(a)</t>
  </si>
  <si>
    <t>GSAM 501.7</t>
  </si>
  <si>
    <t>GSAM 506.2</t>
  </si>
  <si>
    <t>GSAM 506.3</t>
  </si>
  <si>
    <t>ML 11-06</t>
  </si>
  <si>
    <t>AA-2015-06</t>
  </si>
  <si>
    <t>Routing Procurement Documentation</t>
  </si>
  <si>
    <t>PIN 2009-02</t>
  </si>
  <si>
    <t>Department of Labor Wage Determinations</t>
  </si>
  <si>
    <t>Department of Labor Wage Determinations
 This tab contains information related to wage determinations as well as the actual determinations and updates thereto. Lastly, include pre- and post-award changes to the documents covered by this Tab.</t>
  </si>
  <si>
    <t>FAR 22.10 - Service Contract Labor Standards
 FAR 22.1008 - Procedures for Obtaining Wage Determinations
 GSAM 522.10 - Service Contract Labor Standards 
 IL 2014-6 - Implementation of Service Contract Act in Federal Supply Schedule (FSS) Contracts</t>
  </si>
  <si>
    <t>FAR 22.10</t>
  </si>
  <si>
    <t>FAR 22.1008</t>
  </si>
  <si>
    <t>GSAM 522.10</t>
  </si>
  <si>
    <t>IL 2014-06</t>
  </si>
  <si>
    <t>Small Business Set-Aside Determination</t>
  </si>
  <si>
    <t>Approved 2689
 Supporting Documentation
 This tab contains all information related to set aside determinations to include 8a requests to nominate SBA subcontractors.</t>
  </si>
  <si>
    <t xml:space="preserve">FAR 19.5 - Set Asides for Small Business
 GSAM 519.5 - Set Asides for Small Business
 AA 2016-03 - Set-Asides on Federal Supply Schedules
 AA 2012-08 - Small Business Set-Asides under the Simplified Acquisition Threshold (SAT)
</t>
  </si>
  <si>
    <t>FAR 19.5</t>
  </si>
  <si>
    <t>GSAM 519.5</t>
  </si>
  <si>
    <t>AA-2016-03</t>
  </si>
  <si>
    <t>AA-2012-08</t>
  </si>
  <si>
    <t>Source List</t>
  </si>
  <si>
    <t>Sources
 This tab contains all information pertaining to the distribution of the solicitation</t>
  </si>
  <si>
    <t>FAR 14.203 - Methods for Soliciting Bids
 FAR 14.205 - Presolicitation Notices
 FAR 15.203 - Requests for Proposals
 FAR 15.205 - Issuing Solicitations</t>
  </si>
  <si>
    <t>FAR 14.203</t>
  </si>
  <si>
    <t>FAR 14.205</t>
  </si>
  <si>
    <t>FAR 15.203</t>
  </si>
  <si>
    <t>FAR 15.205</t>
  </si>
  <si>
    <t>Synopsis or Advertisement</t>
  </si>
  <si>
    <t>Synopsis/Advertisement
 This tab contains the FBO notice and posting confirmation</t>
  </si>
  <si>
    <t>FAR 5.2 - Synopses of Proposed Contract Actions
 GSAR 5050.2 - Synopses of Proposed Contract Actions</t>
  </si>
  <si>
    <t>FAR 5.2</t>
  </si>
  <si>
    <t>GSAM 505.2</t>
  </si>
  <si>
    <t>Presolicitation Notice/Conference</t>
  </si>
  <si>
    <t>Pre-solicitation/Pre-proposal Notice
 This tab contains the pre solicitation or pre-proposal notifications, along with a complete record of the meeting (e.g., transcript, video, audio, etc.), including exchanges with industry before receipt of proposals/quotes.</t>
  </si>
  <si>
    <t>FAR 5.204 - Presolicitation Notices
 FAR 14.205 - Presolicitation Notices
 FAR 14.207 - Pre-Bid Conference
 FAR 15.201 - Exchanges With Industry Before Receipt of Proposals
 GSAM 515.201 - Exchanges With Industry Before Receipt of Proposals</t>
  </si>
  <si>
    <t>FAR 5.204</t>
  </si>
  <si>
    <t>FAR 14.207</t>
  </si>
  <si>
    <t>FAR 15.201</t>
  </si>
  <si>
    <t>GSAM 515.201</t>
  </si>
  <si>
    <t>RFP/RFQ and Amendment</t>
  </si>
  <si>
    <t>RFP/RFQ
 Amendments
 Clauses/Provisions
 This tab contains a copy of the RFP/RFQ and any amendments and a copy of any clauses incorporated by reference so you know what version was used when the contract was awarded. It is highly recommended that you include a conformed copy (meaning one that includes all amendments) of the RFP/RFQ to simplify contract administration. This tab includes solicitation refreshes and Interact postings for Federal Supply Schedules.</t>
  </si>
  <si>
    <t>FAR 8.405-2 - Ordering Procedures for Services Requiring a Statement of Work
 FAR 12.204 - Solicitation/Contract Form
 FAR 12.3 - Solicitation Provisions and Contract Clauses for the Acquisition of Commercial Items
 FAR 14.201 - Preparation of Invitations for Bids
 FAR 15.204 - Contract Format
 FAR 52 - Solicitation Provisions and Contract Clauses
 FAR 52.3 - Provision and Clause Matrix
 GSAM 512.3 - Solicitation Provisions and Contract Clauses for the Acquisition of Commercial Items
 GSAM 514.201 - Preparation for Invitations for Bids
 GSAM 515.203 - Contract Format
 GSAM 552 - Provision and Clause Matrixes
 GSAM 552.3 - Provision and Clause Matrixes
 FAS IL 2014-08 - Federal Supply Schedule (FSS) Solicitation Review and Refresh Management
 PAP 2015-06 - Requirement for Posting Notifications of Planned Federal Supply Schedule (FSS) Solicitation Refreshes and Mass Modifications to GSA Interact Revised on April 3, 2016</t>
  </si>
  <si>
    <t>FAR 8.405-2</t>
  </si>
  <si>
    <t>FAR 12.204</t>
  </si>
  <si>
    <t>FAR 12.3</t>
  </si>
  <si>
    <t>FAR 14.201</t>
  </si>
  <si>
    <t>FAR 15.204</t>
  </si>
  <si>
    <t>FAR 52</t>
  </si>
  <si>
    <t>FAR 52.3</t>
  </si>
  <si>
    <t>GSAM 512.301</t>
  </si>
  <si>
    <t>GSAM 514.201</t>
  </si>
  <si>
    <t>GSAM 515.204</t>
  </si>
  <si>
    <t>GSAM 552</t>
  </si>
  <si>
    <t>GSAM 552.3</t>
  </si>
  <si>
    <t>IL 2014-08</t>
  </si>
  <si>
    <t>PAP2015-06</t>
  </si>
  <si>
    <t>Abstract of Bids/Proposals</t>
  </si>
  <si>
    <t>Abstract
 This tab contains a record of the offers received and (e.g., SF 1409, GSA Form 1378, or other record of offers received).</t>
  </si>
  <si>
    <t>FAR 14.403 - Recording of Bids
 GSAM 514.401(b) - Scheduled Bid Opening Time</t>
  </si>
  <si>
    <t>FAR 14.403</t>
  </si>
  <si>
    <t>GSAM 514.401(b)</t>
  </si>
  <si>
    <t>Cost or Pricing Data or Waiver</t>
  </si>
  <si>
    <t>Cost or Pricing Data
 Information Other Than Cost or Pricing Data
 The tab contains all information related to cost or pricing data or waivers and information other than cost or pricing data such as CSP. Sales information submitted in the CSP format under MAS should be filed here.Lastly, include pre- and post-award changes to the documents covered by this Tab.</t>
  </si>
  <si>
    <t>FAR 15.4 - Contract Pricing
 GSAR - 515.4 - Contract Pricing</t>
  </si>
  <si>
    <t>FAR 15.4</t>
  </si>
  <si>
    <t>GSAM 515.4</t>
  </si>
  <si>
    <t>Field Pricing Report (Audit)</t>
  </si>
  <si>
    <t>Preaward Audit
 This tab contains all information related to Preaward audits (e.g., request for audit, audit report, any accompanying correspondence). File any pre-award audits associated with the exercise of a MAS option period under this tab as well.</t>
  </si>
  <si>
    <t xml:space="preserve">FAR 15.404-2(a) - Field Pricing Assistance
 FAR 15.404-2(c) - Audit Assistance for Prime Contracts or Subcontracts
 GSAM 515.404-2 - Information to Support Proposal Analysis
 GSA Directive ADM P 2030.2(D) - Internal Audit Followup HB
 PIN 2012-04 - Verification of MFC Pricing
 PAP 2019-02: Contracting Officer Responsibilities Pursuant to GSA Office of Inspector General Contract Audits of Federal Supply Schedule Program Contracts 
</t>
  </si>
  <si>
    <t>FAR 15.404-2(a)</t>
  </si>
  <si>
    <t>FAR 15.404-2(c)</t>
  </si>
  <si>
    <t>GSAM 515.404-2</t>
  </si>
  <si>
    <t>Internal Audit Handbook</t>
  </si>
  <si>
    <t>PIN 2012-04</t>
  </si>
  <si>
    <t>PAP 2019-02</t>
  </si>
  <si>
    <t>Cost or Price and Technical Analysis Report</t>
  </si>
  <si>
    <t>Cost or Price and Technical Analysis Report (prenegotiation objectives) - GSAM 504.803.B14
 Supporting Documentation
 This tab contains the cost or price analysis, pre-negotiation memorandum, and market research performed with regard to pricing. (NOTE: The CSP and supporting CSP documentation (e.g., invoices, copies of contracts) should be filed in Tab 12, Information Other Than Cost or Pricing Data.) Tab 14 should also include a summary of the technical analysis results and identify whether any technical issues are to be negotiated and negotiation objectives (with price/technical tradeoffs, if applicable). PRENEGS ASSOCIATED WITH CONTRACT MODIFICATIONS SHOULD BE FILED WITH THE CONTRACT MODIFICATION IN TAB 40b, MEMO TO FILE.</t>
  </si>
  <si>
    <t>FAR 14.408-2 - Responsible Bidder - Reasonable of Price
 FAR 15.102 - Oral Presentations
 FAR 15.4 - Contract Pricing
 GSAM 515-4 - Contract Pricing
 PaP 2016-11 - Transactional Data Reporting - Federal Supply Schedule Program Implementation Program
 FAS IL 2011-02 - Mandating the Use of Pre-Negotiation, Price Negotiation, and Final Proposal Revision Templates for the Federal Supply Schedules Program and its supplements</t>
  </si>
  <si>
    <t>FAR 14.408-2</t>
  </si>
  <si>
    <t>FAR 15.102</t>
  </si>
  <si>
    <t>GSAM 515-4</t>
  </si>
  <si>
    <t>PAP 2016-11</t>
  </si>
  <si>
    <t>IL 2011-02</t>
  </si>
  <si>
    <t>Price Negotiation Memorandum</t>
  </si>
  <si>
    <t>Price Negotiation Memorandum
 Supporting Documentation
 This tab contains the PNM and supporting documentation, Reconstruct all major parts of the acquisition process from inception of the procurement through negotiations in chronological order. NEGOTIATION MEMOS ASSOCIATED WITH CONTRACT MODIFICATIONS SHOULD BE FILED WITH THE CONTRACT MODIFICATION IN TAB 40b, MEMO TO FILE.</t>
  </si>
  <si>
    <t>FAR 15.102 - Oral Presentations
 FAR 15.305 - Proposal Evaluation
 FAR 15.307 - Proposal Revisions
 FAR 15.308 - Source Selection Decision
 FAR 15.406-3 - Documentation the Negotiation
 IL 2011-02 - Mandating the Use of Pre-Negotiation, Price Negotiation, and Final Proposal Revision Templates for the Federal Supply Schedules Program and its supplements</t>
  </si>
  <si>
    <t>FAR 15.305</t>
  </si>
  <si>
    <t>FAR 15.307</t>
  </si>
  <si>
    <t>FAR 15.308</t>
  </si>
  <si>
    <t>FAR 15.406-3</t>
  </si>
  <si>
    <t>Certificate
 This tab contains all information related to cost or pricing data. Lastly, include pre- and post-award changes to the documents covered by this Tab.</t>
  </si>
  <si>
    <t>FAR 15.403-4(b) - Requiring Cost or Pricing Data
 FAR 15.406-2 - Certificate of Current Cost or Pricing Data
 GSAM 515.403-4 - Requiring Cost or Pricing Data</t>
  </si>
  <si>
    <t>FAR 15.403-4(b)</t>
  </si>
  <si>
    <t>FAR 15.406-2</t>
  </si>
  <si>
    <t>GSAM 515.403-4</t>
  </si>
  <si>
    <t>Responsibility Determination</t>
  </si>
  <si>
    <t>Responsibility Determination
 Past Performance
 Reps &amp; Certs
 Technical Evaluations
 Supporting Documentation
 This tab contains forms (e.g., GSA Form 527, GSA Form 353, SF 1403), record of reference checks, D&amp;B reports, Certificate of Competency, past performance information, EPLS, contractor assessment reports, SAM, Technical Evaluations and Letters of Commitment.</t>
  </si>
  <si>
    <t>FAR 9.103 - Policy
 FAR 9.104-1 - General Standards
 FAR 9.105-1 - Obtaining Information
 FAR 9.105-2 - Determinations and Documentation
 FAR 9.106 - Preaward Surveys
 FAR 4.1102 - Policy
 FAR 4.1201 - Policy
 AA 2006-03 - Responsibility Determination Involving Contractor Tax Issues
 AA 2005-01 - Responsibility Determination Of Prospective Contractors
 IL 2011-06 - Implementation of the Requirement for Federal Awardee Performance and Integrity Information</t>
  </si>
  <si>
    <t>FAR 9.103</t>
  </si>
  <si>
    <t>FAR 9.104-1</t>
  </si>
  <si>
    <t>FAR 9.105-1</t>
  </si>
  <si>
    <t>FAR 9.105-2</t>
  </si>
  <si>
    <t>FAR 9.106</t>
  </si>
  <si>
    <t>FAR 4.1102</t>
  </si>
  <si>
    <t>FAR 4.1201</t>
  </si>
  <si>
    <t>AA-2006-03</t>
  </si>
  <si>
    <t>AA-2005-01</t>
  </si>
  <si>
    <t>IL 2011-06</t>
  </si>
  <si>
    <t>EEO Compliance Review</t>
  </si>
  <si>
    <t>EEO Compliance Review
 This tab contains EEO Clearance.</t>
  </si>
  <si>
    <t>FAR 22.8 - Equal Employment Opportunity
 GSAR 522.805 - Procedures</t>
  </si>
  <si>
    <t>FAR 22.8</t>
  </si>
  <si>
    <t>GSAM 522.805</t>
  </si>
  <si>
    <t>No Bid/No Proposal Correspondence</t>
  </si>
  <si>
    <t>No Bid/Proposal
 This tab contains correspondence that indicates that offerers are not interested or do not plan to submit a bid/proposal</t>
  </si>
  <si>
    <t>FAR 14.205 - Presolicitation Notices 
 FAR 15.2 - Solicitation and Receipt of Proposals and Information</t>
  </si>
  <si>
    <t>FAR 15.2</t>
  </si>
  <si>
    <t>Unsuccessful Bids/Proposals</t>
  </si>
  <si>
    <t>Unsuccessful Bids and Proposals
 Pre-Award Debriefings
 Post-Award Debriefings
 This tab contains information related to unsuccessful bids, copies of the written notice required by FAR 15.306(c)(3), copies of rejection documentation and/or no award letter, and a summary of any debriefing.</t>
  </si>
  <si>
    <t>FAR 14.301 - Responsiveness of Bids
 FAR 14.404-2 - Rejection of Individual Bids
 FAR 14.408-2 - Responsible Bidder--Reasonableness of Price
 FAR 15.102(e) - Record of Oral Presentations
 FAR 15.306(c) - Competitive Range
 FAR 15.503 - Notifications to Unsuccessful Offerors
 FAR 15.505 - Pre-Award Debriefing of Offerors
 FAR 15.506 - Post-Award Debriefing of Offerors</t>
  </si>
  <si>
    <t>FAR 14.301</t>
  </si>
  <si>
    <t>FAR 14.404-2</t>
  </si>
  <si>
    <t>FAR 15.102(e)</t>
  </si>
  <si>
    <t>FAR 15.306(c)</t>
  </si>
  <si>
    <t>FAR 15.503</t>
  </si>
  <si>
    <t>FAR 15.505</t>
  </si>
  <si>
    <t>FAR 15.506</t>
  </si>
  <si>
    <t>Mistakes in Bids/Protests</t>
  </si>
  <si>
    <t>Mistakes
 Protests
 This tab contains information related to mistakes in bids and any protests placed.</t>
  </si>
  <si>
    <t>FAR 14.407 - Mistakes in Bids
 FAR 15.508 - Discovery of Mistakes
 FAR 33.1 - Protests
 GSAR 514.407 - Mistakes in Bids
 GSAR 533.1 - Protests</t>
  </si>
  <si>
    <t>FAR 14.407</t>
  </si>
  <si>
    <t>FAR 15.508</t>
  </si>
  <si>
    <t>FAR 33.1</t>
  </si>
  <si>
    <t>GSAM 514.407</t>
  </si>
  <si>
    <t>GSAM 533.1</t>
  </si>
  <si>
    <t>Late Bids/Proposals</t>
  </si>
  <si>
    <t>Late Proposals/Revisions/Modification or Late Withdrawal of Proposals
 This tab contains late offers and related correspondence.</t>
  </si>
  <si>
    <t>FAR 14.304 - Submission, Modification, and Withdrawal of Bids
 FAR 15.208 - Submission, Modification, Revision, and Withdrawal of Proposals
 GSAM 514.304 - Late Bids, Late Modification of Bids, or Late Withdrawal of Bids
 GSAM 515.208 - Submission, Modification, Revision, and Withdrawal of Proposals</t>
  </si>
  <si>
    <t>FAR 14.304</t>
  </si>
  <si>
    <t>FAR 15.208</t>
  </si>
  <si>
    <t>GSAM 514.304</t>
  </si>
  <si>
    <t>GSAM 515.208</t>
  </si>
  <si>
    <t>Contractual Action</t>
  </si>
  <si>
    <t>Contractual Action
 Supporting Documentation
 This tab contains the complete contract (e.g., the signed proposal as established after evaluations and/or negotiations are completed (inclusive of final proposal revisions); all successful offerors correspondence being made a part of the contract; the signed contract with all attachments and amendments; extensions of bids/proposals; the acceptable subcontracting plans with all required approvals; and a checklist for review of subcontracting plan (formerly the GSA Form 3584). It also includes forms such as SF 26, SF 33, SF 1449, and GSA 1584). ONLY INCLUDE FINAL DOCUMENTS INTO THIS TAB.</t>
  </si>
  <si>
    <t>FAR 4.1 - Contract Execution
 PAP 2015-05 - Implementation of the Electronic Contract File (ECF)
 PAP 2015-04 - Establishing the Electronic Content Management Solution (ECMS) as the Repository for all Non-Federal Supply Schedules Contracts
 PAP 2016-06 - Schedules Electronic Contract File Compliance And Standardized Naming Coventions</t>
  </si>
  <si>
    <t>FAR 4.1</t>
  </si>
  <si>
    <t>PAP 2015-05</t>
  </si>
  <si>
    <t>PAP 2015-04</t>
  </si>
  <si>
    <t>PAP 2016-06</t>
  </si>
  <si>
    <t>23a</t>
  </si>
  <si>
    <t>23b</t>
  </si>
  <si>
    <t>Subcontracting Plan</t>
  </si>
  <si>
    <t>Subcontracting Plan
 Checklist
 Subcontracting Reports
 This tab contains the approved subcontracting plan, the checklist, subcontracting reports, and post-award correspondence regarding subcontracting plans/reports.</t>
  </si>
  <si>
    <t>FAR 19.702 - Statutory Requirements
 FAR 19.705-5(a)(5) - Acceptable Subcontracting Plans</t>
  </si>
  <si>
    <t>FAR 19.702</t>
  </si>
  <si>
    <t>FAR 19.705-5(a)(5)</t>
  </si>
  <si>
    <t>23c</t>
  </si>
  <si>
    <t>Supporting Documents</t>
  </si>
  <si>
    <t>Supporting Documentation</t>
  </si>
  <si>
    <t>Legal Review</t>
  </si>
  <si>
    <t>Legal Review
 FOIA/Congressionals
 This tab contains legal comments and approvals of awards, exceptions to solicitation terms/conditions, FOIAS/Congressionals, protests, and contract administration issues such as novations, bankruptcy, termination actions, settlement agreements, patent/copyright issues, disputes, etc. Lastly, include pre- and post-award additions/changes to the documents covered by this Tab.</t>
  </si>
  <si>
    <t>ADM 5000.4B - Office of General Counsel Legal Review</t>
  </si>
  <si>
    <t>ADM 5000.4B</t>
  </si>
  <si>
    <t>Recommendation for Award</t>
  </si>
  <si>
    <t>GSA Form 1535
 This tab contains the GSA Form 1535.</t>
  </si>
  <si>
    <t>GSA Acquisition Manual 2800.12B APD P
 IL 2012-02 - Clarification of GSAM 504.803(b)(25) the use of GSA Form 1535 in Federal Supply Schedule Contract Awards</t>
  </si>
  <si>
    <t>GSA Acquisition Manual</t>
  </si>
  <si>
    <t>IL 2012-02</t>
  </si>
  <si>
    <t>Any Notices</t>
  </si>
  <si>
    <t>Notices
 This tab contains notices of awards, FBO award notices, and approved press releases regarding the award.</t>
  </si>
  <si>
    <t xml:space="preserve">FAR 5.303 - Announcement of Contract Awards
 GSAM 505.303-70 - Notification of Proposed Substantial Awards and Awards Involving Congressional Interest
</t>
  </si>
  <si>
    <t>FAR 5.303</t>
  </si>
  <si>
    <t>GSAM 505.303-70</t>
  </si>
  <si>
    <t>Contract Reporting</t>
  </si>
  <si>
    <t>Contract Load
 FPDS Record
 This tab contains the FPDS record as well as the FSS Online contract load. Lastly, include pre- and post-award changes to the documents covered by this Tab.</t>
  </si>
  <si>
    <t>FAR 4.602 - Contract Reporting
 GSAM 504.6 - Contract Reporting
 FAS IL 2014-05 - Populating the Major Program and Program Acronym Data Fields for Certain New Acquisition Vehicle Awards</t>
  </si>
  <si>
    <t>FAR 4.6</t>
  </si>
  <si>
    <t>GSAM 504.6</t>
  </si>
  <si>
    <t>IL 2014-05</t>
  </si>
  <si>
    <t>Required Approval/Clearance</t>
  </si>
  <si>
    <t>Required Approvals and Clearance
 This tab contains contract review approvals (e.g., PNCPs, contract review boards, etc), both pre- and post-award.</t>
  </si>
  <si>
    <t xml:space="preserve">FAS IL 2011-15 - Revision of the Acquisition Quality Measurement and Improvement Program
 FAS Memo Dated July 31, 2006, and supplemented on September 25, 2006 - Pre-Award Reviews for Assisted Services Acquisitions and Special Order Program (SOP)
</t>
  </si>
  <si>
    <t>IL 2011-15</t>
  </si>
  <si>
    <t>FAS Memo Date July 31, 2006</t>
  </si>
  <si>
    <t>Notice to Proceed</t>
  </si>
  <si>
    <t>Notifications
 This tab contains information related to notices to proceed. This includes test reports, correspondence, test failures, etc. Include pre- and post-award changes to the documents covered by this Tab.</t>
  </si>
  <si>
    <t>FAR 9.3 - First Article Testing and Approval
 GSAM 509.3 - First Article Testing and Approval
 ACO Internal Guidance Handbook at https://sites.google.com/a/gsa.gov/suppliermanagement/home
 IOA Manual at https://sites.google.com/a/gsa.gov/suppliermanagement/home</t>
  </si>
  <si>
    <t>FAR 9.3</t>
  </si>
  <si>
    <t>GSAM 509.3</t>
  </si>
  <si>
    <t>ACO Internal Guidance</t>
  </si>
  <si>
    <t>IOA Manual</t>
  </si>
  <si>
    <t>Contract Bonds/Insurance</t>
  </si>
  <si>
    <t>Contract Bonds/Insurance
 This tab contains all information related to contract bonds and insurance. It includes the CO's written determination that a bond is needed and certificates of insurance from the contractor. Lastly, include pre- and post-award changes to the documents covered by this Tab.</t>
  </si>
  <si>
    <t>FAR 28.102 - Performance and Payment Bonds and Alternative Payment Protections for Construction Contracts
 FAR 28.103 - Performance and Payment Bonds for Other Than Construction Contracts
 FAR 28.3 - Insurance
 GSAM 528.102 - Performance and Payment Bonds and Alternative Payment Protections for Construction Contracts
 GSAM 528.103 - Performance and Payment Bonds for Other Than Construction Contracts
 GSAM 528.3 - Insurance</t>
  </si>
  <si>
    <t>FAR 28.102</t>
  </si>
  <si>
    <t>FAR 28.103</t>
  </si>
  <si>
    <t>FAR 28.3</t>
  </si>
  <si>
    <t>GSAM 528.102</t>
  </si>
  <si>
    <t>GSAM 528.103</t>
  </si>
  <si>
    <t>GSAM 528.3</t>
  </si>
  <si>
    <t>Payrolls</t>
  </si>
  <si>
    <t>Payroll
 This tab is ONLY for construction contracts and contains payroll records.</t>
  </si>
  <si>
    <t>FAR 22.1905(a)(3) - Enforcement of Executive Order Minimum Wage Requirements
 FAR 22.403-6(b)(2) - Department of Labor Regulations Regarding Construction
 FAR 22.406 - Administration and Enforcement
 GSAM 522.4 - Labor Standards for Contracts Involving Construction</t>
  </si>
  <si>
    <t>FAR 22.1905</t>
  </si>
  <si>
    <t>FAR 22.403-6</t>
  </si>
  <si>
    <t>FAR 22.406</t>
  </si>
  <si>
    <t>GSAM 522.4</t>
  </si>
  <si>
    <t>Inspection Reports</t>
  </si>
  <si>
    <t>Inspection Reports
 Supporting Documentation 
 This tab contains all forms and information related to inspection reports. This includes GSA Form 1679, GSA Form 2178, GSA Form 273, SF 368, GSA Form 3539, Quality Approved Manufacturer's Certificate, GSA Form 308, assessment reports, sales reports, labor category reviews, Trade Agreement Act reviews, etc.</t>
  </si>
  <si>
    <t>FAR 12.208 - Contract Quality Assurance
 FAR 46.6 - Material Inspection and Receiving Reports
 GSAR 546.302 - Fixed-Price Supply Contracts
 GSAR 552.238-74 - Industrial Funding Fee and Sales Reporting
 FAS IL 2013-02 - Standardized Process for Monitoring Compliance with Federal Supply Schedule Contract Sales Criteria
 FAS IL 2011-07 - Procedures for Reviewing Contractor Compliance with Prompt Payment Discount (PPD) Terms on Federal Supply Schedule (FSS) contracts
 ACO Internal Guidance Handbook at https://sites.google.com/a/gsa.gov/suppliermanagement/home
 IOA Manual at https://sites.google.com/a/gsa.gov/suppliermanagement/home</t>
  </si>
  <si>
    <t>FAR 12.208</t>
  </si>
  <si>
    <t>FAR 46.6</t>
  </si>
  <si>
    <t>GSAM 546.302</t>
  </si>
  <si>
    <t>GSAM 552.238-80</t>
  </si>
  <si>
    <t>IL 2013-02</t>
  </si>
  <si>
    <t>IL 2011-07</t>
  </si>
  <si>
    <t>32a</t>
  </si>
  <si>
    <t>Administrative Documentation</t>
  </si>
  <si>
    <t>Claims/Delinquencies
 Supporting Documentation
 This tab contains all information on claims/delinquencis and supporting documentation</t>
  </si>
  <si>
    <t>ACO Internal Guidance Handbook at https://sites.google.com/a/gsa.gov/suppliermanagement/home
 IOA Manual at https://sites.google.com/a/gsa.gov/suppliermanagement/home</t>
  </si>
  <si>
    <t>32b</t>
  </si>
  <si>
    <t>Visit Report and Assessment Report</t>
  </si>
  <si>
    <t>Assessment Report
 Supporting Documentation
 This tab contains all information on contractor visits and assessment reports, along with any supporting documentation</t>
  </si>
  <si>
    <t>Receiving Reports</t>
  </si>
  <si>
    <t>Receiving Reports
 This tab contains all forms and information related to receiving reports.</t>
  </si>
  <si>
    <t>FAR 46.6 - Material Inspection and Receiving Reports
 GSAR 542.11 - Production Surveillance and Reporting
 GSAR 552.242-70 - Status Reports of Orders and Shipment</t>
  </si>
  <si>
    <t>GSAM 542.11</t>
  </si>
  <si>
    <t>GSAM 552.242-70</t>
  </si>
  <si>
    <t>Invoices/Vouchers</t>
  </si>
  <si>
    <t>Invoices/Vouchers
 Supporting Documentation
 This tab contains all information related to invoices and vouchers (e.g., timesheet, sign in logs, etc.).</t>
  </si>
  <si>
    <t>FAR 32.905 - Payment Documentation and Process
 GSAR 532.905 - Invoice Payments
 FAS IL 2011-07 - Procedures for Reviewing Contractor Compliance with Prompt Payment Discount (PPD) Terms on Federal Supply Schedule (FSS) contracts</t>
  </si>
  <si>
    <t>FAR 32.905</t>
  </si>
  <si>
    <t>GSAM 532.905</t>
  </si>
  <si>
    <t>Special Financing Documents</t>
  </si>
  <si>
    <t>Assignments
 Special Financing 
 This tab contains assignment of claims and advanced payments. This includes the notice of assignment, the instrument of assignment, contractor notification, notification to affected parties, release of assignment, security instruments, market research on financing terms, etc.</t>
  </si>
  <si>
    <t>FAR 32.1 - Non-Commercial Item Purchase Financing
 FAR 32.2 - Commercial Item Purchase Financing
 GSAR 532.1 - Non-Commerial Item Purchase Financing
 FAR 32.8 - Assignment of Claims 
 GSAR 532.8 - Assignment of Claims</t>
  </si>
  <si>
    <t>FAR 32.1</t>
  </si>
  <si>
    <t>FAR 32.2</t>
  </si>
  <si>
    <t>GSAM 532.1</t>
  </si>
  <si>
    <t>FAR 32.8</t>
  </si>
  <si>
    <t>GSAM 532.8</t>
  </si>
  <si>
    <t>Progress Payment Record</t>
  </si>
  <si>
    <t>Progress Payment Record
 This tab contains all information related to progress payments (e.g., SF 1443 and record of payments).</t>
  </si>
  <si>
    <t>FAR 32.5 - Progress Payments Based on Costs
 GSAM 532.5 - Progress Payments Based on Costs</t>
  </si>
  <si>
    <t>FAS 32.5</t>
  </si>
  <si>
    <t>GSAM 532.5</t>
  </si>
  <si>
    <t>Final Payment Documents</t>
  </si>
  <si>
    <t>Final Payment Documents
 Release of Claims
 Final Inspection/Acceptance
 This tab contains all information related to final payment.</t>
  </si>
  <si>
    <t>FAR 32.905 - Payment Documentation and Process
 GSAM 532.905 - Payment Documentation and Process</t>
  </si>
  <si>
    <t>37a</t>
  </si>
  <si>
    <t>Contractor Release of Claims</t>
  </si>
  <si>
    <t>37b</t>
  </si>
  <si>
    <t>Final Inspection - Acceptance Report</t>
  </si>
  <si>
    <t>Post-Award Audits</t>
  </si>
  <si>
    <t>Post-Award Audit
 This tab contains all information related to post-award audits to include the request for audit, the audit report, and a company documentation.</t>
  </si>
  <si>
    <t>GSAR 515.209-70 - Examination of Records by GSA Clause
2019-02: Contracting Officer Responsibilities Pursuant to GSA Office of Inspector General Contract Audits of Federal Supply Schedule Program Contracts
 GSA Order ADM P 2030.2D, Chapters 4 and 5 - Internal Audit Follow­up Handbook</t>
  </si>
  <si>
    <t>GSAM 515.209-70</t>
  </si>
  <si>
    <t>General Correspondence</t>
  </si>
  <si>
    <t>Kick-Off
 General Contractor Correspondence (e.g., emails/memos to/from the contractor and the PCO NOT COVERED by another Tab)
 General Government Correspondence (e.g., emails/memos to/from the PCO to other government personnel not specifically otherwise identified here and NOT COVERED by another Tab)
 ACO Correspondence (to/from the ACO and contractor; to/from the ACO and PCO; to/from the ACO and IOA)
 IOA Correspondence (to/from the IOA and the contractor; to/from the IOA and the PCO)
 COR Delegation
 CIR Correspondence (to/from the COR and the contractor; to/from the COR and the PCO, to/from the COR and customers and program office)
 ***No subpart A needed****
 This tab contains general correspondence NOT COVERED by other tabs (e.g., contract transmittal letter to contractor, post award orientation letter, delegation of authority from PCO to ACO, delegation of authority from PCO to COR, contract transfer transmittal letter).</t>
  </si>
  <si>
    <t>FAR 42.202 - Assignment of Contract Administration
 GSAM 504.802(c) - Transfer of Responsibility for Contract Files
 GSAM 542.202 - Assignment of Contract Administration
 ACO Internal Guidance Handbook at https://sites.google.com/a/gsa.gov/suppliermanagement/home
 IOA Manual at https://sites.google.com/a/gsa.gov/suppliermanagement/hom</t>
  </si>
  <si>
    <t>FAR 42.202</t>
  </si>
  <si>
    <t>GSAM 504.802(c)</t>
  </si>
  <si>
    <t>GSAM 543.202</t>
  </si>
  <si>
    <t>39a</t>
  </si>
  <si>
    <t>Administrative General Correspondence</t>
  </si>
  <si>
    <t>Contract Modifications</t>
  </si>
  <si>
    <t>Modification Log
 Modification
 Memo to File
 Supporting Documentation
 The tab contains the modification log which identifies in one central place all the modifications issued to the contract; each contract modification; the memo to the file supporting the modifications; and any supporting documentation for the modification. This includes exercise of contract options; novations and change of name agreements; economic price adjustments; changes in contractor key personnel; addition or deletion of items; price reductions; administrative modifications; change orders; etc. Note: modifications related to a termination should be filed under Tab 41.</t>
  </si>
  <si>
    <t>FAR 43 - Contract Modifications
 GSAM 543 - Contract Modifications
 PAP 2015-06 - Requirement for Posting Notifications of Planned Federal Supply Schedule (FSS) Solicitation Refreshes and Mass Modifications to GSA Interact
 PIN 2012-02 - Processing Novation and Change-of-Name Agreement Modifications in eMod 
 PIN 2009-05 - Modification for Business Size Re-Representation
 PIN 2008-03 - Negotiation and Execution of Multiple Award Schedule (MAS) Contract Modifications during the Evaluation and Execution of the Option to Extend the Term of the Contract</t>
  </si>
  <si>
    <t>FAR 43</t>
  </si>
  <si>
    <t>GSAM 543</t>
  </si>
  <si>
    <t>PAP 2015-06</t>
  </si>
  <si>
    <t>PIN 2009-05</t>
  </si>
  <si>
    <t>PIN 2008-03</t>
  </si>
  <si>
    <t>40a</t>
  </si>
  <si>
    <t>40b</t>
  </si>
  <si>
    <t>Mod Pre-Neg/Mod Price-Neg/FPR/Memo to File</t>
  </si>
  <si>
    <t>40c</t>
  </si>
  <si>
    <t>Termination Documents</t>
  </si>
  <si>
    <t>Cure/Show Cause Notice
 Settlement Agreement
 Supporting Documentation 
 This tab contains all forms and information related to contract or task/delivery order terminations and includes (but is not limited to) cure and show cause letters; contract or delivery/task order termination logs; notice of termination; determination of the need to reprocure; reprocurement costs summary and detail sheets; demand letters; notification of debt to finance; GSA Form 3586; settlement proposals; supporting documentation; settlement agreement; correspondence from customers on terminations; etc.</t>
  </si>
  <si>
    <t>FAR 12.403 - Termination
 FAR 32.604 - Demand for Payment of Contract Debt
 FAR 49 - Termination of Contracts (not applicable to commercial items)
 GSAM 532.6 - Contract Debts
 GSAM 549.4 - Termination for Default (not applicable to commerical items)
 IL 2011-24 - Update Termination Date Language in FAS Instructional Letters
 ACO Internal Guidance Handbook at https://sites.google.com/a/gsa.gov/suppliermanagement/home</t>
  </si>
  <si>
    <t>FAR 12.403</t>
  </si>
  <si>
    <t>FAR 32.604</t>
  </si>
  <si>
    <t>FAR 49</t>
  </si>
  <si>
    <t>GSAM 532.6</t>
  </si>
  <si>
    <t>GSAM 549.4</t>
  </si>
  <si>
    <t>IL 2011-24</t>
  </si>
  <si>
    <t>Contract Closeout Documents</t>
  </si>
  <si>
    <t>Completion Statement
 Claims
 72A Sales
 Close Out Documentation
 Past Performance
 This tab contains all forms and information related to contract closeout and includes (but is not limited to) a contractor performance evaluation report; a contract completion statement; GSA Form 1679; 72A Sales and final closeout report of sales.</t>
  </si>
  <si>
    <t>FAR 4.804 - Closeout of Contract Files
 FAR 42.15 - Contractor Performance Information
 GSAM 504.802(b) - Responsibility for Files
 GSAM 504.804-5 - Procedures for Closing Out Contract Files
 GSAR 552.238-74 - Industrial Funding Fee and Sales Reporting
 ACO Internal Guidance Handbook at https://sites.google.com/a/gsa.gov/suppliermanagement/home</t>
  </si>
  <si>
    <t>FAR 4.804</t>
  </si>
  <si>
    <t>FAR 42.15</t>
  </si>
  <si>
    <t>GSAM 504.802(b)</t>
  </si>
  <si>
    <t>GSAM 504.804-5</t>
  </si>
  <si>
    <t>Task Ordering Tabs</t>
  </si>
  <si>
    <t>Clarifications
 Competitive Range Determination and Documentation
 Competitive Range Notification
 Cost Evaluation Report and Documentation
 Discussions/Negotiations
 Evaluation
 Evaluation Training/Participation Documents
 Final Tech/Cost Report
 Late Proposals/Revisions/Modification or Late Withdrawal of Proposals
 No Response Correspondence
 Non Disclosure Statement
 Receipt of Proposal Log and EPLS Review
 Revised Proposals
 Unsuccessful Receipts</t>
  </si>
  <si>
    <t>Award Decision Documentation</t>
  </si>
  <si>
    <t>Award Decision Documentation
 Cert - Cost or Pricing Data
 EEO Compliance Review Docs/Reports
 EPLS upon award
 PNM (Price Neg Mem)
 Pre Award Approvals
 Preaward Surveys/Responsibility Determination
 Subcontracting Plan Approval if Applicable</t>
  </si>
  <si>
    <t>Award Documents</t>
  </si>
  <si>
    <t>Award Document
 Award Notification, Congressional Notifications
 FPDS
 Successful submission
 Teaming arrangements (if applicable)</t>
  </si>
  <si>
    <t>Post Award Documentation</t>
  </si>
  <si>
    <t>Brief Explanation/Debriefing
 Post Award Documentation</t>
  </si>
  <si>
    <t>Surveillance</t>
  </si>
  <si>
    <t>(CPS) Contractor Past Performance
 AAS EEO Compliance Review Report
 COR delegation and training certification
 Deliverables Report
 QASP
 QCP
 Surveillance
 Surveillance Summary Reports (Monthly Status Reports)</t>
  </si>
  <si>
    <t>Meet the requirements traceability “out of the box”</t>
  </si>
  <si>
    <t>Cannot meet the requirements traceability requirement</t>
  </si>
  <si>
    <t>Can meet the requirements traceability with customization at additional cost</t>
  </si>
  <si>
    <t>Can meet the requirements traceability with configuration or through the use of another commercial product “out of the box” or other arrangement as part of the service offering quoted (i.e. at no additional cost)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</si>
</sst>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94">
    <font>
      <sz val="10"/>
      <color rgb="FF000000"/>
      <name val="Arial"/>
    </font>
    <font>
      <b/>
      <sz val="10"/>
      <color rgb="FF000000"/>
      <name val="Arial"/>
    </font>
    <font>
      <b/>
      <sz val="8"/>
      <name val="Calibri"/>
    </font>
    <font>
      <b/>
      <sz val="12"/>
      <name val="Calibri"/>
    </font>
    <font>
      <sz val="10"/>
      <name val="Arial"/>
    </font>
    <font>
      <b/>
      <u/>
      <sz val="10"/>
      <color rgb="FF000000"/>
      <name val="Arial"/>
    </font>
    <font>
      <sz val="12"/>
      <name val="Calibri"/>
    </font>
    <font>
      <b/>
      <sz val="12"/>
      <color rgb="FF000000"/>
      <name val="Calibri"/>
    </font>
    <font>
      <sz val="12"/>
      <color rgb="FF000000"/>
      <name val="Calibri"/>
    </font>
    <font>
      <b/>
      <sz val="12"/>
      <color rgb="FF222222"/>
      <name val="Calibri"/>
    </font>
    <font>
      <b/>
      <sz val="20"/>
      <color rgb="FF000000"/>
      <name val="Arial"/>
    </font>
    <font>
      <b/>
      <sz val="8"/>
      <color rgb="FFFFFFFF"/>
      <name val="Calibri"/>
    </font>
    <font>
      <b/>
      <sz val="12"/>
      <color rgb="FF000000"/>
      <name val="Arial"/>
    </font>
    <font>
      <b/>
      <sz val="12"/>
      <color rgb="FF263238"/>
      <name val="Calibri"/>
    </font>
    <font>
      <sz val="8"/>
      <name val="Calibri"/>
    </font>
    <font>
      <sz val="8"/>
      <color rgb="FF212121"/>
      <name val="Calibri"/>
    </font>
    <font>
      <u/>
      <sz val="8"/>
      <color rgb="FF222222"/>
      <name val="Calibri"/>
    </font>
    <font>
      <sz val="8"/>
      <color rgb="FF000000"/>
      <name val="Calibri"/>
    </font>
    <font>
      <u/>
      <sz val="8"/>
      <color rgb="FF1155CC"/>
      <name val="Calibri"/>
    </font>
    <font>
      <u/>
      <sz val="8"/>
      <color rgb="FF0000FF"/>
      <name val="Calibri"/>
    </font>
    <font>
      <u/>
      <sz val="8"/>
      <color rgb="FF0000FF"/>
      <name val="Calibri"/>
    </font>
    <font>
      <u/>
      <sz val="8"/>
      <color rgb="FF1155CC"/>
      <name val="Calibri"/>
    </font>
    <font>
      <u/>
      <sz val="8"/>
      <color rgb="FF000000"/>
      <name val="Calibri"/>
    </font>
    <font>
      <u/>
      <sz val="8"/>
      <color rgb="FF000000"/>
      <name val="Calibri"/>
    </font>
    <font>
      <u/>
      <sz val="8"/>
      <color rgb="FF0000FF"/>
      <name val="Calibri"/>
    </font>
    <font>
      <u/>
      <sz val="8"/>
      <color rgb="FF000000"/>
      <name val="Calibri"/>
    </font>
    <font>
      <u/>
      <sz val="8"/>
      <color rgb="FF000000"/>
      <name val="Calibri"/>
    </font>
    <font>
      <u/>
      <sz val="8"/>
      <color rgb="FF1155CC"/>
      <name val="Calibri"/>
    </font>
    <font>
      <u/>
      <sz val="8"/>
      <color rgb="FF1155CC"/>
      <name val="Calibri"/>
    </font>
    <font>
      <u/>
      <sz val="8"/>
      <color rgb="FF1155CC"/>
      <name val="Calibri"/>
    </font>
    <font>
      <u/>
      <sz val="8"/>
      <color rgb="FF0000FF"/>
      <name val="Calibri"/>
    </font>
    <font>
      <u/>
      <sz val="8"/>
      <color rgb="FF0000FF"/>
      <name val="Calibri"/>
    </font>
    <font>
      <u/>
      <sz val="8"/>
      <color rgb="FF1155CC"/>
      <name val="Calibri"/>
    </font>
    <font>
      <u/>
      <sz val="8"/>
      <color rgb="FF1155CC"/>
      <name val="Calibri"/>
    </font>
    <font>
      <u/>
      <sz val="8"/>
      <color rgb="FF0000FF"/>
      <name val="Calibri"/>
    </font>
    <font>
      <u/>
      <sz val="8"/>
      <color rgb="FF1155CC"/>
      <name val="Calibri"/>
    </font>
    <font>
      <u/>
      <sz val="8"/>
      <color rgb="FF0000FF"/>
      <name val="Calibri"/>
    </font>
    <font>
      <u/>
      <sz val="8"/>
      <color rgb="FF0000FF"/>
      <name val="Calibri"/>
    </font>
    <font>
      <b/>
      <sz val="12"/>
      <name val="Arial"/>
    </font>
    <font>
      <u/>
      <sz val="8"/>
      <color rgb="FF0000FF"/>
      <name val="Calibri"/>
    </font>
    <font>
      <u/>
      <sz val="8"/>
      <color rgb="FF000000"/>
      <name val="Calibri"/>
    </font>
    <font>
      <u/>
      <sz val="8"/>
      <color rgb="FF0000FF"/>
      <name val="Calibri"/>
    </font>
    <font>
      <u/>
      <sz val="8"/>
      <color rgb="FF000000"/>
      <name val="Calibri"/>
    </font>
    <font>
      <strike/>
      <sz val="8"/>
      <name val="Calibri"/>
    </font>
    <font>
      <u/>
      <sz val="8"/>
      <color rgb="FF0000FF"/>
      <name val="Calibri"/>
    </font>
    <font>
      <u/>
      <sz val="8"/>
      <color rgb="FF0000FF"/>
      <name val="Calibri"/>
    </font>
    <font>
      <u/>
      <sz val="8"/>
      <color rgb="FF0000FF"/>
      <name val="Calibri"/>
    </font>
    <font>
      <u/>
      <sz val="8"/>
      <color rgb="FF0000FF"/>
      <name val="Calibri"/>
    </font>
    <font>
      <b/>
      <sz val="14"/>
      <name val="Calibri"/>
    </font>
    <font>
      <u/>
      <sz val="8"/>
      <color rgb="FF0000FF"/>
      <name val="Calibri"/>
    </font>
    <font>
      <u/>
      <sz val="8"/>
      <color rgb="FF0000FF"/>
      <name val="Calibri"/>
    </font>
    <font>
      <sz val="18"/>
      <name val="Calibri"/>
    </font>
    <font>
      <u/>
      <sz val="8"/>
      <color rgb="FF1155CC"/>
      <name val="Calibri"/>
    </font>
    <font>
      <u/>
      <sz val="8"/>
      <color rgb="FF1155CC"/>
      <name val="Calibri"/>
    </font>
    <font>
      <u/>
      <sz val="8"/>
      <color rgb="FF1155CC"/>
      <name val="Calibri"/>
    </font>
    <font>
      <sz val="10"/>
      <name val="Arial"/>
    </font>
    <font>
      <u/>
      <sz val="8"/>
      <color rgb="FF1A1AA6"/>
      <name val="Calibri"/>
    </font>
    <font>
      <sz val="8"/>
      <color rgb="FF1A1AA6"/>
      <name val="Calibri"/>
    </font>
    <font>
      <u/>
      <sz val="8"/>
      <color rgb="FF0000FF"/>
      <name val="Calibri"/>
    </font>
    <font>
      <u/>
      <sz val="8"/>
      <color rgb="FF0000FF"/>
      <name val="Calibri"/>
    </font>
    <font>
      <u/>
      <sz val="8"/>
      <color rgb="FF1155CC"/>
      <name val="Calibri"/>
    </font>
    <font>
      <u/>
      <sz val="8"/>
      <color rgb="FF1155CC"/>
      <name val="Calibri"/>
    </font>
    <font>
      <u/>
      <sz val="8"/>
      <color rgb="FF1155CC"/>
      <name val="Calibri"/>
    </font>
    <font>
      <u/>
      <sz val="8"/>
      <color rgb="FF1155CC"/>
      <name val="Calibri"/>
    </font>
    <font>
      <u/>
      <sz val="8"/>
      <color rgb="FF000000"/>
      <name val="Calibri"/>
    </font>
    <font>
      <u/>
      <sz val="8"/>
      <color rgb="FF1A1AA6"/>
      <name val="Calibri"/>
    </font>
    <font>
      <u/>
      <sz val="8"/>
      <color rgb="FF000000"/>
      <name val="Calibri"/>
    </font>
    <font>
      <u/>
      <sz val="8"/>
      <color rgb="FF0000FF"/>
      <name val="Calibri"/>
    </font>
    <font>
      <u/>
      <sz val="8"/>
      <color rgb="FF1155CC"/>
      <name val="Calibri"/>
    </font>
    <font>
      <sz val="8"/>
      <color rgb="FFFF0000"/>
      <name val="Calibri"/>
    </font>
    <font>
      <u/>
      <sz val="8"/>
      <color rgb="FF0000FF"/>
      <name val="Calibri"/>
    </font>
    <font>
      <strike/>
      <sz val="8"/>
      <color rgb="FF212121"/>
      <name val="Calibri"/>
    </font>
    <font>
      <strike/>
      <sz val="8"/>
      <color rgb="FF000000"/>
      <name val="Calibri"/>
    </font>
    <font>
      <b/>
      <sz val="8"/>
      <color rgb="FFFF0000"/>
      <name val="Calibri"/>
    </font>
    <font>
      <strike/>
      <sz val="10"/>
      <name val="Arial"/>
    </font>
    <font>
      <b/>
      <sz val="9"/>
      <name val="Calibri"/>
    </font>
    <font>
      <sz val="9"/>
      <name val="Calibri"/>
    </font>
    <font>
      <sz val="9"/>
      <color rgb="FF000000"/>
      <name val="Calibri"/>
    </font>
    <font>
      <u/>
      <sz val="9"/>
      <color rgb="FF1155CC"/>
      <name val="Calibri"/>
    </font>
    <font>
      <sz val="9"/>
      <color rgb="FF000000"/>
      <name val="Docs-Calibri"/>
    </font>
    <font>
      <b/>
      <sz val="10"/>
      <color rgb="FF000000"/>
      <name val="Calibri"/>
    </font>
    <font>
      <sz val="10"/>
      <color rgb="FF000000"/>
      <name val="Calibri"/>
    </font>
    <font>
      <u/>
      <sz val="8"/>
      <color rgb="FF000000"/>
      <name val="Calibri"/>
    </font>
    <font>
      <sz val="8"/>
      <color rgb="FF0F243E"/>
      <name val="Calibri"/>
    </font>
    <font>
      <u/>
      <sz val="8"/>
      <color rgb="FF000000"/>
      <name val="Calibri"/>
    </font>
    <font>
      <u/>
      <sz val="8"/>
      <color rgb="FF000000"/>
      <name val="Calibri"/>
    </font>
    <font>
      <u/>
      <sz val="10"/>
      <color rgb="FF0000FF"/>
      <name val="Calibri"/>
    </font>
    <font>
      <u/>
      <sz val="10"/>
      <color rgb="FF0000FF"/>
      <name val="Calibri"/>
    </font>
    <font>
      <u/>
      <sz val="10"/>
      <color rgb="FF0000FF"/>
      <name val="Calibri"/>
    </font>
    <font>
      <u/>
      <sz val="10"/>
      <color rgb="FF000000"/>
      <name val="Calibri"/>
    </font>
    <font>
      <sz val="10"/>
      <color rgb="FFFF0000"/>
      <name val="Arial"/>
    </font>
    <font>
      <sz val="10"/>
      <name val="Arial"/>
      <family val="2"/>
    </font>
    <font>
      <sz val="3"/>
      <name val="Arial"/>
      <family val="2"/>
    </font>
    <font>
      <sz val="12"/>
      <name val="Arial"/>
      <family val="2"/>
    </font>
  </fonts>
  <fills count="14">
    <fill>
      <patternFill patternType="none"/>
    </fill>
    <fill>
      <patternFill patternType="gray125"/>
    </fill>
    <fill>
      <patternFill patternType="solid">
        <fgColor rgb="FFBFBFBF"/>
        <bgColor rgb="FFBFBFBF"/>
      </patternFill>
    </fill>
    <fill>
      <patternFill patternType="solid">
        <fgColor rgb="FFA4C2F4"/>
        <bgColor rgb="FFA4C2F4"/>
      </patternFill>
    </fill>
    <fill>
      <patternFill patternType="solid">
        <fgColor rgb="FFFFFFFF"/>
        <bgColor rgb="FFFFFFFF"/>
      </patternFill>
    </fill>
    <fill>
      <patternFill patternType="solid">
        <fgColor rgb="FFEFEFEF"/>
        <bgColor rgb="FFEFEFEF"/>
      </patternFill>
    </fill>
    <fill>
      <patternFill patternType="solid">
        <fgColor rgb="FF134F5C"/>
        <bgColor rgb="FF134F5C"/>
      </patternFill>
    </fill>
    <fill>
      <patternFill patternType="solid">
        <fgColor rgb="FFD0E0E3"/>
        <bgColor rgb="FFD0E0E3"/>
      </patternFill>
    </fill>
    <fill>
      <patternFill patternType="solid">
        <fgColor rgb="FFFFFF00"/>
        <bgColor rgb="FFFFFF00"/>
      </patternFill>
    </fill>
    <fill>
      <patternFill patternType="solid">
        <fgColor rgb="FF4A86E8"/>
        <bgColor rgb="FF4A86E8"/>
      </patternFill>
    </fill>
    <fill>
      <patternFill patternType="solid">
        <fgColor rgb="FFB7B7B7"/>
        <bgColor rgb="FFB7B7B7"/>
      </patternFill>
    </fill>
    <fill>
      <patternFill patternType="solid">
        <fgColor rgb="FF0000FF"/>
        <bgColor rgb="FF0000FF"/>
      </patternFill>
    </fill>
    <fill>
      <patternFill patternType="solid">
        <fgColor rgb="FF9900FF"/>
        <bgColor rgb="FF9900FF"/>
      </patternFill>
    </fill>
    <fill>
      <patternFill patternType="solid">
        <fgColor rgb="FF99FFFF"/>
        <bgColor rgb="FF99FFFF"/>
      </patternFill>
    </fill>
  </fills>
  <borders count="1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CCCCCC"/>
      </left>
      <right style="thin">
        <color rgb="FFCCCCCC"/>
      </right>
      <top style="thin">
        <color rgb="FFCCCCCC"/>
      </top>
      <bottom style="thin">
        <color rgb="FFCCCCCC"/>
      </bottom>
      <diagonal/>
    </border>
    <border>
      <left/>
      <right style="thin">
        <color rgb="FF000000"/>
      </right>
      <top style="thin">
        <color rgb="FF000000"/>
      </top>
      <bottom/>
      <diagonal/>
    </border>
    <border>
      <left/>
      <right style="thin">
        <color rgb="FFCCCCCC"/>
      </right>
      <top style="thin">
        <color rgb="FFCCCCCC"/>
      </top>
      <bottom style="thin">
        <color rgb="FFCCCCCC"/>
      </bottom>
      <diagonal/>
    </border>
    <border>
      <left style="thin">
        <color rgb="FFCCCCCC"/>
      </left>
      <right style="thin">
        <color rgb="FFCCCCCC"/>
      </right>
      <top/>
      <bottom style="thin">
        <color rgb="FFCCCCCC"/>
      </bottom>
      <diagonal/>
    </border>
    <border>
      <left/>
      <right style="thin">
        <color rgb="FFCCCCCC"/>
      </right>
      <top/>
      <bottom style="thin">
        <color rgb="FFCCCCCC"/>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s>
  <cellStyleXfs count="1">
    <xf numFmtId="0" fontId="0" fillId="0" borderId="0"/>
  </cellStyleXfs>
  <cellXfs count="319">
    <xf numFmtId="0" fontId="0" fillId="0" borderId="0" xfId="0" applyFont="1" applyAlignment="1"/>
    <xf numFmtId="0" fontId="1" fillId="2" borderId="1" xfId="0" applyFont="1" applyFill="1" applyBorder="1" applyAlignment="1">
      <alignment horizontal="center" wrapText="1"/>
    </xf>
    <xf numFmtId="0" fontId="2" fillId="0" borderId="2" xfId="0" applyFont="1" applyBorder="1" applyAlignment="1">
      <alignment horizontal="center" vertical="center" wrapText="1"/>
    </xf>
    <xf numFmtId="0" fontId="3" fillId="3" borderId="0" xfId="0" applyFont="1" applyFill="1" applyAlignment="1">
      <alignment horizontal="center" wrapText="1"/>
    </xf>
    <xf numFmtId="0" fontId="2" fillId="0" borderId="3" xfId="0" applyFont="1" applyBorder="1" applyAlignment="1">
      <alignment horizontal="center" vertical="center" wrapText="1"/>
    </xf>
    <xf numFmtId="0" fontId="3" fillId="3" borderId="0" xfId="0" applyFont="1" applyFill="1" applyAlignment="1">
      <alignment wrapText="1"/>
    </xf>
    <xf numFmtId="0" fontId="5" fillId="0" borderId="1" xfId="0" applyFont="1" applyBorder="1" applyAlignment="1">
      <alignment horizontal="center" vertical="center" wrapText="1"/>
    </xf>
    <xf numFmtId="0" fontId="3" fillId="3" borderId="0" xfId="0" applyFont="1" applyFill="1" applyAlignment="1">
      <alignment horizontal="center"/>
    </xf>
    <xf numFmtId="0" fontId="6" fillId="3" borderId="0" xfId="0" applyFont="1" applyFill="1"/>
    <xf numFmtId="0" fontId="7" fillId="4" borderId="5" xfId="0" applyFont="1" applyFill="1" applyBorder="1" applyAlignment="1">
      <alignment wrapText="1"/>
    </xf>
    <xf numFmtId="0" fontId="8" fillId="4" borderId="7" xfId="0" applyFont="1" applyFill="1" applyBorder="1" applyAlignment="1">
      <alignment wrapText="1"/>
    </xf>
    <xf numFmtId="0" fontId="6" fillId="0" borderId="0" xfId="0" applyFont="1" applyAlignment="1">
      <alignment wrapText="1"/>
    </xf>
    <xf numFmtId="0" fontId="6" fillId="0" borderId="0" xfId="0" applyFont="1"/>
    <xf numFmtId="0" fontId="7" fillId="4" borderId="8" xfId="0" applyFont="1" applyFill="1" applyBorder="1" applyAlignment="1">
      <alignment wrapText="1"/>
    </xf>
    <xf numFmtId="0" fontId="8" fillId="4" borderId="9" xfId="0" applyFont="1" applyFill="1" applyBorder="1" applyAlignment="1">
      <alignment wrapText="1"/>
    </xf>
    <xf numFmtId="0" fontId="9" fillId="4" borderId="8" xfId="0" applyFont="1" applyFill="1" applyBorder="1" applyAlignment="1">
      <alignment wrapText="1"/>
    </xf>
    <xf numFmtId="0" fontId="4" fillId="0" borderId="0" xfId="0" applyFont="1" applyAlignment="1">
      <alignment wrapText="1"/>
    </xf>
    <xf numFmtId="0" fontId="6" fillId="0" borderId="0" xfId="0" applyFont="1" applyAlignment="1">
      <alignment wrapText="1"/>
    </xf>
    <xf numFmtId="0" fontId="10" fillId="2" borderId="1" xfId="0" applyFont="1" applyFill="1" applyBorder="1" applyAlignment="1">
      <alignment horizontal="center"/>
    </xf>
    <xf numFmtId="0" fontId="12" fillId="0" borderId="1" xfId="0" applyFont="1" applyBorder="1" applyAlignment="1">
      <alignment horizontal="center" vertical="center"/>
    </xf>
    <xf numFmtId="0" fontId="6" fillId="4" borderId="9" xfId="0" applyFont="1" applyFill="1" applyBorder="1" applyAlignment="1"/>
    <xf numFmtId="0" fontId="2" fillId="0" borderId="0" xfId="0" applyFont="1" applyAlignment="1">
      <alignment horizontal="center" vertical="center" wrapText="1"/>
    </xf>
    <xf numFmtId="0" fontId="13" fillId="4" borderId="8" xfId="0" applyFont="1" applyFill="1" applyBorder="1" applyAlignment="1">
      <alignment wrapText="1"/>
    </xf>
    <xf numFmtId="0" fontId="2" fillId="0" borderId="1" xfId="0" applyFont="1" applyBorder="1" applyAlignment="1">
      <alignment horizontal="center" vertical="center" wrapText="1"/>
    </xf>
    <xf numFmtId="0" fontId="14" fillId="0" borderId="0" xfId="0" applyFont="1" applyAlignment="1">
      <alignment vertical="center" wrapText="1"/>
    </xf>
    <xf numFmtId="0" fontId="14" fillId="0" borderId="1" xfId="0" applyFont="1" applyBorder="1" applyAlignment="1">
      <alignment vertical="center" wrapText="1"/>
    </xf>
    <xf numFmtId="0" fontId="15" fillId="4" borderId="1" xfId="0" applyFont="1" applyFill="1" applyBorder="1" applyAlignment="1">
      <alignment horizontal="left" vertical="center" wrapText="1"/>
    </xf>
    <xf numFmtId="0" fontId="14" fillId="0" borderId="1" xfId="0" applyFont="1" applyBorder="1" applyAlignment="1">
      <alignment vertical="center" wrapText="1"/>
    </xf>
    <xf numFmtId="0" fontId="8" fillId="4" borderId="0" xfId="0" applyFont="1" applyFill="1" applyAlignment="1">
      <alignment wrapText="1"/>
    </xf>
    <xf numFmtId="0" fontId="7" fillId="4" borderId="8" xfId="0" applyFont="1" applyFill="1" applyBorder="1" applyAlignment="1">
      <alignment wrapText="1"/>
    </xf>
    <xf numFmtId="0" fontId="8" fillId="4" borderId="9" xfId="0" applyFont="1" applyFill="1" applyBorder="1" applyAlignment="1">
      <alignment wrapText="1"/>
    </xf>
    <xf numFmtId="0" fontId="16" fillId="4" borderId="1" xfId="0" applyFont="1" applyFill="1" applyBorder="1" applyAlignment="1">
      <alignment vertical="center" wrapText="1"/>
    </xf>
    <xf numFmtId="0" fontId="8" fillId="4" borderId="0" xfId="0" applyFont="1" applyFill="1" applyAlignment="1">
      <alignment horizontal="left" wrapText="1"/>
    </xf>
    <xf numFmtId="0" fontId="14" fillId="0" borderId="11" xfId="0" applyFont="1" applyBorder="1" applyAlignment="1">
      <alignment vertical="center"/>
    </xf>
    <xf numFmtId="0" fontId="14" fillId="5" borderId="11" xfId="0" applyFont="1" applyFill="1" applyBorder="1" applyAlignment="1">
      <alignment horizontal="center" vertical="center"/>
    </xf>
    <xf numFmtId="0" fontId="6" fillId="4" borderId="0" xfId="0" applyFont="1" applyFill="1" applyAlignment="1">
      <alignment wrapText="1"/>
    </xf>
    <xf numFmtId="0" fontId="6" fillId="4" borderId="0" xfId="0" applyFont="1" applyFill="1"/>
    <xf numFmtId="0" fontId="14" fillId="5" borderId="1" xfId="0" applyFont="1" applyFill="1" applyBorder="1" applyAlignment="1">
      <alignment vertical="center" wrapText="1"/>
    </xf>
    <xf numFmtId="0" fontId="3" fillId="4" borderId="0" xfId="0" applyFont="1" applyFill="1" applyAlignment="1">
      <alignment wrapText="1"/>
    </xf>
    <xf numFmtId="0" fontId="17" fillId="0" borderId="1" xfId="0" applyFont="1" applyBorder="1" applyAlignment="1">
      <alignment horizontal="left" vertical="center" wrapText="1"/>
    </xf>
    <xf numFmtId="0" fontId="6" fillId="4" borderId="0" xfId="0" applyFont="1" applyFill="1" applyAlignment="1">
      <alignment wrapText="1"/>
    </xf>
    <xf numFmtId="0" fontId="17" fillId="4" borderId="1" xfId="0" applyFont="1" applyFill="1" applyBorder="1" applyAlignment="1">
      <alignment vertical="center" wrapText="1"/>
    </xf>
    <xf numFmtId="0" fontId="8" fillId="4" borderId="0" xfId="0" applyFont="1" applyFill="1" applyAlignment="1">
      <alignment wrapText="1"/>
    </xf>
    <xf numFmtId="0" fontId="14" fillId="7" borderId="1" xfId="0" applyFont="1" applyFill="1" applyBorder="1" applyAlignment="1">
      <alignment vertical="center" wrapText="1"/>
    </xf>
    <xf numFmtId="0" fontId="3" fillId="4" borderId="0" xfId="0" applyFont="1" applyFill="1" applyAlignment="1">
      <alignment wrapText="1"/>
    </xf>
    <xf numFmtId="0" fontId="3" fillId="7" borderId="1" xfId="0" applyFont="1" applyFill="1" applyBorder="1" applyAlignment="1">
      <alignment horizontal="center" vertical="center" wrapText="1"/>
    </xf>
    <xf numFmtId="0" fontId="6" fillId="4" borderId="0" xfId="0" applyFont="1" applyFill="1" applyAlignment="1"/>
    <xf numFmtId="0" fontId="18" fillId="0" borderId="1" xfId="0" applyFont="1" applyBorder="1" applyAlignment="1">
      <alignment vertical="center" wrapText="1"/>
    </xf>
    <xf numFmtId="0" fontId="19" fillId="0" borderId="1" xfId="0" applyFont="1" applyBorder="1" applyAlignment="1">
      <alignment vertical="center" wrapText="1"/>
    </xf>
    <xf numFmtId="0" fontId="20" fillId="8" borderId="1" xfId="0" applyFont="1" applyFill="1" applyBorder="1" applyAlignment="1">
      <alignment vertical="center" wrapText="1"/>
    </xf>
    <xf numFmtId="0" fontId="21" fillId="0" borderId="10" xfId="0" applyFont="1" applyBorder="1" applyAlignment="1">
      <alignment vertical="center" wrapText="1"/>
    </xf>
    <xf numFmtId="0" fontId="14" fillId="0" borderId="1" xfId="0" applyFont="1" applyBorder="1" applyAlignment="1">
      <alignment wrapText="1"/>
    </xf>
    <xf numFmtId="0" fontId="22" fillId="4" borderId="11" xfId="0" applyFont="1" applyFill="1" applyBorder="1" applyAlignment="1">
      <alignment vertical="center" wrapText="1"/>
    </xf>
    <xf numFmtId="0" fontId="23" fillId="4" borderId="11" xfId="0" applyFont="1" applyFill="1" applyBorder="1" applyAlignment="1">
      <alignment vertical="center"/>
    </xf>
    <xf numFmtId="0" fontId="14" fillId="0" borderId="1" xfId="0" applyFont="1" applyBorder="1" applyAlignment="1">
      <alignment vertical="center" wrapText="1"/>
    </xf>
    <xf numFmtId="0" fontId="14" fillId="9" borderId="1" xfId="0" applyFont="1" applyFill="1" applyBorder="1" applyAlignment="1">
      <alignment vertical="center" wrapText="1"/>
    </xf>
    <xf numFmtId="0" fontId="15" fillId="9" borderId="1" xfId="0" applyFont="1" applyFill="1" applyBorder="1" applyAlignment="1">
      <alignment horizontal="left" vertical="center" wrapText="1"/>
    </xf>
    <xf numFmtId="0" fontId="24" fillId="0" borderId="1" xfId="0" applyFont="1" applyBorder="1" applyAlignment="1">
      <alignment vertical="center" wrapText="1"/>
    </xf>
    <xf numFmtId="0" fontId="17" fillId="4" borderId="1" xfId="0" applyFont="1" applyFill="1" applyBorder="1" applyAlignment="1">
      <alignment horizontal="left" vertical="center" wrapText="1"/>
    </xf>
    <xf numFmtId="0" fontId="14" fillId="9" borderId="10" xfId="0" applyFont="1" applyFill="1" applyBorder="1" applyAlignment="1">
      <alignment vertical="center"/>
    </xf>
    <xf numFmtId="0" fontId="14" fillId="9" borderId="11" xfId="0" applyFont="1" applyFill="1" applyBorder="1" applyAlignment="1">
      <alignment vertical="center"/>
    </xf>
    <xf numFmtId="0" fontId="14" fillId="9" borderId="11" xfId="0" applyFont="1" applyFill="1" applyBorder="1" applyAlignment="1">
      <alignment horizontal="center" vertical="center"/>
    </xf>
    <xf numFmtId="0" fontId="17" fillId="4" borderId="0" xfId="0" applyFont="1" applyFill="1" applyAlignment="1">
      <alignment horizontal="left" wrapText="1"/>
    </xf>
    <xf numFmtId="0" fontId="14" fillId="9" borderId="1" xfId="0" applyFont="1" applyFill="1" applyBorder="1" applyAlignment="1">
      <alignment vertical="center" wrapText="1"/>
    </xf>
    <xf numFmtId="0" fontId="14" fillId="7" borderId="1" xfId="0" applyFont="1" applyFill="1" applyBorder="1" applyAlignment="1">
      <alignment vertical="center" wrapText="1"/>
    </xf>
    <xf numFmtId="0" fontId="3" fillId="0" borderId="0" xfId="0" applyFont="1" applyAlignment="1">
      <alignment wrapText="1"/>
    </xf>
    <xf numFmtId="0" fontId="15" fillId="0" borderId="1" xfId="0" applyFont="1" applyBorder="1" applyAlignment="1">
      <alignment horizontal="left" vertical="center" wrapText="1"/>
    </xf>
    <xf numFmtId="0" fontId="25" fillId="0" borderId="10" xfId="0" applyFont="1" applyBorder="1" applyAlignment="1">
      <alignment vertical="center" wrapText="1"/>
    </xf>
    <xf numFmtId="0" fontId="26" fillId="0" borderId="11" xfId="0" applyFont="1" applyBorder="1" applyAlignment="1">
      <alignment vertical="center" wrapText="1"/>
    </xf>
    <xf numFmtId="0" fontId="17" fillId="5" borderId="11" xfId="0" applyFont="1" applyFill="1" applyBorder="1" applyAlignment="1">
      <alignment horizontal="center" vertical="center" wrapText="1"/>
    </xf>
    <xf numFmtId="0" fontId="14" fillId="0" borderId="0" xfId="0" applyFont="1" applyAlignment="1">
      <alignment vertical="center" wrapText="1"/>
    </xf>
    <xf numFmtId="0" fontId="15" fillId="4" borderId="1" xfId="0" applyFont="1" applyFill="1" applyBorder="1" applyAlignment="1">
      <alignment wrapText="1"/>
    </xf>
    <xf numFmtId="0" fontId="17" fillId="9" borderId="1" xfId="0" applyFont="1" applyFill="1" applyBorder="1" applyAlignment="1">
      <alignment vertical="center" wrapText="1"/>
    </xf>
    <xf numFmtId="0" fontId="27" fillId="0" borderId="10" xfId="0" applyFont="1" applyBorder="1" applyAlignment="1">
      <alignment vertical="center" wrapText="1"/>
    </xf>
    <xf numFmtId="0" fontId="14" fillId="0" borderId="11" xfId="0" applyFont="1" applyBorder="1" applyAlignment="1">
      <alignment vertical="center"/>
    </xf>
    <xf numFmtId="0" fontId="14" fillId="10" borderId="1" xfId="0" applyFont="1" applyFill="1" applyBorder="1" applyAlignment="1">
      <alignment vertical="center" wrapText="1"/>
    </xf>
    <xf numFmtId="0" fontId="28" fillId="0" borderId="11" xfId="0" applyFont="1" applyBorder="1" applyAlignment="1">
      <alignment vertical="center" wrapText="1"/>
    </xf>
    <xf numFmtId="0" fontId="17" fillId="4" borderId="0" xfId="0" applyFont="1" applyFill="1" applyAlignment="1">
      <alignment vertical="center" wrapText="1"/>
    </xf>
    <xf numFmtId="0" fontId="14" fillId="4" borderId="1" xfId="0" applyFont="1" applyFill="1" applyBorder="1" applyAlignment="1">
      <alignment vertical="center" wrapText="1"/>
    </xf>
    <xf numFmtId="0" fontId="17" fillId="0" borderId="1" xfId="0" applyFont="1" applyBorder="1" applyAlignment="1">
      <alignment vertical="center" wrapText="1"/>
    </xf>
    <xf numFmtId="0" fontId="29" fillId="0" borderId="11" xfId="0" applyFont="1" applyBorder="1" applyAlignment="1">
      <alignment vertical="center" wrapText="1"/>
    </xf>
    <xf numFmtId="0" fontId="14" fillId="0" borderId="10" xfId="0" applyFont="1" applyBorder="1" applyAlignment="1">
      <alignment vertical="center"/>
    </xf>
    <xf numFmtId="0" fontId="14" fillId="0" borderId="1" xfId="0" applyFont="1" applyBorder="1" applyAlignment="1">
      <alignment vertical="center" wrapText="1"/>
    </xf>
    <xf numFmtId="0" fontId="14" fillId="5" borderId="11" xfId="0" applyFont="1" applyFill="1" applyBorder="1" applyAlignment="1">
      <alignment vertical="center"/>
    </xf>
    <xf numFmtId="0" fontId="14" fillId="10" borderId="11" xfId="0" applyFont="1" applyFill="1" applyBorder="1" applyAlignment="1">
      <alignment vertical="center"/>
    </xf>
    <xf numFmtId="0" fontId="14" fillId="0" borderId="1" xfId="0" applyFont="1" applyBorder="1" applyAlignment="1">
      <alignment horizontal="left" vertical="center" wrapText="1"/>
    </xf>
    <xf numFmtId="0" fontId="30" fillId="0" borderId="1" xfId="0" applyFont="1" applyBorder="1" applyAlignment="1">
      <alignment horizontal="left" vertical="center" wrapText="1"/>
    </xf>
    <xf numFmtId="0" fontId="14" fillId="4" borderId="11" xfId="0" applyFont="1" applyFill="1" applyBorder="1" applyAlignment="1">
      <alignment vertical="center"/>
    </xf>
    <xf numFmtId="0" fontId="2" fillId="0" borderId="11" xfId="0" applyFont="1" applyBorder="1" applyAlignment="1">
      <alignment horizontal="center" vertical="center" wrapText="1"/>
    </xf>
    <xf numFmtId="0" fontId="14" fillId="0" borderId="4" xfId="0" applyFont="1" applyBorder="1" applyAlignment="1">
      <alignment vertical="center" wrapText="1"/>
    </xf>
    <xf numFmtId="0" fontId="31" fillId="0" borderId="11" xfId="0" applyFont="1" applyBorder="1" applyAlignment="1">
      <alignment horizontal="left" vertical="center" wrapText="1"/>
    </xf>
    <xf numFmtId="0" fontId="15" fillId="4" borderId="1" xfId="0" applyFont="1" applyFill="1" applyBorder="1" applyAlignment="1">
      <alignment horizontal="left" vertical="center"/>
    </xf>
    <xf numFmtId="0" fontId="17" fillId="4" borderId="4" xfId="0" applyFont="1" applyFill="1" applyBorder="1" applyAlignment="1">
      <alignment vertical="center" wrapText="1"/>
    </xf>
    <xf numFmtId="0" fontId="17" fillId="0" borderId="1" xfId="0" applyFont="1" applyBorder="1" applyAlignment="1">
      <alignment vertical="center" wrapText="1"/>
    </xf>
    <xf numFmtId="0" fontId="14" fillId="0" borderId="10" xfId="0" applyFont="1" applyBorder="1" applyAlignment="1">
      <alignment vertical="center" wrapText="1"/>
    </xf>
    <xf numFmtId="0" fontId="14" fillId="11" borderId="1" xfId="0" applyFont="1" applyFill="1" applyBorder="1" applyAlignment="1">
      <alignment vertical="center" wrapText="1"/>
    </xf>
    <xf numFmtId="0" fontId="32" fillId="5" borderId="11" xfId="0" applyFont="1" applyFill="1" applyBorder="1" applyAlignment="1">
      <alignment horizontal="center" vertical="center" wrapText="1"/>
    </xf>
    <xf numFmtId="0" fontId="15" fillId="11" borderId="1" xfId="0" applyFont="1" applyFill="1" applyBorder="1" applyAlignment="1">
      <alignment horizontal="left" vertical="center" wrapText="1"/>
    </xf>
    <xf numFmtId="0" fontId="14" fillId="5" borderId="11" xfId="0" applyFont="1" applyFill="1" applyBorder="1" applyAlignment="1">
      <alignment horizontal="center" vertical="center"/>
    </xf>
    <xf numFmtId="0" fontId="17" fillId="11" borderId="1" xfId="0" applyFont="1" applyFill="1" applyBorder="1" applyAlignment="1">
      <alignment vertical="center" wrapText="1"/>
    </xf>
    <xf numFmtId="0" fontId="14" fillId="11" borderId="1" xfId="0" applyFont="1" applyFill="1" applyBorder="1" applyAlignment="1">
      <alignment vertical="center" wrapText="1"/>
    </xf>
    <xf numFmtId="0" fontId="14" fillId="0" borderId="1" xfId="0" applyFont="1" applyBorder="1" applyAlignment="1">
      <alignment vertical="center" wrapText="1"/>
    </xf>
    <xf numFmtId="0" fontId="14" fillId="0" borderId="10" xfId="0" applyFont="1" applyBorder="1" applyAlignment="1">
      <alignment vertical="center" wrapText="1"/>
    </xf>
    <xf numFmtId="0" fontId="4" fillId="0" borderId="1" xfId="0" applyFont="1" applyBorder="1"/>
    <xf numFmtId="0" fontId="33" fillId="0" borderId="10" xfId="0" applyFont="1" applyBorder="1" applyAlignment="1">
      <alignment vertical="center" wrapText="1"/>
    </xf>
    <xf numFmtId="0" fontId="34" fillId="0" borderId="1" xfId="0" applyFont="1" applyBorder="1" applyAlignment="1">
      <alignment vertical="center" wrapText="1"/>
    </xf>
    <xf numFmtId="0" fontId="35" fillId="0" borderId="10" xfId="0" applyFont="1" applyBorder="1" applyAlignment="1">
      <alignment vertical="center" wrapText="1"/>
    </xf>
    <xf numFmtId="0" fontId="36" fillId="0" borderId="11" xfId="0" applyFont="1" applyBorder="1" applyAlignment="1">
      <alignment horizontal="center" vertical="center" wrapText="1"/>
    </xf>
    <xf numFmtId="0" fontId="14" fillId="0" borderId="1" xfId="0" applyFont="1" applyBorder="1" applyAlignment="1">
      <alignment vertical="center"/>
    </xf>
    <xf numFmtId="0" fontId="14" fillId="5" borderId="11"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17" fillId="0" borderId="1" xfId="0" applyFont="1" applyBorder="1" applyAlignment="1">
      <alignment vertical="center" wrapText="1"/>
    </xf>
    <xf numFmtId="0" fontId="37" fillId="0" borderId="1" xfId="0" applyFont="1" applyBorder="1" applyAlignment="1">
      <alignment vertical="center"/>
    </xf>
    <xf numFmtId="0" fontId="14" fillId="0" borderId="1" xfId="0" applyFont="1" applyBorder="1" applyAlignment="1"/>
    <xf numFmtId="0" fontId="3" fillId="0" borderId="0" xfId="0" applyFont="1" applyAlignment="1">
      <alignment horizontal="center" vertical="center" wrapText="1"/>
    </xf>
    <xf numFmtId="0" fontId="4" fillId="0" borderId="0" xfId="0" applyFont="1" applyAlignment="1">
      <alignment horizontal="center"/>
    </xf>
    <xf numFmtId="0" fontId="38" fillId="0" borderId="0" xfId="0" applyFont="1" applyAlignment="1">
      <alignment horizontal="center" vertical="center" wrapText="1"/>
    </xf>
    <xf numFmtId="0" fontId="14" fillId="0" borderId="0" xfId="0" applyFont="1" applyAlignment="1">
      <alignment vertical="center"/>
    </xf>
    <xf numFmtId="0" fontId="14" fillId="4" borderId="0" xfId="0" applyFont="1" applyFill="1" applyAlignment="1">
      <alignment horizontal="center" vertical="center"/>
    </xf>
    <xf numFmtId="0" fontId="14" fillId="4" borderId="0" xfId="0" applyFont="1" applyFill="1" applyAlignment="1">
      <alignment vertical="center"/>
    </xf>
    <xf numFmtId="0" fontId="14" fillId="5" borderId="1" xfId="0" applyFont="1" applyFill="1" applyBorder="1" applyAlignment="1">
      <alignment horizontal="center" vertical="center"/>
    </xf>
    <xf numFmtId="0" fontId="14" fillId="0" borderId="1" xfId="0" applyFont="1" applyBorder="1" applyAlignment="1">
      <alignment horizontal="center" vertical="center" wrapText="1"/>
    </xf>
    <xf numFmtId="0" fontId="14" fillId="0" borderId="11" xfId="0" applyFont="1" applyBorder="1" applyAlignment="1">
      <alignment vertical="center" wrapText="1"/>
    </xf>
    <xf numFmtId="164" fontId="17" fillId="4" borderId="1" xfId="0" applyNumberFormat="1" applyFont="1" applyFill="1" applyBorder="1" applyAlignment="1">
      <alignment vertical="center" wrapText="1"/>
    </xf>
    <xf numFmtId="0" fontId="14" fillId="5" borderId="1" xfId="0" applyFont="1" applyFill="1" applyBorder="1" applyAlignment="1">
      <alignment horizontal="center" vertical="center" wrapText="1"/>
    </xf>
    <xf numFmtId="0" fontId="38" fillId="0" borderId="0" xfId="0" applyFont="1" applyAlignment="1">
      <alignment horizontal="center" vertical="center"/>
    </xf>
    <xf numFmtId="0" fontId="17" fillId="0" borderId="4" xfId="0" applyFont="1" applyBorder="1" applyAlignment="1">
      <alignment vertical="center" wrapText="1"/>
    </xf>
    <xf numFmtId="0" fontId="17" fillId="4" borderId="0" xfId="0" applyFont="1" applyFill="1" applyAlignment="1">
      <alignment horizontal="left" vertical="center" wrapText="1"/>
    </xf>
    <xf numFmtId="0" fontId="39" fillId="0" borderId="1" xfId="0" applyFont="1" applyBorder="1" applyAlignment="1">
      <alignment wrapText="1"/>
    </xf>
    <xf numFmtId="0" fontId="40" fillId="4" borderId="1" xfId="0" applyFont="1" applyFill="1" applyBorder="1" applyAlignment="1">
      <alignment vertical="center" wrapText="1"/>
    </xf>
    <xf numFmtId="0" fontId="15" fillId="0" borderId="1" xfId="0" applyFont="1" applyBorder="1" applyAlignment="1">
      <alignment horizontal="left" vertical="center"/>
    </xf>
    <xf numFmtId="0" fontId="14" fillId="0" borderId="1" xfId="0" applyFont="1" applyBorder="1" applyAlignment="1">
      <alignment vertical="center" wrapText="1"/>
    </xf>
    <xf numFmtId="0" fontId="41" fillId="0" borderId="0" xfId="0" applyFont="1" applyAlignment="1">
      <alignment horizontal="left" vertical="center" wrapText="1"/>
    </xf>
    <xf numFmtId="0" fontId="14" fillId="9" borderId="11" xfId="0" applyFont="1" applyFill="1" applyBorder="1" applyAlignment="1">
      <alignment horizontal="center" vertical="center"/>
    </xf>
    <xf numFmtId="164" fontId="15" fillId="4" borderId="1" xfId="0" applyNumberFormat="1" applyFont="1" applyFill="1" applyBorder="1" applyAlignment="1">
      <alignment horizontal="left" vertical="center"/>
    </xf>
    <xf numFmtId="0" fontId="11" fillId="6" borderId="1" xfId="0" applyFont="1" applyFill="1" applyBorder="1" applyAlignment="1">
      <alignment horizontal="center" vertical="center" wrapText="1"/>
    </xf>
    <xf numFmtId="0" fontId="2" fillId="0" borderId="0" xfId="0" applyFont="1" applyAlignment="1">
      <alignment horizontal="center" vertical="center" wrapText="1"/>
    </xf>
    <xf numFmtId="0" fontId="17" fillId="4" borderId="10" xfId="0" applyFont="1" applyFill="1" applyBorder="1" applyAlignment="1">
      <alignment vertical="center" wrapText="1"/>
    </xf>
    <xf numFmtId="0" fontId="42" fillId="0" borderId="1" xfId="0" applyFont="1" applyBorder="1" applyAlignment="1">
      <alignment vertical="center" wrapText="1"/>
    </xf>
    <xf numFmtId="0" fontId="43" fillId="0" borderId="1" xfId="0" applyFont="1" applyBorder="1" applyAlignment="1">
      <alignment vertical="center" wrapText="1"/>
    </xf>
    <xf numFmtId="0" fontId="43" fillId="0" borderId="0" xfId="0" applyFont="1" applyAlignment="1">
      <alignment vertical="center" wrapText="1"/>
    </xf>
    <xf numFmtId="0" fontId="44" fillId="0" borderId="1" xfId="0" applyFont="1" applyBorder="1" applyAlignment="1">
      <alignment horizontal="center" vertical="center" wrapText="1"/>
    </xf>
    <xf numFmtId="0" fontId="17" fillId="0" borderId="10" xfId="0" applyFont="1" applyBorder="1" applyAlignment="1">
      <alignment vertical="center" wrapText="1"/>
    </xf>
    <xf numFmtId="0" fontId="14" fillId="0" borderId="0" xfId="0" applyFont="1" applyAlignment="1">
      <alignment horizontal="center" vertical="center" wrapText="1"/>
    </xf>
    <xf numFmtId="0" fontId="15" fillId="4" borderId="4" xfId="0" applyFont="1" applyFill="1" applyBorder="1" applyAlignment="1">
      <alignment vertical="center" wrapText="1"/>
    </xf>
    <xf numFmtId="0" fontId="45" fillId="0" borderId="1" xfId="0" applyFont="1" applyBorder="1" applyAlignment="1">
      <alignment vertical="center" wrapText="1"/>
    </xf>
    <xf numFmtId="0" fontId="14" fillId="0" borderId="1" xfId="0" applyFont="1" applyBorder="1" applyAlignment="1">
      <alignment vertical="center" wrapText="1"/>
    </xf>
    <xf numFmtId="0" fontId="15" fillId="4" borderId="2" xfId="0" applyFont="1" applyFill="1" applyBorder="1" applyAlignment="1">
      <alignment horizontal="left" vertical="center"/>
    </xf>
    <xf numFmtId="0" fontId="15" fillId="4" borderId="2" xfId="0" applyFont="1" applyFill="1" applyBorder="1" applyAlignment="1">
      <alignment horizontal="left" vertical="center" wrapText="1"/>
    </xf>
    <xf numFmtId="0" fontId="14" fillId="0" borderId="2" xfId="0" applyFont="1" applyBorder="1" applyAlignment="1">
      <alignment vertical="center" wrapText="1"/>
    </xf>
    <xf numFmtId="0" fontId="46" fillId="0" borderId="2" xfId="0" applyFont="1" applyBorder="1" applyAlignment="1">
      <alignment vertical="center" wrapText="1"/>
    </xf>
    <xf numFmtId="0" fontId="14" fillId="12" borderId="1" xfId="0" applyFont="1" applyFill="1" applyBorder="1" applyAlignment="1">
      <alignment vertical="center" wrapText="1"/>
    </xf>
    <xf numFmtId="0" fontId="17" fillId="12" borderId="1" xfId="0" applyFont="1" applyFill="1" applyBorder="1" applyAlignment="1">
      <alignment vertical="center" wrapText="1"/>
    </xf>
    <xf numFmtId="0" fontId="47" fillId="0" borderId="10" xfId="0" applyFont="1" applyBorder="1" applyAlignment="1">
      <alignment vertical="center"/>
    </xf>
    <xf numFmtId="0" fontId="17" fillId="12" borderId="1" xfId="0" applyFont="1" applyFill="1" applyBorder="1" applyAlignment="1">
      <alignment wrapText="1"/>
    </xf>
    <xf numFmtId="0" fontId="14" fillId="12" borderId="1" xfId="0" applyFont="1" applyFill="1" applyBorder="1" applyAlignment="1">
      <alignment wrapText="1"/>
    </xf>
    <xf numFmtId="0" fontId="17" fillId="12" borderId="1" xfId="0" applyFont="1" applyFill="1" applyBorder="1" applyAlignment="1">
      <alignment vertical="center" wrapText="1"/>
    </xf>
    <xf numFmtId="0" fontId="14" fillId="12" borderId="1" xfId="0" applyFont="1" applyFill="1" applyBorder="1" applyAlignment="1">
      <alignment wrapText="1"/>
    </xf>
    <xf numFmtId="0" fontId="17" fillId="12" borderId="1" xfId="0" applyFont="1" applyFill="1" applyBorder="1" applyAlignment="1">
      <alignment vertical="center" wrapText="1"/>
    </xf>
    <xf numFmtId="0" fontId="17" fillId="0" borderId="1" xfId="0" applyFont="1" applyBorder="1" applyAlignment="1">
      <alignment horizontal="left" vertical="center" wrapText="1"/>
    </xf>
    <xf numFmtId="0" fontId="49" fillId="0" borderId="1" xfId="0" applyFont="1" applyBorder="1" applyAlignment="1">
      <alignment vertical="center" wrapText="1"/>
    </xf>
    <xf numFmtId="0" fontId="50" fillId="0" borderId="11" xfId="0" applyFont="1" applyBorder="1" applyAlignment="1">
      <alignment vertical="center" wrapText="1"/>
    </xf>
    <xf numFmtId="0" fontId="51" fillId="0" borderId="1" xfId="0" applyFont="1" applyBorder="1" applyAlignment="1">
      <alignment horizontal="center" vertical="center" textRotation="45" wrapText="1"/>
    </xf>
    <xf numFmtId="0" fontId="2" fillId="0" borderId="0" xfId="0" applyFont="1" applyAlignment="1">
      <alignment horizontal="center" vertical="center"/>
    </xf>
    <xf numFmtId="0" fontId="17" fillId="0" borderId="0" xfId="0" applyFont="1" applyAlignment="1">
      <alignment horizontal="left" vertical="center" wrapText="1"/>
    </xf>
    <xf numFmtId="0" fontId="17" fillId="0" borderId="0" xfId="0" applyFont="1" applyAlignment="1">
      <alignment vertical="center" wrapText="1"/>
    </xf>
    <xf numFmtId="0" fontId="4" fillId="0" borderId="1" xfId="0" applyFont="1" applyBorder="1" applyAlignment="1">
      <alignment vertical="center"/>
    </xf>
    <xf numFmtId="0" fontId="17" fillId="0" borderId="1" xfId="0" applyFont="1" applyBorder="1" applyAlignment="1">
      <alignment vertical="center" wrapText="1"/>
    </xf>
    <xf numFmtId="0" fontId="14" fillId="0" borderId="0" xfId="0" applyFont="1" applyAlignment="1">
      <alignment horizontal="center" vertical="center" wrapText="1"/>
    </xf>
    <xf numFmtId="0" fontId="15" fillId="0" borderId="0" xfId="0" applyFont="1" applyAlignment="1">
      <alignment horizontal="left" vertical="center" wrapText="1"/>
    </xf>
    <xf numFmtId="0" fontId="14" fillId="0" borderId="0" xfId="0" applyFont="1" applyAlignment="1">
      <alignment vertical="center" wrapText="1"/>
    </xf>
    <xf numFmtId="0" fontId="52" fillId="0" borderId="0" xfId="0" applyFont="1" applyAlignment="1">
      <alignment vertical="center" wrapText="1"/>
    </xf>
    <xf numFmtId="0" fontId="14" fillId="0" borderId="0" xfId="0" applyFont="1" applyAlignment="1">
      <alignment vertical="center"/>
    </xf>
    <xf numFmtId="0" fontId="53" fillId="0" borderId="0" xfId="0" applyFont="1" applyAlignment="1">
      <alignment vertical="center" wrapText="1"/>
    </xf>
    <xf numFmtId="0" fontId="14" fillId="0" borderId="0" xfId="0" applyFont="1" applyAlignment="1">
      <alignment horizontal="left" vertical="center" wrapText="1"/>
    </xf>
    <xf numFmtId="0" fontId="2" fillId="0" borderId="0" xfId="0" applyFont="1" applyAlignment="1">
      <alignment horizontal="center" vertical="center" wrapText="1"/>
    </xf>
    <xf numFmtId="0" fontId="14" fillId="0" borderId="1" xfId="0" applyFont="1" applyBorder="1" applyAlignment="1">
      <alignment horizontal="left" vertical="center" wrapText="1"/>
    </xf>
    <xf numFmtId="0" fontId="17" fillId="0" borderId="0" xfId="0" applyFont="1" applyAlignment="1">
      <alignment vertical="center" wrapText="1"/>
    </xf>
    <xf numFmtId="0" fontId="54" fillId="0" borderId="1" xfId="0" applyFont="1" applyBorder="1" applyAlignment="1">
      <alignment vertical="center" wrapText="1"/>
    </xf>
    <xf numFmtId="0" fontId="15" fillId="4" borderId="1" xfId="0" applyFont="1" applyFill="1" applyBorder="1" applyAlignment="1">
      <alignment vertical="center" wrapText="1"/>
    </xf>
    <xf numFmtId="0" fontId="15" fillId="4" borderId="1" xfId="0" applyFont="1" applyFill="1" applyBorder="1" applyAlignment="1">
      <alignment vertical="center" wrapText="1"/>
    </xf>
    <xf numFmtId="0" fontId="15" fillId="4" borderId="4" xfId="0" applyFont="1" applyFill="1" applyBorder="1" applyAlignment="1">
      <alignment vertical="center" wrapText="1"/>
    </xf>
    <xf numFmtId="0" fontId="3" fillId="7" borderId="1" xfId="0" applyFont="1" applyFill="1" applyBorder="1" applyAlignment="1">
      <alignment horizontal="center" wrapText="1"/>
    </xf>
    <xf numFmtId="0" fontId="14"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56" fillId="0" borderId="1" xfId="0" applyFont="1" applyBorder="1" applyAlignment="1">
      <alignment horizontal="center" vertical="center"/>
    </xf>
    <xf numFmtId="0" fontId="57" fillId="0" borderId="1" xfId="0" applyFont="1" applyBorder="1" applyAlignment="1">
      <alignment horizontal="center" vertical="center"/>
    </xf>
    <xf numFmtId="0" fontId="14" fillId="0" borderId="1" xfId="0" applyFont="1" applyBorder="1" applyAlignment="1">
      <alignment horizontal="center" vertical="center" wrapText="1"/>
    </xf>
    <xf numFmtId="0" fontId="43" fillId="0" borderId="1" xfId="0" applyFont="1" applyBorder="1" applyAlignment="1">
      <alignment horizontal="center" vertical="center" wrapText="1"/>
    </xf>
    <xf numFmtId="0" fontId="58" fillId="0" borderId="1" xfId="0" applyFont="1" applyBorder="1" applyAlignment="1">
      <alignment horizontal="center" vertical="center" wrapText="1"/>
    </xf>
    <xf numFmtId="0" fontId="17" fillId="0" borderId="10" xfId="0" applyFont="1" applyBorder="1" applyAlignment="1">
      <alignment vertical="center" wrapText="1"/>
    </xf>
    <xf numFmtId="0" fontId="14" fillId="0" borderId="10" xfId="0" applyFont="1" applyBorder="1" applyAlignment="1">
      <alignment vertical="center" wrapText="1"/>
    </xf>
    <xf numFmtId="0" fontId="17" fillId="0" borderId="10" xfId="0" applyFont="1" applyBorder="1" applyAlignment="1">
      <alignment vertical="center" wrapText="1"/>
    </xf>
    <xf numFmtId="0" fontId="3" fillId="0" borderId="0" xfId="0" applyFont="1" applyAlignment="1">
      <alignment horizontal="center" wrapText="1"/>
    </xf>
    <xf numFmtId="0" fontId="59" fillId="0" borderId="0" xfId="0" applyFont="1" applyAlignment="1">
      <alignment vertical="center" wrapText="1"/>
    </xf>
    <xf numFmtId="0" fontId="14" fillId="0" borderId="1" xfId="0" applyFont="1" applyBorder="1" applyAlignment="1">
      <alignment vertical="center" wrapText="1"/>
    </xf>
    <xf numFmtId="0" fontId="4" fillId="0" borderId="0" xfId="0" applyFont="1" applyAlignment="1">
      <alignment vertical="center" wrapText="1"/>
    </xf>
    <xf numFmtId="0" fontId="14" fillId="0" borderId="4" xfId="0" applyFont="1" applyBorder="1" applyAlignment="1">
      <alignment horizontal="center" vertical="center" wrapText="1"/>
    </xf>
    <xf numFmtId="0" fontId="14" fillId="0" borderId="4" xfId="0" applyFont="1" applyBorder="1" applyAlignment="1">
      <alignment vertical="center" wrapText="1"/>
    </xf>
    <xf numFmtId="0" fontId="60" fillId="0" borderId="4" xfId="0" applyFont="1" applyBorder="1" applyAlignment="1">
      <alignment horizontal="center" vertical="center" wrapText="1"/>
    </xf>
    <xf numFmtId="0" fontId="61" fillId="0" borderId="4" xfId="0" applyFont="1" applyBorder="1" applyAlignment="1">
      <alignment horizontal="center" vertical="center" wrapText="1"/>
    </xf>
    <xf numFmtId="0" fontId="14" fillId="0" borderId="11" xfId="0" applyFont="1" applyBorder="1" applyAlignment="1">
      <alignment horizontal="center" vertical="center" wrapText="1"/>
    </xf>
    <xf numFmtId="0" fontId="17" fillId="0" borderId="11" xfId="0" applyFont="1" applyBorder="1" applyAlignment="1">
      <alignment vertical="center" wrapText="1"/>
    </xf>
    <xf numFmtId="0" fontId="62" fillId="0" borderId="11" xfId="0" applyFont="1" applyBorder="1" applyAlignment="1">
      <alignment horizontal="center" vertical="center" wrapText="1"/>
    </xf>
    <xf numFmtId="0" fontId="63" fillId="0" borderId="11" xfId="0" applyFont="1" applyBorder="1" applyAlignment="1">
      <alignment horizontal="center" vertical="center" wrapText="1"/>
    </xf>
    <xf numFmtId="0" fontId="17" fillId="0" borderId="11" xfId="0" applyFont="1" applyBorder="1" applyAlignment="1">
      <alignment vertical="center" wrapText="1"/>
    </xf>
    <xf numFmtId="0" fontId="64" fillId="0" borderId="11" xfId="0" applyFont="1" applyBorder="1" applyAlignment="1">
      <alignment horizontal="center" vertical="center" wrapText="1"/>
    </xf>
    <xf numFmtId="0" fontId="65" fillId="0" borderId="11" xfId="0" applyFont="1" applyBorder="1" applyAlignment="1">
      <alignment horizontal="center" vertical="center"/>
    </xf>
    <xf numFmtId="164" fontId="17" fillId="0" borderId="11" xfId="0" applyNumberFormat="1" applyFont="1" applyBorder="1" applyAlignment="1">
      <alignment vertical="center" wrapText="1"/>
    </xf>
    <xf numFmtId="0" fontId="14" fillId="0" borderId="11" xfId="0" applyFont="1" applyBorder="1" applyAlignment="1">
      <alignment vertical="center" wrapText="1"/>
    </xf>
    <xf numFmtId="0" fontId="55" fillId="0" borderId="11" xfId="0" applyFont="1" applyBorder="1" applyAlignment="1">
      <alignment horizontal="center" vertical="center"/>
    </xf>
    <xf numFmtId="0" fontId="14" fillId="0" borderId="11" xfId="0" applyFont="1" applyBorder="1" applyAlignment="1">
      <alignment horizontal="center" vertical="center" wrapText="1"/>
    </xf>
    <xf numFmtId="0" fontId="17" fillId="4" borderId="11" xfId="0" applyFont="1" applyFill="1" applyBorder="1" applyAlignment="1">
      <alignment horizontal="center" vertical="center" wrapText="1"/>
    </xf>
    <xf numFmtId="0" fontId="66" fillId="0" borderId="11" xfId="0" applyFont="1" applyBorder="1" applyAlignment="1">
      <alignment vertical="center" wrapText="1"/>
    </xf>
    <xf numFmtId="0" fontId="67" fillId="0" borderId="11" xfId="0" applyFont="1" applyBorder="1" applyAlignment="1">
      <alignment vertical="center" wrapText="1"/>
    </xf>
    <xf numFmtId="0" fontId="68" fillId="0" borderId="11"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1" xfId="0" applyFont="1" applyBorder="1" applyAlignment="1">
      <alignment vertical="center" wrapText="1"/>
    </xf>
    <xf numFmtId="0" fontId="4" fillId="0" borderId="1" xfId="0" applyFont="1" applyBorder="1" applyAlignment="1">
      <alignment horizontal="center" vertical="center" wrapText="1"/>
    </xf>
    <xf numFmtId="0" fontId="17" fillId="4" borderId="1" xfId="0" applyFont="1" applyFill="1" applyBorder="1" applyAlignment="1">
      <alignment horizontal="left" vertical="top" wrapText="1"/>
    </xf>
    <xf numFmtId="0" fontId="4" fillId="0" borderId="0" xfId="0" applyFont="1" applyAlignment="1">
      <alignment horizontal="center" vertical="center" wrapText="1"/>
    </xf>
    <xf numFmtId="0" fontId="15" fillId="4" borderId="0" xfId="0" applyFont="1" applyFill="1" applyAlignment="1">
      <alignment horizontal="left" vertical="center" wrapText="1"/>
    </xf>
    <xf numFmtId="0" fontId="14" fillId="0" borderId="1" xfId="0" applyFont="1" applyBorder="1" applyAlignment="1">
      <alignment horizontal="center" vertical="center" wrapText="1"/>
    </xf>
    <xf numFmtId="0" fontId="14" fillId="0" borderId="3" xfId="0" applyFont="1" applyBorder="1" applyAlignment="1">
      <alignment vertical="center" wrapText="1"/>
    </xf>
    <xf numFmtId="0" fontId="17" fillId="0" borderId="3" xfId="0" applyFont="1" applyBorder="1" applyAlignment="1">
      <alignment horizontal="left" vertical="center" wrapText="1"/>
    </xf>
    <xf numFmtId="0" fontId="17" fillId="0" borderId="3" xfId="0" applyFont="1" applyBorder="1" applyAlignment="1">
      <alignment vertical="center" wrapText="1"/>
    </xf>
    <xf numFmtId="0" fontId="17" fillId="0" borderId="3" xfId="0" applyFont="1" applyBorder="1" applyAlignment="1">
      <alignment vertical="center" wrapText="1"/>
    </xf>
    <xf numFmtId="0" fontId="17" fillId="0" borderId="12" xfId="0" applyFont="1" applyBorder="1" applyAlignment="1">
      <alignment vertical="center" wrapText="1"/>
    </xf>
    <xf numFmtId="0" fontId="17" fillId="0" borderId="12" xfId="0" applyFont="1" applyBorder="1" applyAlignment="1">
      <alignment vertical="center" wrapText="1"/>
    </xf>
    <xf numFmtId="0" fontId="4" fillId="0" borderId="0" xfId="0" applyFont="1" applyAlignment="1">
      <alignment vertical="center"/>
    </xf>
    <xf numFmtId="0" fontId="14" fillId="0" borderId="1" xfId="0" applyFont="1" applyBorder="1" applyAlignment="1">
      <alignment horizontal="center" vertical="center" wrapText="1"/>
    </xf>
    <xf numFmtId="0" fontId="69" fillId="0" borderId="1" xfId="0" applyFont="1" applyBorder="1" applyAlignment="1">
      <alignment vertical="center" wrapText="1"/>
    </xf>
    <xf numFmtId="0" fontId="14" fillId="0" borderId="1" xfId="0" applyFont="1" applyBorder="1" applyAlignment="1">
      <alignment vertical="center"/>
    </xf>
    <xf numFmtId="0" fontId="70" fillId="0" borderId="1" xfId="0" applyFont="1" applyBorder="1" applyAlignment="1">
      <alignment horizontal="center" vertical="center"/>
    </xf>
    <xf numFmtId="0" fontId="4" fillId="0" borderId="0" xfId="0" applyFont="1" applyAlignment="1">
      <alignment vertical="center" wrapText="1"/>
    </xf>
    <xf numFmtId="0" fontId="14" fillId="0" borderId="1" xfId="0" applyFont="1" applyBorder="1" applyAlignment="1">
      <alignment vertical="center"/>
    </xf>
    <xf numFmtId="0" fontId="71" fillId="0" borderId="1" xfId="0" applyFont="1" applyBorder="1" applyAlignment="1">
      <alignment horizontal="left" vertical="center" wrapText="1"/>
    </xf>
    <xf numFmtId="0" fontId="43" fillId="0" borderId="1" xfId="0" applyFont="1" applyBorder="1" applyAlignment="1">
      <alignment horizontal="left" vertical="center" wrapText="1"/>
    </xf>
    <xf numFmtId="0" fontId="72" fillId="4" borderId="1" xfId="0" applyFont="1" applyFill="1" applyBorder="1" applyAlignment="1">
      <alignment horizontal="left" vertical="center" wrapText="1"/>
    </xf>
    <xf numFmtId="0" fontId="57" fillId="0" borderId="1" xfId="0" applyFont="1" applyBorder="1" applyAlignment="1">
      <alignment vertical="center" wrapText="1"/>
    </xf>
    <xf numFmtId="0" fontId="73" fillId="0" borderId="1" xfId="0" applyFont="1" applyBorder="1" applyAlignment="1">
      <alignment vertical="center" wrapText="1"/>
    </xf>
    <xf numFmtId="0" fontId="4" fillId="0" borderId="1" xfId="0" applyFont="1" applyBorder="1" applyAlignment="1">
      <alignment vertical="center" wrapText="1"/>
    </xf>
    <xf numFmtId="0" fontId="15" fillId="0" borderId="1" xfId="0" applyFont="1" applyBorder="1" applyAlignment="1">
      <alignment horizontal="center" vertical="center" wrapText="1"/>
    </xf>
    <xf numFmtId="0" fontId="43" fillId="0" borderId="0" xfId="0" applyFont="1" applyAlignment="1">
      <alignment horizontal="center" vertical="center" wrapText="1"/>
    </xf>
    <xf numFmtId="0" fontId="74" fillId="0" borderId="0" xfId="0" applyFont="1" applyAlignment="1">
      <alignment vertical="center" wrapText="1"/>
    </xf>
    <xf numFmtId="0" fontId="74" fillId="0" borderId="0" xfId="0" applyFont="1" applyAlignment="1">
      <alignment vertical="center" wrapText="1"/>
    </xf>
    <xf numFmtId="0" fontId="17" fillId="0" borderId="11" xfId="0" applyFont="1" applyBorder="1" applyAlignment="1">
      <alignment horizontal="left" vertical="center" wrapText="1"/>
    </xf>
    <xf numFmtId="0" fontId="75" fillId="0" borderId="1" xfId="0" applyFont="1" applyBorder="1" applyAlignment="1">
      <alignment horizontal="center" vertical="center" wrapText="1"/>
    </xf>
    <xf numFmtId="0" fontId="75" fillId="0" borderId="4" xfId="0" applyFont="1" applyBorder="1" applyAlignment="1">
      <alignment horizontal="center" vertical="center" wrapText="1"/>
    </xf>
    <xf numFmtId="0" fontId="55" fillId="0" borderId="0" xfId="0" applyFont="1" applyAlignment="1">
      <alignment vertical="center"/>
    </xf>
    <xf numFmtId="0" fontId="76" fillId="0" borderId="10" xfId="0" applyFont="1" applyBorder="1" applyAlignment="1">
      <alignment horizontal="center" vertical="center" wrapText="1"/>
    </xf>
    <xf numFmtId="0" fontId="77" fillId="0" borderId="11" xfId="0" applyFont="1" applyBorder="1" applyAlignment="1">
      <alignment vertical="center" wrapText="1"/>
    </xf>
    <xf numFmtId="0" fontId="77" fillId="0" borderId="11" xfId="0" applyFont="1" applyBorder="1" applyAlignment="1">
      <alignment vertical="center" wrapText="1"/>
    </xf>
    <xf numFmtId="0" fontId="76" fillId="0" borderId="11" xfId="0" applyFont="1" applyBorder="1" applyAlignment="1">
      <alignment vertical="center" wrapText="1"/>
    </xf>
    <xf numFmtId="0" fontId="55" fillId="0" borderId="11" xfId="0" applyFont="1" applyBorder="1" applyAlignment="1">
      <alignment vertical="center"/>
    </xf>
    <xf numFmtId="0" fontId="78" fillId="0" borderId="11" xfId="0" applyFont="1" applyBorder="1" applyAlignment="1">
      <alignment horizontal="center" vertical="center" wrapText="1"/>
    </xf>
    <xf numFmtId="0" fontId="79" fillId="4" borderId="11" xfId="0" applyFont="1" applyFill="1" applyBorder="1" applyAlignment="1">
      <alignment vertical="center" wrapText="1"/>
    </xf>
    <xf numFmtId="0" fontId="55" fillId="0" borderId="11" xfId="0" applyFont="1" applyBorder="1" applyAlignment="1">
      <alignment vertical="center"/>
    </xf>
    <xf numFmtId="0" fontId="77" fillId="4" borderId="11" xfId="0" applyFont="1" applyFill="1" applyBorder="1" applyAlignment="1">
      <alignment vertical="center" wrapText="1"/>
    </xf>
    <xf numFmtId="0" fontId="76" fillId="0" borderId="11" xfId="0" applyFont="1" applyBorder="1" applyAlignment="1">
      <alignment vertical="center" wrapText="1"/>
    </xf>
    <xf numFmtId="0" fontId="76" fillId="4" borderId="11" xfId="0" applyFont="1" applyFill="1" applyBorder="1" applyAlignment="1">
      <alignment vertical="center" wrapText="1"/>
    </xf>
    <xf numFmtId="0" fontId="55" fillId="0" borderId="0" xfId="0" applyFont="1" applyAlignment="1">
      <alignment vertical="center"/>
    </xf>
    <xf numFmtId="0" fontId="80" fillId="13" borderId="1" xfId="0" applyFont="1" applyFill="1" applyBorder="1" applyAlignment="1">
      <alignment horizontal="center" vertical="center"/>
    </xf>
    <xf numFmtId="0" fontId="81" fillId="0" borderId="1" xfId="0" applyFont="1" applyBorder="1" applyAlignment="1">
      <alignment horizontal="center" vertical="center"/>
    </xf>
    <xf numFmtId="0" fontId="81" fillId="0" borderId="1" xfId="0" applyFont="1" applyBorder="1" applyAlignment="1">
      <alignment horizontal="center" vertical="center"/>
    </xf>
    <xf numFmtId="0" fontId="81" fillId="0" borderId="1" xfId="0" applyFont="1" applyBorder="1" applyAlignment="1">
      <alignment vertical="center" wrapText="1"/>
    </xf>
    <xf numFmtId="0" fontId="81" fillId="0" borderId="1" xfId="0" applyFont="1" applyBorder="1" applyAlignment="1">
      <alignment vertical="center" wrapText="1"/>
    </xf>
    <xf numFmtId="0" fontId="3" fillId="0" borderId="2" xfId="0" applyFont="1" applyBorder="1" applyAlignment="1">
      <alignment horizontal="center" vertical="center" wrapText="1"/>
    </xf>
    <xf numFmtId="0" fontId="82" fillId="0" borderId="1" xfId="0" applyFont="1" applyBorder="1" applyAlignment="1">
      <alignment horizontal="center" vertical="center" wrapText="1"/>
    </xf>
    <xf numFmtId="0" fontId="2" fillId="0" borderId="1" xfId="0" applyFont="1" applyBorder="1" applyAlignment="1">
      <alignment horizontal="center" vertical="center" wrapText="1"/>
    </xf>
    <xf numFmtId="0" fontId="2" fillId="0" borderId="4" xfId="0" applyFont="1" applyBorder="1" applyAlignment="1">
      <alignment horizontal="center" vertical="center" wrapText="1"/>
    </xf>
    <xf numFmtId="0" fontId="2" fillId="0" borderId="4" xfId="0" applyFont="1" applyBorder="1" applyAlignment="1">
      <alignment horizontal="center" vertical="center" wrapText="1"/>
    </xf>
    <xf numFmtId="0" fontId="11" fillId="6" borderId="0" xfId="0" applyFont="1" applyFill="1" applyAlignment="1">
      <alignment horizontal="center" vertical="center" wrapText="1"/>
    </xf>
    <xf numFmtId="0" fontId="14" fillId="0" borderId="10" xfId="0" applyFont="1" applyBorder="1" applyAlignment="1">
      <alignment horizontal="center" vertical="center" wrapText="1"/>
    </xf>
    <xf numFmtId="0" fontId="83" fillId="0" borderId="11" xfId="0" applyFont="1" applyBorder="1" applyAlignment="1">
      <alignment vertical="center" wrapText="1"/>
    </xf>
    <xf numFmtId="0" fontId="14" fillId="0" borderId="11" xfId="0" applyFont="1" applyBorder="1" applyAlignment="1">
      <alignment vertical="center" wrapText="1"/>
    </xf>
    <xf numFmtId="0" fontId="3" fillId="7" borderId="0" xfId="0" applyFont="1" applyFill="1" applyAlignment="1">
      <alignment horizontal="center" vertical="center" wrapText="1"/>
    </xf>
    <xf numFmtId="0" fontId="17" fillId="0" borderId="11" xfId="0" applyFont="1" applyBorder="1" applyAlignment="1">
      <alignment vertical="center" wrapText="1"/>
    </xf>
    <xf numFmtId="0" fontId="8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17" fillId="4" borderId="11" xfId="0" applyFont="1" applyFill="1" applyBorder="1" applyAlignment="1">
      <alignment vertical="center" wrapText="1"/>
    </xf>
    <xf numFmtId="0" fontId="86" fillId="0" borderId="1" xfId="0" applyFont="1" applyBorder="1" applyAlignment="1">
      <alignment horizontal="center"/>
    </xf>
    <xf numFmtId="0" fontId="87" fillId="4" borderId="1" xfId="0" applyFont="1" applyFill="1" applyBorder="1" applyAlignment="1">
      <alignment horizontal="center"/>
    </xf>
    <xf numFmtId="0" fontId="81" fillId="4" borderId="1" xfId="0" applyFont="1" applyFill="1" applyBorder="1" applyAlignment="1">
      <alignment horizontal="center" vertical="center"/>
    </xf>
    <xf numFmtId="0" fontId="81" fillId="4" borderId="1" xfId="0" applyFont="1" applyFill="1" applyBorder="1" applyAlignment="1">
      <alignment horizontal="center" vertical="center"/>
    </xf>
    <xf numFmtId="0" fontId="81" fillId="4" borderId="1" xfId="0" applyFont="1" applyFill="1" applyBorder="1" applyAlignment="1">
      <alignment vertical="center" wrapText="1"/>
    </xf>
    <xf numFmtId="0" fontId="88" fillId="4" borderId="1" xfId="0" applyFont="1" applyFill="1" applyBorder="1" applyAlignment="1">
      <alignment horizontal="center"/>
    </xf>
    <xf numFmtId="0" fontId="89" fillId="0" borderId="1" xfId="0" applyFont="1" applyBorder="1" applyAlignment="1">
      <alignment vertical="center" wrapText="1"/>
    </xf>
    <xf numFmtId="0" fontId="81" fillId="4" borderId="1" xfId="0" applyFont="1" applyFill="1" applyBorder="1" applyAlignment="1">
      <alignment vertical="center" wrapText="1"/>
    </xf>
    <xf numFmtId="0" fontId="14" fillId="4" borderId="0" xfId="0" applyFont="1" applyFill="1" applyAlignment="1">
      <alignment vertical="center" wrapText="1"/>
    </xf>
    <xf numFmtId="0" fontId="81" fillId="8" borderId="1" xfId="0" applyFont="1" applyFill="1" applyBorder="1" applyAlignment="1">
      <alignment horizontal="center" vertical="center"/>
    </xf>
    <xf numFmtId="0" fontId="81" fillId="8" borderId="1" xfId="0" applyFont="1" applyFill="1" applyBorder="1" applyAlignment="1">
      <alignment horizontal="center" vertical="center"/>
    </xf>
    <xf numFmtId="0" fontId="81" fillId="8" borderId="1" xfId="0" applyFont="1" applyFill="1" applyBorder="1" applyAlignment="1">
      <alignment vertical="center" wrapText="1"/>
    </xf>
    <xf numFmtId="0" fontId="17" fillId="4" borderId="11" xfId="0" applyFont="1" applyFill="1" applyBorder="1" applyAlignment="1">
      <alignment vertical="center" wrapText="1"/>
    </xf>
    <xf numFmtId="0" fontId="14" fillId="0" borderId="4" xfId="0" applyFont="1" applyBorder="1" applyAlignment="1">
      <alignment vertical="center"/>
    </xf>
    <xf numFmtId="0" fontId="2" fillId="5" borderId="6" xfId="0" applyFont="1" applyFill="1" applyBorder="1" applyAlignment="1">
      <alignment horizontal="center" vertical="center" wrapText="1"/>
    </xf>
    <xf numFmtId="0" fontId="4" fillId="0" borderId="11" xfId="0" applyFont="1" applyBorder="1"/>
    <xf numFmtId="0" fontId="2" fillId="0" borderId="2" xfId="0" applyFont="1" applyBorder="1" applyAlignment="1">
      <alignment horizontal="center" vertical="center" wrapText="1"/>
    </xf>
    <xf numFmtId="0" fontId="4" fillId="0" borderId="10" xfId="0" applyFont="1" applyBorder="1"/>
    <xf numFmtId="0" fontId="2" fillId="0" borderId="2" xfId="0" applyFont="1" applyBorder="1" applyAlignment="1">
      <alignment horizontal="center" vertical="center"/>
    </xf>
    <xf numFmtId="0" fontId="11" fillId="6" borderId="2" xfId="0" applyFont="1" applyFill="1" applyBorder="1" applyAlignment="1">
      <alignment horizontal="center" vertical="center" wrapText="1"/>
    </xf>
    <xf numFmtId="0" fontId="11" fillId="6" borderId="2" xfId="0" applyFont="1" applyFill="1" applyBorder="1" applyAlignment="1">
      <alignment horizontal="center" vertical="center"/>
    </xf>
    <xf numFmtId="0" fontId="2" fillId="0" borderId="6" xfId="0" applyFont="1" applyBorder="1" applyAlignment="1">
      <alignment horizontal="center" vertical="center" wrapText="1"/>
    </xf>
    <xf numFmtId="0" fontId="2" fillId="0" borderId="3" xfId="0" applyFont="1" applyBorder="1" applyAlignment="1">
      <alignment horizontal="center" vertical="center" wrapText="1"/>
    </xf>
    <xf numFmtId="0" fontId="4" fillId="0" borderId="4" xfId="0" applyFont="1" applyBorder="1"/>
    <xf numFmtId="0" fontId="48" fillId="12" borderId="0" xfId="0" applyFont="1" applyFill="1" applyAlignment="1">
      <alignment horizontal="center" vertical="center" wrapText="1"/>
    </xf>
    <xf numFmtId="0" fontId="0" fillId="0" borderId="0" xfId="0" applyFont="1" applyAlignment="1"/>
    <xf numFmtId="0" fontId="2" fillId="0" borderId="2" xfId="0" applyFont="1" applyBorder="1" applyAlignment="1">
      <alignment horizontal="left" vertical="center" wrapText="1"/>
    </xf>
    <xf numFmtId="0" fontId="81" fillId="0" borderId="2" xfId="0" applyFont="1" applyBorder="1" applyAlignment="1">
      <alignment horizontal="center" vertical="center"/>
    </xf>
    <xf numFmtId="0" fontId="4" fillId="0" borderId="13" xfId="0" applyFont="1" applyBorder="1"/>
    <xf numFmtId="0" fontId="80" fillId="13" borderId="2" xfId="0" applyFont="1" applyFill="1" applyBorder="1" applyAlignment="1">
      <alignment horizontal="center" vertical="center"/>
    </xf>
    <xf numFmtId="0" fontId="80" fillId="13" borderId="2" xfId="0" applyFont="1" applyFill="1" applyBorder="1" applyAlignment="1">
      <alignment horizontal="center" vertical="center" wrapText="1"/>
    </xf>
    <xf numFmtId="0" fontId="81" fillId="0" borderId="2" xfId="0" applyFont="1" applyBorder="1" applyAlignment="1">
      <alignment vertical="center" wrapText="1"/>
    </xf>
    <xf numFmtId="0" fontId="84" fillId="0" borderId="2" xfId="0" applyFont="1" applyBorder="1" applyAlignment="1">
      <alignment horizontal="center" vertical="center" wrapText="1"/>
    </xf>
    <xf numFmtId="0" fontId="14" fillId="7" borderId="13" xfId="0" applyFont="1" applyFill="1" applyBorder="1" applyAlignment="1">
      <alignment vertical="center" wrapText="1"/>
    </xf>
    <xf numFmtId="0" fontId="3" fillId="7" borderId="2" xfId="0" applyFont="1" applyFill="1" applyBorder="1" applyAlignment="1">
      <alignment horizontal="center" vertical="center" wrapText="1"/>
    </xf>
    <xf numFmtId="0" fontId="91" fillId="0" borderId="0" xfId="0" applyFont="1" applyAlignment="1"/>
    <xf numFmtId="0" fontId="92" fillId="0" borderId="0" xfId="0" applyFont="1" applyAlignment="1">
      <alignment wrapText="1"/>
    </xf>
    <xf numFmtId="0" fontId="93" fillId="0" borderId="0" xfId="0" applyFont="1" applyAlignment="1">
      <alignment vertical="center"/>
    </xf>
  </cellXfs>
  <cellStyles count="1">
    <cellStyle name="Normal" xfId="0" builtinId="0"/>
  </cellStyles>
  <dxfs count="32">
    <dxf>
      <fill>
        <patternFill patternType="solid">
          <fgColor rgb="FFC27BA0"/>
          <bgColor rgb="FFC27BA0"/>
        </patternFill>
      </fill>
    </dxf>
    <dxf>
      <fill>
        <patternFill patternType="solid">
          <fgColor rgb="FF8CA6B7"/>
          <bgColor rgb="FF8CA6B7"/>
        </patternFill>
      </fill>
    </dxf>
    <dxf>
      <fill>
        <patternFill patternType="solid">
          <fgColor rgb="FFAFBEA1"/>
          <bgColor rgb="FFAFBEA1"/>
        </patternFill>
      </fill>
    </dxf>
    <dxf>
      <fill>
        <patternFill patternType="solid">
          <fgColor rgb="FFC1C1DB"/>
          <bgColor rgb="FFC1C1DB"/>
        </patternFill>
      </fill>
    </dxf>
    <dxf>
      <fill>
        <patternFill patternType="solid">
          <fgColor rgb="FFD4C080"/>
          <bgColor rgb="FFD4C080"/>
        </patternFill>
      </fill>
    </dxf>
    <dxf>
      <fill>
        <patternFill patternType="solid">
          <fgColor rgb="FFFDC62F"/>
          <bgColor rgb="FFFDC62F"/>
        </patternFill>
      </fill>
    </dxf>
    <dxf>
      <fill>
        <patternFill patternType="solid">
          <fgColor rgb="FFB8D1D8"/>
          <bgColor rgb="FFB8D1D8"/>
        </patternFill>
      </fill>
    </dxf>
    <dxf>
      <fill>
        <patternFill patternType="solid">
          <fgColor rgb="FFD8A191"/>
          <bgColor rgb="FFD8A191"/>
        </patternFill>
      </fill>
    </dxf>
    <dxf>
      <fill>
        <patternFill patternType="solid">
          <fgColor rgb="FFC27BA0"/>
          <bgColor rgb="FFC27BA0"/>
        </patternFill>
      </fill>
    </dxf>
    <dxf>
      <fill>
        <patternFill patternType="solid">
          <fgColor rgb="FF8CA6B7"/>
          <bgColor rgb="FF8CA6B7"/>
        </patternFill>
      </fill>
    </dxf>
    <dxf>
      <fill>
        <patternFill patternType="solid">
          <fgColor rgb="FFAFBEA1"/>
          <bgColor rgb="FFAFBEA1"/>
        </patternFill>
      </fill>
    </dxf>
    <dxf>
      <fill>
        <patternFill patternType="solid">
          <fgColor rgb="FFC1C1DB"/>
          <bgColor rgb="FFC1C1DB"/>
        </patternFill>
      </fill>
    </dxf>
    <dxf>
      <fill>
        <patternFill patternType="solid">
          <fgColor rgb="FFD4C080"/>
          <bgColor rgb="FFD4C080"/>
        </patternFill>
      </fill>
    </dxf>
    <dxf>
      <fill>
        <patternFill patternType="solid">
          <fgColor rgb="FFFDC62F"/>
          <bgColor rgb="FFFDC62F"/>
        </patternFill>
      </fill>
    </dxf>
    <dxf>
      <fill>
        <patternFill patternType="solid">
          <fgColor rgb="FFB8D1D8"/>
          <bgColor rgb="FFB8D1D8"/>
        </patternFill>
      </fill>
    </dxf>
    <dxf>
      <fill>
        <patternFill patternType="solid">
          <fgColor rgb="FFD8A191"/>
          <bgColor rgb="FFD8A191"/>
        </patternFill>
      </fill>
    </dxf>
    <dxf>
      <fill>
        <patternFill patternType="solid">
          <fgColor rgb="FFC27BA0"/>
          <bgColor rgb="FFC27BA0"/>
        </patternFill>
      </fill>
    </dxf>
    <dxf>
      <fill>
        <patternFill patternType="solid">
          <fgColor rgb="FF8CA6B7"/>
          <bgColor rgb="FF8CA6B7"/>
        </patternFill>
      </fill>
    </dxf>
    <dxf>
      <fill>
        <patternFill patternType="solid">
          <fgColor rgb="FFAFBEA1"/>
          <bgColor rgb="FFAFBEA1"/>
        </patternFill>
      </fill>
    </dxf>
    <dxf>
      <fill>
        <patternFill patternType="solid">
          <fgColor rgb="FFC1C1DB"/>
          <bgColor rgb="FFC1C1DB"/>
        </patternFill>
      </fill>
    </dxf>
    <dxf>
      <fill>
        <patternFill patternType="solid">
          <fgColor rgb="FFD4C080"/>
          <bgColor rgb="FFD4C080"/>
        </patternFill>
      </fill>
    </dxf>
    <dxf>
      <fill>
        <patternFill patternType="solid">
          <fgColor rgb="FFFDC62F"/>
          <bgColor rgb="FFFDC62F"/>
        </patternFill>
      </fill>
    </dxf>
    <dxf>
      <fill>
        <patternFill patternType="solid">
          <fgColor rgb="FFB8D1D8"/>
          <bgColor rgb="FFB8D1D8"/>
        </patternFill>
      </fill>
    </dxf>
    <dxf>
      <fill>
        <patternFill patternType="solid">
          <fgColor rgb="FFD8A191"/>
          <bgColor rgb="FFD8A191"/>
        </patternFill>
      </fill>
    </dxf>
    <dxf>
      <fill>
        <patternFill patternType="solid">
          <fgColor rgb="FFC27BA0"/>
          <bgColor rgb="FFC27BA0"/>
        </patternFill>
      </fill>
    </dxf>
    <dxf>
      <fill>
        <patternFill patternType="solid">
          <fgColor rgb="FF8CA6B7"/>
          <bgColor rgb="FF8CA6B7"/>
        </patternFill>
      </fill>
    </dxf>
    <dxf>
      <fill>
        <patternFill patternType="solid">
          <fgColor rgb="FFAFBEA1"/>
          <bgColor rgb="FFAFBEA1"/>
        </patternFill>
      </fill>
    </dxf>
    <dxf>
      <fill>
        <patternFill patternType="solid">
          <fgColor rgb="FFC1C1DB"/>
          <bgColor rgb="FFC1C1DB"/>
        </patternFill>
      </fill>
    </dxf>
    <dxf>
      <fill>
        <patternFill patternType="solid">
          <fgColor rgb="FFD4C080"/>
          <bgColor rgb="FFD4C080"/>
        </patternFill>
      </fill>
    </dxf>
    <dxf>
      <fill>
        <patternFill patternType="solid">
          <fgColor rgb="FFFDC62F"/>
          <bgColor rgb="FFFDC62F"/>
        </patternFill>
      </fill>
    </dxf>
    <dxf>
      <fill>
        <patternFill patternType="solid">
          <fgColor rgb="FFB8D1D8"/>
          <bgColor rgb="FFB8D1D8"/>
        </patternFill>
      </fill>
    </dxf>
    <dxf>
      <fill>
        <patternFill patternType="solid">
          <fgColor rgb="FFD8A191"/>
          <bgColor rgb="FFD8A19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beta.sam.gov/" TargetMode="External"/><Relationship Id="rId3" Type="http://schemas.openxmlformats.org/officeDocument/2006/relationships/hyperlink" Target="http://sam.gov/" TargetMode="External"/><Relationship Id="rId7" Type="http://schemas.openxmlformats.org/officeDocument/2006/relationships/hyperlink" Target="http://sam.gov/" TargetMode="External"/><Relationship Id="rId2" Type="http://schemas.openxmlformats.org/officeDocument/2006/relationships/hyperlink" Target="http://sam.gov/" TargetMode="External"/><Relationship Id="rId1" Type="http://schemas.openxmlformats.org/officeDocument/2006/relationships/hyperlink" Target="http://fbo.gov/" TargetMode="External"/><Relationship Id="rId6" Type="http://schemas.openxmlformats.org/officeDocument/2006/relationships/hyperlink" Target="http://sam.gov/" TargetMode="External"/><Relationship Id="rId5" Type="http://schemas.openxmlformats.org/officeDocument/2006/relationships/hyperlink" Target="http://sam.gov/" TargetMode="External"/><Relationship Id="rId4" Type="http://schemas.openxmlformats.org/officeDocument/2006/relationships/hyperlink" Target="http://sam.gov/" TargetMode="External"/><Relationship Id="rId9" Type="http://schemas.openxmlformats.org/officeDocument/2006/relationships/hyperlink" Target="http://beta.sam.gov/"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acquisition.gov/content/part-14-sealed-bidding" TargetMode="External"/><Relationship Id="rId117" Type="http://schemas.openxmlformats.org/officeDocument/2006/relationships/hyperlink" Target="https://www.acquisition.gov/content/part-505-publicizing-contract-actions" TargetMode="External"/><Relationship Id="rId21" Type="http://schemas.openxmlformats.org/officeDocument/2006/relationships/hyperlink" Target="https://hallways.cap.gsa.gov/app/" TargetMode="External"/><Relationship Id="rId42" Type="http://schemas.openxmlformats.org/officeDocument/2006/relationships/hyperlink" Target="https://www.acquisition.gov/content/part-52-solicitation-provisions-and-contract-clauses" TargetMode="External"/><Relationship Id="rId47" Type="http://schemas.openxmlformats.org/officeDocument/2006/relationships/hyperlink" Target="https://www.acquisition.gov/content/part-552-solicitation-provisions-and-contract-clauses" TargetMode="External"/><Relationship Id="rId63" Type="http://schemas.openxmlformats.org/officeDocument/2006/relationships/hyperlink" Target="https://www.acquisition.gov/content/part-15-contracting-negotiation" TargetMode="External"/><Relationship Id="rId68" Type="http://schemas.openxmlformats.org/officeDocument/2006/relationships/hyperlink" Target="https://www.acquisition.gov/content/part-15-contracting-negotiation" TargetMode="External"/><Relationship Id="rId84" Type="http://schemas.openxmlformats.org/officeDocument/2006/relationships/hyperlink" Target="https://insite.gsa.gov/cdnstatic/insite/AA-2005-01.pdf" TargetMode="External"/><Relationship Id="rId89" Type="http://schemas.openxmlformats.org/officeDocument/2006/relationships/hyperlink" Target="https://www.acquisition.gov/content/part-15-contracting-negotiation" TargetMode="External"/><Relationship Id="rId112" Type="http://schemas.openxmlformats.org/officeDocument/2006/relationships/hyperlink" Target="https://www.acquisition.gov/content/part-19-small-business-programs" TargetMode="External"/><Relationship Id="rId133" Type="http://schemas.openxmlformats.org/officeDocument/2006/relationships/hyperlink" Target="https://www.acquisition.gov/content/part-22-application-labor-laws-government-acquisitions" TargetMode="External"/><Relationship Id="rId138" Type="http://schemas.openxmlformats.org/officeDocument/2006/relationships/hyperlink" Target="https://www.acquisition.gov/content/part-12-acquisition-commercial-items" TargetMode="External"/><Relationship Id="rId154" Type="http://schemas.openxmlformats.org/officeDocument/2006/relationships/hyperlink" Target="https://www.acquisition.gov/content/part-532-contract-financing" TargetMode="External"/><Relationship Id="rId159" Type="http://schemas.openxmlformats.org/officeDocument/2006/relationships/hyperlink" Target="https://www.acquisition.gov/content/part-32-contract-financing" TargetMode="External"/><Relationship Id="rId175" Type="http://schemas.openxmlformats.org/officeDocument/2006/relationships/hyperlink" Target="https://hallways.cap.gsa.gov/app/" TargetMode="External"/><Relationship Id="rId170" Type="http://schemas.openxmlformats.org/officeDocument/2006/relationships/hyperlink" Target="https://www.acquisition.gov/content/part-542-contract-administration-and-audit-services" TargetMode="External"/><Relationship Id="rId191" Type="http://schemas.openxmlformats.org/officeDocument/2006/relationships/hyperlink" Target="https://sites.google.com/a/gsa.gov/sm-guidance/" TargetMode="External"/><Relationship Id="rId16" Type="http://schemas.openxmlformats.org/officeDocument/2006/relationships/hyperlink" Target="https://insite.gsa.gov/organizations/federal-acquisition-service/about-us/categories-and-offices/policy-and-compliance/acquisition-policy/routing-acquisition-documents-for-reviewconcurrenceapproval?term=Routing%20Procurement%20Documentation%20Requiring%20" TargetMode="External"/><Relationship Id="rId107" Type="http://schemas.openxmlformats.org/officeDocument/2006/relationships/hyperlink" Target="https://www.acquisition.gov/content/part-4-administrative-matters" TargetMode="External"/><Relationship Id="rId11" Type="http://schemas.openxmlformats.org/officeDocument/2006/relationships/hyperlink" Target="https://www.acquisition.gov/content/part-501-general-services-administration-acquisition-regulation-system" TargetMode="External"/><Relationship Id="rId32" Type="http://schemas.openxmlformats.org/officeDocument/2006/relationships/hyperlink" Target="https://www.acquisition.gov/content/part-5-publicizing-contract-actions" TargetMode="External"/><Relationship Id="rId37" Type="http://schemas.openxmlformats.org/officeDocument/2006/relationships/hyperlink" Target="https://www.acquisition.gov/content/part-8-required-sources-supplies-and-services" TargetMode="External"/><Relationship Id="rId53" Type="http://schemas.openxmlformats.org/officeDocument/2006/relationships/hyperlink" Target="https://www.acquisition.gov/content/part-15-contracting-negotiation" TargetMode="External"/><Relationship Id="rId58" Type="http://schemas.openxmlformats.org/officeDocument/2006/relationships/hyperlink" Target="https://insite.gsa.gov/directives-library/internal-audit-followup-hb-20302d-adm-p?term=Internal%20Audit%20Handbook" TargetMode="External"/><Relationship Id="rId74" Type="http://schemas.openxmlformats.org/officeDocument/2006/relationships/hyperlink" Target="https://www.acquisition.gov/content/part-15-contracting-negotiation" TargetMode="External"/><Relationship Id="rId79" Type="http://schemas.openxmlformats.org/officeDocument/2006/relationships/hyperlink" Target="https://www.acquisition.gov/content/part-9-contractor-qualifications" TargetMode="External"/><Relationship Id="rId102" Type="http://schemas.openxmlformats.org/officeDocument/2006/relationships/hyperlink" Target="https://www.acquisition.gov/content/part-533-protests-disputes-and-appeals" TargetMode="External"/><Relationship Id="rId123" Type="http://schemas.openxmlformats.org/officeDocument/2006/relationships/hyperlink" Target="https://www.acquisition.gov/content/part-9-contractor-qualifications" TargetMode="External"/><Relationship Id="rId128" Type="http://schemas.openxmlformats.org/officeDocument/2006/relationships/hyperlink" Target="https://www.acquisition.gov/content/part-28-bonds-and-insurance" TargetMode="External"/><Relationship Id="rId144" Type="http://schemas.openxmlformats.org/officeDocument/2006/relationships/hyperlink" Target="https://sites.google.com/a/gsa.gov/sm-guidance/" TargetMode="External"/><Relationship Id="rId149" Type="http://schemas.openxmlformats.org/officeDocument/2006/relationships/hyperlink" Target="https://sites.google.com/a/gsa.gov/suppliermanagement/the-ioa-manual" TargetMode="External"/><Relationship Id="rId5" Type="http://schemas.openxmlformats.org/officeDocument/2006/relationships/hyperlink" Target="https://insite.gsa.gov/cdnstatic/insite/AA-2014-07.pdf" TargetMode="External"/><Relationship Id="rId90" Type="http://schemas.openxmlformats.org/officeDocument/2006/relationships/hyperlink" Target="https://www.acquisition.gov/content/part-14-sealed-bidding" TargetMode="External"/><Relationship Id="rId95" Type="http://schemas.openxmlformats.org/officeDocument/2006/relationships/hyperlink" Target="https://www.acquisition.gov/content/part-15-contracting-negotiation" TargetMode="External"/><Relationship Id="rId160" Type="http://schemas.openxmlformats.org/officeDocument/2006/relationships/hyperlink" Target="https://www.acquisition.gov/content/part-532-contract-financing" TargetMode="External"/><Relationship Id="rId165" Type="http://schemas.openxmlformats.org/officeDocument/2006/relationships/hyperlink" Target="https://www.acquisition.gov/content/part-515-contracting-negotiation" TargetMode="External"/><Relationship Id="rId181" Type="http://schemas.openxmlformats.org/officeDocument/2006/relationships/hyperlink" Target="https://www.acquisition.gov/content/part-49-termination-contracts" TargetMode="External"/><Relationship Id="rId186" Type="http://schemas.openxmlformats.org/officeDocument/2006/relationships/hyperlink" Target="https://www.acquisition.gov/content/part-4-administrative-matters" TargetMode="External"/><Relationship Id="rId22" Type="http://schemas.openxmlformats.org/officeDocument/2006/relationships/hyperlink" Target="https://www.acquisition.gov/content/part-19-small-business-programs" TargetMode="External"/><Relationship Id="rId27" Type="http://schemas.openxmlformats.org/officeDocument/2006/relationships/hyperlink" Target="https://www.acquisition.gov/content/part-14-sealed-bidding" TargetMode="External"/><Relationship Id="rId43" Type="http://schemas.openxmlformats.org/officeDocument/2006/relationships/hyperlink" Target="https://www.acquisition.gov/content/part-52-solicitation-provisions-and-contract-clauses" TargetMode="External"/><Relationship Id="rId48" Type="http://schemas.openxmlformats.org/officeDocument/2006/relationships/hyperlink" Target="https://www.acquisition.gov/content/part-552-solicitation-provisions-and-contract-clauses" TargetMode="External"/><Relationship Id="rId64" Type="http://schemas.openxmlformats.org/officeDocument/2006/relationships/hyperlink" Target="https://www.acquisition.gov/content/part-515-contracting-negotiation" TargetMode="External"/><Relationship Id="rId69" Type="http://schemas.openxmlformats.org/officeDocument/2006/relationships/hyperlink" Target="https://www.acquisition.gov/content/part-15-contracting-negotiation" TargetMode="External"/><Relationship Id="rId113" Type="http://schemas.openxmlformats.org/officeDocument/2006/relationships/hyperlink" Target="https://insite.gsa.gov/directives-library/office-of-general-counsel-legal-review-50004b-adm?term=ADM%205000.4B" TargetMode="External"/><Relationship Id="rId118" Type="http://schemas.openxmlformats.org/officeDocument/2006/relationships/hyperlink" Target="https://www.acquisition.gov/content/part-4-administrative-matters" TargetMode="External"/><Relationship Id="rId134" Type="http://schemas.openxmlformats.org/officeDocument/2006/relationships/hyperlink" Target="https://www.acquisition.gov/content/part-22-application-labor-laws-government-acquisitions" TargetMode="External"/><Relationship Id="rId139" Type="http://schemas.openxmlformats.org/officeDocument/2006/relationships/hyperlink" Target="https://www.acquisition.gov/content/part-46-quality-assurance" TargetMode="External"/><Relationship Id="rId80" Type="http://schemas.openxmlformats.org/officeDocument/2006/relationships/hyperlink" Target="https://www.acquisition.gov/content/part-9-contractor-qualifications" TargetMode="External"/><Relationship Id="rId85" Type="http://schemas.openxmlformats.org/officeDocument/2006/relationships/hyperlink" Target="https://hallways.cap.gsa.gov/app/" TargetMode="External"/><Relationship Id="rId150" Type="http://schemas.openxmlformats.org/officeDocument/2006/relationships/hyperlink" Target="https://www.acquisition.gov/content/part-46-quality-assurance" TargetMode="External"/><Relationship Id="rId155" Type="http://schemas.openxmlformats.org/officeDocument/2006/relationships/hyperlink" Target="https://hallways.cap.gsa.gov/app/" TargetMode="External"/><Relationship Id="rId171" Type="http://schemas.openxmlformats.org/officeDocument/2006/relationships/hyperlink" Target="https://sites.google.com/a/gsa.gov/sm-guidance/" TargetMode="External"/><Relationship Id="rId176" Type="http://schemas.openxmlformats.org/officeDocument/2006/relationships/hyperlink" Target="https://hallways.cap.gsa.gov/app/" TargetMode="External"/><Relationship Id="rId12" Type="http://schemas.openxmlformats.org/officeDocument/2006/relationships/hyperlink" Target="https://www.acquisition.gov/content/part-506-competition-requirements" TargetMode="External"/><Relationship Id="rId17" Type="http://schemas.openxmlformats.org/officeDocument/2006/relationships/hyperlink" Target="https://hallways.cap.gsa.gov/app/" TargetMode="External"/><Relationship Id="rId33" Type="http://schemas.openxmlformats.org/officeDocument/2006/relationships/hyperlink" Target="https://www.acquisition.gov/content/part-14-sealed-bidding" TargetMode="External"/><Relationship Id="rId38" Type="http://schemas.openxmlformats.org/officeDocument/2006/relationships/hyperlink" Target="https://www.acquisition.gov/content/part-12-acquisition-commercial-items" TargetMode="External"/><Relationship Id="rId59" Type="http://schemas.openxmlformats.org/officeDocument/2006/relationships/hyperlink" Target="https://hallways.cap.gsa.gov/app/" TargetMode="External"/><Relationship Id="rId103" Type="http://schemas.openxmlformats.org/officeDocument/2006/relationships/hyperlink" Target="https://www.acquisition.gov/content/part-14-sealed-bidding" TargetMode="External"/><Relationship Id="rId108" Type="http://schemas.openxmlformats.org/officeDocument/2006/relationships/hyperlink" Target="https://hallways.cap.gsa.gov/app/" TargetMode="External"/><Relationship Id="rId124" Type="http://schemas.openxmlformats.org/officeDocument/2006/relationships/hyperlink" Target="https://www.acquisition.gov/content/part-509-contractor-qualifications" TargetMode="External"/><Relationship Id="rId129" Type="http://schemas.openxmlformats.org/officeDocument/2006/relationships/hyperlink" Target="https://www.acquisition.gov/content/part-28-bonds-and-insurance" TargetMode="External"/><Relationship Id="rId54" Type="http://schemas.openxmlformats.org/officeDocument/2006/relationships/hyperlink" Target="https://www.acquisition.gov/content/part-515-contracting-negotiation" TargetMode="External"/><Relationship Id="rId70" Type="http://schemas.openxmlformats.org/officeDocument/2006/relationships/hyperlink" Target="https://www.acquisition.gov/content/part-15-contracting-negotiation" TargetMode="External"/><Relationship Id="rId75" Type="http://schemas.openxmlformats.org/officeDocument/2006/relationships/hyperlink" Target="https://www.acquisition.gov/content/part-515-contracting-negotiation" TargetMode="External"/><Relationship Id="rId91" Type="http://schemas.openxmlformats.org/officeDocument/2006/relationships/hyperlink" Target="https://www.acquisition.gov/content/part-14-sealed-bidding" TargetMode="External"/><Relationship Id="rId96" Type="http://schemas.openxmlformats.org/officeDocument/2006/relationships/hyperlink" Target="https://www.acquisition.gov/content/part-15-contracting-negotiation" TargetMode="External"/><Relationship Id="rId140" Type="http://schemas.openxmlformats.org/officeDocument/2006/relationships/hyperlink" Target="https://www.acquisition.gov/content/part-546-quality-assurance" TargetMode="External"/><Relationship Id="rId145" Type="http://schemas.openxmlformats.org/officeDocument/2006/relationships/hyperlink" Target="https://sites.google.com/a/gsa.gov/suppliermanagement/the-ioa-manual" TargetMode="External"/><Relationship Id="rId161" Type="http://schemas.openxmlformats.org/officeDocument/2006/relationships/hyperlink" Target="https://www.acquisition.gov/content/part-32-contract-financing" TargetMode="External"/><Relationship Id="rId166" Type="http://schemas.openxmlformats.org/officeDocument/2006/relationships/hyperlink" Target="https://hallways.cap.gsa.gov/app/" TargetMode="External"/><Relationship Id="rId182" Type="http://schemas.openxmlformats.org/officeDocument/2006/relationships/hyperlink" Target="https://www.acquisition.gov/content/part-532-contract-financing" TargetMode="External"/><Relationship Id="rId187" Type="http://schemas.openxmlformats.org/officeDocument/2006/relationships/hyperlink" Target="https://www.acquisition.gov/content/part-42-contract-administration-and-audit-services" TargetMode="External"/><Relationship Id="rId1" Type="http://schemas.openxmlformats.org/officeDocument/2006/relationships/hyperlink" Target="https://www.acquisition.gov/content/part-7-acquisition-planning" TargetMode="External"/><Relationship Id="rId6" Type="http://schemas.openxmlformats.org/officeDocument/2006/relationships/hyperlink" Target="https://hallways.cap.gsa.gov/app/" TargetMode="External"/><Relationship Id="rId23" Type="http://schemas.openxmlformats.org/officeDocument/2006/relationships/hyperlink" Target="https://www.acquisition.gov/content/part-519-small-business-programs" TargetMode="External"/><Relationship Id="rId28" Type="http://schemas.openxmlformats.org/officeDocument/2006/relationships/hyperlink" Target="https://www.acquisition.gov/content/part-15-contracting-negotiation" TargetMode="External"/><Relationship Id="rId49" Type="http://schemas.openxmlformats.org/officeDocument/2006/relationships/hyperlink" Target="https://hallways.cap.gsa.gov/app/" TargetMode="External"/><Relationship Id="rId114" Type="http://schemas.openxmlformats.org/officeDocument/2006/relationships/hyperlink" Target="https://insite.gsa.gov/directives-library/gsa-acquisition-manual-280012b-apd-p?term=2800.12B%20APD%20P" TargetMode="External"/><Relationship Id="rId119" Type="http://schemas.openxmlformats.org/officeDocument/2006/relationships/hyperlink" Target="https://www.acquisition.gov/content/part-504-administrative-matters" TargetMode="External"/><Relationship Id="rId44" Type="http://schemas.openxmlformats.org/officeDocument/2006/relationships/hyperlink" Target="https://www.acquisition.gov/content/part-514-sealed-bidding" TargetMode="External"/><Relationship Id="rId60" Type="http://schemas.openxmlformats.org/officeDocument/2006/relationships/hyperlink" Target="https://hallways.cap.gsa.gov/app/" TargetMode="External"/><Relationship Id="rId65" Type="http://schemas.openxmlformats.org/officeDocument/2006/relationships/hyperlink" Target="https://hallways.cap.gsa.gov/app/" TargetMode="External"/><Relationship Id="rId81" Type="http://schemas.openxmlformats.org/officeDocument/2006/relationships/hyperlink" Target="https://www.acquisition.gov/content/part-4-administrative-matters" TargetMode="External"/><Relationship Id="rId86" Type="http://schemas.openxmlformats.org/officeDocument/2006/relationships/hyperlink" Target="https://www.acquisition.gov/content/part-22-application-labor-laws-government-acquisitions" TargetMode="External"/><Relationship Id="rId130" Type="http://schemas.openxmlformats.org/officeDocument/2006/relationships/hyperlink" Target="https://www.acquisition.gov/content/part-528-bonds-and-insurance" TargetMode="External"/><Relationship Id="rId135" Type="http://schemas.openxmlformats.org/officeDocument/2006/relationships/hyperlink" Target="https://www.acquisition.gov/content/part-22-application-labor-laws-government-acquisitions" TargetMode="External"/><Relationship Id="rId151" Type="http://schemas.openxmlformats.org/officeDocument/2006/relationships/hyperlink" Target="https://www.acquisition.gov/content/part-542-contract-administration-and-audit-services" TargetMode="External"/><Relationship Id="rId156" Type="http://schemas.openxmlformats.org/officeDocument/2006/relationships/hyperlink" Target="https://www.acquisition.gov/content/part-32-contract-financing" TargetMode="External"/><Relationship Id="rId177" Type="http://schemas.openxmlformats.org/officeDocument/2006/relationships/hyperlink" Target="https://hallways.cap.gsa.gov/app/" TargetMode="External"/><Relationship Id="rId172" Type="http://schemas.openxmlformats.org/officeDocument/2006/relationships/hyperlink" Target="https://sites.google.com/a/gsa.gov/suppliermanagement/the-ioa-manual" TargetMode="External"/><Relationship Id="rId13" Type="http://schemas.openxmlformats.org/officeDocument/2006/relationships/hyperlink" Target="https://www.acquisition.gov/content/part-506-competition-requirements" TargetMode="External"/><Relationship Id="rId18" Type="http://schemas.openxmlformats.org/officeDocument/2006/relationships/hyperlink" Target="https://www.acquisition.gov/content/part-22-application-labor-laws-government-acquisitions" TargetMode="External"/><Relationship Id="rId39" Type="http://schemas.openxmlformats.org/officeDocument/2006/relationships/hyperlink" Target="https://www.acquisition.gov/content/part-12-acquisition-commercial-items" TargetMode="External"/><Relationship Id="rId109" Type="http://schemas.openxmlformats.org/officeDocument/2006/relationships/hyperlink" Target="https://hallways.cap.gsa.gov/app/" TargetMode="External"/><Relationship Id="rId34" Type="http://schemas.openxmlformats.org/officeDocument/2006/relationships/hyperlink" Target="https://www.acquisition.gov/content/part-14-sealed-bidding" TargetMode="External"/><Relationship Id="rId50" Type="http://schemas.openxmlformats.org/officeDocument/2006/relationships/hyperlink" Target="https://hallways.cap.gsa.gov/app/" TargetMode="External"/><Relationship Id="rId55" Type="http://schemas.openxmlformats.org/officeDocument/2006/relationships/hyperlink" Target="https://www.acquisition.gov/content/part-15-contracting-negotiation" TargetMode="External"/><Relationship Id="rId76" Type="http://schemas.openxmlformats.org/officeDocument/2006/relationships/hyperlink" Target="https://www.acquisition.gov/content/part-9-contractor-qualifications" TargetMode="External"/><Relationship Id="rId97" Type="http://schemas.openxmlformats.org/officeDocument/2006/relationships/hyperlink" Target="https://www.acquisition.gov/content/part-15-contracting-negotiation" TargetMode="External"/><Relationship Id="rId104" Type="http://schemas.openxmlformats.org/officeDocument/2006/relationships/hyperlink" Target="https://www.acquisition.gov/content/part-15-contracting-negotiation" TargetMode="External"/><Relationship Id="rId120" Type="http://schemas.openxmlformats.org/officeDocument/2006/relationships/hyperlink" Target="https://hallways.cap.gsa.gov/app/" TargetMode="External"/><Relationship Id="rId125" Type="http://schemas.openxmlformats.org/officeDocument/2006/relationships/hyperlink" Target="https://sites.google.com/a/gsa.gov/sm-guidance/" TargetMode="External"/><Relationship Id="rId141" Type="http://schemas.openxmlformats.org/officeDocument/2006/relationships/hyperlink" Target="https://www.acquisition.gov/content/part-46-quality-assurance" TargetMode="External"/><Relationship Id="rId146" Type="http://schemas.openxmlformats.org/officeDocument/2006/relationships/hyperlink" Target="https://sites.google.com/a/gsa.gov/sm-guidance/" TargetMode="External"/><Relationship Id="rId167" Type="http://schemas.openxmlformats.org/officeDocument/2006/relationships/hyperlink" Target="https://insite.gsa.gov/directives-library/internal-audit-followup-hb-20302d-adm-p?term=Internal%20Audit%20Handbook" TargetMode="External"/><Relationship Id="rId188" Type="http://schemas.openxmlformats.org/officeDocument/2006/relationships/hyperlink" Target="https://www.acquisition.gov/content/part-504-administrative-matters" TargetMode="External"/><Relationship Id="rId7" Type="http://schemas.openxmlformats.org/officeDocument/2006/relationships/hyperlink" Target="https://www.acquisition.gov/content/part-1-federal-acquisition-regulations-system" TargetMode="External"/><Relationship Id="rId71" Type="http://schemas.openxmlformats.org/officeDocument/2006/relationships/hyperlink" Target="https://www.acquisition.gov/content/part-15-contracting-negotiation" TargetMode="External"/><Relationship Id="rId92" Type="http://schemas.openxmlformats.org/officeDocument/2006/relationships/hyperlink" Target="https://www.acquisition.gov/content/part-14-sealed-bidding" TargetMode="External"/><Relationship Id="rId162" Type="http://schemas.openxmlformats.org/officeDocument/2006/relationships/hyperlink" Target="https://www.acquisition.gov/content/part-532-contract-financing" TargetMode="External"/><Relationship Id="rId183" Type="http://schemas.openxmlformats.org/officeDocument/2006/relationships/hyperlink" Target="https://www.acquisition.gov/content/part-549-termination-contracts" TargetMode="External"/><Relationship Id="rId2" Type="http://schemas.openxmlformats.org/officeDocument/2006/relationships/hyperlink" Target="https://www.acquisition.gov/content/part-507-acquisition-planning" TargetMode="External"/><Relationship Id="rId29" Type="http://schemas.openxmlformats.org/officeDocument/2006/relationships/hyperlink" Target="https://www.acquisition.gov/content/part-15-contracting-negotiation" TargetMode="External"/><Relationship Id="rId24" Type="http://schemas.openxmlformats.org/officeDocument/2006/relationships/hyperlink" Target="https://insite.gsa.gov/cdnstatic/insite/AA-2016-03.pdf" TargetMode="External"/><Relationship Id="rId40" Type="http://schemas.openxmlformats.org/officeDocument/2006/relationships/hyperlink" Target="https://www.acquisition.gov/content/part-14-sealed-bidding" TargetMode="External"/><Relationship Id="rId45" Type="http://schemas.openxmlformats.org/officeDocument/2006/relationships/hyperlink" Target="https://www.acquisition.gov/content/part-514-sealed-bidding" TargetMode="External"/><Relationship Id="rId66" Type="http://schemas.openxmlformats.org/officeDocument/2006/relationships/hyperlink" Target="https://hallways.cap.gsa.gov/app/" TargetMode="External"/><Relationship Id="rId87" Type="http://schemas.openxmlformats.org/officeDocument/2006/relationships/hyperlink" Target="https://www.acquisition.gov/content/part-522-application-labor-laws-government-acquisitions" TargetMode="External"/><Relationship Id="rId110" Type="http://schemas.openxmlformats.org/officeDocument/2006/relationships/hyperlink" Target="https://hallways.cap.gsa.gov/app/" TargetMode="External"/><Relationship Id="rId115" Type="http://schemas.openxmlformats.org/officeDocument/2006/relationships/hyperlink" Target="https://hallways.cap.gsa.gov/app/" TargetMode="External"/><Relationship Id="rId131" Type="http://schemas.openxmlformats.org/officeDocument/2006/relationships/hyperlink" Target="https://www.acquisition.gov/content/part-528-bonds-and-insurance" TargetMode="External"/><Relationship Id="rId136" Type="http://schemas.openxmlformats.org/officeDocument/2006/relationships/hyperlink" Target="https://www.acquisition.gov/content/part-522-application-labor-laws-government-acquisitions" TargetMode="External"/><Relationship Id="rId157" Type="http://schemas.openxmlformats.org/officeDocument/2006/relationships/hyperlink" Target="https://www.acquisition.gov/content/part-32-contract-financing" TargetMode="External"/><Relationship Id="rId178" Type="http://schemas.openxmlformats.org/officeDocument/2006/relationships/hyperlink" Target="https://hallways.cap.gsa.gov/app/" TargetMode="External"/><Relationship Id="rId61" Type="http://schemas.openxmlformats.org/officeDocument/2006/relationships/hyperlink" Target="https://www.acquisition.gov/content/part-14-sealed-bidding" TargetMode="External"/><Relationship Id="rId82" Type="http://schemas.openxmlformats.org/officeDocument/2006/relationships/hyperlink" Target="https://www.acquisition.gov/content/part-4-administrative-matters" TargetMode="External"/><Relationship Id="rId152" Type="http://schemas.openxmlformats.org/officeDocument/2006/relationships/hyperlink" Target="https://www.acquisition.gov/content/part-552-solicitation-provisions-and-contract-clauses" TargetMode="External"/><Relationship Id="rId173" Type="http://schemas.openxmlformats.org/officeDocument/2006/relationships/hyperlink" Target="https://www.acquisition.gov/content/part-43-contract-modifications" TargetMode="External"/><Relationship Id="rId19" Type="http://schemas.openxmlformats.org/officeDocument/2006/relationships/hyperlink" Target="https://www.acquisition.gov/content/part-22-application-labor-laws-government-acquisitions" TargetMode="External"/><Relationship Id="rId14" Type="http://schemas.openxmlformats.org/officeDocument/2006/relationships/hyperlink" Target="https://insite.gsa.gov/cdnstatic/insite/MV-11-06.pdf" TargetMode="External"/><Relationship Id="rId30" Type="http://schemas.openxmlformats.org/officeDocument/2006/relationships/hyperlink" Target="https://www.acquisition.gov/content/part-5-publicizing-contract-actions" TargetMode="External"/><Relationship Id="rId35" Type="http://schemas.openxmlformats.org/officeDocument/2006/relationships/hyperlink" Target="https://www.acquisition.gov/content/part-15-contracting-negotiation" TargetMode="External"/><Relationship Id="rId56" Type="http://schemas.openxmlformats.org/officeDocument/2006/relationships/hyperlink" Target="https://www.acquisition.gov/content/part-15-contracting-negotiation" TargetMode="External"/><Relationship Id="rId77" Type="http://schemas.openxmlformats.org/officeDocument/2006/relationships/hyperlink" Target="https://www.acquisition.gov/content/part-9-contractor-qualifications" TargetMode="External"/><Relationship Id="rId100" Type="http://schemas.openxmlformats.org/officeDocument/2006/relationships/hyperlink" Target="https://www.acquisition.gov/content/part-33-protests-disputes-and-appeals" TargetMode="External"/><Relationship Id="rId105" Type="http://schemas.openxmlformats.org/officeDocument/2006/relationships/hyperlink" Target="https://www.acquisition.gov/content/part-514-sealed-bidding" TargetMode="External"/><Relationship Id="rId126" Type="http://schemas.openxmlformats.org/officeDocument/2006/relationships/hyperlink" Target="https://sites.google.com/a/gsa.gov/suppliermanagement/the-ioa-manual" TargetMode="External"/><Relationship Id="rId147" Type="http://schemas.openxmlformats.org/officeDocument/2006/relationships/hyperlink" Target="https://sites.google.com/a/gsa.gov/suppliermanagement/the-ioa-manual" TargetMode="External"/><Relationship Id="rId168" Type="http://schemas.openxmlformats.org/officeDocument/2006/relationships/hyperlink" Target="https://www.acquisition.gov/content/part-42-contract-administration-and-audit-services" TargetMode="External"/><Relationship Id="rId8" Type="http://schemas.openxmlformats.org/officeDocument/2006/relationships/hyperlink" Target="https://www.acquisition.gov/content/part-6-competition-requirements" TargetMode="External"/><Relationship Id="rId51" Type="http://schemas.openxmlformats.org/officeDocument/2006/relationships/hyperlink" Target="https://www.acquisition.gov/content/part-14-sealed-bidding" TargetMode="External"/><Relationship Id="rId72" Type="http://schemas.openxmlformats.org/officeDocument/2006/relationships/hyperlink" Target="https://hallways.cap.gsa.gov/app/" TargetMode="External"/><Relationship Id="rId93" Type="http://schemas.openxmlformats.org/officeDocument/2006/relationships/hyperlink" Target="https://www.acquisition.gov/content/part-15-contracting-negotiation" TargetMode="External"/><Relationship Id="rId98" Type="http://schemas.openxmlformats.org/officeDocument/2006/relationships/hyperlink" Target="https://www.acquisition.gov/content/part-14-sealed-bidding" TargetMode="External"/><Relationship Id="rId121" Type="http://schemas.openxmlformats.org/officeDocument/2006/relationships/hyperlink" Target="https://hallways.cap.gsa.gov/app/" TargetMode="External"/><Relationship Id="rId142" Type="http://schemas.openxmlformats.org/officeDocument/2006/relationships/hyperlink" Target="https://hallways.cap.gsa.gov/app/" TargetMode="External"/><Relationship Id="rId163" Type="http://schemas.openxmlformats.org/officeDocument/2006/relationships/hyperlink" Target="https://www.acquisition.gov/content/part-32-contract-financing" TargetMode="External"/><Relationship Id="rId184" Type="http://schemas.openxmlformats.org/officeDocument/2006/relationships/hyperlink" Target="https://hallways.cap.gsa.gov/app/" TargetMode="External"/><Relationship Id="rId189" Type="http://schemas.openxmlformats.org/officeDocument/2006/relationships/hyperlink" Target="https://www.acquisition.gov/content/part-504-administrative-matters" TargetMode="External"/><Relationship Id="rId3" Type="http://schemas.openxmlformats.org/officeDocument/2006/relationships/hyperlink" Target="https://www.gsa.gov/Forms/TrackForm/32457" TargetMode="External"/><Relationship Id="rId25" Type="http://schemas.openxmlformats.org/officeDocument/2006/relationships/hyperlink" Target="https://insite.gsa.gov/cdnstatic/insite/AA-2012-08.pdf" TargetMode="External"/><Relationship Id="rId46" Type="http://schemas.openxmlformats.org/officeDocument/2006/relationships/hyperlink" Target="https://www.acquisition.gov/content/part-552-solicitation-provisions-and-contract-clauses" TargetMode="External"/><Relationship Id="rId67" Type="http://schemas.openxmlformats.org/officeDocument/2006/relationships/hyperlink" Target="https://www.acquisition.gov/content/part-15-contracting-negotiation" TargetMode="External"/><Relationship Id="rId116" Type="http://schemas.openxmlformats.org/officeDocument/2006/relationships/hyperlink" Target="https://www.acquisition.gov/content/part-5-publicizing-contract-actions" TargetMode="External"/><Relationship Id="rId137" Type="http://schemas.openxmlformats.org/officeDocument/2006/relationships/hyperlink" Target="https://sites.google.com/a/gsa.gov/suppliermanagement/home" TargetMode="External"/><Relationship Id="rId158" Type="http://schemas.openxmlformats.org/officeDocument/2006/relationships/hyperlink" Target="https://www.acquisition.gov/content/part-532-contract-financing" TargetMode="External"/><Relationship Id="rId20" Type="http://schemas.openxmlformats.org/officeDocument/2006/relationships/hyperlink" Target="https://www.acquisition.gov/content/part-522-application-labor-laws-government-acquisitions" TargetMode="External"/><Relationship Id="rId41" Type="http://schemas.openxmlformats.org/officeDocument/2006/relationships/hyperlink" Target="https://www.acquisition.gov/content/part-15-contracting-negotiation" TargetMode="External"/><Relationship Id="rId62" Type="http://schemas.openxmlformats.org/officeDocument/2006/relationships/hyperlink" Target="https://www.acquisition.gov/content/part-15-contracting-negotiation" TargetMode="External"/><Relationship Id="rId83" Type="http://schemas.openxmlformats.org/officeDocument/2006/relationships/hyperlink" Target="https://insite.gsa.gov/cdnstatic/insite/AA-2006-03.pdf" TargetMode="External"/><Relationship Id="rId88" Type="http://schemas.openxmlformats.org/officeDocument/2006/relationships/hyperlink" Target="https://www.acquisition.gov/content/part-14-sealed-bidding" TargetMode="External"/><Relationship Id="rId111" Type="http://schemas.openxmlformats.org/officeDocument/2006/relationships/hyperlink" Target="https://www.acquisition.gov/content/part-19-small-business-programs" TargetMode="External"/><Relationship Id="rId132" Type="http://schemas.openxmlformats.org/officeDocument/2006/relationships/hyperlink" Target="https://www.acquisition.gov/content/part-528-bonds-and-insurance" TargetMode="External"/><Relationship Id="rId153" Type="http://schemas.openxmlformats.org/officeDocument/2006/relationships/hyperlink" Target="https://www.acquisition.gov/content/part-32-contract-financing" TargetMode="External"/><Relationship Id="rId174" Type="http://schemas.openxmlformats.org/officeDocument/2006/relationships/hyperlink" Target="https://www.acquisition.gov/content/part-543-contract-modifications" TargetMode="External"/><Relationship Id="rId179" Type="http://schemas.openxmlformats.org/officeDocument/2006/relationships/hyperlink" Target="https://www.acquisition.gov/content/part-12-acquisition-commercial-items" TargetMode="External"/><Relationship Id="rId190" Type="http://schemas.openxmlformats.org/officeDocument/2006/relationships/hyperlink" Target="https://www.acquisition.gov/content/part-552-solicitation-provisions-and-contract-clauses" TargetMode="External"/><Relationship Id="rId15" Type="http://schemas.openxmlformats.org/officeDocument/2006/relationships/hyperlink" Target="https://insite.gsa.gov/cdnstatic/insite/AA-2015-06.pdf" TargetMode="External"/><Relationship Id="rId36" Type="http://schemas.openxmlformats.org/officeDocument/2006/relationships/hyperlink" Target="https://www.acquisition.gov/content/part-515-contracting-negotiation" TargetMode="External"/><Relationship Id="rId57" Type="http://schemas.openxmlformats.org/officeDocument/2006/relationships/hyperlink" Target="https://www.acquisition.gov/content/part-515-contracting-negotiation" TargetMode="External"/><Relationship Id="rId106" Type="http://schemas.openxmlformats.org/officeDocument/2006/relationships/hyperlink" Target="https://www.acquisition.gov/content/part-515-contracting-negotiation" TargetMode="External"/><Relationship Id="rId127" Type="http://schemas.openxmlformats.org/officeDocument/2006/relationships/hyperlink" Target="https://www.acquisition.gov/content/part-28-bonds-and-insurance" TargetMode="External"/><Relationship Id="rId10" Type="http://schemas.openxmlformats.org/officeDocument/2006/relationships/hyperlink" Target="https://www.acquisition.gov/content/part-51-use-government-sources-contractors" TargetMode="External"/><Relationship Id="rId31" Type="http://schemas.openxmlformats.org/officeDocument/2006/relationships/hyperlink" Target="https://www.acquisition.gov/content/part-515-contracting-negotiation" TargetMode="External"/><Relationship Id="rId52" Type="http://schemas.openxmlformats.org/officeDocument/2006/relationships/hyperlink" Target="https://www.acquisition.gov/content/part-514-sealed-bidding" TargetMode="External"/><Relationship Id="rId73" Type="http://schemas.openxmlformats.org/officeDocument/2006/relationships/hyperlink" Target="https://www.acquisition.gov/content/part-15-contracting-negotiation" TargetMode="External"/><Relationship Id="rId78" Type="http://schemas.openxmlformats.org/officeDocument/2006/relationships/hyperlink" Target="https://www.acquisition.gov/content/part-9-contractor-qualifications" TargetMode="External"/><Relationship Id="rId94" Type="http://schemas.openxmlformats.org/officeDocument/2006/relationships/hyperlink" Target="https://www.acquisition.gov/content/part-15-contracting-negotiation" TargetMode="External"/><Relationship Id="rId99" Type="http://schemas.openxmlformats.org/officeDocument/2006/relationships/hyperlink" Target="https://www.acquisition.gov/content/part-15-contracting-negotiation" TargetMode="External"/><Relationship Id="rId101" Type="http://schemas.openxmlformats.org/officeDocument/2006/relationships/hyperlink" Target="https://www.acquisition.gov/content/part-514-sealed-bidding" TargetMode="External"/><Relationship Id="rId122" Type="http://schemas.openxmlformats.org/officeDocument/2006/relationships/hyperlink" Target="https://hallways.cap.gsa.gov/app/" TargetMode="External"/><Relationship Id="rId143" Type="http://schemas.openxmlformats.org/officeDocument/2006/relationships/hyperlink" Target="https://hallways.cap.gsa.gov/app/" TargetMode="External"/><Relationship Id="rId148" Type="http://schemas.openxmlformats.org/officeDocument/2006/relationships/hyperlink" Target="https://sites.google.com/a/gsa.gov/sm-guidance/" TargetMode="External"/><Relationship Id="rId164" Type="http://schemas.openxmlformats.org/officeDocument/2006/relationships/hyperlink" Target="https://www.acquisition.gov/content/part-532-contract-financing" TargetMode="External"/><Relationship Id="rId169" Type="http://schemas.openxmlformats.org/officeDocument/2006/relationships/hyperlink" Target="https://www.acquisition.gov/content/part-504-administrative-matters" TargetMode="External"/><Relationship Id="rId185" Type="http://schemas.openxmlformats.org/officeDocument/2006/relationships/hyperlink" Target="https://sites.google.com/a/gsa.gov/sm-guidance/" TargetMode="External"/><Relationship Id="rId4" Type="http://schemas.openxmlformats.org/officeDocument/2006/relationships/hyperlink" Target="https://insite.gsa.gov/node/102630?term=Updated%20Preferred%20Use%20of%20Existing%20GSA%20Contract%20Vehicles" TargetMode="External"/><Relationship Id="rId9" Type="http://schemas.openxmlformats.org/officeDocument/2006/relationships/hyperlink" Target="https://www.acquisition.gov/content/part-6-competition-requirements" TargetMode="External"/><Relationship Id="rId180" Type="http://schemas.openxmlformats.org/officeDocument/2006/relationships/hyperlink" Target="https://www.acquisition.gov/content/part-32-contract-financing" TargetMode="Externa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29"/>
  <sheetViews>
    <sheetView showGridLines="0" workbookViewId="0">
      <pane xSplit="1" topLeftCell="B1" activePane="topRight" state="frozen"/>
      <selection pane="topRight" activeCell="C20" sqref="C20"/>
    </sheetView>
  </sheetViews>
  <sheetFormatPr defaultColWidth="14.375" defaultRowHeight="15.8" customHeight="1"/>
  <cols>
    <col min="2" max="2" width="11.875" customWidth="1"/>
    <col min="3" max="4" width="13.375" customWidth="1"/>
    <col min="5" max="6" width="11.875" customWidth="1"/>
    <col min="7" max="7" width="12.75" customWidth="1"/>
    <col min="8" max="10" width="11.875" customWidth="1"/>
    <col min="11" max="11" width="12.75" customWidth="1"/>
    <col min="12" max="14" width="11.875" customWidth="1"/>
    <col min="15" max="15" width="13" customWidth="1"/>
    <col min="16" max="16" width="11.875" customWidth="1"/>
    <col min="17" max="17" width="12.75" customWidth="1"/>
  </cols>
  <sheetData>
    <row r="1" spans="1:29" ht="45" customHeight="1">
      <c r="A1" s="1" t="s">
        <v>0</v>
      </c>
      <c r="B1" s="6" t="s">
        <v>4</v>
      </c>
      <c r="C1" s="6" t="s">
        <v>10</v>
      </c>
      <c r="D1" s="6" t="s">
        <v>11</v>
      </c>
      <c r="E1" s="6" t="s">
        <v>13</v>
      </c>
      <c r="F1" s="6" t="s">
        <v>15</v>
      </c>
      <c r="G1" s="6" t="s">
        <v>17</v>
      </c>
      <c r="H1" s="6" t="s">
        <v>18</v>
      </c>
      <c r="I1" s="6" t="s">
        <v>20</v>
      </c>
      <c r="J1" s="6" t="s">
        <v>21</v>
      </c>
      <c r="K1" s="6" t="s">
        <v>22</v>
      </c>
      <c r="L1" s="6" t="s">
        <v>24</v>
      </c>
      <c r="M1" s="6" t="s">
        <v>26</v>
      </c>
      <c r="N1" s="6" t="s">
        <v>28</v>
      </c>
      <c r="O1" s="6" t="s">
        <v>29</v>
      </c>
      <c r="P1" s="6" t="s">
        <v>30</v>
      </c>
      <c r="Q1" s="6" t="s">
        <v>32</v>
      </c>
      <c r="S1" s="16"/>
      <c r="T1" s="16"/>
      <c r="U1" s="16"/>
      <c r="V1" s="16"/>
      <c r="W1" s="16"/>
      <c r="X1" s="16"/>
      <c r="Y1" s="16"/>
      <c r="Z1" s="16"/>
      <c r="AA1" s="16"/>
      <c r="AB1" s="16"/>
      <c r="AC1" s="16"/>
    </row>
    <row r="2" spans="1:29" ht="25.15">
      <c r="A2" s="18">
        <f>SUM(B2:Q2)</f>
        <v>0</v>
      </c>
      <c r="B2" s="19">
        <f>VALUE('Acquisition Planning (AP)'!R144)</f>
        <v>0</v>
      </c>
      <c r="C2" s="19">
        <f>VALUE('Acquisition Package Preparation'!R186)</f>
        <v>0</v>
      </c>
      <c r="D2" s="19">
        <f>VALUE('Source Selection (SS)'!R314)</f>
        <v>0</v>
      </c>
      <c r="E2" s="19">
        <f>VALUE('Contract Administration'!R434)</f>
        <v>0</v>
      </c>
      <c r="F2" s="19">
        <f>VALUE('Clause Logic'!I45)</f>
        <v>0</v>
      </c>
      <c r="G2" s="19">
        <f>VALUE('Workflow Management'!I68)</f>
        <v>0</v>
      </c>
      <c r="H2" s="19">
        <f>VALUE(General!I117)</f>
        <v>0</v>
      </c>
      <c r="I2" s="19">
        <f>VALUE('Third Party Systems'!I47)</f>
        <v>0</v>
      </c>
      <c r="J2" s="19">
        <f>VALUE('DigitalElectronic Signatures'!I21)</f>
        <v>0</v>
      </c>
      <c r="K2" s="19">
        <f>VALUE('Records Management (ECF)'!I29)</f>
        <v>0</v>
      </c>
      <c r="L2" s="19">
        <f>VALUE('Vendor Portal'!I53)</f>
        <v>0</v>
      </c>
      <c r="M2" s="19">
        <f>VALUE(System!K83)</f>
        <v>0</v>
      </c>
      <c r="N2" s="19">
        <f>VALUE('Customer Portal'!I17)</f>
        <v>0</v>
      </c>
      <c r="O2" s="19">
        <f>VALUE('Financial Management'!J78)</f>
        <v>0</v>
      </c>
      <c r="P2" s="19">
        <f>VALUE(CTAG!G273)</f>
        <v>0</v>
      </c>
      <c r="Q2" s="19">
        <f>VALUE('Catalog Management'!J31)</f>
        <v>0</v>
      </c>
    </row>
    <row r="11" spans="1:29" ht="15.8" customHeight="1">
      <c r="C11" s="316"/>
    </row>
    <row r="12" spans="1:29" ht="15.8" customHeight="1">
      <c r="C12" s="316"/>
    </row>
    <row r="13" spans="1:29" ht="15.8" customHeight="1">
      <c r="C13" s="316"/>
    </row>
    <row r="14" spans="1:29" ht="15.8" customHeight="1">
      <c r="C14" s="316"/>
    </row>
    <row r="15" spans="1:29" ht="15.8" customHeight="1">
      <c r="C15" s="316"/>
    </row>
    <row r="16" spans="1:29" ht="15.8" customHeight="1">
      <c r="C16" s="316"/>
    </row>
    <row r="17" spans="3:3" ht="15.8" customHeight="1">
      <c r="C17" s="316"/>
    </row>
    <row r="18" spans="3:3" ht="15.8" customHeight="1">
      <c r="C18" s="318" t="s">
        <v>8850</v>
      </c>
    </row>
    <row r="19" spans="3:3" ht="15.8" customHeight="1">
      <c r="C19" s="318" t="s">
        <v>8853</v>
      </c>
    </row>
    <row r="20" spans="3:3" ht="15.8" customHeight="1">
      <c r="C20" s="318" t="s">
        <v>8852</v>
      </c>
    </row>
    <row r="21" spans="3:3" ht="15.8" customHeight="1">
      <c r="C21" s="318" t="s">
        <v>8851</v>
      </c>
    </row>
    <row r="22" spans="3:3" ht="15.8" customHeight="1">
      <c r="C22" s="317"/>
    </row>
    <row r="23" spans="3:3" ht="15.8" customHeight="1">
      <c r="C23" s="316"/>
    </row>
    <row r="24" spans="3:3" ht="15.8" customHeight="1">
      <c r="C24" s="316"/>
    </row>
    <row r="25" spans="3:3" ht="15.8" customHeight="1">
      <c r="C25" s="316"/>
    </row>
    <row r="26" spans="3:3" ht="15.8" customHeight="1">
      <c r="C26" s="316"/>
    </row>
    <row r="27" spans="3:3" ht="15.8" customHeight="1">
      <c r="C27" s="316"/>
    </row>
    <row r="28" spans="3:3" ht="15.8" customHeight="1">
      <c r="C28" s="316"/>
    </row>
    <row r="29" spans="3:3" ht="15.8" customHeight="1">
      <c r="C29" s="316"/>
    </row>
  </sheetData>
  <hyperlinks>
    <hyperlink ref="B1" location="Acquisition Planning (AP)!A1" display="Acquisition Planning"/>
    <hyperlink ref="C1" location="Acquisition Package Preparation!A1" display="Acquisition Package Preparation"/>
    <hyperlink ref="D1" location="Source Selection (SS)!A1" display="Source Selection"/>
    <hyperlink ref="E1" location="Contract Administration!A1" display="Contract Admin"/>
    <hyperlink ref="F1" location="Clause Logic!A1" display="Clause Logic"/>
    <hyperlink ref="G1" location="Workflow Management!A1" display="Workflow Management"/>
    <hyperlink ref="H1" location="General!A1" display="General"/>
    <hyperlink ref="I1" location="Third Party Systems!A1" display="Third Party Systems"/>
    <hyperlink ref="J1" location="DigitalElectronic Signatures!A1" display="Digital/Electronic Signatures"/>
    <hyperlink ref="K1" location="Records Management (ECF)!A1" display="Records Management (ECF)"/>
    <hyperlink ref="L1" location="Vendor Portal!A1" display="Vendor Portal"/>
    <hyperlink ref="M1" location="System!A1" display="System"/>
    <hyperlink ref="N1" location="Customer Portal!A1" display="Customer Portal"/>
    <hyperlink ref="O1" location="Financial Management!A1" display="Financial Management"/>
    <hyperlink ref="P1" location="CTAG!A1" display="CTAG"/>
    <hyperlink ref="Q1" location="Catalog Management!A1" display="Catalog Management"/>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3"/>
  <sheetViews>
    <sheetView workbookViewId="0">
      <selection activeCell="H2" sqref="H2:H45"/>
    </sheetView>
  </sheetViews>
  <sheetFormatPr defaultColWidth="14.375" defaultRowHeight="15.8" customHeight="1"/>
  <cols>
    <col min="1" max="1" width="13.625" customWidth="1"/>
    <col min="2" max="2" width="16.25" customWidth="1"/>
    <col min="3" max="3" width="43" customWidth="1"/>
    <col min="4" max="4" width="31.625" customWidth="1"/>
    <col min="5" max="5" width="29.875" customWidth="1"/>
    <col min="6" max="7" width="13.25" customWidth="1"/>
    <col min="8" max="8" width="24.125" customWidth="1"/>
    <col min="9" max="9" width="11.75" customWidth="1"/>
    <col min="10" max="28" width="62.375" customWidth="1"/>
  </cols>
  <sheetData>
    <row r="1" spans="1:28" ht="15.8" customHeight="1">
      <c r="A1" s="23" t="s">
        <v>3442</v>
      </c>
      <c r="B1" s="23" t="s">
        <v>3443</v>
      </c>
      <c r="C1" s="23" t="s">
        <v>3444</v>
      </c>
      <c r="D1" s="23" t="s">
        <v>36</v>
      </c>
      <c r="E1" s="23" t="s">
        <v>39</v>
      </c>
      <c r="F1" s="23" t="s">
        <v>3445</v>
      </c>
      <c r="G1" s="23" t="s">
        <v>3446</v>
      </c>
      <c r="H1" s="135" t="s">
        <v>44</v>
      </c>
      <c r="I1" s="135" t="s">
        <v>46</v>
      </c>
      <c r="J1" s="136"/>
      <c r="K1" s="136"/>
      <c r="L1" s="136"/>
      <c r="M1" s="136"/>
      <c r="N1" s="136"/>
      <c r="O1" s="136"/>
      <c r="P1" s="196"/>
      <c r="Q1" s="196"/>
      <c r="R1" s="196"/>
      <c r="S1" s="196"/>
      <c r="T1" s="196"/>
      <c r="U1" s="196"/>
      <c r="V1" s="196"/>
      <c r="W1" s="196"/>
      <c r="X1" s="196"/>
      <c r="Y1" s="196"/>
      <c r="Z1" s="196"/>
      <c r="AA1" s="196"/>
      <c r="AB1" s="196"/>
    </row>
    <row r="2" spans="1:28" ht="15.8" customHeight="1">
      <c r="A2" s="183" t="s">
        <v>6914</v>
      </c>
      <c r="B2" s="197" t="s">
        <v>6915</v>
      </c>
      <c r="C2" s="126" t="s">
        <v>6921</v>
      </c>
      <c r="D2" s="198" t="s">
        <v>6922</v>
      </c>
      <c r="E2" s="89" t="s">
        <v>6925</v>
      </c>
      <c r="F2" s="199" t="str">
        <f>HYPERLINK("https://www.acquisition.gov/content/part-9-contractor-qualifications#i1116277","FAR 9.105-2")</f>
        <v>FAR 9.105-2</v>
      </c>
      <c r="G2" s="200" t="str">
        <f>HYPERLINK("https://www.acquisition.gov/sites/default/files/current/gsam/html/Part509.html#wp1858895","GSAM 509.105-2")</f>
        <v>GSAM 509.105-2</v>
      </c>
      <c r="H2" s="64"/>
      <c r="I2" s="45" t="b">
        <f t="shared" ref="I2:I45" si="0">IF(AND(H2="Meet the requirements traceability “out of the box”"), 10, IF(AND(H2="Can meet the requirements traceability with configuration or through the use of another commercial product “out of the box” or other arrangement as part of the service offering quoted (i.e. at no additional cost)"), 8, IF(AND(H2="Can meet the requirements traceability with customization at additional cost"), 3, IF(AND(H2="Cannot meet the requirements traceability requirement"), 0))))</f>
        <v>0</v>
      </c>
      <c r="J2" s="196"/>
      <c r="K2" s="196"/>
      <c r="L2" s="196"/>
      <c r="M2" s="196"/>
      <c r="N2" s="196"/>
      <c r="O2" s="196"/>
      <c r="P2" s="196"/>
      <c r="Q2" s="196"/>
      <c r="R2" s="196"/>
      <c r="S2" s="196"/>
      <c r="T2" s="196"/>
      <c r="U2" s="196"/>
      <c r="V2" s="196"/>
      <c r="W2" s="196"/>
      <c r="X2" s="196"/>
      <c r="Y2" s="196"/>
      <c r="Z2" s="196"/>
      <c r="AA2" s="196"/>
      <c r="AB2" s="196"/>
    </row>
    <row r="3" spans="1:28" ht="15.8" customHeight="1">
      <c r="A3" s="183" t="s">
        <v>6939</v>
      </c>
      <c r="B3" s="201" t="s">
        <v>6915</v>
      </c>
      <c r="C3" s="202" t="s">
        <v>6944</v>
      </c>
      <c r="D3" s="122" t="s">
        <v>6947</v>
      </c>
      <c r="E3" s="122" t="s">
        <v>6948</v>
      </c>
      <c r="F3" s="203" t="str">
        <f>HYPERLINK("https://www.acquisition.gov/content/part-42-contract-administration-and-audit-services#i42_1503","FAR 42.1503")</f>
        <v>FAR 42.1503</v>
      </c>
      <c r="G3" s="204" t="str">
        <f>HYPERLINK("https://www.acquisition.gov/sites/default/files/current/gsam/html/Part542.html#wp1859931","GSAM 542.1503")</f>
        <v>GSAM 542.1503</v>
      </c>
      <c r="H3" s="64"/>
      <c r="I3" s="45" t="b">
        <f t="shared" si="0"/>
        <v>0</v>
      </c>
      <c r="J3" s="196"/>
      <c r="K3" s="196"/>
      <c r="L3" s="196"/>
      <c r="M3" s="196"/>
      <c r="N3" s="196"/>
      <c r="O3" s="196"/>
      <c r="P3" s="196"/>
      <c r="Q3" s="196"/>
      <c r="R3" s="196"/>
      <c r="S3" s="196"/>
      <c r="T3" s="196"/>
      <c r="U3" s="196"/>
      <c r="V3" s="196"/>
      <c r="W3" s="196"/>
      <c r="X3" s="196"/>
      <c r="Y3" s="196"/>
      <c r="Z3" s="196"/>
      <c r="AA3" s="196"/>
      <c r="AB3" s="196"/>
    </row>
    <row r="4" spans="1:28" ht="15.8" customHeight="1">
      <c r="A4" s="183" t="s">
        <v>6956</v>
      </c>
      <c r="B4" s="201" t="s">
        <v>6957</v>
      </c>
      <c r="C4" s="202" t="s">
        <v>6958</v>
      </c>
      <c r="D4" s="122" t="s">
        <v>6959</v>
      </c>
      <c r="E4" s="122" t="s">
        <v>6960</v>
      </c>
      <c r="F4" s="203" t="str">
        <f>HYPERLINK("https://www.acquisition.gov/content/part-8-required-sources-supplies-and-services#i8_402","FAR 8.402(d)")</f>
        <v>FAR 8.402(d)</v>
      </c>
      <c r="G4" s="204" t="str">
        <f>HYPERLINK("https://www.ebuy.gsa.gov/ebuy/","eBUY")</f>
        <v>eBUY</v>
      </c>
      <c r="H4" s="64"/>
      <c r="I4" s="45" t="b">
        <f t="shared" si="0"/>
        <v>0</v>
      </c>
      <c r="J4" s="196"/>
      <c r="K4" s="196"/>
      <c r="L4" s="196"/>
      <c r="M4" s="196"/>
      <c r="N4" s="196"/>
      <c r="O4" s="196"/>
      <c r="P4" s="196"/>
      <c r="Q4" s="196"/>
      <c r="R4" s="196"/>
      <c r="S4" s="196"/>
      <c r="T4" s="196"/>
      <c r="U4" s="196"/>
      <c r="V4" s="196"/>
      <c r="W4" s="196"/>
      <c r="X4" s="196"/>
      <c r="Y4" s="196"/>
      <c r="Z4" s="196"/>
      <c r="AA4" s="196"/>
      <c r="AB4" s="196"/>
    </row>
    <row r="5" spans="1:28" ht="15.8" customHeight="1">
      <c r="A5" s="183" t="s">
        <v>6968</v>
      </c>
      <c r="B5" s="201" t="s">
        <v>6969</v>
      </c>
      <c r="C5" s="202" t="s">
        <v>6970</v>
      </c>
      <c r="D5" s="122" t="s">
        <v>6971</v>
      </c>
      <c r="E5" s="122" t="s">
        <v>6972</v>
      </c>
      <c r="F5" s="203" t="s">
        <v>6973</v>
      </c>
      <c r="G5" s="204" t="str">
        <f>HYPERLINK("https://catalog.data.gov/dataset/federal-business-opportunities-data","FBO API")</f>
        <v>FBO API</v>
      </c>
      <c r="H5" s="64"/>
      <c r="I5" s="45" t="b">
        <f t="shared" si="0"/>
        <v>0</v>
      </c>
      <c r="J5" s="196"/>
      <c r="K5" s="196"/>
      <c r="L5" s="196"/>
      <c r="M5" s="196"/>
      <c r="N5" s="196"/>
      <c r="O5" s="196"/>
      <c r="P5" s="196"/>
      <c r="Q5" s="196"/>
      <c r="R5" s="196"/>
      <c r="S5" s="196"/>
      <c r="T5" s="196"/>
      <c r="U5" s="196"/>
      <c r="V5" s="196"/>
      <c r="W5" s="196"/>
      <c r="X5" s="196"/>
      <c r="Y5" s="196"/>
      <c r="Z5" s="196"/>
      <c r="AA5" s="196"/>
      <c r="AB5" s="196"/>
    </row>
    <row r="6" spans="1:28" ht="15.8" customHeight="1">
      <c r="A6" s="183" t="s">
        <v>6991</v>
      </c>
      <c r="B6" s="201" t="s">
        <v>6969</v>
      </c>
      <c r="C6" s="202" t="s">
        <v>6992</v>
      </c>
      <c r="D6" s="122" t="s">
        <v>6993</v>
      </c>
      <c r="E6" s="122" t="s">
        <v>6994</v>
      </c>
      <c r="F6" s="203" t="str">
        <f t="shared" ref="F6:F7" si="1">HYPERLINK("https://www.acquisition.gov/content/part-5-publicizing-contract-actions#i1120661","FAR 5.2")</f>
        <v>FAR 5.2</v>
      </c>
      <c r="G6" s="204" t="str">
        <f t="shared" ref="G6:G7" si="2">HYPERLINK("https://www.acquisition.gov/sites/default/files/current/gsam/html/Part505.html#wp1858179","GSAM 505.2")</f>
        <v>GSAM 505.2</v>
      </c>
      <c r="H6" s="64"/>
      <c r="I6" s="45" t="b">
        <f t="shared" si="0"/>
        <v>0</v>
      </c>
      <c r="J6" s="196"/>
      <c r="K6" s="196"/>
      <c r="L6" s="196"/>
      <c r="M6" s="196"/>
      <c r="N6" s="196"/>
      <c r="O6" s="196"/>
      <c r="P6" s="196"/>
      <c r="Q6" s="196"/>
      <c r="R6" s="196"/>
      <c r="S6" s="196"/>
      <c r="T6" s="196"/>
      <c r="U6" s="196"/>
      <c r="V6" s="196"/>
      <c r="W6" s="196"/>
      <c r="X6" s="196"/>
      <c r="Y6" s="196"/>
      <c r="Z6" s="196"/>
      <c r="AA6" s="196"/>
      <c r="AB6" s="196"/>
    </row>
    <row r="7" spans="1:28" ht="15.8" customHeight="1">
      <c r="A7" s="183" t="s">
        <v>7001</v>
      </c>
      <c r="B7" s="201" t="s">
        <v>6969</v>
      </c>
      <c r="C7" s="202" t="s">
        <v>7004</v>
      </c>
      <c r="D7" s="122" t="s">
        <v>7005</v>
      </c>
      <c r="E7" s="122" t="s">
        <v>7006</v>
      </c>
      <c r="F7" s="203" t="str">
        <f t="shared" si="1"/>
        <v>FAR 5.2</v>
      </c>
      <c r="G7" s="204" t="str">
        <f t="shared" si="2"/>
        <v>GSAM 505.2</v>
      </c>
      <c r="H7" s="64"/>
      <c r="I7" s="45" t="b">
        <f t="shared" si="0"/>
        <v>0</v>
      </c>
      <c r="J7" s="196"/>
      <c r="K7" s="196"/>
      <c r="L7" s="196"/>
      <c r="M7" s="196"/>
      <c r="N7" s="196"/>
      <c r="O7" s="196"/>
      <c r="P7" s="196"/>
      <c r="Q7" s="196"/>
      <c r="R7" s="196"/>
      <c r="S7" s="196"/>
      <c r="T7" s="196"/>
      <c r="U7" s="196"/>
      <c r="V7" s="196"/>
      <c r="W7" s="196"/>
      <c r="X7" s="196"/>
      <c r="Y7" s="196"/>
      <c r="Z7" s="196"/>
      <c r="AA7" s="196"/>
      <c r="AB7" s="196"/>
    </row>
    <row r="8" spans="1:28" ht="15.8" customHeight="1">
      <c r="A8" s="183" t="s">
        <v>7007</v>
      </c>
      <c r="B8" s="201" t="s">
        <v>6969</v>
      </c>
      <c r="C8" s="202" t="s">
        <v>7010</v>
      </c>
      <c r="D8" s="122" t="s">
        <v>7012</v>
      </c>
      <c r="E8" s="122" t="s">
        <v>7014</v>
      </c>
      <c r="F8" s="203" t="str">
        <f>HYPERLINK("https://www.acquisition.gov/content/part-6-competition-requirements#i1119843","FAR 6.305")</f>
        <v>FAR 6.305</v>
      </c>
      <c r="G8" s="201"/>
      <c r="H8" s="64"/>
      <c r="I8" s="45" t="b">
        <f t="shared" si="0"/>
        <v>0</v>
      </c>
      <c r="J8" s="196"/>
      <c r="K8" s="196"/>
      <c r="L8" s="196"/>
      <c r="M8" s="196"/>
      <c r="N8" s="196"/>
      <c r="O8" s="196"/>
      <c r="P8" s="196"/>
      <c r="Q8" s="196"/>
      <c r="R8" s="196"/>
      <c r="S8" s="196"/>
      <c r="T8" s="196"/>
      <c r="U8" s="196"/>
      <c r="V8" s="196"/>
      <c r="W8" s="196"/>
      <c r="X8" s="196"/>
      <c r="Y8" s="196"/>
      <c r="Z8" s="196"/>
      <c r="AA8" s="196"/>
      <c r="AB8" s="196"/>
    </row>
    <row r="9" spans="1:28" ht="15.8" customHeight="1">
      <c r="A9" s="183" t="s">
        <v>7018</v>
      </c>
      <c r="B9" s="201" t="s">
        <v>6969</v>
      </c>
      <c r="C9" s="205" t="s">
        <v>7019</v>
      </c>
      <c r="D9" s="122" t="s">
        <v>7024</v>
      </c>
      <c r="E9" s="122" t="s">
        <v>7025</v>
      </c>
      <c r="F9" s="203" t="str">
        <f t="shared" ref="F9:F12" si="3">HYPERLINK("https://www.acquisition.gov/content/part-5-publicizing-contract-actions#i1120661","FAR 5.2")</f>
        <v>FAR 5.2</v>
      </c>
      <c r="G9" s="204" t="str">
        <f t="shared" ref="G9:G12" si="4">HYPERLINK("https://www.acquisition.gov/sites/default/files/current/gsam/html/Part505.html#wp1858179","GSAM 505.2")</f>
        <v>GSAM 505.2</v>
      </c>
      <c r="H9" s="64"/>
      <c r="I9" s="45" t="b">
        <f t="shared" si="0"/>
        <v>0</v>
      </c>
      <c r="J9" s="196"/>
      <c r="K9" s="196"/>
      <c r="L9" s="196"/>
      <c r="M9" s="196"/>
      <c r="N9" s="196"/>
      <c r="O9" s="196"/>
      <c r="P9" s="196"/>
      <c r="Q9" s="196"/>
      <c r="R9" s="196"/>
      <c r="S9" s="196"/>
      <c r="T9" s="196"/>
      <c r="U9" s="196"/>
      <c r="V9" s="196"/>
      <c r="W9" s="196"/>
      <c r="X9" s="196"/>
      <c r="Y9" s="196"/>
      <c r="Z9" s="196"/>
      <c r="AA9" s="196"/>
      <c r="AB9" s="196"/>
    </row>
    <row r="10" spans="1:28" ht="15.8" customHeight="1">
      <c r="A10" s="183" t="s">
        <v>7035</v>
      </c>
      <c r="B10" s="201" t="s">
        <v>6969</v>
      </c>
      <c r="C10" s="202" t="s">
        <v>7037</v>
      </c>
      <c r="D10" s="122" t="s">
        <v>7038</v>
      </c>
      <c r="E10" s="122" t="s">
        <v>7039</v>
      </c>
      <c r="F10" s="203" t="str">
        <f t="shared" si="3"/>
        <v>FAR 5.2</v>
      </c>
      <c r="G10" s="204" t="str">
        <f t="shared" si="4"/>
        <v>GSAM 505.2</v>
      </c>
      <c r="H10" s="64"/>
      <c r="I10" s="45" t="b">
        <f t="shared" si="0"/>
        <v>0</v>
      </c>
      <c r="J10" s="196"/>
      <c r="K10" s="196"/>
      <c r="L10" s="196"/>
      <c r="M10" s="196"/>
      <c r="N10" s="196"/>
      <c r="O10" s="196"/>
      <c r="P10" s="196"/>
      <c r="Q10" s="196"/>
      <c r="R10" s="196"/>
      <c r="S10" s="196"/>
      <c r="T10" s="196"/>
      <c r="U10" s="196"/>
      <c r="V10" s="196"/>
      <c r="W10" s="196"/>
      <c r="X10" s="196"/>
      <c r="Y10" s="196"/>
      <c r="Z10" s="196"/>
      <c r="AA10" s="196"/>
      <c r="AB10" s="196"/>
    </row>
    <row r="11" spans="1:28" ht="15.8" customHeight="1">
      <c r="A11" s="183" t="s">
        <v>7043</v>
      </c>
      <c r="B11" s="201" t="s">
        <v>6969</v>
      </c>
      <c r="C11" s="205" t="s">
        <v>7044</v>
      </c>
      <c r="D11" s="122" t="s">
        <v>7045</v>
      </c>
      <c r="E11" s="122" t="s">
        <v>7046</v>
      </c>
      <c r="F11" s="203" t="str">
        <f t="shared" si="3"/>
        <v>FAR 5.2</v>
      </c>
      <c r="G11" s="204" t="str">
        <f t="shared" si="4"/>
        <v>GSAM 505.2</v>
      </c>
      <c r="H11" s="64"/>
      <c r="I11" s="45" t="b">
        <f t="shared" si="0"/>
        <v>0</v>
      </c>
      <c r="J11" s="196"/>
      <c r="K11" s="196"/>
      <c r="L11" s="196"/>
      <c r="M11" s="196"/>
      <c r="N11" s="196"/>
      <c r="O11" s="196"/>
      <c r="P11" s="196"/>
      <c r="Q11" s="196"/>
      <c r="R11" s="196"/>
      <c r="S11" s="196"/>
      <c r="T11" s="196"/>
      <c r="U11" s="196"/>
      <c r="V11" s="196"/>
      <c r="W11" s="196"/>
      <c r="X11" s="196"/>
      <c r="Y11" s="196"/>
      <c r="Z11" s="196"/>
      <c r="AA11" s="196"/>
      <c r="AB11" s="196"/>
    </row>
    <row r="12" spans="1:28" ht="15.8" customHeight="1">
      <c r="A12" s="183" t="s">
        <v>7050</v>
      </c>
      <c r="B12" s="201" t="s">
        <v>6969</v>
      </c>
      <c r="C12" s="202" t="s">
        <v>7052</v>
      </c>
      <c r="D12" s="122" t="s">
        <v>7054</v>
      </c>
      <c r="E12" s="122" t="s">
        <v>7056</v>
      </c>
      <c r="F12" s="203" t="str">
        <f t="shared" si="3"/>
        <v>FAR 5.2</v>
      </c>
      <c r="G12" s="204" t="str">
        <f t="shared" si="4"/>
        <v>GSAM 505.2</v>
      </c>
      <c r="H12" s="64"/>
      <c r="I12" s="45" t="b">
        <f t="shared" si="0"/>
        <v>0</v>
      </c>
      <c r="J12" s="196"/>
      <c r="K12" s="196"/>
      <c r="L12" s="196"/>
      <c r="M12" s="196"/>
      <c r="N12" s="196"/>
      <c r="O12" s="196"/>
      <c r="P12" s="196"/>
      <c r="Q12" s="196"/>
      <c r="R12" s="196"/>
      <c r="S12" s="196"/>
      <c r="T12" s="196"/>
      <c r="U12" s="196"/>
      <c r="V12" s="196"/>
      <c r="W12" s="196"/>
      <c r="X12" s="196"/>
      <c r="Y12" s="196"/>
      <c r="Z12" s="196"/>
      <c r="AA12" s="196"/>
      <c r="AB12" s="196"/>
    </row>
    <row r="13" spans="1:28" ht="15.8" customHeight="1">
      <c r="A13" s="183" t="s">
        <v>7061</v>
      </c>
      <c r="B13" s="201" t="s">
        <v>7062</v>
      </c>
      <c r="C13" s="122" t="s">
        <v>7063</v>
      </c>
      <c r="D13" s="122" t="s">
        <v>7064</v>
      </c>
      <c r="E13" s="122" t="s">
        <v>7065</v>
      </c>
      <c r="F13" s="206" t="str">
        <f>HYPERLINK("https://www.acquisition.gov/content/part-4-administrative-matters#id1617MD00JHR","FAR 4.604, FAR 4.606")</f>
        <v>FAR 4.604, FAR 4.606</v>
      </c>
      <c r="G13" s="207" t="str">
        <f>HYPERLINK("https://www.acquisition.gov/sites/default/files/current/gsam/html/Part504.html#wp1870242","GSAR 504.604")</f>
        <v>GSAR 504.604</v>
      </c>
      <c r="H13" s="64"/>
      <c r="I13" s="45" t="b">
        <f t="shared" si="0"/>
        <v>0</v>
      </c>
      <c r="J13" s="196"/>
      <c r="K13" s="196"/>
      <c r="L13" s="196"/>
      <c r="M13" s="196"/>
      <c r="N13" s="196"/>
      <c r="O13" s="196"/>
      <c r="P13" s="196"/>
      <c r="Q13" s="196"/>
      <c r="R13" s="196"/>
      <c r="S13" s="196"/>
      <c r="T13" s="196"/>
      <c r="U13" s="196"/>
      <c r="V13" s="196"/>
      <c r="W13" s="196"/>
      <c r="X13" s="196"/>
      <c r="Y13" s="196"/>
      <c r="Z13" s="196"/>
      <c r="AA13" s="196"/>
      <c r="AB13" s="196"/>
    </row>
    <row r="14" spans="1:28" ht="15.8" customHeight="1">
      <c r="A14" s="183" t="s">
        <v>7077</v>
      </c>
      <c r="B14" s="201" t="s">
        <v>7062</v>
      </c>
      <c r="C14" s="208" t="s">
        <v>7078</v>
      </c>
      <c r="D14" s="122" t="s">
        <v>7082</v>
      </c>
      <c r="E14" s="122" t="s">
        <v>7083</v>
      </c>
      <c r="F14" s="203" t="str">
        <f t="shared" ref="F14:F16" si="5">HYPERLINK("https://www.acquisition.gov/content/part-4-administrative-matters#i1122770","FAR 4.6")</f>
        <v>FAR 4.6</v>
      </c>
      <c r="G14" s="204" t="str">
        <f t="shared" ref="G14:G16" si="6">HYPERLINK("https://www.acquisition.gov/sites/default/files/current/gsam/html/Part504.html#wp1864892","GSAM 504.6")</f>
        <v>GSAM 504.6</v>
      </c>
      <c r="H14" s="64"/>
      <c r="I14" s="45" t="b">
        <f t="shared" si="0"/>
        <v>0</v>
      </c>
      <c r="J14" s="196"/>
      <c r="K14" s="196"/>
      <c r="L14" s="196"/>
      <c r="M14" s="196"/>
      <c r="N14" s="196"/>
      <c r="O14" s="196"/>
      <c r="P14" s="196"/>
      <c r="Q14" s="196"/>
      <c r="R14" s="196"/>
      <c r="S14" s="196"/>
      <c r="T14" s="196"/>
      <c r="U14" s="196"/>
      <c r="V14" s="196"/>
      <c r="W14" s="196"/>
      <c r="X14" s="196"/>
      <c r="Y14" s="196"/>
      <c r="Z14" s="196"/>
      <c r="AA14" s="196"/>
      <c r="AB14" s="196"/>
    </row>
    <row r="15" spans="1:28" ht="15.8" customHeight="1">
      <c r="A15" s="183" t="s">
        <v>7088</v>
      </c>
      <c r="B15" s="201" t="s">
        <v>7062</v>
      </c>
      <c r="C15" s="202" t="s">
        <v>7089</v>
      </c>
      <c r="D15" s="122" t="s">
        <v>7082</v>
      </c>
      <c r="E15" s="122" t="s">
        <v>7083</v>
      </c>
      <c r="F15" s="203" t="str">
        <f t="shared" si="5"/>
        <v>FAR 4.6</v>
      </c>
      <c r="G15" s="204" t="str">
        <f t="shared" si="6"/>
        <v>GSAM 504.6</v>
      </c>
      <c r="H15" s="64"/>
      <c r="I15" s="45" t="b">
        <f t="shared" si="0"/>
        <v>0</v>
      </c>
      <c r="J15" s="196"/>
      <c r="K15" s="196"/>
      <c r="L15" s="196"/>
      <c r="M15" s="196"/>
      <c r="N15" s="196"/>
      <c r="O15" s="196"/>
      <c r="P15" s="196"/>
      <c r="Q15" s="196"/>
      <c r="R15" s="196"/>
      <c r="S15" s="196"/>
      <c r="T15" s="196"/>
      <c r="U15" s="196"/>
      <c r="V15" s="196"/>
      <c r="W15" s="196"/>
      <c r="X15" s="196"/>
      <c r="Y15" s="196"/>
      <c r="Z15" s="196"/>
      <c r="AA15" s="196"/>
      <c r="AB15" s="196"/>
    </row>
    <row r="16" spans="1:28" ht="15.8" customHeight="1">
      <c r="A16" s="183" t="s">
        <v>7092</v>
      </c>
      <c r="B16" s="201" t="s">
        <v>7062</v>
      </c>
      <c r="C16" s="202" t="s">
        <v>7093</v>
      </c>
      <c r="D16" s="122" t="s">
        <v>7094</v>
      </c>
      <c r="E16" s="122" t="s">
        <v>7095</v>
      </c>
      <c r="F16" s="203" t="str">
        <f t="shared" si="5"/>
        <v>FAR 4.6</v>
      </c>
      <c r="G16" s="204" t="str">
        <f t="shared" si="6"/>
        <v>GSAM 504.6</v>
      </c>
      <c r="H16" s="64"/>
      <c r="I16" s="45" t="b">
        <f t="shared" si="0"/>
        <v>0</v>
      </c>
      <c r="J16" s="196"/>
      <c r="K16" s="196"/>
      <c r="L16" s="196"/>
      <c r="M16" s="196"/>
      <c r="N16" s="196"/>
      <c r="O16" s="196"/>
      <c r="P16" s="196"/>
      <c r="Q16" s="196"/>
      <c r="R16" s="196"/>
      <c r="S16" s="196"/>
      <c r="T16" s="196"/>
      <c r="U16" s="196"/>
      <c r="V16" s="196"/>
      <c r="W16" s="196"/>
      <c r="X16" s="196"/>
      <c r="Y16" s="196"/>
      <c r="Z16" s="196"/>
      <c r="AA16" s="196"/>
      <c r="AB16" s="196"/>
    </row>
    <row r="17" spans="1:28" ht="15.8" customHeight="1">
      <c r="A17" s="183" t="s">
        <v>7096</v>
      </c>
      <c r="B17" s="201" t="s">
        <v>18</v>
      </c>
      <c r="C17" s="205" t="s">
        <v>7097</v>
      </c>
      <c r="D17" s="209" t="s">
        <v>7098</v>
      </c>
      <c r="E17" s="209" t="s">
        <v>7103</v>
      </c>
      <c r="F17" s="210"/>
      <c r="G17" s="201"/>
      <c r="H17" s="64"/>
      <c r="I17" s="45" t="b">
        <f t="shared" si="0"/>
        <v>0</v>
      </c>
      <c r="J17" s="196"/>
      <c r="K17" s="196"/>
      <c r="L17" s="196"/>
      <c r="M17" s="196"/>
      <c r="N17" s="196"/>
      <c r="O17" s="196"/>
      <c r="P17" s="196"/>
      <c r="Q17" s="196"/>
      <c r="R17" s="196"/>
      <c r="S17" s="196"/>
      <c r="T17" s="196"/>
      <c r="U17" s="196"/>
      <c r="V17" s="196"/>
      <c r="W17" s="196"/>
      <c r="X17" s="196"/>
      <c r="Y17" s="196"/>
      <c r="Z17" s="196"/>
      <c r="AA17" s="196"/>
      <c r="AB17" s="196"/>
    </row>
    <row r="18" spans="1:28" ht="15.8" customHeight="1">
      <c r="A18" s="183" t="s">
        <v>7106</v>
      </c>
      <c r="B18" s="201" t="s">
        <v>18</v>
      </c>
      <c r="C18" s="205" t="s">
        <v>7107</v>
      </c>
      <c r="D18" s="205" t="s">
        <v>7108</v>
      </c>
      <c r="E18" s="209" t="s">
        <v>7109</v>
      </c>
      <c r="F18" s="211"/>
      <c r="G18" s="201"/>
      <c r="H18" s="64"/>
      <c r="I18" s="45" t="b">
        <f t="shared" si="0"/>
        <v>0</v>
      </c>
      <c r="J18" s="196"/>
      <c r="K18" s="196"/>
      <c r="L18" s="196"/>
      <c r="M18" s="196"/>
      <c r="N18" s="196"/>
      <c r="O18" s="196"/>
      <c r="P18" s="196"/>
      <c r="Q18" s="196"/>
      <c r="R18" s="196"/>
      <c r="S18" s="196"/>
      <c r="T18" s="196"/>
      <c r="U18" s="196"/>
      <c r="V18" s="196"/>
      <c r="W18" s="196"/>
      <c r="X18" s="196"/>
      <c r="Y18" s="196"/>
      <c r="Z18" s="196"/>
      <c r="AA18" s="196"/>
      <c r="AB18" s="196"/>
    </row>
    <row r="19" spans="1:28" ht="15.8" customHeight="1">
      <c r="A19" s="183" t="s">
        <v>7113</v>
      </c>
      <c r="B19" s="201" t="s">
        <v>18</v>
      </c>
      <c r="C19" s="205" t="s">
        <v>7114</v>
      </c>
      <c r="D19" s="205" t="s">
        <v>7115</v>
      </c>
      <c r="E19" s="209" t="s">
        <v>7116</v>
      </c>
      <c r="F19" s="211"/>
      <c r="G19" s="201"/>
      <c r="H19" s="64"/>
      <c r="I19" s="45" t="b">
        <f t="shared" si="0"/>
        <v>0</v>
      </c>
      <c r="J19" s="196"/>
      <c r="K19" s="196"/>
      <c r="L19" s="196"/>
      <c r="M19" s="196"/>
      <c r="N19" s="196"/>
      <c r="O19" s="196"/>
      <c r="P19" s="196"/>
      <c r="Q19" s="196"/>
      <c r="R19" s="196"/>
      <c r="S19" s="196"/>
      <c r="T19" s="196"/>
      <c r="U19" s="196"/>
      <c r="V19" s="196"/>
      <c r="W19" s="196"/>
      <c r="X19" s="196"/>
      <c r="Y19" s="196"/>
      <c r="Z19" s="196"/>
      <c r="AA19" s="196"/>
      <c r="AB19" s="196"/>
    </row>
    <row r="20" spans="1:28" ht="15.8" customHeight="1">
      <c r="A20" s="183" t="s">
        <v>7120</v>
      </c>
      <c r="B20" s="201" t="s">
        <v>18</v>
      </c>
      <c r="C20" s="205" t="s">
        <v>7121</v>
      </c>
      <c r="D20" s="205" t="s">
        <v>7122</v>
      </c>
      <c r="E20" s="209" t="s">
        <v>7123</v>
      </c>
      <c r="F20" s="211"/>
      <c r="G20" s="201"/>
      <c r="H20" s="64"/>
      <c r="I20" s="45" t="b">
        <f t="shared" si="0"/>
        <v>0</v>
      </c>
      <c r="J20" s="196"/>
      <c r="K20" s="196"/>
      <c r="L20" s="196"/>
      <c r="M20" s="196"/>
      <c r="N20" s="196"/>
      <c r="O20" s="196"/>
      <c r="P20" s="196"/>
      <c r="Q20" s="196"/>
      <c r="R20" s="196"/>
      <c r="S20" s="196"/>
      <c r="T20" s="196"/>
      <c r="U20" s="196"/>
      <c r="V20" s="196"/>
      <c r="W20" s="196"/>
      <c r="X20" s="196"/>
      <c r="Y20" s="196"/>
      <c r="Z20" s="196"/>
      <c r="AA20" s="196"/>
      <c r="AB20" s="196"/>
    </row>
    <row r="21" spans="1:28" ht="15.8" customHeight="1">
      <c r="A21" s="183" t="s">
        <v>7126</v>
      </c>
      <c r="B21" s="201" t="s">
        <v>18</v>
      </c>
      <c r="C21" s="205" t="s">
        <v>7129</v>
      </c>
      <c r="D21" s="205" t="s">
        <v>7122</v>
      </c>
      <c r="E21" s="209" t="s">
        <v>7123</v>
      </c>
      <c r="F21" s="211"/>
      <c r="G21" s="201"/>
      <c r="H21" s="64"/>
      <c r="I21" s="45" t="b">
        <f t="shared" si="0"/>
        <v>0</v>
      </c>
      <c r="J21" s="196"/>
      <c r="K21" s="196"/>
      <c r="L21" s="196"/>
      <c r="M21" s="196"/>
      <c r="N21" s="196"/>
      <c r="O21" s="196"/>
      <c r="P21" s="196"/>
      <c r="Q21" s="196"/>
      <c r="R21" s="196"/>
      <c r="S21" s="196"/>
      <c r="T21" s="196"/>
      <c r="U21" s="196"/>
      <c r="V21" s="196"/>
      <c r="W21" s="196"/>
      <c r="X21" s="196"/>
      <c r="Y21" s="196"/>
      <c r="Z21" s="196"/>
      <c r="AA21" s="196"/>
      <c r="AB21" s="196"/>
    </row>
    <row r="22" spans="1:28" ht="15.8" customHeight="1">
      <c r="A22" s="183" t="s">
        <v>7130</v>
      </c>
      <c r="B22" s="212" t="s">
        <v>7131</v>
      </c>
      <c r="C22" s="202" t="s">
        <v>7137</v>
      </c>
      <c r="D22" s="209" t="s">
        <v>7139</v>
      </c>
      <c r="E22" s="209" t="s">
        <v>7140</v>
      </c>
      <c r="F22" s="203" t="s">
        <v>7141</v>
      </c>
      <c r="G22" s="204" t="str">
        <f t="shared" ref="G22:G23" si="7">HYPERLINK("https://gsa.github.io/sam_api/sam/","SAM API")</f>
        <v>SAM API</v>
      </c>
      <c r="H22" s="64"/>
      <c r="I22" s="45" t="b">
        <f t="shared" si="0"/>
        <v>0</v>
      </c>
      <c r="J22" s="196"/>
      <c r="K22" s="196"/>
      <c r="L22" s="196"/>
      <c r="M22" s="196"/>
      <c r="N22" s="196"/>
      <c r="O22" s="196"/>
      <c r="P22" s="196"/>
      <c r="Q22" s="196"/>
      <c r="R22" s="196"/>
      <c r="S22" s="196"/>
      <c r="T22" s="196"/>
      <c r="U22" s="196"/>
      <c r="V22" s="196"/>
      <c r="W22" s="196"/>
      <c r="X22" s="196"/>
      <c r="Y22" s="196"/>
      <c r="Z22" s="196"/>
      <c r="AA22" s="196"/>
      <c r="AB22" s="196"/>
    </row>
    <row r="23" spans="1:28" ht="15.8" customHeight="1">
      <c r="A23" s="183" t="s">
        <v>7147</v>
      </c>
      <c r="B23" s="212" t="s">
        <v>7131</v>
      </c>
      <c r="C23" s="202" t="s">
        <v>7148</v>
      </c>
      <c r="D23" s="122" t="s">
        <v>7149</v>
      </c>
      <c r="E23" s="122" t="s">
        <v>7150</v>
      </c>
      <c r="F23" s="203" t="s">
        <v>7141</v>
      </c>
      <c r="G23" s="204" t="str">
        <f t="shared" si="7"/>
        <v>SAM API</v>
      </c>
      <c r="H23" s="64"/>
      <c r="I23" s="45" t="b">
        <f t="shared" si="0"/>
        <v>0</v>
      </c>
      <c r="J23" s="196"/>
      <c r="K23" s="196"/>
      <c r="L23" s="196"/>
      <c r="M23" s="196"/>
      <c r="N23" s="196"/>
      <c r="O23" s="196"/>
      <c r="P23" s="196"/>
      <c r="Q23" s="196"/>
      <c r="R23" s="196"/>
      <c r="S23" s="196"/>
      <c r="T23" s="196"/>
      <c r="U23" s="196"/>
      <c r="V23" s="196"/>
      <c r="W23" s="196"/>
      <c r="X23" s="196"/>
      <c r="Y23" s="196"/>
      <c r="Z23" s="196"/>
      <c r="AA23" s="196"/>
      <c r="AB23" s="196"/>
    </row>
    <row r="24" spans="1:28" ht="15.8" customHeight="1">
      <c r="A24" s="183" t="s">
        <v>7157</v>
      </c>
      <c r="B24" s="212" t="s">
        <v>7131</v>
      </c>
      <c r="C24" s="202" t="s">
        <v>7158</v>
      </c>
      <c r="D24" s="122" t="s">
        <v>7159</v>
      </c>
      <c r="E24" s="122" t="s">
        <v>7160</v>
      </c>
      <c r="F24" s="203" t="str">
        <f>HYPERLINK("https://www.acquisition.gov/content/part-9-contractor-qualifications#i1115236","FAR 9.405 and SAM.gov")</f>
        <v>FAR 9.405 and SAM.gov</v>
      </c>
      <c r="G24" s="204" t="str">
        <f>HYPERLINK("https://www.acquisition.gov/content/part-509-contractor-qualifications#KGAGITJL","GSAM 509.405")</f>
        <v>GSAM 509.405</v>
      </c>
      <c r="H24" s="64"/>
      <c r="I24" s="45" t="b">
        <f t="shared" si="0"/>
        <v>0</v>
      </c>
      <c r="J24" s="196"/>
      <c r="K24" s="196"/>
      <c r="L24" s="196"/>
      <c r="M24" s="196"/>
      <c r="N24" s="196"/>
      <c r="O24" s="196"/>
      <c r="P24" s="196"/>
      <c r="Q24" s="196"/>
      <c r="R24" s="196"/>
      <c r="S24" s="196"/>
      <c r="T24" s="196"/>
      <c r="U24" s="196"/>
      <c r="V24" s="196"/>
      <c r="W24" s="196"/>
      <c r="X24" s="196"/>
      <c r="Y24" s="196"/>
      <c r="Z24" s="196"/>
      <c r="AA24" s="196"/>
      <c r="AB24" s="196"/>
    </row>
    <row r="25" spans="1:28" ht="15.8" customHeight="1">
      <c r="A25" s="183" t="s">
        <v>7167</v>
      </c>
      <c r="B25" s="212" t="s">
        <v>7131</v>
      </c>
      <c r="C25" s="202" t="s">
        <v>7170</v>
      </c>
      <c r="D25" s="122" t="s">
        <v>7171</v>
      </c>
      <c r="E25" s="122" t="s">
        <v>7172</v>
      </c>
      <c r="F25" s="203" t="s">
        <v>7141</v>
      </c>
      <c r="G25" s="204" t="str">
        <f t="shared" ref="G25:G28" si="8">HYPERLINK("https://gsa.github.io/sam_api/sam/","SAM API")</f>
        <v>SAM API</v>
      </c>
      <c r="H25" s="64"/>
      <c r="I25" s="45" t="b">
        <f t="shared" si="0"/>
        <v>0</v>
      </c>
      <c r="J25" s="196"/>
      <c r="K25" s="196"/>
      <c r="L25" s="196"/>
      <c r="M25" s="196"/>
      <c r="N25" s="196"/>
      <c r="O25" s="196"/>
      <c r="P25" s="196"/>
      <c r="Q25" s="196"/>
      <c r="R25" s="196"/>
      <c r="S25" s="196"/>
      <c r="T25" s="196"/>
      <c r="U25" s="196"/>
      <c r="V25" s="196"/>
      <c r="W25" s="196"/>
      <c r="X25" s="196"/>
      <c r="Y25" s="196"/>
      <c r="Z25" s="196"/>
      <c r="AA25" s="196"/>
      <c r="AB25" s="196"/>
    </row>
    <row r="26" spans="1:28" ht="15.8" customHeight="1">
      <c r="A26" s="183" t="s">
        <v>7176</v>
      </c>
      <c r="B26" s="212" t="s">
        <v>7131</v>
      </c>
      <c r="C26" s="202" t="s">
        <v>7177</v>
      </c>
      <c r="D26" s="209" t="s">
        <v>7178</v>
      </c>
      <c r="E26" s="122" t="s">
        <v>7179</v>
      </c>
      <c r="F26" s="203" t="s">
        <v>7141</v>
      </c>
      <c r="G26" s="204" t="str">
        <f t="shared" si="8"/>
        <v>SAM API</v>
      </c>
      <c r="H26" s="64"/>
      <c r="I26" s="45" t="b">
        <f t="shared" si="0"/>
        <v>0</v>
      </c>
      <c r="J26" s="196"/>
      <c r="K26" s="196"/>
      <c r="L26" s="196"/>
      <c r="M26" s="196"/>
      <c r="N26" s="196"/>
      <c r="O26" s="196"/>
      <c r="P26" s="196"/>
      <c r="Q26" s="196"/>
      <c r="R26" s="196"/>
      <c r="S26" s="196"/>
      <c r="T26" s="196"/>
      <c r="U26" s="196"/>
      <c r="V26" s="196"/>
      <c r="W26" s="196"/>
      <c r="X26" s="196"/>
      <c r="Y26" s="196"/>
      <c r="Z26" s="196"/>
      <c r="AA26" s="196"/>
      <c r="AB26" s="196"/>
    </row>
    <row r="27" spans="1:28" ht="15.8" customHeight="1">
      <c r="A27" s="183" t="s">
        <v>7181</v>
      </c>
      <c r="B27" s="212" t="s">
        <v>7131</v>
      </c>
      <c r="C27" s="202" t="s">
        <v>7182</v>
      </c>
      <c r="D27" s="122" t="s">
        <v>7183</v>
      </c>
      <c r="E27" s="122" t="s">
        <v>7184</v>
      </c>
      <c r="F27" s="203" t="s">
        <v>7141</v>
      </c>
      <c r="G27" s="204" t="str">
        <f t="shared" si="8"/>
        <v>SAM API</v>
      </c>
      <c r="H27" s="64"/>
      <c r="I27" s="45" t="b">
        <f t="shared" si="0"/>
        <v>0</v>
      </c>
      <c r="J27" s="196"/>
      <c r="K27" s="196"/>
      <c r="L27" s="196"/>
      <c r="M27" s="196"/>
      <c r="N27" s="196"/>
      <c r="O27" s="196"/>
      <c r="P27" s="196"/>
      <c r="Q27" s="196"/>
      <c r="R27" s="196"/>
      <c r="S27" s="196"/>
      <c r="T27" s="196"/>
      <c r="U27" s="196"/>
      <c r="V27" s="196"/>
      <c r="W27" s="196"/>
      <c r="X27" s="196"/>
      <c r="Y27" s="196"/>
      <c r="Z27" s="196"/>
      <c r="AA27" s="196"/>
      <c r="AB27" s="196"/>
    </row>
    <row r="28" spans="1:28" ht="15.8" customHeight="1">
      <c r="A28" s="183" t="s">
        <v>7188</v>
      </c>
      <c r="B28" s="212" t="s">
        <v>7131</v>
      </c>
      <c r="C28" s="205" t="s">
        <v>7189</v>
      </c>
      <c r="D28" s="209" t="s">
        <v>7190</v>
      </c>
      <c r="E28" s="209" t="s">
        <v>7191</v>
      </c>
      <c r="F28" s="203" t="s">
        <v>7141</v>
      </c>
      <c r="G28" s="204" t="str">
        <f t="shared" si="8"/>
        <v>SAM API</v>
      </c>
      <c r="H28" s="64"/>
      <c r="I28" s="45" t="b">
        <f t="shared" si="0"/>
        <v>0</v>
      </c>
      <c r="J28" s="196"/>
      <c r="K28" s="196"/>
      <c r="L28" s="196"/>
      <c r="M28" s="196"/>
      <c r="N28" s="196"/>
      <c r="O28" s="196"/>
      <c r="P28" s="196"/>
      <c r="Q28" s="196"/>
      <c r="R28" s="196"/>
      <c r="S28" s="196"/>
      <c r="T28" s="196"/>
      <c r="U28" s="196"/>
      <c r="V28" s="196"/>
      <c r="W28" s="196"/>
      <c r="X28" s="196"/>
      <c r="Y28" s="196"/>
      <c r="Z28" s="196"/>
      <c r="AA28" s="196"/>
      <c r="AB28" s="196"/>
    </row>
    <row r="29" spans="1:28" ht="15.8" customHeight="1">
      <c r="A29" s="183" t="s">
        <v>7196</v>
      </c>
      <c r="B29" s="212" t="s">
        <v>7197</v>
      </c>
      <c r="C29" s="213" t="s">
        <v>7199</v>
      </c>
      <c r="D29" s="214" t="s">
        <v>7205</v>
      </c>
      <c r="E29" s="209" t="s">
        <v>7213</v>
      </c>
      <c r="F29" s="215" t="str">
        <f t="shared" ref="F29:F30" si="9">HYPERLINK("https://www.acquisition.gov/content/part-22-application-labor-laws-government-acquisitions#i1096782","FAR 22.1007")</f>
        <v>FAR 22.1007</v>
      </c>
      <c r="G29" s="201"/>
      <c r="H29" s="64"/>
      <c r="I29" s="45" t="b">
        <f t="shared" si="0"/>
        <v>0</v>
      </c>
      <c r="J29" s="196"/>
      <c r="K29" s="196"/>
      <c r="L29" s="196"/>
      <c r="M29" s="196"/>
      <c r="N29" s="196"/>
      <c r="O29" s="196"/>
      <c r="P29" s="196"/>
      <c r="Q29" s="196"/>
      <c r="R29" s="196"/>
      <c r="S29" s="196"/>
      <c r="T29" s="196"/>
      <c r="U29" s="196"/>
      <c r="V29" s="196"/>
      <c r="W29" s="196"/>
      <c r="X29" s="196"/>
      <c r="Y29" s="196"/>
      <c r="Z29" s="196"/>
      <c r="AA29" s="196"/>
      <c r="AB29" s="196"/>
    </row>
    <row r="30" spans="1:28" ht="15.8" customHeight="1">
      <c r="A30" s="183" t="s">
        <v>7222</v>
      </c>
      <c r="B30" s="212" t="s">
        <v>7197</v>
      </c>
      <c r="C30" s="205" t="s">
        <v>7223</v>
      </c>
      <c r="D30" s="209" t="s">
        <v>7224</v>
      </c>
      <c r="E30" s="122" t="s">
        <v>7226</v>
      </c>
      <c r="F30" s="215" t="str">
        <f t="shared" si="9"/>
        <v>FAR 22.1007</v>
      </c>
      <c r="G30" s="201"/>
      <c r="H30" s="64"/>
      <c r="I30" s="45" t="b">
        <f t="shared" si="0"/>
        <v>0</v>
      </c>
      <c r="J30" s="196"/>
      <c r="K30" s="196"/>
      <c r="L30" s="196"/>
      <c r="M30" s="196"/>
      <c r="N30" s="196"/>
      <c r="O30" s="196"/>
      <c r="P30" s="196"/>
      <c r="Q30" s="196"/>
      <c r="R30" s="196"/>
      <c r="S30" s="196"/>
      <c r="T30" s="196"/>
      <c r="U30" s="196"/>
      <c r="V30" s="196"/>
      <c r="W30" s="196"/>
      <c r="X30" s="196"/>
      <c r="Y30" s="196"/>
      <c r="Z30" s="196"/>
      <c r="AA30" s="196"/>
      <c r="AB30" s="196"/>
    </row>
    <row r="31" spans="1:28" ht="15.8" customHeight="1">
      <c r="A31" s="183" t="s">
        <v>7230</v>
      </c>
      <c r="B31" s="201" t="s">
        <v>7231</v>
      </c>
      <c r="C31" s="122" t="s">
        <v>7232</v>
      </c>
      <c r="D31" s="122" t="s">
        <v>7233</v>
      </c>
      <c r="E31" s="122" t="s">
        <v>7234</v>
      </c>
      <c r="F31" s="215" t="str">
        <f>HYPERLINK("https://www.acquisition.gov/content/part-19-small-business-programs","FAR 19.202-5(b) and 19.704")</f>
        <v>FAR 19.202-5(b) and 19.704</v>
      </c>
      <c r="G31" s="201"/>
      <c r="H31" s="64"/>
      <c r="I31" s="45" t="b">
        <f t="shared" si="0"/>
        <v>0</v>
      </c>
      <c r="J31" s="196"/>
      <c r="K31" s="196"/>
      <c r="L31" s="196"/>
      <c r="M31" s="196"/>
      <c r="N31" s="196"/>
      <c r="O31" s="196"/>
      <c r="P31" s="196"/>
      <c r="Q31" s="196"/>
      <c r="R31" s="196"/>
      <c r="S31" s="196"/>
      <c r="T31" s="196"/>
      <c r="U31" s="196"/>
      <c r="V31" s="196"/>
      <c r="W31" s="196"/>
      <c r="X31" s="196"/>
      <c r="Y31" s="196"/>
      <c r="Z31" s="196"/>
      <c r="AA31" s="196"/>
      <c r="AB31" s="196"/>
    </row>
    <row r="32" spans="1:28" ht="15.8" customHeight="1">
      <c r="A32" s="183" t="s">
        <v>7239</v>
      </c>
      <c r="B32" s="216" t="s">
        <v>7240</v>
      </c>
      <c r="C32" s="122" t="s">
        <v>7244</v>
      </c>
      <c r="D32" s="209" t="s">
        <v>7246</v>
      </c>
      <c r="E32" s="209" t="s">
        <v>7247</v>
      </c>
      <c r="F32" s="210"/>
      <c r="G32" s="201"/>
      <c r="H32" s="64"/>
      <c r="I32" s="45" t="b">
        <f t="shared" si="0"/>
        <v>0</v>
      </c>
      <c r="J32" s="196"/>
      <c r="K32" s="196"/>
      <c r="L32" s="196"/>
      <c r="M32" s="196"/>
      <c r="N32" s="196"/>
      <c r="O32" s="196"/>
      <c r="P32" s="196"/>
      <c r="Q32" s="196"/>
      <c r="R32" s="196"/>
      <c r="S32" s="196"/>
      <c r="T32" s="196"/>
      <c r="U32" s="196"/>
      <c r="V32" s="196"/>
      <c r="W32" s="196"/>
      <c r="X32" s="196"/>
      <c r="Y32" s="196"/>
      <c r="Z32" s="196"/>
      <c r="AA32" s="196"/>
      <c r="AB32" s="196"/>
    </row>
    <row r="33" spans="1:28" ht="15.8" customHeight="1">
      <c r="A33" s="183" t="s">
        <v>7248</v>
      </c>
      <c r="B33" s="201" t="s">
        <v>7249</v>
      </c>
      <c r="C33" s="122" t="s">
        <v>7250</v>
      </c>
      <c r="D33" s="209" t="s">
        <v>7251</v>
      </c>
      <c r="E33" s="209" t="s">
        <v>7252</v>
      </c>
      <c r="F33" s="210"/>
      <c r="G33" s="201"/>
      <c r="H33" s="64"/>
      <c r="I33" s="45" t="b">
        <f t="shared" si="0"/>
        <v>0</v>
      </c>
      <c r="J33" s="196"/>
      <c r="K33" s="196"/>
      <c r="L33" s="196"/>
      <c r="M33" s="196"/>
      <c r="N33" s="196"/>
      <c r="O33" s="196"/>
      <c r="P33" s="196"/>
      <c r="Q33" s="196"/>
      <c r="R33" s="196"/>
      <c r="S33" s="196"/>
      <c r="T33" s="196"/>
      <c r="U33" s="196"/>
      <c r="V33" s="196"/>
      <c r="W33" s="196"/>
      <c r="X33" s="196"/>
      <c r="Y33" s="196"/>
      <c r="Z33" s="196"/>
      <c r="AA33" s="196"/>
      <c r="AB33" s="196"/>
    </row>
    <row r="34" spans="1:28" ht="15.8" customHeight="1">
      <c r="A34" s="183" t="s">
        <v>7256</v>
      </c>
      <c r="B34" s="201" t="s">
        <v>7257</v>
      </c>
      <c r="C34" s="209" t="s">
        <v>7258</v>
      </c>
      <c r="D34" s="209" t="s">
        <v>7259</v>
      </c>
      <c r="E34" s="209" t="s">
        <v>7260</v>
      </c>
      <c r="F34" s="210"/>
      <c r="G34" s="201"/>
      <c r="H34" s="64"/>
      <c r="I34" s="45" t="b">
        <f t="shared" si="0"/>
        <v>0</v>
      </c>
      <c r="J34" s="196"/>
      <c r="K34" s="196"/>
      <c r="L34" s="196"/>
      <c r="M34" s="196"/>
      <c r="N34" s="196"/>
      <c r="O34" s="196"/>
      <c r="P34" s="196"/>
      <c r="Q34" s="196"/>
      <c r="R34" s="196"/>
      <c r="S34" s="196"/>
      <c r="T34" s="196"/>
      <c r="U34" s="196"/>
      <c r="V34" s="196"/>
      <c r="W34" s="196"/>
      <c r="X34" s="196"/>
      <c r="Y34" s="196"/>
      <c r="Z34" s="196"/>
      <c r="AA34" s="196"/>
      <c r="AB34" s="196"/>
    </row>
    <row r="35" spans="1:28" ht="15.8" customHeight="1">
      <c r="A35" s="183" t="s">
        <v>7262</v>
      </c>
      <c r="B35" s="201" t="s">
        <v>7263</v>
      </c>
      <c r="C35" s="209" t="s">
        <v>7264</v>
      </c>
      <c r="D35" s="209" t="s">
        <v>7265</v>
      </c>
      <c r="E35" s="209" t="s">
        <v>7266</v>
      </c>
      <c r="F35" s="210"/>
      <c r="G35" s="201"/>
      <c r="H35" s="64"/>
      <c r="I35" s="45" t="b">
        <f t="shared" si="0"/>
        <v>0</v>
      </c>
      <c r="J35" s="196"/>
      <c r="K35" s="196"/>
      <c r="L35" s="196"/>
      <c r="M35" s="196"/>
      <c r="N35" s="196"/>
      <c r="O35" s="196"/>
      <c r="P35" s="196"/>
      <c r="Q35" s="196"/>
      <c r="R35" s="196"/>
      <c r="S35" s="196"/>
      <c r="T35" s="196"/>
      <c r="U35" s="196"/>
      <c r="V35" s="196"/>
      <c r="W35" s="196"/>
      <c r="X35" s="196"/>
      <c r="Y35" s="196"/>
      <c r="Z35" s="196"/>
      <c r="AA35" s="196"/>
      <c r="AB35" s="196"/>
    </row>
    <row r="36" spans="1:28" ht="409.6">
      <c r="A36" s="183" t="s">
        <v>7270</v>
      </c>
      <c r="B36" s="201" t="s">
        <v>7271</v>
      </c>
      <c r="C36" s="122" t="s">
        <v>7273</v>
      </c>
      <c r="D36" s="122" t="s">
        <v>7274</v>
      </c>
      <c r="E36" s="122" t="s">
        <v>7275</v>
      </c>
      <c r="F36" s="210"/>
      <c r="G36" s="201"/>
      <c r="H36" s="64"/>
      <c r="I36" s="45" t="b">
        <f t="shared" si="0"/>
        <v>0</v>
      </c>
      <c r="J36" s="196"/>
      <c r="K36" s="196"/>
      <c r="L36" s="196"/>
      <c r="M36" s="196"/>
      <c r="N36" s="196"/>
      <c r="O36" s="196"/>
      <c r="P36" s="196"/>
      <c r="Q36" s="196"/>
      <c r="R36" s="196"/>
      <c r="S36" s="196"/>
      <c r="T36" s="196"/>
      <c r="U36" s="196"/>
      <c r="V36" s="196"/>
      <c r="W36" s="196"/>
      <c r="X36" s="196"/>
      <c r="Y36" s="196"/>
      <c r="Z36" s="196"/>
      <c r="AA36" s="196"/>
      <c r="AB36" s="196"/>
    </row>
    <row r="37" spans="1:28" ht="409.6">
      <c r="A37" s="183" t="s">
        <v>7279</v>
      </c>
      <c r="B37" s="216" t="s">
        <v>7280</v>
      </c>
      <c r="C37" s="122" t="s">
        <v>7282</v>
      </c>
      <c r="D37" s="209" t="s">
        <v>7283</v>
      </c>
      <c r="E37" s="209" t="s">
        <v>7284</v>
      </c>
      <c r="F37" s="210"/>
      <c r="G37" s="211"/>
      <c r="H37" s="64"/>
      <c r="I37" s="45" t="b">
        <f t="shared" si="0"/>
        <v>0</v>
      </c>
      <c r="J37" s="196"/>
      <c r="K37" s="196"/>
      <c r="L37" s="196"/>
      <c r="M37" s="196"/>
      <c r="N37" s="196"/>
      <c r="O37" s="196"/>
      <c r="P37" s="196"/>
      <c r="Q37" s="196"/>
      <c r="R37" s="196"/>
      <c r="S37" s="196"/>
      <c r="T37" s="196"/>
      <c r="U37" s="196"/>
      <c r="V37" s="196"/>
      <c r="W37" s="196"/>
      <c r="X37" s="196"/>
      <c r="Y37" s="196"/>
      <c r="Z37" s="196"/>
      <c r="AA37" s="196"/>
      <c r="AB37" s="196"/>
    </row>
    <row r="38" spans="1:28" ht="409.6">
      <c r="A38" s="183" t="s">
        <v>7288</v>
      </c>
      <c r="B38" s="216" t="s">
        <v>7289</v>
      </c>
      <c r="C38" s="122" t="s">
        <v>7290</v>
      </c>
      <c r="D38" s="209"/>
      <c r="E38" s="209"/>
      <c r="F38" s="210"/>
      <c r="G38" s="211"/>
      <c r="H38" s="64"/>
      <c r="I38" s="45" t="b">
        <f t="shared" si="0"/>
        <v>0</v>
      </c>
      <c r="J38" s="196"/>
      <c r="K38" s="196"/>
      <c r="L38" s="196"/>
      <c r="M38" s="196"/>
      <c r="N38" s="196"/>
      <c r="O38" s="196"/>
      <c r="P38" s="196"/>
      <c r="Q38" s="196"/>
      <c r="R38" s="196"/>
      <c r="S38" s="196"/>
      <c r="T38" s="196"/>
      <c r="U38" s="196"/>
      <c r="V38" s="196"/>
      <c r="W38" s="196"/>
      <c r="X38" s="196"/>
      <c r="Y38" s="196"/>
      <c r="Z38" s="196"/>
      <c r="AA38" s="196"/>
      <c r="AB38" s="196"/>
    </row>
    <row r="39" spans="1:28" ht="228.25">
      <c r="A39" s="183" t="s">
        <v>7292</v>
      </c>
      <c r="B39" s="211" t="s">
        <v>7293</v>
      </c>
      <c r="C39" s="209" t="s">
        <v>7294</v>
      </c>
      <c r="D39" s="209" t="s">
        <v>7295</v>
      </c>
      <c r="E39" s="209" t="s">
        <v>7296</v>
      </c>
      <c r="F39" s="210"/>
      <c r="G39" s="211"/>
      <c r="H39" s="64"/>
      <c r="I39" s="45" t="b">
        <f t="shared" si="0"/>
        <v>0</v>
      </c>
      <c r="J39" s="196"/>
      <c r="K39" s="196"/>
      <c r="L39" s="196"/>
      <c r="M39" s="196"/>
      <c r="N39" s="196"/>
      <c r="O39" s="196"/>
      <c r="P39" s="196"/>
      <c r="Q39" s="196"/>
      <c r="R39" s="196"/>
      <c r="S39" s="196"/>
      <c r="T39" s="196"/>
      <c r="U39" s="196"/>
      <c r="V39" s="196"/>
      <c r="W39" s="196"/>
      <c r="X39" s="196"/>
      <c r="Y39" s="196"/>
      <c r="Z39" s="196"/>
      <c r="AA39" s="196"/>
      <c r="AB39" s="196"/>
    </row>
    <row r="40" spans="1:28" ht="217.4">
      <c r="A40" s="183" t="s">
        <v>7300</v>
      </c>
      <c r="B40" s="211" t="s">
        <v>7301</v>
      </c>
      <c r="C40" s="122" t="s">
        <v>7302</v>
      </c>
      <c r="D40" s="209" t="s">
        <v>7303</v>
      </c>
      <c r="E40" s="209" t="s">
        <v>7304</v>
      </c>
      <c r="F40" s="203" t="str">
        <f>HYPERLINK("https://www.federalregister.gov/documents/2014/10/14/2014-24240/federal-acquisition-regulation-uniform-procurement-identification","FAR Case 2012-023 ")</f>
        <v xml:space="preserve">FAR Case 2012-023 </v>
      </c>
      <c r="G40" s="203" t="str">
        <f>HYPERLINK("https://www.acquisition.gov/sites/default/files/archives/loose_leaf/GSAR%20Change%2070%20Signed.pdf","GSAM Case 2015-G502")</f>
        <v>GSAM Case 2015-G502</v>
      </c>
      <c r="H40" s="64"/>
      <c r="I40" s="45" t="b">
        <f t="shared" si="0"/>
        <v>0</v>
      </c>
      <c r="J40" s="196"/>
      <c r="K40" s="196"/>
      <c r="L40" s="196"/>
      <c r="M40" s="196"/>
      <c r="N40" s="196"/>
      <c r="O40" s="196"/>
      <c r="P40" s="196"/>
      <c r="Q40" s="196"/>
      <c r="R40" s="196"/>
      <c r="S40" s="196"/>
      <c r="T40" s="196"/>
      <c r="U40" s="196"/>
      <c r="V40" s="196"/>
      <c r="W40" s="196"/>
      <c r="X40" s="196"/>
      <c r="Y40" s="196"/>
      <c r="Z40" s="196"/>
      <c r="AA40" s="196"/>
      <c r="AB40" s="196"/>
    </row>
    <row r="41" spans="1:28" ht="65.25">
      <c r="A41" s="183" t="s">
        <v>7306</v>
      </c>
      <c r="B41" s="211" t="s">
        <v>7307</v>
      </c>
      <c r="C41" s="217" t="s">
        <v>7310</v>
      </c>
      <c r="D41" s="209" t="s">
        <v>7311</v>
      </c>
      <c r="E41" s="209" t="s">
        <v>7312</v>
      </c>
      <c r="F41" s="203"/>
      <c r="G41" s="203"/>
      <c r="H41" s="64"/>
      <c r="I41" s="45" t="b">
        <f t="shared" si="0"/>
        <v>0</v>
      </c>
      <c r="J41" s="196"/>
      <c r="K41" s="196"/>
      <c r="L41" s="196"/>
      <c r="M41" s="196"/>
      <c r="N41" s="196"/>
      <c r="O41" s="196"/>
      <c r="P41" s="196"/>
      <c r="Q41" s="196"/>
      <c r="R41" s="196"/>
      <c r="S41" s="196"/>
      <c r="T41" s="196"/>
      <c r="U41" s="196"/>
      <c r="V41" s="196"/>
      <c r="W41" s="196"/>
      <c r="X41" s="196"/>
      <c r="Y41" s="196"/>
      <c r="Z41" s="196"/>
      <c r="AA41" s="196"/>
      <c r="AB41" s="196"/>
    </row>
    <row r="42" spans="1:28" ht="315.2">
      <c r="A42" s="183" t="s">
        <v>7314</v>
      </c>
      <c r="B42" s="211" t="s">
        <v>7316</v>
      </c>
      <c r="C42" s="209" t="s">
        <v>7319</v>
      </c>
      <c r="D42" s="209" t="s">
        <v>7320</v>
      </c>
      <c r="E42" s="209" t="s">
        <v>7321</v>
      </c>
      <c r="F42" s="203"/>
      <c r="G42" s="203"/>
      <c r="H42" s="64"/>
      <c r="I42" s="45" t="b">
        <f t="shared" si="0"/>
        <v>0</v>
      </c>
      <c r="J42" s="196"/>
      <c r="K42" s="196"/>
      <c r="L42" s="196"/>
      <c r="M42" s="196"/>
      <c r="N42" s="196"/>
      <c r="O42" s="196"/>
      <c r="P42" s="196"/>
      <c r="Q42" s="196"/>
      <c r="R42" s="196"/>
      <c r="S42" s="196"/>
      <c r="T42" s="196"/>
      <c r="U42" s="196"/>
      <c r="V42" s="196"/>
      <c r="W42" s="196"/>
      <c r="X42" s="196"/>
      <c r="Y42" s="196"/>
      <c r="Z42" s="196"/>
      <c r="AA42" s="196"/>
      <c r="AB42" s="196"/>
    </row>
    <row r="43" spans="1:28" ht="54.35">
      <c r="A43" s="183" t="s">
        <v>7322</v>
      </c>
      <c r="B43" s="211" t="s">
        <v>7323</v>
      </c>
      <c r="C43" s="209" t="s">
        <v>7325</v>
      </c>
      <c r="D43" s="209" t="s">
        <v>7327</v>
      </c>
      <c r="E43" s="209" t="s">
        <v>7328</v>
      </c>
      <c r="F43" s="203"/>
      <c r="G43" s="215" t="str">
        <f>HYPERLINK("https://www.acquisition.gov/content/504605-procedures?&amp;searchTerms=piid","GSAM 504.605")</f>
        <v>GSAM 504.605</v>
      </c>
      <c r="H43" s="64"/>
      <c r="I43" s="45" t="b">
        <f t="shared" si="0"/>
        <v>0</v>
      </c>
      <c r="J43" s="196"/>
      <c r="K43" s="196"/>
      <c r="L43" s="196"/>
      <c r="M43" s="196"/>
      <c r="N43" s="196"/>
      <c r="O43" s="196"/>
      <c r="P43" s="196"/>
      <c r="Q43" s="196"/>
      <c r="R43" s="196"/>
      <c r="S43" s="196"/>
      <c r="T43" s="196"/>
      <c r="U43" s="196"/>
      <c r="V43" s="196"/>
      <c r="W43" s="196"/>
      <c r="X43" s="196"/>
      <c r="Y43" s="196"/>
      <c r="Z43" s="196"/>
      <c r="AA43" s="196"/>
      <c r="AB43" s="196"/>
    </row>
    <row r="44" spans="1:28" ht="54.35">
      <c r="A44" s="183" t="s">
        <v>7333</v>
      </c>
      <c r="B44" s="121" t="s">
        <v>262</v>
      </c>
      <c r="C44" s="209" t="s">
        <v>7334</v>
      </c>
      <c r="D44" s="79" t="s">
        <v>7335</v>
      </c>
      <c r="E44" s="25" t="s">
        <v>7336</v>
      </c>
      <c r="F44" s="218"/>
      <c r="G44" s="183"/>
      <c r="H44" s="64"/>
      <c r="I44" s="45" t="b">
        <f t="shared" si="0"/>
        <v>0</v>
      </c>
      <c r="J44" s="196"/>
      <c r="K44" s="196"/>
      <c r="L44" s="196"/>
      <c r="M44" s="196"/>
      <c r="N44" s="196"/>
      <c r="O44" s="196"/>
      <c r="P44" s="196"/>
      <c r="Q44" s="196"/>
      <c r="R44" s="196"/>
      <c r="S44" s="196"/>
      <c r="T44" s="196"/>
      <c r="U44" s="196"/>
      <c r="V44" s="196"/>
      <c r="W44" s="196"/>
      <c r="X44" s="196"/>
      <c r="Y44" s="196"/>
      <c r="Z44" s="196"/>
      <c r="AA44" s="196"/>
      <c r="AB44" s="196"/>
    </row>
    <row r="45" spans="1:28" ht="86.95">
      <c r="A45" s="183" t="s">
        <v>7342</v>
      </c>
      <c r="B45" s="121" t="s">
        <v>7343</v>
      </c>
      <c r="C45" s="25" t="s">
        <v>7345</v>
      </c>
      <c r="D45" s="25" t="s">
        <v>7346</v>
      </c>
      <c r="E45" s="219" t="s">
        <v>7347</v>
      </c>
      <c r="F45" s="218"/>
      <c r="G45" s="183"/>
      <c r="H45" s="64"/>
      <c r="I45" s="45" t="b">
        <f t="shared" si="0"/>
        <v>0</v>
      </c>
      <c r="J45" s="196"/>
      <c r="K45" s="196"/>
      <c r="L45" s="196"/>
      <c r="M45" s="196"/>
      <c r="N45" s="196"/>
      <c r="O45" s="196"/>
      <c r="P45" s="196"/>
      <c r="Q45" s="196"/>
      <c r="R45" s="196"/>
      <c r="S45" s="196"/>
      <c r="T45" s="196"/>
      <c r="U45" s="196"/>
      <c r="V45" s="196"/>
      <c r="W45" s="196"/>
      <c r="X45" s="196"/>
      <c r="Y45" s="196"/>
      <c r="Z45" s="196"/>
      <c r="AA45" s="196"/>
      <c r="AB45" s="196"/>
    </row>
    <row r="46" spans="1:28" ht="12.9">
      <c r="A46" s="196"/>
      <c r="B46" s="143"/>
      <c r="C46" s="196"/>
      <c r="D46" s="196"/>
      <c r="E46" s="196"/>
      <c r="F46" s="220"/>
      <c r="G46" s="143"/>
      <c r="H46" s="196"/>
      <c r="I46" s="196"/>
      <c r="J46" s="196"/>
      <c r="K46" s="196"/>
      <c r="L46" s="196"/>
      <c r="M46" s="196"/>
      <c r="N46" s="196"/>
      <c r="O46" s="196"/>
      <c r="P46" s="196"/>
      <c r="Q46" s="196"/>
      <c r="R46" s="196"/>
      <c r="S46" s="196"/>
      <c r="T46" s="196"/>
      <c r="U46" s="196"/>
      <c r="V46" s="196"/>
      <c r="W46" s="196"/>
      <c r="X46" s="196"/>
      <c r="Y46" s="196"/>
      <c r="Z46" s="196"/>
      <c r="AA46" s="196"/>
      <c r="AB46" s="196"/>
    </row>
    <row r="47" spans="1:28" ht="15.65">
      <c r="A47" s="196"/>
      <c r="B47" s="143"/>
      <c r="C47" s="196"/>
      <c r="D47" s="196"/>
      <c r="E47" s="196"/>
      <c r="F47" s="220"/>
      <c r="G47" s="143"/>
      <c r="H47" s="196"/>
      <c r="I47" s="125">
        <f>SUM(I2:I45)</f>
        <v>0</v>
      </c>
      <c r="J47" s="196"/>
      <c r="K47" s="196"/>
      <c r="L47" s="196"/>
      <c r="M47" s="196"/>
      <c r="N47" s="196"/>
      <c r="O47" s="196"/>
      <c r="P47" s="196"/>
      <c r="Q47" s="196"/>
      <c r="R47" s="196"/>
      <c r="S47" s="196"/>
      <c r="T47" s="196"/>
      <c r="U47" s="196"/>
      <c r="V47" s="196"/>
      <c r="W47" s="196"/>
      <c r="X47" s="196"/>
      <c r="Y47" s="196"/>
      <c r="Z47" s="196"/>
      <c r="AA47" s="196"/>
      <c r="AB47" s="196"/>
    </row>
    <row r="48" spans="1:28" ht="12.9">
      <c r="A48" s="196"/>
      <c r="B48" s="143"/>
      <c r="C48" s="196"/>
      <c r="D48" s="196"/>
      <c r="E48" s="196"/>
      <c r="F48" s="220"/>
      <c r="G48" s="143"/>
      <c r="H48" s="196"/>
      <c r="I48" s="196"/>
      <c r="J48" s="196"/>
      <c r="K48" s="196"/>
      <c r="L48" s="196"/>
      <c r="M48" s="196"/>
      <c r="N48" s="196"/>
      <c r="O48" s="196"/>
      <c r="P48" s="196"/>
      <c r="Q48" s="196"/>
      <c r="R48" s="196"/>
      <c r="S48" s="196"/>
      <c r="T48" s="196"/>
      <c r="U48" s="196"/>
      <c r="V48" s="196"/>
      <c r="W48" s="196"/>
      <c r="X48" s="196"/>
      <c r="Y48" s="196"/>
      <c r="Z48" s="196"/>
      <c r="AA48" s="196"/>
      <c r="AB48" s="196"/>
    </row>
    <row r="49" spans="1:28" ht="12.9">
      <c r="A49" s="196"/>
      <c r="B49" s="143"/>
      <c r="C49" s="196"/>
      <c r="D49" s="196"/>
      <c r="E49" s="196"/>
      <c r="F49" s="220"/>
      <c r="G49" s="143"/>
      <c r="H49" s="196"/>
      <c r="I49" s="196"/>
      <c r="J49" s="196"/>
      <c r="K49" s="196"/>
      <c r="L49" s="196"/>
      <c r="M49" s="196"/>
      <c r="N49" s="196"/>
      <c r="O49" s="196"/>
      <c r="P49" s="196"/>
      <c r="Q49" s="196"/>
      <c r="R49" s="196"/>
      <c r="S49" s="196"/>
      <c r="T49" s="196"/>
      <c r="U49" s="196"/>
      <c r="V49" s="196"/>
      <c r="W49" s="196"/>
      <c r="X49" s="196"/>
      <c r="Y49" s="196"/>
      <c r="Z49" s="196"/>
      <c r="AA49" s="196"/>
      <c r="AB49" s="196"/>
    </row>
    <row r="50" spans="1:28" ht="12.9">
      <c r="A50" s="196"/>
      <c r="B50" s="143"/>
      <c r="C50" s="196"/>
      <c r="D50" s="196"/>
      <c r="E50" s="196"/>
      <c r="F50" s="220"/>
      <c r="G50" s="143"/>
      <c r="H50" s="196"/>
      <c r="I50" s="196"/>
      <c r="J50" s="196"/>
      <c r="K50" s="196"/>
      <c r="L50" s="196"/>
      <c r="M50" s="196"/>
      <c r="N50" s="196"/>
      <c r="O50" s="196"/>
      <c r="P50" s="196"/>
      <c r="Q50" s="196"/>
      <c r="R50" s="196"/>
      <c r="S50" s="196"/>
      <c r="T50" s="196"/>
      <c r="U50" s="196"/>
      <c r="V50" s="196"/>
      <c r="W50" s="196"/>
      <c r="X50" s="196"/>
      <c r="Y50" s="196"/>
      <c r="Z50" s="196"/>
      <c r="AA50" s="196"/>
      <c r="AB50" s="196"/>
    </row>
    <row r="51" spans="1:28" ht="12.9">
      <c r="A51" s="196"/>
      <c r="B51" s="143"/>
      <c r="C51" s="196"/>
      <c r="D51" s="196"/>
      <c r="E51" s="196"/>
      <c r="F51" s="220"/>
      <c r="G51" s="143"/>
      <c r="H51" s="196"/>
      <c r="I51" s="196"/>
      <c r="J51" s="196"/>
      <c r="K51" s="196"/>
      <c r="L51" s="196"/>
      <c r="M51" s="196"/>
      <c r="N51" s="196"/>
      <c r="O51" s="196"/>
      <c r="P51" s="196"/>
      <c r="Q51" s="196"/>
      <c r="R51" s="196"/>
      <c r="S51" s="196"/>
      <c r="T51" s="196"/>
      <c r="U51" s="196"/>
      <c r="V51" s="196"/>
      <c r="W51" s="196"/>
      <c r="X51" s="196"/>
      <c r="Y51" s="196"/>
      <c r="Z51" s="196"/>
      <c r="AA51" s="196"/>
      <c r="AB51" s="196"/>
    </row>
    <row r="52" spans="1:28" ht="12.9">
      <c r="A52" s="196"/>
      <c r="B52" s="143"/>
      <c r="C52" s="196"/>
      <c r="D52" s="196"/>
      <c r="E52" s="196"/>
      <c r="F52" s="220"/>
      <c r="G52" s="143"/>
      <c r="H52" s="196"/>
      <c r="I52" s="196"/>
      <c r="J52" s="196"/>
      <c r="K52" s="196"/>
      <c r="L52" s="196"/>
      <c r="M52" s="196"/>
      <c r="N52" s="196"/>
      <c r="O52" s="196"/>
      <c r="P52" s="196"/>
      <c r="Q52" s="196"/>
      <c r="R52" s="196"/>
      <c r="S52" s="196"/>
      <c r="T52" s="196"/>
      <c r="U52" s="196"/>
      <c r="V52" s="196"/>
      <c r="W52" s="196"/>
      <c r="X52" s="196"/>
      <c r="Y52" s="196"/>
      <c r="Z52" s="196"/>
      <c r="AA52" s="196"/>
      <c r="AB52" s="196"/>
    </row>
    <row r="53" spans="1:28" ht="12.9">
      <c r="A53" s="196"/>
      <c r="B53" s="143"/>
      <c r="C53" s="196"/>
      <c r="D53" s="196"/>
      <c r="E53" s="196"/>
      <c r="F53" s="220"/>
      <c r="G53" s="143"/>
      <c r="H53" s="196"/>
      <c r="I53" s="196"/>
      <c r="J53" s="196"/>
      <c r="K53" s="196"/>
      <c r="L53" s="196"/>
      <c r="M53" s="196"/>
      <c r="N53" s="196"/>
      <c r="O53" s="196"/>
      <c r="P53" s="196"/>
      <c r="Q53" s="196"/>
      <c r="R53" s="196"/>
      <c r="S53" s="196"/>
      <c r="T53" s="196"/>
      <c r="U53" s="196"/>
      <c r="V53" s="196"/>
      <c r="W53" s="196"/>
      <c r="X53" s="196"/>
      <c r="Y53" s="196"/>
      <c r="Z53" s="196"/>
      <c r="AA53" s="196"/>
      <c r="AB53" s="196"/>
    </row>
    <row r="54" spans="1:28" ht="12.9">
      <c r="A54" s="196"/>
      <c r="B54" s="143"/>
      <c r="C54" s="196"/>
      <c r="D54" s="196"/>
      <c r="E54" s="196"/>
      <c r="F54" s="220"/>
      <c r="G54" s="143"/>
      <c r="H54" s="196"/>
      <c r="I54" s="196"/>
      <c r="J54" s="196"/>
      <c r="K54" s="196"/>
      <c r="L54" s="196"/>
      <c r="M54" s="196"/>
      <c r="N54" s="196"/>
      <c r="O54" s="196"/>
      <c r="P54" s="196"/>
      <c r="Q54" s="196"/>
      <c r="R54" s="196"/>
      <c r="S54" s="196"/>
      <c r="T54" s="196"/>
      <c r="U54" s="196"/>
      <c r="V54" s="196"/>
      <c r="W54" s="196"/>
      <c r="X54" s="196"/>
      <c r="Y54" s="196"/>
      <c r="Z54" s="196"/>
      <c r="AA54" s="196"/>
      <c r="AB54" s="196"/>
    </row>
    <row r="55" spans="1:28" ht="12.9">
      <c r="A55" s="196"/>
      <c r="B55" s="143"/>
      <c r="C55" s="196"/>
      <c r="D55" s="196"/>
      <c r="E55" s="196"/>
      <c r="F55" s="220"/>
      <c r="G55" s="143"/>
      <c r="H55" s="196"/>
      <c r="I55" s="196"/>
      <c r="J55" s="196"/>
      <c r="K55" s="196"/>
      <c r="L55" s="196"/>
      <c r="M55" s="196"/>
      <c r="N55" s="196"/>
      <c r="O55" s="196"/>
      <c r="P55" s="196"/>
      <c r="Q55" s="196"/>
      <c r="R55" s="196"/>
      <c r="S55" s="196"/>
      <c r="T55" s="196"/>
      <c r="U55" s="196"/>
      <c r="V55" s="196"/>
      <c r="W55" s="196"/>
      <c r="X55" s="196"/>
      <c r="Y55" s="196"/>
      <c r="Z55" s="196"/>
      <c r="AA55" s="196"/>
      <c r="AB55" s="196"/>
    </row>
    <row r="56" spans="1:28" ht="12.9">
      <c r="A56" s="196"/>
      <c r="B56" s="143"/>
      <c r="C56" s="196"/>
      <c r="D56" s="196"/>
      <c r="E56" s="196"/>
      <c r="F56" s="220"/>
      <c r="G56" s="143"/>
      <c r="H56" s="196"/>
      <c r="I56" s="196"/>
      <c r="J56" s="196"/>
      <c r="K56" s="196"/>
      <c r="L56" s="196"/>
      <c r="M56" s="196"/>
      <c r="N56" s="196"/>
      <c r="O56" s="196"/>
      <c r="P56" s="196"/>
      <c r="Q56" s="196"/>
      <c r="R56" s="196"/>
      <c r="S56" s="196"/>
      <c r="T56" s="196"/>
      <c r="U56" s="196"/>
      <c r="V56" s="196"/>
      <c r="W56" s="196"/>
      <c r="X56" s="196"/>
      <c r="Y56" s="196"/>
      <c r="Z56" s="196"/>
      <c r="AA56" s="196"/>
      <c r="AB56" s="196"/>
    </row>
    <row r="57" spans="1:28" ht="12.9">
      <c r="A57" s="196"/>
      <c r="B57" s="143"/>
      <c r="C57" s="196"/>
      <c r="D57" s="196"/>
      <c r="E57" s="196"/>
      <c r="F57" s="220"/>
      <c r="G57" s="143"/>
      <c r="H57" s="196"/>
      <c r="I57" s="196"/>
      <c r="J57" s="196"/>
      <c r="K57" s="196"/>
      <c r="L57" s="196"/>
      <c r="M57" s="196"/>
      <c r="N57" s="196"/>
      <c r="O57" s="196"/>
      <c r="P57" s="196"/>
      <c r="Q57" s="196"/>
      <c r="R57" s="196"/>
      <c r="S57" s="196"/>
      <c r="T57" s="196"/>
      <c r="U57" s="196"/>
      <c r="V57" s="196"/>
      <c r="W57" s="196"/>
      <c r="X57" s="196"/>
      <c r="Y57" s="196"/>
      <c r="Z57" s="196"/>
      <c r="AA57" s="196"/>
      <c r="AB57" s="196"/>
    </row>
    <row r="58" spans="1:28" ht="12.9">
      <c r="A58" s="196"/>
      <c r="B58" s="143"/>
      <c r="C58" s="196"/>
      <c r="D58" s="196"/>
      <c r="E58" s="196"/>
      <c r="F58" s="220"/>
      <c r="G58" s="143"/>
      <c r="H58" s="196"/>
      <c r="I58" s="196"/>
      <c r="J58" s="196"/>
      <c r="K58" s="196"/>
      <c r="L58" s="196"/>
      <c r="M58" s="196"/>
      <c r="N58" s="196"/>
      <c r="O58" s="196"/>
      <c r="P58" s="196"/>
      <c r="Q58" s="196"/>
      <c r="R58" s="196"/>
      <c r="S58" s="196"/>
      <c r="T58" s="196"/>
      <c r="U58" s="196"/>
      <c r="V58" s="196"/>
      <c r="W58" s="196"/>
      <c r="X58" s="196"/>
      <c r="Y58" s="196"/>
      <c r="Z58" s="196"/>
      <c r="AA58" s="196"/>
      <c r="AB58" s="196"/>
    </row>
    <row r="59" spans="1:28" ht="12.9">
      <c r="A59" s="196"/>
      <c r="B59" s="143"/>
      <c r="C59" s="196"/>
      <c r="D59" s="196"/>
      <c r="E59" s="196"/>
      <c r="F59" s="220"/>
      <c r="G59" s="143"/>
      <c r="H59" s="196"/>
      <c r="I59" s="196"/>
      <c r="J59" s="196"/>
      <c r="K59" s="196"/>
      <c r="L59" s="196"/>
      <c r="M59" s="196"/>
      <c r="N59" s="196"/>
      <c r="O59" s="196"/>
      <c r="P59" s="196"/>
      <c r="Q59" s="196"/>
      <c r="R59" s="196"/>
      <c r="S59" s="196"/>
      <c r="T59" s="196"/>
      <c r="U59" s="196"/>
      <c r="V59" s="196"/>
      <c r="W59" s="196"/>
      <c r="X59" s="196"/>
      <c r="Y59" s="196"/>
      <c r="Z59" s="196"/>
      <c r="AA59" s="196"/>
      <c r="AB59" s="196"/>
    </row>
    <row r="60" spans="1:28" ht="12.9">
      <c r="A60" s="196"/>
      <c r="B60" s="143"/>
      <c r="C60" s="196"/>
      <c r="D60" s="196"/>
      <c r="E60" s="196"/>
      <c r="F60" s="220"/>
      <c r="G60" s="143"/>
      <c r="H60" s="196"/>
      <c r="I60" s="196"/>
      <c r="J60" s="196"/>
      <c r="K60" s="196"/>
      <c r="L60" s="196"/>
      <c r="M60" s="196"/>
      <c r="N60" s="196"/>
      <c r="O60" s="196"/>
      <c r="P60" s="196"/>
      <c r="Q60" s="196"/>
      <c r="R60" s="196"/>
      <c r="S60" s="196"/>
      <c r="T60" s="196"/>
      <c r="U60" s="196"/>
      <c r="V60" s="196"/>
      <c r="W60" s="196"/>
      <c r="X60" s="196"/>
      <c r="Y60" s="196"/>
      <c r="Z60" s="196"/>
      <c r="AA60" s="196"/>
      <c r="AB60" s="196"/>
    </row>
    <row r="61" spans="1:28" ht="12.9">
      <c r="A61" s="196"/>
      <c r="B61" s="143"/>
      <c r="C61" s="196"/>
      <c r="D61" s="196"/>
      <c r="E61" s="196"/>
      <c r="F61" s="220"/>
      <c r="G61" s="143"/>
      <c r="H61" s="196"/>
      <c r="I61" s="196"/>
      <c r="J61" s="196"/>
      <c r="K61" s="196"/>
      <c r="L61" s="196"/>
      <c r="M61" s="196"/>
      <c r="N61" s="196"/>
      <c r="O61" s="196"/>
      <c r="P61" s="196"/>
      <c r="Q61" s="196"/>
      <c r="R61" s="196"/>
      <c r="S61" s="196"/>
      <c r="T61" s="196"/>
      <c r="U61" s="196"/>
      <c r="V61" s="196"/>
      <c r="W61" s="196"/>
      <c r="X61" s="196"/>
      <c r="Y61" s="196"/>
      <c r="Z61" s="196"/>
      <c r="AA61" s="196"/>
      <c r="AB61" s="196"/>
    </row>
    <row r="62" spans="1:28" ht="12.9">
      <c r="A62" s="196"/>
      <c r="B62" s="143"/>
      <c r="C62" s="196"/>
      <c r="D62" s="196"/>
      <c r="E62" s="196"/>
      <c r="F62" s="220"/>
      <c r="G62" s="143"/>
      <c r="H62" s="196"/>
      <c r="I62" s="196"/>
      <c r="J62" s="196"/>
      <c r="K62" s="196"/>
      <c r="L62" s="196"/>
      <c r="M62" s="196"/>
      <c r="N62" s="196"/>
      <c r="O62" s="196"/>
      <c r="P62" s="196"/>
      <c r="Q62" s="196"/>
      <c r="R62" s="196"/>
      <c r="S62" s="196"/>
      <c r="T62" s="196"/>
      <c r="U62" s="196"/>
      <c r="V62" s="196"/>
      <c r="W62" s="196"/>
      <c r="X62" s="196"/>
      <c r="Y62" s="196"/>
      <c r="Z62" s="196"/>
      <c r="AA62" s="196"/>
      <c r="AB62" s="196"/>
    </row>
    <row r="63" spans="1:28" ht="12.9">
      <c r="A63" s="196"/>
      <c r="B63" s="143"/>
      <c r="C63" s="196"/>
      <c r="D63" s="196"/>
      <c r="E63" s="196"/>
      <c r="F63" s="220"/>
      <c r="G63" s="143"/>
      <c r="H63" s="196"/>
      <c r="I63" s="196"/>
      <c r="J63" s="196"/>
      <c r="K63" s="196"/>
      <c r="L63" s="196"/>
      <c r="M63" s="196"/>
      <c r="N63" s="196"/>
      <c r="O63" s="196"/>
      <c r="P63" s="196"/>
      <c r="Q63" s="196"/>
      <c r="R63" s="196"/>
      <c r="S63" s="196"/>
      <c r="T63" s="196"/>
      <c r="U63" s="196"/>
      <c r="V63" s="196"/>
      <c r="W63" s="196"/>
      <c r="X63" s="196"/>
      <c r="Y63" s="196"/>
      <c r="Z63" s="196"/>
      <c r="AA63" s="196"/>
      <c r="AB63" s="196"/>
    </row>
    <row r="64" spans="1:28" ht="12.9">
      <c r="A64" s="196"/>
      <c r="B64" s="143"/>
      <c r="C64" s="196"/>
      <c r="D64" s="196"/>
      <c r="E64" s="196"/>
      <c r="F64" s="220"/>
      <c r="G64" s="143"/>
      <c r="H64" s="196"/>
      <c r="I64" s="196"/>
      <c r="J64" s="196"/>
      <c r="K64" s="196"/>
      <c r="L64" s="196"/>
      <c r="M64" s="196"/>
      <c r="N64" s="196"/>
      <c r="O64" s="196"/>
      <c r="P64" s="196"/>
      <c r="Q64" s="196"/>
      <c r="R64" s="196"/>
      <c r="S64" s="196"/>
      <c r="T64" s="196"/>
      <c r="U64" s="196"/>
      <c r="V64" s="196"/>
      <c r="W64" s="196"/>
      <c r="X64" s="196"/>
      <c r="Y64" s="196"/>
      <c r="Z64" s="196"/>
      <c r="AA64" s="196"/>
      <c r="AB64" s="196"/>
    </row>
    <row r="65" spans="1:28" ht="12.9">
      <c r="A65" s="196"/>
      <c r="B65" s="143"/>
      <c r="C65" s="196"/>
      <c r="D65" s="196"/>
      <c r="E65" s="196"/>
      <c r="F65" s="220"/>
      <c r="G65" s="143"/>
      <c r="H65" s="196"/>
      <c r="I65" s="196"/>
      <c r="J65" s="196"/>
      <c r="K65" s="196"/>
      <c r="L65" s="196"/>
      <c r="M65" s="196"/>
      <c r="N65" s="196"/>
      <c r="O65" s="196"/>
      <c r="P65" s="196"/>
      <c r="Q65" s="196"/>
      <c r="R65" s="196"/>
      <c r="S65" s="196"/>
      <c r="T65" s="196"/>
      <c r="U65" s="196"/>
      <c r="V65" s="196"/>
      <c r="W65" s="196"/>
      <c r="X65" s="196"/>
      <c r="Y65" s="196"/>
      <c r="Z65" s="196"/>
      <c r="AA65" s="196"/>
      <c r="AB65" s="196"/>
    </row>
    <row r="66" spans="1:28" ht="12.9">
      <c r="A66" s="196"/>
      <c r="B66" s="143"/>
      <c r="C66" s="196"/>
      <c r="D66" s="196"/>
      <c r="E66" s="196"/>
      <c r="F66" s="220"/>
      <c r="G66" s="143"/>
      <c r="H66" s="196"/>
      <c r="I66" s="196"/>
      <c r="J66" s="196"/>
      <c r="K66" s="196"/>
      <c r="L66" s="196"/>
      <c r="M66" s="196"/>
      <c r="N66" s="196"/>
      <c r="O66" s="196"/>
      <c r="P66" s="196"/>
      <c r="Q66" s="196"/>
      <c r="R66" s="196"/>
      <c r="S66" s="196"/>
      <c r="T66" s="196"/>
      <c r="U66" s="196"/>
      <c r="V66" s="196"/>
      <c r="W66" s="196"/>
      <c r="X66" s="196"/>
      <c r="Y66" s="196"/>
      <c r="Z66" s="196"/>
      <c r="AA66" s="196"/>
      <c r="AB66" s="196"/>
    </row>
    <row r="67" spans="1:28" ht="12.9">
      <c r="A67" s="196"/>
      <c r="B67" s="143"/>
      <c r="C67" s="196"/>
      <c r="D67" s="196"/>
      <c r="E67" s="196"/>
      <c r="F67" s="220"/>
      <c r="G67" s="143"/>
      <c r="H67" s="196"/>
      <c r="I67" s="196"/>
      <c r="J67" s="196"/>
      <c r="K67" s="196"/>
      <c r="L67" s="196"/>
      <c r="M67" s="196"/>
      <c r="N67" s="196"/>
      <c r="O67" s="196"/>
      <c r="P67" s="196"/>
      <c r="Q67" s="196"/>
      <c r="R67" s="196"/>
      <c r="S67" s="196"/>
      <c r="T67" s="196"/>
      <c r="U67" s="196"/>
      <c r="V67" s="196"/>
      <c r="W67" s="196"/>
      <c r="X67" s="196"/>
      <c r="Y67" s="196"/>
      <c r="Z67" s="196"/>
      <c r="AA67" s="196"/>
      <c r="AB67" s="196"/>
    </row>
    <row r="68" spans="1:28" ht="12.9">
      <c r="A68" s="196"/>
      <c r="B68" s="143"/>
      <c r="C68" s="196"/>
      <c r="D68" s="196"/>
      <c r="E68" s="196"/>
      <c r="F68" s="220"/>
      <c r="G68" s="143"/>
      <c r="H68" s="196"/>
      <c r="I68" s="196"/>
      <c r="J68" s="196"/>
      <c r="K68" s="196"/>
      <c r="L68" s="196"/>
      <c r="M68" s="196"/>
      <c r="N68" s="196"/>
      <c r="O68" s="196"/>
      <c r="P68" s="196"/>
      <c r="Q68" s="196"/>
      <c r="R68" s="196"/>
      <c r="S68" s="196"/>
      <c r="T68" s="196"/>
      <c r="U68" s="196"/>
      <c r="V68" s="196"/>
      <c r="W68" s="196"/>
      <c r="X68" s="196"/>
      <c r="Y68" s="196"/>
      <c r="Z68" s="196"/>
      <c r="AA68" s="196"/>
      <c r="AB68" s="196"/>
    </row>
    <row r="69" spans="1:28" ht="12.9">
      <c r="A69" s="196"/>
      <c r="B69" s="143"/>
      <c r="C69" s="196"/>
      <c r="D69" s="196"/>
      <c r="E69" s="196"/>
      <c r="F69" s="220"/>
      <c r="G69" s="143"/>
      <c r="H69" s="196"/>
      <c r="I69" s="196"/>
      <c r="J69" s="196"/>
      <c r="K69" s="196"/>
      <c r="L69" s="196"/>
      <c r="M69" s="196"/>
      <c r="N69" s="196"/>
      <c r="O69" s="196"/>
      <c r="P69" s="196"/>
      <c r="Q69" s="196"/>
      <c r="R69" s="196"/>
      <c r="S69" s="196"/>
      <c r="T69" s="196"/>
      <c r="U69" s="196"/>
      <c r="V69" s="196"/>
      <c r="W69" s="196"/>
      <c r="X69" s="196"/>
      <c r="Y69" s="196"/>
      <c r="Z69" s="196"/>
      <c r="AA69" s="196"/>
      <c r="AB69" s="196"/>
    </row>
    <row r="70" spans="1:28" ht="12.9">
      <c r="A70" s="196"/>
      <c r="B70" s="143"/>
      <c r="C70" s="196"/>
      <c r="D70" s="196"/>
      <c r="E70" s="196"/>
      <c r="F70" s="220"/>
      <c r="G70" s="143"/>
      <c r="H70" s="196"/>
      <c r="I70" s="196"/>
      <c r="J70" s="196"/>
      <c r="K70" s="196"/>
      <c r="L70" s="196"/>
      <c r="M70" s="196"/>
      <c r="N70" s="196"/>
      <c r="O70" s="196"/>
      <c r="P70" s="196"/>
      <c r="Q70" s="196"/>
      <c r="R70" s="196"/>
      <c r="S70" s="196"/>
      <c r="T70" s="196"/>
      <c r="U70" s="196"/>
      <c r="V70" s="196"/>
      <c r="W70" s="196"/>
      <c r="X70" s="196"/>
      <c r="Y70" s="196"/>
      <c r="Z70" s="196"/>
      <c r="AA70" s="196"/>
      <c r="AB70" s="196"/>
    </row>
    <row r="71" spans="1:28" ht="12.9">
      <c r="A71" s="196"/>
      <c r="B71" s="143"/>
      <c r="C71" s="196"/>
      <c r="D71" s="196"/>
      <c r="E71" s="196"/>
      <c r="F71" s="220"/>
      <c r="G71" s="143"/>
      <c r="H71" s="196"/>
      <c r="I71" s="196"/>
      <c r="J71" s="196"/>
      <c r="K71" s="196"/>
      <c r="L71" s="196"/>
      <c r="M71" s="196"/>
      <c r="N71" s="196"/>
      <c r="O71" s="196"/>
      <c r="P71" s="196"/>
      <c r="Q71" s="196"/>
      <c r="R71" s="196"/>
      <c r="S71" s="196"/>
      <c r="T71" s="196"/>
      <c r="U71" s="196"/>
      <c r="V71" s="196"/>
      <c r="W71" s="196"/>
      <c r="X71" s="196"/>
      <c r="Y71" s="196"/>
      <c r="Z71" s="196"/>
      <c r="AA71" s="196"/>
      <c r="AB71" s="196"/>
    </row>
    <row r="72" spans="1:28" ht="12.9">
      <c r="A72" s="196"/>
      <c r="B72" s="143"/>
      <c r="C72" s="196"/>
      <c r="D72" s="196"/>
      <c r="E72" s="196"/>
      <c r="F72" s="220"/>
      <c r="G72" s="143"/>
      <c r="H72" s="196"/>
      <c r="I72" s="196"/>
      <c r="J72" s="196"/>
      <c r="K72" s="196"/>
      <c r="L72" s="196"/>
      <c r="M72" s="196"/>
      <c r="N72" s="196"/>
      <c r="O72" s="196"/>
      <c r="P72" s="196"/>
      <c r="Q72" s="196"/>
      <c r="R72" s="196"/>
      <c r="S72" s="196"/>
      <c r="T72" s="196"/>
      <c r="U72" s="196"/>
      <c r="V72" s="196"/>
      <c r="W72" s="196"/>
      <c r="X72" s="196"/>
      <c r="Y72" s="196"/>
      <c r="Z72" s="196"/>
      <c r="AA72" s="196"/>
      <c r="AB72" s="196"/>
    </row>
    <row r="73" spans="1:28" ht="12.9">
      <c r="A73" s="196"/>
      <c r="B73" s="143"/>
      <c r="C73" s="196"/>
      <c r="D73" s="196"/>
      <c r="E73" s="196"/>
      <c r="F73" s="220"/>
      <c r="G73" s="143"/>
      <c r="H73" s="196"/>
      <c r="I73" s="196"/>
      <c r="J73" s="196"/>
      <c r="K73" s="196"/>
      <c r="L73" s="196"/>
      <c r="M73" s="196"/>
      <c r="N73" s="196"/>
      <c r="O73" s="196"/>
      <c r="P73" s="196"/>
      <c r="Q73" s="196"/>
      <c r="R73" s="196"/>
      <c r="S73" s="196"/>
      <c r="T73" s="196"/>
      <c r="U73" s="196"/>
      <c r="V73" s="196"/>
      <c r="W73" s="196"/>
      <c r="X73" s="196"/>
      <c r="Y73" s="196"/>
      <c r="Z73" s="196"/>
      <c r="AA73" s="196"/>
      <c r="AB73" s="196"/>
    </row>
    <row r="74" spans="1:28" ht="12.9">
      <c r="A74" s="196"/>
      <c r="B74" s="143"/>
      <c r="C74" s="196"/>
      <c r="D74" s="196"/>
      <c r="E74" s="196"/>
      <c r="F74" s="220"/>
      <c r="G74" s="143"/>
      <c r="H74" s="196"/>
      <c r="I74" s="196"/>
      <c r="J74" s="196"/>
      <c r="K74" s="196"/>
      <c r="L74" s="196"/>
      <c r="M74" s="196"/>
      <c r="N74" s="196"/>
      <c r="O74" s="196"/>
      <c r="P74" s="196"/>
      <c r="Q74" s="196"/>
      <c r="R74" s="196"/>
      <c r="S74" s="196"/>
      <c r="T74" s="196"/>
      <c r="U74" s="196"/>
      <c r="V74" s="196"/>
      <c r="W74" s="196"/>
      <c r="X74" s="196"/>
      <c r="Y74" s="196"/>
      <c r="Z74" s="196"/>
      <c r="AA74" s="196"/>
      <c r="AB74" s="196"/>
    </row>
    <row r="75" spans="1:28" ht="12.9">
      <c r="A75" s="196"/>
      <c r="B75" s="143"/>
      <c r="C75" s="196"/>
      <c r="D75" s="196"/>
      <c r="E75" s="196"/>
      <c r="F75" s="220"/>
      <c r="G75" s="143"/>
      <c r="H75" s="196"/>
      <c r="I75" s="196"/>
      <c r="J75" s="196"/>
      <c r="K75" s="196"/>
      <c r="L75" s="196"/>
      <c r="M75" s="196"/>
      <c r="N75" s="196"/>
      <c r="O75" s="196"/>
      <c r="P75" s="196"/>
      <c r="Q75" s="196"/>
      <c r="R75" s="196"/>
      <c r="S75" s="196"/>
      <c r="T75" s="196"/>
      <c r="U75" s="196"/>
      <c r="V75" s="196"/>
      <c r="W75" s="196"/>
      <c r="X75" s="196"/>
      <c r="Y75" s="196"/>
      <c r="Z75" s="196"/>
      <c r="AA75" s="196"/>
      <c r="AB75" s="196"/>
    </row>
    <row r="76" spans="1:28" ht="12.9">
      <c r="A76" s="196"/>
      <c r="B76" s="143"/>
      <c r="C76" s="196"/>
      <c r="D76" s="196"/>
      <c r="E76" s="196"/>
      <c r="F76" s="220"/>
      <c r="G76" s="143"/>
      <c r="H76" s="196"/>
      <c r="I76" s="196"/>
      <c r="J76" s="196"/>
      <c r="K76" s="196"/>
      <c r="L76" s="196"/>
      <c r="M76" s="196"/>
      <c r="N76" s="196"/>
      <c r="O76" s="196"/>
      <c r="P76" s="196"/>
      <c r="Q76" s="196"/>
      <c r="R76" s="196"/>
      <c r="S76" s="196"/>
      <c r="T76" s="196"/>
      <c r="U76" s="196"/>
      <c r="V76" s="196"/>
      <c r="W76" s="196"/>
      <c r="X76" s="196"/>
      <c r="Y76" s="196"/>
      <c r="Z76" s="196"/>
      <c r="AA76" s="196"/>
      <c r="AB76" s="196"/>
    </row>
    <row r="77" spans="1:28" ht="12.9">
      <c r="A77" s="196"/>
      <c r="B77" s="143"/>
      <c r="C77" s="196"/>
      <c r="D77" s="196"/>
      <c r="E77" s="196"/>
      <c r="F77" s="220"/>
      <c r="G77" s="143"/>
      <c r="H77" s="196"/>
      <c r="I77" s="196"/>
      <c r="J77" s="196"/>
      <c r="K77" s="196"/>
      <c r="L77" s="196"/>
      <c r="M77" s="196"/>
      <c r="N77" s="196"/>
      <c r="O77" s="196"/>
      <c r="P77" s="196"/>
      <c r="Q77" s="196"/>
      <c r="R77" s="196"/>
      <c r="S77" s="196"/>
      <c r="T77" s="196"/>
      <c r="U77" s="196"/>
      <c r="V77" s="196"/>
      <c r="W77" s="196"/>
      <c r="X77" s="196"/>
      <c r="Y77" s="196"/>
      <c r="Z77" s="196"/>
      <c r="AA77" s="196"/>
      <c r="AB77" s="196"/>
    </row>
    <row r="78" spans="1:28" ht="12.9">
      <c r="A78" s="196"/>
      <c r="B78" s="143"/>
      <c r="C78" s="196"/>
      <c r="D78" s="196"/>
      <c r="E78" s="196"/>
      <c r="F78" s="220"/>
      <c r="G78" s="143"/>
      <c r="H78" s="196"/>
      <c r="I78" s="196"/>
      <c r="J78" s="196"/>
      <c r="K78" s="196"/>
      <c r="L78" s="196"/>
      <c r="M78" s="196"/>
      <c r="N78" s="196"/>
      <c r="O78" s="196"/>
      <c r="P78" s="196"/>
      <c r="Q78" s="196"/>
      <c r="R78" s="196"/>
      <c r="S78" s="196"/>
      <c r="T78" s="196"/>
      <c r="U78" s="196"/>
      <c r="V78" s="196"/>
      <c r="W78" s="196"/>
      <c r="X78" s="196"/>
      <c r="Y78" s="196"/>
      <c r="Z78" s="196"/>
      <c r="AA78" s="196"/>
      <c r="AB78" s="196"/>
    </row>
    <row r="79" spans="1:28" ht="12.9">
      <c r="A79" s="196"/>
      <c r="B79" s="143"/>
      <c r="C79" s="196"/>
      <c r="D79" s="196"/>
      <c r="E79" s="196"/>
      <c r="F79" s="220"/>
      <c r="G79" s="143"/>
      <c r="H79" s="196"/>
      <c r="I79" s="196"/>
      <c r="J79" s="196"/>
      <c r="K79" s="196"/>
      <c r="L79" s="196"/>
      <c r="M79" s="196"/>
      <c r="N79" s="196"/>
      <c r="O79" s="196"/>
      <c r="P79" s="196"/>
      <c r="Q79" s="196"/>
      <c r="R79" s="196"/>
      <c r="S79" s="196"/>
      <c r="T79" s="196"/>
      <c r="U79" s="196"/>
      <c r="V79" s="196"/>
      <c r="W79" s="196"/>
      <c r="X79" s="196"/>
      <c r="Y79" s="196"/>
      <c r="Z79" s="196"/>
      <c r="AA79" s="196"/>
      <c r="AB79" s="196"/>
    </row>
    <row r="80" spans="1:28" ht="12.9">
      <c r="A80" s="196"/>
      <c r="B80" s="143"/>
      <c r="C80" s="196"/>
      <c r="D80" s="196"/>
      <c r="E80" s="196"/>
      <c r="F80" s="220"/>
      <c r="G80" s="143"/>
      <c r="H80" s="196"/>
      <c r="I80" s="196"/>
      <c r="J80" s="196"/>
      <c r="K80" s="196"/>
      <c r="L80" s="196"/>
      <c r="M80" s="196"/>
      <c r="N80" s="196"/>
      <c r="O80" s="196"/>
      <c r="P80" s="196"/>
      <c r="Q80" s="196"/>
      <c r="R80" s="196"/>
      <c r="S80" s="196"/>
      <c r="T80" s="196"/>
      <c r="U80" s="196"/>
      <c r="V80" s="196"/>
      <c r="W80" s="196"/>
      <c r="X80" s="196"/>
      <c r="Y80" s="196"/>
      <c r="Z80" s="196"/>
      <c r="AA80" s="196"/>
      <c r="AB80" s="196"/>
    </row>
    <row r="81" spans="1:28" ht="12.9">
      <c r="A81" s="196"/>
      <c r="B81" s="143"/>
      <c r="C81" s="196"/>
      <c r="D81" s="196"/>
      <c r="E81" s="196"/>
      <c r="F81" s="220"/>
      <c r="G81" s="143"/>
      <c r="H81" s="196"/>
      <c r="I81" s="196"/>
      <c r="J81" s="196"/>
      <c r="K81" s="196"/>
      <c r="L81" s="196"/>
      <c r="M81" s="196"/>
      <c r="N81" s="196"/>
      <c r="O81" s="196"/>
      <c r="P81" s="196"/>
      <c r="Q81" s="196"/>
      <c r="R81" s="196"/>
      <c r="S81" s="196"/>
      <c r="T81" s="196"/>
      <c r="U81" s="196"/>
      <c r="V81" s="196"/>
      <c r="W81" s="196"/>
      <c r="X81" s="196"/>
      <c r="Y81" s="196"/>
      <c r="Z81" s="196"/>
      <c r="AA81" s="196"/>
      <c r="AB81" s="196"/>
    </row>
    <row r="82" spans="1:28" ht="12.9">
      <c r="A82" s="196"/>
      <c r="B82" s="143"/>
      <c r="C82" s="196"/>
      <c r="D82" s="196"/>
      <c r="E82" s="196"/>
      <c r="F82" s="220"/>
      <c r="G82" s="143"/>
      <c r="H82" s="196"/>
      <c r="I82" s="196"/>
      <c r="J82" s="196"/>
      <c r="K82" s="196"/>
      <c r="L82" s="196"/>
      <c r="M82" s="196"/>
      <c r="N82" s="196"/>
      <c r="O82" s="196"/>
      <c r="P82" s="196"/>
      <c r="Q82" s="196"/>
      <c r="R82" s="196"/>
      <c r="S82" s="196"/>
      <c r="T82" s="196"/>
      <c r="U82" s="196"/>
      <c r="V82" s="196"/>
      <c r="W82" s="196"/>
      <c r="X82" s="196"/>
      <c r="Y82" s="196"/>
      <c r="Z82" s="196"/>
      <c r="AA82" s="196"/>
      <c r="AB82" s="196"/>
    </row>
    <row r="83" spans="1:28" ht="12.9">
      <c r="A83" s="196"/>
      <c r="B83" s="143"/>
      <c r="C83" s="196"/>
      <c r="D83" s="196"/>
      <c r="E83" s="196"/>
      <c r="F83" s="220"/>
      <c r="G83" s="143"/>
      <c r="H83" s="196"/>
      <c r="I83" s="196"/>
      <c r="J83" s="196"/>
      <c r="K83" s="196"/>
      <c r="L83" s="196"/>
      <c r="M83" s="196"/>
      <c r="N83" s="196"/>
      <c r="O83" s="196"/>
      <c r="P83" s="196"/>
      <c r="Q83" s="196"/>
      <c r="R83" s="196"/>
      <c r="S83" s="196"/>
      <c r="T83" s="196"/>
      <c r="U83" s="196"/>
      <c r="V83" s="196"/>
      <c r="W83" s="196"/>
      <c r="X83" s="196"/>
      <c r="Y83" s="196"/>
      <c r="Z83" s="196"/>
      <c r="AA83" s="196"/>
      <c r="AB83" s="196"/>
    </row>
    <row r="84" spans="1:28" ht="12.9">
      <c r="A84" s="196"/>
      <c r="B84" s="143"/>
      <c r="C84" s="196"/>
      <c r="D84" s="196"/>
      <c r="E84" s="196"/>
      <c r="F84" s="220"/>
      <c r="G84" s="143"/>
      <c r="H84" s="196"/>
      <c r="I84" s="196"/>
      <c r="J84" s="196"/>
      <c r="K84" s="196"/>
      <c r="L84" s="196"/>
      <c r="M84" s="196"/>
      <c r="N84" s="196"/>
      <c r="O84" s="196"/>
      <c r="P84" s="196"/>
      <c r="Q84" s="196"/>
      <c r="R84" s="196"/>
      <c r="S84" s="196"/>
      <c r="T84" s="196"/>
      <c r="U84" s="196"/>
      <c r="V84" s="196"/>
      <c r="W84" s="196"/>
      <c r="X84" s="196"/>
      <c r="Y84" s="196"/>
      <c r="Z84" s="196"/>
      <c r="AA84" s="196"/>
      <c r="AB84" s="196"/>
    </row>
    <row r="85" spans="1:28" ht="12.9">
      <c r="A85" s="196"/>
      <c r="B85" s="143"/>
      <c r="C85" s="196"/>
      <c r="D85" s="196"/>
      <c r="E85" s="196"/>
      <c r="F85" s="220"/>
      <c r="G85" s="143"/>
      <c r="H85" s="196"/>
      <c r="I85" s="196"/>
      <c r="J85" s="196"/>
      <c r="K85" s="196"/>
      <c r="L85" s="196"/>
      <c r="M85" s="196"/>
      <c r="N85" s="196"/>
      <c r="O85" s="196"/>
      <c r="P85" s="196"/>
      <c r="Q85" s="196"/>
      <c r="R85" s="196"/>
      <c r="S85" s="196"/>
      <c r="T85" s="196"/>
      <c r="U85" s="196"/>
      <c r="V85" s="196"/>
      <c r="W85" s="196"/>
      <c r="X85" s="196"/>
      <c r="Y85" s="196"/>
      <c r="Z85" s="196"/>
      <c r="AA85" s="196"/>
      <c r="AB85" s="196"/>
    </row>
    <row r="86" spans="1:28" ht="12.9">
      <c r="A86" s="196"/>
      <c r="B86" s="143"/>
      <c r="C86" s="196"/>
      <c r="D86" s="196"/>
      <c r="E86" s="196"/>
      <c r="F86" s="220"/>
      <c r="G86" s="143"/>
      <c r="H86" s="196"/>
      <c r="I86" s="196"/>
      <c r="J86" s="196"/>
      <c r="K86" s="196"/>
      <c r="L86" s="196"/>
      <c r="M86" s="196"/>
      <c r="N86" s="196"/>
      <c r="O86" s="196"/>
      <c r="P86" s="196"/>
      <c r="Q86" s="196"/>
      <c r="R86" s="196"/>
      <c r="S86" s="196"/>
      <c r="T86" s="196"/>
      <c r="U86" s="196"/>
      <c r="V86" s="196"/>
      <c r="W86" s="196"/>
      <c r="X86" s="196"/>
      <c r="Y86" s="196"/>
      <c r="Z86" s="196"/>
      <c r="AA86" s="196"/>
      <c r="AB86" s="196"/>
    </row>
    <row r="87" spans="1:28" ht="12.9">
      <c r="A87" s="196"/>
      <c r="B87" s="143"/>
      <c r="C87" s="196"/>
      <c r="D87" s="196"/>
      <c r="E87" s="196"/>
      <c r="F87" s="220"/>
      <c r="G87" s="143"/>
      <c r="H87" s="196"/>
      <c r="I87" s="196"/>
      <c r="J87" s="196"/>
      <c r="K87" s="196"/>
      <c r="L87" s="196"/>
      <c r="M87" s="196"/>
      <c r="N87" s="196"/>
      <c r="O87" s="196"/>
      <c r="P87" s="196"/>
      <c r="Q87" s="196"/>
      <c r="R87" s="196"/>
      <c r="S87" s="196"/>
      <c r="T87" s="196"/>
      <c r="U87" s="196"/>
      <c r="V87" s="196"/>
      <c r="W87" s="196"/>
      <c r="X87" s="196"/>
      <c r="Y87" s="196"/>
      <c r="Z87" s="196"/>
      <c r="AA87" s="196"/>
      <c r="AB87" s="196"/>
    </row>
    <row r="88" spans="1:28" ht="12.9">
      <c r="A88" s="196"/>
      <c r="B88" s="143"/>
      <c r="C88" s="196"/>
      <c r="D88" s="196"/>
      <c r="E88" s="196"/>
      <c r="F88" s="220"/>
      <c r="G88" s="143"/>
      <c r="H88" s="196"/>
      <c r="I88" s="196"/>
      <c r="J88" s="196"/>
      <c r="K88" s="196"/>
      <c r="L88" s="196"/>
      <c r="M88" s="196"/>
      <c r="N88" s="196"/>
      <c r="O88" s="196"/>
      <c r="P88" s="196"/>
      <c r="Q88" s="196"/>
      <c r="R88" s="196"/>
      <c r="S88" s="196"/>
      <c r="T88" s="196"/>
      <c r="U88" s="196"/>
      <c r="V88" s="196"/>
      <c r="W88" s="196"/>
      <c r="X88" s="196"/>
      <c r="Y88" s="196"/>
      <c r="Z88" s="196"/>
      <c r="AA88" s="196"/>
      <c r="AB88" s="196"/>
    </row>
    <row r="89" spans="1:28" ht="12.9">
      <c r="A89" s="196"/>
      <c r="B89" s="143"/>
      <c r="C89" s="196"/>
      <c r="D89" s="196"/>
      <c r="E89" s="196"/>
      <c r="F89" s="220"/>
      <c r="G89" s="143"/>
      <c r="H89" s="196"/>
      <c r="I89" s="196"/>
      <c r="J89" s="196"/>
      <c r="K89" s="196"/>
      <c r="L89" s="196"/>
      <c r="M89" s="196"/>
      <c r="N89" s="196"/>
      <c r="O89" s="196"/>
      <c r="P89" s="196"/>
      <c r="Q89" s="196"/>
      <c r="R89" s="196"/>
      <c r="S89" s="196"/>
      <c r="T89" s="196"/>
      <c r="U89" s="196"/>
      <c r="V89" s="196"/>
      <c r="W89" s="196"/>
      <c r="X89" s="196"/>
      <c r="Y89" s="196"/>
      <c r="Z89" s="196"/>
      <c r="AA89" s="196"/>
      <c r="AB89" s="196"/>
    </row>
    <row r="90" spans="1:28" ht="12.9">
      <c r="A90" s="196"/>
      <c r="B90" s="143"/>
      <c r="C90" s="196"/>
      <c r="D90" s="196"/>
      <c r="E90" s="196"/>
      <c r="F90" s="220"/>
      <c r="G90" s="143"/>
      <c r="H90" s="196"/>
      <c r="I90" s="196"/>
      <c r="J90" s="196"/>
      <c r="K90" s="196"/>
      <c r="L90" s="196"/>
      <c r="M90" s="196"/>
      <c r="N90" s="196"/>
      <c r="O90" s="196"/>
      <c r="P90" s="196"/>
      <c r="Q90" s="196"/>
      <c r="R90" s="196"/>
      <c r="S90" s="196"/>
      <c r="T90" s="196"/>
      <c r="U90" s="196"/>
      <c r="V90" s="196"/>
      <c r="W90" s="196"/>
      <c r="X90" s="196"/>
      <c r="Y90" s="196"/>
      <c r="Z90" s="196"/>
      <c r="AA90" s="196"/>
      <c r="AB90" s="196"/>
    </row>
    <row r="91" spans="1:28" ht="12.9">
      <c r="A91" s="196"/>
      <c r="B91" s="143"/>
      <c r="C91" s="196"/>
      <c r="D91" s="196"/>
      <c r="E91" s="196"/>
      <c r="F91" s="220"/>
      <c r="G91" s="143"/>
      <c r="H91" s="196"/>
      <c r="I91" s="196"/>
      <c r="J91" s="196"/>
      <c r="K91" s="196"/>
      <c r="L91" s="196"/>
      <c r="M91" s="196"/>
      <c r="N91" s="196"/>
      <c r="O91" s="196"/>
      <c r="P91" s="196"/>
      <c r="Q91" s="196"/>
      <c r="R91" s="196"/>
      <c r="S91" s="196"/>
      <c r="T91" s="196"/>
      <c r="U91" s="196"/>
      <c r="V91" s="196"/>
      <c r="W91" s="196"/>
      <c r="X91" s="196"/>
      <c r="Y91" s="196"/>
      <c r="Z91" s="196"/>
      <c r="AA91" s="196"/>
      <c r="AB91" s="196"/>
    </row>
    <row r="92" spans="1:28" ht="12.9">
      <c r="A92" s="196"/>
      <c r="B92" s="143"/>
      <c r="C92" s="196"/>
      <c r="D92" s="196"/>
      <c r="E92" s="196"/>
      <c r="F92" s="220"/>
      <c r="G92" s="143"/>
      <c r="H92" s="196"/>
      <c r="I92" s="196"/>
      <c r="J92" s="196"/>
      <c r="K92" s="196"/>
      <c r="L92" s="196"/>
      <c r="M92" s="196"/>
      <c r="N92" s="196"/>
      <c r="O92" s="196"/>
      <c r="P92" s="196"/>
      <c r="Q92" s="196"/>
      <c r="R92" s="196"/>
      <c r="S92" s="196"/>
      <c r="T92" s="196"/>
      <c r="U92" s="196"/>
      <c r="V92" s="196"/>
      <c r="W92" s="196"/>
      <c r="X92" s="196"/>
      <c r="Y92" s="196"/>
      <c r="Z92" s="196"/>
      <c r="AA92" s="196"/>
      <c r="AB92" s="196"/>
    </row>
    <row r="93" spans="1:28" ht="12.9">
      <c r="A93" s="196"/>
      <c r="B93" s="143"/>
      <c r="C93" s="196"/>
      <c r="D93" s="196"/>
      <c r="E93" s="196"/>
      <c r="F93" s="220"/>
      <c r="G93" s="143"/>
      <c r="H93" s="196"/>
      <c r="I93" s="196"/>
      <c r="J93" s="196"/>
      <c r="K93" s="196"/>
      <c r="L93" s="196"/>
      <c r="M93" s="196"/>
      <c r="N93" s="196"/>
      <c r="O93" s="196"/>
      <c r="P93" s="196"/>
      <c r="Q93" s="196"/>
      <c r="R93" s="196"/>
      <c r="S93" s="196"/>
      <c r="T93" s="196"/>
      <c r="U93" s="196"/>
      <c r="V93" s="196"/>
      <c r="W93" s="196"/>
      <c r="X93" s="196"/>
      <c r="Y93" s="196"/>
      <c r="Z93" s="196"/>
      <c r="AA93" s="196"/>
      <c r="AB93" s="196"/>
    </row>
    <row r="94" spans="1:28" ht="12.9">
      <c r="A94" s="196"/>
      <c r="B94" s="143"/>
      <c r="C94" s="196"/>
      <c r="D94" s="196"/>
      <c r="E94" s="196"/>
      <c r="F94" s="220"/>
      <c r="G94" s="143"/>
      <c r="H94" s="196"/>
      <c r="I94" s="196"/>
      <c r="J94" s="196"/>
      <c r="K94" s="196"/>
      <c r="L94" s="196"/>
      <c r="M94" s="196"/>
      <c r="N94" s="196"/>
      <c r="O94" s="196"/>
      <c r="P94" s="196"/>
      <c r="Q94" s="196"/>
      <c r="R94" s="196"/>
      <c r="S94" s="196"/>
      <c r="T94" s="196"/>
      <c r="U94" s="196"/>
      <c r="V94" s="196"/>
      <c r="W94" s="196"/>
      <c r="X94" s="196"/>
      <c r="Y94" s="196"/>
      <c r="Z94" s="196"/>
      <c r="AA94" s="196"/>
      <c r="AB94" s="196"/>
    </row>
    <row r="95" spans="1:28" ht="12.9">
      <c r="A95" s="196"/>
      <c r="B95" s="143"/>
      <c r="C95" s="196"/>
      <c r="D95" s="196"/>
      <c r="E95" s="196"/>
      <c r="F95" s="220"/>
      <c r="G95" s="143"/>
      <c r="H95" s="196"/>
      <c r="I95" s="196"/>
      <c r="J95" s="196"/>
      <c r="K95" s="196"/>
      <c r="L95" s="196"/>
      <c r="M95" s="196"/>
      <c r="N95" s="196"/>
      <c r="O95" s="196"/>
      <c r="P95" s="196"/>
      <c r="Q95" s="196"/>
      <c r="R95" s="196"/>
      <c r="S95" s="196"/>
      <c r="T95" s="196"/>
      <c r="U95" s="196"/>
      <c r="V95" s="196"/>
      <c r="W95" s="196"/>
      <c r="X95" s="196"/>
      <c r="Y95" s="196"/>
      <c r="Z95" s="196"/>
      <c r="AA95" s="196"/>
      <c r="AB95" s="196"/>
    </row>
    <row r="96" spans="1:28" ht="12.9">
      <c r="A96" s="196"/>
      <c r="B96" s="143"/>
      <c r="C96" s="196"/>
      <c r="D96" s="196"/>
      <c r="E96" s="196"/>
      <c r="F96" s="220"/>
      <c r="G96" s="143"/>
      <c r="H96" s="196"/>
      <c r="I96" s="196"/>
      <c r="J96" s="196"/>
      <c r="K96" s="196"/>
      <c r="L96" s="196"/>
      <c r="M96" s="196"/>
      <c r="N96" s="196"/>
      <c r="O96" s="196"/>
      <c r="P96" s="196"/>
      <c r="Q96" s="196"/>
      <c r="R96" s="196"/>
      <c r="S96" s="196"/>
      <c r="T96" s="196"/>
      <c r="U96" s="196"/>
      <c r="V96" s="196"/>
      <c r="W96" s="196"/>
      <c r="X96" s="196"/>
      <c r="Y96" s="196"/>
      <c r="Z96" s="196"/>
      <c r="AA96" s="196"/>
      <c r="AB96" s="196"/>
    </row>
    <row r="97" spans="1:28" ht="12.9">
      <c r="A97" s="196"/>
      <c r="B97" s="143"/>
      <c r="C97" s="196"/>
      <c r="D97" s="196"/>
      <c r="E97" s="196"/>
      <c r="F97" s="220"/>
      <c r="G97" s="143"/>
      <c r="H97" s="196"/>
      <c r="I97" s="196"/>
      <c r="J97" s="196"/>
      <c r="K97" s="196"/>
      <c r="L97" s="196"/>
      <c r="M97" s="196"/>
      <c r="N97" s="196"/>
      <c r="O97" s="196"/>
      <c r="P97" s="196"/>
      <c r="Q97" s="196"/>
      <c r="R97" s="196"/>
      <c r="S97" s="196"/>
      <c r="T97" s="196"/>
      <c r="U97" s="196"/>
      <c r="V97" s="196"/>
      <c r="W97" s="196"/>
      <c r="X97" s="196"/>
      <c r="Y97" s="196"/>
      <c r="Z97" s="196"/>
      <c r="AA97" s="196"/>
      <c r="AB97" s="196"/>
    </row>
    <row r="98" spans="1:28" ht="12.9">
      <c r="A98" s="196"/>
      <c r="B98" s="143"/>
      <c r="C98" s="196"/>
      <c r="D98" s="196"/>
      <c r="E98" s="196"/>
      <c r="F98" s="220"/>
      <c r="G98" s="143"/>
      <c r="H98" s="196"/>
      <c r="I98" s="196"/>
      <c r="J98" s="196"/>
      <c r="K98" s="196"/>
      <c r="L98" s="196"/>
      <c r="M98" s="196"/>
      <c r="N98" s="196"/>
      <c r="O98" s="196"/>
      <c r="P98" s="196"/>
      <c r="Q98" s="196"/>
      <c r="R98" s="196"/>
      <c r="S98" s="196"/>
      <c r="T98" s="196"/>
      <c r="U98" s="196"/>
      <c r="V98" s="196"/>
      <c r="W98" s="196"/>
      <c r="X98" s="196"/>
      <c r="Y98" s="196"/>
      <c r="Z98" s="196"/>
      <c r="AA98" s="196"/>
      <c r="AB98" s="196"/>
    </row>
    <row r="99" spans="1:28" ht="12.9">
      <c r="A99" s="196"/>
      <c r="B99" s="143"/>
      <c r="C99" s="196"/>
      <c r="D99" s="196"/>
      <c r="E99" s="196"/>
      <c r="F99" s="220"/>
      <c r="G99" s="143"/>
      <c r="H99" s="196"/>
      <c r="I99" s="196"/>
      <c r="J99" s="196"/>
      <c r="K99" s="196"/>
      <c r="L99" s="196"/>
      <c r="M99" s="196"/>
      <c r="N99" s="196"/>
      <c r="O99" s="196"/>
      <c r="P99" s="196"/>
      <c r="Q99" s="196"/>
      <c r="R99" s="196"/>
      <c r="S99" s="196"/>
      <c r="T99" s="196"/>
      <c r="U99" s="196"/>
      <c r="V99" s="196"/>
      <c r="W99" s="196"/>
      <c r="X99" s="196"/>
      <c r="Y99" s="196"/>
      <c r="Z99" s="196"/>
      <c r="AA99" s="196"/>
      <c r="AB99" s="196"/>
    </row>
    <row r="100" spans="1:28" ht="12.9">
      <c r="A100" s="196"/>
      <c r="B100" s="143"/>
      <c r="C100" s="196"/>
      <c r="D100" s="196"/>
      <c r="E100" s="196"/>
      <c r="F100" s="220"/>
      <c r="G100" s="143"/>
      <c r="H100" s="196"/>
      <c r="I100" s="196"/>
      <c r="J100" s="196"/>
      <c r="K100" s="196"/>
      <c r="L100" s="196"/>
      <c r="M100" s="196"/>
      <c r="N100" s="196"/>
      <c r="O100" s="196"/>
      <c r="P100" s="196"/>
      <c r="Q100" s="196"/>
      <c r="R100" s="196"/>
      <c r="S100" s="196"/>
      <c r="T100" s="196"/>
      <c r="U100" s="196"/>
      <c r="V100" s="196"/>
      <c r="W100" s="196"/>
      <c r="X100" s="196"/>
      <c r="Y100" s="196"/>
      <c r="Z100" s="196"/>
      <c r="AA100" s="196"/>
      <c r="AB100" s="196"/>
    </row>
    <row r="101" spans="1:28" ht="12.9">
      <c r="A101" s="196"/>
      <c r="B101" s="143"/>
      <c r="C101" s="196"/>
      <c r="D101" s="196"/>
      <c r="E101" s="196"/>
      <c r="F101" s="220"/>
      <c r="G101" s="143"/>
      <c r="H101" s="196"/>
      <c r="I101" s="196"/>
      <c r="J101" s="196"/>
      <c r="K101" s="196"/>
      <c r="L101" s="196"/>
      <c r="M101" s="196"/>
      <c r="N101" s="196"/>
      <c r="O101" s="196"/>
      <c r="P101" s="196"/>
      <c r="Q101" s="196"/>
      <c r="R101" s="196"/>
      <c r="S101" s="196"/>
      <c r="T101" s="196"/>
      <c r="U101" s="196"/>
      <c r="V101" s="196"/>
      <c r="W101" s="196"/>
      <c r="X101" s="196"/>
      <c r="Y101" s="196"/>
      <c r="Z101" s="196"/>
      <c r="AA101" s="196"/>
      <c r="AB101" s="196"/>
    </row>
    <row r="102" spans="1:28" ht="12.9">
      <c r="A102" s="196"/>
      <c r="B102" s="143"/>
      <c r="C102" s="196"/>
      <c r="D102" s="196"/>
      <c r="E102" s="196"/>
      <c r="F102" s="220"/>
      <c r="G102" s="143"/>
      <c r="H102" s="196"/>
      <c r="I102" s="196"/>
      <c r="J102" s="196"/>
      <c r="K102" s="196"/>
      <c r="L102" s="196"/>
      <c r="M102" s="196"/>
      <c r="N102" s="196"/>
      <c r="O102" s="196"/>
      <c r="P102" s="196"/>
      <c r="Q102" s="196"/>
      <c r="R102" s="196"/>
      <c r="S102" s="196"/>
      <c r="T102" s="196"/>
      <c r="U102" s="196"/>
      <c r="V102" s="196"/>
      <c r="W102" s="196"/>
      <c r="X102" s="196"/>
      <c r="Y102" s="196"/>
      <c r="Z102" s="196"/>
      <c r="AA102" s="196"/>
      <c r="AB102" s="196"/>
    </row>
    <row r="103" spans="1:28" ht="12.9">
      <c r="A103" s="196"/>
      <c r="B103" s="143"/>
      <c r="C103" s="196"/>
      <c r="D103" s="196"/>
      <c r="E103" s="196"/>
      <c r="F103" s="220"/>
      <c r="G103" s="143"/>
      <c r="H103" s="196"/>
      <c r="I103" s="196"/>
      <c r="J103" s="196"/>
      <c r="K103" s="196"/>
      <c r="L103" s="196"/>
      <c r="M103" s="196"/>
      <c r="N103" s="196"/>
      <c r="O103" s="196"/>
      <c r="P103" s="196"/>
      <c r="Q103" s="196"/>
      <c r="R103" s="196"/>
      <c r="S103" s="196"/>
      <c r="T103" s="196"/>
      <c r="U103" s="196"/>
      <c r="V103" s="196"/>
      <c r="W103" s="196"/>
      <c r="X103" s="196"/>
      <c r="Y103" s="196"/>
      <c r="Z103" s="196"/>
      <c r="AA103" s="196"/>
      <c r="AB103" s="196"/>
    </row>
    <row r="104" spans="1:28" ht="12.9">
      <c r="A104" s="196"/>
      <c r="B104" s="143"/>
      <c r="C104" s="196"/>
      <c r="D104" s="196"/>
      <c r="E104" s="196"/>
      <c r="F104" s="220"/>
      <c r="G104" s="143"/>
      <c r="H104" s="196"/>
      <c r="I104" s="196"/>
      <c r="J104" s="196"/>
      <c r="K104" s="196"/>
      <c r="L104" s="196"/>
      <c r="M104" s="196"/>
      <c r="N104" s="196"/>
      <c r="O104" s="196"/>
      <c r="P104" s="196"/>
      <c r="Q104" s="196"/>
      <c r="R104" s="196"/>
      <c r="S104" s="196"/>
      <c r="T104" s="196"/>
      <c r="U104" s="196"/>
      <c r="V104" s="196"/>
      <c r="W104" s="196"/>
      <c r="X104" s="196"/>
      <c r="Y104" s="196"/>
      <c r="Z104" s="196"/>
      <c r="AA104" s="196"/>
      <c r="AB104" s="196"/>
    </row>
    <row r="105" spans="1:28" ht="12.9">
      <c r="A105" s="196"/>
      <c r="B105" s="143"/>
      <c r="C105" s="196"/>
      <c r="D105" s="196"/>
      <c r="E105" s="196"/>
      <c r="F105" s="220"/>
      <c r="G105" s="143"/>
      <c r="H105" s="196"/>
      <c r="I105" s="196"/>
      <c r="J105" s="196"/>
      <c r="K105" s="196"/>
      <c r="L105" s="196"/>
      <c r="M105" s="196"/>
      <c r="N105" s="196"/>
      <c r="O105" s="196"/>
      <c r="P105" s="196"/>
      <c r="Q105" s="196"/>
      <c r="R105" s="196"/>
      <c r="S105" s="196"/>
      <c r="T105" s="196"/>
      <c r="U105" s="196"/>
      <c r="V105" s="196"/>
      <c r="W105" s="196"/>
      <c r="X105" s="196"/>
      <c r="Y105" s="196"/>
      <c r="Z105" s="196"/>
      <c r="AA105" s="196"/>
      <c r="AB105" s="196"/>
    </row>
    <row r="106" spans="1:28" ht="12.9">
      <c r="A106" s="196"/>
      <c r="B106" s="143"/>
      <c r="C106" s="196"/>
      <c r="D106" s="196"/>
      <c r="E106" s="196"/>
      <c r="F106" s="220"/>
      <c r="G106" s="143"/>
      <c r="H106" s="196"/>
      <c r="I106" s="196"/>
      <c r="J106" s="196"/>
      <c r="K106" s="196"/>
      <c r="L106" s="196"/>
      <c r="M106" s="196"/>
      <c r="N106" s="196"/>
      <c r="O106" s="196"/>
      <c r="P106" s="196"/>
      <c r="Q106" s="196"/>
      <c r="R106" s="196"/>
      <c r="S106" s="196"/>
      <c r="T106" s="196"/>
      <c r="U106" s="196"/>
      <c r="V106" s="196"/>
      <c r="W106" s="196"/>
      <c r="X106" s="196"/>
      <c r="Y106" s="196"/>
      <c r="Z106" s="196"/>
      <c r="AA106" s="196"/>
      <c r="AB106" s="196"/>
    </row>
    <row r="107" spans="1:28" ht="12.9">
      <c r="A107" s="196"/>
      <c r="B107" s="143"/>
      <c r="C107" s="196"/>
      <c r="D107" s="196"/>
      <c r="E107" s="196"/>
      <c r="F107" s="220"/>
      <c r="G107" s="143"/>
      <c r="H107" s="196"/>
      <c r="I107" s="196"/>
      <c r="J107" s="196"/>
      <c r="K107" s="196"/>
      <c r="L107" s="196"/>
      <c r="M107" s="196"/>
      <c r="N107" s="196"/>
      <c r="O107" s="196"/>
      <c r="P107" s="196"/>
      <c r="Q107" s="196"/>
      <c r="R107" s="196"/>
      <c r="S107" s="196"/>
      <c r="T107" s="196"/>
      <c r="U107" s="196"/>
      <c r="V107" s="196"/>
      <c r="W107" s="196"/>
      <c r="X107" s="196"/>
      <c r="Y107" s="196"/>
      <c r="Z107" s="196"/>
      <c r="AA107" s="196"/>
      <c r="AB107" s="196"/>
    </row>
    <row r="108" spans="1:28" ht="12.9">
      <c r="A108" s="196"/>
      <c r="B108" s="143"/>
      <c r="C108" s="196"/>
      <c r="D108" s="196"/>
      <c r="E108" s="196"/>
      <c r="F108" s="220"/>
      <c r="G108" s="143"/>
      <c r="H108" s="196"/>
      <c r="I108" s="196"/>
      <c r="J108" s="196"/>
      <c r="K108" s="196"/>
      <c r="L108" s="196"/>
      <c r="M108" s="196"/>
      <c r="N108" s="196"/>
      <c r="O108" s="196"/>
      <c r="P108" s="196"/>
      <c r="Q108" s="196"/>
      <c r="R108" s="196"/>
      <c r="S108" s="196"/>
      <c r="T108" s="196"/>
      <c r="U108" s="196"/>
      <c r="V108" s="196"/>
      <c r="W108" s="196"/>
      <c r="X108" s="196"/>
      <c r="Y108" s="196"/>
      <c r="Z108" s="196"/>
      <c r="AA108" s="196"/>
      <c r="AB108" s="196"/>
    </row>
    <row r="109" spans="1:28" ht="12.9">
      <c r="A109" s="196"/>
      <c r="B109" s="143"/>
      <c r="C109" s="196"/>
      <c r="D109" s="196"/>
      <c r="E109" s="196"/>
      <c r="F109" s="220"/>
      <c r="G109" s="143"/>
      <c r="H109" s="196"/>
      <c r="I109" s="196"/>
      <c r="J109" s="196"/>
      <c r="K109" s="196"/>
      <c r="L109" s="196"/>
      <c r="M109" s="196"/>
      <c r="N109" s="196"/>
      <c r="O109" s="196"/>
      <c r="P109" s="196"/>
      <c r="Q109" s="196"/>
      <c r="R109" s="196"/>
      <c r="S109" s="196"/>
      <c r="T109" s="196"/>
      <c r="U109" s="196"/>
      <c r="V109" s="196"/>
      <c r="W109" s="196"/>
      <c r="X109" s="196"/>
      <c r="Y109" s="196"/>
      <c r="Z109" s="196"/>
      <c r="AA109" s="196"/>
      <c r="AB109" s="196"/>
    </row>
    <row r="110" spans="1:28" ht="12.9">
      <c r="A110" s="196"/>
      <c r="B110" s="143"/>
      <c r="C110" s="196"/>
      <c r="D110" s="196"/>
      <c r="E110" s="196"/>
      <c r="F110" s="220"/>
      <c r="G110" s="143"/>
      <c r="H110" s="196"/>
      <c r="I110" s="196"/>
      <c r="J110" s="196"/>
      <c r="K110" s="196"/>
      <c r="L110" s="196"/>
      <c r="M110" s="196"/>
      <c r="N110" s="196"/>
      <c r="O110" s="196"/>
      <c r="P110" s="196"/>
      <c r="Q110" s="196"/>
      <c r="R110" s="196"/>
      <c r="S110" s="196"/>
      <c r="T110" s="196"/>
      <c r="U110" s="196"/>
      <c r="V110" s="196"/>
      <c r="W110" s="196"/>
      <c r="X110" s="196"/>
      <c r="Y110" s="196"/>
      <c r="Z110" s="196"/>
      <c r="AA110" s="196"/>
      <c r="AB110" s="196"/>
    </row>
    <row r="111" spans="1:28" ht="12.9">
      <c r="A111" s="196"/>
      <c r="B111" s="143"/>
      <c r="C111" s="196"/>
      <c r="D111" s="196"/>
      <c r="E111" s="196"/>
      <c r="F111" s="220"/>
      <c r="G111" s="143"/>
      <c r="H111" s="196"/>
      <c r="I111" s="196"/>
      <c r="J111" s="196"/>
      <c r="K111" s="196"/>
      <c r="L111" s="196"/>
      <c r="M111" s="196"/>
      <c r="N111" s="196"/>
      <c r="O111" s="196"/>
      <c r="P111" s="196"/>
      <c r="Q111" s="196"/>
      <c r="R111" s="196"/>
      <c r="S111" s="196"/>
      <c r="T111" s="196"/>
      <c r="U111" s="196"/>
      <c r="V111" s="196"/>
      <c r="W111" s="196"/>
      <c r="X111" s="196"/>
      <c r="Y111" s="196"/>
      <c r="Z111" s="196"/>
      <c r="AA111" s="196"/>
      <c r="AB111" s="196"/>
    </row>
    <row r="112" spans="1:28" ht="12.9">
      <c r="A112" s="196"/>
      <c r="B112" s="143"/>
      <c r="C112" s="196"/>
      <c r="D112" s="196"/>
      <c r="E112" s="196"/>
      <c r="F112" s="220"/>
      <c r="G112" s="143"/>
      <c r="H112" s="196"/>
      <c r="I112" s="196"/>
      <c r="J112" s="196"/>
      <c r="K112" s="196"/>
      <c r="L112" s="196"/>
      <c r="M112" s="196"/>
      <c r="N112" s="196"/>
      <c r="O112" s="196"/>
      <c r="P112" s="196"/>
      <c r="Q112" s="196"/>
      <c r="R112" s="196"/>
      <c r="S112" s="196"/>
      <c r="T112" s="196"/>
      <c r="U112" s="196"/>
      <c r="V112" s="196"/>
      <c r="W112" s="196"/>
      <c r="X112" s="196"/>
      <c r="Y112" s="196"/>
      <c r="Z112" s="196"/>
      <c r="AA112" s="196"/>
      <c r="AB112" s="196"/>
    </row>
    <row r="113" spans="1:28" ht="12.9">
      <c r="A113" s="196"/>
      <c r="B113" s="143"/>
      <c r="C113" s="196"/>
      <c r="D113" s="196"/>
      <c r="E113" s="196"/>
      <c r="F113" s="220"/>
      <c r="G113" s="143"/>
      <c r="H113" s="196"/>
      <c r="I113" s="196"/>
      <c r="J113" s="196"/>
      <c r="K113" s="196"/>
      <c r="L113" s="196"/>
      <c r="M113" s="196"/>
      <c r="N113" s="196"/>
      <c r="O113" s="196"/>
      <c r="P113" s="196"/>
      <c r="Q113" s="196"/>
      <c r="R113" s="196"/>
      <c r="S113" s="196"/>
      <c r="T113" s="196"/>
      <c r="U113" s="196"/>
      <c r="V113" s="196"/>
      <c r="W113" s="196"/>
      <c r="X113" s="196"/>
      <c r="Y113" s="196"/>
      <c r="Z113" s="196"/>
      <c r="AA113" s="196"/>
      <c r="AB113" s="196"/>
    </row>
    <row r="114" spans="1:28" ht="12.9">
      <c r="A114" s="196"/>
      <c r="B114" s="143"/>
      <c r="C114" s="196"/>
      <c r="D114" s="196"/>
      <c r="E114" s="196"/>
      <c r="F114" s="220"/>
      <c r="G114" s="143"/>
      <c r="H114" s="196"/>
      <c r="I114" s="196"/>
      <c r="J114" s="196"/>
      <c r="K114" s="196"/>
      <c r="L114" s="196"/>
      <c r="M114" s="196"/>
      <c r="N114" s="196"/>
      <c r="O114" s="196"/>
      <c r="P114" s="196"/>
      <c r="Q114" s="196"/>
      <c r="R114" s="196"/>
      <c r="S114" s="196"/>
      <c r="T114" s="196"/>
      <c r="U114" s="196"/>
      <c r="V114" s="196"/>
      <c r="W114" s="196"/>
      <c r="X114" s="196"/>
      <c r="Y114" s="196"/>
      <c r="Z114" s="196"/>
      <c r="AA114" s="196"/>
      <c r="AB114" s="196"/>
    </row>
    <row r="115" spans="1:28" ht="12.9">
      <c r="A115" s="196"/>
      <c r="B115" s="143"/>
      <c r="C115" s="196"/>
      <c r="D115" s="196"/>
      <c r="E115" s="196"/>
      <c r="F115" s="220"/>
      <c r="G115" s="143"/>
      <c r="H115" s="196"/>
      <c r="I115" s="196"/>
      <c r="J115" s="196"/>
      <c r="K115" s="196"/>
      <c r="L115" s="196"/>
      <c r="M115" s="196"/>
      <c r="N115" s="196"/>
      <c r="O115" s="196"/>
      <c r="P115" s="196"/>
      <c r="Q115" s="196"/>
      <c r="R115" s="196"/>
      <c r="S115" s="196"/>
      <c r="T115" s="196"/>
      <c r="U115" s="196"/>
      <c r="V115" s="196"/>
      <c r="W115" s="196"/>
      <c r="X115" s="196"/>
      <c r="Y115" s="196"/>
      <c r="Z115" s="196"/>
      <c r="AA115" s="196"/>
      <c r="AB115" s="196"/>
    </row>
    <row r="116" spans="1:28" ht="12.9">
      <c r="A116" s="196"/>
      <c r="B116" s="143"/>
      <c r="C116" s="196"/>
      <c r="D116" s="196"/>
      <c r="E116" s="196"/>
      <c r="F116" s="220"/>
      <c r="G116" s="143"/>
      <c r="H116" s="196"/>
      <c r="I116" s="196"/>
      <c r="J116" s="196"/>
      <c r="K116" s="196"/>
      <c r="L116" s="196"/>
      <c r="M116" s="196"/>
      <c r="N116" s="196"/>
      <c r="O116" s="196"/>
      <c r="P116" s="196"/>
      <c r="Q116" s="196"/>
      <c r="R116" s="196"/>
      <c r="S116" s="196"/>
      <c r="T116" s="196"/>
      <c r="U116" s="196"/>
      <c r="V116" s="196"/>
      <c r="W116" s="196"/>
      <c r="X116" s="196"/>
      <c r="Y116" s="196"/>
      <c r="Z116" s="196"/>
      <c r="AA116" s="196"/>
      <c r="AB116" s="196"/>
    </row>
    <row r="117" spans="1:28" ht="12.9">
      <c r="A117" s="196"/>
      <c r="B117" s="143"/>
      <c r="C117" s="196"/>
      <c r="D117" s="196"/>
      <c r="E117" s="196"/>
      <c r="F117" s="220"/>
      <c r="G117" s="143"/>
      <c r="H117" s="196"/>
      <c r="I117" s="196"/>
      <c r="J117" s="196"/>
      <c r="K117" s="196"/>
      <c r="L117" s="196"/>
      <c r="M117" s="196"/>
      <c r="N117" s="196"/>
      <c r="O117" s="196"/>
      <c r="P117" s="196"/>
      <c r="Q117" s="196"/>
      <c r="R117" s="196"/>
      <c r="S117" s="196"/>
      <c r="T117" s="196"/>
      <c r="U117" s="196"/>
      <c r="V117" s="196"/>
      <c r="W117" s="196"/>
      <c r="X117" s="196"/>
      <c r="Y117" s="196"/>
      <c r="Z117" s="196"/>
      <c r="AA117" s="196"/>
      <c r="AB117" s="196"/>
    </row>
    <row r="118" spans="1:28" ht="12.9">
      <c r="A118" s="196"/>
      <c r="B118" s="143"/>
      <c r="C118" s="196"/>
      <c r="D118" s="196"/>
      <c r="E118" s="196"/>
      <c r="F118" s="220"/>
      <c r="G118" s="143"/>
      <c r="H118" s="196"/>
      <c r="I118" s="196"/>
      <c r="J118" s="196"/>
      <c r="K118" s="196"/>
      <c r="L118" s="196"/>
      <c r="M118" s="196"/>
      <c r="N118" s="196"/>
      <c r="O118" s="196"/>
      <c r="P118" s="196"/>
      <c r="Q118" s="196"/>
      <c r="R118" s="196"/>
      <c r="S118" s="196"/>
      <c r="T118" s="196"/>
      <c r="U118" s="196"/>
      <c r="V118" s="196"/>
      <c r="W118" s="196"/>
      <c r="X118" s="196"/>
      <c r="Y118" s="196"/>
      <c r="Z118" s="196"/>
      <c r="AA118" s="196"/>
      <c r="AB118" s="196"/>
    </row>
    <row r="119" spans="1:28" ht="12.9">
      <c r="A119" s="196"/>
      <c r="B119" s="143"/>
      <c r="C119" s="196"/>
      <c r="D119" s="196"/>
      <c r="E119" s="196"/>
      <c r="F119" s="220"/>
      <c r="G119" s="143"/>
      <c r="H119" s="196"/>
      <c r="I119" s="196"/>
      <c r="J119" s="196"/>
      <c r="K119" s="196"/>
      <c r="L119" s="196"/>
      <c r="M119" s="196"/>
      <c r="N119" s="196"/>
      <c r="O119" s="196"/>
      <c r="P119" s="196"/>
      <c r="Q119" s="196"/>
      <c r="R119" s="196"/>
      <c r="S119" s="196"/>
      <c r="T119" s="196"/>
      <c r="U119" s="196"/>
      <c r="V119" s="196"/>
      <c r="W119" s="196"/>
      <c r="X119" s="196"/>
      <c r="Y119" s="196"/>
      <c r="Z119" s="196"/>
      <c r="AA119" s="196"/>
      <c r="AB119" s="196"/>
    </row>
    <row r="120" spans="1:28" ht="12.9">
      <c r="A120" s="196"/>
      <c r="B120" s="143"/>
      <c r="C120" s="196"/>
      <c r="D120" s="196"/>
      <c r="E120" s="196"/>
      <c r="F120" s="220"/>
      <c r="G120" s="143"/>
      <c r="H120" s="196"/>
      <c r="I120" s="196"/>
      <c r="J120" s="196"/>
      <c r="K120" s="196"/>
      <c r="L120" s="196"/>
      <c r="M120" s="196"/>
      <c r="N120" s="196"/>
      <c r="O120" s="196"/>
      <c r="P120" s="196"/>
      <c r="Q120" s="196"/>
      <c r="R120" s="196"/>
      <c r="S120" s="196"/>
      <c r="T120" s="196"/>
      <c r="U120" s="196"/>
      <c r="V120" s="196"/>
      <c r="W120" s="196"/>
      <c r="X120" s="196"/>
      <c r="Y120" s="196"/>
      <c r="Z120" s="196"/>
      <c r="AA120" s="196"/>
      <c r="AB120" s="196"/>
    </row>
    <row r="121" spans="1:28" ht="12.9">
      <c r="A121" s="196"/>
      <c r="B121" s="143"/>
      <c r="C121" s="196"/>
      <c r="D121" s="196"/>
      <c r="E121" s="196"/>
      <c r="F121" s="220"/>
      <c r="G121" s="143"/>
      <c r="H121" s="196"/>
      <c r="I121" s="196"/>
      <c r="J121" s="196"/>
      <c r="K121" s="196"/>
      <c r="L121" s="196"/>
      <c r="M121" s="196"/>
      <c r="N121" s="196"/>
      <c r="O121" s="196"/>
      <c r="P121" s="196"/>
      <c r="Q121" s="196"/>
      <c r="R121" s="196"/>
      <c r="S121" s="196"/>
      <c r="T121" s="196"/>
      <c r="U121" s="196"/>
      <c r="V121" s="196"/>
      <c r="W121" s="196"/>
      <c r="X121" s="196"/>
      <c r="Y121" s="196"/>
      <c r="Z121" s="196"/>
      <c r="AA121" s="196"/>
      <c r="AB121" s="196"/>
    </row>
    <row r="122" spans="1:28" ht="12.9">
      <c r="A122" s="196"/>
      <c r="B122" s="143"/>
      <c r="C122" s="196"/>
      <c r="D122" s="196"/>
      <c r="E122" s="196"/>
      <c r="F122" s="220"/>
      <c r="G122" s="143"/>
      <c r="H122" s="196"/>
      <c r="I122" s="196"/>
      <c r="J122" s="196"/>
      <c r="K122" s="196"/>
      <c r="L122" s="196"/>
      <c r="M122" s="196"/>
      <c r="N122" s="196"/>
      <c r="O122" s="196"/>
      <c r="P122" s="196"/>
      <c r="Q122" s="196"/>
      <c r="R122" s="196"/>
      <c r="S122" s="196"/>
      <c r="T122" s="196"/>
      <c r="U122" s="196"/>
      <c r="V122" s="196"/>
      <c r="W122" s="196"/>
      <c r="X122" s="196"/>
      <c r="Y122" s="196"/>
      <c r="Z122" s="196"/>
      <c r="AA122" s="196"/>
      <c r="AB122" s="196"/>
    </row>
    <row r="123" spans="1:28" ht="12.9">
      <c r="A123" s="196"/>
      <c r="B123" s="143"/>
      <c r="C123" s="196"/>
      <c r="D123" s="196"/>
      <c r="E123" s="196"/>
      <c r="F123" s="220"/>
      <c r="G123" s="143"/>
      <c r="H123" s="196"/>
      <c r="I123" s="196"/>
      <c r="J123" s="196"/>
      <c r="K123" s="196"/>
      <c r="L123" s="196"/>
      <c r="M123" s="196"/>
      <c r="N123" s="196"/>
      <c r="O123" s="196"/>
      <c r="P123" s="196"/>
      <c r="Q123" s="196"/>
      <c r="R123" s="196"/>
      <c r="S123" s="196"/>
      <c r="T123" s="196"/>
      <c r="U123" s="196"/>
      <c r="V123" s="196"/>
      <c r="W123" s="196"/>
      <c r="X123" s="196"/>
      <c r="Y123" s="196"/>
      <c r="Z123" s="196"/>
      <c r="AA123" s="196"/>
      <c r="AB123" s="196"/>
    </row>
    <row r="124" spans="1:28" ht="12.9">
      <c r="A124" s="196"/>
      <c r="B124" s="143"/>
      <c r="C124" s="196"/>
      <c r="D124" s="196"/>
      <c r="E124" s="196"/>
      <c r="F124" s="220"/>
      <c r="G124" s="143"/>
      <c r="H124" s="196"/>
      <c r="I124" s="196"/>
      <c r="J124" s="196"/>
      <c r="K124" s="196"/>
      <c r="L124" s="196"/>
      <c r="M124" s="196"/>
      <c r="N124" s="196"/>
      <c r="O124" s="196"/>
      <c r="P124" s="196"/>
      <c r="Q124" s="196"/>
      <c r="R124" s="196"/>
      <c r="S124" s="196"/>
      <c r="T124" s="196"/>
      <c r="U124" s="196"/>
      <c r="V124" s="196"/>
      <c r="W124" s="196"/>
      <c r="X124" s="196"/>
      <c r="Y124" s="196"/>
      <c r="Z124" s="196"/>
      <c r="AA124" s="196"/>
      <c r="AB124" s="196"/>
    </row>
    <row r="125" spans="1:28" ht="12.9">
      <c r="A125" s="196"/>
      <c r="B125" s="143"/>
      <c r="C125" s="196"/>
      <c r="D125" s="196"/>
      <c r="E125" s="196"/>
      <c r="F125" s="220"/>
      <c r="G125" s="143"/>
      <c r="H125" s="196"/>
      <c r="I125" s="196"/>
      <c r="J125" s="196"/>
      <c r="K125" s="196"/>
      <c r="L125" s="196"/>
      <c r="M125" s="196"/>
      <c r="N125" s="196"/>
      <c r="O125" s="196"/>
      <c r="P125" s="196"/>
      <c r="Q125" s="196"/>
      <c r="R125" s="196"/>
      <c r="S125" s="196"/>
      <c r="T125" s="196"/>
      <c r="U125" s="196"/>
      <c r="V125" s="196"/>
      <c r="W125" s="196"/>
      <c r="X125" s="196"/>
      <c r="Y125" s="196"/>
      <c r="Z125" s="196"/>
      <c r="AA125" s="196"/>
      <c r="AB125" s="196"/>
    </row>
    <row r="126" spans="1:28" ht="12.9">
      <c r="A126" s="196"/>
      <c r="B126" s="143"/>
      <c r="C126" s="196"/>
      <c r="D126" s="196"/>
      <c r="E126" s="196"/>
      <c r="F126" s="220"/>
      <c r="G126" s="143"/>
      <c r="H126" s="196"/>
      <c r="I126" s="196"/>
      <c r="J126" s="196"/>
      <c r="K126" s="196"/>
      <c r="L126" s="196"/>
      <c r="M126" s="196"/>
      <c r="N126" s="196"/>
      <c r="O126" s="196"/>
      <c r="P126" s="196"/>
      <c r="Q126" s="196"/>
      <c r="R126" s="196"/>
      <c r="S126" s="196"/>
      <c r="T126" s="196"/>
      <c r="U126" s="196"/>
      <c r="V126" s="196"/>
      <c r="W126" s="196"/>
      <c r="X126" s="196"/>
      <c r="Y126" s="196"/>
      <c r="Z126" s="196"/>
      <c r="AA126" s="196"/>
      <c r="AB126" s="196"/>
    </row>
    <row r="127" spans="1:28" ht="12.9">
      <c r="A127" s="196"/>
      <c r="B127" s="143"/>
      <c r="C127" s="196"/>
      <c r="D127" s="196"/>
      <c r="E127" s="196"/>
      <c r="F127" s="220"/>
      <c r="G127" s="143"/>
      <c r="H127" s="196"/>
      <c r="I127" s="196"/>
      <c r="J127" s="196"/>
      <c r="K127" s="196"/>
      <c r="L127" s="196"/>
      <c r="M127" s="196"/>
      <c r="N127" s="196"/>
      <c r="O127" s="196"/>
      <c r="P127" s="196"/>
      <c r="Q127" s="196"/>
      <c r="R127" s="196"/>
      <c r="S127" s="196"/>
      <c r="T127" s="196"/>
      <c r="U127" s="196"/>
      <c r="V127" s="196"/>
      <c r="W127" s="196"/>
      <c r="X127" s="196"/>
      <c r="Y127" s="196"/>
      <c r="Z127" s="196"/>
      <c r="AA127" s="196"/>
      <c r="AB127" s="196"/>
    </row>
    <row r="128" spans="1:28" ht="12.9">
      <c r="A128" s="196"/>
      <c r="B128" s="143"/>
      <c r="C128" s="196"/>
      <c r="D128" s="196"/>
      <c r="E128" s="196"/>
      <c r="F128" s="220"/>
      <c r="G128" s="143"/>
      <c r="H128" s="196"/>
      <c r="I128" s="196"/>
      <c r="J128" s="196"/>
      <c r="K128" s="196"/>
      <c r="L128" s="196"/>
      <c r="M128" s="196"/>
      <c r="N128" s="196"/>
      <c r="O128" s="196"/>
      <c r="P128" s="196"/>
      <c r="Q128" s="196"/>
      <c r="R128" s="196"/>
      <c r="S128" s="196"/>
      <c r="T128" s="196"/>
      <c r="U128" s="196"/>
      <c r="V128" s="196"/>
      <c r="W128" s="196"/>
      <c r="X128" s="196"/>
      <c r="Y128" s="196"/>
      <c r="Z128" s="196"/>
      <c r="AA128" s="196"/>
      <c r="AB128" s="196"/>
    </row>
    <row r="129" spans="1:28" ht="12.9">
      <c r="A129" s="196"/>
      <c r="B129" s="143"/>
      <c r="C129" s="196"/>
      <c r="D129" s="196"/>
      <c r="E129" s="196"/>
      <c r="F129" s="220"/>
      <c r="G129" s="143"/>
      <c r="H129" s="196"/>
      <c r="I129" s="196"/>
      <c r="J129" s="196"/>
      <c r="K129" s="196"/>
      <c r="L129" s="196"/>
      <c r="M129" s="196"/>
      <c r="N129" s="196"/>
      <c r="O129" s="196"/>
      <c r="P129" s="196"/>
      <c r="Q129" s="196"/>
      <c r="R129" s="196"/>
      <c r="S129" s="196"/>
      <c r="T129" s="196"/>
      <c r="U129" s="196"/>
      <c r="V129" s="196"/>
      <c r="W129" s="196"/>
      <c r="X129" s="196"/>
      <c r="Y129" s="196"/>
      <c r="Z129" s="196"/>
      <c r="AA129" s="196"/>
      <c r="AB129" s="196"/>
    </row>
    <row r="130" spans="1:28" ht="12.9">
      <c r="A130" s="196"/>
      <c r="B130" s="143"/>
      <c r="C130" s="196"/>
      <c r="D130" s="196"/>
      <c r="E130" s="196"/>
      <c r="F130" s="220"/>
      <c r="G130" s="143"/>
      <c r="H130" s="196"/>
      <c r="I130" s="196"/>
      <c r="J130" s="196"/>
      <c r="K130" s="196"/>
      <c r="L130" s="196"/>
      <c r="M130" s="196"/>
      <c r="N130" s="196"/>
      <c r="O130" s="196"/>
      <c r="P130" s="196"/>
      <c r="Q130" s="196"/>
      <c r="R130" s="196"/>
      <c r="S130" s="196"/>
      <c r="T130" s="196"/>
      <c r="U130" s="196"/>
      <c r="V130" s="196"/>
      <c r="W130" s="196"/>
      <c r="X130" s="196"/>
      <c r="Y130" s="196"/>
      <c r="Z130" s="196"/>
      <c r="AA130" s="196"/>
      <c r="AB130" s="196"/>
    </row>
    <row r="131" spans="1:28" ht="12.9">
      <c r="A131" s="196"/>
      <c r="B131" s="143"/>
      <c r="C131" s="196"/>
      <c r="D131" s="196"/>
      <c r="E131" s="196"/>
      <c r="F131" s="220"/>
      <c r="G131" s="143"/>
      <c r="H131" s="196"/>
      <c r="I131" s="196"/>
      <c r="J131" s="196"/>
      <c r="K131" s="196"/>
      <c r="L131" s="196"/>
      <c r="M131" s="196"/>
      <c r="N131" s="196"/>
      <c r="O131" s="196"/>
      <c r="P131" s="196"/>
      <c r="Q131" s="196"/>
      <c r="R131" s="196"/>
      <c r="S131" s="196"/>
      <c r="T131" s="196"/>
      <c r="U131" s="196"/>
      <c r="V131" s="196"/>
      <c r="W131" s="196"/>
      <c r="X131" s="196"/>
      <c r="Y131" s="196"/>
      <c r="Z131" s="196"/>
      <c r="AA131" s="196"/>
      <c r="AB131" s="196"/>
    </row>
    <row r="132" spans="1:28" ht="12.9">
      <c r="A132" s="196"/>
      <c r="B132" s="143"/>
      <c r="C132" s="196"/>
      <c r="D132" s="196"/>
      <c r="E132" s="196"/>
      <c r="F132" s="220"/>
      <c r="G132" s="143"/>
      <c r="H132" s="196"/>
      <c r="I132" s="196"/>
      <c r="J132" s="196"/>
      <c r="K132" s="196"/>
      <c r="L132" s="196"/>
      <c r="M132" s="196"/>
      <c r="N132" s="196"/>
      <c r="O132" s="196"/>
      <c r="P132" s="196"/>
      <c r="Q132" s="196"/>
      <c r="R132" s="196"/>
      <c r="S132" s="196"/>
      <c r="T132" s="196"/>
      <c r="U132" s="196"/>
      <c r="V132" s="196"/>
      <c r="W132" s="196"/>
      <c r="X132" s="196"/>
      <c r="Y132" s="196"/>
      <c r="Z132" s="196"/>
      <c r="AA132" s="196"/>
      <c r="AB132" s="196"/>
    </row>
    <row r="133" spans="1:28" ht="12.9">
      <c r="A133" s="196"/>
      <c r="B133" s="143"/>
      <c r="C133" s="196"/>
      <c r="D133" s="196"/>
      <c r="E133" s="196"/>
      <c r="F133" s="220"/>
      <c r="G133" s="143"/>
      <c r="H133" s="196"/>
      <c r="I133" s="196"/>
      <c r="J133" s="196"/>
      <c r="K133" s="196"/>
      <c r="L133" s="196"/>
      <c r="M133" s="196"/>
      <c r="N133" s="196"/>
      <c r="O133" s="196"/>
      <c r="P133" s="196"/>
      <c r="Q133" s="196"/>
      <c r="R133" s="196"/>
      <c r="S133" s="196"/>
      <c r="T133" s="196"/>
      <c r="U133" s="196"/>
      <c r="V133" s="196"/>
      <c r="W133" s="196"/>
      <c r="X133" s="196"/>
      <c r="Y133" s="196"/>
      <c r="Z133" s="196"/>
      <c r="AA133" s="196"/>
      <c r="AB133" s="196"/>
    </row>
    <row r="134" spans="1:28" ht="12.9">
      <c r="A134" s="196"/>
      <c r="B134" s="143"/>
      <c r="C134" s="196"/>
      <c r="D134" s="196"/>
      <c r="E134" s="196"/>
      <c r="F134" s="220"/>
      <c r="G134" s="143"/>
      <c r="H134" s="196"/>
      <c r="I134" s="196"/>
      <c r="J134" s="196"/>
      <c r="K134" s="196"/>
      <c r="L134" s="196"/>
      <c r="M134" s="196"/>
      <c r="N134" s="196"/>
      <c r="O134" s="196"/>
      <c r="P134" s="196"/>
      <c r="Q134" s="196"/>
      <c r="R134" s="196"/>
      <c r="S134" s="196"/>
      <c r="T134" s="196"/>
      <c r="U134" s="196"/>
      <c r="V134" s="196"/>
      <c r="W134" s="196"/>
      <c r="X134" s="196"/>
      <c r="Y134" s="196"/>
      <c r="Z134" s="196"/>
      <c r="AA134" s="196"/>
      <c r="AB134" s="196"/>
    </row>
    <row r="135" spans="1:28" ht="12.9">
      <c r="A135" s="196"/>
      <c r="B135" s="143"/>
      <c r="C135" s="196"/>
      <c r="D135" s="196"/>
      <c r="E135" s="196"/>
      <c r="F135" s="220"/>
      <c r="G135" s="143"/>
      <c r="H135" s="196"/>
      <c r="I135" s="196"/>
      <c r="J135" s="196"/>
      <c r="K135" s="196"/>
      <c r="L135" s="196"/>
      <c r="M135" s="196"/>
      <c r="N135" s="196"/>
      <c r="O135" s="196"/>
      <c r="P135" s="196"/>
      <c r="Q135" s="196"/>
      <c r="R135" s="196"/>
      <c r="S135" s="196"/>
      <c r="T135" s="196"/>
      <c r="U135" s="196"/>
      <c r="V135" s="196"/>
      <c r="W135" s="196"/>
      <c r="X135" s="196"/>
      <c r="Y135" s="196"/>
      <c r="Z135" s="196"/>
      <c r="AA135" s="196"/>
      <c r="AB135" s="196"/>
    </row>
    <row r="136" spans="1:28" ht="12.9">
      <c r="A136" s="196"/>
      <c r="B136" s="143"/>
      <c r="C136" s="196"/>
      <c r="D136" s="196"/>
      <c r="E136" s="196"/>
      <c r="F136" s="220"/>
      <c r="G136" s="143"/>
      <c r="H136" s="196"/>
      <c r="I136" s="196"/>
      <c r="J136" s="196"/>
      <c r="K136" s="196"/>
      <c r="L136" s="196"/>
      <c r="M136" s="196"/>
      <c r="N136" s="196"/>
      <c r="O136" s="196"/>
      <c r="P136" s="196"/>
      <c r="Q136" s="196"/>
      <c r="R136" s="196"/>
      <c r="S136" s="196"/>
      <c r="T136" s="196"/>
      <c r="U136" s="196"/>
      <c r="V136" s="196"/>
      <c r="W136" s="196"/>
      <c r="X136" s="196"/>
      <c r="Y136" s="196"/>
      <c r="Z136" s="196"/>
      <c r="AA136" s="196"/>
      <c r="AB136" s="196"/>
    </row>
    <row r="137" spans="1:28" ht="12.9">
      <c r="A137" s="196"/>
      <c r="B137" s="143"/>
      <c r="C137" s="196"/>
      <c r="D137" s="196"/>
      <c r="E137" s="196"/>
      <c r="F137" s="220"/>
      <c r="G137" s="143"/>
      <c r="H137" s="196"/>
      <c r="I137" s="196"/>
      <c r="J137" s="196"/>
      <c r="K137" s="196"/>
      <c r="L137" s="196"/>
      <c r="M137" s="196"/>
      <c r="N137" s="196"/>
      <c r="O137" s="196"/>
      <c r="P137" s="196"/>
      <c r="Q137" s="196"/>
      <c r="R137" s="196"/>
      <c r="S137" s="196"/>
      <c r="T137" s="196"/>
      <c r="U137" s="196"/>
      <c r="V137" s="196"/>
      <c r="W137" s="196"/>
      <c r="X137" s="196"/>
      <c r="Y137" s="196"/>
      <c r="Z137" s="196"/>
      <c r="AA137" s="196"/>
      <c r="AB137" s="196"/>
    </row>
    <row r="138" spans="1:28" ht="12.9">
      <c r="A138" s="196"/>
      <c r="B138" s="143"/>
      <c r="C138" s="196"/>
      <c r="D138" s="196"/>
      <c r="E138" s="196"/>
      <c r="F138" s="220"/>
      <c r="G138" s="143"/>
      <c r="H138" s="196"/>
      <c r="I138" s="196"/>
      <c r="J138" s="196"/>
      <c r="K138" s="196"/>
      <c r="L138" s="196"/>
      <c r="M138" s="196"/>
      <c r="N138" s="196"/>
      <c r="O138" s="196"/>
      <c r="P138" s="196"/>
      <c r="Q138" s="196"/>
      <c r="R138" s="196"/>
      <c r="S138" s="196"/>
      <c r="T138" s="196"/>
      <c r="U138" s="196"/>
      <c r="V138" s="196"/>
      <c r="W138" s="196"/>
      <c r="X138" s="196"/>
      <c r="Y138" s="196"/>
      <c r="Z138" s="196"/>
      <c r="AA138" s="196"/>
      <c r="AB138" s="196"/>
    </row>
    <row r="139" spans="1:28" ht="12.9">
      <c r="A139" s="196"/>
      <c r="B139" s="143"/>
      <c r="C139" s="196"/>
      <c r="D139" s="196"/>
      <c r="E139" s="196"/>
      <c r="F139" s="220"/>
      <c r="G139" s="143"/>
      <c r="H139" s="196"/>
      <c r="I139" s="196"/>
      <c r="J139" s="196"/>
      <c r="K139" s="196"/>
      <c r="L139" s="196"/>
      <c r="M139" s="196"/>
      <c r="N139" s="196"/>
      <c r="O139" s="196"/>
      <c r="P139" s="196"/>
      <c r="Q139" s="196"/>
      <c r="R139" s="196"/>
      <c r="S139" s="196"/>
      <c r="T139" s="196"/>
      <c r="U139" s="196"/>
      <c r="V139" s="196"/>
      <c r="W139" s="196"/>
      <c r="X139" s="196"/>
      <c r="Y139" s="196"/>
      <c r="Z139" s="196"/>
      <c r="AA139" s="196"/>
      <c r="AB139" s="196"/>
    </row>
    <row r="140" spans="1:28" ht="12.9">
      <c r="A140" s="196"/>
      <c r="B140" s="143"/>
      <c r="C140" s="196"/>
      <c r="D140" s="196"/>
      <c r="E140" s="196"/>
      <c r="F140" s="220"/>
      <c r="G140" s="143"/>
      <c r="H140" s="196"/>
      <c r="I140" s="196"/>
      <c r="J140" s="196"/>
      <c r="K140" s="196"/>
      <c r="L140" s="196"/>
      <c r="M140" s="196"/>
      <c r="N140" s="196"/>
      <c r="O140" s="196"/>
      <c r="P140" s="196"/>
      <c r="Q140" s="196"/>
      <c r="R140" s="196"/>
      <c r="S140" s="196"/>
      <c r="T140" s="196"/>
      <c r="U140" s="196"/>
      <c r="V140" s="196"/>
      <c r="W140" s="196"/>
      <c r="X140" s="196"/>
      <c r="Y140" s="196"/>
      <c r="Z140" s="196"/>
      <c r="AA140" s="196"/>
      <c r="AB140" s="196"/>
    </row>
    <row r="141" spans="1:28" ht="12.9">
      <c r="A141" s="196"/>
      <c r="B141" s="143"/>
      <c r="C141" s="196"/>
      <c r="D141" s="196"/>
      <c r="E141" s="196"/>
      <c r="F141" s="220"/>
      <c r="G141" s="143"/>
      <c r="H141" s="196"/>
      <c r="I141" s="196"/>
      <c r="J141" s="196"/>
      <c r="K141" s="196"/>
      <c r="L141" s="196"/>
      <c r="M141" s="196"/>
      <c r="N141" s="196"/>
      <c r="O141" s="196"/>
      <c r="P141" s="196"/>
      <c r="Q141" s="196"/>
      <c r="R141" s="196"/>
      <c r="S141" s="196"/>
      <c r="T141" s="196"/>
      <c r="U141" s="196"/>
      <c r="V141" s="196"/>
      <c r="W141" s="196"/>
      <c r="X141" s="196"/>
      <c r="Y141" s="196"/>
      <c r="Z141" s="196"/>
      <c r="AA141" s="196"/>
      <c r="AB141" s="196"/>
    </row>
    <row r="142" spans="1:28" ht="12.9">
      <c r="A142" s="196"/>
      <c r="B142" s="143"/>
      <c r="C142" s="196"/>
      <c r="D142" s="196"/>
      <c r="E142" s="196"/>
      <c r="F142" s="220"/>
      <c r="G142" s="143"/>
      <c r="H142" s="196"/>
      <c r="I142" s="196"/>
      <c r="J142" s="196"/>
      <c r="K142" s="196"/>
      <c r="L142" s="196"/>
      <c r="M142" s="196"/>
      <c r="N142" s="196"/>
      <c r="O142" s="196"/>
      <c r="P142" s="196"/>
      <c r="Q142" s="196"/>
      <c r="R142" s="196"/>
      <c r="S142" s="196"/>
      <c r="T142" s="196"/>
      <c r="U142" s="196"/>
      <c r="V142" s="196"/>
      <c r="W142" s="196"/>
      <c r="X142" s="196"/>
      <c r="Y142" s="196"/>
      <c r="Z142" s="196"/>
      <c r="AA142" s="196"/>
      <c r="AB142" s="196"/>
    </row>
    <row r="143" spans="1:28" ht="12.9">
      <c r="A143" s="196"/>
      <c r="B143" s="143"/>
      <c r="C143" s="196"/>
      <c r="D143" s="196"/>
      <c r="E143" s="196"/>
      <c r="F143" s="220"/>
      <c r="G143" s="143"/>
      <c r="H143" s="196"/>
      <c r="I143" s="196"/>
      <c r="J143" s="196"/>
      <c r="K143" s="196"/>
      <c r="L143" s="196"/>
      <c r="M143" s="196"/>
      <c r="N143" s="196"/>
      <c r="O143" s="196"/>
      <c r="P143" s="196"/>
      <c r="Q143" s="196"/>
      <c r="R143" s="196"/>
      <c r="S143" s="196"/>
      <c r="T143" s="196"/>
      <c r="U143" s="196"/>
      <c r="V143" s="196"/>
      <c r="W143" s="196"/>
      <c r="X143" s="196"/>
      <c r="Y143" s="196"/>
      <c r="Z143" s="196"/>
      <c r="AA143" s="196"/>
      <c r="AB143" s="196"/>
    </row>
    <row r="144" spans="1:28" ht="12.9">
      <c r="A144" s="196"/>
      <c r="B144" s="143"/>
      <c r="C144" s="196"/>
      <c r="D144" s="196"/>
      <c r="E144" s="196"/>
      <c r="F144" s="220"/>
      <c r="G144" s="143"/>
      <c r="H144" s="196"/>
      <c r="I144" s="196"/>
      <c r="J144" s="196"/>
      <c r="K144" s="196"/>
      <c r="L144" s="196"/>
      <c r="M144" s="196"/>
      <c r="N144" s="196"/>
      <c r="O144" s="196"/>
      <c r="P144" s="196"/>
      <c r="Q144" s="196"/>
      <c r="R144" s="196"/>
      <c r="S144" s="196"/>
      <c r="T144" s="196"/>
      <c r="U144" s="196"/>
      <c r="V144" s="196"/>
      <c r="W144" s="196"/>
      <c r="X144" s="196"/>
      <c r="Y144" s="196"/>
      <c r="Z144" s="196"/>
      <c r="AA144" s="196"/>
      <c r="AB144" s="196"/>
    </row>
    <row r="145" spans="1:28" ht="12.9">
      <c r="A145" s="196"/>
      <c r="B145" s="143"/>
      <c r="C145" s="196"/>
      <c r="D145" s="196"/>
      <c r="E145" s="196"/>
      <c r="F145" s="220"/>
      <c r="G145" s="143"/>
      <c r="H145" s="196"/>
      <c r="I145" s="196"/>
      <c r="J145" s="196"/>
      <c r="K145" s="196"/>
      <c r="L145" s="196"/>
      <c r="M145" s="196"/>
      <c r="N145" s="196"/>
      <c r="O145" s="196"/>
      <c r="P145" s="196"/>
      <c r="Q145" s="196"/>
      <c r="R145" s="196"/>
      <c r="S145" s="196"/>
      <c r="T145" s="196"/>
      <c r="U145" s="196"/>
      <c r="V145" s="196"/>
      <c r="W145" s="196"/>
      <c r="X145" s="196"/>
      <c r="Y145" s="196"/>
      <c r="Z145" s="196"/>
      <c r="AA145" s="196"/>
      <c r="AB145" s="196"/>
    </row>
    <row r="146" spans="1:28" ht="12.9">
      <c r="A146" s="196"/>
      <c r="B146" s="143"/>
      <c r="C146" s="196"/>
      <c r="D146" s="196"/>
      <c r="E146" s="196"/>
      <c r="F146" s="220"/>
      <c r="G146" s="143"/>
      <c r="H146" s="196"/>
      <c r="I146" s="196"/>
      <c r="J146" s="196"/>
      <c r="K146" s="196"/>
      <c r="L146" s="196"/>
      <c r="M146" s="196"/>
      <c r="N146" s="196"/>
      <c r="O146" s="196"/>
      <c r="P146" s="196"/>
      <c r="Q146" s="196"/>
      <c r="R146" s="196"/>
      <c r="S146" s="196"/>
      <c r="T146" s="196"/>
      <c r="U146" s="196"/>
      <c r="V146" s="196"/>
      <c r="W146" s="196"/>
      <c r="X146" s="196"/>
      <c r="Y146" s="196"/>
      <c r="Z146" s="196"/>
      <c r="AA146" s="196"/>
      <c r="AB146" s="196"/>
    </row>
    <row r="147" spans="1:28" ht="12.9">
      <c r="A147" s="196"/>
      <c r="B147" s="143"/>
      <c r="C147" s="196"/>
      <c r="D147" s="196"/>
      <c r="E147" s="196"/>
      <c r="F147" s="220"/>
      <c r="G147" s="143"/>
      <c r="H147" s="196"/>
      <c r="I147" s="196"/>
      <c r="J147" s="196"/>
      <c r="K147" s="196"/>
      <c r="L147" s="196"/>
      <c r="M147" s="196"/>
      <c r="N147" s="196"/>
      <c r="O147" s="196"/>
      <c r="P147" s="196"/>
      <c r="Q147" s="196"/>
      <c r="R147" s="196"/>
      <c r="S147" s="196"/>
      <c r="T147" s="196"/>
      <c r="U147" s="196"/>
      <c r="V147" s="196"/>
      <c r="W147" s="196"/>
      <c r="X147" s="196"/>
      <c r="Y147" s="196"/>
      <c r="Z147" s="196"/>
      <c r="AA147" s="196"/>
      <c r="AB147" s="196"/>
    </row>
    <row r="148" spans="1:28" ht="12.9">
      <c r="A148" s="196"/>
      <c r="B148" s="143"/>
      <c r="C148" s="196"/>
      <c r="D148" s="196"/>
      <c r="E148" s="196"/>
      <c r="F148" s="220"/>
      <c r="G148" s="143"/>
      <c r="H148" s="196"/>
      <c r="I148" s="196"/>
      <c r="J148" s="196"/>
      <c r="K148" s="196"/>
      <c r="L148" s="196"/>
      <c r="M148" s="196"/>
      <c r="N148" s="196"/>
      <c r="O148" s="196"/>
      <c r="P148" s="196"/>
      <c r="Q148" s="196"/>
      <c r="R148" s="196"/>
      <c r="S148" s="196"/>
      <c r="T148" s="196"/>
      <c r="U148" s="196"/>
      <c r="V148" s="196"/>
      <c r="W148" s="196"/>
      <c r="X148" s="196"/>
      <c r="Y148" s="196"/>
      <c r="Z148" s="196"/>
      <c r="AA148" s="196"/>
      <c r="AB148" s="196"/>
    </row>
    <row r="149" spans="1:28" ht="12.9">
      <c r="A149" s="196"/>
      <c r="B149" s="143"/>
      <c r="C149" s="196"/>
      <c r="D149" s="196"/>
      <c r="E149" s="196"/>
      <c r="F149" s="220"/>
      <c r="G149" s="143"/>
      <c r="H149" s="196"/>
      <c r="I149" s="196"/>
      <c r="J149" s="196"/>
      <c r="K149" s="196"/>
      <c r="L149" s="196"/>
      <c r="M149" s="196"/>
      <c r="N149" s="196"/>
      <c r="O149" s="196"/>
      <c r="P149" s="196"/>
      <c r="Q149" s="196"/>
      <c r="R149" s="196"/>
      <c r="S149" s="196"/>
      <c r="T149" s="196"/>
      <c r="U149" s="196"/>
      <c r="V149" s="196"/>
      <c r="W149" s="196"/>
      <c r="X149" s="196"/>
      <c r="Y149" s="196"/>
      <c r="Z149" s="196"/>
      <c r="AA149" s="196"/>
      <c r="AB149" s="196"/>
    </row>
    <row r="150" spans="1:28" ht="12.9">
      <c r="A150" s="196"/>
      <c r="B150" s="143"/>
      <c r="C150" s="196"/>
      <c r="D150" s="196"/>
      <c r="E150" s="196"/>
      <c r="F150" s="220"/>
      <c r="G150" s="143"/>
      <c r="H150" s="196"/>
      <c r="I150" s="196"/>
      <c r="J150" s="196"/>
      <c r="K150" s="196"/>
      <c r="L150" s="196"/>
      <c r="M150" s="196"/>
      <c r="N150" s="196"/>
      <c r="O150" s="196"/>
      <c r="P150" s="196"/>
      <c r="Q150" s="196"/>
      <c r="R150" s="196"/>
      <c r="S150" s="196"/>
      <c r="T150" s="196"/>
      <c r="U150" s="196"/>
      <c r="V150" s="196"/>
      <c r="W150" s="196"/>
      <c r="X150" s="196"/>
      <c r="Y150" s="196"/>
      <c r="Z150" s="196"/>
      <c r="AA150" s="196"/>
      <c r="AB150" s="196"/>
    </row>
    <row r="151" spans="1:28" ht="12.9">
      <c r="A151" s="196"/>
      <c r="B151" s="143"/>
      <c r="C151" s="196"/>
      <c r="D151" s="196"/>
      <c r="E151" s="196"/>
      <c r="F151" s="220"/>
      <c r="G151" s="143"/>
      <c r="H151" s="196"/>
      <c r="I151" s="196"/>
      <c r="J151" s="196"/>
      <c r="K151" s="196"/>
      <c r="L151" s="196"/>
      <c r="M151" s="196"/>
      <c r="N151" s="196"/>
      <c r="O151" s="196"/>
      <c r="P151" s="196"/>
      <c r="Q151" s="196"/>
      <c r="R151" s="196"/>
      <c r="S151" s="196"/>
      <c r="T151" s="196"/>
      <c r="U151" s="196"/>
      <c r="V151" s="196"/>
      <c r="W151" s="196"/>
      <c r="X151" s="196"/>
      <c r="Y151" s="196"/>
      <c r="Z151" s="196"/>
      <c r="AA151" s="196"/>
      <c r="AB151" s="196"/>
    </row>
    <row r="152" spans="1:28" ht="12.9">
      <c r="A152" s="196"/>
      <c r="B152" s="143"/>
      <c r="C152" s="196"/>
      <c r="D152" s="196"/>
      <c r="E152" s="196"/>
      <c r="F152" s="220"/>
      <c r="G152" s="143"/>
      <c r="H152" s="196"/>
      <c r="I152" s="196"/>
      <c r="J152" s="196"/>
      <c r="K152" s="196"/>
      <c r="L152" s="196"/>
      <c r="M152" s="196"/>
      <c r="N152" s="196"/>
      <c r="O152" s="196"/>
      <c r="P152" s="196"/>
      <c r="Q152" s="196"/>
      <c r="R152" s="196"/>
      <c r="S152" s="196"/>
      <c r="T152" s="196"/>
      <c r="U152" s="196"/>
      <c r="V152" s="196"/>
      <c r="W152" s="196"/>
      <c r="X152" s="196"/>
      <c r="Y152" s="196"/>
      <c r="Z152" s="196"/>
      <c r="AA152" s="196"/>
      <c r="AB152" s="196"/>
    </row>
    <row r="153" spans="1:28" ht="12.9">
      <c r="A153" s="196"/>
      <c r="B153" s="143"/>
      <c r="C153" s="196"/>
      <c r="D153" s="196"/>
      <c r="E153" s="196"/>
      <c r="F153" s="220"/>
      <c r="G153" s="143"/>
      <c r="H153" s="196"/>
      <c r="I153" s="196"/>
      <c r="J153" s="196"/>
      <c r="K153" s="196"/>
      <c r="L153" s="196"/>
      <c r="M153" s="196"/>
      <c r="N153" s="196"/>
      <c r="O153" s="196"/>
      <c r="P153" s="196"/>
      <c r="Q153" s="196"/>
      <c r="R153" s="196"/>
      <c r="S153" s="196"/>
      <c r="T153" s="196"/>
      <c r="U153" s="196"/>
      <c r="V153" s="196"/>
      <c r="W153" s="196"/>
      <c r="X153" s="196"/>
      <c r="Y153" s="196"/>
      <c r="Z153" s="196"/>
      <c r="AA153" s="196"/>
      <c r="AB153" s="196"/>
    </row>
    <row r="154" spans="1:28" ht="12.9">
      <c r="A154" s="196"/>
      <c r="B154" s="143"/>
      <c r="C154" s="196"/>
      <c r="D154" s="196"/>
      <c r="E154" s="196"/>
      <c r="F154" s="220"/>
      <c r="G154" s="143"/>
      <c r="H154" s="196"/>
      <c r="I154" s="196"/>
      <c r="J154" s="196"/>
      <c r="K154" s="196"/>
      <c r="L154" s="196"/>
      <c r="M154" s="196"/>
      <c r="N154" s="196"/>
      <c r="O154" s="196"/>
      <c r="P154" s="196"/>
      <c r="Q154" s="196"/>
      <c r="R154" s="196"/>
      <c r="S154" s="196"/>
      <c r="T154" s="196"/>
      <c r="U154" s="196"/>
      <c r="V154" s="196"/>
      <c r="W154" s="196"/>
      <c r="X154" s="196"/>
      <c r="Y154" s="196"/>
      <c r="Z154" s="196"/>
      <c r="AA154" s="196"/>
      <c r="AB154" s="196"/>
    </row>
    <row r="155" spans="1:28" ht="12.9">
      <c r="A155" s="196"/>
      <c r="B155" s="143"/>
      <c r="C155" s="196"/>
      <c r="D155" s="196"/>
      <c r="E155" s="196"/>
      <c r="F155" s="220"/>
      <c r="G155" s="143"/>
      <c r="H155" s="196"/>
      <c r="I155" s="196"/>
      <c r="J155" s="196"/>
      <c r="K155" s="196"/>
      <c r="L155" s="196"/>
      <c r="M155" s="196"/>
      <c r="N155" s="196"/>
      <c r="O155" s="196"/>
      <c r="P155" s="196"/>
      <c r="Q155" s="196"/>
      <c r="R155" s="196"/>
      <c r="S155" s="196"/>
      <c r="T155" s="196"/>
      <c r="U155" s="196"/>
      <c r="V155" s="196"/>
      <c r="W155" s="196"/>
      <c r="X155" s="196"/>
      <c r="Y155" s="196"/>
      <c r="Z155" s="196"/>
      <c r="AA155" s="196"/>
      <c r="AB155" s="196"/>
    </row>
    <row r="156" spans="1:28" ht="12.9">
      <c r="A156" s="196"/>
      <c r="B156" s="143"/>
      <c r="C156" s="196"/>
      <c r="D156" s="196"/>
      <c r="E156" s="196"/>
      <c r="F156" s="220"/>
      <c r="G156" s="143"/>
      <c r="H156" s="196"/>
      <c r="I156" s="196"/>
      <c r="J156" s="196"/>
      <c r="K156" s="196"/>
      <c r="L156" s="196"/>
      <c r="M156" s="196"/>
      <c r="N156" s="196"/>
      <c r="O156" s="196"/>
      <c r="P156" s="196"/>
      <c r="Q156" s="196"/>
      <c r="R156" s="196"/>
      <c r="S156" s="196"/>
      <c r="T156" s="196"/>
      <c r="U156" s="196"/>
      <c r="V156" s="196"/>
      <c r="W156" s="196"/>
      <c r="X156" s="196"/>
      <c r="Y156" s="196"/>
      <c r="Z156" s="196"/>
      <c r="AA156" s="196"/>
      <c r="AB156" s="196"/>
    </row>
    <row r="157" spans="1:28" ht="12.9">
      <c r="A157" s="196"/>
      <c r="B157" s="143"/>
      <c r="C157" s="196"/>
      <c r="D157" s="196"/>
      <c r="E157" s="196"/>
      <c r="F157" s="220"/>
      <c r="G157" s="143"/>
      <c r="H157" s="196"/>
      <c r="I157" s="196"/>
      <c r="J157" s="196"/>
      <c r="K157" s="196"/>
      <c r="L157" s="196"/>
      <c r="M157" s="196"/>
      <c r="N157" s="196"/>
      <c r="O157" s="196"/>
      <c r="P157" s="196"/>
      <c r="Q157" s="196"/>
      <c r="R157" s="196"/>
      <c r="S157" s="196"/>
      <c r="T157" s="196"/>
      <c r="U157" s="196"/>
      <c r="V157" s="196"/>
      <c r="W157" s="196"/>
      <c r="X157" s="196"/>
      <c r="Y157" s="196"/>
      <c r="Z157" s="196"/>
      <c r="AA157" s="196"/>
      <c r="AB157" s="196"/>
    </row>
    <row r="158" spans="1:28" ht="12.9">
      <c r="A158" s="196"/>
      <c r="B158" s="143"/>
      <c r="C158" s="196"/>
      <c r="D158" s="196"/>
      <c r="E158" s="196"/>
      <c r="F158" s="220"/>
      <c r="G158" s="143"/>
      <c r="H158" s="196"/>
      <c r="I158" s="196"/>
      <c r="J158" s="196"/>
      <c r="K158" s="196"/>
      <c r="L158" s="196"/>
      <c r="M158" s="196"/>
      <c r="N158" s="196"/>
      <c r="O158" s="196"/>
      <c r="P158" s="196"/>
      <c r="Q158" s="196"/>
      <c r="R158" s="196"/>
      <c r="S158" s="196"/>
      <c r="T158" s="196"/>
      <c r="U158" s="196"/>
      <c r="V158" s="196"/>
      <c r="W158" s="196"/>
      <c r="X158" s="196"/>
      <c r="Y158" s="196"/>
      <c r="Z158" s="196"/>
      <c r="AA158" s="196"/>
      <c r="AB158" s="196"/>
    </row>
    <row r="159" spans="1:28" ht="12.9">
      <c r="A159" s="196"/>
      <c r="B159" s="143"/>
      <c r="C159" s="196"/>
      <c r="D159" s="196"/>
      <c r="E159" s="196"/>
      <c r="F159" s="220"/>
      <c r="G159" s="143"/>
      <c r="H159" s="196"/>
      <c r="I159" s="196"/>
      <c r="J159" s="196"/>
      <c r="K159" s="196"/>
      <c r="L159" s="196"/>
      <c r="M159" s="196"/>
      <c r="N159" s="196"/>
      <c r="O159" s="196"/>
      <c r="P159" s="196"/>
      <c r="Q159" s="196"/>
      <c r="R159" s="196"/>
      <c r="S159" s="196"/>
      <c r="T159" s="196"/>
      <c r="U159" s="196"/>
      <c r="V159" s="196"/>
      <c r="W159" s="196"/>
      <c r="X159" s="196"/>
      <c r="Y159" s="196"/>
      <c r="Z159" s="196"/>
      <c r="AA159" s="196"/>
      <c r="AB159" s="196"/>
    </row>
    <row r="160" spans="1:28" ht="12.9">
      <c r="A160" s="196"/>
      <c r="B160" s="143"/>
      <c r="C160" s="196"/>
      <c r="D160" s="196"/>
      <c r="E160" s="196"/>
      <c r="F160" s="220"/>
      <c r="G160" s="143"/>
      <c r="H160" s="196"/>
      <c r="I160" s="196"/>
      <c r="J160" s="196"/>
      <c r="K160" s="196"/>
      <c r="L160" s="196"/>
      <c r="M160" s="196"/>
      <c r="N160" s="196"/>
      <c r="O160" s="196"/>
      <c r="P160" s="196"/>
      <c r="Q160" s="196"/>
      <c r="R160" s="196"/>
      <c r="S160" s="196"/>
      <c r="T160" s="196"/>
      <c r="U160" s="196"/>
      <c r="V160" s="196"/>
      <c r="W160" s="196"/>
      <c r="X160" s="196"/>
      <c r="Y160" s="196"/>
      <c r="Z160" s="196"/>
      <c r="AA160" s="196"/>
      <c r="AB160" s="196"/>
    </row>
    <row r="161" spans="1:28" ht="12.9">
      <c r="A161" s="196"/>
      <c r="B161" s="143"/>
      <c r="C161" s="196"/>
      <c r="D161" s="196"/>
      <c r="E161" s="196"/>
      <c r="F161" s="220"/>
      <c r="G161" s="143"/>
      <c r="H161" s="196"/>
      <c r="I161" s="196"/>
      <c r="J161" s="196"/>
      <c r="K161" s="196"/>
      <c r="L161" s="196"/>
      <c r="M161" s="196"/>
      <c r="N161" s="196"/>
      <c r="O161" s="196"/>
      <c r="P161" s="196"/>
      <c r="Q161" s="196"/>
      <c r="R161" s="196"/>
      <c r="S161" s="196"/>
      <c r="T161" s="196"/>
      <c r="U161" s="196"/>
      <c r="V161" s="196"/>
      <c r="W161" s="196"/>
      <c r="X161" s="196"/>
      <c r="Y161" s="196"/>
      <c r="Z161" s="196"/>
      <c r="AA161" s="196"/>
      <c r="AB161" s="196"/>
    </row>
    <row r="162" spans="1:28" ht="12.9">
      <c r="A162" s="196"/>
      <c r="B162" s="143"/>
      <c r="C162" s="196"/>
      <c r="D162" s="196"/>
      <c r="E162" s="196"/>
      <c r="F162" s="220"/>
      <c r="G162" s="143"/>
      <c r="H162" s="196"/>
      <c r="I162" s="196"/>
      <c r="J162" s="196"/>
      <c r="K162" s="196"/>
      <c r="L162" s="196"/>
      <c r="M162" s="196"/>
      <c r="N162" s="196"/>
      <c r="O162" s="196"/>
      <c r="P162" s="196"/>
      <c r="Q162" s="196"/>
      <c r="R162" s="196"/>
      <c r="S162" s="196"/>
      <c r="T162" s="196"/>
      <c r="U162" s="196"/>
      <c r="V162" s="196"/>
      <c r="W162" s="196"/>
      <c r="X162" s="196"/>
      <c r="Y162" s="196"/>
      <c r="Z162" s="196"/>
      <c r="AA162" s="196"/>
      <c r="AB162" s="196"/>
    </row>
    <row r="163" spans="1:28" ht="12.9">
      <c r="A163" s="196"/>
      <c r="B163" s="143"/>
      <c r="C163" s="196"/>
      <c r="D163" s="196"/>
      <c r="E163" s="196"/>
      <c r="F163" s="220"/>
      <c r="G163" s="143"/>
      <c r="H163" s="196"/>
      <c r="I163" s="196"/>
      <c r="J163" s="196"/>
      <c r="K163" s="196"/>
      <c r="L163" s="196"/>
      <c r="M163" s="196"/>
      <c r="N163" s="196"/>
      <c r="O163" s="196"/>
      <c r="P163" s="196"/>
      <c r="Q163" s="196"/>
      <c r="R163" s="196"/>
      <c r="S163" s="196"/>
      <c r="T163" s="196"/>
      <c r="U163" s="196"/>
      <c r="V163" s="196"/>
      <c r="W163" s="196"/>
      <c r="X163" s="196"/>
      <c r="Y163" s="196"/>
      <c r="Z163" s="196"/>
      <c r="AA163" s="196"/>
      <c r="AB163" s="196"/>
    </row>
    <row r="164" spans="1:28" ht="12.9">
      <c r="A164" s="196"/>
      <c r="B164" s="143"/>
      <c r="C164" s="196"/>
      <c r="D164" s="196"/>
      <c r="E164" s="196"/>
      <c r="F164" s="220"/>
      <c r="G164" s="143"/>
      <c r="H164" s="196"/>
      <c r="I164" s="196"/>
      <c r="J164" s="196"/>
      <c r="K164" s="196"/>
      <c r="L164" s="196"/>
      <c r="M164" s="196"/>
      <c r="N164" s="196"/>
      <c r="O164" s="196"/>
      <c r="P164" s="196"/>
      <c r="Q164" s="196"/>
      <c r="R164" s="196"/>
      <c r="S164" s="196"/>
      <c r="T164" s="196"/>
      <c r="U164" s="196"/>
      <c r="V164" s="196"/>
      <c r="W164" s="196"/>
      <c r="X164" s="196"/>
      <c r="Y164" s="196"/>
      <c r="Z164" s="196"/>
      <c r="AA164" s="196"/>
      <c r="AB164" s="196"/>
    </row>
    <row r="165" spans="1:28" ht="12.9">
      <c r="A165" s="196"/>
      <c r="B165" s="143"/>
      <c r="C165" s="196"/>
      <c r="D165" s="196"/>
      <c r="E165" s="196"/>
      <c r="F165" s="220"/>
      <c r="G165" s="143"/>
      <c r="H165" s="196"/>
      <c r="I165" s="196"/>
      <c r="J165" s="196"/>
      <c r="K165" s="196"/>
      <c r="L165" s="196"/>
      <c r="M165" s="196"/>
      <c r="N165" s="196"/>
      <c r="O165" s="196"/>
      <c r="P165" s="196"/>
      <c r="Q165" s="196"/>
      <c r="R165" s="196"/>
      <c r="S165" s="196"/>
      <c r="T165" s="196"/>
      <c r="U165" s="196"/>
      <c r="V165" s="196"/>
      <c r="W165" s="196"/>
      <c r="X165" s="196"/>
      <c r="Y165" s="196"/>
      <c r="Z165" s="196"/>
      <c r="AA165" s="196"/>
      <c r="AB165" s="196"/>
    </row>
    <row r="166" spans="1:28" ht="12.9">
      <c r="A166" s="196"/>
      <c r="B166" s="143"/>
      <c r="C166" s="196"/>
      <c r="D166" s="196"/>
      <c r="E166" s="196"/>
      <c r="F166" s="220"/>
      <c r="G166" s="143"/>
      <c r="H166" s="196"/>
      <c r="I166" s="196"/>
      <c r="J166" s="196"/>
      <c r="K166" s="196"/>
      <c r="L166" s="196"/>
      <c r="M166" s="196"/>
      <c r="N166" s="196"/>
      <c r="O166" s="196"/>
      <c r="P166" s="196"/>
      <c r="Q166" s="196"/>
      <c r="R166" s="196"/>
      <c r="S166" s="196"/>
      <c r="T166" s="196"/>
      <c r="U166" s="196"/>
      <c r="V166" s="196"/>
      <c r="W166" s="196"/>
      <c r="X166" s="196"/>
      <c r="Y166" s="196"/>
      <c r="Z166" s="196"/>
      <c r="AA166" s="196"/>
      <c r="AB166" s="196"/>
    </row>
    <row r="167" spans="1:28" ht="12.9">
      <c r="A167" s="196"/>
      <c r="B167" s="143"/>
      <c r="C167" s="196"/>
      <c r="D167" s="196"/>
      <c r="E167" s="196"/>
      <c r="F167" s="220"/>
      <c r="G167" s="143"/>
      <c r="H167" s="196"/>
      <c r="I167" s="196"/>
      <c r="J167" s="196"/>
      <c r="K167" s="196"/>
      <c r="L167" s="196"/>
      <c r="M167" s="196"/>
      <c r="N167" s="196"/>
      <c r="O167" s="196"/>
      <c r="P167" s="196"/>
      <c r="Q167" s="196"/>
      <c r="R167" s="196"/>
      <c r="S167" s="196"/>
      <c r="T167" s="196"/>
      <c r="U167" s="196"/>
      <c r="V167" s="196"/>
      <c r="W167" s="196"/>
      <c r="X167" s="196"/>
      <c r="Y167" s="196"/>
      <c r="Z167" s="196"/>
      <c r="AA167" s="196"/>
      <c r="AB167" s="196"/>
    </row>
    <row r="168" spans="1:28" ht="12.9">
      <c r="A168" s="196"/>
      <c r="B168" s="143"/>
      <c r="C168" s="196"/>
      <c r="D168" s="196"/>
      <c r="E168" s="196"/>
      <c r="F168" s="220"/>
      <c r="G168" s="143"/>
      <c r="H168" s="196"/>
      <c r="I168" s="196"/>
      <c r="J168" s="196"/>
      <c r="K168" s="196"/>
      <c r="L168" s="196"/>
      <c r="M168" s="196"/>
      <c r="N168" s="196"/>
      <c r="O168" s="196"/>
      <c r="P168" s="196"/>
      <c r="Q168" s="196"/>
      <c r="R168" s="196"/>
      <c r="S168" s="196"/>
      <c r="T168" s="196"/>
      <c r="U168" s="196"/>
      <c r="V168" s="196"/>
      <c r="W168" s="196"/>
      <c r="X168" s="196"/>
      <c r="Y168" s="196"/>
      <c r="Z168" s="196"/>
      <c r="AA168" s="196"/>
      <c r="AB168" s="196"/>
    </row>
    <row r="169" spans="1:28" ht="12.9">
      <c r="A169" s="196"/>
      <c r="B169" s="143"/>
      <c r="C169" s="196"/>
      <c r="D169" s="196"/>
      <c r="E169" s="196"/>
      <c r="F169" s="220"/>
      <c r="G169" s="143"/>
      <c r="H169" s="196"/>
      <c r="I169" s="196"/>
      <c r="J169" s="196"/>
      <c r="K169" s="196"/>
      <c r="L169" s="196"/>
      <c r="M169" s="196"/>
      <c r="N169" s="196"/>
      <c r="O169" s="196"/>
      <c r="P169" s="196"/>
      <c r="Q169" s="196"/>
      <c r="R169" s="196"/>
      <c r="S169" s="196"/>
      <c r="T169" s="196"/>
      <c r="U169" s="196"/>
      <c r="V169" s="196"/>
      <c r="W169" s="196"/>
      <c r="X169" s="196"/>
      <c r="Y169" s="196"/>
      <c r="Z169" s="196"/>
      <c r="AA169" s="196"/>
      <c r="AB169" s="196"/>
    </row>
    <row r="170" spans="1:28" ht="12.9">
      <c r="A170" s="196"/>
      <c r="B170" s="143"/>
      <c r="C170" s="196"/>
      <c r="D170" s="196"/>
      <c r="E170" s="196"/>
      <c r="F170" s="220"/>
      <c r="G170" s="143"/>
      <c r="H170" s="196"/>
      <c r="I170" s="196"/>
      <c r="J170" s="196"/>
      <c r="K170" s="196"/>
      <c r="L170" s="196"/>
      <c r="M170" s="196"/>
      <c r="N170" s="196"/>
      <c r="O170" s="196"/>
      <c r="P170" s="196"/>
      <c r="Q170" s="196"/>
      <c r="R170" s="196"/>
      <c r="S170" s="196"/>
      <c r="T170" s="196"/>
      <c r="U170" s="196"/>
      <c r="V170" s="196"/>
      <c r="W170" s="196"/>
      <c r="X170" s="196"/>
      <c r="Y170" s="196"/>
      <c r="Z170" s="196"/>
      <c r="AA170" s="196"/>
      <c r="AB170" s="196"/>
    </row>
    <row r="171" spans="1:28" ht="12.9">
      <c r="A171" s="196"/>
      <c r="B171" s="143"/>
      <c r="C171" s="196"/>
      <c r="D171" s="196"/>
      <c r="E171" s="196"/>
      <c r="F171" s="220"/>
      <c r="G171" s="143"/>
      <c r="H171" s="196"/>
      <c r="I171" s="196"/>
      <c r="J171" s="196"/>
      <c r="K171" s="196"/>
      <c r="L171" s="196"/>
      <c r="M171" s="196"/>
      <c r="N171" s="196"/>
      <c r="O171" s="196"/>
      <c r="P171" s="196"/>
      <c r="Q171" s="196"/>
      <c r="R171" s="196"/>
      <c r="S171" s="196"/>
      <c r="T171" s="196"/>
      <c r="U171" s="196"/>
      <c r="V171" s="196"/>
      <c r="W171" s="196"/>
      <c r="X171" s="196"/>
      <c r="Y171" s="196"/>
      <c r="Z171" s="196"/>
      <c r="AA171" s="196"/>
      <c r="AB171" s="196"/>
    </row>
    <row r="172" spans="1:28" ht="12.9">
      <c r="A172" s="196"/>
      <c r="B172" s="143"/>
      <c r="C172" s="196"/>
      <c r="D172" s="196"/>
      <c r="E172" s="196"/>
      <c r="F172" s="220"/>
      <c r="G172" s="143"/>
      <c r="H172" s="196"/>
      <c r="I172" s="196"/>
      <c r="J172" s="196"/>
      <c r="K172" s="196"/>
      <c r="L172" s="196"/>
      <c r="M172" s="196"/>
      <c r="N172" s="196"/>
      <c r="O172" s="196"/>
      <c r="P172" s="196"/>
      <c r="Q172" s="196"/>
      <c r="R172" s="196"/>
      <c r="S172" s="196"/>
      <c r="T172" s="196"/>
      <c r="U172" s="196"/>
      <c r="V172" s="196"/>
      <c r="W172" s="196"/>
      <c r="X172" s="196"/>
      <c r="Y172" s="196"/>
      <c r="Z172" s="196"/>
      <c r="AA172" s="196"/>
      <c r="AB172" s="196"/>
    </row>
    <row r="173" spans="1:28" ht="12.9">
      <c r="A173" s="196"/>
      <c r="B173" s="143"/>
      <c r="C173" s="196"/>
      <c r="D173" s="196"/>
      <c r="E173" s="196"/>
      <c r="F173" s="220"/>
      <c r="G173" s="143"/>
      <c r="H173" s="196"/>
      <c r="I173" s="196"/>
      <c r="J173" s="196"/>
      <c r="K173" s="196"/>
      <c r="L173" s="196"/>
      <c r="M173" s="196"/>
      <c r="N173" s="196"/>
      <c r="O173" s="196"/>
      <c r="P173" s="196"/>
      <c r="Q173" s="196"/>
      <c r="R173" s="196"/>
      <c r="S173" s="196"/>
      <c r="T173" s="196"/>
      <c r="U173" s="196"/>
      <c r="V173" s="196"/>
      <c r="W173" s="196"/>
      <c r="X173" s="196"/>
      <c r="Y173" s="196"/>
      <c r="Z173" s="196"/>
      <c r="AA173" s="196"/>
      <c r="AB173" s="196"/>
    </row>
    <row r="174" spans="1:28" ht="12.9">
      <c r="A174" s="196"/>
      <c r="B174" s="143"/>
      <c r="C174" s="196"/>
      <c r="D174" s="196"/>
      <c r="E174" s="196"/>
      <c r="F174" s="220"/>
      <c r="G174" s="143"/>
      <c r="H174" s="196"/>
      <c r="I174" s="196"/>
      <c r="J174" s="196"/>
      <c r="K174" s="196"/>
      <c r="L174" s="196"/>
      <c r="M174" s="196"/>
      <c r="N174" s="196"/>
      <c r="O174" s="196"/>
      <c r="P174" s="196"/>
      <c r="Q174" s="196"/>
      <c r="R174" s="196"/>
      <c r="S174" s="196"/>
      <c r="T174" s="196"/>
      <c r="U174" s="196"/>
      <c r="V174" s="196"/>
      <c r="W174" s="196"/>
      <c r="X174" s="196"/>
      <c r="Y174" s="196"/>
      <c r="Z174" s="196"/>
      <c r="AA174" s="196"/>
      <c r="AB174" s="196"/>
    </row>
    <row r="175" spans="1:28" ht="12.9">
      <c r="A175" s="196"/>
      <c r="B175" s="143"/>
      <c r="C175" s="196"/>
      <c r="D175" s="196"/>
      <c r="E175" s="196"/>
      <c r="F175" s="220"/>
      <c r="G175" s="143"/>
      <c r="H175" s="196"/>
      <c r="I175" s="196"/>
      <c r="J175" s="196"/>
      <c r="K175" s="196"/>
      <c r="L175" s="196"/>
      <c r="M175" s="196"/>
      <c r="N175" s="196"/>
      <c r="O175" s="196"/>
      <c r="P175" s="196"/>
      <c r="Q175" s="196"/>
      <c r="R175" s="196"/>
      <c r="S175" s="196"/>
      <c r="T175" s="196"/>
      <c r="U175" s="196"/>
      <c r="V175" s="196"/>
      <c r="W175" s="196"/>
      <c r="X175" s="196"/>
      <c r="Y175" s="196"/>
      <c r="Z175" s="196"/>
      <c r="AA175" s="196"/>
      <c r="AB175" s="196"/>
    </row>
    <row r="176" spans="1:28" ht="12.9">
      <c r="A176" s="196"/>
      <c r="B176" s="143"/>
      <c r="C176" s="196"/>
      <c r="D176" s="196"/>
      <c r="E176" s="196"/>
      <c r="F176" s="220"/>
      <c r="G176" s="143"/>
      <c r="H176" s="196"/>
      <c r="I176" s="196"/>
      <c r="J176" s="196"/>
      <c r="K176" s="196"/>
      <c r="L176" s="196"/>
      <c r="M176" s="196"/>
      <c r="N176" s="196"/>
      <c r="O176" s="196"/>
      <c r="P176" s="196"/>
      <c r="Q176" s="196"/>
      <c r="R176" s="196"/>
      <c r="S176" s="196"/>
      <c r="T176" s="196"/>
      <c r="U176" s="196"/>
      <c r="V176" s="196"/>
      <c r="W176" s="196"/>
      <c r="X176" s="196"/>
      <c r="Y176" s="196"/>
      <c r="Z176" s="196"/>
      <c r="AA176" s="196"/>
      <c r="AB176" s="196"/>
    </row>
    <row r="177" spans="1:28" ht="12.9">
      <c r="A177" s="196"/>
      <c r="B177" s="143"/>
      <c r="C177" s="196"/>
      <c r="D177" s="196"/>
      <c r="E177" s="196"/>
      <c r="F177" s="220"/>
      <c r="G177" s="143"/>
      <c r="H177" s="196"/>
      <c r="I177" s="196"/>
      <c r="J177" s="196"/>
      <c r="K177" s="196"/>
      <c r="L177" s="196"/>
      <c r="M177" s="196"/>
      <c r="N177" s="196"/>
      <c r="O177" s="196"/>
      <c r="P177" s="196"/>
      <c r="Q177" s="196"/>
      <c r="R177" s="196"/>
      <c r="S177" s="196"/>
      <c r="T177" s="196"/>
      <c r="U177" s="196"/>
      <c r="V177" s="196"/>
      <c r="W177" s="196"/>
      <c r="X177" s="196"/>
      <c r="Y177" s="196"/>
      <c r="Z177" s="196"/>
      <c r="AA177" s="196"/>
      <c r="AB177" s="196"/>
    </row>
    <row r="178" spans="1:28" ht="12.9">
      <c r="A178" s="196"/>
      <c r="B178" s="143"/>
      <c r="C178" s="196"/>
      <c r="D178" s="196"/>
      <c r="E178" s="196"/>
      <c r="F178" s="220"/>
      <c r="G178" s="143"/>
      <c r="H178" s="196"/>
      <c r="I178" s="196"/>
      <c r="J178" s="196"/>
      <c r="K178" s="196"/>
      <c r="L178" s="196"/>
      <c r="M178" s="196"/>
      <c r="N178" s="196"/>
      <c r="O178" s="196"/>
      <c r="P178" s="196"/>
      <c r="Q178" s="196"/>
      <c r="R178" s="196"/>
      <c r="S178" s="196"/>
      <c r="T178" s="196"/>
      <c r="U178" s="196"/>
      <c r="V178" s="196"/>
      <c r="W178" s="196"/>
      <c r="X178" s="196"/>
      <c r="Y178" s="196"/>
      <c r="Z178" s="196"/>
      <c r="AA178" s="196"/>
      <c r="AB178" s="196"/>
    </row>
    <row r="179" spans="1:28" ht="12.9">
      <c r="A179" s="196"/>
      <c r="B179" s="143"/>
      <c r="C179" s="196"/>
      <c r="D179" s="196"/>
      <c r="E179" s="196"/>
      <c r="F179" s="220"/>
      <c r="G179" s="143"/>
      <c r="H179" s="196"/>
      <c r="I179" s="196"/>
      <c r="J179" s="196"/>
      <c r="K179" s="196"/>
      <c r="L179" s="196"/>
      <c r="M179" s="196"/>
      <c r="N179" s="196"/>
      <c r="O179" s="196"/>
      <c r="P179" s="196"/>
      <c r="Q179" s="196"/>
      <c r="R179" s="196"/>
      <c r="S179" s="196"/>
      <c r="T179" s="196"/>
      <c r="U179" s="196"/>
      <c r="V179" s="196"/>
      <c r="W179" s="196"/>
      <c r="X179" s="196"/>
      <c r="Y179" s="196"/>
      <c r="Z179" s="196"/>
      <c r="AA179" s="196"/>
      <c r="AB179" s="196"/>
    </row>
    <row r="180" spans="1:28" ht="12.9">
      <c r="A180" s="196"/>
      <c r="B180" s="143"/>
      <c r="C180" s="196"/>
      <c r="D180" s="196"/>
      <c r="E180" s="196"/>
      <c r="F180" s="220"/>
      <c r="G180" s="143"/>
      <c r="H180" s="196"/>
      <c r="I180" s="196"/>
      <c r="J180" s="196"/>
      <c r="K180" s="196"/>
      <c r="L180" s="196"/>
      <c r="M180" s="196"/>
      <c r="N180" s="196"/>
      <c r="O180" s="196"/>
      <c r="P180" s="196"/>
      <c r="Q180" s="196"/>
      <c r="R180" s="196"/>
      <c r="S180" s="196"/>
      <c r="T180" s="196"/>
      <c r="U180" s="196"/>
      <c r="V180" s="196"/>
      <c r="W180" s="196"/>
      <c r="X180" s="196"/>
      <c r="Y180" s="196"/>
      <c r="Z180" s="196"/>
      <c r="AA180" s="196"/>
      <c r="AB180" s="196"/>
    </row>
    <row r="181" spans="1:28" ht="12.9">
      <c r="A181" s="196"/>
      <c r="B181" s="143"/>
      <c r="C181" s="196"/>
      <c r="D181" s="196"/>
      <c r="E181" s="196"/>
      <c r="F181" s="220"/>
      <c r="G181" s="143"/>
      <c r="H181" s="196"/>
      <c r="I181" s="196"/>
      <c r="J181" s="196"/>
      <c r="K181" s="196"/>
      <c r="L181" s="196"/>
      <c r="M181" s="196"/>
      <c r="N181" s="196"/>
      <c r="O181" s="196"/>
      <c r="P181" s="196"/>
      <c r="Q181" s="196"/>
      <c r="R181" s="196"/>
      <c r="S181" s="196"/>
      <c r="T181" s="196"/>
      <c r="U181" s="196"/>
      <c r="V181" s="196"/>
      <c r="W181" s="196"/>
      <c r="X181" s="196"/>
      <c r="Y181" s="196"/>
      <c r="Z181" s="196"/>
      <c r="AA181" s="196"/>
      <c r="AB181" s="196"/>
    </row>
    <row r="182" spans="1:28" ht="12.9">
      <c r="A182" s="196"/>
      <c r="B182" s="143"/>
      <c r="C182" s="196"/>
      <c r="D182" s="196"/>
      <c r="E182" s="196"/>
      <c r="F182" s="220"/>
      <c r="G182" s="143"/>
      <c r="H182" s="196"/>
      <c r="I182" s="196"/>
      <c r="J182" s="196"/>
      <c r="K182" s="196"/>
      <c r="L182" s="196"/>
      <c r="M182" s="196"/>
      <c r="N182" s="196"/>
      <c r="O182" s="196"/>
      <c r="P182" s="196"/>
      <c r="Q182" s="196"/>
      <c r="R182" s="196"/>
      <c r="S182" s="196"/>
      <c r="T182" s="196"/>
      <c r="U182" s="196"/>
      <c r="V182" s="196"/>
      <c r="W182" s="196"/>
      <c r="X182" s="196"/>
      <c r="Y182" s="196"/>
      <c r="Z182" s="196"/>
      <c r="AA182" s="196"/>
      <c r="AB182" s="196"/>
    </row>
    <row r="183" spans="1:28" ht="12.9">
      <c r="A183" s="196"/>
      <c r="B183" s="143"/>
      <c r="C183" s="196"/>
      <c r="D183" s="196"/>
      <c r="E183" s="196"/>
      <c r="F183" s="220"/>
      <c r="G183" s="143"/>
      <c r="H183" s="196"/>
      <c r="I183" s="196"/>
      <c r="J183" s="196"/>
      <c r="K183" s="196"/>
      <c r="L183" s="196"/>
      <c r="M183" s="196"/>
      <c r="N183" s="196"/>
      <c r="O183" s="196"/>
      <c r="P183" s="196"/>
      <c r="Q183" s="196"/>
      <c r="R183" s="196"/>
      <c r="S183" s="196"/>
      <c r="T183" s="196"/>
      <c r="U183" s="196"/>
      <c r="V183" s="196"/>
      <c r="W183" s="196"/>
      <c r="X183" s="196"/>
      <c r="Y183" s="196"/>
      <c r="Z183" s="196"/>
      <c r="AA183" s="196"/>
      <c r="AB183" s="196"/>
    </row>
    <row r="184" spans="1:28" ht="12.9">
      <c r="A184" s="196"/>
      <c r="B184" s="143"/>
      <c r="C184" s="196"/>
      <c r="D184" s="196"/>
      <c r="E184" s="196"/>
      <c r="F184" s="220"/>
      <c r="G184" s="143"/>
      <c r="H184" s="196"/>
      <c r="I184" s="196"/>
      <c r="J184" s="196"/>
      <c r="K184" s="196"/>
      <c r="L184" s="196"/>
      <c r="M184" s="196"/>
      <c r="N184" s="196"/>
      <c r="O184" s="196"/>
      <c r="P184" s="196"/>
      <c r="Q184" s="196"/>
      <c r="R184" s="196"/>
      <c r="S184" s="196"/>
      <c r="T184" s="196"/>
      <c r="U184" s="196"/>
      <c r="V184" s="196"/>
      <c r="W184" s="196"/>
      <c r="X184" s="196"/>
      <c r="Y184" s="196"/>
      <c r="Z184" s="196"/>
      <c r="AA184" s="196"/>
      <c r="AB184" s="196"/>
    </row>
    <row r="185" spans="1:28" ht="12.9">
      <c r="A185" s="196"/>
      <c r="B185" s="143"/>
      <c r="C185" s="196"/>
      <c r="D185" s="196"/>
      <c r="E185" s="196"/>
      <c r="F185" s="220"/>
      <c r="G185" s="143"/>
      <c r="H185" s="196"/>
      <c r="I185" s="196"/>
      <c r="J185" s="196"/>
      <c r="K185" s="196"/>
      <c r="L185" s="196"/>
      <c r="M185" s="196"/>
      <c r="N185" s="196"/>
      <c r="O185" s="196"/>
      <c r="P185" s="196"/>
      <c r="Q185" s="196"/>
      <c r="R185" s="196"/>
      <c r="S185" s="196"/>
      <c r="T185" s="196"/>
      <c r="U185" s="196"/>
      <c r="V185" s="196"/>
      <c r="W185" s="196"/>
      <c r="X185" s="196"/>
      <c r="Y185" s="196"/>
      <c r="Z185" s="196"/>
      <c r="AA185" s="196"/>
      <c r="AB185" s="196"/>
    </row>
    <row r="186" spans="1:28" ht="12.9">
      <c r="A186" s="196"/>
      <c r="B186" s="143"/>
      <c r="C186" s="196"/>
      <c r="D186" s="196"/>
      <c r="E186" s="196"/>
      <c r="F186" s="220"/>
      <c r="G186" s="143"/>
      <c r="H186" s="196"/>
      <c r="I186" s="196"/>
      <c r="J186" s="196"/>
      <c r="K186" s="196"/>
      <c r="L186" s="196"/>
      <c r="M186" s="196"/>
      <c r="N186" s="196"/>
      <c r="O186" s="196"/>
      <c r="P186" s="196"/>
      <c r="Q186" s="196"/>
      <c r="R186" s="196"/>
      <c r="S186" s="196"/>
      <c r="T186" s="196"/>
      <c r="U186" s="196"/>
      <c r="V186" s="196"/>
      <c r="W186" s="196"/>
      <c r="X186" s="196"/>
      <c r="Y186" s="196"/>
      <c r="Z186" s="196"/>
      <c r="AA186" s="196"/>
      <c r="AB186" s="196"/>
    </row>
    <row r="187" spans="1:28" ht="12.9">
      <c r="A187" s="196"/>
      <c r="B187" s="143"/>
      <c r="C187" s="196"/>
      <c r="D187" s="196"/>
      <c r="E187" s="196"/>
      <c r="F187" s="220"/>
      <c r="G187" s="143"/>
      <c r="H187" s="196"/>
      <c r="I187" s="196"/>
      <c r="J187" s="196"/>
      <c r="K187" s="196"/>
      <c r="L187" s="196"/>
      <c r="M187" s="196"/>
      <c r="N187" s="196"/>
      <c r="O187" s="196"/>
      <c r="P187" s="196"/>
      <c r="Q187" s="196"/>
      <c r="R187" s="196"/>
      <c r="S187" s="196"/>
      <c r="T187" s="196"/>
      <c r="U187" s="196"/>
      <c r="V187" s="196"/>
      <c r="W187" s="196"/>
      <c r="X187" s="196"/>
      <c r="Y187" s="196"/>
      <c r="Z187" s="196"/>
      <c r="AA187" s="196"/>
      <c r="AB187" s="196"/>
    </row>
    <row r="188" spans="1:28" ht="12.9">
      <c r="A188" s="196"/>
      <c r="B188" s="143"/>
      <c r="C188" s="196"/>
      <c r="D188" s="196"/>
      <c r="E188" s="196"/>
      <c r="F188" s="220"/>
      <c r="G188" s="143"/>
      <c r="H188" s="196"/>
      <c r="I188" s="196"/>
      <c r="J188" s="196"/>
      <c r="K188" s="196"/>
      <c r="L188" s="196"/>
      <c r="M188" s="196"/>
      <c r="N188" s="196"/>
      <c r="O188" s="196"/>
      <c r="P188" s="196"/>
      <c r="Q188" s="196"/>
      <c r="R188" s="196"/>
      <c r="S188" s="196"/>
      <c r="T188" s="196"/>
      <c r="U188" s="196"/>
      <c r="V188" s="196"/>
      <c r="W188" s="196"/>
      <c r="X188" s="196"/>
      <c r="Y188" s="196"/>
      <c r="Z188" s="196"/>
      <c r="AA188" s="196"/>
      <c r="AB188" s="196"/>
    </row>
    <row r="189" spans="1:28" ht="12.9">
      <c r="A189" s="196"/>
      <c r="B189" s="143"/>
      <c r="C189" s="196"/>
      <c r="D189" s="196"/>
      <c r="E189" s="196"/>
      <c r="F189" s="220"/>
      <c r="G189" s="143"/>
      <c r="H189" s="196"/>
      <c r="I189" s="196"/>
      <c r="J189" s="196"/>
      <c r="K189" s="196"/>
      <c r="L189" s="196"/>
      <c r="M189" s="196"/>
      <c r="N189" s="196"/>
      <c r="O189" s="196"/>
      <c r="P189" s="196"/>
      <c r="Q189" s="196"/>
      <c r="R189" s="196"/>
      <c r="S189" s="196"/>
      <c r="T189" s="196"/>
      <c r="U189" s="196"/>
      <c r="V189" s="196"/>
      <c r="W189" s="196"/>
      <c r="X189" s="196"/>
      <c r="Y189" s="196"/>
      <c r="Z189" s="196"/>
      <c r="AA189" s="196"/>
      <c r="AB189" s="196"/>
    </row>
    <row r="190" spans="1:28" ht="12.9">
      <c r="A190" s="196"/>
      <c r="B190" s="143"/>
      <c r="C190" s="196"/>
      <c r="D190" s="196"/>
      <c r="E190" s="196"/>
      <c r="F190" s="220"/>
      <c r="G190" s="143"/>
      <c r="H190" s="196"/>
      <c r="I190" s="196"/>
      <c r="J190" s="196"/>
      <c r="K190" s="196"/>
      <c r="L190" s="196"/>
      <c r="M190" s="196"/>
      <c r="N190" s="196"/>
      <c r="O190" s="196"/>
      <c r="P190" s="196"/>
      <c r="Q190" s="196"/>
      <c r="R190" s="196"/>
      <c r="S190" s="196"/>
      <c r="T190" s="196"/>
      <c r="U190" s="196"/>
      <c r="V190" s="196"/>
      <c r="W190" s="196"/>
      <c r="X190" s="196"/>
      <c r="Y190" s="196"/>
      <c r="Z190" s="196"/>
      <c r="AA190" s="196"/>
      <c r="AB190" s="196"/>
    </row>
    <row r="191" spans="1:28" ht="12.9">
      <c r="A191" s="196"/>
      <c r="B191" s="143"/>
      <c r="C191" s="196"/>
      <c r="D191" s="196"/>
      <c r="E191" s="196"/>
      <c r="F191" s="220"/>
      <c r="G191" s="143"/>
      <c r="H191" s="196"/>
      <c r="I191" s="196"/>
      <c r="J191" s="196"/>
      <c r="K191" s="196"/>
      <c r="L191" s="196"/>
      <c r="M191" s="196"/>
      <c r="N191" s="196"/>
      <c r="O191" s="196"/>
      <c r="P191" s="196"/>
      <c r="Q191" s="196"/>
      <c r="R191" s="196"/>
      <c r="S191" s="196"/>
      <c r="T191" s="196"/>
      <c r="U191" s="196"/>
      <c r="V191" s="196"/>
      <c r="W191" s="196"/>
      <c r="X191" s="196"/>
      <c r="Y191" s="196"/>
      <c r="Z191" s="196"/>
      <c r="AA191" s="196"/>
      <c r="AB191" s="196"/>
    </row>
    <row r="192" spans="1:28" ht="12.9">
      <c r="A192" s="196"/>
      <c r="B192" s="143"/>
      <c r="C192" s="196"/>
      <c r="D192" s="196"/>
      <c r="E192" s="196"/>
      <c r="F192" s="220"/>
      <c r="G192" s="143"/>
      <c r="H192" s="196"/>
      <c r="I192" s="196"/>
      <c r="J192" s="196"/>
      <c r="K192" s="196"/>
      <c r="L192" s="196"/>
      <c r="M192" s="196"/>
      <c r="N192" s="196"/>
      <c r="O192" s="196"/>
      <c r="P192" s="196"/>
      <c r="Q192" s="196"/>
      <c r="R192" s="196"/>
      <c r="S192" s="196"/>
      <c r="T192" s="196"/>
      <c r="U192" s="196"/>
      <c r="V192" s="196"/>
      <c r="W192" s="196"/>
      <c r="X192" s="196"/>
      <c r="Y192" s="196"/>
      <c r="Z192" s="196"/>
      <c r="AA192" s="196"/>
      <c r="AB192" s="196"/>
    </row>
    <row r="193" spans="1:28" ht="12.9">
      <c r="A193" s="196"/>
      <c r="B193" s="143"/>
      <c r="C193" s="196"/>
      <c r="D193" s="196"/>
      <c r="E193" s="196"/>
      <c r="F193" s="220"/>
      <c r="G193" s="143"/>
      <c r="H193" s="196"/>
      <c r="I193" s="196"/>
      <c r="J193" s="196"/>
      <c r="K193" s="196"/>
      <c r="L193" s="196"/>
      <c r="M193" s="196"/>
      <c r="N193" s="196"/>
      <c r="O193" s="196"/>
      <c r="P193" s="196"/>
      <c r="Q193" s="196"/>
      <c r="R193" s="196"/>
      <c r="S193" s="196"/>
      <c r="T193" s="196"/>
      <c r="U193" s="196"/>
      <c r="V193" s="196"/>
      <c r="W193" s="196"/>
      <c r="X193" s="196"/>
      <c r="Y193" s="196"/>
      <c r="Z193" s="196"/>
      <c r="AA193" s="196"/>
      <c r="AB193" s="196"/>
    </row>
    <row r="194" spans="1:28" ht="12.9">
      <c r="A194" s="196"/>
      <c r="B194" s="143"/>
      <c r="C194" s="196"/>
      <c r="D194" s="196"/>
      <c r="E194" s="196"/>
      <c r="F194" s="220"/>
      <c r="G194" s="143"/>
      <c r="H194" s="196"/>
      <c r="I194" s="196"/>
      <c r="J194" s="196"/>
      <c r="K194" s="196"/>
      <c r="L194" s="196"/>
      <c r="M194" s="196"/>
      <c r="N194" s="196"/>
      <c r="O194" s="196"/>
      <c r="P194" s="196"/>
      <c r="Q194" s="196"/>
      <c r="R194" s="196"/>
      <c r="S194" s="196"/>
      <c r="T194" s="196"/>
      <c r="U194" s="196"/>
      <c r="V194" s="196"/>
      <c r="W194" s="196"/>
      <c r="X194" s="196"/>
      <c r="Y194" s="196"/>
      <c r="Z194" s="196"/>
      <c r="AA194" s="196"/>
      <c r="AB194" s="196"/>
    </row>
    <row r="195" spans="1:28" ht="12.9">
      <c r="A195" s="196"/>
      <c r="B195" s="143"/>
      <c r="C195" s="196"/>
      <c r="D195" s="196"/>
      <c r="E195" s="196"/>
      <c r="F195" s="220"/>
      <c r="G195" s="143"/>
      <c r="H195" s="196"/>
      <c r="I195" s="196"/>
      <c r="J195" s="196"/>
      <c r="K195" s="196"/>
      <c r="L195" s="196"/>
      <c r="M195" s="196"/>
      <c r="N195" s="196"/>
      <c r="O195" s="196"/>
      <c r="P195" s="196"/>
      <c r="Q195" s="196"/>
      <c r="R195" s="196"/>
      <c r="S195" s="196"/>
      <c r="T195" s="196"/>
      <c r="U195" s="196"/>
      <c r="V195" s="196"/>
      <c r="W195" s="196"/>
      <c r="X195" s="196"/>
      <c r="Y195" s="196"/>
      <c r="Z195" s="196"/>
      <c r="AA195" s="196"/>
      <c r="AB195" s="196"/>
    </row>
    <row r="196" spans="1:28" ht="12.9">
      <c r="A196" s="196"/>
      <c r="B196" s="143"/>
      <c r="C196" s="196"/>
      <c r="D196" s="196"/>
      <c r="E196" s="196"/>
      <c r="F196" s="220"/>
      <c r="G196" s="143"/>
      <c r="H196" s="196"/>
      <c r="I196" s="196"/>
      <c r="J196" s="196"/>
      <c r="K196" s="196"/>
      <c r="L196" s="196"/>
      <c r="M196" s="196"/>
      <c r="N196" s="196"/>
      <c r="O196" s="196"/>
      <c r="P196" s="196"/>
      <c r="Q196" s="196"/>
      <c r="R196" s="196"/>
      <c r="S196" s="196"/>
      <c r="T196" s="196"/>
      <c r="U196" s="196"/>
      <c r="V196" s="196"/>
      <c r="W196" s="196"/>
      <c r="X196" s="196"/>
      <c r="Y196" s="196"/>
      <c r="Z196" s="196"/>
      <c r="AA196" s="196"/>
      <c r="AB196" s="196"/>
    </row>
    <row r="197" spans="1:28" ht="12.9">
      <c r="A197" s="196"/>
      <c r="B197" s="143"/>
      <c r="C197" s="196"/>
      <c r="D197" s="196"/>
      <c r="E197" s="196"/>
      <c r="F197" s="220"/>
      <c r="G197" s="143"/>
      <c r="H197" s="196"/>
      <c r="I197" s="196"/>
      <c r="J197" s="196"/>
      <c r="K197" s="196"/>
      <c r="L197" s="196"/>
      <c r="M197" s="196"/>
      <c r="N197" s="196"/>
      <c r="O197" s="196"/>
      <c r="P197" s="196"/>
      <c r="Q197" s="196"/>
      <c r="R197" s="196"/>
      <c r="S197" s="196"/>
      <c r="T197" s="196"/>
      <c r="U197" s="196"/>
      <c r="V197" s="196"/>
      <c r="W197" s="196"/>
      <c r="X197" s="196"/>
      <c r="Y197" s="196"/>
      <c r="Z197" s="196"/>
      <c r="AA197" s="196"/>
      <c r="AB197" s="196"/>
    </row>
    <row r="198" spans="1:28" ht="12.9">
      <c r="A198" s="196"/>
      <c r="B198" s="143"/>
      <c r="C198" s="196"/>
      <c r="D198" s="196"/>
      <c r="E198" s="196"/>
      <c r="F198" s="220"/>
      <c r="G198" s="143"/>
      <c r="H198" s="196"/>
      <c r="I198" s="196"/>
      <c r="J198" s="196"/>
      <c r="K198" s="196"/>
      <c r="L198" s="196"/>
      <c r="M198" s="196"/>
      <c r="N198" s="196"/>
      <c r="O198" s="196"/>
      <c r="P198" s="196"/>
      <c r="Q198" s="196"/>
      <c r="R198" s="196"/>
      <c r="S198" s="196"/>
      <c r="T198" s="196"/>
      <c r="U198" s="196"/>
      <c r="V198" s="196"/>
      <c r="W198" s="196"/>
      <c r="X198" s="196"/>
      <c r="Y198" s="196"/>
      <c r="Z198" s="196"/>
      <c r="AA198" s="196"/>
      <c r="AB198" s="196"/>
    </row>
    <row r="199" spans="1:28" ht="12.9">
      <c r="A199" s="196"/>
      <c r="B199" s="143"/>
      <c r="C199" s="196"/>
      <c r="D199" s="196"/>
      <c r="E199" s="196"/>
      <c r="F199" s="220"/>
      <c r="G199" s="143"/>
      <c r="H199" s="196"/>
      <c r="I199" s="196"/>
      <c r="J199" s="196"/>
      <c r="K199" s="196"/>
      <c r="L199" s="196"/>
      <c r="M199" s="196"/>
      <c r="N199" s="196"/>
      <c r="O199" s="196"/>
      <c r="P199" s="196"/>
      <c r="Q199" s="196"/>
      <c r="R199" s="196"/>
      <c r="S199" s="196"/>
      <c r="T199" s="196"/>
      <c r="U199" s="196"/>
      <c r="V199" s="196"/>
      <c r="W199" s="196"/>
      <c r="X199" s="196"/>
      <c r="Y199" s="196"/>
      <c r="Z199" s="196"/>
      <c r="AA199" s="196"/>
      <c r="AB199" s="196"/>
    </row>
    <row r="200" spans="1:28" ht="12.9">
      <c r="A200" s="196"/>
      <c r="B200" s="143"/>
      <c r="C200" s="196"/>
      <c r="D200" s="196"/>
      <c r="E200" s="196"/>
      <c r="F200" s="220"/>
      <c r="G200" s="143"/>
      <c r="H200" s="196"/>
      <c r="I200" s="196"/>
      <c r="J200" s="196"/>
      <c r="K200" s="196"/>
      <c r="L200" s="196"/>
      <c r="M200" s="196"/>
      <c r="N200" s="196"/>
      <c r="O200" s="196"/>
      <c r="P200" s="196"/>
      <c r="Q200" s="196"/>
      <c r="R200" s="196"/>
      <c r="S200" s="196"/>
      <c r="T200" s="196"/>
      <c r="U200" s="196"/>
      <c r="V200" s="196"/>
      <c r="W200" s="196"/>
      <c r="X200" s="196"/>
      <c r="Y200" s="196"/>
      <c r="Z200" s="196"/>
      <c r="AA200" s="196"/>
      <c r="AB200" s="196"/>
    </row>
    <row r="201" spans="1:28" ht="12.9">
      <c r="A201" s="196"/>
      <c r="B201" s="143"/>
      <c r="C201" s="196"/>
      <c r="D201" s="196"/>
      <c r="E201" s="196"/>
      <c r="F201" s="220"/>
      <c r="G201" s="143"/>
      <c r="H201" s="196"/>
      <c r="I201" s="196"/>
      <c r="J201" s="196"/>
      <c r="K201" s="196"/>
      <c r="L201" s="196"/>
      <c r="M201" s="196"/>
      <c r="N201" s="196"/>
      <c r="O201" s="196"/>
      <c r="P201" s="196"/>
      <c r="Q201" s="196"/>
      <c r="R201" s="196"/>
      <c r="S201" s="196"/>
      <c r="T201" s="196"/>
      <c r="U201" s="196"/>
      <c r="V201" s="196"/>
      <c r="W201" s="196"/>
      <c r="X201" s="196"/>
      <c r="Y201" s="196"/>
      <c r="Z201" s="196"/>
      <c r="AA201" s="196"/>
      <c r="AB201" s="196"/>
    </row>
    <row r="202" spans="1:28" ht="12.9">
      <c r="A202" s="196"/>
      <c r="B202" s="143"/>
      <c r="C202" s="196"/>
      <c r="D202" s="196"/>
      <c r="E202" s="196"/>
      <c r="F202" s="220"/>
      <c r="G202" s="143"/>
      <c r="H202" s="196"/>
      <c r="I202" s="196"/>
      <c r="J202" s="196"/>
      <c r="K202" s="196"/>
      <c r="L202" s="196"/>
      <c r="M202" s="196"/>
      <c r="N202" s="196"/>
      <c r="O202" s="196"/>
      <c r="P202" s="196"/>
      <c r="Q202" s="196"/>
      <c r="R202" s="196"/>
      <c r="S202" s="196"/>
      <c r="T202" s="196"/>
      <c r="U202" s="196"/>
      <c r="V202" s="196"/>
      <c r="W202" s="196"/>
      <c r="X202" s="196"/>
      <c r="Y202" s="196"/>
      <c r="Z202" s="196"/>
      <c r="AA202" s="196"/>
      <c r="AB202" s="196"/>
    </row>
    <row r="203" spans="1:28" ht="12.9">
      <c r="A203" s="196"/>
      <c r="B203" s="143"/>
      <c r="C203" s="196"/>
      <c r="D203" s="196"/>
      <c r="E203" s="196"/>
      <c r="F203" s="220"/>
      <c r="G203" s="143"/>
      <c r="H203" s="196"/>
      <c r="I203" s="196"/>
      <c r="J203" s="196"/>
      <c r="K203" s="196"/>
      <c r="L203" s="196"/>
      <c r="M203" s="196"/>
      <c r="N203" s="196"/>
      <c r="O203" s="196"/>
      <c r="P203" s="196"/>
      <c r="Q203" s="196"/>
      <c r="R203" s="196"/>
      <c r="S203" s="196"/>
      <c r="T203" s="196"/>
      <c r="U203" s="196"/>
      <c r="V203" s="196"/>
      <c r="W203" s="196"/>
      <c r="X203" s="196"/>
      <c r="Y203" s="196"/>
      <c r="Z203" s="196"/>
      <c r="AA203" s="196"/>
      <c r="AB203" s="196"/>
    </row>
    <row r="204" spans="1:28" ht="12.9">
      <c r="A204" s="196"/>
      <c r="B204" s="143"/>
      <c r="C204" s="196"/>
      <c r="D204" s="196"/>
      <c r="E204" s="196"/>
      <c r="F204" s="220"/>
      <c r="G204" s="143"/>
      <c r="H204" s="196"/>
      <c r="I204" s="196"/>
      <c r="J204" s="196"/>
      <c r="K204" s="196"/>
      <c r="L204" s="196"/>
      <c r="M204" s="196"/>
      <c r="N204" s="196"/>
      <c r="O204" s="196"/>
      <c r="P204" s="196"/>
      <c r="Q204" s="196"/>
      <c r="R204" s="196"/>
      <c r="S204" s="196"/>
      <c r="T204" s="196"/>
      <c r="U204" s="196"/>
      <c r="V204" s="196"/>
      <c r="W204" s="196"/>
      <c r="X204" s="196"/>
      <c r="Y204" s="196"/>
      <c r="Z204" s="196"/>
      <c r="AA204" s="196"/>
      <c r="AB204" s="196"/>
    </row>
    <row r="205" spans="1:28" ht="12.9">
      <c r="A205" s="196"/>
      <c r="B205" s="143"/>
      <c r="C205" s="196"/>
      <c r="D205" s="196"/>
      <c r="E205" s="196"/>
      <c r="F205" s="220"/>
      <c r="G205" s="143"/>
      <c r="H205" s="196"/>
      <c r="I205" s="196"/>
      <c r="J205" s="196"/>
      <c r="K205" s="196"/>
      <c r="L205" s="196"/>
      <c r="M205" s="196"/>
      <c r="N205" s="196"/>
      <c r="O205" s="196"/>
      <c r="P205" s="196"/>
      <c r="Q205" s="196"/>
      <c r="R205" s="196"/>
      <c r="S205" s="196"/>
      <c r="T205" s="196"/>
      <c r="U205" s="196"/>
      <c r="V205" s="196"/>
      <c r="W205" s="196"/>
      <c r="X205" s="196"/>
      <c r="Y205" s="196"/>
      <c r="Z205" s="196"/>
      <c r="AA205" s="196"/>
      <c r="AB205" s="196"/>
    </row>
    <row r="206" spans="1:28" ht="12.9">
      <c r="A206" s="196"/>
      <c r="B206" s="143"/>
      <c r="C206" s="196"/>
      <c r="D206" s="196"/>
      <c r="E206" s="196"/>
      <c r="F206" s="220"/>
      <c r="G206" s="143"/>
      <c r="H206" s="196"/>
      <c r="I206" s="196"/>
      <c r="J206" s="196"/>
      <c r="K206" s="196"/>
      <c r="L206" s="196"/>
      <c r="M206" s="196"/>
      <c r="N206" s="196"/>
      <c r="O206" s="196"/>
      <c r="P206" s="196"/>
      <c r="Q206" s="196"/>
      <c r="R206" s="196"/>
      <c r="S206" s="196"/>
      <c r="T206" s="196"/>
      <c r="U206" s="196"/>
      <c r="V206" s="196"/>
      <c r="W206" s="196"/>
      <c r="X206" s="196"/>
      <c r="Y206" s="196"/>
      <c r="Z206" s="196"/>
      <c r="AA206" s="196"/>
      <c r="AB206" s="196"/>
    </row>
    <row r="207" spans="1:28" ht="12.9">
      <c r="A207" s="196"/>
      <c r="B207" s="143"/>
      <c r="C207" s="196"/>
      <c r="D207" s="196"/>
      <c r="E207" s="196"/>
      <c r="F207" s="220"/>
      <c r="G207" s="143"/>
      <c r="H207" s="196"/>
      <c r="I207" s="196"/>
      <c r="J207" s="196"/>
      <c r="K207" s="196"/>
      <c r="L207" s="196"/>
      <c r="M207" s="196"/>
      <c r="N207" s="196"/>
      <c r="O207" s="196"/>
      <c r="P207" s="196"/>
      <c r="Q207" s="196"/>
      <c r="R207" s="196"/>
      <c r="S207" s="196"/>
      <c r="T207" s="196"/>
      <c r="U207" s="196"/>
      <c r="V207" s="196"/>
      <c r="W207" s="196"/>
      <c r="X207" s="196"/>
      <c r="Y207" s="196"/>
      <c r="Z207" s="196"/>
      <c r="AA207" s="196"/>
      <c r="AB207" s="196"/>
    </row>
    <row r="208" spans="1:28" ht="12.9">
      <c r="A208" s="196"/>
      <c r="B208" s="143"/>
      <c r="C208" s="196"/>
      <c r="D208" s="196"/>
      <c r="E208" s="196"/>
      <c r="F208" s="220"/>
      <c r="G208" s="143"/>
      <c r="H208" s="196"/>
      <c r="I208" s="196"/>
      <c r="J208" s="196"/>
      <c r="K208" s="196"/>
      <c r="L208" s="196"/>
      <c r="M208" s="196"/>
      <c r="N208" s="196"/>
      <c r="O208" s="196"/>
      <c r="P208" s="196"/>
      <c r="Q208" s="196"/>
      <c r="R208" s="196"/>
      <c r="S208" s="196"/>
      <c r="T208" s="196"/>
      <c r="U208" s="196"/>
      <c r="V208" s="196"/>
      <c r="W208" s="196"/>
      <c r="X208" s="196"/>
      <c r="Y208" s="196"/>
      <c r="Z208" s="196"/>
      <c r="AA208" s="196"/>
      <c r="AB208" s="196"/>
    </row>
    <row r="209" spans="1:28" ht="12.9">
      <c r="A209" s="196"/>
      <c r="B209" s="143"/>
      <c r="C209" s="196"/>
      <c r="D209" s="196"/>
      <c r="E209" s="196"/>
      <c r="F209" s="220"/>
      <c r="G209" s="143"/>
      <c r="H209" s="196"/>
      <c r="I209" s="196"/>
      <c r="J209" s="196"/>
      <c r="K209" s="196"/>
      <c r="L209" s="196"/>
      <c r="M209" s="196"/>
      <c r="N209" s="196"/>
      <c r="O209" s="196"/>
      <c r="P209" s="196"/>
      <c r="Q209" s="196"/>
      <c r="R209" s="196"/>
      <c r="S209" s="196"/>
      <c r="T209" s="196"/>
      <c r="U209" s="196"/>
      <c r="V209" s="196"/>
      <c r="W209" s="196"/>
      <c r="X209" s="196"/>
      <c r="Y209" s="196"/>
      <c r="Z209" s="196"/>
      <c r="AA209" s="196"/>
      <c r="AB209" s="196"/>
    </row>
    <row r="210" spans="1:28" ht="12.9">
      <c r="A210" s="196"/>
      <c r="B210" s="143"/>
      <c r="C210" s="196"/>
      <c r="D210" s="196"/>
      <c r="E210" s="196"/>
      <c r="F210" s="220"/>
      <c r="G210" s="143"/>
      <c r="H210" s="196"/>
      <c r="I210" s="196"/>
      <c r="J210" s="196"/>
      <c r="K210" s="196"/>
      <c r="L210" s="196"/>
      <c r="M210" s="196"/>
      <c r="N210" s="196"/>
      <c r="O210" s="196"/>
      <c r="P210" s="196"/>
      <c r="Q210" s="196"/>
      <c r="R210" s="196"/>
      <c r="S210" s="196"/>
      <c r="T210" s="196"/>
      <c r="U210" s="196"/>
      <c r="V210" s="196"/>
      <c r="W210" s="196"/>
      <c r="X210" s="196"/>
      <c r="Y210" s="196"/>
      <c r="Z210" s="196"/>
      <c r="AA210" s="196"/>
      <c r="AB210" s="196"/>
    </row>
    <row r="211" spans="1:28" ht="12.9">
      <c r="A211" s="196"/>
      <c r="B211" s="143"/>
      <c r="C211" s="196"/>
      <c r="D211" s="196"/>
      <c r="E211" s="196"/>
      <c r="F211" s="220"/>
      <c r="G211" s="143"/>
      <c r="H211" s="196"/>
      <c r="I211" s="196"/>
      <c r="J211" s="196"/>
      <c r="K211" s="196"/>
      <c r="L211" s="196"/>
      <c r="M211" s="196"/>
      <c r="N211" s="196"/>
      <c r="O211" s="196"/>
      <c r="P211" s="196"/>
      <c r="Q211" s="196"/>
      <c r="R211" s="196"/>
      <c r="S211" s="196"/>
      <c r="T211" s="196"/>
      <c r="U211" s="196"/>
      <c r="V211" s="196"/>
      <c r="W211" s="196"/>
      <c r="X211" s="196"/>
      <c r="Y211" s="196"/>
      <c r="Z211" s="196"/>
      <c r="AA211" s="196"/>
      <c r="AB211" s="196"/>
    </row>
    <row r="212" spans="1:28" ht="12.9">
      <c r="A212" s="196"/>
      <c r="B212" s="143"/>
      <c r="C212" s="196"/>
      <c r="D212" s="196"/>
      <c r="E212" s="196"/>
      <c r="F212" s="220"/>
      <c r="G212" s="143"/>
      <c r="H212" s="196"/>
      <c r="I212" s="196"/>
      <c r="J212" s="196"/>
      <c r="K212" s="196"/>
      <c r="L212" s="196"/>
      <c r="M212" s="196"/>
      <c r="N212" s="196"/>
      <c r="O212" s="196"/>
      <c r="P212" s="196"/>
      <c r="Q212" s="196"/>
      <c r="R212" s="196"/>
      <c r="S212" s="196"/>
      <c r="T212" s="196"/>
      <c r="U212" s="196"/>
      <c r="V212" s="196"/>
      <c r="W212" s="196"/>
      <c r="X212" s="196"/>
      <c r="Y212" s="196"/>
      <c r="Z212" s="196"/>
      <c r="AA212" s="196"/>
      <c r="AB212" s="196"/>
    </row>
    <row r="213" spans="1:28" ht="12.9">
      <c r="A213" s="196"/>
      <c r="B213" s="143"/>
      <c r="C213" s="196"/>
      <c r="D213" s="196"/>
      <c r="E213" s="196"/>
      <c r="F213" s="220"/>
      <c r="G213" s="143"/>
      <c r="H213" s="196"/>
      <c r="I213" s="196"/>
      <c r="J213" s="196"/>
      <c r="K213" s="196"/>
      <c r="L213" s="196"/>
      <c r="M213" s="196"/>
      <c r="N213" s="196"/>
      <c r="O213" s="196"/>
      <c r="P213" s="196"/>
      <c r="Q213" s="196"/>
      <c r="R213" s="196"/>
      <c r="S213" s="196"/>
      <c r="T213" s="196"/>
      <c r="U213" s="196"/>
      <c r="V213" s="196"/>
      <c r="W213" s="196"/>
      <c r="X213" s="196"/>
      <c r="Y213" s="196"/>
      <c r="Z213" s="196"/>
      <c r="AA213" s="196"/>
      <c r="AB213" s="196"/>
    </row>
    <row r="214" spans="1:28" ht="12.9">
      <c r="A214" s="196"/>
      <c r="B214" s="143"/>
      <c r="C214" s="196"/>
      <c r="D214" s="196"/>
      <c r="E214" s="196"/>
      <c r="F214" s="220"/>
      <c r="G214" s="143"/>
      <c r="H214" s="196"/>
      <c r="I214" s="196"/>
      <c r="J214" s="196"/>
      <c r="K214" s="196"/>
      <c r="L214" s="196"/>
      <c r="M214" s="196"/>
      <c r="N214" s="196"/>
      <c r="O214" s="196"/>
      <c r="P214" s="196"/>
      <c r="Q214" s="196"/>
      <c r="R214" s="196"/>
      <c r="S214" s="196"/>
      <c r="T214" s="196"/>
      <c r="U214" s="196"/>
      <c r="V214" s="196"/>
      <c r="W214" s="196"/>
      <c r="X214" s="196"/>
      <c r="Y214" s="196"/>
      <c r="Z214" s="196"/>
      <c r="AA214" s="196"/>
      <c r="AB214" s="196"/>
    </row>
    <row r="215" spans="1:28" ht="12.9">
      <c r="A215" s="196"/>
      <c r="B215" s="143"/>
      <c r="C215" s="196"/>
      <c r="D215" s="196"/>
      <c r="E215" s="196"/>
      <c r="F215" s="220"/>
      <c r="G215" s="143"/>
      <c r="H215" s="196"/>
      <c r="I215" s="196"/>
      <c r="J215" s="196"/>
      <c r="K215" s="196"/>
      <c r="L215" s="196"/>
      <c r="M215" s="196"/>
      <c r="N215" s="196"/>
      <c r="O215" s="196"/>
      <c r="P215" s="196"/>
      <c r="Q215" s="196"/>
      <c r="R215" s="196"/>
      <c r="S215" s="196"/>
      <c r="T215" s="196"/>
      <c r="U215" s="196"/>
      <c r="V215" s="196"/>
      <c r="W215" s="196"/>
      <c r="X215" s="196"/>
      <c r="Y215" s="196"/>
      <c r="Z215" s="196"/>
      <c r="AA215" s="196"/>
      <c r="AB215" s="196"/>
    </row>
    <row r="216" spans="1:28" ht="12.9">
      <c r="A216" s="196"/>
      <c r="B216" s="143"/>
      <c r="C216" s="196"/>
      <c r="D216" s="196"/>
      <c r="E216" s="196"/>
      <c r="F216" s="220"/>
      <c r="G216" s="143"/>
      <c r="H216" s="196"/>
      <c r="I216" s="196"/>
      <c r="J216" s="196"/>
      <c r="K216" s="196"/>
      <c r="L216" s="196"/>
      <c r="M216" s="196"/>
      <c r="N216" s="196"/>
      <c r="O216" s="196"/>
      <c r="P216" s="196"/>
      <c r="Q216" s="196"/>
      <c r="R216" s="196"/>
      <c r="S216" s="196"/>
      <c r="T216" s="196"/>
      <c r="U216" s="196"/>
      <c r="V216" s="196"/>
      <c r="W216" s="196"/>
      <c r="X216" s="196"/>
      <c r="Y216" s="196"/>
      <c r="Z216" s="196"/>
      <c r="AA216" s="196"/>
      <c r="AB216" s="196"/>
    </row>
    <row r="217" spans="1:28" ht="12.9">
      <c r="A217" s="196"/>
      <c r="B217" s="143"/>
      <c r="C217" s="196"/>
      <c r="D217" s="196"/>
      <c r="E217" s="196"/>
      <c r="F217" s="220"/>
      <c r="G217" s="143"/>
      <c r="H217" s="196"/>
      <c r="I217" s="196"/>
      <c r="J217" s="196"/>
      <c r="K217" s="196"/>
      <c r="L217" s="196"/>
      <c r="M217" s="196"/>
      <c r="N217" s="196"/>
      <c r="O217" s="196"/>
      <c r="P217" s="196"/>
      <c r="Q217" s="196"/>
      <c r="R217" s="196"/>
      <c r="S217" s="196"/>
      <c r="T217" s="196"/>
      <c r="U217" s="196"/>
      <c r="V217" s="196"/>
      <c r="W217" s="196"/>
      <c r="X217" s="196"/>
      <c r="Y217" s="196"/>
      <c r="Z217" s="196"/>
      <c r="AA217" s="196"/>
      <c r="AB217" s="196"/>
    </row>
    <row r="218" spans="1:28" ht="12.9">
      <c r="A218" s="196"/>
      <c r="B218" s="143"/>
      <c r="C218" s="196"/>
      <c r="D218" s="196"/>
      <c r="E218" s="196"/>
      <c r="F218" s="220"/>
      <c r="G218" s="143"/>
      <c r="H218" s="196"/>
      <c r="I218" s="196"/>
      <c r="J218" s="196"/>
      <c r="K218" s="196"/>
      <c r="L218" s="196"/>
      <c r="M218" s="196"/>
      <c r="N218" s="196"/>
      <c r="O218" s="196"/>
      <c r="P218" s="196"/>
      <c r="Q218" s="196"/>
      <c r="R218" s="196"/>
      <c r="S218" s="196"/>
      <c r="T218" s="196"/>
      <c r="U218" s="196"/>
      <c r="V218" s="196"/>
      <c r="W218" s="196"/>
      <c r="X218" s="196"/>
      <c r="Y218" s="196"/>
      <c r="Z218" s="196"/>
      <c r="AA218" s="196"/>
      <c r="AB218" s="196"/>
    </row>
    <row r="219" spans="1:28" ht="12.9">
      <c r="A219" s="196"/>
      <c r="B219" s="143"/>
      <c r="C219" s="196"/>
      <c r="D219" s="196"/>
      <c r="E219" s="196"/>
      <c r="F219" s="220"/>
      <c r="G219" s="143"/>
      <c r="H219" s="196"/>
      <c r="I219" s="196"/>
      <c r="J219" s="196"/>
      <c r="K219" s="196"/>
      <c r="L219" s="196"/>
      <c r="M219" s="196"/>
      <c r="N219" s="196"/>
      <c r="O219" s="196"/>
      <c r="P219" s="196"/>
      <c r="Q219" s="196"/>
      <c r="R219" s="196"/>
      <c r="S219" s="196"/>
      <c r="T219" s="196"/>
      <c r="U219" s="196"/>
      <c r="V219" s="196"/>
      <c r="W219" s="196"/>
      <c r="X219" s="196"/>
      <c r="Y219" s="196"/>
      <c r="Z219" s="196"/>
      <c r="AA219" s="196"/>
      <c r="AB219" s="196"/>
    </row>
    <row r="220" spans="1:28" ht="12.9">
      <c r="A220" s="196"/>
      <c r="B220" s="143"/>
      <c r="C220" s="196"/>
      <c r="D220" s="196"/>
      <c r="E220" s="196"/>
      <c r="F220" s="220"/>
      <c r="G220" s="143"/>
      <c r="H220" s="196"/>
      <c r="I220" s="196"/>
      <c r="J220" s="196"/>
      <c r="K220" s="196"/>
      <c r="L220" s="196"/>
      <c r="M220" s="196"/>
      <c r="N220" s="196"/>
      <c r="O220" s="196"/>
      <c r="P220" s="196"/>
      <c r="Q220" s="196"/>
      <c r="R220" s="196"/>
      <c r="S220" s="196"/>
      <c r="T220" s="196"/>
      <c r="U220" s="196"/>
      <c r="V220" s="196"/>
      <c r="W220" s="196"/>
      <c r="X220" s="196"/>
      <c r="Y220" s="196"/>
      <c r="Z220" s="196"/>
      <c r="AA220" s="196"/>
      <c r="AB220" s="196"/>
    </row>
    <row r="221" spans="1:28" ht="12.9">
      <c r="A221" s="196"/>
      <c r="B221" s="143"/>
      <c r="C221" s="196"/>
      <c r="D221" s="196"/>
      <c r="E221" s="196"/>
      <c r="F221" s="220"/>
      <c r="G221" s="143"/>
      <c r="H221" s="196"/>
      <c r="I221" s="196"/>
      <c r="J221" s="196"/>
      <c r="K221" s="196"/>
      <c r="L221" s="196"/>
      <c r="M221" s="196"/>
      <c r="N221" s="196"/>
      <c r="O221" s="196"/>
      <c r="P221" s="196"/>
      <c r="Q221" s="196"/>
      <c r="R221" s="196"/>
      <c r="S221" s="196"/>
      <c r="T221" s="196"/>
      <c r="U221" s="196"/>
      <c r="V221" s="196"/>
      <c r="W221" s="196"/>
      <c r="X221" s="196"/>
      <c r="Y221" s="196"/>
      <c r="Z221" s="196"/>
      <c r="AA221" s="196"/>
      <c r="AB221" s="196"/>
    </row>
    <row r="222" spans="1:28" ht="12.9">
      <c r="A222" s="196"/>
      <c r="B222" s="143"/>
      <c r="C222" s="196"/>
      <c r="D222" s="196"/>
      <c r="E222" s="196"/>
      <c r="F222" s="220"/>
      <c r="G222" s="143"/>
      <c r="H222" s="196"/>
      <c r="I222" s="196"/>
      <c r="J222" s="196"/>
      <c r="K222" s="196"/>
      <c r="L222" s="196"/>
      <c r="M222" s="196"/>
      <c r="N222" s="196"/>
      <c r="O222" s="196"/>
      <c r="P222" s="196"/>
      <c r="Q222" s="196"/>
      <c r="R222" s="196"/>
      <c r="S222" s="196"/>
      <c r="T222" s="196"/>
      <c r="U222" s="196"/>
      <c r="V222" s="196"/>
      <c r="W222" s="196"/>
      <c r="X222" s="196"/>
      <c r="Y222" s="196"/>
      <c r="Z222" s="196"/>
      <c r="AA222" s="196"/>
      <c r="AB222" s="196"/>
    </row>
    <row r="223" spans="1:28" ht="12.9">
      <c r="A223" s="196"/>
      <c r="B223" s="143"/>
      <c r="C223" s="196"/>
      <c r="D223" s="196"/>
      <c r="E223" s="196"/>
      <c r="F223" s="220"/>
      <c r="G223" s="143"/>
      <c r="H223" s="196"/>
      <c r="I223" s="196"/>
      <c r="J223" s="196"/>
      <c r="K223" s="196"/>
      <c r="L223" s="196"/>
      <c r="M223" s="196"/>
      <c r="N223" s="196"/>
      <c r="O223" s="196"/>
      <c r="P223" s="196"/>
      <c r="Q223" s="196"/>
      <c r="R223" s="196"/>
      <c r="S223" s="196"/>
      <c r="T223" s="196"/>
      <c r="U223" s="196"/>
      <c r="V223" s="196"/>
      <c r="W223" s="196"/>
      <c r="X223" s="196"/>
      <c r="Y223" s="196"/>
      <c r="Z223" s="196"/>
      <c r="AA223" s="196"/>
      <c r="AB223" s="196"/>
    </row>
    <row r="224" spans="1:28" ht="12.9">
      <c r="A224" s="196"/>
      <c r="B224" s="143"/>
      <c r="C224" s="196"/>
      <c r="D224" s="196"/>
      <c r="E224" s="196"/>
      <c r="F224" s="220"/>
      <c r="G224" s="143"/>
      <c r="H224" s="196"/>
      <c r="I224" s="196"/>
      <c r="J224" s="196"/>
      <c r="K224" s="196"/>
      <c r="L224" s="196"/>
      <c r="M224" s="196"/>
      <c r="N224" s="196"/>
      <c r="O224" s="196"/>
      <c r="P224" s="196"/>
      <c r="Q224" s="196"/>
      <c r="R224" s="196"/>
      <c r="S224" s="196"/>
      <c r="T224" s="196"/>
      <c r="U224" s="196"/>
      <c r="V224" s="196"/>
      <c r="W224" s="196"/>
      <c r="X224" s="196"/>
      <c r="Y224" s="196"/>
      <c r="Z224" s="196"/>
      <c r="AA224" s="196"/>
      <c r="AB224" s="196"/>
    </row>
    <row r="225" spans="1:28" ht="12.9">
      <c r="A225" s="196"/>
      <c r="B225" s="143"/>
      <c r="C225" s="196"/>
      <c r="D225" s="196"/>
      <c r="E225" s="196"/>
      <c r="F225" s="220"/>
      <c r="G225" s="143"/>
      <c r="H225" s="196"/>
      <c r="I225" s="196"/>
      <c r="J225" s="196"/>
      <c r="K225" s="196"/>
      <c r="L225" s="196"/>
      <c r="M225" s="196"/>
      <c r="N225" s="196"/>
      <c r="O225" s="196"/>
      <c r="P225" s="196"/>
      <c r="Q225" s="196"/>
      <c r="R225" s="196"/>
      <c r="S225" s="196"/>
      <c r="T225" s="196"/>
      <c r="U225" s="196"/>
      <c r="V225" s="196"/>
      <c r="W225" s="196"/>
      <c r="X225" s="196"/>
      <c r="Y225" s="196"/>
      <c r="Z225" s="196"/>
      <c r="AA225" s="196"/>
      <c r="AB225" s="196"/>
    </row>
    <row r="226" spans="1:28" ht="12.9">
      <c r="A226" s="196"/>
      <c r="B226" s="143"/>
      <c r="C226" s="196"/>
      <c r="D226" s="196"/>
      <c r="E226" s="196"/>
      <c r="F226" s="220"/>
      <c r="G226" s="143"/>
      <c r="H226" s="196"/>
      <c r="I226" s="196"/>
      <c r="J226" s="196"/>
      <c r="K226" s="196"/>
      <c r="L226" s="196"/>
      <c r="M226" s="196"/>
      <c r="N226" s="196"/>
      <c r="O226" s="196"/>
      <c r="P226" s="196"/>
      <c r="Q226" s="196"/>
      <c r="R226" s="196"/>
      <c r="S226" s="196"/>
      <c r="T226" s="196"/>
      <c r="U226" s="196"/>
      <c r="V226" s="196"/>
      <c r="W226" s="196"/>
      <c r="X226" s="196"/>
      <c r="Y226" s="196"/>
      <c r="Z226" s="196"/>
      <c r="AA226" s="196"/>
      <c r="AB226" s="196"/>
    </row>
    <row r="227" spans="1:28" ht="12.9">
      <c r="A227" s="196"/>
      <c r="B227" s="143"/>
      <c r="C227" s="196"/>
      <c r="D227" s="196"/>
      <c r="E227" s="196"/>
      <c r="F227" s="220"/>
      <c r="G227" s="143"/>
      <c r="H227" s="196"/>
      <c r="I227" s="196"/>
      <c r="J227" s="196"/>
      <c r="K227" s="196"/>
      <c r="L227" s="196"/>
      <c r="M227" s="196"/>
      <c r="N227" s="196"/>
      <c r="O227" s="196"/>
      <c r="P227" s="196"/>
      <c r="Q227" s="196"/>
      <c r="R227" s="196"/>
      <c r="S227" s="196"/>
      <c r="T227" s="196"/>
      <c r="U227" s="196"/>
      <c r="V227" s="196"/>
      <c r="W227" s="196"/>
      <c r="X227" s="196"/>
      <c r="Y227" s="196"/>
      <c r="Z227" s="196"/>
      <c r="AA227" s="196"/>
      <c r="AB227" s="196"/>
    </row>
    <row r="228" spans="1:28" ht="12.9">
      <c r="A228" s="196"/>
      <c r="B228" s="143"/>
      <c r="C228" s="196"/>
      <c r="D228" s="196"/>
      <c r="E228" s="196"/>
      <c r="F228" s="220"/>
      <c r="G228" s="143"/>
      <c r="H228" s="196"/>
      <c r="I228" s="196"/>
      <c r="J228" s="196"/>
      <c r="K228" s="196"/>
      <c r="L228" s="196"/>
      <c r="M228" s="196"/>
      <c r="N228" s="196"/>
      <c r="O228" s="196"/>
      <c r="P228" s="196"/>
      <c r="Q228" s="196"/>
      <c r="R228" s="196"/>
      <c r="S228" s="196"/>
      <c r="T228" s="196"/>
      <c r="U228" s="196"/>
      <c r="V228" s="196"/>
      <c r="W228" s="196"/>
      <c r="X228" s="196"/>
      <c r="Y228" s="196"/>
      <c r="Z228" s="196"/>
      <c r="AA228" s="196"/>
      <c r="AB228" s="196"/>
    </row>
    <row r="229" spans="1:28" ht="12.9">
      <c r="A229" s="196"/>
      <c r="B229" s="143"/>
      <c r="C229" s="196"/>
      <c r="D229" s="196"/>
      <c r="E229" s="196"/>
      <c r="F229" s="220"/>
      <c r="G229" s="143"/>
      <c r="H229" s="196"/>
      <c r="I229" s="196"/>
      <c r="J229" s="196"/>
      <c r="K229" s="196"/>
      <c r="L229" s="196"/>
      <c r="M229" s="196"/>
      <c r="N229" s="196"/>
      <c r="O229" s="196"/>
      <c r="P229" s="196"/>
      <c r="Q229" s="196"/>
      <c r="R229" s="196"/>
      <c r="S229" s="196"/>
      <c r="T229" s="196"/>
      <c r="U229" s="196"/>
      <c r="V229" s="196"/>
      <c r="W229" s="196"/>
      <c r="X229" s="196"/>
      <c r="Y229" s="196"/>
      <c r="Z229" s="196"/>
      <c r="AA229" s="196"/>
      <c r="AB229" s="196"/>
    </row>
    <row r="230" spans="1:28" ht="12.9">
      <c r="A230" s="196"/>
      <c r="B230" s="143"/>
      <c r="C230" s="196"/>
      <c r="D230" s="196"/>
      <c r="E230" s="196"/>
      <c r="F230" s="220"/>
      <c r="G230" s="143"/>
      <c r="H230" s="196"/>
      <c r="I230" s="196"/>
      <c r="J230" s="196"/>
      <c r="K230" s="196"/>
      <c r="L230" s="196"/>
      <c r="M230" s="196"/>
      <c r="N230" s="196"/>
      <c r="O230" s="196"/>
      <c r="P230" s="196"/>
      <c r="Q230" s="196"/>
      <c r="R230" s="196"/>
      <c r="S230" s="196"/>
      <c r="T230" s="196"/>
      <c r="U230" s="196"/>
      <c r="V230" s="196"/>
      <c r="W230" s="196"/>
      <c r="X230" s="196"/>
      <c r="Y230" s="196"/>
      <c r="Z230" s="196"/>
      <c r="AA230" s="196"/>
      <c r="AB230" s="196"/>
    </row>
    <row r="231" spans="1:28" ht="12.9">
      <c r="A231" s="196"/>
      <c r="B231" s="143"/>
      <c r="C231" s="196"/>
      <c r="D231" s="196"/>
      <c r="E231" s="196"/>
      <c r="F231" s="220"/>
      <c r="G231" s="143"/>
      <c r="H231" s="196"/>
      <c r="I231" s="196"/>
      <c r="J231" s="196"/>
      <c r="K231" s="196"/>
      <c r="L231" s="196"/>
      <c r="M231" s="196"/>
      <c r="N231" s="196"/>
      <c r="O231" s="196"/>
      <c r="P231" s="196"/>
      <c r="Q231" s="196"/>
      <c r="R231" s="196"/>
      <c r="S231" s="196"/>
      <c r="T231" s="196"/>
      <c r="U231" s="196"/>
      <c r="V231" s="196"/>
      <c r="W231" s="196"/>
      <c r="X231" s="196"/>
      <c r="Y231" s="196"/>
      <c r="Z231" s="196"/>
      <c r="AA231" s="196"/>
      <c r="AB231" s="196"/>
    </row>
    <row r="232" spans="1:28" ht="12.9">
      <c r="A232" s="196"/>
      <c r="B232" s="143"/>
      <c r="C232" s="196"/>
      <c r="D232" s="196"/>
      <c r="E232" s="196"/>
      <c r="F232" s="220"/>
      <c r="G232" s="143"/>
      <c r="H232" s="196"/>
      <c r="I232" s="196"/>
      <c r="J232" s="196"/>
      <c r="K232" s="196"/>
      <c r="L232" s="196"/>
      <c r="M232" s="196"/>
      <c r="N232" s="196"/>
      <c r="O232" s="196"/>
      <c r="P232" s="196"/>
      <c r="Q232" s="196"/>
      <c r="R232" s="196"/>
      <c r="S232" s="196"/>
      <c r="T232" s="196"/>
      <c r="U232" s="196"/>
      <c r="V232" s="196"/>
      <c r="W232" s="196"/>
      <c r="X232" s="196"/>
      <c r="Y232" s="196"/>
      <c r="Z232" s="196"/>
      <c r="AA232" s="196"/>
      <c r="AB232" s="196"/>
    </row>
    <row r="233" spans="1:28" ht="12.9">
      <c r="A233" s="196"/>
      <c r="B233" s="143"/>
      <c r="C233" s="196"/>
      <c r="D233" s="196"/>
      <c r="E233" s="196"/>
      <c r="F233" s="220"/>
      <c r="G233" s="143"/>
      <c r="H233" s="196"/>
      <c r="I233" s="196"/>
      <c r="J233" s="196"/>
      <c r="K233" s="196"/>
      <c r="L233" s="196"/>
      <c r="M233" s="196"/>
      <c r="N233" s="196"/>
      <c r="O233" s="196"/>
      <c r="P233" s="196"/>
      <c r="Q233" s="196"/>
      <c r="R233" s="196"/>
      <c r="S233" s="196"/>
      <c r="T233" s="196"/>
      <c r="U233" s="196"/>
      <c r="V233" s="196"/>
      <c r="W233" s="196"/>
      <c r="X233" s="196"/>
      <c r="Y233" s="196"/>
      <c r="Z233" s="196"/>
      <c r="AA233" s="196"/>
      <c r="AB233" s="196"/>
    </row>
    <row r="234" spans="1:28" ht="12.9">
      <c r="A234" s="196"/>
      <c r="B234" s="143"/>
      <c r="C234" s="196"/>
      <c r="D234" s="196"/>
      <c r="E234" s="196"/>
      <c r="F234" s="220"/>
      <c r="G234" s="143"/>
      <c r="H234" s="196"/>
      <c r="I234" s="196"/>
      <c r="J234" s="196"/>
      <c r="K234" s="196"/>
      <c r="L234" s="196"/>
      <c r="M234" s="196"/>
      <c r="N234" s="196"/>
      <c r="O234" s="196"/>
      <c r="P234" s="196"/>
      <c r="Q234" s="196"/>
      <c r="R234" s="196"/>
      <c r="S234" s="196"/>
      <c r="T234" s="196"/>
      <c r="U234" s="196"/>
      <c r="V234" s="196"/>
      <c r="W234" s="196"/>
      <c r="X234" s="196"/>
      <c r="Y234" s="196"/>
      <c r="Z234" s="196"/>
      <c r="AA234" s="196"/>
      <c r="AB234" s="196"/>
    </row>
    <row r="235" spans="1:28" ht="12.9">
      <c r="A235" s="196"/>
      <c r="B235" s="143"/>
      <c r="C235" s="196"/>
      <c r="D235" s="196"/>
      <c r="E235" s="196"/>
      <c r="F235" s="220"/>
      <c r="G235" s="143"/>
      <c r="H235" s="196"/>
      <c r="I235" s="196"/>
      <c r="J235" s="196"/>
      <c r="K235" s="196"/>
      <c r="L235" s="196"/>
      <c r="M235" s="196"/>
      <c r="N235" s="196"/>
      <c r="O235" s="196"/>
      <c r="P235" s="196"/>
      <c r="Q235" s="196"/>
      <c r="R235" s="196"/>
      <c r="S235" s="196"/>
      <c r="T235" s="196"/>
      <c r="U235" s="196"/>
      <c r="V235" s="196"/>
      <c r="W235" s="196"/>
      <c r="X235" s="196"/>
      <c r="Y235" s="196"/>
      <c r="Z235" s="196"/>
      <c r="AA235" s="196"/>
      <c r="AB235" s="196"/>
    </row>
    <row r="236" spans="1:28" ht="12.9">
      <c r="A236" s="196"/>
      <c r="B236" s="143"/>
      <c r="C236" s="196"/>
      <c r="D236" s="196"/>
      <c r="E236" s="196"/>
      <c r="F236" s="220"/>
      <c r="G236" s="143"/>
      <c r="H236" s="196"/>
      <c r="I236" s="196"/>
      <c r="J236" s="196"/>
      <c r="K236" s="196"/>
      <c r="L236" s="196"/>
      <c r="M236" s="196"/>
      <c r="N236" s="196"/>
      <c r="O236" s="196"/>
      <c r="P236" s="196"/>
      <c r="Q236" s="196"/>
      <c r="R236" s="196"/>
      <c r="S236" s="196"/>
      <c r="T236" s="196"/>
      <c r="U236" s="196"/>
      <c r="V236" s="196"/>
      <c r="W236" s="196"/>
      <c r="X236" s="196"/>
      <c r="Y236" s="196"/>
      <c r="Z236" s="196"/>
      <c r="AA236" s="196"/>
      <c r="AB236" s="196"/>
    </row>
    <row r="237" spans="1:28" ht="12.9">
      <c r="A237" s="196"/>
      <c r="B237" s="143"/>
      <c r="C237" s="196"/>
      <c r="D237" s="196"/>
      <c r="E237" s="196"/>
      <c r="F237" s="220"/>
      <c r="G237" s="143"/>
      <c r="H237" s="196"/>
      <c r="I237" s="196"/>
      <c r="J237" s="196"/>
      <c r="K237" s="196"/>
      <c r="L237" s="196"/>
      <c r="M237" s="196"/>
      <c r="N237" s="196"/>
      <c r="O237" s="196"/>
      <c r="P237" s="196"/>
      <c r="Q237" s="196"/>
      <c r="R237" s="196"/>
      <c r="S237" s="196"/>
      <c r="T237" s="196"/>
      <c r="U237" s="196"/>
      <c r="V237" s="196"/>
      <c r="W237" s="196"/>
      <c r="X237" s="196"/>
      <c r="Y237" s="196"/>
      <c r="Z237" s="196"/>
      <c r="AA237" s="196"/>
      <c r="AB237" s="196"/>
    </row>
    <row r="238" spans="1:28" ht="12.9">
      <c r="A238" s="196"/>
      <c r="B238" s="143"/>
      <c r="C238" s="196"/>
      <c r="D238" s="196"/>
      <c r="E238" s="196"/>
      <c r="F238" s="220"/>
      <c r="G238" s="143"/>
      <c r="H238" s="196"/>
      <c r="I238" s="196"/>
      <c r="J238" s="196"/>
      <c r="K238" s="196"/>
      <c r="L238" s="196"/>
      <c r="M238" s="196"/>
      <c r="N238" s="196"/>
      <c r="O238" s="196"/>
      <c r="P238" s="196"/>
      <c r="Q238" s="196"/>
      <c r="R238" s="196"/>
      <c r="S238" s="196"/>
      <c r="T238" s="196"/>
      <c r="U238" s="196"/>
      <c r="V238" s="196"/>
      <c r="W238" s="196"/>
      <c r="X238" s="196"/>
      <c r="Y238" s="196"/>
      <c r="Z238" s="196"/>
      <c r="AA238" s="196"/>
      <c r="AB238" s="196"/>
    </row>
    <row r="239" spans="1:28" ht="12.9">
      <c r="A239" s="196"/>
      <c r="B239" s="143"/>
      <c r="C239" s="196"/>
      <c r="D239" s="196"/>
      <c r="E239" s="196"/>
      <c r="F239" s="220"/>
      <c r="G239" s="143"/>
      <c r="H239" s="196"/>
      <c r="I239" s="196"/>
      <c r="J239" s="196"/>
      <c r="K239" s="196"/>
      <c r="L239" s="196"/>
      <c r="M239" s="196"/>
      <c r="N239" s="196"/>
      <c r="O239" s="196"/>
      <c r="P239" s="196"/>
      <c r="Q239" s="196"/>
      <c r="R239" s="196"/>
      <c r="S239" s="196"/>
      <c r="T239" s="196"/>
      <c r="U239" s="196"/>
      <c r="V239" s="196"/>
      <c r="W239" s="196"/>
      <c r="X239" s="196"/>
      <c r="Y239" s="196"/>
      <c r="Z239" s="196"/>
      <c r="AA239" s="196"/>
      <c r="AB239" s="196"/>
    </row>
    <row r="240" spans="1:28" ht="12.9">
      <c r="A240" s="196"/>
      <c r="B240" s="143"/>
      <c r="C240" s="196"/>
      <c r="D240" s="196"/>
      <c r="E240" s="196"/>
      <c r="F240" s="220"/>
      <c r="G240" s="143"/>
      <c r="H240" s="196"/>
      <c r="I240" s="196"/>
      <c r="J240" s="196"/>
      <c r="K240" s="196"/>
      <c r="L240" s="196"/>
      <c r="M240" s="196"/>
      <c r="N240" s="196"/>
      <c r="O240" s="196"/>
      <c r="P240" s="196"/>
      <c r="Q240" s="196"/>
      <c r="R240" s="196"/>
      <c r="S240" s="196"/>
      <c r="T240" s="196"/>
      <c r="U240" s="196"/>
      <c r="V240" s="196"/>
      <c r="W240" s="196"/>
      <c r="X240" s="196"/>
      <c r="Y240" s="196"/>
      <c r="Z240" s="196"/>
      <c r="AA240" s="196"/>
      <c r="AB240" s="196"/>
    </row>
    <row r="241" spans="1:28" ht="12.9">
      <c r="A241" s="196"/>
      <c r="B241" s="143"/>
      <c r="C241" s="196"/>
      <c r="D241" s="196"/>
      <c r="E241" s="196"/>
      <c r="F241" s="220"/>
      <c r="G241" s="143"/>
      <c r="H241" s="196"/>
      <c r="I241" s="196"/>
      <c r="J241" s="196"/>
      <c r="K241" s="196"/>
      <c r="L241" s="196"/>
      <c r="M241" s="196"/>
      <c r="N241" s="196"/>
      <c r="O241" s="196"/>
      <c r="P241" s="196"/>
      <c r="Q241" s="196"/>
      <c r="R241" s="196"/>
      <c r="S241" s="196"/>
      <c r="T241" s="196"/>
      <c r="U241" s="196"/>
      <c r="V241" s="196"/>
      <c r="W241" s="196"/>
      <c r="X241" s="196"/>
      <c r="Y241" s="196"/>
      <c r="Z241" s="196"/>
      <c r="AA241" s="196"/>
      <c r="AB241" s="196"/>
    </row>
    <row r="242" spans="1:28" ht="12.9">
      <c r="A242" s="196"/>
      <c r="B242" s="143"/>
      <c r="C242" s="196"/>
      <c r="D242" s="196"/>
      <c r="E242" s="196"/>
      <c r="F242" s="220"/>
      <c r="G242" s="143"/>
      <c r="H242" s="196"/>
      <c r="I242" s="196"/>
      <c r="J242" s="196"/>
      <c r="K242" s="196"/>
      <c r="L242" s="196"/>
      <c r="M242" s="196"/>
      <c r="N242" s="196"/>
      <c r="O242" s="196"/>
      <c r="P242" s="196"/>
      <c r="Q242" s="196"/>
      <c r="R242" s="196"/>
      <c r="S242" s="196"/>
      <c r="T242" s="196"/>
      <c r="U242" s="196"/>
      <c r="V242" s="196"/>
      <c r="W242" s="196"/>
      <c r="X242" s="196"/>
      <c r="Y242" s="196"/>
      <c r="Z242" s="196"/>
      <c r="AA242" s="196"/>
      <c r="AB242" s="196"/>
    </row>
    <row r="243" spans="1:28" ht="12.9">
      <c r="A243" s="196"/>
      <c r="B243" s="143"/>
      <c r="C243" s="196"/>
      <c r="D243" s="196"/>
      <c r="E243" s="196"/>
      <c r="F243" s="220"/>
      <c r="G243" s="143"/>
      <c r="H243" s="196"/>
      <c r="I243" s="196"/>
      <c r="J243" s="196"/>
      <c r="K243" s="196"/>
      <c r="L243" s="196"/>
      <c r="M243" s="196"/>
      <c r="N243" s="196"/>
      <c r="O243" s="196"/>
      <c r="P243" s="196"/>
      <c r="Q243" s="196"/>
      <c r="R243" s="196"/>
      <c r="S243" s="196"/>
      <c r="T243" s="196"/>
      <c r="U243" s="196"/>
      <c r="V243" s="196"/>
      <c r="W243" s="196"/>
      <c r="X243" s="196"/>
      <c r="Y243" s="196"/>
      <c r="Z243" s="196"/>
      <c r="AA243" s="196"/>
      <c r="AB243" s="196"/>
    </row>
    <row r="244" spans="1:28" ht="12.9">
      <c r="A244" s="196"/>
      <c r="B244" s="143"/>
      <c r="C244" s="196"/>
      <c r="D244" s="196"/>
      <c r="E244" s="196"/>
      <c r="F244" s="220"/>
      <c r="G244" s="143"/>
      <c r="H244" s="196"/>
      <c r="I244" s="196"/>
      <c r="J244" s="196"/>
      <c r="K244" s="196"/>
      <c r="L244" s="196"/>
      <c r="M244" s="196"/>
      <c r="N244" s="196"/>
      <c r="O244" s="196"/>
      <c r="P244" s="196"/>
      <c r="Q244" s="196"/>
      <c r="R244" s="196"/>
      <c r="S244" s="196"/>
      <c r="T244" s="196"/>
      <c r="U244" s="196"/>
      <c r="V244" s="196"/>
      <c r="W244" s="196"/>
      <c r="X244" s="196"/>
      <c r="Y244" s="196"/>
      <c r="Z244" s="196"/>
      <c r="AA244" s="196"/>
      <c r="AB244" s="196"/>
    </row>
    <row r="245" spans="1:28" ht="12.9">
      <c r="A245" s="196"/>
      <c r="B245" s="143"/>
      <c r="C245" s="196"/>
      <c r="D245" s="196"/>
      <c r="E245" s="196"/>
      <c r="F245" s="220"/>
      <c r="G245" s="143"/>
      <c r="H245" s="196"/>
      <c r="I245" s="196"/>
      <c r="J245" s="196"/>
      <c r="K245" s="196"/>
      <c r="L245" s="196"/>
      <c r="M245" s="196"/>
      <c r="N245" s="196"/>
      <c r="O245" s="196"/>
      <c r="P245" s="196"/>
      <c r="Q245" s="196"/>
      <c r="R245" s="196"/>
      <c r="S245" s="196"/>
      <c r="T245" s="196"/>
      <c r="U245" s="196"/>
      <c r="V245" s="196"/>
      <c r="W245" s="196"/>
      <c r="X245" s="196"/>
      <c r="Y245" s="196"/>
      <c r="Z245" s="196"/>
      <c r="AA245" s="196"/>
      <c r="AB245" s="196"/>
    </row>
    <row r="246" spans="1:28" ht="12.9">
      <c r="A246" s="196"/>
      <c r="B246" s="143"/>
      <c r="C246" s="196"/>
      <c r="D246" s="196"/>
      <c r="E246" s="196"/>
      <c r="F246" s="220"/>
      <c r="G246" s="143"/>
      <c r="H246" s="196"/>
      <c r="I246" s="196"/>
      <c r="J246" s="196"/>
      <c r="K246" s="196"/>
      <c r="L246" s="196"/>
      <c r="M246" s="196"/>
      <c r="N246" s="196"/>
      <c r="O246" s="196"/>
      <c r="P246" s="196"/>
      <c r="Q246" s="196"/>
      <c r="R246" s="196"/>
      <c r="S246" s="196"/>
      <c r="T246" s="196"/>
      <c r="U246" s="196"/>
      <c r="V246" s="196"/>
      <c r="W246" s="196"/>
      <c r="X246" s="196"/>
      <c r="Y246" s="196"/>
      <c r="Z246" s="196"/>
      <c r="AA246" s="196"/>
      <c r="AB246" s="196"/>
    </row>
    <row r="247" spans="1:28" ht="12.9">
      <c r="A247" s="196"/>
      <c r="B247" s="143"/>
      <c r="C247" s="196"/>
      <c r="D247" s="196"/>
      <c r="E247" s="196"/>
      <c r="F247" s="220"/>
      <c r="G247" s="143"/>
      <c r="H247" s="196"/>
      <c r="I247" s="196"/>
      <c r="J247" s="196"/>
      <c r="K247" s="196"/>
      <c r="L247" s="196"/>
      <c r="M247" s="196"/>
      <c r="N247" s="196"/>
      <c r="O247" s="196"/>
      <c r="P247" s="196"/>
      <c r="Q247" s="196"/>
      <c r="R247" s="196"/>
      <c r="S247" s="196"/>
      <c r="T247" s="196"/>
      <c r="U247" s="196"/>
      <c r="V247" s="196"/>
      <c r="W247" s="196"/>
      <c r="X247" s="196"/>
      <c r="Y247" s="196"/>
      <c r="Z247" s="196"/>
      <c r="AA247" s="196"/>
      <c r="AB247" s="196"/>
    </row>
    <row r="248" spans="1:28" ht="12.9">
      <c r="A248" s="196"/>
      <c r="B248" s="143"/>
      <c r="C248" s="196"/>
      <c r="D248" s="196"/>
      <c r="E248" s="196"/>
      <c r="F248" s="220"/>
      <c r="G248" s="143"/>
      <c r="H248" s="196"/>
      <c r="I248" s="196"/>
      <c r="J248" s="196"/>
      <c r="K248" s="196"/>
      <c r="L248" s="196"/>
      <c r="M248" s="196"/>
      <c r="N248" s="196"/>
      <c r="O248" s="196"/>
      <c r="P248" s="196"/>
      <c r="Q248" s="196"/>
      <c r="R248" s="196"/>
      <c r="S248" s="196"/>
      <c r="T248" s="196"/>
      <c r="U248" s="196"/>
      <c r="V248" s="196"/>
      <c r="W248" s="196"/>
      <c r="X248" s="196"/>
      <c r="Y248" s="196"/>
      <c r="Z248" s="196"/>
      <c r="AA248" s="196"/>
      <c r="AB248" s="196"/>
    </row>
    <row r="249" spans="1:28" ht="12.9">
      <c r="A249" s="196"/>
      <c r="B249" s="143"/>
      <c r="C249" s="196"/>
      <c r="D249" s="196"/>
      <c r="E249" s="196"/>
      <c r="F249" s="220"/>
      <c r="G249" s="143"/>
      <c r="H249" s="196"/>
      <c r="I249" s="196"/>
      <c r="J249" s="196"/>
      <c r="K249" s="196"/>
      <c r="L249" s="196"/>
      <c r="M249" s="196"/>
      <c r="N249" s="196"/>
      <c r="O249" s="196"/>
      <c r="P249" s="196"/>
      <c r="Q249" s="196"/>
      <c r="R249" s="196"/>
      <c r="S249" s="196"/>
      <c r="T249" s="196"/>
      <c r="U249" s="196"/>
      <c r="V249" s="196"/>
      <c r="W249" s="196"/>
      <c r="X249" s="196"/>
      <c r="Y249" s="196"/>
      <c r="Z249" s="196"/>
      <c r="AA249" s="196"/>
      <c r="AB249" s="196"/>
    </row>
    <row r="250" spans="1:28" ht="12.9">
      <c r="A250" s="196"/>
      <c r="B250" s="143"/>
      <c r="C250" s="196"/>
      <c r="D250" s="196"/>
      <c r="E250" s="196"/>
      <c r="F250" s="220"/>
      <c r="G250" s="143"/>
      <c r="H250" s="196"/>
      <c r="I250" s="196"/>
      <c r="J250" s="196"/>
      <c r="K250" s="196"/>
      <c r="L250" s="196"/>
      <c r="M250" s="196"/>
      <c r="N250" s="196"/>
      <c r="O250" s="196"/>
      <c r="P250" s="196"/>
      <c r="Q250" s="196"/>
      <c r="R250" s="196"/>
      <c r="S250" s="196"/>
      <c r="T250" s="196"/>
      <c r="U250" s="196"/>
      <c r="V250" s="196"/>
      <c r="W250" s="196"/>
      <c r="X250" s="196"/>
      <c r="Y250" s="196"/>
      <c r="Z250" s="196"/>
      <c r="AA250" s="196"/>
      <c r="AB250" s="196"/>
    </row>
    <row r="251" spans="1:28" ht="12.9">
      <c r="A251" s="196"/>
      <c r="B251" s="143"/>
      <c r="C251" s="196"/>
      <c r="D251" s="196"/>
      <c r="E251" s="196"/>
      <c r="F251" s="220"/>
      <c r="G251" s="143"/>
      <c r="H251" s="196"/>
      <c r="I251" s="196"/>
      <c r="J251" s="196"/>
      <c r="K251" s="196"/>
      <c r="L251" s="196"/>
      <c r="M251" s="196"/>
      <c r="N251" s="196"/>
      <c r="O251" s="196"/>
      <c r="P251" s="196"/>
      <c r="Q251" s="196"/>
      <c r="R251" s="196"/>
      <c r="S251" s="196"/>
      <c r="T251" s="196"/>
      <c r="U251" s="196"/>
      <c r="V251" s="196"/>
      <c r="W251" s="196"/>
      <c r="X251" s="196"/>
      <c r="Y251" s="196"/>
      <c r="Z251" s="196"/>
      <c r="AA251" s="196"/>
      <c r="AB251" s="196"/>
    </row>
    <row r="252" spans="1:28" ht="12.9">
      <c r="A252" s="196"/>
      <c r="B252" s="143"/>
      <c r="C252" s="196"/>
      <c r="D252" s="196"/>
      <c r="E252" s="196"/>
      <c r="F252" s="220"/>
      <c r="G252" s="143"/>
      <c r="H252" s="196"/>
      <c r="I252" s="196"/>
      <c r="J252" s="196"/>
      <c r="K252" s="196"/>
      <c r="L252" s="196"/>
      <c r="M252" s="196"/>
      <c r="N252" s="196"/>
      <c r="O252" s="196"/>
      <c r="P252" s="196"/>
      <c r="Q252" s="196"/>
      <c r="R252" s="196"/>
      <c r="S252" s="196"/>
      <c r="T252" s="196"/>
      <c r="U252" s="196"/>
      <c r="V252" s="196"/>
      <c r="W252" s="196"/>
      <c r="X252" s="196"/>
      <c r="Y252" s="196"/>
      <c r="Z252" s="196"/>
      <c r="AA252" s="196"/>
      <c r="AB252" s="196"/>
    </row>
    <row r="253" spans="1:28" ht="12.9">
      <c r="A253" s="196"/>
      <c r="B253" s="143"/>
      <c r="C253" s="196"/>
      <c r="D253" s="196"/>
      <c r="E253" s="196"/>
      <c r="F253" s="220"/>
      <c r="G253" s="143"/>
      <c r="H253" s="196"/>
      <c r="I253" s="196"/>
      <c r="J253" s="196"/>
      <c r="K253" s="196"/>
      <c r="L253" s="196"/>
      <c r="M253" s="196"/>
      <c r="N253" s="196"/>
      <c r="O253" s="196"/>
      <c r="P253" s="196"/>
      <c r="Q253" s="196"/>
      <c r="R253" s="196"/>
      <c r="S253" s="196"/>
      <c r="T253" s="196"/>
      <c r="U253" s="196"/>
      <c r="V253" s="196"/>
      <c r="W253" s="196"/>
      <c r="X253" s="196"/>
      <c r="Y253" s="196"/>
      <c r="Z253" s="196"/>
      <c r="AA253" s="196"/>
      <c r="AB253" s="196"/>
    </row>
    <row r="254" spans="1:28" ht="12.9">
      <c r="A254" s="196"/>
      <c r="B254" s="143"/>
      <c r="C254" s="196"/>
      <c r="D254" s="196"/>
      <c r="E254" s="196"/>
      <c r="F254" s="220"/>
      <c r="G254" s="143"/>
      <c r="H254" s="196"/>
      <c r="I254" s="196"/>
      <c r="J254" s="196"/>
      <c r="K254" s="196"/>
      <c r="L254" s="196"/>
      <c r="M254" s="196"/>
      <c r="N254" s="196"/>
      <c r="O254" s="196"/>
      <c r="P254" s="196"/>
      <c r="Q254" s="196"/>
      <c r="R254" s="196"/>
      <c r="S254" s="196"/>
      <c r="T254" s="196"/>
      <c r="U254" s="196"/>
      <c r="V254" s="196"/>
      <c r="W254" s="196"/>
      <c r="X254" s="196"/>
      <c r="Y254" s="196"/>
      <c r="Z254" s="196"/>
      <c r="AA254" s="196"/>
      <c r="AB254" s="196"/>
    </row>
    <row r="255" spans="1:28" ht="12.9">
      <c r="A255" s="196"/>
      <c r="B255" s="143"/>
      <c r="C255" s="196"/>
      <c r="D255" s="196"/>
      <c r="E255" s="196"/>
      <c r="F255" s="220"/>
      <c r="G255" s="143"/>
      <c r="H255" s="196"/>
      <c r="I255" s="196"/>
      <c r="J255" s="196"/>
      <c r="K255" s="196"/>
      <c r="L255" s="196"/>
      <c r="M255" s="196"/>
      <c r="N255" s="196"/>
      <c r="O255" s="196"/>
      <c r="P255" s="196"/>
      <c r="Q255" s="196"/>
      <c r="R255" s="196"/>
      <c r="S255" s="196"/>
      <c r="T255" s="196"/>
      <c r="U255" s="196"/>
      <c r="V255" s="196"/>
      <c r="W255" s="196"/>
      <c r="X255" s="196"/>
      <c r="Y255" s="196"/>
      <c r="Z255" s="196"/>
      <c r="AA255" s="196"/>
      <c r="AB255" s="196"/>
    </row>
    <row r="256" spans="1:28" ht="12.9">
      <c r="A256" s="196"/>
      <c r="B256" s="143"/>
      <c r="C256" s="196"/>
      <c r="D256" s="196"/>
      <c r="E256" s="196"/>
      <c r="F256" s="220"/>
      <c r="G256" s="143"/>
      <c r="H256" s="196"/>
      <c r="I256" s="196"/>
      <c r="J256" s="196"/>
      <c r="K256" s="196"/>
      <c r="L256" s="196"/>
      <c r="M256" s="196"/>
      <c r="N256" s="196"/>
      <c r="O256" s="196"/>
      <c r="P256" s="196"/>
      <c r="Q256" s="196"/>
      <c r="R256" s="196"/>
      <c r="S256" s="196"/>
      <c r="T256" s="196"/>
      <c r="U256" s="196"/>
      <c r="V256" s="196"/>
      <c r="W256" s="196"/>
      <c r="X256" s="196"/>
      <c r="Y256" s="196"/>
      <c r="Z256" s="196"/>
      <c r="AA256" s="196"/>
      <c r="AB256" s="196"/>
    </row>
    <row r="257" spans="1:28" ht="12.9">
      <c r="A257" s="196"/>
      <c r="B257" s="143"/>
      <c r="C257" s="196"/>
      <c r="D257" s="196"/>
      <c r="E257" s="196"/>
      <c r="F257" s="220"/>
      <c r="G257" s="143"/>
      <c r="H257" s="196"/>
      <c r="I257" s="196"/>
      <c r="J257" s="196"/>
      <c r="K257" s="196"/>
      <c r="L257" s="196"/>
      <c r="M257" s="196"/>
      <c r="N257" s="196"/>
      <c r="O257" s="196"/>
      <c r="P257" s="196"/>
      <c r="Q257" s="196"/>
      <c r="R257" s="196"/>
      <c r="S257" s="196"/>
      <c r="T257" s="196"/>
      <c r="U257" s="196"/>
      <c r="V257" s="196"/>
      <c r="W257" s="196"/>
      <c r="X257" s="196"/>
      <c r="Y257" s="196"/>
      <c r="Z257" s="196"/>
      <c r="AA257" s="196"/>
      <c r="AB257" s="196"/>
    </row>
    <row r="258" spans="1:28" ht="12.9">
      <c r="A258" s="196"/>
      <c r="B258" s="143"/>
      <c r="C258" s="196"/>
      <c r="D258" s="196"/>
      <c r="E258" s="196"/>
      <c r="F258" s="220"/>
      <c r="G258" s="143"/>
      <c r="H258" s="196"/>
      <c r="I258" s="196"/>
      <c r="J258" s="196"/>
      <c r="K258" s="196"/>
      <c r="L258" s="196"/>
      <c r="M258" s="196"/>
      <c r="N258" s="196"/>
      <c r="O258" s="196"/>
      <c r="P258" s="196"/>
      <c r="Q258" s="196"/>
      <c r="R258" s="196"/>
      <c r="S258" s="196"/>
      <c r="T258" s="196"/>
      <c r="U258" s="196"/>
      <c r="V258" s="196"/>
      <c r="W258" s="196"/>
      <c r="X258" s="196"/>
      <c r="Y258" s="196"/>
      <c r="Z258" s="196"/>
      <c r="AA258" s="196"/>
      <c r="AB258" s="196"/>
    </row>
    <row r="259" spans="1:28" ht="12.9">
      <c r="A259" s="196"/>
      <c r="B259" s="143"/>
      <c r="C259" s="196"/>
      <c r="D259" s="196"/>
      <c r="E259" s="196"/>
      <c r="F259" s="220"/>
      <c r="G259" s="143"/>
      <c r="H259" s="196"/>
      <c r="I259" s="196"/>
      <c r="J259" s="196"/>
      <c r="K259" s="196"/>
      <c r="L259" s="196"/>
      <c r="M259" s="196"/>
      <c r="N259" s="196"/>
      <c r="O259" s="196"/>
      <c r="P259" s="196"/>
      <c r="Q259" s="196"/>
      <c r="R259" s="196"/>
      <c r="S259" s="196"/>
      <c r="T259" s="196"/>
      <c r="U259" s="196"/>
      <c r="V259" s="196"/>
      <c r="W259" s="196"/>
      <c r="X259" s="196"/>
      <c r="Y259" s="196"/>
      <c r="Z259" s="196"/>
      <c r="AA259" s="196"/>
      <c r="AB259" s="196"/>
    </row>
    <row r="260" spans="1:28" ht="12.9">
      <c r="A260" s="196"/>
      <c r="B260" s="143"/>
      <c r="C260" s="196"/>
      <c r="D260" s="196"/>
      <c r="E260" s="196"/>
      <c r="F260" s="220"/>
      <c r="G260" s="143"/>
      <c r="H260" s="196"/>
      <c r="I260" s="196"/>
      <c r="J260" s="196"/>
      <c r="K260" s="196"/>
      <c r="L260" s="196"/>
      <c r="M260" s="196"/>
      <c r="N260" s="196"/>
      <c r="O260" s="196"/>
      <c r="P260" s="196"/>
      <c r="Q260" s="196"/>
      <c r="R260" s="196"/>
      <c r="S260" s="196"/>
      <c r="T260" s="196"/>
      <c r="U260" s="196"/>
      <c r="V260" s="196"/>
      <c r="W260" s="196"/>
      <c r="X260" s="196"/>
      <c r="Y260" s="196"/>
      <c r="Z260" s="196"/>
      <c r="AA260" s="196"/>
      <c r="AB260" s="196"/>
    </row>
    <row r="261" spans="1:28" ht="12.9">
      <c r="A261" s="196"/>
      <c r="B261" s="143"/>
      <c r="C261" s="196"/>
      <c r="D261" s="196"/>
      <c r="E261" s="196"/>
      <c r="F261" s="220"/>
      <c r="G261" s="143"/>
      <c r="H261" s="196"/>
      <c r="I261" s="196"/>
      <c r="J261" s="196"/>
      <c r="K261" s="196"/>
      <c r="L261" s="196"/>
      <c r="M261" s="196"/>
      <c r="N261" s="196"/>
      <c r="O261" s="196"/>
      <c r="P261" s="196"/>
      <c r="Q261" s="196"/>
      <c r="R261" s="196"/>
      <c r="S261" s="196"/>
      <c r="T261" s="196"/>
      <c r="U261" s="196"/>
      <c r="V261" s="196"/>
      <c r="W261" s="196"/>
      <c r="X261" s="196"/>
      <c r="Y261" s="196"/>
      <c r="Z261" s="196"/>
      <c r="AA261" s="196"/>
      <c r="AB261" s="196"/>
    </row>
    <row r="262" spans="1:28" ht="12.9">
      <c r="A262" s="196"/>
      <c r="B262" s="143"/>
      <c r="C262" s="196"/>
      <c r="D262" s="196"/>
      <c r="E262" s="196"/>
      <c r="F262" s="220"/>
      <c r="G262" s="143"/>
      <c r="H262" s="196"/>
      <c r="I262" s="196"/>
      <c r="J262" s="196"/>
      <c r="K262" s="196"/>
      <c r="L262" s="196"/>
      <c r="M262" s="196"/>
      <c r="N262" s="196"/>
      <c r="O262" s="196"/>
      <c r="P262" s="196"/>
      <c r="Q262" s="196"/>
      <c r="R262" s="196"/>
      <c r="S262" s="196"/>
      <c r="T262" s="196"/>
      <c r="U262" s="196"/>
      <c r="V262" s="196"/>
      <c r="W262" s="196"/>
      <c r="X262" s="196"/>
      <c r="Y262" s="196"/>
      <c r="Z262" s="196"/>
      <c r="AA262" s="196"/>
      <c r="AB262" s="196"/>
    </row>
    <row r="263" spans="1:28" ht="12.9">
      <c r="A263" s="196"/>
      <c r="B263" s="143"/>
      <c r="C263" s="196"/>
      <c r="D263" s="196"/>
      <c r="E263" s="196"/>
      <c r="F263" s="220"/>
      <c r="G263" s="143"/>
      <c r="H263" s="196"/>
      <c r="I263" s="196"/>
      <c r="J263" s="196"/>
      <c r="K263" s="196"/>
      <c r="L263" s="196"/>
      <c r="M263" s="196"/>
      <c r="N263" s="196"/>
      <c r="O263" s="196"/>
      <c r="P263" s="196"/>
      <c r="Q263" s="196"/>
      <c r="R263" s="196"/>
      <c r="S263" s="196"/>
      <c r="T263" s="196"/>
      <c r="U263" s="196"/>
      <c r="V263" s="196"/>
      <c r="W263" s="196"/>
      <c r="X263" s="196"/>
      <c r="Y263" s="196"/>
      <c r="Z263" s="196"/>
      <c r="AA263" s="196"/>
      <c r="AB263" s="196"/>
    </row>
    <row r="264" spans="1:28" ht="12.9">
      <c r="A264" s="196"/>
      <c r="B264" s="143"/>
      <c r="C264" s="196"/>
      <c r="D264" s="196"/>
      <c r="E264" s="196"/>
      <c r="F264" s="220"/>
      <c r="G264" s="143"/>
      <c r="H264" s="196"/>
      <c r="I264" s="196"/>
      <c r="J264" s="196"/>
      <c r="K264" s="196"/>
      <c r="L264" s="196"/>
      <c r="M264" s="196"/>
      <c r="N264" s="196"/>
      <c r="O264" s="196"/>
      <c r="P264" s="196"/>
      <c r="Q264" s="196"/>
      <c r="R264" s="196"/>
      <c r="S264" s="196"/>
      <c r="T264" s="196"/>
      <c r="U264" s="196"/>
      <c r="V264" s="196"/>
      <c r="W264" s="196"/>
      <c r="X264" s="196"/>
      <c r="Y264" s="196"/>
      <c r="Z264" s="196"/>
      <c r="AA264" s="196"/>
      <c r="AB264" s="196"/>
    </row>
    <row r="265" spans="1:28" ht="12.9">
      <c r="A265" s="196"/>
      <c r="B265" s="143"/>
      <c r="C265" s="196"/>
      <c r="D265" s="196"/>
      <c r="E265" s="196"/>
      <c r="F265" s="220"/>
      <c r="G265" s="143"/>
      <c r="H265" s="196"/>
      <c r="I265" s="196"/>
      <c r="J265" s="196"/>
      <c r="K265" s="196"/>
      <c r="L265" s="196"/>
      <c r="M265" s="196"/>
      <c r="N265" s="196"/>
      <c r="O265" s="196"/>
      <c r="P265" s="196"/>
      <c r="Q265" s="196"/>
      <c r="R265" s="196"/>
      <c r="S265" s="196"/>
      <c r="T265" s="196"/>
      <c r="U265" s="196"/>
      <c r="V265" s="196"/>
      <c r="W265" s="196"/>
      <c r="X265" s="196"/>
      <c r="Y265" s="196"/>
      <c r="Z265" s="196"/>
      <c r="AA265" s="196"/>
      <c r="AB265" s="196"/>
    </row>
    <row r="266" spans="1:28" ht="12.9">
      <c r="A266" s="196"/>
      <c r="B266" s="143"/>
      <c r="C266" s="196"/>
      <c r="D266" s="196"/>
      <c r="E266" s="196"/>
      <c r="F266" s="220"/>
      <c r="G266" s="143"/>
      <c r="H266" s="196"/>
      <c r="I266" s="196"/>
      <c r="J266" s="196"/>
      <c r="K266" s="196"/>
      <c r="L266" s="196"/>
      <c r="M266" s="196"/>
      <c r="N266" s="196"/>
      <c r="O266" s="196"/>
      <c r="P266" s="196"/>
      <c r="Q266" s="196"/>
      <c r="R266" s="196"/>
      <c r="S266" s="196"/>
      <c r="T266" s="196"/>
      <c r="U266" s="196"/>
      <c r="V266" s="196"/>
      <c r="W266" s="196"/>
      <c r="X266" s="196"/>
      <c r="Y266" s="196"/>
      <c r="Z266" s="196"/>
      <c r="AA266" s="196"/>
      <c r="AB266" s="196"/>
    </row>
    <row r="267" spans="1:28" ht="12.9">
      <c r="A267" s="196"/>
      <c r="B267" s="143"/>
      <c r="C267" s="196"/>
      <c r="D267" s="196"/>
      <c r="E267" s="196"/>
      <c r="F267" s="220"/>
      <c r="G267" s="143"/>
      <c r="H267" s="196"/>
      <c r="I267" s="196"/>
      <c r="J267" s="196"/>
      <c r="K267" s="196"/>
      <c r="L267" s="196"/>
      <c r="M267" s="196"/>
      <c r="N267" s="196"/>
      <c r="O267" s="196"/>
      <c r="P267" s="196"/>
      <c r="Q267" s="196"/>
      <c r="R267" s="196"/>
      <c r="S267" s="196"/>
      <c r="T267" s="196"/>
      <c r="U267" s="196"/>
      <c r="V267" s="196"/>
      <c r="W267" s="196"/>
      <c r="X267" s="196"/>
      <c r="Y267" s="196"/>
      <c r="Z267" s="196"/>
      <c r="AA267" s="196"/>
      <c r="AB267" s="196"/>
    </row>
    <row r="268" spans="1:28" ht="12.9">
      <c r="A268" s="196"/>
      <c r="B268" s="143"/>
      <c r="C268" s="196"/>
      <c r="D268" s="196"/>
      <c r="E268" s="196"/>
      <c r="F268" s="220"/>
      <c r="G268" s="143"/>
      <c r="H268" s="196"/>
      <c r="I268" s="196"/>
      <c r="J268" s="196"/>
      <c r="K268" s="196"/>
      <c r="L268" s="196"/>
      <c r="M268" s="196"/>
      <c r="N268" s="196"/>
      <c r="O268" s="196"/>
      <c r="P268" s="196"/>
      <c r="Q268" s="196"/>
      <c r="R268" s="196"/>
      <c r="S268" s="196"/>
      <c r="T268" s="196"/>
      <c r="U268" s="196"/>
      <c r="V268" s="196"/>
      <c r="W268" s="196"/>
      <c r="X268" s="196"/>
      <c r="Y268" s="196"/>
      <c r="Z268" s="196"/>
      <c r="AA268" s="196"/>
      <c r="AB268" s="196"/>
    </row>
    <row r="269" spans="1:28" ht="12.9">
      <c r="A269" s="196"/>
      <c r="B269" s="143"/>
      <c r="C269" s="196"/>
      <c r="D269" s="196"/>
      <c r="E269" s="196"/>
      <c r="F269" s="220"/>
      <c r="G269" s="143"/>
      <c r="H269" s="196"/>
      <c r="I269" s="196"/>
      <c r="J269" s="196"/>
      <c r="K269" s="196"/>
      <c r="L269" s="196"/>
      <c r="M269" s="196"/>
      <c r="N269" s="196"/>
      <c r="O269" s="196"/>
      <c r="P269" s="196"/>
      <c r="Q269" s="196"/>
      <c r="R269" s="196"/>
      <c r="S269" s="196"/>
      <c r="T269" s="196"/>
      <c r="U269" s="196"/>
      <c r="V269" s="196"/>
      <c r="W269" s="196"/>
      <c r="X269" s="196"/>
      <c r="Y269" s="196"/>
      <c r="Z269" s="196"/>
      <c r="AA269" s="196"/>
      <c r="AB269" s="196"/>
    </row>
    <row r="270" spans="1:28" ht="12.9">
      <c r="A270" s="196"/>
      <c r="B270" s="143"/>
      <c r="C270" s="196"/>
      <c r="D270" s="196"/>
      <c r="E270" s="196"/>
      <c r="F270" s="220"/>
      <c r="G270" s="143"/>
      <c r="H270" s="196"/>
      <c r="I270" s="196"/>
      <c r="J270" s="196"/>
      <c r="K270" s="196"/>
      <c r="L270" s="196"/>
      <c r="M270" s="196"/>
      <c r="N270" s="196"/>
      <c r="O270" s="196"/>
      <c r="P270" s="196"/>
      <c r="Q270" s="196"/>
      <c r="R270" s="196"/>
      <c r="S270" s="196"/>
      <c r="T270" s="196"/>
      <c r="U270" s="196"/>
      <c r="V270" s="196"/>
      <c r="W270" s="196"/>
      <c r="X270" s="196"/>
      <c r="Y270" s="196"/>
      <c r="Z270" s="196"/>
      <c r="AA270" s="196"/>
      <c r="AB270" s="196"/>
    </row>
    <row r="271" spans="1:28" ht="12.9">
      <c r="A271" s="196"/>
      <c r="B271" s="143"/>
      <c r="C271" s="196"/>
      <c r="D271" s="196"/>
      <c r="E271" s="196"/>
      <c r="F271" s="220"/>
      <c r="G271" s="143"/>
      <c r="H271" s="196"/>
      <c r="I271" s="196"/>
      <c r="J271" s="196"/>
      <c r="K271" s="196"/>
      <c r="L271" s="196"/>
      <c r="M271" s="196"/>
      <c r="N271" s="196"/>
      <c r="O271" s="196"/>
      <c r="P271" s="196"/>
      <c r="Q271" s="196"/>
      <c r="R271" s="196"/>
      <c r="S271" s="196"/>
      <c r="T271" s="196"/>
      <c r="U271" s="196"/>
      <c r="V271" s="196"/>
      <c r="W271" s="196"/>
      <c r="X271" s="196"/>
      <c r="Y271" s="196"/>
      <c r="Z271" s="196"/>
      <c r="AA271" s="196"/>
      <c r="AB271" s="196"/>
    </row>
    <row r="272" spans="1:28" ht="12.9">
      <c r="A272" s="196"/>
      <c r="B272" s="143"/>
      <c r="C272" s="196"/>
      <c r="D272" s="196"/>
      <c r="E272" s="196"/>
      <c r="F272" s="220"/>
      <c r="G272" s="143"/>
      <c r="H272" s="196"/>
      <c r="I272" s="196"/>
      <c r="J272" s="196"/>
      <c r="K272" s="196"/>
      <c r="L272" s="196"/>
      <c r="M272" s="196"/>
      <c r="N272" s="196"/>
      <c r="O272" s="196"/>
      <c r="P272" s="196"/>
      <c r="Q272" s="196"/>
      <c r="R272" s="196"/>
      <c r="S272" s="196"/>
      <c r="T272" s="196"/>
      <c r="U272" s="196"/>
      <c r="V272" s="196"/>
      <c r="W272" s="196"/>
      <c r="X272" s="196"/>
      <c r="Y272" s="196"/>
      <c r="Z272" s="196"/>
      <c r="AA272" s="196"/>
      <c r="AB272" s="196"/>
    </row>
    <row r="273" spans="1:28" ht="12.9">
      <c r="A273" s="196"/>
      <c r="B273" s="143"/>
      <c r="C273" s="196"/>
      <c r="D273" s="196"/>
      <c r="E273" s="196"/>
      <c r="F273" s="220"/>
      <c r="G273" s="143"/>
      <c r="H273" s="196"/>
      <c r="I273" s="196"/>
      <c r="J273" s="196"/>
      <c r="K273" s="196"/>
      <c r="L273" s="196"/>
      <c r="M273" s="196"/>
      <c r="N273" s="196"/>
      <c r="O273" s="196"/>
      <c r="P273" s="196"/>
      <c r="Q273" s="196"/>
      <c r="R273" s="196"/>
      <c r="S273" s="196"/>
      <c r="T273" s="196"/>
      <c r="U273" s="196"/>
      <c r="V273" s="196"/>
      <c r="W273" s="196"/>
      <c r="X273" s="196"/>
      <c r="Y273" s="196"/>
      <c r="Z273" s="196"/>
      <c r="AA273" s="196"/>
      <c r="AB273" s="196"/>
    </row>
    <row r="274" spans="1:28" ht="12.9">
      <c r="A274" s="196"/>
      <c r="B274" s="143"/>
      <c r="C274" s="196"/>
      <c r="D274" s="196"/>
      <c r="E274" s="196"/>
      <c r="F274" s="220"/>
      <c r="G274" s="143"/>
      <c r="H274" s="196"/>
      <c r="I274" s="196"/>
      <c r="J274" s="196"/>
      <c r="K274" s="196"/>
      <c r="L274" s="196"/>
      <c r="M274" s="196"/>
      <c r="N274" s="196"/>
      <c r="O274" s="196"/>
      <c r="P274" s="196"/>
      <c r="Q274" s="196"/>
      <c r="R274" s="196"/>
      <c r="S274" s="196"/>
      <c r="T274" s="196"/>
      <c r="U274" s="196"/>
      <c r="V274" s="196"/>
      <c r="W274" s="196"/>
      <c r="X274" s="196"/>
      <c r="Y274" s="196"/>
      <c r="Z274" s="196"/>
      <c r="AA274" s="196"/>
      <c r="AB274" s="196"/>
    </row>
    <row r="275" spans="1:28" ht="12.9">
      <c r="A275" s="196"/>
      <c r="B275" s="143"/>
      <c r="C275" s="196"/>
      <c r="D275" s="196"/>
      <c r="E275" s="196"/>
      <c r="F275" s="220"/>
      <c r="G275" s="143"/>
      <c r="H275" s="196"/>
      <c r="I275" s="196"/>
      <c r="J275" s="196"/>
      <c r="K275" s="196"/>
      <c r="L275" s="196"/>
      <c r="M275" s="196"/>
      <c r="N275" s="196"/>
      <c r="O275" s="196"/>
      <c r="P275" s="196"/>
      <c r="Q275" s="196"/>
      <c r="R275" s="196"/>
      <c r="S275" s="196"/>
      <c r="T275" s="196"/>
      <c r="U275" s="196"/>
      <c r="V275" s="196"/>
      <c r="W275" s="196"/>
      <c r="X275" s="196"/>
      <c r="Y275" s="196"/>
      <c r="Z275" s="196"/>
      <c r="AA275" s="196"/>
      <c r="AB275" s="196"/>
    </row>
    <row r="276" spans="1:28" ht="12.9">
      <c r="A276" s="196"/>
      <c r="B276" s="143"/>
      <c r="C276" s="196"/>
      <c r="D276" s="196"/>
      <c r="E276" s="196"/>
      <c r="F276" s="220"/>
      <c r="G276" s="143"/>
      <c r="H276" s="196"/>
      <c r="I276" s="196"/>
      <c r="J276" s="196"/>
      <c r="K276" s="196"/>
      <c r="L276" s="196"/>
      <c r="M276" s="196"/>
      <c r="N276" s="196"/>
      <c r="O276" s="196"/>
      <c r="P276" s="196"/>
      <c r="Q276" s="196"/>
      <c r="R276" s="196"/>
      <c r="S276" s="196"/>
      <c r="T276" s="196"/>
      <c r="U276" s="196"/>
      <c r="V276" s="196"/>
      <c r="W276" s="196"/>
      <c r="X276" s="196"/>
      <c r="Y276" s="196"/>
      <c r="Z276" s="196"/>
      <c r="AA276" s="196"/>
      <c r="AB276" s="196"/>
    </row>
    <row r="277" spans="1:28" ht="12.9">
      <c r="A277" s="196"/>
      <c r="B277" s="143"/>
      <c r="C277" s="196"/>
      <c r="D277" s="196"/>
      <c r="E277" s="196"/>
      <c r="F277" s="220"/>
      <c r="G277" s="143"/>
      <c r="H277" s="196"/>
      <c r="I277" s="196"/>
      <c r="J277" s="196"/>
      <c r="K277" s="196"/>
      <c r="L277" s="196"/>
      <c r="M277" s="196"/>
      <c r="N277" s="196"/>
      <c r="O277" s="196"/>
      <c r="P277" s="196"/>
      <c r="Q277" s="196"/>
      <c r="R277" s="196"/>
      <c r="S277" s="196"/>
      <c r="T277" s="196"/>
      <c r="U277" s="196"/>
      <c r="V277" s="196"/>
      <c r="W277" s="196"/>
      <c r="X277" s="196"/>
      <c r="Y277" s="196"/>
      <c r="Z277" s="196"/>
      <c r="AA277" s="196"/>
      <c r="AB277" s="196"/>
    </row>
    <row r="278" spans="1:28" ht="12.9">
      <c r="A278" s="196"/>
      <c r="B278" s="143"/>
      <c r="C278" s="196"/>
      <c r="D278" s="196"/>
      <c r="E278" s="196"/>
      <c r="F278" s="220"/>
      <c r="G278" s="143"/>
      <c r="H278" s="196"/>
      <c r="I278" s="196"/>
      <c r="J278" s="196"/>
      <c r="K278" s="196"/>
      <c r="L278" s="196"/>
      <c r="M278" s="196"/>
      <c r="N278" s="196"/>
      <c r="O278" s="196"/>
      <c r="P278" s="196"/>
      <c r="Q278" s="196"/>
      <c r="R278" s="196"/>
      <c r="S278" s="196"/>
      <c r="T278" s="196"/>
      <c r="U278" s="196"/>
      <c r="V278" s="196"/>
      <c r="W278" s="196"/>
      <c r="X278" s="196"/>
      <c r="Y278" s="196"/>
      <c r="Z278" s="196"/>
      <c r="AA278" s="196"/>
      <c r="AB278" s="196"/>
    </row>
    <row r="279" spans="1:28" ht="12.9">
      <c r="A279" s="196"/>
      <c r="B279" s="143"/>
      <c r="C279" s="196"/>
      <c r="D279" s="196"/>
      <c r="E279" s="196"/>
      <c r="F279" s="220"/>
      <c r="G279" s="143"/>
      <c r="H279" s="196"/>
      <c r="I279" s="196"/>
      <c r="J279" s="196"/>
      <c r="K279" s="196"/>
      <c r="L279" s="196"/>
      <c r="M279" s="196"/>
      <c r="N279" s="196"/>
      <c r="O279" s="196"/>
      <c r="P279" s="196"/>
      <c r="Q279" s="196"/>
      <c r="R279" s="196"/>
      <c r="S279" s="196"/>
      <c r="T279" s="196"/>
      <c r="U279" s="196"/>
      <c r="V279" s="196"/>
      <c r="W279" s="196"/>
      <c r="X279" s="196"/>
      <c r="Y279" s="196"/>
      <c r="Z279" s="196"/>
      <c r="AA279" s="196"/>
      <c r="AB279" s="196"/>
    </row>
    <row r="280" spans="1:28" ht="12.9">
      <c r="A280" s="196"/>
      <c r="B280" s="143"/>
      <c r="C280" s="196"/>
      <c r="D280" s="196"/>
      <c r="E280" s="196"/>
      <c r="F280" s="220"/>
      <c r="G280" s="143"/>
      <c r="H280" s="196"/>
      <c r="I280" s="196"/>
      <c r="J280" s="196"/>
      <c r="K280" s="196"/>
      <c r="L280" s="196"/>
      <c r="M280" s="196"/>
      <c r="N280" s="196"/>
      <c r="O280" s="196"/>
      <c r="P280" s="196"/>
      <c r="Q280" s="196"/>
      <c r="R280" s="196"/>
      <c r="S280" s="196"/>
      <c r="T280" s="196"/>
      <c r="U280" s="196"/>
      <c r="V280" s="196"/>
      <c r="W280" s="196"/>
      <c r="X280" s="196"/>
      <c r="Y280" s="196"/>
      <c r="Z280" s="196"/>
      <c r="AA280" s="196"/>
      <c r="AB280" s="196"/>
    </row>
    <row r="281" spans="1:28" ht="12.9">
      <c r="A281" s="196"/>
      <c r="B281" s="143"/>
      <c r="C281" s="196"/>
      <c r="D281" s="196"/>
      <c r="E281" s="196"/>
      <c r="F281" s="220"/>
      <c r="G281" s="143"/>
      <c r="H281" s="196"/>
      <c r="I281" s="196"/>
      <c r="J281" s="196"/>
      <c r="K281" s="196"/>
      <c r="L281" s="196"/>
      <c r="M281" s="196"/>
      <c r="N281" s="196"/>
      <c r="O281" s="196"/>
      <c r="P281" s="196"/>
      <c r="Q281" s="196"/>
      <c r="R281" s="196"/>
      <c r="S281" s="196"/>
      <c r="T281" s="196"/>
      <c r="U281" s="196"/>
      <c r="V281" s="196"/>
      <c r="W281" s="196"/>
      <c r="X281" s="196"/>
      <c r="Y281" s="196"/>
      <c r="Z281" s="196"/>
      <c r="AA281" s="196"/>
      <c r="AB281" s="196"/>
    </row>
    <row r="282" spans="1:28" ht="12.9">
      <c r="A282" s="196"/>
      <c r="B282" s="143"/>
      <c r="C282" s="196"/>
      <c r="D282" s="196"/>
      <c r="E282" s="196"/>
      <c r="F282" s="220"/>
      <c r="G282" s="143"/>
      <c r="H282" s="196"/>
      <c r="I282" s="196"/>
      <c r="J282" s="196"/>
      <c r="K282" s="196"/>
      <c r="L282" s="196"/>
      <c r="M282" s="196"/>
      <c r="N282" s="196"/>
      <c r="O282" s="196"/>
      <c r="P282" s="196"/>
      <c r="Q282" s="196"/>
      <c r="R282" s="196"/>
      <c r="S282" s="196"/>
      <c r="T282" s="196"/>
      <c r="U282" s="196"/>
      <c r="V282" s="196"/>
      <c r="W282" s="196"/>
      <c r="X282" s="196"/>
      <c r="Y282" s="196"/>
      <c r="Z282" s="196"/>
      <c r="AA282" s="196"/>
      <c r="AB282" s="196"/>
    </row>
    <row r="283" spans="1:28" ht="12.9">
      <c r="A283" s="196"/>
      <c r="B283" s="143"/>
      <c r="C283" s="196"/>
      <c r="D283" s="196"/>
      <c r="E283" s="196"/>
      <c r="F283" s="220"/>
      <c r="G283" s="143"/>
      <c r="H283" s="196"/>
      <c r="I283" s="196"/>
      <c r="J283" s="196"/>
      <c r="K283" s="196"/>
      <c r="L283" s="196"/>
      <c r="M283" s="196"/>
      <c r="N283" s="196"/>
      <c r="O283" s="196"/>
      <c r="P283" s="196"/>
      <c r="Q283" s="196"/>
      <c r="R283" s="196"/>
      <c r="S283" s="196"/>
      <c r="T283" s="196"/>
      <c r="U283" s="196"/>
      <c r="V283" s="196"/>
      <c r="W283" s="196"/>
      <c r="X283" s="196"/>
      <c r="Y283" s="196"/>
      <c r="Z283" s="196"/>
      <c r="AA283" s="196"/>
      <c r="AB283" s="196"/>
    </row>
    <row r="284" spans="1:28" ht="12.9">
      <c r="A284" s="196"/>
      <c r="B284" s="143"/>
      <c r="C284" s="196"/>
      <c r="D284" s="196"/>
      <c r="E284" s="196"/>
      <c r="F284" s="220"/>
      <c r="G284" s="143"/>
      <c r="H284" s="196"/>
      <c r="I284" s="196"/>
      <c r="J284" s="196"/>
      <c r="K284" s="196"/>
      <c r="L284" s="196"/>
      <c r="M284" s="196"/>
      <c r="N284" s="196"/>
      <c r="O284" s="196"/>
      <c r="P284" s="196"/>
      <c r="Q284" s="196"/>
      <c r="R284" s="196"/>
      <c r="S284" s="196"/>
      <c r="T284" s="196"/>
      <c r="U284" s="196"/>
      <c r="V284" s="196"/>
      <c r="W284" s="196"/>
      <c r="X284" s="196"/>
      <c r="Y284" s="196"/>
      <c r="Z284" s="196"/>
      <c r="AA284" s="196"/>
      <c r="AB284" s="196"/>
    </row>
    <row r="285" spans="1:28" ht="12.9">
      <c r="A285" s="196"/>
      <c r="B285" s="143"/>
      <c r="C285" s="196"/>
      <c r="D285" s="196"/>
      <c r="E285" s="196"/>
      <c r="F285" s="220"/>
      <c r="G285" s="143"/>
      <c r="H285" s="196"/>
      <c r="I285" s="196"/>
      <c r="J285" s="196"/>
      <c r="K285" s="196"/>
      <c r="L285" s="196"/>
      <c r="M285" s="196"/>
      <c r="N285" s="196"/>
      <c r="O285" s="196"/>
      <c r="P285" s="196"/>
      <c r="Q285" s="196"/>
      <c r="R285" s="196"/>
      <c r="S285" s="196"/>
      <c r="T285" s="196"/>
      <c r="U285" s="196"/>
      <c r="V285" s="196"/>
      <c r="W285" s="196"/>
      <c r="X285" s="196"/>
      <c r="Y285" s="196"/>
      <c r="Z285" s="196"/>
      <c r="AA285" s="196"/>
      <c r="AB285" s="196"/>
    </row>
    <row r="286" spans="1:28" ht="12.9">
      <c r="A286" s="196"/>
      <c r="B286" s="143"/>
      <c r="C286" s="196"/>
      <c r="D286" s="196"/>
      <c r="E286" s="196"/>
      <c r="F286" s="220"/>
      <c r="G286" s="143"/>
      <c r="H286" s="196"/>
      <c r="I286" s="196"/>
      <c r="J286" s="196"/>
      <c r="K286" s="196"/>
      <c r="L286" s="196"/>
      <c r="M286" s="196"/>
      <c r="N286" s="196"/>
      <c r="O286" s="196"/>
      <c r="P286" s="196"/>
      <c r="Q286" s="196"/>
      <c r="R286" s="196"/>
      <c r="S286" s="196"/>
      <c r="T286" s="196"/>
      <c r="U286" s="196"/>
      <c r="V286" s="196"/>
      <c r="W286" s="196"/>
      <c r="X286" s="196"/>
      <c r="Y286" s="196"/>
      <c r="Z286" s="196"/>
      <c r="AA286" s="196"/>
      <c r="AB286" s="196"/>
    </row>
    <row r="287" spans="1:28" ht="12.9">
      <c r="A287" s="196"/>
      <c r="B287" s="143"/>
      <c r="C287" s="196"/>
      <c r="D287" s="196"/>
      <c r="E287" s="196"/>
      <c r="F287" s="220"/>
      <c r="G287" s="143"/>
      <c r="H287" s="196"/>
      <c r="I287" s="196"/>
      <c r="J287" s="196"/>
      <c r="K287" s="196"/>
      <c r="L287" s="196"/>
      <c r="M287" s="196"/>
      <c r="N287" s="196"/>
      <c r="O287" s="196"/>
      <c r="P287" s="196"/>
      <c r="Q287" s="196"/>
      <c r="R287" s="196"/>
      <c r="S287" s="196"/>
      <c r="T287" s="196"/>
      <c r="U287" s="196"/>
      <c r="V287" s="196"/>
      <c r="W287" s="196"/>
      <c r="X287" s="196"/>
      <c r="Y287" s="196"/>
      <c r="Z287" s="196"/>
      <c r="AA287" s="196"/>
      <c r="AB287" s="196"/>
    </row>
    <row r="288" spans="1:28" ht="12.9">
      <c r="A288" s="196"/>
      <c r="B288" s="143"/>
      <c r="C288" s="196"/>
      <c r="D288" s="196"/>
      <c r="E288" s="196"/>
      <c r="F288" s="220"/>
      <c r="G288" s="143"/>
      <c r="H288" s="196"/>
      <c r="I288" s="196"/>
      <c r="J288" s="196"/>
      <c r="K288" s="196"/>
      <c r="L288" s="196"/>
      <c r="M288" s="196"/>
      <c r="N288" s="196"/>
      <c r="O288" s="196"/>
      <c r="P288" s="196"/>
      <c r="Q288" s="196"/>
      <c r="R288" s="196"/>
      <c r="S288" s="196"/>
      <c r="T288" s="196"/>
      <c r="U288" s="196"/>
      <c r="V288" s="196"/>
      <c r="W288" s="196"/>
      <c r="X288" s="196"/>
      <c r="Y288" s="196"/>
      <c r="Z288" s="196"/>
      <c r="AA288" s="196"/>
      <c r="AB288" s="196"/>
    </row>
    <row r="289" spans="1:28" ht="12.9">
      <c r="A289" s="196"/>
      <c r="B289" s="143"/>
      <c r="C289" s="196"/>
      <c r="D289" s="196"/>
      <c r="E289" s="196"/>
      <c r="F289" s="220"/>
      <c r="G289" s="143"/>
      <c r="H289" s="196"/>
      <c r="I289" s="196"/>
      <c r="J289" s="196"/>
      <c r="K289" s="196"/>
      <c r="L289" s="196"/>
      <c r="M289" s="196"/>
      <c r="N289" s="196"/>
      <c r="O289" s="196"/>
      <c r="P289" s="196"/>
      <c r="Q289" s="196"/>
      <c r="R289" s="196"/>
      <c r="S289" s="196"/>
      <c r="T289" s="196"/>
      <c r="U289" s="196"/>
      <c r="V289" s="196"/>
      <c r="W289" s="196"/>
      <c r="X289" s="196"/>
      <c r="Y289" s="196"/>
      <c r="Z289" s="196"/>
      <c r="AA289" s="196"/>
      <c r="AB289" s="196"/>
    </row>
    <row r="290" spans="1:28" ht="12.9">
      <c r="A290" s="196"/>
      <c r="B290" s="143"/>
      <c r="C290" s="196"/>
      <c r="D290" s="196"/>
      <c r="E290" s="196"/>
      <c r="F290" s="220"/>
      <c r="G290" s="143"/>
      <c r="H290" s="196"/>
      <c r="I290" s="196"/>
      <c r="J290" s="196"/>
      <c r="K290" s="196"/>
      <c r="L290" s="196"/>
      <c r="M290" s="196"/>
      <c r="N290" s="196"/>
      <c r="O290" s="196"/>
      <c r="P290" s="196"/>
      <c r="Q290" s="196"/>
      <c r="R290" s="196"/>
      <c r="S290" s="196"/>
      <c r="T290" s="196"/>
      <c r="U290" s="196"/>
      <c r="V290" s="196"/>
      <c r="W290" s="196"/>
      <c r="X290" s="196"/>
      <c r="Y290" s="196"/>
      <c r="Z290" s="196"/>
      <c r="AA290" s="196"/>
      <c r="AB290" s="196"/>
    </row>
    <row r="291" spans="1:28" ht="12.9">
      <c r="A291" s="196"/>
      <c r="B291" s="143"/>
      <c r="C291" s="196"/>
      <c r="D291" s="196"/>
      <c r="E291" s="196"/>
      <c r="F291" s="220"/>
      <c r="G291" s="143"/>
      <c r="H291" s="196"/>
      <c r="I291" s="196"/>
      <c r="J291" s="196"/>
      <c r="K291" s="196"/>
      <c r="L291" s="196"/>
      <c r="M291" s="196"/>
      <c r="N291" s="196"/>
      <c r="O291" s="196"/>
      <c r="P291" s="196"/>
      <c r="Q291" s="196"/>
      <c r="R291" s="196"/>
      <c r="S291" s="196"/>
      <c r="T291" s="196"/>
      <c r="U291" s="196"/>
      <c r="V291" s="196"/>
      <c r="W291" s="196"/>
      <c r="X291" s="196"/>
      <c r="Y291" s="196"/>
      <c r="Z291" s="196"/>
      <c r="AA291" s="196"/>
      <c r="AB291" s="196"/>
    </row>
    <row r="292" spans="1:28" ht="12.9">
      <c r="A292" s="196"/>
      <c r="B292" s="143"/>
      <c r="C292" s="196"/>
      <c r="D292" s="196"/>
      <c r="E292" s="196"/>
      <c r="F292" s="220"/>
      <c r="G292" s="143"/>
      <c r="H292" s="196"/>
      <c r="I292" s="196"/>
      <c r="J292" s="196"/>
      <c r="K292" s="196"/>
      <c r="L292" s="196"/>
      <c r="M292" s="196"/>
      <c r="N292" s="196"/>
      <c r="O292" s="196"/>
      <c r="P292" s="196"/>
      <c r="Q292" s="196"/>
      <c r="R292" s="196"/>
      <c r="S292" s="196"/>
      <c r="T292" s="196"/>
      <c r="U292" s="196"/>
      <c r="V292" s="196"/>
      <c r="W292" s="196"/>
      <c r="X292" s="196"/>
      <c r="Y292" s="196"/>
      <c r="Z292" s="196"/>
      <c r="AA292" s="196"/>
      <c r="AB292" s="196"/>
    </row>
    <row r="293" spans="1:28" ht="12.9">
      <c r="A293" s="196"/>
      <c r="B293" s="143"/>
      <c r="C293" s="196"/>
      <c r="D293" s="196"/>
      <c r="E293" s="196"/>
      <c r="F293" s="220"/>
      <c r="G293" s="143"/>
      <c r="H293" s="196"/>
      <c r="I293" s="196"/>
      <c r="J293" s="196"/>
      <c r="K293" s="196"/>
      <c r="L293" s="196"/>
      <c r="M293" s="196"/>
      <c r="N293" s="196"/>
      <c r="O293" s="196"/>
      <c r="P293" s="196"/>
      <c r="Q293" s="196"/>
      <c r="R293" s="196"/>
      <c r="S293" s="196"/>
      <c r="T293" s="196"/>
      <c r="U293" s="196"/>
      <c r="V293" s="196"/>
      <c r="W293" s="196"/>
      <c r="X293" s="196"/>
      <c r="Y293" s="196"/>
      <c r="Z293" s="196"/>
      <c r="AA293" s="196"/>
      <c r="AB293" s="196"/>
    </row>
    <row r="294" spans="1:28" ht="12.9">
      <c r="A294" s="196"/>
      <c r="B294" s="143"/>
      <c r="C294" s="196"/>
      <c r="D294" s="196"/>
      <c r="E294" s="196"/>
      <c r="F294" s="220"/>
      <c r="G294" s="143"/>
      <c r="H294" s="196"/>
      <c r="I294" s="196"/>
      <c r="J294" s="196"/>
      <c r="K294" s="196"/>
      <c r="L294" s="196"/>
      <c r="M294" s="196"/>
      <c r="N294" s="196"/>
      <c r="O294" s="196"/>
      <c r="P294" s="196"/>
      <c r="Q294" s="196"/>
      <c r="R294" s="196"/>
      <c r="S294" s="196"/>
      <c r="T294" s="196"/>
      <c r="U294" s="196"/>
      <c r="V294" s="196"/>
      <c r="W294" s="196"/>
      <c r="X294" s="196"/>
      <c r="Y294" s="196"/>
      <c r="Z294" s="196"/>
      <c r="AA294" s="196"/>
      <c r="AB294" s="196"/>
    </row>
    <row r="295" spans="1:28" ht="12.9">
      <c r="A295" s="196"/>
      <c r="B295" s="143"/>
      <c r="C295" s="196"/>
      <c r="D295" s="196"/>
      <c r="E295" s="196"/>
      <c r="F295" s="220"/>
      <c r="G295" s="143"/>
      <c r="H295" s="196"/>
      <c r="I295" s="196"/>
      <c r="J295" s="196"/>
      <c r="K295" s="196"/>
      <c r="L295" s="196"/>
      <c r="M295" s="196"/>
      <c r="N295" s="196"/>
      <c r="O295" s="196"/>
      <c r="P295" s="196"/>
      <c r="Q295" s="196"/>
      <c r="R295" s="196"/>
      <c r="S295" s="196"/>
      <c r="T295" s="196"/>
      <c r="U295" s="196"/>
      <c r="V295" s="196"/>
      <c r="W295" s="196"/>
      <c r="X295" s="196"/>
      <c r="Y295" s="196"/>
      <c r="Z295" s="196"/>
      <c r="AA295" s="196"/>
      <c r="AB295" s="196"/>
    </row>
    <row r="296" spans="1:28" ht="12.9">
      <c r="A296" s="196"/>
      <c r="B296" s="143"/>
      <c r="C296" s="196"/>
      <c r="D296" s="196"/>
      <c r="E296" s="196"/>
      <c r="F296" s="220"/>
      <c r="G296" s="143"/>
      <c r="H296" s="196"/>
      <c r="I296" s="196"/>
      <c r="J296" s="196"/>
      <c r="K296" s="196"/>
      <c r="L296" s="196"/>
      <c r="M296" s="196"/>
      <c r="N296" s="196"/>
      <c r="O296" s="196"/>
      <c r="P296" s="196"/>
      <c r="Q296" s="196"/>
      <c r="R296" s="196"/>
      <c r="S296" s="196"/>
      <c r="T296" s="196"/>
      <c r="U296" s="196"/>
      <c r="V296" s="196"/>
      <c r="W296" s="196"/>
      <c r="X296" s="196"/>
      <c r="Y296" s="196"/>
      <c r="Z296" s="196"/>
      <c r="AA296" s="196"/>
      <c r="AB296" s="196"/>
    </row>
    <row r="297" spans="1:28" ht="12.9">
      <c r="A297" s="196"/>
      <c r="B297" s="143"/>
      <c r="C297" s="196"/>
      <c r="D297" s="196"/>
      <c r="E297" s="196"/>
      <c r="F297" s="220"/>
      <c r="G297" s="143"/>
      <c r="H297" s="196"/>
      <c r="I297" s="196"/>
      <c r="J297" s="196"/>
      <c r="K297" s="196"/>
      <c r="L297" s="196"/>
      <c r="M297" s="196"/>
      <c r="N297" s="196"/>
      <c r="O297" s="196"/>
      <c r="P297" s="196"/>
      <c r="Q297" s="196"/>
      <c r="R297" s="196"/>
      <c r="S297" s="196"/>
      <c r="T297" s="196"/>
      <c r="U297" s="196"/>
      <c r="V297" s="196"/>
      <c r="W297" s="196"/>
      <c r="X297" s="196"/>
      <c r="Y297" s="196"/>
      <c r="Z297" s="196"/>
      <c r="AA297" s="196"/>
      <c r="AB297" s="196"/>
    </row>
    <row r="298" spans="1:28" ht="12.9">
      <c r="A298" s="196"/>
      <c r="B298" s="143"/>
      <c r="C298" s="196"/>
      <c r="D298" s="196"/>
      <c r="E298" s="196"/>
      <c r="F298" s="220"/>
      <c r="G298" s="143"/>
      <c r="H298" s="196"/>
      <c r="I298" s="196"/>
      <c r="J298" s="196"/>
      <c r="K298" s="196"/>
      <c r="L298" s="196"/>
      <c r="M298" s="196"/>
      <c r="N298" s="196"/>
      <c r="O298" s="196"/>
      <c r="P298" s="196"/>
      <c r="Q298" s="196"/>
      <c r="R298" s="196"/>
      <c r="S298" s="196"/>
      <c r="T298" s="196"/>
      <c r="U298" s="196"/>
      <c r="V298" s="196"/>
      <c r="W298" s="196"/>
      <c r="X298" s="196"/>
      <c r="Y298" s="196"/>
      <c r="Z298" s="196"/>
      <c r="AA298" s="196"/>
      <c r="AB298" s="196"/>
    </row>
    <row r="299" spans="1:28" ht="12.9">
      <c r="A299" s="196"/>
      <c r="B299" s="143"/>
      <c r="C299" s="196"/>
      <c r="D299" s="196"/>
      <c r="E299" s="196"/>
      <c r="F299" s="220"/>
      <c r="G299" s="143"/>
      <c r="H299" s="196"/>
      <c r="I299" s="196"/>
      <c r="J299" s="196"/>
      <c r="K299" s="196"/>
      <c r="L299" s="196"/>
      <c r="M299" s="196"/>
      <c r="N299" s="196"/>
      <c r="O299" s="196"/>
      <c r="P299" s="196"/>
      <c r="Q299" s="196"/>
      <c r="R299" s="196"/>
      <c r="S299" s="196"/>
      <c r="T299" s="196"/>
      <c r="U299" s="196"/>
      <c r="V299" s="196"/>
      <c r="W299" s="196"/>
      <c r="X299" s="196"/>
      <c r="Y299" s="196"/>
      <c r="Z299" s="196"/>
      <c r="AA299" s="196"/>
      <c r="AB299" s="196"/>
    </row>
    <row r="300" spans="1:28" ht="12.9">
      <c r="A300" s="196"/>
      <c r="B300" s="143"/>
      <c r="C300" s="196"/>
      <c r="D300" s="196"/>
      <c r="E300" s="196"/>
      <c r="F300" s="220"/>
      <c r="G300" s="143"/>
      <c r="H300" s="196"/>
      <c r="I300" s="196"/>
      <c r="J300" s="196"/>
      <c r="K300" s="196"/>
      <c r="L300" s="196"/>
      <c r="M300" s="196"/>
      <c r="N300" s="196"/>
      <c r="O300" s="196"/>
      <c r="P300" s="196"/>
      <c r="Q300" s="196"/>
      <c r="R300" s="196"/>
      <c r="S300" s="196"/>
      <c r="T300" s="196"/>
      <c r="U300" s="196"/>
      <c r="V300" s="196"/>
      <c r="W300" s="196"/>
      <c r="X300" s="196"/>
      <c r="Y300" s="196"/>
      <c r="Z300" s="196"/>
      <c r="AA300" s="196"/>
      <c r="AB300" s="196"/>
    </row>
    <row r="301" spans="1:28" ht="12.9">
      <c r="A301" s="196"/>
      <c r="B301" s="143"/>
      <c r="C301" s="196"/>
      <c r="D301" s="196"/>
      <c r="E301" s="196"/>
      <c r="F301" s="220"/>
      <c r="G301" s="143"/>
      <c r="H301" s="196"/>
      <c r="I301" s="196"/>
      <c r="J301" s="196"/>
      <c r="K301" s="196"/>
      <c r="L301" s="196"/>
      <c r="M301" s="196"/>
      <c r="N301" s="196"/>
      <c r="O301" s="196"/>
      <c r="P301" s="196"/>
      <c r="Q301" s="196"/>
      <c r="R301" s="196"/>
      <c r="S301" s="196"/>
      <c r="T301" s="196"/>
      <c r="U301" s="196"/>
      <c r="V301" s="196"/>
      <c r="W301" s="196"/>
      <c r="X301" s="196"/>
      <c r="Y301" s="196"/>
      <c r="Z301" s="196"/>
      <c r="AA301" s="196"/>
      <c r="AB301" s="196"/>
    </row>
    <row r="302" spans="1:28" ht="12.9">
      <c r="A302" s="196"/>
      <c r="B302" s="143"/>
      <c r="C302" s="196"/>
      <c r="D302" s="196"/>
      <c r="E302" s="196"/>
      <c r="F302" s="220"/>
      <c r="G302" s="143"/>
      <c r="H302" s="196"/>
      <c r="I302" s="196"/>
      <c r="J302" s="196"/>
      <c r="K302" s="196"/>
      <c r="L302" s="196"/>
      <c r="M302" s="196"/>
      <c r="N302" s="196"/>
      <c r="O302" s="196"/>
      <c r="P302" s="196"/>
      <c r="Q302" s="196"/>
      <c r="R302" s="196"/>
      <c r="S302" s="196"/>
      <c r="T302" s="196"/>
      <c r="U302" s="196"/>
      <c r="V302" s="196"/>
      <c r="W302" s="196"/>
      <c r="X302" s="196"/>
      <c r="Y302" s="196"/>
      <c r="Z302" s="196"/>
      <c r="AA302" s="196"/>
      <c r="AB302" s="196"/>
    </row>
    <row r="303" spans="1:28" ht="12.9">
      <c r="A303" s="196"/>
      <c r="B303" s="143"/>
      <c r="C303" s="196"/>
      <c r="D303" s="196"/>
      <c r="E303" s="196"/>
      <c r="F303" s="220"/>
      <c r="G303" s="143"/>
      <c r="H303" s="196"/>
      <c r="I303" s="196"/>
      <c r="J303" s="196"/>
      <c r="K303" s="196"/>
      <c r="L303" s="196"/>
      <c r="M303" s="196"/>
      <c r="N303" s="196"/>
      <c r="O303" s="196"/>
      <c r="P303" s="196"/>
      <c r="Q303" s="196"/>
      <c r="R303" s="196"/>
      <c r="S303" s="196"/>
      <c r="T303" s="196"/>
      <c r="U303" s="196"/>
      <c r="V303" s="196"/>
      <c r="W303" s="196"/>
      <c r="X303" s="196"/>
      <c r="Y303" s="196"/>
      <c r="Z303" s="196"/>
      <c r="AA303" s="196"/>
      <c r="AB303" s="196"/>
    </row>
    <row r="304" spans="1:28" ht="12.9">
      <c r="A304" s="196"/>
      <c r="B304" s="143"/>
      <c r="C304" s="196"/>
      <c r="D304" s="196"/>
      <c r="E304" s="196"/>
      <c r="F304" s="220"/>
      <c r="G304" s="143"/>
      <c r="H304" s="196"/>
      <c r="I304" s="196"/>
      <c r="J304" s="196"/>
      <c r="K304" s="196"/>
      <c r="L304" s="196"/>
      <c r="M304" s="196"/>
      <c r="N304" s="196"/>
      <c r="O304" s="196"/>
      <c r="P304" s="196"/>
      <c r="Q304" s="196"/>
      <c r="R304" s="196"/>
      <c r="S304" s="196"/>
      <c r="T304" s="196"/>
      <c r="U304" s="196"/>
      <c r="V304" s="196"/>
      <c r="W304" s="196"/>
      <c r="X304" s="196"/>
      <c r="Y304" s="196"/>
      <c r="Z304" s="196"/>
      <c r="AA304" s="196"/>
      <c r="AB304" s="196"/>
    </row>
    <row r="305" spans="1:28" ht="12.9">
      <c r="A305" s="196"/>
      <c r="B305" s="143"/>
      <c r="C305" s="196"/>
      <c r="D305" s="196"/>
      <c r="E305" s="196"/>
      <c r="F305" s="220"/>
      <c r="G305" s="143"/>
      <c r="H305" s="196"/>
      <c r="I305" s="196"/>
      <c r="J305" s="196"/>
      <c r="K305" s="196"/>
      <c r="L305" s="196"/>
      <c r="M305" s="196"/>
      <c r="N305" s="196"/>
      <c r="O305" s="196"/>
      <c r="P305" s="196"/>
      <c r="Q305" s="196"/>
      <c r="R305" s="196"/>
      <c r="S305" s="196"/>
      <c r="T305" s="196"/>
      <c r="U305" s="196"/>
      <c r="V305" s="196"/>
      <c r="W305" s="196"/>
      <c r="X305" s="196"/>
      <c r="Y305" s="196"/>
      <c r="Z305" s="196"/>
      <c r="AA305" s="196"/>
      <c r="AB305" s="196"/>
    </row>
    <row r="306" spans="1:28" ht="12.9">
      <c r="A306" s="196"/>
      <c r="B306" s="143"/>
      <c r="C306" s="196"/>
      <c r="D306" s="196"/>
      <c r="E306" s="196"/>
      <c r="F306" s="220"/>
      <c r="G306" s="143"/>
      <c r="H306" s="196"/>
      <c r="I306" s="196"/>
      <c r="J306" s="196"/>
      <c r="K306" s="196"/>
      <c r="L306" s="196"/>
      <c r="M306" s="196"/>
      <c r="N306" s="196"/>
      <c r="O306" s="196"/>
      <c r="P306" s="196"/>
      <c r="Q306" s="196"/>
      <c r="R306" s="196"/>
      <c r="S306" s="196"/>
      <c r="T306" s="196"/>
      <c r="U306" s="196"/>
      <c r="V306" s="196"/>
      <c r="W306" s="196"/>
      <c r="X306" s="196"/>
      <c r="Y306" s="196"/>
      <c r="Z306" s="196"/>
      <c r="AA306" s="196"/>
      <c r="AB306" s="196"/>
    </row>
    <row r="307" spans="1:28" ht="12.9">
      <c r="A307" s="196"/>
      <c r="B307" s="143"/>
      <c r="C307" s="196"/>
      <c r="D307" s="196"/>
      <c r="E307" s="196"/>
      <c r="F307" s="220"/>
      <c r="G307" s="143"/>
      <c r="H307" s="196"/>
      <c r="I307" s="196"/>
      <c r="J307" s="196"/>
      <c r="K307" s="196"/>
      <c r="L307" s="196"/>
      <c r="M307" s="196"/>
      <c r="N307" s="196"/>
      <c r="O307" s="196"/>
      <c r="P307" s="196"/>
      <c r="Q307" s="196"/>
      <c r="R307" s="196"/>
      <c r="S307" s="196"/>
      <c r="T307" s="196"/>
      <c r="U307" s="196"/>
      <c r="V307" s="196"/>
      <c r="W307" s="196"/>
      <c r="X307" s="196"/>
      <c r="Y307" s="196"/>
      <c r="Z307" s="196"/>
      <c r="AA307" s="196"/>
      <c r="AB307" s="196"/>
    </row>
    <row r="308" spans="1:28" ht="12.9">
      <c r="A308" s="196"/>
      <c r="B308" s="143"/>
      <c r="C308" s="196"/>
      <c r="D308" s="196"/>
      <c r="E308" s="196"/>
      <c r="F308" s="220"/>
      <c r="G308" s="143"/>
      <c r="H308" s="196"/>
      <c r="I308" s="196"/>
      <c r="J308" s="196"/>
      <c r="K308" s="196"/>
      <c r="L308" s="196"/>
      <c r="M308" s="196"/>
      <c r="N308" s="196"/>
      <c r="O308" s="196"/>
      <c r="P308" s="196"/>
      <c r="Q308" s="196"/>
      <c r="R308" s="196"/>
      <c r="S308" s="196"/>
      <c r="T308" s="196"/>
      <c r="U308" s="196"/>
      <c r="V308" s="196"/>
      <c r="W308" s="196"/>
      <c r="X308" s="196"/>
      <c r="Y308" s="196"/>
      <c r="Z308" s="196"/>
      <c r="AA308" s="196"/>
      <c r="AB308" s="196"/>
    </row>
    <row r="309" spans="1:28" ht="12.9">
      <c r="A309" s="196"/>
      <c r="B309" s="143"/>
      <c r="C309" s="196"/>
      <c r="D309" s="196"/>
      <c r="E309" s="196"/>
      <c r="F309" s="220"/>
      <c r="G309" s="143"/>
      <c r="H309" s="196"/>
      <c r="I309" s="196"/>
      <c r="J309" s="196"/>
      <c r="K309" s="196"/>
      <c r="L309" s="196"/>
      <c r="M309" s="196"/>
      <c r="N309" s="196"/>
      <c r="O309" s="196"/>
      <c r="P309" s="196"/>
      <c r="Q309" s="196"/>
      <c r="R309" s="196"/>
      <c r="S309" s="196"/>
      <c r="T309" s="196"/>
      <c r="U309" s="196"/>
      <c r="V309" s="196"/>
      <c r="W309" s="196"/>
      <c r="X309" s="196"/>
      <c r="Y309" s="196"/>
      <c r="Z309" s="196"/>
      <c r="AA309" s="196"/>
      <c r="AB309" s="196"/>
    </row>
    <row r="310" spans="1:28" ht="12.9">
      <c r="A310" s="196"/>
      <c r="B310" s="143"/>
      <c r="C310" s="196"/>
      <c r="D310" s="196"/>
      <c r="E310" s="196"/>
      <c r="F310" s="220"/>
      <c r="G310" s="143"/>
      <c r="H310" s="196"/>
      <c r="I310" s="196"/>
      <c r="J310" s="196"/>
      <c r="K310" s="196"/>
      <c r="L310" s="196"/>
      <c r="M310" s="196"/>
      <c r="N310" s="196"/>
      <c r="O310" s="196"/>
      <c r="P310" s="196"/>
      <c r="Q310" s="196"/>
      <c r="R310" s="196"/>
      <c r="S310" s="196"/>
      <c r="T310" s="196"/>
      <c r="U310" s="196"/>
      <c r="V310" s="196"/>
      <c r="W310" s="196"/>
      <c r="X310" s="196"/>
      <c r="Y310" s="196"/>
      <c r="Z310" s="196"/>
      <c r="AA310" s="196"/>
      <c r="AB310" s="196"/>
    </row>
    <row r="311" spans="1:28" ht="12.9">
      <c r="A311" s="196"/>
      <c r="B311" s="143"/>
      <c r="C311" s="196"/>
      <c r="D311" s="196"/>
      <c r="E311" s="196"/>
      <c r="F311" s="220"/>
      <c r="G311" s="143"/>
      <c r="H311" s="196"/>
      <c r="I311" s="196"/>
      <c r="J311" s="196"/>
      <c r="K311" s="196"/>
      <c r="L311" s="196"/>
      <c r="M311" s="196"/>
      <c r="N311" s="196"/>
      <c r="O311" s="196"/>
      <c r="P311" s="196"/>
      <c r="Q311" s="196"/>
      <c r="R311" s="196"/>
      <c r="S311" s="196"/>
      <c r="T311" s="196"/>
      <c r="U311" s="196"/>
      <c r="V311" s="196"/>
      <c r="W311" s="196"/>
      <c r="X311" s="196"/>
      <c r="Y311" s="196"/>
      <c r="Z311" s="196"/>
      <c r="AA311" s="196"/>
      <c r="AB311" s="196"/>
    </row>
    <row r="312" spans="1:28" ht="12.9">
      <c r="A312" s="196"/>
      <c r="B312" s="143"/>
      <c r="C312" s="196"/>
      <c r="D312" s="196"/>
      <c r="E312" s="196"/>
      <c r="F312" s="220"/>
      <c r="G312" s="143"/>
      <c r="H312" s="196"/>
      <c r="I312" s="196"/>
      <c r="J312" s="196"/>
      <c r="K312" s="196"/>
      <c r="L312" s="196"/>
      <c r="M312" s="196"/>
      <c r="N312" s="196"/>
      <c r="O312" s="196"/>
      <c r="P312" s="196"/>
      <c r="Q312" s="196"/>
      <c r="R312" s="196"/>
      <c r="S312" s="196"/>
      <c r="T312" s="196"/>
      <c r="U312" s="196"/>
      <c r="V312" s="196"/>
      <c r="W312" s="196"/>
      <c r="X312" s="196"/>
      <c r="Y312" s="196"/>
      <c r="Z312" s="196"/>
      <c r="AA312" s="196"/>
      <c r="AB312" s="196"/>
    </row>
    <row r="313" spans="1:28" ht="12.9">
      <c r="A313" s="196"/>
      <c r="B313" s="143"/>
      <c r="C313" s="196"/>
      <c r="D313" s="196"/>
      <c r="E313" s="196"/>
      <c r="F313" s="220"/>
      <c r="G313" s="143"/>
      <c r="H313" s="196"/>
      <c r="I313" s="196"/>
      <c r="J313" s="196"/>
      <c r="K313" s="196"/>
      <c r="L313" s="196"/>
      <c r="M313" s="196"/>
      <c r="N313" s="196"/>
      <c r="O313" s="196"/>
      <c r="P313" s="196"/>
      <c r="Q313" s="196"/>
      <c r="R313" s="196"/>
      <c r="S313" s="196"/>
      <c r="T313" s="196"/>
      <c r="U313" s="196"/>
      <c r="V313" s="196"/>
      <c r="W313" s="196"/>
      <c r="X313" s="196"/>
      <c r="Y313" s="196"/>
      <c r="Z313" s="196"/>
      <c r="AA313" s="196"/>
      <c r="AB313" s="196"/>
    </row>
    <row r="314" spans="1:28" ht="12.9">
      <c r="A314" s="196"/>
      <c r="B314" s="143"/>
      <c r="C314" s="196"/>
      <c r="D314" s="196"/>
      <c r="E314" s="196"/>
      <c r="F314" s="220"/>
      <c r="G314" s="143"/>
      <c r="H314" s="196"/>
      <c r="I314" s="196"/>
      <c r="J314" s="196"/>
      <c r="K314" s="196"/>
      <c r="L314" s="196"/>
      <c r="M314" s="196"/>
      <c r="N314" s="196"/>
      <c r="O314" s="196"/>
      <c r="P314" s="196"/>
      <c r="Q314" s="196"/>
      <c r="R314" s="196"/>
      <c r="S314" s="196"/>
      <c r="T314" s="196"/>
      <c r="U314" s="196"/>
      <c r="V314" s="196"/>
      <c r="W314" s="196"/>
      <c r="X314" s="196"/>
      <c r="Y314" s="196"/>
      <c r="Z314" s="196"/>
      <c r="AA314" s="196"/>
      <c r="AB314" s="196"/>
    </row>
    <row r="315" spans="1:28" ht="12.9">
      <c r="A315" s="196"/>
      <c r="B315" s="143"/>
      <c r="C315" s="196"/>
      <c r="D315" s="196"/>
      <c r="E315" s="196"/>
      <c r="F315" s="220"/>
      <c r="G315" s="143"/>
      <c r="H315" s="196"/>
      <c r="I315" s="196"/>
      <c r="J315" s="196"/>
      <c r="K315" s="196"/>
      <c r="L315" s="196"/>
      <c r="M315" s="196"/>
      <c r="N315" s="196"/>
      <c r="O315" s="196"/>
      <c r="P315" s="196"/>
      <c r="Q315" s="196"/>
      <c r="R315" s="196"/>
      <c r="S315" s="196"/>
      <c r="T315" s="196"/>
      <c r="U315" s="196"/>
      <c r="V315" s="196"/>
      <c r="W315" s="196"/>
      <c r="X315" s="196"/>
      <c r="Y315" s="196"/>
      <c r="Z315" s="196"/>
      <c r="AA315" s="196"/>
      <c r="AB315" s="196"/>
    </row>
    <row r="316" spans="1:28" ht="12.9">
      <c r="A316" s="196"/>
      <c r="B316" s="143"/>
      <c r="C316" s="196"/>
      <c r="D316" s="196"/>
      <c r="E316" s="196"/>
      <c r="F316" s="220"/>
      <c r="G316" s="143"/>
      <c r="H316" s="196"/>
      <c r="I316" s="196"/>
      <c r="J316" s="196"/>
      <c r="K316" s="196"/>
      <c r="L316" s="196"/>
      <c r="M316" s="196"/>
      <c r="N316" s="196"/>
      <c r="O316" s="196"/>
      <c r="P316" s="196"/>
      <c r="Q316" s="196"/>
      <c r="R316" s="196"/>
      <c r="S316" s="196"/>
      <c r="T316" s="196"/>
      <c r="U316" s="196"/>
      <c r="V316" s="196"/>
      <c r="W316" s="196"/>
      <c r="X316" s="196"/>
      <c r="Y316" s="196"/>
      <c r="Z316" s="196"/>
      <c r="AA316" s="196"/>
      <c r="AB316" s="196"/>
    </row>
    <row r="317" spans="1:28" ht="12.9">
      <c r="A317" s="196"/>
      <c r="B317" s="143"/>
      <c r="C317" s="196"/>
      <c r="D317" s="196"/>
      <c r="E317" s="196"/>
      <c r="F317" s="220"/>
      <c r="G317" s="143"/>
      <c r="H317" s="196"/>
      <c r="I317" s="196"/>
      <c r="J317" s="196"/>
      <c r="K317" s="196"/>
      <c r="L317" s="196"/>
      <c r="M317" s="196"/>
      <c r="N317" s="196"/>
      <c r="O317" s="196"/>
      <c r="P317" s="196"/>
      <c r="Q317" s="196"/>
      <c r="R317" s="196"/>
      <c r="S317" s="196"/>
      <c r="T317" s="196"/>
      <c r="U317" s="196"/>
      <c r="V317" s="196"/>
      <c r="W317" s="196"/>
      <c r="X317" s="196"/>
      <c r="Y317" s="196"/>
      <c r="Z317" s="196"/>
      <c r="AA317" s="196"/>
      <c r="AB317" s="196"/>
    </row>
    <row r="318" spans="1:28" ht="12.9">
      <c r="A318" s="196"/>
      <c r="B318" s="143"/>
      <c r="C318" s="196"/>
      <c r="D318" s="196"/>
      <c r="E318" s="196"/>
      <c r="F318" s="220"/>
      <c r="G318" s="143"/>
      <c r="H318" s="196"/>
      <c r="I318" s="196"/>
      <c r="J318" s="196"/>
      <c r="K318" s="196"/>
      <c r="L318" s="196"/>
      <c r="M318" s="196"/>
      <c r="N318" s="196"/>
      <c r="O318" s="196"/>
      <c r="P318" s="196"/>
      <c r="Q318" s="196"/>
      <c r="R318" s="196"/>
      <c r="S318" s="196"/>
      <c r="T318" s="196"/>
      <c r="U318" s="196"/>
      <c r="V318" s="196"/>
      <c r="W318" s="196"/>
      <c r="X318" s="196"/>
      <c r="Y318" s="196"/>
      <c r="Z318" s="196"/>
      <c r="AA318" s="196"/>
      <c r="AB318" s="196"/>
    </row>
    <row r="319" spans="1:28" ht="12.9">
      <c r="A319" s="196"/>
      <c r="B319" s="143"/>
      <c r="C319" s="196"/>
      <c r="D319" s="196"/>
      <c r="E319" s="196"/>
      <c r="F319" s="220"/>
      <c r="G319" s="143"/>
      <c r="H319" s="196"/>
      <c r="I319" s="196"/>
      <c r="J319" s="196"/>
      <c r="K319" s="196"/>
      <c r="L319" s="196"/>
      <c r="M319" s="196"/>
      <c r="N319" s="196"/>
      <c r="O319" s="196"/>
      <c r="P319" s="196"/>
      <c r="Q319" s="196"/>
      <c r="R319" s="196"/>
      <c r="S319" s="196"/>
      <c r="T319" s="196"/>
      <c r="U319" s="196"/>
      <c r="V319" s="196"/>
      <c r="W319" s="196"/>
      <c r="X319" s="196"/>
      <c r="Y319" s="196"/>
      <c r="Z319" s="196"/>
      <c r="AA319" s="196"/>
      <c r="AB319" s="196"/>
    </row>
    <row r="320" spans="1:28" ht="12.9">
      <c r="A320" s="196"/>
      <c r="B320" s="143"/>
      <c r="C320" s="196"/>
      <c r="D320" s="196"/>
      <c r="E320" s="196"/>
      <c r="F320" s="220"/>
      <c r="G320" s="143"/>
      <c r="H320" s="196"/>
      <c r="I320" s="196"/>
      <c r="J320" s="196"/>
      <c r="K320" s="196"/>
      <c r="L320" s="196"/>
      <c r="M320" s="196"/>
      <c r="N320" s="196"/>
      <c r="O320" s="196"/>
      <c r="P320" s="196"/>
      <c r="Q320" s="196"/>
      <c r="R320" s="196"/>
      <c r="S320" s="196"/>
      <c r="T320" s="196"/>
      <c r="U320" s="196"/>
      <c r="V320" s="196"/>
      <c r="W320" s="196"/>
      <c r="X320" s="196"/>
      <c r="Y320" s="196"/>
      <c r="Z320" s="196"/>
      <c r="AA320" s="196"/>
      <c r="AB320" s="196"/>
    </row>
    <row r="321" spans="1:28" ht="12.9">
      <c r="A321" s="196"/>
      <c r="B321" s="143"/>
      <c r="C321" s="196"/>
      <c r="D321" s="196"/>
      <c r="E321" s="196"/>
      <c r="F321" s="220"/>
      <c r="G321" s="143"/>
      <c r="H321" s="196"/>
      <c r="I321" s="196"/>
      <c r="J321" s="196"/>
      <c r="K321" s="196"/>
      <c r="L321" s="196"/>
      <c r="M321" s="196"/>
      <c r="N321" s="196"/>
      <c r="O321" s="196"/>
      <c r="P321" s="196"/>
      <c r="Q321" s="196"/>
      <c r="R321" s="196"/>
      <c r="S321" s="196"/>
      <c r="T321" s="196"/>
      <c r="U321" s="196"/>
      <c r="V321" s="196"/>
      <c r="W321" s="196"/>
      <c r="X321" s="196"/>
      <c r="Y321" s="196"/>
      <c r="Z321" s="196"/>
      <c r="AA321" s="196"/>
      <c r="AB321" s="196"/>
    </row>
    <row r="322" spans="1:28" ht="12.9">
      <c r="A322" s="196"/>
      <c r="B322" s="143"/>
      <c r="C322" s="196"/>
      <c r="D322" s="196"/>
      <c r="E322" s="196"/>
      <c r="F322" s="220"/>
      <c r="G322" s="143"/>
      <c r="H322" s="196"/>
      <c r="I322" s="196"/>
      <c r="J322" s="196"/>
      <c r="K322" s="196"/>
      <c r="L322" s="196"/>
      <c r="M322" s="196"/>
      <c r="N322" s="196"/>
      <c r="O322" s="196"/>
      <c r="P322" s="196"/>
      <c r="Q322" s="196"/>
      <c r="R322" s="196"/>
      <c r="S322" s="196"/>
      <c r="T322" s="196"/>
      <c r="U322" s="196"/>
      <c r="V322" s="196"/>
      <c r="W322" s="196"/>
      <c r="X322" s="196"/>
      <c r="Y322" s="196"/>
      <c r="Z322" s="196"/>
      <c r="AA322" s="196"/>
      <c r="AB322" s="196"/>
    </row>
    <row r="323" spans="1:28" ht="12.9">
      <c r="A323" s="196"/>
      <c r="B323" s="143"/>
      <c r="C323" s="196"/>
      <c r="D323" s="196"/>
      <c r="E323" s="196"/>
      <c r="F323" s="220"/>
      <c r="G323" s="143"/>
      <c r="H323" s="196"/>
      <c r="I323" s="196"/>
      <c r="J323" s="196"/>
      <c r="K323" s="196"/>
      <c r="L323" s="196"/>
      <c r="M323" s="196"/>
      <c r="N323" s="196"/>
      <c r="O323" s="196"/>
      <c r="P323" s="196"/>
      <c r="Q323" s="196"/>
      <c r="R323" s="196"/>
      <c r="S323" s="196"/>
      <c r="T323" s="196"/>
      <c r="U323" s="196"/>
      <c r="V323" s="196"/>
      <c r="W323" s="196"/>
      <c r="X323" s="196"/>
      <c r="Y323" s="196"/>
      <c r="Z323" s="196"/>
      <c r="AA323" s="196"/>
      <c r="AB323" s="196"/>
    </row>
    <row r="324" spans="1:28" ht="12.9">
      <c r="A324" s="196"/>
      <c r="B324" s="143"/>
      <c r="C324" s="196"/>
      <c r="D324" s="196"/>
      <c r="E324" s="196"/>
      <c r="F324" s="220"/>
      <c r="G324" s="143"/>
      <c r="H324" s="196"/>
      <c r="I324" s="196"/>
      <c r="J324" s="196"/>
      <c r="K324" s="196"/>
      <c r="L324" s="196"/>
      <c r="M324" s="196"/>
      <c r="N324" s="196"/>
      <c r="O324" s="196"/>
      <c r="P324" s="196"/>
      <c r="Q324" s="196"/>
      <c r="R324" s="196"/>
      <c r="S324" s="196"/>
      <c r="T324" s="196"/>
      <c r="U324" s="196"/>
      <c r="V324" s="196"/>
      <c r="W324" s="196"/>
      <c r="X324" s="196"/>
      <c r="Y324" s="196"/>
      <c r="Z324" s="196"/>
      <c r="AA324" s="196"/>
      <c r="AB324" s="196"/>
    </row>
    <row r="325" spans="1:28" ht="12.9">
      <c r="A325" s="196"/>
      <c r="B325" s="143"/>
      <c r="C325" s="196"/>
      <c r="D325" s="196"/>
      <c r="E325" s="196"/>
      <c r="F325" s="220"/>
      <c r="G325" s="143"/>
      <c r="H325" s="196"/>
      <c r="I325" s="196"/>
      <c r="J325" s="196"/>
      <c r="K325" s="196"/>
      <c r="L325" s="196"/>
      <c r="M325" s="196"/>
      <c r="N325" s="196"/>
      <c r="O325" s="196"/>
      <c r="P325" s="196"/>
      <c r="Q325" s="196"/>
      <c r="R325" s="196"/>
      <c r="S325" s="196"/>
      <c r="T325" s="196"/>
      <c r="U325" s="196"/>
      <c r="V325" s="196"/>
      <c r="W325" s="196"/>
      <c r="X325" s="196"/>
      <c r="Y325" s="196"/>
      <c r="Z325" s="196"/>
      <c r="AA325" s="196"/>
      <c r="AB325" s="196"/>
    </row>
    <row r="326" spans="1:28" ht="12.9">
      <c r="A326" s="196"/>
      <c r="B326" s="143"/>
      <c r="C326" s="196"/>
      <c r="D326" s="196"/>
      <c r="E326" s="196"/>
      <c r="F326" s="220"/>
      <c r="G326" s="143"/>
      <c r="H326" s="196"/>
      <c r="I326" s="196"/>
      <c r="J326" s="196"/>
      <c r="K326" s="196"/>
      <c r="L326" s="196"/>
      <c r="M326" s="196"/>
      <c r="N326" s="196"/>
      <c r="O326" s="196"/>
      <c r="P326" s="196"/>
      <c r="Q326" s="196"/>
      <c r="R326" s="196"/>
      <c r="S326" s="196"/>
      <c r="T326" s="196"/>
      <c r="U326" s="196"/>
      <c r="V326" s="196"/>
      <c r="W326" s="196"/>
      <c r="X326" s="196"/>
      <c r="Y326" s="196"/>
      <c r="Z326" s="196"/>
      <c r="AA326" s="196"/>
      <c r="AB326" s="196"/>
    </row>
    <row r="327" spans="1:28" ht="12.9">
      <c r="A327" s="196"/>
      <c r="B327" s="143"/>
      <c r="C327" s="196"/>
      <c r="D327" s="196"/>
      <c r="E327" s="196"/>
      <c r="F327" s="220"/>
      <c r="G327" s="143"/>
      <c r="H327" s="196"/>
      <c r="I327" s="196"/>
      <c r="J327" s="196"/>
      <c r="K327" s="196"/>
      <c r="L327" s="196"/>
      <c r="M327" s="196"/>
      <c r="N327" s="196"/>
      <c r="O327" s="196"/>
      <c r="P327" s="196"/>
      <c r="Q327" s="196"/>
      <c r="R327" s="196"/>
      <c r="S327" s="196"/>
      <c r="T327" s="196"/>
      <c r="U327" s="196"/>
      <c r="V327" s="196"/>
      <c r="W327" s="196"/>
      <c r="X327" s="196"/>
      <c r="Y327" s="196"/>
      <c r="Z327" s="196"/>
      <c r="AA327" s="196"/>
      <c r="AB327" s="196"/>
    </row>
    <row r="328" spans="1:28" ht="12.9">
      <c r="A328" s="196"/>
      <c r="B328" s="143"/>
      <c r="C328" s="196"/>
      <c r="D328" s="196"/>
      <c r="E328" s="196"/>
      <c r="F328" s="220"/>
      <c r="G328" s="143"/>
      <c r="H328" s="196"/>
      <c r="I328" s="196"/>
      <c r="J328" s="196"/>
      <c r="K328" s="196"/>
      <c r="L328" s="196"/>
      <c r="M328" s="196"/>
      <c r="N328" s="196"/>
      <c r="O328" s="196"/>
      <c r="P328" s="196"/>
      <c r="Q328" s="196"/>
      <c r="R328" s="196"/>
      <c r="S328" s="196"/>
      <c r="T328" s="196"/>
      <c r="U328" s="196"/>
      <c r="V328" s="196"/>
      <c r="W328" s="196"/>
      <c r="X328" s="196"/>
      <c r="Y328" s="196"/>
      <c r="Z328" s="196"/>
      <c r="AA328" s="196"/>
      <c r="AB328" s="196"/>
    </row>
    <row r="329" spans="1:28" ht="12.9">
      <c r="A329" s="196"/>
      <c r="B329" s="143"/>
      <c r="C329" s="196"/>
      <c r="D329" s="196"/>
      <c r="E329" s="196"/>
      <c r="F329" s="220"/>
      <c r="G329" s="143"/>
      <c r="H329" s="196"/>
      <c r="I329" s="196"/>
      <c r="J329" s="196"/>
      <c r="K329" s="196"/>
      <c r="L329" s="196"/>
      <c r="M329" s="196"/>
      <c r="N329" s="196"/>
      <c r="O329" s="196"/>
      <c r="P329" s="196"/>
      <c r="Q329" s="196"/>
      <c r="R329" s="196"/>
      <c r="S329" s="196"/>
      <c r="T329" s="196"/>
      <c r="U329" s="196"/>
      <c r="V329" s="196"/>
      <c r="W329" s="196"/>
      <c r="X329" s="196"/>
      <c r="Y329" s="196"/>
      <c r="Z329" s="196"/>
      <c r="AA329" s="196"/>
      <c r="AB329" s="196"/>
    </row>
    <row r="330" spans="1:28" ht="12.9">
      <c r="A330" s="196"/>
      <c r="B330" s="143"/>
      <c r="C330" s="196"/>
      <c r="D330" s="196"/>
      <c r="E330" s="196"/>
      <c r="F330" s="220"/>
      <c r="G330" s="143"/>
      <c r="H330" s="196"/>
      <c r="I330" s="196"/>
      <c r="J330" s="196"/>
      <c r="K330" s="196"/>
      <c r="L330" s="196"/>
      <c r="M330" s="196"/>
      <c r="N330" s="196"/>
      <c r="O330" s="196"/>
      <c r="P330" s="196"/>
      <c r="Q330" s="196"/>
      <c r="R330" s="196"/>
      <c r="S330" s="196"/>
      <c r="T330" s="196"/>
      <c r="U330" s="196"/>
      <c r="V330" s="196"/>
      <c r="W330" s="196"/>
      <c r="X330" s="196"/>
      <c r="Y330" s="196"/>
      <c r="Z330" s="196"/>
      <c r="AA330" s="196"/>
      <c r="AB330" s="196"/>
    </row>
    <row r="331" spans="1:28" ht="12.9">
      <c r="A331" s="196"/>
      <c r="B331" s="143"/>
      <c r="C331" s="196"/>
      <c r="D331" s="196"/>
      <c r="E331" s="196"/>
      <c r="F331" s="220"/>
      <c r="G331" s="143"/>
      <c r="H331" s="196"/>
      <c r="I331" s="196"/>
      <c r="J331" s="196"/>
      <c r="K331" s="196"/>
      <c r="L331" s="196"/>
      <c r="M331" s="196"/>
      <c r="N331" s="196"/>
      <c r="O331" s="196"/>
      <c r="P331" s="196"/>
      <c r="Q331" s="196"/>
      <c r="R331" s="196"/>
      <c r="S331" s="196"/>
      <c r="T331" s="196"/>
      <c r="U331" s="196"/>
      <c r="V331" s="196"/>
      <c r="W331" s="196"/>
      <c r="X331" s="196"/>
      <c r="Y331" s="196"/>
      <c r="Z331" s="196"/>
      <c r="AA331" s="196"/>
      <c r="AB331" s="196"/>
    </row>
    <row r="332" spans="1:28" ht="12.9">
      <c r="A332" s="196"/>
      <c r="B332" s="143"/>
      <c r="C332" s="196"/>
      <c r="D332" s="196"/>
      <c r="E332" s="196"/>
      <c r="F332" s="220"/>
      <c r="G332" s="143"/>
      <c r="H332" s="196"/>
      <c r="I332" s="196"/>
      <c r="J332" s="196"/>
      <c r="K332" s="196"/>
      <c r="L332" s="196"/>
      <c r="M332" s="196"/>
      <c r="N332" s="196"/>
      <c r="O332" s="196"/>
      <c r="P332" s="196"/>
      <c r="Q332" s="196"/>
      <c r="R332" s="196"/>
      <c r="S332" s="196"/>
      <c r="T332" s="196"/>
      <c r="U332" s="196"/>
      <c r="V332" s="196"/>
      <c r="W332" s="196"/>
      <c r="X332" s="196"/>
      <c r="Y332" s="196"/>
      <c r="Z332" s="196"/>
      <c r="AA332" s="196"/>
      <c r="AB332" s="196"/>
    </row>
    <row r="333" spans="1:28" ht="12.9">
      <c r="A333" s="196"/>
      <c r="B333" s="143"/>
      <c r="C333" s="196"/>
      <c r="D333" s="196"/>
      <c r="E333" s="196"/>
      <c r="F333" s="220"/>
      <c r="G333" s="143"/>
      <c r="H333" s="196"/>
      <c r="I333" s="196"/>
      <c r="J333" s="196"/>
      <c r="K333" s="196"/>
      <c r="L333" s="196"/>
      <c r="M333" s="196"/>
      <c r="N333" s="196"/>
      <c r="O333" s="196"/>
      <c r="P333" s="196"/>
      <c r="Q333" s="196"/>
      <c r="R333" s="196"/>
      <c r="S333" s="196"/>
      <c r="T333" s="196"/>
      <c r="U333" s="196"/>
      <c r="V333" s="196"/>
      <c r="W333" s="196"/>
      <c r="X333" s="196"/>
      <c r="Y333" s="196"/>
      <c r="Z333" s="196"/>
      <c r="AA333" s="196"/>
      <c r="AB333" s="196"/>
    </row>
    <row r="334" spans="1:28" ht="12.9">
      <c r="A334" s="196"/>
      <c r="B334" s="143"/>
      <c r="C334" s="196"/>
      <c r="D334" s="196"/>
      <c r="E334" s="196"/>
      <c r="F334" s="220"/>
      <c r="G334" s="143"/>
      <c r="H334" s="196"/>
      <c r="I334" s="196"/>
      <c r="J334" s="196"/>
      <c r="K334" s="196"/>
      <c r="L334" s="196"/>
      <c r="M334" s="196"/>
      <c r="N334" s="196"/>
      <c r="O334" s="196"/>
      <c r="P334" s="196"/>
      <c r="Q334" s="196"/>
      <c r="R334" s="196"/>
      <c r="S334" s="196"/>
      <c r="T334" s="196"/>
      <c r="U334" s="196"/>
      <c r="V334" s="196"/>
      <c r="W334" s="196"/>
      <c r="X334" s="196"/>
      <c r="Y334" s="196"/>
      <c r="Z334" s="196"/>
      <c r="AA334" s="196"/>
      <c r="AB334" s="196"/>
    </row>
    <row r="335" spans="1:28" ht="12.9">
      <c r="A335" s="196"/>
      <c r="B335" s="143"/>
      <c r="C335" s="196"/>
      <c r="D335" s="196"/>
      <c r="E335" s="196"/>
      <c r="F335" s="220"/>
      <c r="G335" s="143"/>
      <c r="H335" s="196"/>
      <c r="I335" s="196"/>
      <c r="J335" s="196"/>
      <c r="K335" s="196"/>
      <c r="L335" s="196"/>
      <c r="M335" s="196"/>
      <c r="N335" s="196"/>
      <c r="O335" s="196"/>
      <c r="P335" s="196"/>
      <c r="Q335" s="196"/>
      <c r="R335" s="196"/>
      <c r="S335" s="196"/>
      <c r="T335" s="196"/>
      <c r="U335" s="196"/>
      <c r="V335" s="196"/>
      <c r="W335" s="196"/>
      <c r="X335" s="196"/>
      <c r="Y335" s="196"/>
      <c r="Z335" s="196"/>
      <c r="AA335" s="196"/>
      <c r="AB335" s="196"/>
    </row>
    <row r="336" spans="1:28" ht="12.9">
      <c r="A336" s="196"/>
      <c r="B336" s="143"/>
      <c r="C336" s="196"/>
      <c r="D336" s="196"/>
      <c r="E336" s="196"/>
      <c r="F336" s="220"/>
      <c r="G336" s="143"/>
      <c r="H336" s="196"/>
      <c r="I336" s="196"/>
      <c r="J336" s="196"/>
      <c r="K336" s="196"/>
      <c r="L336" s="196"/>
      <c r="M336" s="196"/>
      <c r="N336" s="196"/>
      <c r="O336" s="196"/>
      <c r="P336" s="196"/>
      <c r="Q336" s="196"/>
      <c r="R336" s="196"/>
      <c r="S336" s="196"/>
      <c r="T336" s="196"/>
      <c r="U336" s="196"/>
      <c r="V336" s="196"/>
      <c r="W336" s="196"/>
      <c r="X336" s="196"/>
      <c r="Y336" s="196"/>
      <c r="Z336" s="196"/>
      <c r="AA336" s="196"/>
      <c r="AB336" s="196"/>
    </row>
    <row r="337" spans="1:28" ht="12.9">
      <c r="A337" s="196"/>
      <c r="B337" s="143"/>
      <c r="C337" s="196"/>
      <c r="D337" s="196"/>
      <c r="E337" s="196"/>
      <c r="F337" s="220"/>
      <c r="G337" s="143"/>
      <c r="H337" s="196"/>
      <c r="I337" s="196"/>
      <c r="J337" s="196"/>
      <c r="K337" s="196"/>
      <c r="L337" s="196"/>
      <c r="M337" s="196"/>
      <c r="N337" s="196"/>
      <c r="O337" s="196"/>
      <c r="P337" s="196"/>
      <c r="Q337" s="196"/>
      <c r="R337" s="196"/>
      <c r="S337" s="196"/>
      <c r="T337" s="196"/>
      <c r="U337" s="196"/>
      <c r="V337" s="196"/>
      <c r="W337" s="196"/>
      <c r="X337" s="196"/>
      <c r="Y337" s="196"/>
      <c r="Z337" s="196"/>
      <c r="AA337" s="196"/>
      <c r="AB337" s="196"/>
    </row>
    <row r="338" spans="1:28" ht="12.9">
      <c r="A338" s="196"/>
      <c r="B338" s="143"/>
      <c r="C338" s="196"/>
      <c r="D338" s="196"/>
      <c r="E338" s="196"/>
      <c r="F338" s="220"/>
      <c r="G338" s="143"/>
      <c r="H338" s="196"/>
      <c r="I338" s="196"/>
      <c r="J338" s="196"/>
      <c r="K338" s="196"/>
      <c r="L338" s="196"/>
      <c r="M338" s="196"/>
      <c r="N338" s="196"/>
      <c r="O338" s="196"/>
      <c r="P338" s="196"/>
      <c r="Q338" s="196"/>
      <c r="R338" s="196"/>
      <c r="S338" s="196"/>
      <c r="T338" s="196"/>
      <c r="U338" s="196"/>
      <c r="V338" s="196"/>
      <c r="W338" s="196"/>
      <c r="X338" s="196"/>
      <c r="Y338" s="196"/>
      <c r="Z338" s="196"/>
      <c r="AA338" s="196"/>
      <c r="AB338" s="196"/>
    </row>
    <row r="339" spans="1:28" ht="12.9">
      <c r="A339" s="196"/>
      <c r="B339" s="143"/>
      <c r="C339" s="196"/>
      <c r="D339" s="196"/>
      <c r="E339" s="196"/>
      <c r="F339" s="220"/>
      <c r="G339" s="143"/>
      <c r="H339" s="196"/>
      <c r="I339" s="196"/>
      <c r="J339" s="196"/>
      <c r="K339" s="196"/>
      <c r="L339" s="196"/>
      <c r="M339" s="196"/>
      <c r="N339" s="196"/>
      <c r="O339" s="196"/>
      <c r="P339" s="196"/>
      <c r="Q339" s="196"/>
      <c r="R339" s="196"/>
      <c r="S339" s="196"/>
      <c r="T339" s="196"/>
      <c r="U339" s="196"/>
      <c r="V339" s="196"/>
      <c r="W339" s="196"/>
      <c r="X339" s="196"/>
      <c r="Y339" s="196"/>
      <c r="Z339" s="196"/>
      <c r="AA339" s="196"/>
      <c r="AB339" s="196"/>
    </row>
    <row r="340" spans="1:28" ht="12.9">
      <c r="A340" s="196"/>
      <c r="B340" s="143"/>
      <c r="C340" s="196"/>
      <c r="D340" s="196"/>
      <c r="E340" s="196"/>
      <c r="F340" s="220"/>
      <c r="G340" s="143"/>
      <c r="H340" s="196"/>
      <c r="I340" s="196"/>
      <c r="J340" s="196"/>
      <c r="K340" s="196"/>
      <c r="L340" s="196"/>
      <c r="M340" s="196"/>
      <c r="N340" s="196"/>
      <c r="O340" s="196"/>
      <c r="P340" s="196"/>
      <c r="Q340" s="196"/>
      <c r="R340" s="196"/>
      <c r="S340" s="196"/>
      <c r="T340" s="196"/>
      <c r="U340" s="196"/>
      <c r="V340" s="196"/>
      <c r="W340" s="196"/>
      <c r="X340" s="196"/>
      <c r="Y340" s="196"/>
      <c r="Z340" s="196"/>
      <c r="AA340" s="196"/>
      <c r="AB340" s="196"/>
    </row>
    <row r="341" spans="1:28" ht="12.9">
      <c r="A341" s="196"/>
      <c r="B341" s="143"/>
      <c r="C341" s="196"/>
      <c r="D341" s="196"/>
      <c r="E341" s="196"/>
      <c r="F341" s="220"/>
      <c r="G341" s="143"/>
      <c r="H341" s="196"/>
      <c r="I341" s="196"/>
      <c r="J341" s="196"/>
      <c r="K341" s="196"/>
      <c r="L341" s="196"/>
      <c r="M341" s="196"/>
      <c r="N341" s="196"/>
      <c r="O341" s="196"/>
      <c r="P341" s="196"/>
      <c r="Q341" s="196"/>
      <c r="R341" s="196"/>
      <c r="S341" s="196"/>
      <c r="T341" s="196"/>
      <c r="U341" s="196"/>
      <c r="V341" s="196"/>
      <c r="W341" s="196"/>
      <c r="X341" s="196"/>
      <c r="Y341" s="196"/>
      <c r="Z341" s="196"/>
      <c r="AA341" s="196"/>
      <c r="AB341" s="196"/>
    </row>
    <row r="342" spans="1:28" ht="12.9">
      <c r="A342" s="196"/>
      <c r="B342" s="143"/>
      <c r="C342" s="196"/>
      <c r="D342" s="196"/>
      <c r="E342" s="196"/>
      <c r="F342" s="220"/>
      <c r="G342" s="143"/>
      <c r="H342" s="196"/>
      <c r="I342" s="196"/>
      <c r="J342" s="196"/>
      <c r="K342" s="196"/>
      <c r="L342" s="196"/>
      <c r="M342" s="196"/>
      <c r="N342" s="196"/>
      <c r="O342" s="196"/>
      <c r="P342" s="196"/>
      <c r="Q342" s="196"/>
      <c r="R342" s="196"/>
      <c r="S342" s="196"/>
      <c r="T342" s="196"/>
      <c r="U342" s="196"/>
      <c r="V342" s="196"/>
      <c r="W342" s="196"/>
      <c r="X342" s="196"/>
      <c r="Y342" s="196"/>
      <c r="Z342" s="196"/>
      <c r="AA342" s="196"/>
      <c r="AB342" s="196"/>
    </row>
    <row r="343" spans="1:28" ht="12.9">
      <c r="A343" s="196"/>
      <c r="B343" s="143"/>
      <c r="C343" s="196"/>
      <c r="D343" s="196"/>
      <c r="E343" s="196"/>
      <c r="F343" s="220"/>
      <c r="G343" s="143"/>
      <c r="H343" s="196"/>
      <c r="I343" s="196"/>
      <c r="J343" s="196"/>
      <c r="K343" s="196"/>
      <c r="L343" s="196"/>
      <c r="M343" s="196"/>
      <c r="N343" s="196"/>
      <c r="O343" s="196"/>
      <c r="P343" s="196"/>
      <c r="Q343" s="196"/>
      <c r="R343" s="196"/>
      <c r="S343" s="196"/>
      <c r="T343" s="196"/>
      <c r="U343" s="196"/>
      <c r="V343" s="196"/>
      <c r="W343" s="196"/>
      <c r="X343" s="196"/>
      <c r="Y343" s="196"/>
      <c r="Z343" s="196"/>
      <c r="AA343" s="196"/>
      <c r="AB343" s="196"/>
    </row>
    <row r="344" spans="1:28" ht="12.9">
      <c r="A344" s="196"/>
      <c r="B344" s="143"/>
      <c r="C344" s="196"/>
      <c r="D344" s="196"/>
      <c r="E344" s="196"/>
      <c r="F344" s="220"/>
      <c r="G344" s="143"/>
      <c r="H344" s="196"/>
      <c r="I344" s="196"/>
      <c r="J344" s="196"/>
      <c r="K344" s="196"/>
      <c r="L344" s="196"/>
      <c r="M344" s="196"/>
      <c r="N344" s="196"/>
      <c r="O344" s="196"/>
      <c r="P344" s="196"/>
      <c r="Q344" s="196"/>
      <c r="R344" s="196"/>
      <c r="S344" s="196"/>
      <c r="T344" s="196"/>
      <c r="U344" s="196"/>
      <c r="V344" s="196"/>
      <c r="W344" s="196"/>
      <c r="X344" s="196"/>
      <c r="Y344" s="196"/>
      <c r="Z344" s="196"/>
      <c r="AA344" s="196"/>
      <c r="AB344" s="196"/>
    </row>
    <row r="345" spans="1:28" ht="12.9">
      <c r="A345" s="196"/>
      <c r="B345" s="143"/>
      <c r="C345" s="196"/>
      <c r="D345" s="196"/>
      <c r="E345" s="196"/>
      <c r="F345" s="220"/>
      <c r="G345" s="143"/>
      <c r="H345" s="196"/>
      <c r="I345" s="196"/>
      <c r="J345" s="196"/>
      <c r="K345" s="196"/>
      <c r="L345" s="196"/>
      <c r="M345" s="196"/>
      <c r="N345" s="196"/>
      <c r="O345" s="196"/>
      <c r="P345" s="196"/>
      <c r="Q345" s="196"/>
      <c r="R345" s="196"/>
      <c r="S345" s="196"/>
      <c r="T345" s="196"/>
      <c r="U345" s="196"/>
      <c r="V345" s="196"/>
      <c r="W345" s="196"/>
      <c r="X345" s="196"/>
      <c r="Y345" s="196"/>
      <c r="Z345" s="196"/>
      <c r="AA345" s="196"/>
      <c r="AB345" s="196"/>
    </row>
    <row r="346" spans="1:28" ht="12.9">
      <c r="A346" s="196"/>
      <c r="B346" s="143"/>
      <c r="C346" s="196"/>
      <c r="D346" s="196"/>
      <c r="E346" s="196"/>
      <c r="F346" s="220"/>
      <c r="G346" s="143"/>
      <c r="H346" s="196"/>
      <c r="I346" s="196"/>
      <c r="J346" s="196"/>
      <c r="K346" s="196"/>
      <c r="L346" s="196"/>
      <c r="M346" s="196"/>
      <c r="N346" s="196"/>
      <c r="O346" s="196"/>
      <c r="P346" s="196"/>
      <c r="Q346" s="196"/>
      <c r="R346" s="196"/>
      <c r="S346" s="196"/>
      <c r="T346" s="196"/>
      <c r="U346" s="196"/>
      <c r="V346" s="196"/>
      <c r="W346" s="196"/>
      <c r="X346" s="196"/>
      <c r="Y346" s="196"/>
      <c r="Z346" s="196"/>
      <c r="AA346" s="196"/>
      <c r="AB346" s="196"/>
    </row>
    <row r="347" spans="1:28" ht="12.9">
      <c r="A347" s="196"/>
      <c r="B347" s="143"/>
      <c r="C347" s="196"/>
      <c r="D347" s="196"/>
      <c r="E347" s="196"/>
      <c r="F347" s="220"/>
      <c r="G347" s="143"/>
      <c r="H347" s="196"/>
      <c r="I347" s="196"/>
      <c r="J347" s="196"/>
      <c r="K347" s="196"/>
      <c r="L347" s="196"/>
      <c r="M347" s="196"/>
      <c r="N347" s="196"/>
      <c r="O347" s="196"/>
      <c r="P347" s="196"/>
      <c r="Q347" s="196"/>
      <c r="R347" s="196"/>
      <c r="S347" s="196"/>
      <c r="T347" s="196"/>
      <c r="U347" s="196"/>
      <c r="V347" s="196"/>
      <c r="W347" s="196"/>
      <c r="X347" s="196"/>
      <c r="Y347" s="196"/>
      <c r="Z347" s="196"/>
      <c r="AA347" s="196"/>
      <c r="AB347" s="196"/>
    </row>
    <row r="348" spans="1:28" ht="12.9">
      <c r="A348" s="196"/>
      <c r="B348" s="143"/>
      <c r="C348" s="196"/>
      <c r="D348" s="196"/>
      <c r="E348" s="196"/>
      <c r="F348" s="220"/>
      <c r="G348" s="143"/>
      <c r="H348" s="196"/>
      <c r="I348" s="196"/>
      <c r="J348" s="196"/>
      <c r="K348" s="196"/>
      <c r="L348" s="196"/>
      <c r="M348" s="196"/>
      <c r="N348" s="196"/>
      <c r="O348" s="196"/>
      <c r="P348" s="196"/>
      <c r="Q348" s="196"/>
      <c r="R348" s="196"/>
      <c r="S348" s="196"/>
      <c r="T348" s="196"/>
      <c r="U348" s="196"/>
      <c r="V348" s="196"/>
      <c r="W348" s="196"/>
      <c r="X348" s="196"/>
      <c r="Y348" s="196"/>
      <c r="Z348" s="196"/>
      <c r="AA348" s="196"/>
      <c r="AB348" s="196"/>
    </row>
    <row r="349" spans="1:28" ht="12.9">
      <c r="A349" s="196"/>
      <c r="B349" s="143"/>
      <c r="C349" s="196"/>
      <c r="D349" s="196"/>
      <c r="E349" s="196"/>
      <c r="F349" s="220"/>
      <c r="G349" s="143"/>
      <c r="H349" s="196"/>
      <c r="I349" s="196"/>
      <c r="J349" s="196"/>
      <c r="K349" s="196"/>
      <c r="L349" s="196"/>
      <c r="M349" s="196"/>
      <c r="N349" s="196"/>
      <c r="O349" s="196"/>
      <c r="P349" s="196"/>
      <c r="Q349" s="196"/>
      <c r="R349" s="196"/>
      <c r="S349" s="196"/>
      <c r="T349" s="196"/>
      <c r="U349" s="196"/>
      <c r="V349" s="196"/>
      <c r="W349" s="196"/>
      <c r="X349" s="196"/>
      <c r="Y349" s="196"/>
      <c r="Z349" s="196"/>
      <c r="AA349" s="196"/>
      <c r="AB349" s="196"/>
    </row>
    <row r="350" spans="1:28" ht="12.9">
      <c r="A350" s="196"/>
      <c r="B350" s="143"/>
      <c r="C350" s="196"/>
      <c r="D350" s="196"/>
      <c r="E350" s="196"/>
      <c r="F350" s="220"/>
      <c r="G350" s="143"/>
      <c r="H350" s="196"/>
      <c r="I350" s="196"/>
      <c r="J350" s="196"/>
      <c r="K350" s="196"/>
      <c r="L350" s="196"/>
      <c r="M350" s="196"/>
      <c r="N350" s="196"/>
      <c r="O350" s="196"/>
      <c r="P350" s="196"/>
      <c r="Q350" s="196"/>
      <c r="R350" s="196"/>
      <c r="S350" s="196"/>
      <c r="T350" s="196"/>
      <c r="U350" s="196"/>
      <c r="V350" s="196"/>
      <c r="W350" s="196"/>
      <c r="X350" s="196"/>
      <c r="Y350" s="196"/>
      <c r="Z350" s="196"/>
      <c r="AA350" s="196"/>
      <c r="AB350" s="196"/>
    </row>
    <row r="351" spans="1:28" ht="12.9">
      <c r="A351" s="196"/>
      <c r="B351" s="143"/>
      <c r="C351" s="196"/>
      <c r="D351" s="196"/>
      <c r="E351" s="196"/>
      <c r="F351" s="220"/>
      <c r="G351" s="143"/>
      <c r="H351" s="196"/>
      <c r="I351" s="196"/>
      <c r="J351" s="196"/>
      <c r="K351" s="196"/>
      <c r="L351" s="196"/>
      <c r="M351" s="196"/>
      <c r="N351" s="196"/>
      <c r="O351" s="196"/>
      <c r="P351" s="196"/>
      <c r="Q351" s="196"/>
      <c r="R351" s="196"/>
      <c r="S351" s="196"/>
      <c r="T351" s="196"/>
      <c r="U351" s="196"/>
      <c r="V351" s="196"/>
      <c r="W351" s="196"/>
      <c r="X351" s="196"/>
      <c r="Y351" s="196"/>
      <c r="Z351" s="196"/>
      <c r="AA351" s="196"/>
      <c r="AB351" s="196"/>
    </row>
    <row r="352" spans="1:28" ht="12.9">
      <c r="A352" s="196"/>
      <c r="B352" s="143"/>
      <c r="C352" s="196"/>
      <c r="D352" s="196"/>
      <c r="E352" s="196"/>
      <c r="F352" s="220"/>
      <c r="G352" s="143"/>
      <c r="H352" s="196"/>
      <c r="I352" s="196"/>
      <c r="J352" s="196"/>
      <c r="K352" s="196"/>
      <c r="L352" s="196"/>
      <c r="M352" s="196"/>
      <c r="N352" s="196"/>
      <c r="O352" s="196"/>
      <c r="P352" s="196"/>
      <c r="Q352" s="196"/>
      <c r="R352" s="196"/>
      <c r="S352" s="196"/>
      <c r="T352" s="196"/>
      <c r="U352" s="196"/>
      <c r="V352" s="196"/>
      <c r="W352" s="196"/>
      <c r="X352" s="196"/>
      <c r="Y352" s="196"/>
      <c r="Z352" s="196"/>
      <c r="AA352" s="196"/>
      <c r="AB352" s="196"/>
    </row>
    <row r="353" spans="1:28" ht="12.9">
      <c r="A353" s="196"/>
      <c r="B353" s="143"/>
      <c r="C353" s="196"/>
      <c r="D353" s="196"/>
      <c r="E353" s="196"/>
      <c r="F353" s="220"/>
      <c r="G353" s="143"/>
      <c r="H353" s="196"/>
      <c r="I353" s="196"/>
      <c r="J353" s="196"/>
      <c r="K353" s="196"/>
      <c r="L353" s="196"/>
      <c r="M353" s="196"/>
      <c r="N353" s="196"/>
      <c r="O353" s="196"/>
      <c r="P353" s="196"/>
      <c r="Q353" s="196"/>
      <c r="R353" s="196"/>
      <c r="S353" s="196"/>
      <c r="T353" s="196"/>
      <c r="U353" s="196"/>
      <c r="V353" s="196"/>
      <c r="W353" s="196"/>
      <c r="X353" s="196"/>
      <c r="Y353" s="196"/>
      <c r="Z353" s="196"/>
      <c r="AA353" s="196"/>
      <c r="AB353" s="196"/>
    </row>
    <row r="354" spans="1:28" ht="12.9">
      <c r="A354" s="196"/>
      <c r="B354" s="143"/>
      <c r="C354" s="196"/>
      <c r="D354" s="196"/>
      <c r="E354" s="196"/>
      <c r="F354" s="220"/>
      <c r="G354" s="143"/>
      <c r="H354" s="196"/>
      <c r="I354" s="196"/>
      <c r="J354" s="196"/>
      <c r="K354" s="196"/>
      <c r="L354" s="196"/>
      <c r="M354" s="196"/>
      <c r="N354" s="196"/>
      <c r="O354" s="196"/>
      <c r="P354" s="196"/>
      <c r="Q354" s="196"/>
      <c r="R354" s="196"/>
      <c r="S354" s="196"/>
      <c r="T354" s="196"/>
      <c r="U354" s="196"/>
      <c r="V354" s="196"/>
      <c r="W354" s="196"/>
      <c r="X354" s="196"/>
      <c r="Y354" s="196"/>
      <c r="Z354" s="196"/>
      <c r="AA354" s="196"/>
      <c r="AB354" s="196"/>
    </row>
    <row r="355" spans="1:28" ht="12.9">
      <c r="A355" s="196"/>
      <c r="B355" s="143"/>
      <c r="C355" s="196"/>
      <c r="D355" s="196"/>
      <c r="E355" s="196"/>
      <c r="F355" s="220"/>
      <c r="G355" s="143"/>
      <c r="H355" s="196"/>
      <c r="I355" s="196"/>
      <c r="J355" s="196"/>
      <c r="K355" s="196"/>
      <c r="L355" s="196"/>
      <c r="M355" s="196"/>
      <c r="N355" s="196"/>
      <c r="O355" s="196"/>
      <c r="P355" s="196"/>
      <c r="Q355" s="196"/>
      <c r="R355" s="196"/>
      <c r="S355" s="196"/>
      <c r="T355" s="196"/>
      <c r="U355" s="196"/>
      <c r="V355" s="196"/>
      <c r="W355" s="196"/>
      <c r="X355" s="196"/>
      <c r="Y355" s="196"/>
      <c r="Z355" s="196"/>
      <c r="AA355" s="196"/>
      <c r="AB355" s="196"/>
    </row>
    <row r="356" spans="1:28" ht="12.9">
      <c r="A356" s="196"/>
      <c r="B356" s="143"/>
      <c r="C356" s="196"/>
      <c r="D356" s="196"/>
      <c r="E356" s="196"/>
      <c r="F356" s="220"/>
      <c r="G356" s="143"/>
      <c r="H356" s="196"/>
      <c r="I356" s="196"/>
      <c r="J356" s="196"/>
      <c r="K356" s="196"/>
      <c r="L356" s="196"/>
      <c r="M356" s="196"/>
      <c r="N356" s="196"/>
      <c r="O356" s="196"/>
      <c r="P356" s="196"/>
      <c r="Q356" s="196"/>
      <c r="R356" s="196"/>
      <c r="S356" s="196"/>
      <c r="T356" s="196"/>
      <c r="U356" s="196"/>
      <c r="V356" s="196"/>
      <c r="W356" s="196"/>
      <c r="X356" s="196"/>
      <c r="Y356" s="196"/>
      <c r="Z356" s="196"/>
      <c r="AA356" s="196"/>
      <c r="AB356" s="196"/>
    </row>
    <row r="357" spans="1:28" ht="12.9">
      <c r="A357" s="196"/>
      <c r="B357" s="143"/>
      <c r="C357" s="196"/>
      <c r="D357" s="196"/>
      <c r="E357" s="196"/>
      <c r="F357" s="220"/>
      <c r="G357" s="143"/>
      <c r="H357" s="196"/>
      <c r="I357" s="196"/>
      <c r="J357" s="196"/>
      <c r="K357" s="196"/>
      <c r="L357" s="196"/>
      <c r="M357" s="196"/>
      <c r="N357" s="196"/>
      <c r="O357" s="196"/>
      <c r="P357" s="196"/>
      <c r="Q357" s="196"/>
      <c r="R357" s="196"/>
      <c r="S357" s="196"/>
      <c r="T357" s="196"/>
      <c r="U357" s="196"/>
      <c r="V357" s="196"/>
      <c r="W357" s="196"/>
      <c r="X357" s="196"/>
      <c r="Y357" s="196"/>
      <c r="Z357" s="196"/>
      <c r="AA357" s="196"/>
      <c r="AB357" s="196"/>
    </row>
    <row r="358" spans="1:28" ht="12.9">
      <c r="A358" s="196"/>
      <c r="B358" s="143"/>
      <c r="C358" s="196"/>
      <c r="D358" s="196"/>
      <c r="E358" s="196"/>
      <c r="F358" s="220"/>
      <c r="G358" s="143"/>
      <c r="H358" s="196"/>
      <c r="I358" s="196"/>
      <c r="J358" s="196"/>
      <c r="K358" s="196"/>
      <c r="L358" s="196"/>
      <c r="M358" s="196"/>
      <c r="N358" s="196"/>
      <c r="O358" s="196"/>
      <c r="P358" s="196"/>
      <c r="Q358" s="196"/>
      <c r="R358" s="196"/>
      <c r="S358" s="196"/>
      <c r="T358" s="196"/>
      <c r="U358" s="196"/>
      <c r="V358" s="196"/>
      <c r="W358" s="196"/>
      <c r="X358" s="196"/>
      <c r="Y358" s="196"/>
      <c r="Z358" s="196"/>
      <c r="AA358" s="196"/>
      <c r="AB358" s="196"/>
    </row>
    <row r="359" spans="1:28" ht="12.9">
      <c r="A359" s="196"/>
      <c r="B359" s="143"/>
      <c r="C359" s="196"/>
      <c r="D359" s="196"/>
      <c r="E359" s="196"/>
      <c r="F359" s="220"/>
      <c r="G359" s="143"/>
      <c r="H359" s="196"/>
      <c r="I359" s="196"/>
      <c r="J359" s="196"/>
      <c r="K359" s="196"/>
      <c r="L359" s="196"/>
      <c r="M359" s="196"/>
      <c r="N359" s="196"/>
      <c r="O359" s="196"/>
      <c r="P359" s="196"/>
      <c r="Q359" s="196"/>
      <c r="R359" s="196"/>
      <c r="S359" s="196"/>
      <c r="T359" s="196"/>
      <c r="U359" s="196"/>
      <c r="V359" s="196"/>
      <c r="W359" s="196"/>
      <c r="X359" s="196"/>
      <c r="Y359" s="196"/>
      <c r="Z359" s="196"/>
      <c r="AA359" s="196"/>
      <c r="AB359" s="196"/>
    </row>
    <row r="360" spans="1:28" ht="12.9">
      <c r="A360" s="196"/>
      <c r="B360" s="143"/>
      <c r="C360" s="196"/>
      <c r="D360" s="196"/>
      <c r="E360" s="196"/>
      <c r="F360" s="220"/>
      <c r="G360" s="143"/>
      <c r="H360" s="196"/>
      <c r="I360" s="196"/>
      <c r="J360" s="196"/>
      <c r="K360" s="196"/>
      <c r="L360" s="196"/>
      <c r="M360" s="196"/>
      <c r="N360" s="196"/>
      <c r="O360" s="196"/>
      <c r="P360" s="196"/>
      <c r="Q360" s="196"/>
      <c r="R360" s="196"/>
      <c r="S360" s="196"/>
      <c r="T360" s="196"/>
      <c r="U360" s="196"/>
      <c r="V360" s="196"/>
      <c r="W360" s="196"/>
      <c r="X360" s="196"/>
      <c r="Y360" s="196"/>
      <c r="Z360" s="196"/>
      <c r="AA360" s="196"/>
      <c r="AB360" s="196"/>
    </row>
    <row r="361" spans="1:28" ht="12.9">
      <c r="A361" s="196"/>
      <c r="B361" s="143"/>
      <c r="C361" s="196"/>
      <c r="D361" s="196"/>
      <c r="E361" s="196"/>
      <c r="F361" s="220"/>
      <c r="G361" s="143"/>
      <c r="H361" s="196"/>
      <c r="I361" s="196"/>
      <c r="J361" s="196"/>
      <c r="K361" s="196"/>
      <c r="L361" s="196"/>
      <c r="M361" s="196"/>
      <c r="N361" s="196"/>
      <c r="O361" s="196"/>
      <c r="P361" s="196"/>
      <c r="Q361" s="196"/>
      <c r="R361" s="196"/>
      <c r="S361" s="196"/>
      <c r="T361" s="196"/>
      <c r="U361" s="196"/>
      <c r="V361" s="196"/>
      <c r="W361" s="196"/>
      <c r="X361" s="196"/>
      <c r="Y361" s="196"/>
      <c r="Z361" s="196"/>
      <c r="AA361" s="196"/>
      <c r="AB361" s="196"/>
    </row>
    <row r="362" spans="1:28" ht="12.9">
      <c r="A362" s="196"/>
      <c r="B362" s="143"/>
      <c r="C362" s="196"/>
      <c r="D362" s="196"/>
      <c r="E362" s="196"/>
      <c r="F362" s="220"/>
      <c r="G362" s="143"/>
      <c r="H362" s="196"/>
      <c r="I362" s="196"/>
      <c r="J362" s="196"/>
      <c r="K362" s="196"/>
      <c r="L362" s="196"/>
      <c r="M362" s="196"/>
      <c r="N362" s="196"/>
      <c r="O362" s="196"/>
      <c r="P362" s="196"/>
      <c r="Q362" s="196"/>
      <c r="R362" s="196"/>
      <c r="S362" s="196"/>
      <c r="T362" s="196"/>
      <c r="U362" s="196"/>
      <c r="V362" s="196"/>
      <c r="W362" s="196"/>
      <c r="X362" s="196"/>
      <c r="Y362" s="196"/>
      <c r="Z362" s="196"/>
      <c r="AA362" s="196"/>
      <c r="AB362" s="196"/>
    </row>
    <row r="363" spans="1:28" ht="12.9">
      <c r="A363" s="196"/>
      <c r="B363" s="143"/>
      <c r="C363" s="196"/>
      <c r="D363" s="196"/>
      <c r="E363" s="196"/>
      <c r="F363" s="220"/>
      <c r="G363" s="143"/>
      <c r="H363" s="196"/>
      <c r="I363" s="196"/>
      <c r="J363" s="196"/>
      <c r="K363" s="196"/>
      <c r="L363" s="196"/>
      <c r="M363" s="196"/>
      <c r="N363" s="196"/>
      <c r="O363" s="196"/>
      <c r="P363" s="196"/>
      <c r="Q363" s="196"/>
      <c r="R363" s="196"/>
      <c r="S363" s="196"/>
      <c r="T363" s="196"/>
      <c r="U363" s="196"/>
      <c r="V363" s="196"/>
      <c r="W363" s="196"/>
      <c r="X363" s="196"/>
      <c r="Y363" s="196"/>
      <c r="Z363" s="196"/>
      <c r="AA363" s="196"/>
      <c r="AB363" s="196"/>
    </row>
    <row r="364" spans="1:28" ht="12.9">
      <c r="A364" s="196"/>
      <c r="B364" s="143"/>
      <c r="C364" s="196"/>
      <c r="D364" s="196"/>
      <c r="E364" s="196"/>
      <c r="F364" s="220"/>
      <c r="G364" s="143"/>
      <c r="H364" s="196"/>
      <c r="I364" s="196"/>
      <c r="J364" s="196"/>
      <c r="K364" s="196"/>
      <c r="L364" s="196"/>
      <c r="M364" s="196"/>
      <c r="N364" s="196"/>
      <c r="O364" s="196"/>
      <c r="P364" s="196"/>
      <c r="Q364" s="196"/>
      <c r="R364" s="196"/>
      <c r="S364" s="196"/>
      <c r="T364" s="196"/>
      <c r="U364" s="196"/>
      <c r="V364" s="196"/>
      <c r="W364" s="196"/>
      <c r="X364" s="196"/>
      <c r="Y364" s="196"/>
      <c r="Z364" s="196"/>
      <c r="AA364" s="196"/>
      <c r="AB364" s="196"/>
    </row>
    <row r="365" spans="1:28" ht="12.9">
      <c r="A365" s="196"/>
      <c r="B365" s="143"/>
      <c r="C365" s="196"/>
      <c r="D365" s="196"/>
      <c r="E365" s="196"/>
      <c r="F365" s="220"/>
      <c r="G365" s="143"/>
      <c r="H365" s="196"/>
      <c r="I365" s="196"/>
      <c r="J365" s="196"/>
      <c r="K365" s="196"/>
      <c r="L365" s="196"/>
      <c r="M365" s="196"/>
      <c r="N365" s="196"/>
      <c r="O365" s="196"/>
      <c r="P365" s="196"/>
      <c r="Q365" s="196"/>
      <c r="R365" s="196"/>
      <c r="S365" s="196"/>
      <c r="T365" s="196"/>
      <c r="U365" s="196"/>
      <c r="V365" s="196"/>
      <c r="W365" s="196"/>
      <c r="X365" s="196"/>
      <c r="Y365" s="196"/>
      <c r="Z365" s="196"/>
      <c r="AA365" s="196"/>
      <c r="AB365" s="196"/>
    </row>
    <row r="366" spans="1:28" ht="12.9">
      <c r="A366" s="196"/>
      <c r="B366" s="143"/>
      <c r="C366" s="196"/>
      <c r="D366" s="196"/>
      <c r="E366" s="196"/>
      <c r="F366" s="220"/>
      <c r="G366" s="143"/>
      <c r="H366" s="196"/>
      <c r="I366" s="196"/>
      <c r="J366" s="196"/>
      <c r="K366" s="196"/>
      <c r="L366" s="196"/>
      <c r="M366" s="196"/>
      <c r="N366" s="196"/>
      <c r="O366" s="196"/>
      <c r="P366" s="196"/>
      <c r="Q366" s="196"/>
      <c r="R366" s="196"/>
      <c r="S366" s="196"/>
      <c r="T366" s="196"/>
      <c r="U366" s="196"/>
      <c r="V366" s="196"/>
      <c r="W366" s="196"/>
      <c r="X366" s="196"/>
      <c r="Y366" s="196"/>
      <c r="Z366" s="196"/>
      <c r="AA366" s="196"/>
      <c r="AB366" s="196"/>
    </row>
    <row r="367" spans="1:28" ht="12.9">
      <c r="A367" s="196"/>
      <c r="B367" s="143"/>
      <c r="C367" s="196"/>
      <c r="D367" s="196"/>
      <c r="E367" s="196"/>
      <c r="F367" s="220"/>
      <c r="G367" s="143"/>
      <c r="H367" s="196"/>
      <c r="I367" s="196"/>
      <c r="J367" s="196"/>
      <c r="K367" s="196"/>
      <c r="L367" s="196"/>
      <c r="M367" s="196"/>
      <c r="N367" s="196"/>
      <c r="O367" s="196"/>
      <c r="P367" s="196"/>
      <c r="Q367" s="196"/>
      <c r="R367" s="196"/>
      <c r="S367" s="196"/>
      <c r="T367" s="196"/>
      <c r="U367" s="196"/>
      <c r="V367" s="196"/>
      <c r="W367" s="196"/>
      <c r="X367" s="196"/>
      <c r="Y367" s="196"/>
      <c r="Z367" s="196"/>
      <c r="AA367" s="196"/>
      <c r="AB367" s="196"/>
    </row>
    <row r="368" spans="1:28" ht="12.9">
      <c r="A368" s="196"/>
      <c r="B368" s="143"/>
      <c r="C368" s="196"/>
      <c r="D368" s="196"/>
      <c r="E368" s="196"/>
      <c r="F368" s="220"/>
      <c r="G368" s="143"/>
      <c r="H368" s="196"/>
      <c r="I368" s="196"/>
      <c r="J368" s="196"/>
      <c r="K368" s="196"/>
      <c r="L368" s="196"/>
      <c r="M368" s="196"/>
      <c r="N368" s="196"/>
      <c r="O368" s="196"/>
      <c r="P368" s="196"/>
      <c r="Q368" s="196"/>
      <c r="R368" s="196"/>
      <c r="S368" s="196"/>
      <c r="T368" s="196"/>
      <c r="U368" s="196"/>
      <c r="V368" s="196"/>
      <c r="W368" s="196"/>
      <c r="X368" s="196"/>
      <c r="Y368" s="196"/>
      <c r="Z368" s="196"/>
      <c r="AA368" s="196"/>
      <c r="AB368" s="196"/>
    </row>
    <row r="369" spans="1:28" ht="12.9">
      <c r="A369" s="196"/>
      <c r="B369" s="143"/>
      <c r="C369" s="196"/>
      <c r="D369" s="196"/>
      <c r="E369" s="196"/>
      <c r="F369" s="220"/>
      <c r="G369" s="143"/>
      <c r="H369" s="196"/>
      <c r="I369" s="196"/>
      <c r="J369" s="196"/>
      <c r="K369" s="196"/>
      <c r="L369" s="196"/>
      <c r="M369" s="196"/>
      <c r="N369" s="196"/>
      <c r="O369" s="196"/>
      <c r="P369" s="196"/>
      <c r="Q369" s="196"/>
      <c r="R369" s="196"/>
      <c r="S369" s="196"/>
      <c r="T369" s="196"/>
      <c r="U369" s="196"/>
      <c r="V369" s="196"/>
      <c r="W369" s="196"/>
      <c r="X369" s="196"/>
      <c r="Y369" s="196"/>
      <c r="Z369" s="196"/>
      <c r="AA369" s="196"/>
      <c r="AB369" s="196"/>
    </row>
    <row r="370" spans="1:28" ht="12.9">
      <c r="A370" s="196"/>
      <c r="B370" s="143"/>
      <c r="C370" s="196"/>
      <c r="D370" s="196"/>
      <c r="E370" s="196"/>
      <c r="F370" s="220"/>
      <c r="G370" s="143"/>
      <c r="H370" s="196"/>
      <c r="I370" s="196"/>
      <c r="J370" s="196"/>
      <c r="K370" s="196"/>
      <c r="L370" s="196"/>
      <c r="M370" s="196"/>
      <c r="N370" s="196"/>
      <c r="O370" s="196"/>
      <c r="P370" s="196"/>
      <c r="Q370" s="196"/>
      <c r="R370" s="196"/>
      <c r="S370" s="196"/>
      <c r="T370" s="196"/>
      <c r="U370" s="196"/>
      <c r="V370" s="196"/>
      <c r="W370" s="196"/>
      <c r="X370" s="196"/>
      <c r="Y370" s="196"/>
      <c r="Z370" s="196"/>
      <c r="AA370" s="196"/>
      <c r="AB370" s="196"/>
    </row>
    <row r="371" spans="1:28" ht="12.9">
      <c r="A371" s="196"/>
      <c r="B371" s="143"/>
      <c r="C371" s="196"/>
      <c r="D371" s="196"/>
      <c r="E371" s="196"/>
      <c r="F371" s="220"/>
      <c r="G371" s="143"/>
      <c r="H371" s="196"/>
      <c r="I371" s="196"/>
      <c r="J371" s="196"/>
      <c r="K371" s="196"/>
      <c r="L371" s="196"/>
      <c r="M371" s="196"/>
      <c r="N371" s="196"/>
      <c r="O371" s="196"/>
      <c r="P371" s="196"/>
      <c r="Q371" s="196"/>
      <c r="R371" s="196"/>
      <c r="S371" s="196"/>
      <c r="T371" s="196"/>
      <c r="U371" s="196"/>
      <c r="V371" s="196"/>
      <c r="W371" s="196"/>
      <c r="X371" s="196"/>
      <c r="Y371" s="196"/>
      <c r="Z371" s="196"/>
      <c r="AA371" s="196"/>
      <c r="AB371" s="196"/>
    </row>
    <row r="372" spans="1:28" ht="12.9">
      <c r="A372" s="196"/>
      <c r="B372" s="143"/>
      <c r="C372" s="196"/>
      <c r="D372" s="196"/>
      <c r="E372" s="196"/>
      <c r="F372" s="220"/>
      <c r="G372" s="143"/>
      <c r="H372" s="196"/>
      <c r="I372" s="196"/>
      <c r="J372" s="196"/>
      <c r="K372" s="196"/>
      <c r="L372" s="196"/>
      <c r="M372" s="196"/>
      <c r="N372" s="196"/>
      <c r="O372" s="196"/>
      <c r="P372" s="196"/>
      <c r="Q372" s="196"/>
      <c r="R372" s="196"/>
      <c r="S372" s="196"/>
      <c r="T372" s="196"/>
      <c r="U372" s="196"/>
      <c r="V372" s="196"/>
      <c r="W372" s="196"/>
      <c r="X372" s="196"/>
      <c r="Y372" s="196"/>
      <c r="Z372" s="196"/>
      <c r="AA372" s="196"/>
      <c r="AB372" s="196"/>
    </row>
    <row r="373" spans="1:28" ht="12.9">
      <c r="A373" s="196"/>
      <c r="B373" s="143"/>
      <c r="C373" s="196"/>
      <c r="D373" s="196"/>
      <c r="E373" s="196"/>
      <c r="F373" s="220"/>
      <c r="G373" s="143"/>
      <c r="H373" s="196"/>
      <c r="I373" s="196"/>
      <c r="J373" s="196"/>
      <c r="K373" s="196"/>
      <c r="L373" s="196"/>
      <c r="M373" s="196"/>
      <c r="N373" s="196"/>
      <c r="O373" s="196"/>
      <c r="P373" s="196"/>
      <c r="Q373" s="196"/>
      <c r="R373" s="196"/>
      <c r="S373" s="196"/>
      <c r="T373" s="196"/>
      <c r="U373" s="196"/>
      <c r="V373" s="196"/>
      <c r="W373" s="196"/>
      <c r="X373" s="196"/>
      <c r="Y373" s="196"/>
      <c r="Z373" s="196"/>
      <c r="AA373" s="196"/>
      <c r="AB373" s="196"/>
    </row>
    <row r="374" spans="1:28" ht="12.9">
      <c r="A374" s="196"/>
      <c r="B374" s="143"/>
      <c r="C374" s="196"/>
      <c r="D374" s="196"/>
      <c r="E374" s="196"/>
      <c r="F374" s="220"/>
      <c r="G374" s="143"/>
      <c r="H374" s="196"/>
      <c r="I374" s="196"/>
      <c r="J374" s="196"/>
      <c r="K374" s="196"/>
      <c r="L374" s="196"/>
      <c r="M374" s="196"/>
      <c r="N374" s="196"/>
      <c r="O374" s="196"/>
      <c r="P374" s="196"/>
      <c r="Q374" s="196"/>
      <c r="R374" s="196"/>
      <c r="S374" s="196"/>
      <c r="T374" s="196"/>
      <c r="U374" s="196"/>
      <c r="V374" s="196"/>
      <c r="W374" s="196"/>
      <c r="X374" s="196"/>
      <c r="Y374" s="196"/>
      <c r="Z374" s="196"/>
      <c r="AA374" s="196"/>
      <c r="AB374" s="196"/>
    </row>
    <row r="375" spans="1:28" ht="12.9">
      <c r="A375" s="196"/>
      <c r="B375" s="143"/>
      <c r="C375" s="196"/>
      <c r="D375" s="196"/>
      <c r="E375" s="196"/>
      <c r="F375" s="220"/>
      <c r="G375" s="143"/>
      <c r="H375" s="196"/>
      <c r="I375" s="196"/>
      <c r="J375" s="196"/>
      <c r="K375" s="196"/>
      <c r="L375" s="196"/>
      <c r="M375" s="196"/>
      <c r="N375" s="196"/>
      <c r="O375" s="196"/>
      <c r="P375" s="196"/>
      <c r="Q375" s="196"/>
      <c r="R375" s="196"/>
      <c r="S375" s="196"/>
      <c r="T375" s="196"/>
      <c r="U375" s="196"/>
      <c r="V375" s="196"/>
      <c r="W375" s="196"/>
      <c r="X375" s="196"/>
      <c r="Y375" s="196"/>
      <c r="Z375" s="196"/>
      <c r="AA375" s="196"/>
      <c r="AB375" s="196"/>
    </row>
    <row r="376" spans="1:28" ht="12.9">
      <c r="A376" s="196"/>
      <c r="B376" s="143"/>
      <c r="C376" s="196"/>
      <c r="D376" s="196"/>
      <c r="E376" s="196"/>
      <c r="F376" s="220"/>
      <c r="G376" s="143"/>
      <c r="H376" s="196"/>
      <c r="I376" s="196"/>
      <c r="J376" s="196"/>
      <c r="K376" s="196"/>
      <c r="L376" s="196"/>
      <c r="M376" s="196"/>
      <c r="N376" s="196"/>
      <c r="O376" s="196"/>
      <c r="P376" s="196"/>
      <c r="Q376" s="196"/>
      <c r="R376" s="196"/>
      <c r="S376" s="196"/>
      <c r="T376" s="196"/>
      <c r="U376" s="196"/>
      <c r="V376" s="196"/>
      <c r="W376" s="196"/>
      <c r="X376" s="196"/>
      <c r="Y376" s="196"/>
      <c r="Z376" s="196"/>
      <c r="AA376" s="196"/>
      <c r="AB376" s="196"/>
    </row>
    <row r="377" spans="1:28" ht="12.9">
      <c r="A377" s="196"/>
      <c r="B377" s="143"/>
      <c r="C377" s="196"/>
      <c r="D377" s="196"/>
      <c r="E377" s="196"/>
      <c r="F377" s="220"/>
      <c r="G377" s="143"/>
      <c r="H377" s="196"/>
      <c r="I377" s="196"/>
      <c r="J377" s="196"/>
      <c r="K377" s="196"/>
      <c r="L377" s="196"/>
      <c r="M377" s="196"/>
      <c r="N377" s="196"/>
      <c r="O377" s="196"/>
      <c r="P377" s="196"/>
      <c r="Q377" s="196"/>
      <c r="R377" s="196"/>
      <c r="S377" s="196"/>
      <c r="T377" s="196"/>
      <c r="U377" s="196"/>
      <c r="V377" s="196"/>
      <c r="W377" s="196"/>
      <c r="X377" s="196"/>
      <c r="Y377" s="196"/>
      <c r="Z377" s="196"/>
      <c r="AA377" s="196"/>
      <c r="AB377" s="196"/>
    </row>
    <row r="378" spans="1:28" ht="12.9">
      <c r="A378" s="196"/>
      <c r="B378" s="143"/>
      <c r="C378" s="196"/>
      <c r="D378" s="196"/>
      <c r="E378" s="196"/>
      <c r="F378" s="220"/>
      <c r="G378" s="143"/>
      <c r="H378" s="196"/>
      <c r="I378" s="196"/>
      <c r="J378" s="196"/>
      <c r="K378" s="196"/>
      <c r="L378" s="196"/>
      <c r="M378" s="196"/>
      <c r="N378" s="196"/>
      <c r="O378" s="196"/>
      <c r="P378" s="196"/>
      <c r="Q378" s="196"/>
      <c r="R378" s="196"/>
      <c r="S378" s="196"/>
      <c r="T378" s="196"/>
      <c r="U378" s="196"/>
      <c r="V378" s="196"/>
      <c r="W378" s="196"/>
      <c r="X378" s="196"/>
      <c r="Y378" s="196"/>
      <c r="Z378" s="196"/>
      <c r="AA378" s="196"/>
      <c r="AB378" s="196"/>
    </row>
    <row r="379" spans="1:28" ht="12.9">
      <c r="A379" s="196"/>
      <c r="B379" s="143"/>
      <c r="C379" s="196"/>
      <c r="D379" s="196"/>
      <c r="E379" s="196"/>
      <c r="F379" s="220"/>
      <c r="G379" s="143"/>
      <c r="H379" s="196"/>
      <c r="I379" s="196"/>
      <c r="J379" s="196"/>
      <c r="K379" s="196"/>
      <c r="L379" s="196"/>
      <c r="M379" s="196"/>
      <c r="N379" s="196"/>
      <c r="O379" s="196"/>
      <c r="P379" s="196"/>
      <c r="Q379" s="196"/>
      <c r="R379" s="196"/>
      <c r="S379" s="196"/>
      <c r="T379" s="196"/>
      <c r="U379" s="196"/>
      <c r="V379" s="196"/>
      <c r="W379" s="196"/>
      <c r="X379" s="196"/>
      <c r="Y379" s="196"/>
      <c r="Z379" s="196"/>
      <c r="AA379" s="196"/>
      <c r="AB379" s="196"/>
    </row>
    <row r="380" spans="1:28" ht="12.9">
      <c r="A380" s="196"/>
      <c r="B380" s="143"/>
      <c r="C380" s="196"/>
      <c r="D380" s="196"/>
      <c r="E380" s="196"/>
      <c r="F380" s="220"/>
      <c r="G380" s="143"/>
      <c r="H380" s="196"/>
      <c r="I380" s="196"/>
      <c r="J380" s="196"/>
      <c r="K380" s="196"/>
      <c r="L380" s="196"/>
      <c r="M380" s="196"/>
      <c r="N380" s="196"/>
      <c r="O380" s="196"/>
      <c r="P380" s="196"/>
      <c r="Q380" s="196"/>
      <c r="R380" s="196"/>
      <c r="S380" s="196"/>
      <c r="T380" s="196"/>
      <c r="U380" s="196"/>
      <c r="V380" s="196"/>
      <c r="W380" s="196"/>
      <c r="X380" s="196"/>
      <c r="Y380" s="196"/>
      <c r="Z380" s="196"/>
      <c r="AA380" s="196"/>
      <c r="AB380" s="196"/>
    </row>
    <row r="381" spans="1:28" ht="12.9">
      <c r="A381" s="196"/>
      <c r="B381" s="143"/>
      <c r="C381" s="196"/>
      <c r="D381" s="196"/>
      <c r="E381" s="196"/>
      <c r="F381" s="220"/>
      <c r="G381" s="143"/>
      <c r="H381" s="196"/>
      <c r="I381" s="196"/>
      <c r="J381" s="196"/>
      <c r="K381" s="196"/>
      <c r="L381" s="196"/>
      <c r="M381" s="196"/>
      <c r="N381" s="196"/>
      <c r="O381" s="196"/>
      <c r="P381" s="196"/>
      <c r="Q381" s="196"/>
      <c r="R381" s="196"/>
      <c r="S381" s="196"/>
      <c r="T381" s="196"/>
      <c r="U381" s="196"/>
      <c r="V381" s="196"/>
      <c r="W381" s="196"/>
      <c r="X381" s="196"/>
      <c r="Y381" s="196"/>
      <c r="Z381" s="196"/>
      <c r="AA381" s="196"/>
      <c r="AB381" s="196"/>
    </row>
    <row r="382" spans="1:28" ht="12.9">
      <c r="A382" s="196"/>
      <c r="B382" s="143"/>
      <c r="C382" s="196"/>
      <c r="D382" s="196"/>
      <c r="E382" s="196"/>
      <c r="F382" s="220"/>
      <c r="G382" s="143"/>
      <c r="H382" s="196"/>
      <c r="I382" s="196"/>
      <c r="J382" s="196"/>
      <c r="K382" s="196"/>
      <c r="L382" s="196"/>
      <c r="M382" s="196"/>
      <c r="N382" s="196"/>
      <c r="O382" s="196"/>
      <c r="P382" s="196"/>
      <c r="Q382" s="196"/>
      <c r="R382" s="196"/>
      <c r="S382" s="196"/>
      <c r="T382" s="196"/>
      <c r="U382" s="196"/>
      <c r="V382" s="196"/>
      <c r="W382" s="196"/>
      <c r="X382" s="196"/>
      <c r="Y382" s="196"/>
      <c r="Z382" s="196"/>
      <c r="AA382" s="196"/>
      <c r="AB382" s="196"/>
    </row>
    <row r="383" spans="1:28" ht="12.9">
      <c r="A383" s="196"/>
      <c r="B383" s="143"/>
      <c r="C383" s="196"/>
      <c r="D383" s="196"/>
      <c r="E383" s="196"/>
      <c r="F383" s="220"/>
      <c r="G383" s="143"/>
      <c r="H383" s="196"/>
      <c r="I383" s="196"/>
      <c r="J383" s="196"/>
      <c r="K383" s="196"/>
      <c r="L383" s="196"/>
      <c r="M383" s="196"/>
      <c r="N383" s="196"/>
      <c r="O383" s="196"/>
      <c r="P383" s="196"/>
      <c r="Q383" s="196"/>
      <c r="R383" s="196"/>
      <c r="S383" s="196"/>
      <c r="T383" s="196"/>
      <c r="U383" s="196"/>
      <c r="V383" s="196"/>
      <c r="W383" s="196"/>
      <c r="X383" s="196"/>
      <c r="Y383" s="196"/>
      <c r="Z383" s="196"/>
      <c r="AA383" s="196"/>
      <c r="AB383" s="196"/>
    </row>
    <row r="384" spans="1:28" ht="12.9">
      <c r="A384" s="196"/>
      <c r="B384" s="143"/>
      <c r="C384" s="196"/>
      <c r="D384" s="196"/>
      <c r="E384" s="196"/>
      <c r="F384" s="220"/>
      <c r="G384" s="143"/>
      <c r="H384" s="196"/>
      <c r="I384" s="196"/>
      <c r="J384" s="196"/>
      <c r="K384" s="196"/>
      <c r="L384" s="196"/>
      <c r="M384" s="196"/>
      <c r="N384" s="196"/>
      <c r="O384" s="196"/>
      <c r="P384" s="196"/>
      <c r="Q384" s="196"/>
      <c r="R384" s="196"/>
      <c r="S384" s="196"/>
      <c r="T384" s="196"/>
      <c r="U384" s="196"/>
      <c r="V384" s="196"/>
      <c r="W384" s="196"/>
      <c r="X384" s="196"/>
      <c r="Y384" s="196"/>
      <c r="Z384" s="196"/>
      <c r="AA384" s="196"/>
      <c r="AB384" s="196"/>
    </row>
    <row r="385" spans="1:28" ht="12.9">
      <c r="A385" s="196"/>
      <c r="B385" s="143"/>
      <c r="C385" s="196"/>
      <c r="D385" s="196"/>
      <c r="E385" s="196"/>
      <c r="F385" s="220"/>
      <c r="G385" s="143"/>
      <c r="H385" s="196"/>
      <c r="I385" s="196"/>
      <c r="J385" s="196"/>
      <c r="K385" s="196"/>
      <c r="L385" s="196"/>
      <c r="M385" s="196"/>
      <c r="N385" s="196"/>
      <c r="O385" s="196"/>
      <c r="P385" s="196"/>
      <c r="Q385" s="196"/>
      <c r="R385" s="196"/>
      <c r="S385" s="196"/>
      <c r="T385" s="196"/>
      <c r="U385" s="196"/>
      <c r="V385" s="196"/>
      <c r="W385" s="196"/>
      <c r="X385" s="196"/>
      <c r="Y385" s="196"/>
      <c r="Z385" s="196"/>
      <c r="AA385" s="196"/>
      <c r="AB385" s="196"/>
    </row>
    <row r="386" spans="1:28" ht="12.9">
      <c r="A386" s="196"/>
      <c r="B386" s="143"/>
      <c r="C386" s="196"/>
      <c r="D386" s="196"/>
      <c r="E386" s="196"/>
      <c r="F386" s="220"/>
      <c r="G386" s="143"/>
      <c r="H386" s="196"/>
      <c r="I386" s="196"/>
      <c r="J386" s="196"/>
      <c r="K386" s="196"/>
      <c r="L386" s="196"/>
      <c r="M386" s="196"/>
      <c r="N386" s="196"/>
      <c r="O386" s="196"/>
      <c r="P386" s="196"/>
      <c r="Q386" s="196"/>
      <c r="R386" s="196"/>
      <c r="S386" s="196"/>
      <c r="T386" s="196"/>
      <c r="U386" s="196"/>
      <c r="V386" s="196"/>
      <c r="W386" s="196"/>
      <c r="X386" s="196"/>
      <c r="Y386" s="196"/>
      <c r="Z386" s="196"/>
      <c r="AA386" s="196"/>
      <c r="AB386" s="196"/>
    </row>
    <row r="387" spans="1:28" ht="12.9">
      <c r="A387" s="196"/>
      <c r="B387" s="143"/>
      <c r="C387" s="196"/>
      <c r="D387" s="196"/>
      <c r="E387" s="196"/>
      <c r="F387" s="220"/>
      <c r="G387" s="143"/>
      <c r="H387" s="196"/>
      <c r="I387" s="196"/>
      <c r="J387" s="196"/>
      <c r="K387" s="196"/>
      <c r="L387" s="196"/>
      <c r="M387" s="196"/>
      <c r="N387" s="196"/>
      <c r="O387" s="196"/>
      <c r="P387" s="196"/>
      <c r="Q387" s="196"/>
      <c r="R387" s="196"/>
      <c r="S387" s="196"/>
      <c r="T387" s="196"/>
      <c r="U387" s="196"/>
      <c r="V387" s="196"/>
      <c r="W387" s="196"/>
      <c r="X387" s="196"/>
      <c r="Y387" s="196"/>
      <c r="Z387" s="196"/>
      <c r="AA387" s="196"/>
      <c r="AB387" s="196"/>
    </row>
    <row r="388" spans="1:28" ht="12.9">
      <c r="A388" s="196"/>
      <c r="B388" s="143"/>
      <c r="C388" s="196"/>
      <c r="D388" s="196"/>
      <c r="E388" s="196"/>
      <c r="F388" s="220"/>
      <c r="G388" s="143"/>
      <c r="H388" s="196"/>
      <c r="I388" s="196"/>
      <c r="J388" s="196"/>
      <c r="K388" s="196"/>
      <c r="L388" s="196"/>
      <c r="M388" s="196"/>
      <c r="N388" s="196"/>
      <c r="O388" s="196"/>
      <c r="P388" s="196"/>
      <c r="Q388" s="196"/>
      <c r="R388" s="196"/>
      <c r="S388" s="196"/>
      <c r="T388" s="196"/>
      <c r="U388" s="196"/>
      <c r="V388" s="196"/>
      <c r="W388" s="196"/>
      <c r="X388" s="196"/>
      <c r="Y388" s="196"/>
      <c r="Z388" s="196"/>
      <c r="AA388" s="196"/>
      <c r="AB388" s="196"/>
    </row>
    <row r="389" spans="1:28" ht="12.9">
      <c r="A389" s="196"/>
      <c r="B389" s="143"/>
      <c r="C389" s="196"/>
      <c r="D389" s="196"/>
      <c r="E389" s="196"/>
      <c r="F389" s="220"/>
      <c r="G389" s="143"/>
      <c r="H389" s="196"/>
      <c r="I389" s="196"/>
      <c r="J389" s="196"/>
      <c r="K389" s="196"/>
      <c r="L389" s="196"/>
      <c r="M389" s="196"/>
      <c r="N389" s="196"/>
      <c r="O389" s="196"/>
      <c r="P389" s="196"/>
      <c r="Q389" s="196"/>
      <c r="R389" s="196"/>
      <c r="S389" s="196"/>
      <c r="T389" s="196"/>
      <c r="U389" s="196"/>
      <c r="V389" s="196"/>
      <c r="W389" s="196"/>
      <c r="X389" s="196"/>
      <c r="Y389" s="196"/>
      <c r="Z389" s="196"/>
      <c r="AA389" s="196"/>
      <c r="AB389" s="196"/>
    </row>
    <row r="390" spans="1:28" ht="12.9">
      <c r="A390" s="196"/>
      <c r="B390" s="143"/>
      <c r="C390" s="196"/>
      <c r="D390" s="196"/>
      <c r="E390" s="196"/>
      <c r="F390" s="220"/>
      <c r="G390" s="143"/>
      <c r="H390" s="196"/>
      <c r="I390" s="196"/>
      <c r="J390" s="196"/>
      <c r="K390" s="196"/>
      <c r="L390" s="196"/>
      <c r="M390" s="196"/>
      <c r="N390" s="196"/>
      <c r="O390" s="196"/>
      <c r="P390" s="196"/>
      <c r="Q390" s="196"/>
      <c r="R390" s="196"/>
      <c r="S390" s="196"/>
      <c r="T390" s="196"/>
      <c r="U390" s="196"/>
      <c r="V390" s="196"/>
      <c r="W390" s="196"/>
      <c r="X390" s="196"/>
      <c r="Y390" s="196"/>
      <c r="Z390" s="196"/>
      <c r="AA390" s="196"/>
      <c r="AB390" s="196"/>
    </row>
    <row r="391" spans="1:28" ht="12.9">
      <c r="A391" s="196"/>
      <c r="B391" s="143"/>
      <c r="C391" s="196"/>
      <c r="D391" s="196"/>
      <c r="E391" s="196"/>
      <c r="F391" s="220"/>
      <c r="G391" s="143"/>
      <c r="H391" s="196"/>
      <c r="I391" s="196"/>
      <c r="J391" s="196"/>
      <c r="K391" s="196"/>
      <c r="L391" s="196"/>
      <c r="M391" s="196"/>
      <c r="N391" s="196"/>
      <c r="O391" s="196"/>
      <c r="P391" s="196"/>
      <c r="Q391" s="196"/>
      <c r="R391" s="196"/>
      <c r="S391" s="196"/>
      <c r="T391" s="196"/>
      <c r="U391" s="196"/>
      <c r="V391" s="196"/>
      <c r="W391" s="196"/>
      <c r="X391" s="196"/>
      <c r="Y391" s="196"/>
      <c r="Z391" s="196"/>
      <c r="AA391" s="196"/>
      <c r="AB391" s="196"/>
    </row>
    <row r="392" spans="1:28" ht="12.9">
      <c r="A392" s="196"/>
      <c r="B392" s="143"/>
      <c r="C392" s="196"/>
      <c r="D392" s="196"/>
      <c r="E392" s="196"/>
      <c r="F392" s="220"/>
      <c r="G392" s="143"/>
      <c r="H392" s="196"/>
      <c r="I392" s="196"/>
      <c r="J392" s="196"/>
      <c r="K392" s="196"/>
      <c r="L392" s="196"/>
      <c r="M392" s="196"/>
      <c r="N392" s="196"/>
      <c r="O392" s="196"/>
      <c r="P392" s="196"/>
      <c r="Q392" s="196"/>
      <c r="R392" s="196"/>
      <c r="S392" s="196"/>
      <c r="T392" s="196"/>
      <c r="U392" s="196"/>
      <c r="V392" s="196"/>
      <c r="W392" s="196"/>
      <c r="X392" s="196"/>
      <c r="Y392" s="196"/>
      <c r="Z392" s="196"/>
      <c r="AA392" s="196"/>
      <c r="AB392" s="196"/>
    </row>
    <row r="393" spans="1:28" ht="12.9">
      <c r="A393" s="196"/>
      <c r="B393" s="143"/>
      <c r="C393" s="196"/>
      <c r="D393" s="196"/>
      <c r="E393" s="196"/>
      <c r="F393" s="220"/>
      <c r="G393" s="143"/>
      <c r="H393" s="196"/>
      <c r="I393" s="196"/>
      <c r="J393" s="196"/>
      <c r="K393" s="196"/>
      <c r="L393" s="196"/>
      <c r="M393" s="196"/>
      <c r="N393" s="196"/>
      <c r="O393" s="196"/>
      <c r="P393" s="196"/>
      <c r="Q393" s="196"/>
      <c r="R393" s="196"/>
      <c r="S393" s="196"/>
      <c r="T393" s="196"/>
      <c r="U393" s="196"/>
      <c r="V393" s="196"/>
      <c r="W393" s="196"/>
      <c r="X393" s="196"/>
      <c r="Y393" s="196"/>
      <c r="Z393" s="196"/>
      <c r="AA393" s="196"/>
      <c r="AB393" s="196"/>
    </row>
    <row r="394" spans="1:28" ht="12.9">
      <c r="A394" s="196"/>
      <c r="B394" s="143"/>
      <c r="C394" s="196"/>
      <c r="D394" s="196"/>
      <c r="E394" s="196"/>
      <c r="F394" s="220"/>
      <c r="G394" s="143"/>
      <c r="H394" s="196"/>
      <c r="I394" s="196"/>
      <c r="J394" s="196"/>
      <c r="K394" s="196"/>
      <c r="L394" s="196"/>
      <c r="M394" s="196"/>
      <c r="N394" s="196"/>
      <c r="O394" s="196"/>
      <c r="P394" s="196"/>
      <c r="Q394" s="196"/>
      <c r="R394" s="196"/>
      <c r="S394" s="196"/>
      <c r="T394" s="196"/>
      <c r="U394" s="196"/>
      <c r="V394" s="196"/>
      <c r="W394" s="196"/>
      <c r="X394" s="196"/>
      <c r="Y394" s="196"/>
      <c r="Z394" s="196"/>
      <c r="AA394" s="196"/>
      <c r="AB394" s="196"/>
    </row>
    <row r="395" spans="1:28" ht="12.9">
      <c r="A395" s="196"/>
      <c r="B395" s="143"/>
      <c r="C395" s="196"/>
      <c r="D395" s="196"/>
      <c r="E395" s="196"/>
      <c r="F395" s="220"/>
      <c r="G395" s="143"/>
      <c r="H395" s="196"/>
      <c r="I395" s="196"/>
      <c r="J395" s="196"/>
      <c r="K395" s="196"/>
      <c r="L395" s="196"/>
      <c r="M395" s="196"/>
      <c r="N395" s="196"/>
      <c r="O395" s="196"/>
      <c r="P395" s="196"/>
      <c r="Q395" s="196"/>
      <c r="R395" s="196"/>
      <c r="S395" s="196"/>
      <c r="T395" s="196"/>
      <c r="U395" s="196"/>
      <c r="V395" s="196"/>
      <c r="W395" s="196"/>
      <c r="X395" s="196"/>
      <c r="Y395" s="196"/>
      <c r="Z395" s="196"/>
      <c r="AA395" s="196"/>
      <c r="AB395" s="196"/>
    </row>
    <row r="396" spans="1:28" ht="12.9">
      <c r="A396" s="196"/>
      <c r="B396" s="143"/>
      <c r="C396" s="196"/>
      <c r="D396" s="196"/>
      <c r="E396" s="196"/>
      <c r="F396" s="220"/>
      <c r="G396" s="143"/>
      <c r="H396" s="196"/>
      <c r="I396" s="196"/>
      <c r="J396" s="196"/>
      <c r="K396" s="196"/>
      <c r="L396" s="196"/>
      <c r="M396" s="196"/>
      <c r="N396" s="196"/>
      <c r="O396" s="196"/>
      <c r="P396" s="196"/>
      <c r="Q396" s="196"/>
      <c r="R396" s="196"/>
      <c r="S396" s="196"/>
      <c r="T396" s="196"/>
      <c r="U396" s="196"/>
      <c r="V396" s="196"/>
      <c r="W396" s="196"/>
      <c r="X396" s="196"/>
      <c r="Y396" s="196"/>
      <c r="Z396" s="196"/>
      <c r="AA396" s="196"/>
      <c r="AB396" s="196"/>
    </row>
    <row r="397" spans="1:28" ht="12.9">
      <c r="A397" s="196"/>
      <c r="B397" s="143"/>
      <c r="C397" s="196"/>
      <c r="D397" s="196"/>
      <c r="E397" s="196"/>
      <c r="F397" s="220"/>
      <c r="G397" s="143"/>
      <c r="H397" s="196"/>
      <c r="I397" s="196"/>
      <c r="J397" s="196"/>
      <c r="K397" s="196"/>
      <c r="L397" s="196"/>
      <c r="M397" s="196"/>
      <c r="N397" s="196"/>
      <c r="O397" s="196"/>
      <c r="P397" s="196"/>
      <c r="Q397" s="196"/>
      <c r="R397" s="196"/>
      <c r="S397" s="196"/>
      <c r="T397" s="196"/>
      <c r="U397" s="196"/>
      <c r="V397" s="196"/>
      <c r="W397" s="196"/>
      <c r="X397" s="196"/>
      <c r="Y397" s="196"/>
      <c r="Z397" s="196"/>
      <c r="AA397" s="196"/>
      <c r="AB397" s="196"/>
    </row>
    <row r="398" spans="1:28" ht="12.9">
      <c r="A398" s="196"/>
      <c r="B398" s="143"/>
      <c r="C398" s="196"/>
      <c r="D398" s="196"/>
      <c r="E398" s="196"/>
      <c r="F398" s="220"/>
      <c r="G398" s="143"/>
      <c r="H398" s="196"/>
      <c r="I398" s="196"/>
      <c r="J398" s="196"/>
      <c r="K398" s="196"/>
      <c r="L398" s="196"/>
      <c r="M398" s="196"/>
      <c r="N398" s="196"/>
      <c r="O398" s="196"/>
      <c r="P398" s="196"/>
      <c r="Q398" s="196"/>
      <c r="R398" s="196"/>
      <c r="S398" s="196"/>
      <c r="T398" s="196"/>
      <c r="U398" s="196"/>
      <c r="V398" s="196"/>
      <c r="W398" s="196"/>
      <c r="X398" s="196"/>
      <c r="Y398" s="196"/>
      <c r="Z398" s="196"/>
      <c r="AA398" s="196"/>
      <c r="AB398" s="196"/>
    </row>
    <row r="399" spans="1:28" ht="12.9">
      <c r="A399" s="196"/>
      <c r="B399" s="143"/>
      <c r="C399" s="196"/>
      <c r="D399" s="196"/>
      <c r="E399" s="196"/>
      <c r="F399" s="220"/>
      <c r="G399" s="143"/>
      <c r="H399" s="196"/>
      <c r="I399" s="196"/>
      <c r="J399" s="196"/>
      <c r="K399" s="196"/>
      <c r="L399" s="196"/>
      <c r="M399" s="196"/>
      <c r="N399" s="196"/>
      <c r="O399" s="196"/>
      <c r="P399" s="196"/>
      <c r="Q399" s="196"/>
      <c r="R399" s="196"/>
      <c r="S399" s="196"/>
      <c r="T399" s="196"/>
      <c r="U399" s="196"/>
      <c r="V399" s="196"/>
      <c r="W399" s="196"/>
      <c r="X399" s="196"/>
      <c r="Y399" s="196"/>
      <c r="Z399" s="196"/>
      <c r="AA399" s="196"/>
      <c r="AB399" s="196"/>
    </row>
    <row r="400" spans="1:28" ht="12.9">
      <c r="A400" s="196"/>
      <c r="B400" s="143"/>
      <c r="C400" s="196"/>
      <c r="D400" s="196"/>
      <c r="E400" s="196"/>
      <c r="F400" s="220"/>
      <c r="G400" s="143"/>
      <c r="H400" s="196"/>
      <c r="I400" s="196"/>
      <c r="J400" s="196"/>
      <c r="K400" s="196"/>
      <c r="L400" s="196"/>
      <c r="M400" s="196"/>
      <c r="N400" s="196"/>
      <c r="O400" s="196"/>
      <c r="P400" s="196"/>
      <c r="Q400" s="196"/>
      <c r="R400" s="196"/>
      <c r="S400" s="196"/>
      <c r="T400" s="196"/>
      <c r="U400" s="196"/>
      <c r="V400" s="196"/>
      <c r="W400" s="196"/>
      <c r="X400" s="196"/>
      <c r="Y400" s="196"/>
      <c r="Z400" s="196"/>
      <c r="AA400" s="196"/>
      <c r="AB400" s="196"/>
    </row>
    <row r="401" spans="1:28" ht="12.9">
      <c r="A401" s="196"/>
      <c r="B401" s="143"/>
      <c r="C401" s="196"/>
      <c r="D401" s="196"/>
      <c r="E401" s="196"/>
      <c r="F401" s="220"/>
      <c r="G401" s="143"/>
      <c r="H401" s="196"/>
      <c r="I401" s="196"/>
      <c r="J401" s="196"/>
      <c r="K401" s="196"/>
      <c r="L401" s="196"/>
      <c r="M401" s="196"/>
      <c r="N401" s="196"/>
      <c r="O401" s="196"/>
      <c r="P401" s="196"/>
      <c r="Q401" s="196"/>
      <c r="R401" s="196"/>
      <c r="S401" s="196"/>
      <c r="T401" s="196"/>
      <c r="U401" s="196"/>
      <c r="V401" s="196"/>
      <c r="W401" s="196"/>
      <c r="X401" s="196"/>
      <c r="Y401" s="196"/>
      <c r="Z401" s="196"/>
      <c r="AA401" s="196"/>
      <c r="AB401" s="196"/>
    </row>
    <row r="402" spans="1:28" ht="12.9">
      <c r="A402" s="196"/>
      <c r="B402" s="143"/>
      <c r="C402" s="196"/>
      <c r="D402" s="196"/>
      <c r="E402" s="196"/>
      <c r="F402" s="220"/>
      <c r="G402" s="143"/>
      <c r="H402" s="196"/>
      <c r="I402" s="196"/>
      <c r="J402" s="196"/>
      <c r="K402" s="196"/>
      <c r="L402" s="196"/>
      <c r="M402" s="196"/>
      <c r="N402" s="196"/>
      <c r="O402" s="196"/>
      <c r="P402" s="196"/>
      <c r="Q402" s="196"/>
      <c r="R402" s="196"/>
      <c r="S402" s="196"/>
      <c r="T402" s="196"/>
      <c r="U402" s="196"/>
      <c r="V402" s="196"/>
      <c r="W402" s="196"/>
      <c r="X402" s="196"/>
      <c r="Y402" s="196"/>
      <c r="Z402" s="196"/>
      <c r="AA402" s="196"/>
      <c r="AB402" s="196"/>
    </row>
    <row r="403" spans="1:28" ht="12.9">
      <c r="A403" s="196"/>
      <c r="B403" s="143"/>
      <c r="C403" s="196"/>
      <c r="D403" s="196"/>
      <c r="E403" s="196"/>
      <c r="F403" s="220"/>
      <c r="G403" s="143"/>
      <c r="H403" s="196"/>
      <c r="I403" s="196"/>
      <c r="J403" s="196"/>
      <c r="K403" s="196"/>
      <c r="L403" s="196"/>
      <c r="M403" s="196"/>
      <c r="N403" s="196"/>
      <c r="O403" s="196"/>
      <c r="P403" s="196"/>
      <c r="Q403" s="196"/>
      <c r="R403" s="196"/>
      <c r="S403" s="196"/>
      <c r="T403" s="196"/>
      <c r="U403" s="196"/>
      <c r="V403" s="196"/>
      <c r="W403" s="196"/>
      <c r="X403" s="196"/>
      <c r="Y403" s="196"/>
      <c r="Z403" s="196"/>
      <c r="AA403" s="196"/>
      <c r="AB403" s="196"/>
    </row>
    <row r="404" spans="1:28" ht="12.9">
      <c r="A404" s="196"/>
      <c r="B404" s="143"/>
      <c r="C404" s="196"/>
      <c r="D404" s="196"/>
      <c r="E404" s="196"/>
      <c r="F404" s="220"/>
      <c r="G404" s="143"/>
      <c r="H404" s="196"/>
      <c r="I404" s="196"/>
      <c r="J404" s="196"/>
      <c r="K404" s="196"/>
      <c r="L404" s="196"/>
      <c r="M404" s="196"/>
      <c r="N404" s="196"/>
      <c r="O404" s="196"/>
      <c r="P404" s="196"/>
      <c r="Q404" s="196"/>
      <c r="R404" s="196"/>
      <c r="S404" s="196"/>
      <c r="T404" s="196"/>
      <c r="U404" s="196"/>
      <c r="V404" s="196"/>
      <c r="W404" s="196"/>
      <c r="X404" s="196"/>
      <c r="Y404" s="196"/>
      <c r="Z404" s="196"/>
      <c r="AA404" s="196"/>
      <c r="AB404" s="196"/>
    </row>
    <row r="405" spans="1:28" ht="12.9">
      <c r="A405" s="196"/>
      <c r="B405" s="143"/>
      <c r="C405" s="196"/>
      <c r="D405" s="196"/>
      <c r="E405" s="196"/>
      <c r="F405" s="220"/>
      <c r="G405" s="143"/>
      <c r="H405" s="196"/>
      <c r="I405" s="196"/>
      <c r="J405" s="196"/>
      <c r="K405" s="196"/>
      <c r="L405" s="196"/>
      <c r="M405" s="196"/>
      <c r="N405" s="196"/>
      <c r="O405" s="196"/>
      <c r="P405" s="196"/>
      <c r="Q405" s="196"/>
      <c r="R405" s="196"/>
      <c r="S405" s="196"/>
      <c r="T405" s="196"/>
      <c r="U405" s="196"/>
      <c r="V405" s="196"/>
      <c r="W405" s="196"/>
      <c r="X405" s="196"/>
      <c r="Y405" s="196"/>
      <c r="Z405" s="196"/>
      <c r="AA405" s="196"/>
      <c r="AB405" s="196"/>
    </row>
    <row r="406" spans="1:28" ht="12.9">
      <c r="A406" s="196"/>
      <c r="B406" s="143"/>
      <c r="C406" s="196"/>
      <c r="D406" s="196"/>
      <c r="E406" s="196"/>
      <c r="F406" s="220"/>
      <c r="G406" s="143"/>
      <c r="H406" s="196"/>
      <c r="I406" s="196"/>
      <c r="J406" s="196"/>
      <c r="K406" s="196"/>
      <c r="L406" s="196"/>
      <c r="M406" s="196"/>
      <c r="N406" s="196"/>
      <c r="O406" s="196"/>
      <c r="P406" s="196"/>
      <c r="Q406" s="196"/>
      <c r="R406" s="196"/>
      <c r="S406" s="196"/>
      <c r="T406" s="196"/>
      <c r="U406" s="196"/>
      <c r="V406" s="196"/>
      <c r="W406" s="196"/>
      <c r="X406" s="196"/>
      <c r="Y406" s="196"/>
      <c r="Z406" s="196"/>
      <c r="AA406" s="196"/>
      <c r="AB406" s="196"/>
    </row>
    <row r="407" spans="1:28" ht="12.9">
      <c r="A407" s="196"/>
      <c r="B407" s="143"/>
      <c r="C407" s="196"/>
      <c r="D407" s="196"/>
      <c r="E407" s="196"/>
      <c r="F407" s="220"/>
      <c r="G407" s="143"/>
      <c r="H407" s="196"/>
      <c r="I407" s="196"/>
      <c r="J407" s="196"/>
      <c r="K407" s="196"/>
      <c r="L407" s="196"/>
      <c r="M407" s="196"/>
      <c r="N407" s="196"/>
      <c r="O407" s="196"/>
      <c r="P407" s="196"/>
      <c r="Q407" s="196"/>
      <c r="R407" s="196"/>
      <c r="S407" s="196"/>
      <c r="T407" s="196"/>
      <c r="U407" s="196"/>
      <c r="V407" s="196"/>
      <c r="W407" s="196"/>
      <c r="X407" s="196"/>
      <c r="Y407" s="196"/>
      <c r="Z407" s="196"/>
      <c r="AA407" s="196"/>
      <c r="AB407" s="196"/>
    </row>
    <row r="408" spans="1:28" ht="12.9">
      <c r="A408" s="196"/>
      <c r="B408" s="143"/>
      <c r="C408" s="196"/>
      <c r="D408" s="196"/>
      <c r="E408" s="196"/>
      <c r="F408" s="220"/>
      <c r="G408" s="143"/>
      <c r="H408" s="196"/>
      <c r="I408" s="196"/>
      <c r="J408" s="196"/>
      <c r="K408" s="196"/>
      <c r="L408" s="196"/>
      <c r="M408" s="196"/>
      <c r="N408" s="196"/>
      <c r="O408" s="196"/>
      <c r="P408" s="196"/>
      <c r="Q408" s="196"/>
      <c r="R408" s="196"/>
      <c r="S408" s="196"/>
      <c r="T408" s="196"/>
      <c r="U408" s="196"/>
      <c r="V408" s="196"/>
      <c r="W408" s="196"/>
      <c r="X408" s="196"/>
      <c r="Y408" s="196"/>
      <c r="Z408" s="196"/>
      <c r="AA408" s="196"/>
      <c r="AB408" s="196"/>
    </row>
    <row r="409" spans="1:28" ht="12.9">
      <c r="A409" s="196"/>
      <c r="B409" s="143"/>
      <c r="C409" s="196"/>
      <c r="D409" s="196"/>
      <c r="E409" s="196"/>
      <c r="F409" s="220"/>
      <c r="G409" s="143"/>
      <c r="H409" s="196"/>
      <c r="I409" s="196"/>
      <c r="J409" s="196"/>
      <c r="K409" s="196"/>
      <c r="L409" s="196"/>
      <c r="M409" s="196"/>
      <c r="N409" s="196"/>
      <c r="O409" s="196"/>
      <c r="P409" s="196"/>
      <c r="Q409" s="196"/>
      <c r="R409" s="196"/>
      <c r="S409" s="196"/>
      <c r="T409" s="196"/>
      <c r="U409" s="196"/>
      <c r="V409" s="196"/>
      <c r="W409" s="196"/>
      <c r="X409" s="196"/>
      <c r="Y409" s="196"/>
      <c r="Z409" s="196"/>
      <c r="AA409" s="196"/>
      <c r="AB409" s="196"/>
    </row>
    <row r="410" spans="1:28" ht="12.9">
      <c r="A410" s="196"/>
      <c r="B410" s="143"/>
      <c r="C410" s="196"/>
      <c r="D410" s="196"/>
      <c r="E410" s="196"/>
      <c r="F410" s="220"/>
      <c r="G410" s="143"/>
      <c r="H410" s="196"/>
      <c r="I410" s="196"/>
      <c r="J410" s="196"/>
      <c r="K410" s="196"/>
      <c r="L410" s="196"/>
      <c r="M410" s="196"/>
      <c r="N410" s="196"/>
      <c r="O410" s="196"/>
      <c r="P410" s="196"/>
      <c r="Q410" s="196"/>
      <c r="R410" s="196"/>
      <c r="S410" s="196"/>
      <c r="T410" s="196"/>
      <c r="U410" s="196"/>
      <c r="V410" s="196"/>
      <c r="W410" s="196"/>
      <c r="X410" s="196"/>
      <c r="Y410" s="196"/>
      <c r="Z410" s="196"/>
      <c r="AA410" s="196"/>
      <c r="AB410" s="196"/>
    </row>
    <row r="411" spans="1:28" ht="12.9">
      <c r="A411" s="196"/>
      <c r="B411" s="143"/>
      <c r="C411" s="196"/>
      <c r="D411" s="196"/>
      <c r="E411" s="196"/>
      <c r="F411" s="220"/>
      <c r="G411" s="143"/>
      <c r="H411" s="196"/>
      <c r="I411" s="196"/>
      <c r="J411" s="196"/>
      <c r="K411" s="196"/>
      <c r="L411" s="196"/>
      <c r="M411" s="196"/>
      <c r="N411" s="196"/>
      <c r="O411" s="196"/>
      <c r="P411" s="196"/>
      <c r="Q411" s="196"/>
      <c r="R411" s="196"/>
      <c r="S411" s="196"/>
      <c r="T411" s="196"/>
      <c r="U411" s="196"/>
      <c r="V411" s="196"/>
      <c r="W411" s="196"/>
      <c r="X411" s="196"/>
      <c r="Y411" s="196"/>
      <c r="Z411" s="196"/>
      <c r="AA411" s="196"/>
      <c r="AB411" s="196"/>
    </row>
    <row r="412" spans="1:28" ht="12.9">
      <c r="A412" s="196"/>
      <c r="B412" s="143"/>
      <c r="C412" s="196"/>
      <c r="D412" s="196"/>
      <c r="E412" s="196"/>
      <c r="F412" s="220"/>
      <c r="G412" s="143"/>
      <c r="H412" s="196"/>
      <c r="I412" s="196"/>
      <c r="J412" s="196"/>
      <c r="K412" s="196"/>
      <c r="L412" s="196"/>
      <c r="M412" s="196"/>
      <c r="N412" s="196"/>
      <c r="O412" s="196"/>
      <c r="P412" s="196"/>
      <c r="Q412" s="196"/>
      <c r="R412" s="196"/>
      <c r="S412" s="196"/>
      <c r="T412" s="196"/>
      <c r="U412" s="196"/>
      <c r="V412" s="196"/>
      <c r="W412" s="196"/>
      <c r="X412" s="196"/>
      <c r="Y412" s="196"/>
      <c r="Z412" s="196"/>
      <c r="AA412" s="196"/>
      <c r="AB412" s="196"/>
    </row>
    <row r="413" spans="1:28" ht="12.9">
      <c r="A413" s="196"/>
      <c r="B413" s="143"/>
      <c r="C413" s="196"/>
      <c r="D413" s="196"/>
      <c r="E413" s="196"/>
      <c r="F413" s="220"/>
      <c r="G413" s="143"/>
      <c r="H413" s="196"/>
      <c r="I413" s="196"/>
      <c r="J413" s="196"/>
      <c r="K413" s="196"/>
      <c r="L413" s="196"/>
      <c r="M413" s="196"/>
      <c r="N413" s="196"/>
      <c r="O413" s="196"/>
      <c r="P413" s="196"/>
      <c r="Q413" s="196"/>
      <c r="R413" s="196"/>
      <c r="S413" s="196"/>
      <c r="T413" s="196"/>
      <c r="U413" s="196"/>
      <c r="V413" s="196"/>
      <c r="W413" s="196"/>
      <c r="X413" s="196"/>
      <c r="Y413" s="196"/>
      <c r="Z413" s="196"/>
      <c r="AA413" s="196"/>
      <c r="AB413" s="196"/>
    </row>
    <row r="414" spans="1:28" ht="12.9">
      <c r="A414" s="196"/>
      <c r="B414" s="143"/>
      <c r="C414" s="196"/>
      <c r="D414" s="196"/>
      <c r="E414" s="196"/>
      <c r="F414" s="220"/>
      <c r="G414" s="143"/>
      <c r="H414" s="196"/>
      <c r="I414" s="196"/>
      <c r="J414" s="196"/>
      <c r="K414" s="196"/>
      <c r="L414" s="196"/>
      <c r="M414" s="196"/>
      <c r="N414" s="196"/>
      <c r="O414" s="196"/>
      <c r="P414" s="196"/>
      <c r="Q414" s="196"/>
      <c r="R414" s="196"/>
      <c r="S414" s="196"/>
      <c r="T414" s="196"/>
      <c r="U414" s="196"/>
      <c r="V414" s="196"/>
      <c r="W414" s="196"/>
      <c r="X414" s="196"/>
      <c r="Y414" s="196"/>
      <c r="Z414" s="196"/>
      <c r="AA414" s="196"/>
      <c r="AB414" s="196"/>
    </row>
    <row r="415" spans="1:28" ht="12.9">
      <c r="A415" s="196"/>
      <c r="B415" s="143"/>
      <c r="C415" s="196"/>
      <c r="D415" s="196"/>
      <c r="E415" s="196"/>
      <c r="F415" s="220"/>
      <c r="G415" s="143"/>
      <c r="H415" s="196"/>
      <c r="I415" s="196"/>
      <c r="J415" s="196"/>
      <c r="K415" s="196"/>
      <c r="L415" s="196"/>
      <c r="M415" s="196"/>
      <c r="N415" s="196"/>
      <c r="O415" s="196"/>
      <c r="P415" s="196"/>
      <c r="Q415" s="196"/>
      <c r="R415" s="196"/>
      <c r="S415" s="196"/>
      <c r="T415" s="196"/>
      <c r="U415" s="196"/>
      <c r="V415" s="196"/>
      <c r="W415" s="196"/>
      <c r="X415" s="196"/>
      <c r="Y415" s="196"/>
      <c r="Z415" s="196"/>
      <c r="AA415" s="196"/>
      <c r="AB415" s="196"/>
    </row>
    <row r="416" spans="1:28" ht="12.9">
      <c r="A416" s="196"/>
      <c r="B416" s="143"/>
      <c r="C416" s="196"/>
      <c r="D416" s="196"/>
      <c r="E416" s="196"/>
      <c r="F416" s="220"/>
      <c r="G416" s="143"/>
      <c r="H416" s="196"/>
      <c r="I416" s="196"/>
      <c r="J416" s="196"/>
      <c r="K416" s="196"/>
      <c r="L416" s="196"/>
      <c r="M416" s="196"/>
      <c r="N416" s="196"/>
      <c r="O416" s="196"/>
      <c r="P416" s="196"/>
      <c r="Q416" s="196"/>
      <c r="R416" s="196"/>
      <c r="S416" s="196"/>
      <c r="T416" s="196"/>
      <c r="U416" s="196"/>
      <c r="V416" s="196"/>
      <c r="W416" s="196"/>
      <c r="X416" s="196"/>
      <c r="Y416" s="196"/>
      <c r="Z416" s="196"/>
      <c r="AA416" s="196"/>
      <c r="AB416" s="196"/>
    </row>
    <row r="417" spans="1:28" ht="12.9">
      <c r="A417" s="196"/>
      <c r="B417" s="143"/>
      <c r="C417" s="196"/>
      <c r="D417" s="196"/>
      <c r="E417" s="196"/>
      <c r="F417" s="220"/>
      <c r="G417" s="143"/>
      <c r="H417" s="196"/>
      <c r="I417" s="196"/>
      <c r="J417" s="196"/>
      <c r="K417" s="196"/>
      <c r="L417" s="196"/>
      <c r="M417" s="196"/>
      <c r="N417" s="196"/>
      <c r="O417" s="196"/>
      <c r="P417" s="196"/>
      <c r="Q417" s="196"/>
      <c r="R417" s="196"/>
      <c r="S417" s="196"/>
      <c r="T417" s="196"/>
      <c r="U417" s="196"/>
      <c r="V417" s="196"/>
      <c r="W417" s="196"/>
      <c r="X417" s="196"/>
      <c r="Y417" s="196"/>
      <c r="Z417" s="196"/>
      <c r="AA417" s="196"/>
      <c r="AB417" s="196"/>
    </row>
    <row r="418" spans="1:28" ht="12.9">
      <c r="A418" s="196"/>
      <c r="B418" s="143"/>
      <c r="C418" s="196"/>
      <c r="D418" s="196"/>
      <c r="E418" s="196"/>
      <c r="F418" s="220"/>
      <c r="G418" s="143"/>
      <c r="H418" s="196"/>
      <c r="I418" s="196"/>
      <c r="J418" s="196"/>
      <c r="K418" s="196"/>
      <c r="L418" s="196"/>
      <c r="M418" s="196"/>
      <c r="N418" s="196"/>
      <c r="O418" s="196"/>
      <c r="P418" s="196"/>
      <c r="Q418" s="196"/>
      <c r="R418" s="196"/>
      <c r="S418" s="196"/>
      <c r="T418" s="196"/>
      <c r="U418" s="196"/>
      <c r="V418" s="196"/>
      <c r="W418" s="196"/>
      <c r="X418" s="196"/>
      <c r="Y418" s="196"/>
      <c r="Z418" s="196"/>
      <c r="AA418" s="196"/>
      <c r="AB418" s="196"/>
    </row>
    <row r="419" spans="1:28" ht="12.9">
      <c r="A419" s="196"/>
      <c r="B419" s="143"/>
      <c r="C419" s="196"/>
      <c r="D419" s="196"/>
      <c r="E419" s="196"/>
      <c r="F419" s="220"/>
      <c r="G419" s="143"/>
      <c r="H419" s="196"/>
      <c r="I419" s="196"/>
      <c r="J419" s="196"/>
      <c r="K419" s="196"/>
      <c r="L419" s="196"/>
      <c r="M419" s="196"/>
      <c r="N419" s="196"/>
      <c r="O419" s="196"/>
      <c r="P419" s="196"/>
      <c r="Q419" s="196"/>
      <c r="R419" s="196"/>
      <c r="S419" s="196"/>
      <c r="T419" s="196"/>
      <c r="U419" s="196"/>
      <c r="V419" s="196"/>
      <c r="W419" s="196"/>
      <c r="X419" s="196"/>
      <c r="Y419" s="196"/>
      <c r="Z419" s="196"/>
      <c r="AA419" s="196"/>
      <c r="AB419" s="196"/>
    </row>
    <row r="420" spans="1:28" ht="12.9">
      <c r="A420" s="196"/>
      <c r="B420" s="143"/>
      <c r="C420" s="196"/>
      <c r="D420" s="196"/>
      <c r="E420" s="196"/>
      <c r="F420" s="220"/>
      <c r="G420" s="143"/>
      <c r="H420" s="196"/>
      <c r="I420" s="196"/>
      <c r="J420" s="196"/>
      <c r="K420" s="196"/>
      <c r="L420" s="196"/>
      <c r="M420" s="196"/>
      <c r="N420" s="196"/>
      <c r="O420" s="196"/>
      <c r="P420" s="196"/>
      <c r="Q420" s="196"/>
      <c r="R420" s="196"/>
      <c r="S420" s="196"/>
      <c r="T420" s="196"/>
      <c r="U420" s="196"/>
      <c r="V420" s="196"/>
      <c r="W420" s="196"/>
      <c r="X420" s="196"/>
      <c r="Y420" s="196"/>
      <c r="Z420" s="196"/>
      <c r="AA420" s="196"/>
      <c r="AB420" s="196"/>
    </row>
    <row r="421" spans="1:28" ht="12.9">
      <c r="A421" s="196"/>
      <c r="B421" s="143"/>
      <c r="C421" s="196"/>
      <c r="D421" s="196"/>
      <c r="E421" s="196"/>
      <c r="F421" s="220"/>
      <c r="G421" s="143"/>
      <c r="H421" s="196"/>
      <c r="I421" s="196"/>
      <c r="J421" s="196"/>
      <c r="K421" s="196"/>
      <c r="L421" s="196"/>
      <c r="M421" s="196"/>
      <c r="N421" s="196"/>
      <c r="O421" s="196"/>
      <c r="P421" s="196"/>
      <c r="Q421" s="196"/>
      <c r="R421" s="196"/>
      <c r="S421" s="196"/>
      <c r="T421" s="196"/>
      <c r="U421" s="196"/>
      <c r="V421" s="196"/>
      <c r="W421" s="196"/>
      <c r="X421" s="196"/>
      <c r="Y421" s="196"/>
      <c r="Z421" s="196"/>
      <c r="AA421" s="196"/>
      <c r="AB421" s="196"/>
    </row>
    <row r="422" spans="1:28" ht="12.9">
      <c r="A422" s="196"/>
      <c r="B422" s="143"/>
      <c r="C422" s="196"/>
      <c r="D422" s="196"/>
      <c r="E422" s="196"/>
      <c r="F422" s="220"/>
      <c r="G422" s="143"/>
      <c r="H422" s="196"/>
      <c r="I422" s="196"/>
      <c r="J422" s="196"/>
      <c r="K422" s="196"/>
      <c r="L422" s="196"/>
      <c r="M422" s="196"/>
      <c r="N422" s="196"/>
      <c r="O422" s="196"/>
      <c r="P422" s="196"/>
      <c r="Q422" s="196"/>
      <c r="R422" s="196"/>
      <c r="S422" s="196"/>
      <c r="T422" s="196"/>
      <c r="U422" s="196"/>
      <c r="V422" s="196"/>
      <c r="W422" s="196"/>
      <c r="X422" s="196"/>
      <c r="Y422" s="196"/>
      <c r="Z422" s="196"/>
      <c r="AA422" s="196"/>
      <c r="AB422" s="196"/>
    </row>
    <row r="423" spans="1:28" ht="12.9">
      <c r="A423" s="196"/>
      <c r="B423" s="143"/>
      <c r="C423" s="196"/>
      <c r="D423" s="196"/>
      <c r="E423" s="196"/>
      <c r="F423" s="220"/>
      <c r="G423" s="143"/>
      <c r="H423" s="196"/>
      <c r="I423" s="196"/>
      <c r="J423" s="196"/>
      <c r="K423" s="196"/>
      <c r="L423" s="196"/>
      <c r="M423" s="196"/>
      <c r="N423" s="196"/>
      <c r="O423" s="196"/>
      <c r="P423" s="196"/>
      <c r="Q423" s="196"/>
      <c r="R423" s="196"/>
      <c r="S423" s="196"/>
      <c r="T423" s="196"/>
      <c r="U423" s="196"/>
      <c r="V423" s="196"/>
      <c r="W423" s="196"/>
      <c r="X423" s="196"/>
      <c r="Y423" s="196"/>
      <c r="Z423" s="196"/>
      <c r="AA423" s="196"/>
      <c r="AB423" s="196"/>
    </row>
    <row r="424" spans="1:28" ht="12.9">
      <c r="A424" s="196"/>
      <c r="B424" s="143"/>
      <c r="C424" s="196"/>
      <c r="D424" s="196"/>
      <c r="E424" s="196"/>
      <c r="F424" s="220"/>
      <c r="G424" s="143"/>
      <c r="H424" s="196"/>
      <c r="I424" s="196"/>
      <c r="J424" s="196"/>
      <c r="K424" s="196"/>
      <c r="L424" s="196"/>
      <c r="M424" s="196"/>
      <c r="N424" s="196"/>
      <c r="O424" s="196"/>
      <c r="P424" s="196"/>
      <c r="Q424" s="196"/>
      <c r="R424" s="196"/>
      <c r="S424" s="196"/>
      <c r="T424" s="196"/>
      <c r="U424" s="196"/>
      <c r="V424" s="196"/>
      <c r="W424" s="196"/>
      <c r="X424" s="196"/>
      <c r="Y424" s="196"/>
      <c r="Z424" s="196"/>
      <c r="AA424" s="196"/>
      <c r="AB424" s="196"/>
    </row>
    <row r="425" spans="1:28" ht="12.9">
      <c r="A425" s="196"/>
      <c r="B425" s="143"/>
      <c r="C425" s="196"/>
      <c r="D425" s="196"/>
      <c r="E425" s="196"/>
      <c r="F425" s="220"/>
      <c r="G425" s="143"/>
      <c r="H425" s="196"/>
      <c r="I425" s="196"/>
      <c r="J425" s="196"/>
      <c r="K425" s="196"/>
      <c r="L425" s="196"/>
      <c r="M425" s="196"/>
      <c r="N425" s="196"/>
      <c r="O425" s="196"/>
      <c r="P425" s="196"/>
      <c r="Q425" s="196"/>
      <c r="R425" s="196"/>
      <c r="S425" s="196"/>
      <c r="T425" s="196"/>
      <c r="U425" s="196"/>
      <c r="V425" s="196"/>
      <c r="W425" s="196"/>
      <c r="X425" s="196"/>
      <c r="Y425" s="196"/>
      <c r="Z425" s="196"/>
      <c r="AA425" s="196"/>
      <c r="AB425" s="196"/>
    </row>
    <row r="426" spans="1:28" ht="12.9">
      <c r="A426" s="196"/>
      <c r="B426" s="143"/>
      <c r="C426" s="196"/>
      <c r="D426" s="196"/>
      <c r="E426" s="196"/>
      <c r="F426" s="220"/>
      <c r="G426" s="143"/>
      <c r="H426" s="196"/>
      <c r="I426" s="196"/>
      <c r="J426" s="196"/>
      <c r="K426" s="196"/>
      <c r="L426" s="196"/>
      <c r="M426" s="196"/>
      <c r="N426" s="196"/>
      <c r="O426" s="196"/>
      <c r="P426" s="196"/>
      <c r="Q426" s="196"/>
      <c r="R426" s="196"/>
      <c r="S426" s="196"/>
      <c r="T426" s="196"/>
      <c r="U426" s="196"/>
      <c r="V426" s="196"/>
      <c r="W426" s="196"/>
      <c r="X426" s="196"/>
      <c r="Y426" s="196"/>
      <c r="Z426" s="196"/>
      <c r="AA426" s="196"/>
      <c r="AB426" s="196"/>
    </row>
    <row r="427" spans="1:28" ht="12.9">
      <c r="A427" s="196"/>
      <c r="B427" s="143"/>
      <c r="C427" s="196"/>
      <c r="D427" s="196"/>
      <c r="E427" s="196"/>
      <c r="F427" s="220"/>
      <c r="G427" s="143"/>
      <c r="H427" s="196"/>
      <c r="I427" s="196"/>
      <c r="J427" s="196"/>
      <c r="K427" s="196"/>
      <c r="L427" s="196"/>
      <c r="M427" s="196"/>
      <c r="N427" s="196"/>
      <c r="O427" s="196"/>
      <c r="P427" s="196"/>
      <c r="Q427" s="196"/>
      <c r="R427" s="196"/>
      <c r="S427" s="196"/>
      <c r="T427" s="196"/>
      <c r="U427" s="196"/>
      <c r="V427" s="196"/>
      <c r="W427" s="196"/>
      <c r="X427" s="196"/>
      <c r="Y427" s="196"/>
      <c r="Z427" s="196"/>
      <c r="AA427" s="196"/>
      <c r="AB427" s="196"/>
    </row>
    <row r="428" spans="1:28" ht="12.9">
      <c r="A428" s="196"/>
      <c r="B428" s="143"/>
      <c r="C428" s="196"/>
      <c r="D428" s="196"/>
      <c r="E428" s="196"/>
      <c r="F428" s="220"/>
      <c r="G428" s="143"/>
      <c r="H428" s="196"/>
      <c r="I428" s="196"/>
      <c r="J428" s="196"/>
      <c r="K428" s="196"/>
      <c r="L428" s="196"/>
      <c r="M428" s="196"/>
      <c r="N428" s="196"/>
      <c r="O428" s="196"/>
      <c r="P428" s="196"/>
      <c r="Q428" s="196"/>
      <c r="R428" s="196"/>
      <c r="S428" s="196"/>
      <c r="T428" s="196"/>
      <c r="U428" s="196"/>
      <c r="V428" s="196"/>
      <c r="W428" s="196"/>
      <c r="X428" s="196"/>
      <c r="Y428" s="196"/>
      <c r="Z428" s="196"/>
      <c r="AA428" s="196"/>
      <c r="AB428" s="196"/>
    </row>
    <row r="429" spans="1:28" ht="12.9">
      <c r="A429" s="196"/>
      <c r="B429" s="143"/>
      <c r="C429" s="196"/>
      <c r="D429" s="196"/>
      <c r="E429" s="196"/>
      <c r="F429" s="220"/>
      <c r="G429" s="143"/>
      <c r="H429" s="196"/>
      <c r="I429" s="196"/>
      <c r="J429" s="196"/>
      <c r="K429" s="196"/>
      <c r="L429" s="196"/>
      <c r="M429" s="196"/>
      <c r="N429" s="196"/>
      <c r="O429" s="196"/>
      <c r="P429" s="196"/>
      <c r="Q429" s="196"/>
      <c r="R429" s="196"/>
      <c r="S429" s="196"/>
      <c r="T429" s="196"/>
      <c r="U429" s="196"/>
      <c r="V429" s="196"/>
      <c r="W429" s="196"/>
      <c r="X429" s="196"/>
      <c r="Y429" s="196"/>
      <c r="Z429" s="196"/>
      <c r="AA429" s="196"/>
      <c r="AB429" s="196"/>
    </row>
    <row r="430" spans="1:28" ht="12.9">
      <c r="A430" s="196"/>
      <c r="B430" s="143"/>
      <c r="C430" s="196"/>
      <c r="D430" s="196"/>
      <c r="E430" s="196"/>
      <c r="F430" s="220"/>
      <c r="G430" s="143"/>
      <c r="H430" s="196"/>
      <c r="I430" s="196"/>
      <c r="J430" s="196"/>
      <c r="K430" s="196"/>
      <c r="L430" s="196"/>
      <c r="M430" s="196"/>
      <c r="N430" s="196"/>
      <c r="O430" s="196"/>
      <c r="P430" s="196"/>
      <c r="Q430" s="196"/>
      <c r="R430" s="196"/>
      <c r="S430" s="196"/>
      <c r="T430" s="196"/>
      <c r="U430" s="196"/>
      <c r="V430" s="196"/>
      <c r="W430" s="196"/>
      <c r="X430" s="196"/>
      <c r="Y430" s="196"/>
      <c r="Z430" s="196"/>
      <c r="AA430" s="196"/>
      <c r="AB430" s="196"/>
    </row>
    <row r="431" spans="1:28" ht="12.9">
      <c r="A431" s="196"/>
      <c r="B431" s="143"/>
      <c r="C431" s="196"/>
      <c r="D431" s="196"/>
      <c r="E431" s="196"/>
      <c r="F431" s="220"/>
      <c r="G431" s="143"/>
      <c r="H431" s="196"/>
      <c r="I431" s="196"/>
      <c r="J431" s="196"/>
      <c r="K431" s="196"/>
      <c r="L431" s="196"/>
      <c r="M431" s="196"/>
      <c r="N431" s="196"/>
      <c r="O431" s="196"/>
      <c r="P431" s="196"/>
      <c r="Q431" s="196"/>
      <c r="R431" s="196"/>
      <c r="S431" s="196"/>
      <c r="T431" s="196"/>
      <c r="U431" s="196"/>
      <c r="V431" s="196"/>
      <c r="W431" s="196"/>
      <c r="X431" s="196"/>
      <c r="Y431" s="196"/>
      <c r="Z431" s="196"/>
      <c r="AA431" s="196"/>
      <c r="AB431" s="196"/>
    </row>
    <row r="432" spans="1:28" ht="12.9">
      <c r="A432" s="196"/>
      <c r="B432" s="143"/>
      <c r="C432" s="196"/>
      <c r="D432" s="196"/>
      <c r="E432" s="196"/>
      <c r="F432" s="220"/>
      <c r="G432" s="143"/>
      <c r="H432" s="196"/>
      <c r="I432" s="196"/>
      <c r="J432" s="196"/>
      <c r="K432" s="196"/>
      <c r="L432" s="196"/>
      <c r="M432" s="196"/>
      <c r="N432" s="196"/>
      <c r="O432" s="196"/>
      <c r="P432" s="196"/>
      <c r="Q432" s="196"/>
      <c r="R432" s="196"/>
      <c r="S432" s="196"/>
      <c r="T432" s="196"/>
      <c r="U432" s="196"/>
      <c r="V432" s="196"/>
      <c r="W432" s="196"/>
      <c r="X432" s="196"/>
      <c r="Y432" s="196"/>
      <c r="Z432" s="196"/>
      <c r="AA432" s="196"/>
      <c r="AB432" s="196"/>
    </row>
    <row r="433" spans="1:28" ht="12.9">
      <c r="A433" s="196"/>
      <c r="B433" s="143"/>
      <c r="C433" s="196"/>
      <c r="D433" s="196"/>
      <c r="E433" s="196"/>
      <c r="F433" s="220"/>
      <c r="G433" s="143"/>
      <c r="H433" s="196"/>
      <c r="I433" s="196"/>
      <c r="J433" s="196"/>
      <c r="K433" s="196"/>
      <c r="L433" s="196"/>
      <c r="M433" s="196"/>
      <c r="N433" s="196"/>
      <c r="O433" s="196"/>
      <c r="P433" s="196"/>
      <c r="Q433" s="196"/>
      <c r="R433" s="196"/>
      <c r="S433" s="196"/>
      <c r="T433" s="196"/>
      <c r="U433" s="196"/>
      <c r="V433" s="196"/>
      <c r="W433" s="196"/>
      <c r="X433" s="196"/>
      <c r="Y433" s="196"/>
      <c r="Z433" s="196"/>
      <c r="AA433" s="196"/>
      <c r="AB433" s="196"/>
    </row>
    <row r="434" spans="1:28" ht="12.9">
      <c r="A434" s="196"/>
      <c r="B434" s="143"/>
      <c r="C434" s="196"/>
      <c r="D434" s="196"/>
      <c r="E434" s="196"/>
      <c r="F434" s="220"/>
      <c r="G434" s="143"/>
      <c r="H434" s="196"/>
      <c r="I434" s="196"/>
      <c r="J434" s="196"/>
      <c r="K434" s="196"/>
      <c r="L434" s="196"/>
      <c r="M434" s="196"/>
      <c r="N434" s="196"/>
      <c r="O434" s="196"/>
      <c r="P434" s="196"/>
      <c r="Q434" s="196"/>
      <c r="R434" s="196"/>
      <c r="S434" s="196"/>
      <c r="T434" s="196"/>
      <c r="U434" s="196"/>
      <c r="V434" s="196"/>
      <c r="W434" s="196"/>
      <c r="X434" s="196"/>
      <c r="Y434" s="196"/>
      <c r="Z434" s="196"/>
      <c r="AA434" s="196"/>
      <c r="AB434" s="196"/>
    </row>
    <row r="435" spans="1:28" ht="12.9">
      <c r="A435" s="196"/>
      <c r="B435" s="143"/>
      <c r="C435" s="196"/>
      <c r="D435" s="196"/>
      <c r="E435" s="196"/>
      <c r="F435" s="220"/>
      <c r="G435" s="143"/>
      <c r="H435" s="196"/>
      <c r="I435" s="196"/>
      <c r="J435" s="196"/>
      <c r="K435" s="196"/>
      <c r="L435" s="196"/>
      <c r="M435" s="196"/>
      <c r="N435" s="196"/>
      <c r="O435" s="196"/>
      <c r="P435" s="196"/>
      <c r="Q435" s="196"/>
      <c r="R435" s="196"/>
      <c r="S435" s="196"/>
      <c r="T435" s="196"/>
      <c r="U435" s="196"/>
      <c r="V435" s="196"/>
      <c r="W435" s="196"/>
      <c r="X435" s="196"/>
      <c r="Y435" s="196"/>
      <c r="Z435" s="196"/>
      <c r="AA435" s="196"/>
      <c r="AB435" s="196"/>
    </row>
    <row r="436" spans="1:28" ht="12.9">
      <c r="A436" s="196"/>
      <c r="B436" s="143"/>
      <c r="C436" s="196"/>
      <c r="D436" s="196"/>
      <c r="E436" s="196"/>
      <c r="F436" s="220"/>
      <c r="G436" s="143"/>
      <c r="H436" s="196"/>
      <c r="I436" s="196"/>
      <c r="J436" s="196"/>
      <c r="K436" s="196"/>
      <c r="L436" s="196"/>
      <c r="M436" s="196"/>
      <c r="N436" s="196"/>
      <c r="O436" s="196"/>
      <c r="P436" s="196"/>
      <c r="Q436" s="196"/>
      <c r="R436" s="196"/>
      <c r="S436" s="196"/>
      <c r="T436" s="196"/>
      <c r="U436" s="196"/>
      <c r="V436" s="196"/>
      <c r="W436" s="196"/>
      <c r="X436" s="196"/>
      <c r="Y436" s="196"/>
      <c r="Z436" s="196"/>
      <c r="AA436" s="196"/>
      <c r="AB436" s="196"/>
    </row>
    <row r="437" spans="1:28" ht="12.9">
      <c r="A437" s="196"/>
      <c r="B437" s="143"/>
      <c r="C437" s="196"/>
      <c r="D437" s="196"/>
      <c r="E437" s="196"/>
      <c r="F437" s="220"/>
      <c r="G437" s="143"/>
      <c r="H437" s="196"/>
      <c r="I437" s="196"/>
      <c r="J437" s="196"/>
      <c r="K437" s="196"/>
      <c r="L437" s="196"/>
      <c r="M437" s="196"/>
      <c r="N437" s="196"/>
      <c r="O437" s="196"/>
      <c r="P437" s="196"/>
      <c r="Q437" s="196"/>
      <c r="R437" s="196"/>
      <c r="S437" s="196"/>
      <c r="T437" s="196"/>
      <c r="U437" s="196"/>
      <c r="V437" s="196"/>
      <c r="W437" s="196"/>
      <c r="X437" s="196"/>
      <c r="Y437" s="196"/>
      <c r="Z437" s="196"/>
      <c r="AA437" s="196"/>
      <c r="AB437" s="196"/>
    </row>
    <row r="438" spans="1:28" ht="12.9">
      <c r="A438" s="196"/>
      <c r="B438" s="143"/>
      <c r="C438" s="196"/>
      <c r="D438" s="196"/>
      <c r="E438" s="196"/>
      <c r="F438" s="220"/>
      <c r="G438" s="143"/>
      <c r="H438" s="196"/>
      <c r="I438" s="196"/>
      <c r="J438" s="196"/>
      <c r="K438" s="196"/>
      <c r="L438" s="196"/>
      <c r="M438" s="196"/>
      <c r="N438" s="196"/>
      <c r="O438" s="196"/>
      <c r="P438" s="196"/>
      <c r="Q438" s="196"/>
      <c r="R438" s="196"/>
      <c r="S438" s="196"/>
      <c r="T438" s="196"/>
      <c r="U438" s="196"/>
      <c r="V438" s="196"/>
      <c r="W438" s="196"/>
      <c r="X438" s="196"/>
      <c r="Y438" s="196"/>
      <c r="Z438" s="196"/>
      <c r="AA438" s="196"/>
      <c r="AB438" s="196"/>
    </row>
    <row r="439" spans="1:28" ht="12.9">
      <c r="A439" s="196"/>
      <c r="B439" s="143"/>
      <c r="C439" s="196"/>
      <c r="D439" s="196"/>
      <c r="E439" s="196"/>
      <c r="F439" s="220"/>
      <c r="G439" s="143"/>
      <c r="H439" s="196"/>
      <c r="I439" s="196"/>
      <c r="J439" s="196"/>
      <c r="K439" s="196"/>
      <c r="L439" s="196"/>
      <c r="M439" s="196"/>
      <c r="N439" s="196"/>
      <c r="O439" s="196"/>
      <c r="P439" s="196"/>
      <c r="Q439" s="196"/>
      <c r="R439" s="196"/>
      <c r="S439" s="196"/>
      <c r="T439" s="196"/>
      <c r="U439" s="196"/>
      <c r="V439" s="196"/>
      <c r="W439" s="196"/>
      <c r="X439" s="196"/>
      <c r="Y439" s="196"/>
      <c r="Z439" s="196"/>
      <c r="AA439" s="196"/>
      <c r="AB439" s="196"/>
    </row>
    <row r="440" spans="1:28" ht="12.9">
      <c r="A440" s="196"/>
      <c r="B440" s="143"/>
      <c r="C440" s="196"/>
      <c r="D440" s="196"/>
      <c r="E440" s="196"/>
      <c r="F440" s="220"/>
      <c r="G440" s="143"/>
      <c r="H440" s="196"/>
      <c r="I440" s="196"/>
      <c r="J440" s="196"/>
      <c r="K440" s="196"/>
      <c r="L440" s="196"/>
      <c r="M440" s="196"/>
      <c r="N440" s="196"/>
      <c r="O440" s="196"/>
      <c r="P440" s="196"/>
      <c r="Q440" s="196"/>
      <c r="R440" s="196"/>
      <c r="S440" s="196"/>
      <c r="T440" s="196"/>
      <c r="U440" s="196"/>
      <c r="V440" s="196"/>
      <c r="W440" s="196"/>
      <c r="X440" s="196"/>
      <c r="Y440" s="196"/>
      <c r="Z440" s="196"/>
      <c r="AA440" s="196"/>
      <c r="AB440" s="196"/>
    </row>
    <row r="441" spans="1:28" ht="12.9">
      <c r="A441" s="196"/>
      <c r="B441" s="143"/>
      <c r="C441" s="196"/>
      <c r="D441" s="196"/>
      <c r="E441" s="196"/>
      <c r="F441" s="220"/>
      <c r="G441" s="143"/>
      <c r="H441" s="196"/>
      <c r="I441" s="196"/>
      <c r="J441" s="196"/>
      <c r="K441" s="196"/>
      <c r="L441" s="196"/>
      <c r="M441" s="196"/>
      <c r="N441" s="196"/>
      <c r="O441" s="196"/>
      <c r="P441" s="196"/>
      <c r="Q441" s="196"/>
      <c r="R441" s="196"/>
      <c r="S441" s="196"/>
      <c r="T441" s="196"/>
      <c r="U441" s="196"/>
      <c r="V441" s="196"/>
      <c r="W441" s="196"/>
      <c r="X441" s="196"/>
      <c r="Y441" s="196"/>
      <c r="Z441" s="196"/>
      <c r="AA441" s="196"/>
      <c r="AB441" s="196"/>
    </row>
    <row r="442" spans="1:28" ht="12.9">
      <c r="A442" s="196"/>
      <c r="B442" s="143"/>
      <c r="C442" s="196"/>
      <c r="D442" s="196"/>
      <c r="E442" s="196"/>
      <c r="F442" s="220"/>
      <c r="G442" s="143"/>
      <c r="H442" s="196"/>
      <c r="I442" s="196"/>
      <c r="J442" s="196"/>
      <c r="K442" s="196"/>
      <c r="L442" s="196"/>
      <c r="M442" s="196"/>
      <c r="N442" s="196"/>
      <c r="O442" s="196"/>
      <c r="P442" s="196"/>
      <c r="Q442" s="196"/>
      <c r="R442" s="196"/>
      <c r="S442" s="196"/>
      <c r="T442" s="196"/>
      <c r="U442" s="196"/>
      <c r="V442" s="196"/>
      <c r="W442" s="196"/>
      <c r="X442" s="196"/>
      <c r="Y442" s="196"/>
      <c r="Z442" s="196"/>
      <c r="AA442" s="196"/>
      <c r="AB442" s="196"/>
    </row>
    <row r="443" spans="1:28" ht="12.9">
      <c r="A443" s="196"/>
      <c r="B443" s="143"/>
      <c r="C443" s="196"/>
      <c r="D443" s="196"/>
      <c r="E443" s="196"/>
      <c r="F443" s="220"/>
      <c r="G443" s="143"/>
      <c r="H443" s="196"/>
      <c r="I443" s="196"/>
      <c r="J443" s="196"/>
      <c r="K443" s="196"/>
      <c r="L443" s="196"/>
      <c r="M443" s="196"/>
      <c r="N443" s="196"/>
      <c r="O443" s="196"/>
      <c r="P443" s="196"/>
      <c r="Q443" s="196"/>
      <c r="R443" s="196"/>
      <c r="S443" s="196"/>
      <c r="T443" s="196"/>
      <c r="U443" s="196"/>
      <c r="V443" s="196"/>
      <c r="W443" s="196"/>
      <c r="X443" s="196"/>
      <c r="Y443" s="196"/>
      <c r="Z443" s="196"/>
      <c r="AA443" s="196"/>
      <c r="AB443" s="196"/>
    </row>
    <row r="444" spans="1:28" ht="12.9">
      <c r="A444" s="196"/>
      <c r="B444" s="143"/>
      <c r="C444" s="196"/>
      <c r="D444" s="196"/>
      <c r="E444" s="196"/>
      <c r="F444" s="220"/>
      <c r="G444" s="143"/>
      <c r="H444" s="196"/>
      <c r="I444" s="196"/>
      <c r="J444" s="196"/>
      <c r="K444" s="196"/>
      <c r="L444" s="196"/>
      <c r="M444" s="196"/>
      <c r="N444" s="196"/>
      <c r="O444" s="196"/>
      <c r="P444" s="196"/>
      <c r="Q444" s="196"/>
      <c r="R444" s="196"/>
      <c r="S444" s="196"/>
      <c r="T444" s="196"/>
      <c r="U444" s="196"/>
      <c r="V444" s="196"/>
      <c r="W444" s="196"/>
      <c r="X444" s="196"/>
      <c r="Y444" s="196"/>
      <c r="Z444" s="196"/>
      <c r="AA444" s="196"/>
      <c r="AB444" s="196"/>
    </row>
    <row r="445" spans="1:28" ht="12.9">
      <c r="A445" s="196"/>
      <c r="B445" s="143"/>
      <c r="C445" s="196"/>
      <c r="D445" s="196"/>
      <c r="E445" s="196"/>
      <c r="F445" s="220"/>
      <c r="G445" s="143"/>
      <c r="H445" s="196"/>
      <c r="I445" s="196"/>
      <c r="J445" s="196"/>
      <c r="K445" s="196"/>
      <c r="L445" s="196"/>
      <c r="M445" s="196"/>
      <c r="N445" s="196"/>
      <c r="O445" s="196"/>
      <c r="P445" s="196"/>
      <c r="Q445" s="196"/>
      <c r="R445" s="196"/>
      <c r="S445" s="196"/>
      <c r="T445" s="196"/>
      <c r="U445" s="196"/>
      <c r="V445" s="196"/>
      <c r="W445" s="196"/>
      <c r="X445" s="196"/>
      <c r="Y445" s="196"/>
      <c r="Z445" s="196"/>
      <c r="AA445" s="196"/>
      <c r="AB445" s="196"/>
    </row>
    <row r="446" spans="1:28" ht="12.9">
      <c r="A446" s="196"/>
      <c r="B446" s="143"/>
      <c r="C446" s="196"/>
      <c r="D446" s="196"/>
      <c r="E446" s="196"/>
      <c r="F446" s="220"/>
      <c r="G446" s="143"/>
      <c r="H446" s="196"/>
      <c r="I446" s="196"/>
      <c r="J446" s="196"/>
      <c r="K446" s="196"/>
      <c r="L446" s="196"/>
      <c r="M446" s="196"/>
      <c r="N446" s="196"/>
      <c r="O446" s="196"/>
      <c r="P446" s="196"/>
      <c r="Q446" s="196"/>
      <c r="R446" s="196"/>
      <c r="S446" s="196"/>
      <c r="T446" s="196"/>
      <c r="U446" s="196"/>
      <c r="V446" s="196"/>
      <c r="W446" s="196"/>
      <c r="X446" s="196"/>
      <c r="Y446" s="196"/>
      <c r="Z446" s="196"/>
      <c r="AA446" s="196"/>
      <c r="AB446" s="196"/>
    </row>
    <row r="447" spans="1:28" ht="12.9">
      <c r="A447" s="196"/>
      <c r="B447" s="143"/>
      <c r="C447" s="196"/>
      <c r="D447" s="196"/>
      <c r="E447" s="196"/>
      <c r="F447" s="220"/>
      <c r="G447" s="143"/>
      <c r="H447" s="196"/>
      <c r="I447" s="196"/>
      <c r="J447" s="196"/>
      <c r="K447" s="196"/>
      <c r="L447" s="196"/>
      <c r="M447" s="196"/>
      <c r="N447" s="196"/>
      <c r="O447" s="196"/>
      <c r="P447" s="196"/>
      <c r="Q447" s="196"/>
      <c r="R447" s="196"/>
      <c r="S447" s="196"/>
      <c r="T447" s="196"/>
      <c r="U447" s="196"/>
      <c r="V447" s="196"/>
      <c r="W447" s="196"/>
      <c r="X447" s="196"/>
      <c r="Y447" s="196"/>
      <c r="Z447" s="196"/>
      <c r="AA447" s="196"/>
      <c r="AB447" s="196"/>
    </row>
    <row r="448" spans="1:28" ht="12.9">
      <c r="A448" s="196"/>
      <c r="B448" s="143"/>
      <c r="C448" s="196"/>
      <c r="D448" s="196"/>
      <c r="E448" s="196"/>
      <c r="F448" s="220"/>
      <c r="G448" s="143"/>
      <c r="H448" s="196"/>
      <c r="I448" s="196"/>
      <c r="J448" s="196"/>
      <c r="K448" s="196"/>
      <c r="L448" s="196"/>
      <c r="M448" s="196"/>
      <c r="N448" s="196"/>
      <c r="O448" s="196"/>
      <c r="P448" s="196"/>
      <c r="Q448" s="196"/>
      <c r="R448" s="196"/>
      <c r="S448" s="196"/>
      <c r="T448" s="196"/>
      <c r="U448" s="196"/>
      <c r="V448" s="196"/>
      <c r="W448" s="196"/>
      <c r="X448" s="196"/>
      <c r="Y448" s="196"/>
      <c r="Z448" s="196"/>
      <c r="AA448" s="196"/>
      <c r="AB448" s="196"/>
    </row>
    <row r="449" spans="1:28" ht="12.9">
      <c r="A449" s="196"/>
      <c r="B449" s="143"/>
      <c r="C449" s="196"/>
      <c r="D449" s="196"/>
      <c r="E449" s="196"/>
      <c r="F449" s="220"/>
      <c r="G449" s="143"/>
      <c r="H449" s="196"/>
      <c r="I449" s="196"/>
      <c r="J449" s="196"/>
      <c r="K449" s="196"/>
      <c r="L449" s="196"/>
      <c r="M449" s="196"/>
      <c r="N449" s="196"/>
      <c r="O449" s="196"/>
      <c r="P449" s="196"/>
      <c r="Q449" s="196"/>
      <c r="R449" s="196"/>
      <c r="S449" s="196"/>
      <c r="T449" s="196"/>
      <c r="U449" s="196"/>
      <c r="V449" s="196"/>
      <c r="W449" s="196"/>
      <c r="X449" s="196"/>
      <c r="Y449" s="196"/>
      <c r="Z449" s="196"/>
      <c r="AA449" s="196"/>
      <c r="AB449" s="196"/>
    </row>
    <row r="450" spans="1:28" ht="12.9">
      <c r="A450" s="196"/>
      <c r="B450" s="143"/>
      <c r="C450" s="196"/>
      <c r="D450" s="196"/>
      <c r="E450" s="196"/>
      <c r="F450" s="220"/>
      <c r="G450" s="143"/>
      <c r="H450" s="196"/>
      <c r="I450" s="196"/>
      <c r="J450" s="196"/>
      <c r="K450" s="196"/>
      <c r="L450" s="196"/>
      <c r="M450" s="196"/>
      <c r="N450" s="196"/>
      <c r="O450" s="196"/>
      <c r="P450" s="196"/>
      <c r="Q450" s="196"/>
      <c r="R450" s="196"/>
      <c r="S450" s="196"/>
      <c r="T450" s="196"/>
      <c r="U450" s="196"/>
      <c r="V450" s="196"/>
      <c r="W450" s="196"/>
      <c r="X450" s="196"/>
      <c r="Y450" s="196"/>
      <c r="Z450" s="196"/>
      <c r="AA450" s="196"/>
      <c r="AB450" s="196"/>
    </row>
    <row r="451" spans="1:28" ht="12.9">
      <c r="A451" s="196"/>
      <c r="B451" s="143"/>
      <c r="C451" s="196"/>
      <c r="D451" s="196"/>
      <c r="E451" s="196"/>
      <c r="F451" s="220"/>
      <c r="G451" s="143"/>
      <c r="H451" s="196"/>
      <c r="I451" s="196"/>
      <c r="J451" s="196"/>
      <c r="K451" s="196"/>
      <c r="L451" s="196"/>
      <c r="M451" s="196"/>
      <c r="N451" s="196"/>
      <c r="O451" s="196"/>
      <c r="P451" s="196"/>
      <c r="Q451" s="196"/>
      <c r="R451" s="196"/>
      <c r="S451" s="196"/>
      <c r="T451" s="196"/>
      <c r="U451" s="196"/>
      <c r="V451" s="196"/>
      <c r="W451" s="196"/>
      <c r="X451" s="196"/>
      <c r="Y451" s="196"/>
      <c r="Z451" s="196"/>
      <c r="AA451" s="196"/>
      <c r="AB451" s="196"/>
    </row>
    <row r="452" spans="1:28" ht="12.9">
      <c r="A452" s="196"/>
      <c r="B452" s="143"/>
      <c r="C452" s="196"/>
      <c r="D452" s="196"/>
      <c r="E452" s="196"/>
      <c r="F452" s="220"/>
      <c r="G452" s="143"/>
      <c r="H452" s="196"/>
      <c r="I452" s="196"/>
      <c r="J452" s="196"/>
      <c r="K452" s="196"/>
      <c r="L452" s="196"/>
      <c r="M452" s="196"/>
      <c r="N452" s="196"/>
      <c r="O452" s="196"/>
      <c r="P452" s="196"/>
      <c r="Q452" s="196"/>
      <c r="R452" s="196"/>
      <c r="S452" s="196"/>
      <c r="T452" s="196"/>
      <c r="U452" s="196"/>
      <c r="V452" s="196"/>
      <c r="W452" s="196"/>
      <c r="X452" s="196"/>
      <c r="Y452" s="196"/>
      <c r="Z452" s="196"/>
      <c r="AA452" s="196"/>
      <c r="AB452" s="196"/>
    </row>
    <row r="453" spans="1:28" ht="12.9">
      <c r="A453" s="196"/>
      <c r="B453" s="143"/>
      <c r="C453" s="196"/>
      <c r="D453" s="196"/>
      <c r="E453" s="196"/>
      <c r="F453" s="220"/>
      <c r="G453" s="143"/>
      <c r="H453" s="196"/>
      <c r="I453" s="196"/>
      <c r="J453" s="196"/>
      <c r="K453" s="196"/>
      <c r="L453" s="196"/>
      <c r="M453" s="196"/>
      <c r="N453" s="196"/>
      <c r="O453" s="196"/>
      <c r="P453" s="196"/>
      <c r="Q453" s="196"/>
      <c r="R453" s="196"/>
      <c r="S453" s="196"/>
      <c r="T453" s="196"/>
      <c r="U453" s="196"/>
      <c r="V453" s="196"/>
      <c r="W453" s="196"/>
      <c r="X453" s="196"/>
      <c r="Y453" s="196"/>
      <c r="Z453" s="196"/>
      <c r="AA453" s="196"/>
      <c r="AB453" s="196"/>
    </row>
    <row r="454" spans="1:28" ht="12.9">
      <c r="A454" s="196"/>
      <c r="B454" s="143"/>
      <c r="C454" s="196"/>
      <c r="D454" s="196"/>
      <c r="E454" s="196"/>
      <c r="F454" s="220"/>
      <c r="G454" s="143"/>
      <c r="H454" s="196"/>
      <c r="I454" s="196"/>
      <c r="J454" s="196"/>
      <c r="K454" s="196"/>
      <c r="L454" s="196"/>
      <c r="M454" s="196"/>
      <c r="N454" s="196"/>
      <c r="O454" s="196"/>
      <c r="P454" s="196"/>
      <c r="Q454" s="196"/>
      <c r="R454" s="196"/>
      <c r="S454" s="196"/>
      <c r="T454" s="196"/>
      <c r="U454" s="196"/>
      <c r="V454" s="196"/>
      <c r="W454" s="196"/>
      <c r="X454" s="196"/>
      <c r="Y454" s="196"/>
      <c r="Z454" s="196"/>
      <c r="AA454" s="196"/>
      <c r="AB454" s="196"/>
    </row>
    <row r="455" spans="1:28" ht="12.9">
      <c r="A455" s="196"/>
      <c r="B455" s="143"/>
      <c r="C455" s="196"/>
      <c r="D455" s="196"/>
      <c r="E455" s="196"/>
      <c r="F455" s="220"/>
      <c r="G455" s="143"/>
      <c r="H455" s="196"/>
      <c r="I455" s="196"/>
      <c r="J455" s="196"/>
      <c r="K455" s="196"/>
      <c r="L455" s="196"/>
      <c r="M455" s="196"/>
      <c r="N455" s="196"/>
      <c r="O455" s="196"/>
      <c r="P455" s="196"/>
      <c r="Q455" s="196"/>
      <c r="R455" s="196"/>
      <c r="S455" s="196"/>
      <c r="T455" s="196"/>
      <c r="U455" s="196"/>
      <c r="V455" s="196"/>
      <c r="W455" s="196"/>
      <c r="X455" s="196"/>
      <c r="Y455" s="196"/>
      <c r="Z455" s="196"/>
      <c r="AA455" s="196"/>
      <c r="AB455" s="196"/>
    </row>
    <row r="456" spans="1:28" ht="12.9">
      <c r="A456" s="196"/>
      <c r="B456" s="143"/>
      <c r="C456" s="196"/>
      <c r="D456" s="196"/>
      <c r="E456" s="196"/>
      <c r="F456" s="220"/>
      <c r="G456" s="143"/>
      <c r="H456" s="196"/>
      <c r="I456" s="196"/>
      <c r="J456" s="196"/>
      <c r="K456" s="196"/>
      <c r="L456" s="196"/>
      <c r="M456" s="196"/>
      <c r="N456" s="196"/>
      <c r="O456" s="196"/>
      <c r="P456" s="196"/>
      <c r="Q456" s="196"/>
      <c r="R456" s="196"/>
      <c r="S456" s="196"/>
      <c r="T456" s="196"/>
      <c r="U456" s="196"/>
      <c r="V456" s="196"/>
      <c r="W456" s="196"/>
      <c r="X456" s="196"/>
      <c r="Y456" s="196"/>
      <c r="Z456" s="196"/>
      <c r="AA456" s="196"/>
      <c r="AB456" s="196"/>
    </row>
    <row r="457" spans="1:28" ht="12.9">
      <c r="A457" s="196"/>
      <c r="B457" s="143"/>
      <c r="C457" s="196"/>
      <c r="D457" s="196"/>
      <c r="E457" s="196"/>
      <c r="F457" s="220"/>
      <c r="G457" s="143"/>
      <c r="H457" s="196"/>
      <c r="I457" s="196"/>
      <c r="J457" s="196"/>
      <c r="K457" s="196"/>
      <c r="L457" s="196"/>
      <c r="M457" s="196"/>
      <c r="N457" s="196"/>
      <c r="O457" s="196"/>
      <c r="P457" s="196"/>
      <c r="Q457" s="196"/>
      <c r="R457" s="196"/>
      <c r="S457" s="196"/>
      <c r="T457" s="196"/>
      <c r="U457" s="196"/>
      <c r="V457" s="196"/>
      <c r="W457" s="196"/>
      <c r="X457" s="196"/>
      <c r="Y457" s="196"/>
      <c r="Z457" s="196"/>
      <c r="AA457" s="196"/>
      <c r="AB457" s="196"/>
    </row>
    <row r="458" spans="1:28" ht="12.9">
      <c r="A458" s="196"/>
      <c r="B458" s="143"/>
      <c r="C458" s="196"/>
      <c r="D458" s="196"/>
      <c r="E458" s="196"/>
      <c r="F458" s="220"/>
      <c r="G458" s="143"/>
      <c r="H458" s="196"/>
      <c r="I458" s="196"/>
      <c r="J458" s="196"/>
      <c r="K458" s="196"/>
      <c r="L458" s="196"/>
      <c r="M458" s="196"/>
      <c r="N458" s="196"/>
      <c r="O458" s="196"/>
      <c r="P458" s="196"/>
      <c r="Q458" s="196"/>
      <c r="R458" s="196"/>
      <c r="S458" s="196"/>
      <c r="T458" s="196"/>
      <c r="U458" s="196"/>
      <c r="V458" s="196"/>
      <c r="W458" s="196"/>
      <c r="X458" s="196"/>
      <c r="Y458" s="196"/>
      <c r="Z458" s="196"/>
      <c r="AA458" s="196"/>
      <c r="AB458" s="196"/>
    </row>
    <row r="459" spans="1:28" ht="12.9">
      <c r="A459" s="196"/>
      <c r="B459" s="143"/>
      <c r="C459" s="196"/>
      <c r="D459" s="196"/>
      <c r="E459" s="196"/>
      <c r="F459" s="220"/>
      <c r="G459" s="143"/>
      <c r="H459" s="196"/>
      <c r="I459" s="196"/>
      <c r="J459" s="196"/>
      <c r="K459" s="196"/>
      <c r="L459" s="196"/>
      <c r="M459" s="196"/>
      <c r="N459" s="196"/>
      <c r="O459" s="196"/>
      <c r="P459" s="196"/>
      <c r="Q459" s="196"/>
      <c r="R459" s="196"/>
      <c r="S459" s="196"/>
      <c r="T459" s="196"/>
      <c r="U459" s="196"/>
      <c r="V459" s="196"/>
      <c r="W459" s="196"/>
      <c r="X459" s="196"/>
      <c r="Y459" s="196"/>
      <c r="Z459" s="196"/>
      <c r="AA459" s="196"/>
      <c r="AB459" s="196"/>
    </row>
    <row r="460" spans="1:28" ht="12.9">
      <c r="A460" s="196"/>
      <c r="B460" s="143"/>
      <c r="C460" s="196"/>
      <c r="D460" s="196"/>
      <c r="E460" s="196"/>
      <c r="F460" s="220"/>
      <c r="G460" s="143"/>
      <c r="H460" s="196"/>
      <c r="I460" s="196"/>
      <c r="J460" s="196"/>
      <c r="K460" s="196"/>
      <c r="L460" s="196"/>
      <c r="M460" s="196"/>
      <c r="N460" s="196"/>
      <c r="O460" s="196"/>
      <c r="P460" s="196"/>
      <c r="Q460" s="196"/>
      <c r="R460" s="196"/>
      <c r="S460" s="196"/>
      <c r="T460" s="196"/>
      <c r="U460" s="196"/>
      <c r="V460" s="196"/>
      <c r="W460" s="196"/>
      <c r="X460" s="196"/>
      <c r="Y460" s="196"/>
      <c r="Z460" s="196"/>
      <c r="AA460" s="196"/>
      <c r="AB460" s="196"/>
    </row>
    <row r="461" spans="1:28" ht="12.9">
      <c r="A461" s="196"/>
      <c r="B461" s="143"/>
      <c r="C461" s="196"/>
      <c r="D461" s="196"/>
      <c r="E461" s="196"/>
      <c r="F461" s="220"/>
      <c r="G461" s="143"/>
      <c r="H461" s="196"/>
      <c r="I461" s="196"/>
      <c r="J461" s="196"/>
      <c r="K461" s="196"/>
      <c r="L461" s="196"/>
      <c r="M461" s="196"/>
      <c r="N461" s="196"/>
      <c r="O461" s="196"/>
      <c r="P461" s="196"/>
      <c r="Q461" s="196"/>
      <c r="R461" s="196"/>
      <c r="S461" s="196"/>
      <c r="T461" s="196"/>
      <c r="U461" s="196"/>
      <c r="V461" s="196"/>
      <c r="W461" s="196"/>
      <c r="X461" s="196"/>
      <c r="Y461" s="196"/>
      <c r="Z461" s="196"/>
      <c r="AA461" s="196"/>
      <c r="AB461" s="196"/>
    </row>
    <row r="462" spans="1:28" ht="12.9">
      <c r="A462" s="196"/>
      <c r="B462" s="143"/>
      <c r="C462" s="196"/>
      <c r="D462" s="196"/>
      <c r="E462" s="196"/>
      <c r="F462" s="220"/>
      <c r="G462" s="143"/>
      <c r="H462" s="196"/>
      <c r="I462" s="196"/>
      <c r="J462" s="196"/>
      <c r="K462" s="196"/>
      <c r="L462" s="196"/>
      <c r="M462" s="196"/>
      <c r="N462" s="196"/>
      <c r="O462" s="196"/>
      <c r="P462" s="196"/>
      <c r="Q462" s="196"/>
      <c r="R462" s="196"/>
      <c r="S462" s="196"/>
      <c r="T462" s="196"/>
      <c r="U462" s="196"/>
      <c r="V462" s="196"/>
      <c r="W462" s="196"/>
      <c r="X462" s="196"/>
      <c r="Y462" s="196"/>
      <c r="Z462" s="196"/>
      <c r="AA462" s="196"/>
      <c r="AB462" s="196"/>
    </row>
    <row r="463" spans="1:28" ht="12.9">
      <c r="A463" s="196"/>
      <c r="B463" s="143"/>
      <c r="C463" s="196"/>
      <c r="D463" s="196"/>
      <c r="E463" s="196"/>
      <c r="F463" s="220"/>
      <c r="G463" s="143"/>
      <c r="H463" s="196"/>
      <c r="I463" s="196"/>
      <c r="J463" s="196"/>
      <c r="K463" s="196"/>
      <c r="L463" s="196"/>
      <c r="M463" s="196"/>
      <c r="N463" s="196"/>
      <c r="O463" s="196"/>
      <c r="P463" s="196"/>
      <c r="Q463" s="196"/>
      <c r="R463" s="196"/>
      <c r="S463" s="196"/>
      <c r="T463" s="196"/>
      <c r="U463" s="196"/>
      <c r="V463" s="196"/>
      <c r="W463" s="196"/>
      <c r="X463" s="196"/>
      <c r="Y463" s="196"/>
      <c r="Z463" s="196"/>
      <c r="AA463" s="196"/>
      <c r="AB463" s="196"/>
    </row>
    <row r="464" spans="1:28" ht="12.9">
      <c r="A464" s="196"/>
      <c r="B464" s="143"/>
      <c r="C464" s="196"/>
      <c r="D464" s="196"/>
      <c r="E464" s="196"/>
      <c r="F464" s="220"/>
      <c r="G464" s="143"/>
      <c r="H464" s="196"/>
      <c r="I464" s="196"/>
      <c r="J464" s="196"/>
      <c r="K464" s="196"/>
      <c r="L464" s="196"/>
      <c r="M464" s="196"/>
      <c r="N464" s="196"/>
      <c r="O464" s="196"/>
      <c r="P464" s="196"/>
      <c r="Q464" s="196"/>
      <c r="R464" s="196"/>
      <c r="S464" s="196"/>
      <c r="T464" s="196"/>
      <c r="U464" s="196"/>
      <c r="V464" s="196"/>
      <c r="W464" s="196"/>
      <c r="X464" s="196"/>
      <c r="Y464" s="196"/>
      <c r="Z464" s="196"/>
      <c r="AA464" s="196"/>
      <c r="AB464" s="196"/>
    </row>
    <row r="465" spans="1:28" ht="12.9">
      <c r="A465" s="196"/>
      <c r="B465" s="143"/>
      <c r="C465" s="196"/>
      <c r="D465" s="196"/>
      <c r="E465" s="196"/>
      <c r="F465" s="220"/>
      <c r="G465" s="143"/>
      <c r="H465" s="196"/>
      <c r="I465" s="196"/>
      <c r="J465" s="196"/>
      <c r="K465" s="196"/>
      <c r="L465" s="196"/>
      <c r="M465" s="196"/>
      <c r="N465" s="196"/>
      <c r="O465" s="196"/>
      <c r="P465" s="196"/>
      <c r="Q465" s="196"/>
      <c r="R465" s="196"/>
      <c r="S465" s="196"/>
      <c r="T465" s="196"/>
      <c r="U465" s="196"/>
      <c r="V465" s="196"/>
      <c r="W465" s="196"/>
      <c r="X465" s="196"/>
      <c r="Y465" s="196"/>
      <c r="Z465" s="196"/>
      <c r="AA465" s="196"/>
      <c r="AB465" s="196"/>
    </row>
    <row r="466" spans="1:28" ht="12.9">
      <c r="A466" s="196"/>
      <c r="B466" s="143"/>
      <c r="C466" s="196"/>
      <c r="D466" s="196"/>
      <c r="E466" s="196"/>
      <c r="F466" s="220"/>
      <c r="G466" s="143"/>
      <c r="H466" s="196"/>
      <c r="I466" s="196"/>
      <c r="J466" s="196"/>
      <c r="K466" s="196"/>
      <c r="L466" s="196"/>
      <c r="M466" s="196"/>
      <c r="N466" s="196"/>
      <c r="O466" s="196"/>
      <c r="P466" s="196"/>
      <c r="Q466" s="196"/>
      <c r="R466" s="196"/>
      <c r="S466" s="196"/>
      <c r="T466" s="196"/>
      <c r="U466" s="196"/>
      <c r="V466" s="196"/>
      <c r="W466" s="196"/>
      <c r="X466" s="196"/>
      <c r="Y466" s="196"/>
      <c r="Z466" s="196"/>
      <c r="AA466" s="196"/>
      <c r="AB466" s="196"/>
    </row>
    <row r="467" spans="1:28" ht="12.9">
      <c r="A467" s="196"/>
      <c r="B467" s="143"/>
      <c r="C467" s="196"/>
      <c r="D467" s="196"/>
      <c r="E467" s="196"/>
      <c r="F467" s="220"/>
      <c r="G467" s="143"/>
      <c r="H467" s="196"/>
      <c r="I467" s="196"/>
      <c r="J467" s="196"/>
      <c r="K467" s="196"/>
      <c r="L467" s="196"/>
      <c r="M467" s="196"/>
      <c r="N467" s="196"/>
      <c r="O467" s="196"/>
      <c r="P467" s="196"/>
      <c r="Q467" s="196"/>
      <c r="R467" s="196"/>
      <c r="S467" s="196"/>
      <c r="T467" s="196"/>
      <c r="U467" s="196"/>
      <c r="V467" s="196"/>
      <c r="W467" s="196"/>
      <c r="X467" s="196"/>
      <c r="Y467" s="196"/>
      <c r="Z467" s="196"/>
      <c r="AA467" s="196"/>
      <c r="AB467" s="196"/>
    </row>
    <row r="468" spans="1:28" ht="12.9">
      <c r="A468" s="196"/>
      <c r="B468" s="143"/>
      <c r="C468" s="196"/>
      <c r="D468" s="196"/>
      <c r="E468" s="196"/>
      <c r="F468" s="220"/>
      <c r="G468" s="143"/>
      <c r="H468" s="196"/>
      <c r="I468" s="196"/>
      <c r="J468" s="196"/>
      <c r="K468" s="196"/>
      <c r="L468" s="196"/>
      <c r="M468" s="196"/>
      <c r="N468" s="196"/>
      <c r="O468" s="196"/>
      <c r="P468" s="196"/>
      <c r="Q468" s="196"/>
      <c r="R468" s="196"/>
      <c r="S468" s="196"/>
      <c r="T468" s="196"/>
      <c r="U468" s="196"/>
      <c r="V468" s="196"/>
      <c r="W468" s="196"/>
      <c r="X468" s="196"/>
      <c r="Y468" s="196"/>
      <c r="Z468" s="196"/>
      <c r="AA468" s="196"/>
      <c r="AB468" s="196"/>
    </row>
    <row r="469" spans="1:28" ht="12.9">
      <c r="A469" s="196"/>
      <c r="B469" s="143"/>
      <c r="C469" s="196"/>
      <c r="D469" s="196"/>
      <c r="E469" s="196"/>
      <c r="F469" s="220"/>
      <c r="G469" s="143"/>
      <c r="H469" s="196"/>
      <c r="I469" s="196"/>
      <c r="J469" s="196"/>
      <c r="K469" s="196"/>
      <c r="L469" s="196"/>
      <c r="M469" s="196"/>
      <c r="N469" s="196"/>
      <c r="O469" s="196"/>
      <c r="P469" s="196"/>
      <c r="Q469" s="196"/>
      <c r="R469" s="196"/>
      <c r="S469" s="196"/>
      <c r="T469" s="196"/>
      <c r="U469" s="196"/>
      <c r="V469" s="196"/>
      <c r="W469" s="196"/>
      <c r="X469" s="196"/>
      <c r="Y469" s="196"/>
      <c r="Z469" s="196"/>
      <c r="AA469" s="196"/>
      <c r="AB469" s="196"/>
    </row>
    <row r="470" spans="1:28" ht="12.9">
      <c r="A470" s="196"/>
      <c r="B470" s="143"/>
      <c r="C470" s="196"/>
      <c r="D470" s="196"/>
      <c r="E470" s="196"/>
      <c r="F470" s="220"/>
      <c r="G470" s="143"/>
      <c r="H470" s="196"/>
      <c r="I470" s="196"/>
      <c r="J470" s="196"/>
      <c r="K470" s="196"/>
      <c r="L470" s="196"/>
      <c r="M470" s="196"/>
      <c r="N470" s="196"/>
      <c r="O470" s="196"/>
      <c r="P470" s="196"/>
      <c r="Q470" s="196"/>
      <c r="R470" s="196"/>
      <c r="S470" s="196"/>
      <c r="T470" s="196"/>
      <c r="U470" s="196"/>
      <c r="V470" s="196"/>
      <c r="W470" s="196"/>
      <c r="X470" s="196"/>
      <c r="Y470" s="196"/>
      <c r="Z470" s="196"/>
      <c r="AA470" s="196"/>
      <c r="AB470" s="196"/>
    </row>
    <row r="471" spans="1:28" ht="12.9">
      <c r="A471" s="196"/>
      <c r="B471" s="143"/>
      <c r="C471" s="196"/>
      <c r="D471" s="196"/>
      <c r="E471" s="196"/>
      <c r="F471" s="220"/>
      <c r="G471" s="143"/>
      <c r="H471" s="196"/>
      <c r="I471" s="196"/>
      <c r="J471" s="196"/>
      <c r="K471" s="196"/>
      <c r="L471" s="196"/>
      <c r="M471" s="196"/>
      <c r="N471" s="196"/>
      <c r="O471" s="196"/>
      <c r="P471" s="196"/>
      <c r="Q471" s="196"/>
      <c r="R471" s="196"/>
      <c r="S471" s="196"/>
      <c r="T471" s="196"/>
      <c r="U471" s="196"/>
      <c r="V471" s="196"/>
      <c r="W471" s="196"/>
      <c r="X471" s="196"/>
      <c r="Y471" s="196"/>
      <c r="Z471" s="196"/>
      <c r="AA471" s="196"/>
      <c r="AB471" s="196"/>
    </row>
    <row r="472" spans="1:28" ht="12.9">
      <c r="A472" s="196"/>
      <c r="B472" s="143"/>
      <c r="C472" s="196"/>
      <c r="D472" s="196"/>
      <c r="E472" s="196"/>
      <c r="F472" s="220"/>
      <c r="G472" s="143"/>
      <c r="H472" s="196"/>
      <c r="I472" s="196"/>
      <c r="J472" s="196"/>
      <c r="K472" s="196"/>
      <c r="L472" s="196"/>
      <c r="M472" s="196"/>
      <c r="N472" s="196"/>
      <c r="O472" s="196"/>
      <c r="P472" s="196"/>
      <c r="Q472" s="196"/>
      <c r="R472" s="196"/>
      <c r="S472" s="196"/>
      <c r="T472" s="196"/>
      <c r="U472" s="196"/>
      <c r="V472" s="196"/>
      <c r="W472" s="196"/>
      <c r="X472" s="196"/>
      <c r="Y472" s="196"/>
      <c r="Z472" s="196"/>
      <c r="AA472" s="196"/>
      <c r="AB472" s="196"/>
    </row>
    <row r="473" spans="1:28" ht="12.9">
      <c r="A473" s="196"/>
      <c r="B473" s="143"/>
      <c r="C473" s="196"/>
      <c r="D473" s="196"/>
      <c r="E473" s="196"/>
      <c r="F473" s="220"/>
      <c r="G473" s="143"/>
      <c r="H473" s="196"/>
      <c r="I473" s="196"/>
      <c r="J473" s="196"/>
      <c r="K473" s="196"/>
      <c r="L473" s="196"/>
      <c r="M473" s="196"/>
      <c r="N473" s="196"/>
      <c r="O473" s="196"/>
      <c r="P473" s="196"/>
      <c r="Q473" s="196"/>
      <c r="R473" s="196"/>
      <c r="S473" s="196"/>
      <c r="T473" s="196"/>
      <c r="U473" s="196"/>
      <c r="V473" s="196"/>
      <c r="W473" s="196"/>
      <c r="X473" s="196"/>
      <c r="Y473" s="196"/>
      <c r="Z473" s="196"/>
      <c r="AA473" s="196"/>
      <c r="AB473" s="196"/>
    </row>
    <row r="474" spans="1:28" ht="12.9">
      <c r="A474" s="196"/>
      <c r="B474" s="143"/>
      <c r="C474" s="196"/>
      <c r="D474" s="196"/>
      <c r="E474" s="196"/>
      <c r="F474" s="220"/>
      <c r="G474" s="143"/>
      <c r="H474" s="196"/>
      <c r="I474" s="196"/>
      <c r="J474" s="196"/>
      <c r="K474" s="196"/>
      <c r="L474" s="196"/>
      <c r="M474" s="196"/>
      <c r="N474" s="196"/>
      <c r="O474" s="196"/>
      <c r="P474" s="196"/>
      <c r="Q474" s="196"/>
      <c r="R474" s="196"/>
      <c r="S474" s="196"/>
      <c r="T474" s="196"/>
      <c r="U474" s="196"/>
      <c r="V474" s="196"/>
      <c r="W474" s="196"/>
      <c r="X474" s="196"/>
      <c r="Y474" s="196"/>
      <c r="Z474" s="196"/>
      <c r="AA474" s="196"/>
      <c r="AB474" s="196"/>
    </row>
    <row r="475" spans="1:28" ht="12.9">
      <c r="A475" s="196"/>
      <c r="B475" s="143"/>
      <c r="C475" s="196"/>
      <c r="D475" s="196"/>
      <c r="E475" s="196"/>
      <c r="F475" s="220"/>
      <c r="G475" s="143"/>
      <c r="H475" s="196"/>
      <c r="I475" s="196"/>
      <c r="J475" s="196"/>
      <c r="K475" s="196"/>
      <c r="L475" s="196"/>
      <c r="M475" s="196"/>
      <c r="N475" s="196"/>
      <c r="O475" s="196"/>
      <c r="P475" s="196"/>
      <c r="Q475" s="196"/>
      <c r="R475" s="196"/>
      <c r="S475" s="196"/>
      <c r="T475" s="196"/>
      <c r="U475" s="196"/>
      <c r="V475" s="196"/>
      <c r="W475" s="196"/>
      <c r="X475" s="196"/>
      <c r="Y475" s="196"/>
      <c r="Z475" s="196"/>
      <c r="AA475" s="196"/>
      <c r="AB475" s="196"/>
    </row>
    <row r="476" spans="1:28" ht="12.9">
      <c r="A476" s="196"/>
      <c r="B476" s="143"/>
      <c r="C476" s="196"/>
      <c r="D476" s="196"/>
      <c r="E476" s="196"/>
      <c r="F476" s="220"/>
      <c r="G476" s="143"/>
      <c r="H476" s="196"/>
      <c r="I476" s="196"/>
      <c r="J476" s="196"/>
      <c r="K476" s="196"/>
      <c r="L476" s="196"/>
      <c r="M476" s="196"/>
      <c r="N476" s="196"/>
      <c r="O476" s="196"/>
      <c r="P476" s="196"/>
      <c r="Q476" s="196"/>
      <c r="R476" s="196"/>
      <c r="S476" s="196"/>
      <c r="T476" s="196"/>
      <c r="U476" s="196"/>
      <c r="V476" s="196"/>
      <c r="W476" s="196"/>
      <c r="X476" s="196"/>
      <c r="Y476" s="196"/>
      <c r="Z476" s="196"/>
      <c r="AA476" s="196"/>
      <c r="AB476" s="196"/>
    </row>
    <row r="477" spans="1:28" ht="12.9">
      <c r="A477" s="196"/>
      <c r="B477" s="143"/>
      <c r="C477" s="196"/>
      <c r="D477" s="196"/>
      <c r="E477" s="196"/>
      <c r="F477" s="220"/>
      <c r="G477" s="143"/>
      <c r="H477" s="196"/>
      <c r="I477" s="196"/>
      <c r="J477" s="196"/>
      <c r="K477" s="196"/>
      <c r="L477" s="196"/>
      <c r="M477" s="196"/>
      <c r="N477" s="196"/>
      <c r="O477" s="196"/>
      <c r="P477" s="196"/>
      <c r="Q477" s="196"/>
      <c r="R477" s="196"/>
      <c r="S477" s="196"/>
      <c r="T477" s="196"/>
      <c r="U477" s="196"/>
      <c r="V477" s="196"/>
      <c r="W477" s="196"/>
      <c r="X477" s="196"/>
      <c r="Y477" s="196"/>
      <c r="Z477" s="196"/>
      <c r="AA477" s="196"/>
      <c r="AB477" s="196"/>
    </row>
    <row r="478" spans="1:28" ht="12.9">
      <c r="A478" s="196"/>
      <c r="B478" s="143"/>
      <c r="C478" s="196"/>
      <c r="D478" s="196"/>
      <c r="E478" s="196"/>
      <c r="F478" s="220"/>
      <c r="G478" s="143"/>
      <c r="H478" s="196"/>
      <c r="I478" s="196"/>
      <c r="J478" s="196"/>
      <c r="K478" s="196"/>
      <c r="L478" s="196"/>
      <c r="M478" s="196"/>
      <c r="N478" s="196"/>
      <c r="O478" s="196"/>
      <c r="P478" s="196"/>
      <c r="Q478" s="196"/>
      <c r="R478" s="196"/>
      <c r="S478" s="196"/>
      <c r="T478" s="196"/>
      <c r="U478" s="196"/>
      <c r="V478" s="196"/>
      <c r="W478" s="196"/>
      <c r="X478" s="196"/>
      <c r="Y478" s="196"/>
      <c r="Z478" s="196"/>
      <c r="AA478" s="196"/>
      <c r="AB478" s="196"/>
    </row>
    <row r="479" spans="1:28" ht="12.9">
      <c r="A479" s="196"/>
      <c r="B479" s="143"/>
      <c r="C479" s="196"/>
      <c r="D479" s="196"/>
      <c r="E479" s="196"/>
      <c r="F479" s="220"/>
      <c r="G479" s="143"/>
      <c r="H479" s="196"/>
      <c r="I479" s="196"/>
      <c r="J479" s="196"/>
      <c r="K479" s="196"/>
      <c r="L479" s="196"/>
      <c r="M479" s="196"/>
      <c r="N479" s="196"/>
      <c r="O479" s="196"/>
      <c r="P479" s="196"/>
      <c r="Q479" s="196"/>
      <c r="R479" s="196"/>
      <c r="S479" s="196"/>
      <c r="T479" s="196"/>
      <c r="U479" s="196"/>
      <c r="V479" s="196"/>
      <c r="W479" s="196"/>
      <c r="X479" s="196"/>
      <c r="Y479" s="196"/>
      <c r="Z479" s="196"/>
      <c r="AA479" s="196"/>
      <c r="AB479" s="196"/>
    </row>
    <row r="480" spans="1:28" ht="12.9">
      <c r="A480" s="196"/>
      <c r="B480" s="143"/>
      <c r="C480" s="196"/>
      <c r="D480" s="196"/>
      <c r="E480" s="196"/>
      <c r="F480" s="220"/>
      <c r="G480" s="143"/>
      <c r="H480" s="196"/>
      <c r="I480" s="196"/>
      <c r="J480" s="196"/>
      <c r="K480" s="196"/>
      <c r="L480" s="196"/>
      <c r="M480" s="196"/>
      <c r="N480" s="196"/>
      <c r="O480" s="196"/>
      <c r="P480" s="196"/>
      <c r="Q480" s="196"/>
      <c r="R480" s="196"/>
      <c r="S480" s="196"/>
      <c r="T480" s="196"/>
      <c r="U480" s="196"/>
      <c r="V480" s="196"/>
      <c r="W480" s="196"/>
      <c r="X480" s="196"/>
      <c r="Y480" s="196"/>
      <c r="Z480" s="196"/>
      <c r="AA480" s="196"/>
      <c r="AB480" s="196"/>
    </row>
    <row r="481" spans="1:28" ht="12.9">
      <c r="A481" s="196"/>
      <c r="B481" s="143"/>
      <c r="C481" s="196"/>
      <c r="D481" s="196"/>
      <c r="E481" s="196"/>
      <c r="F481" s="220"/>
      <c r="G481" s="143"/>
      <c r="H481" s="196"/>
      <c r="I481" s="196"/>
      <c r="J481" s="196"/>
      <c r="K481" s="196"/>
      <c r="L481" s="196"/>
      <c r="M481" s="196"/>
      <c r="N481" s="196"/>
      <c r="O481" s="196"/>
      <c r="P481" s="196"/>
      <c r="Q481" s="196"/>
      <c r="R481" s="196"/>
      <c r="S481" s="196"/>
      <c r="T481" s="196"/>
      <c r="U481" s="196"/>
      <c r="V481" s="196"/>
      <c r="W481" s="196"/>
      <c r="X481" s="196"/>
      <c r="Y481" s="196"/>
      <c r="Z481" s="196"/>
      <c r="AA481" s="196"/>
      <c r="AB481" s="196"/>
    </row>
    <row r="482" spans="1:28" ht="12.9">
      <c r="A482" s="196"/>
      <c r="B482" s="143"/>
      <c r="C482" s="196"/>
      <c r="D482" s="196"/>
      <c r="E482" s="196"/>
      <c r="F482" s="220"/>
      <c r="G482" s="143"/>
      <c r="H482" s="196"/>
      <c r="I482" s="196"/>
      <c r="J482" s="196"/>
      <c r="K482" s="196"/>
      <c r="L482" s="196"/>
      <c r="M482" s="196"/>
      <c r="N482" s="196"/>
      <c r="O482" s="196"/>
      <c r="P482" s="196"/>
      <c r="Q482" s="196"/>
      <c r="R482" s="196"/>
      <c r="S482" s="196"/>
      <c r="T482" s="196"/>
      <c r="U482" s="196"/>
      <c r="V482" s="196"/>
      <c r="W482" s="196"/>
      <c r="X482" s="196"/>
      <c r="Y482" s="196"/>
      <c r="Z482" s="196"/>
      <c r="AA482" s="196"/>
      <c r="AB482" s="196"/>
    </row>
    <row r="483" spans="1:28" ht="12.9">
      <c r="A483" s="196"/>
      <c r="B483" s="143"/>
      <c r="C483" s="196"/>
      <c r="D483" s="196"/>
      <c r="E483" s="196"/>
      <c r="F483" s="220"/>
      <c r="G483" s="143"/>
      <c r="H483" s="196"/>
      <c r="I483" s="196"/>
      <c r="J483" s="196"/>
      <c r="K483" s="196"/>
      <c r="L483" s="196"/>
      <c r="M483" s="196"/>
      <c r="N483" s="196"/>
      <c r="O483" s="196"/>
      <c r="P483" s="196"/>
      <c r="Q483" s="196"/>
      <c r="R483" s="196"/>
      <c r="S483" s="196"/>
      <c r="T483" s="196"/>
      <c r="U483" s="196"/>
      <c r="V483" s="196"/>
      <c r="W483" s="196"/>
      <c r="X483" s="196"/>
      <c r="Y483" s="196"/>
      <c r="Z483" s="196"/>
      <c r="AA483" s="196"/>
      <c r="AB483" s="196"/>
    </row>
    <row r="484" spans="1:28" ht="12.9">
      <c r="A484" s="196"/>
      <c r="B484" s="143"/>
      <c r="C484" s="196"/>
      <c r="D484" s="196"/>
      <c r="E484" s="196"/>
      <c r="F484" s="220"/>
      <c r="G484" s="143"/>
      <c r="H484" s="196"/>
      <c r="I484" s="196"/>
      <c r="J484" s="196"/>
      <c r="K484" s="196"/>
      <c r="L484" s="196"/>
      <c r="M484" s="196"/>
      <c r="N484" s="196"/>
      <c r="O484" s="196"/>
      <c r="P484" s="196"/>
      <c r="Q484" s="196"/>
      <c r="R484" s="196"/>
      <c r="S484" s="196"/>
      <c r="T484" s="196"/>
      <c r="U484" s="196"/>
      <c r="V484" s="196"/>
      <c r="W484" s="196"/>
      <c r="X484" s="196"/>
      <c r="Y484" s="196"/>
      <c r="Z484" s="196"/>
      <c r="AA484" s="196"/>
      <c r="AB484" s="196"/>
    </row>
    <row r="485" spans="1:28" ht="12.9">
      <c r="A485" s="196"/>
      <c r="B485" s="143"/>
      <c r="C485" s="196"/>
      <c r="D485" s="196"/>
      <c r="E485" s="196"/>
      <c r="F485" s="220"/>
      <c r="G485" s="143"/>
      <c r="H485" s="196"/>
      <c r="I485" s="196"/>
      <c r="J485" s="196"/>
      <c r="K485" s="196"/>
      <c r="L485" s="196"/>
      <c r="M485" s="196"/>
      <c r="N485" s="196"/>
      <c r="O485" s="196"/>
      <c r="P485" s="196"/>
      <c r="Q485" s="196"/>
      <c r="R485" s="196"/>
      <c r="S485" s="196"/>
      <c r="T485" s="196"/>
      <c r="U485" s="196"/>
      <c r="V485" s="196"/>
      <c r="W485" s="196"/>
      <c r="X485" s="196"/>
      <c r="Y485" s="196"/>
      <c r="Z485" s="196"/>
      <c r="AA485" s="196"/>
      <c r="AB485" s="196"/>
    </row>
    <row r="486" spans="1:28" ht="12.9">
      <c r="A486" s="196"/>
      <c r="B486" s="143"/>
      <c r="C486" s="196"/>
      <c r="D486" s="196"/>
      <c r="E486" s="196"/>
      <c r="F486" s="220"/>
      <c r="G486" s="143"/>
      <c r="H486" s="196"/>
      <c r="I486" s="196"/>
      <c r="J486" s="196"/>
      <c r="K486" s="196"/>
      <c r="L486" s="196"/>
      <c r="M486" s="196"/>
      <c r="N486" s="196"/>
      <c r="O486" s="196"/>
      <c r="P486" s="196"/>
      <c r="Q486" s="196"/>
      <c r="R486" s="196"/>
      <c r="S486" s="196"/>
      <c r="T486" s="196"/>
      <c r="U486" s="196"/>
      <c r="V486" s="196"/>
      <c r="W486" s="196"/>
      <c r="X486" s="196"/>
      <c r="Y486" s="196"/>
      <c r="Z486" s="196"/>
      <c r="AA486" s="196"/>
      <c r="AB486" s="196"/>
    </row>
    <row r="487" spans="1:28" ht="12.9">
      <c r="A487" s="196"/>
      <c r="B487" s="143"/>
      <c r="C487" s="196"/>
      <c r="D487" s="196"/>
      <c r="E487" s="196"/>
      <c r="F487" s="220"/>
      <c r="G487" s="143"/>
      <c r="H487" s="196"/>
      <c r="I487" s="196"/>
      <c r="J487" s="196"/>
      <c r="K487" s="196"/>
      <c r="L487" s="196"/>
      <c r="M487" s="196"/>
      <c r="N487" s="196"/>
      <c r="O487" s="196"/>
      <c r="P487" s="196"/>
      <c r="Q487" s="196"/>
      <c r="R487" s="196"/>
      <c r="S487" s="196"/>
      <c r="T487" s="196"/>
      <c r="U487" s="196"/>
      <c r="V487" s="196"/>
      <c r="W487" s="196"/>
      <c r="X487" s="196"/>
      <c r="Y487" s="196"/>
      <c r="Z487" s="196"/>
      <c r="AA487" s="196"/>
      <c r="AB487" s="196"/>
    </row>
    <row r="488" spans="1:28" ht="12.9">
      <c r="A488" s="196"/>
      <c r="B488" s="143"/>
      <c r="C488" s="196"/>
      <c r="D488" s="196"/>
      <c r="E488" s="196"/>
      <c r="F488" s="220"/>
      <c r="G488" s="143"/>
      <c r="H488" s="196"/>
      <c r="I488" s="196"/>
      <c r="J488" s="196"/>
      <c r="K488" s="196"/>
      <c r="L488" s="196"/>
      <c r="M488" s="196"/>
      <c r="N488" s="196"/>
      <c r="O488" s="196"/>
      <c r="P488" s="196"/>
      <c r="Q488" s="196"/>
      <c r="R488" s="196"/>
      <c r="S488" s="196"/>
      <c r="T488" s="196"/>
      <c r="U488" s="196"/>
      <c r="V488" s="196"/>
      <c r="W488" s="196"/>
      <c r="X488" s="196"/>
      <c r="Y488" s="196"/>
      <c r="Z488" s="196"/>
      <c r="AA488" s="196"/>
      <c r="AB488" s="196"/>
    </row>
    <row r="489" spans="1:28" ht="12.9">
      <c r="A489" s="196"/>
      <c r="B489" s="143"/>
      <c r="C489" s="196"/>
      <c r="D489" s="196"/>
      <c r="E489" s="196"/>
      <c r="F489" s="220"/>
      <c r="G489" s="143"/>
      <c r="H489" s="196"/>
      <c r="I489" s="196"/>
      <c r="J489" s="196"/>
      <c r="K489" s="196"/>
      <c r="L489" s="196"/>
      <c r="M489" s="196"/>
      <c r="N489" s="196"/>
      <c r="O489" s="196"/>
      <c r="P489" s="196"/>
      <c r="Q489" s="196"/>
      <c r="R489" s="196"/>
      <c r="S489" s="196"/>
      <c r="T489" s="196"/>
      <c r="U489" s="196"/>
      <c r="V489" s="196"/>
      <c r="W489" s="196"/>
      <c r="X489" s="196"/>
      <c r="Y489" s="196"/>
      <c r="Z489" s="196"/>
      <c r="AA489" s="196"/>
      <c r="AB489" s="196"/>
    </row>
    <row r="490" spans="1:28" ht="12.9">
      <c r="A490" s="196"/>
      <c r="B490" s="143"/>
      <c r="C490" s="196"/>
      <c r="D490" s="196"/>
      <c r="E490" s="196"/>
      <c r="F490" s="220"/>
      <c r="G490" s="143"/>
      <c r="H490" s="196"/>
      <c r="I490" s="196"/>
      <c r="J490" s="196"/>
      <c r="K490" s="196"/>
      <c r="L490" s="196"/>
      <c r="M490" s="196"/>
      <c r="N490" s="196"/>
      <c r="O490" s="196"/>
      <c r="P490" s="196"/>
      <c r="Q490" s="196"/>
      <c r="R490" s="196"/>
      <c r="S490" s="196"/>
      <c r="T490" s="196"/>
      <c r="U490" s="196"/>
      <c r="V490" s="196"/>
      <c r="W490" s="196"/>
      <c r="X490" s="196"/>
      <c r="Y490" s="196"/>
      <c r="Z490" s="196"/>
      <c r="AA490" s="196"/>
      <c r="AB490" s="196"/>
    </row>
    <row r="491" spans="1:28" ht="12.9">
      <c r="A491" s="196"/>
      <c r="B491" s="143"/>
      <c r="C491" s="196"/>
      <c r="D491" s="196"/>
      <c r="E491" s="196"/>
      <c r="F491" s="220"/>
      <c r="G491" s="143"/>
      <c r="H491" s="196"/>
      <c r="I491" s="196"/>
      <c r="J491" s="196"/>
      <c r="K491" s="196"/>
      <c r="L491" s="196"/>
      <c r="M491" s="196"/>
      <c r="N491" s="196"/>
      <c r="O491" s="196"/>
      <c r="P491" s="196"/>
      <c r="Q491" s="196"/>
      <c r="R491" s="196"/>
      <c r="S491" s="196"/>
      <c r="T491" s="196"/>
      <c r="U491" s="196"/>
      <c r="V491" s="196"/>
      <c r="W491" s="196"/>
      <c r="X491" s="196"/>
      <c r="Y491" s="196"/>
      <c r="Z491" s="196"/>
      <c r="AA491" s="196"/>
      <c r="AB491" s="196"/>
    </row>
    <row r="492" spans="1:28" ht="12.9">
      <c r="A492" s="196"/>
      <c r="B492" s="143"/>
      <c r="C492" s="196"/>
      <c r="D492" s="196"/>
      <c r="E492" s="196"/>
      <c r="F492" s="220"/>
      <c r="G492" s="143"/>
      <c r="H492" s="196"/>
      <c r="I492" s="196"/>
      <c r="J492" s="196"/>
      <c r="K492" s="196"/>
      <c r="L492" s="196"/>
      <c r="M492" s="196"/>
      <c r="N492" s="196"/>
      <c r="O492" s="196"/>
      <c r="P492" s="196"/>
      <c r="Q492" s="196"/>
      <c r="R492" s="196"/>
      <c r="S492" s="196"/>
      <c r="T492" s="196"/>
      <c r="U492" s="196"/>
      <c r="V492" s="196"/>
      <c r="W492" s="196"/>
      <c r="X492" s="196"/>
      <c r="Y492" s="196"/>
      <c r="Z492" s="196"/>
      <c r="AA492" s="196"/>
      <c r="AB492" s="196"/>
    </row>
    <row r="493" spans="1:28" ht="12.9">
      <c r="A493" s="196"/>
      <c r="B493" s="143"/>
      <c r="C493" s="196"/>
      <c r="D493" s="196"/>
      <c r="E493" s="196"/>
      <c r="F493" s="220"/>
      <c r="G493" s="143"/>
      <c r="H493" s="196"/>
      <c r="I493" s="196"/>
      <c r="J493" s="196"/>
      <c r="K493" s="196"/>
      <c r="L493" s="196"/>
      <c r="M493" s="196"/>
      <c r="N493" s="196"/>
      <c r="O493" s="196"/>
      <c r="P493" s="196"/>
      <c r="Q493" s="196"/>
      <c r="R493" s="196"/>
      <c r="S493" s="196"/>
      <c r="T493" s="196"/>
      <c r="U493" s="196"/>
      <c r="V493" s="196"/>
      <c r="W493" s="196"/>
      <c r="X493" s="196"/>
      <c r="Y493" s="196"/>
      <c r="Z493" s="196"/>
      <c r="AA493" s="196"/>
      <c r="AB493" s="196"/>
    </row>
    <row r="494" spans="1:28" ht="12.9">
      <c r="A494" s="196"/>
      <c r="B494" s="143"/>
      <c r="C494" s="196"/>
      <c r="D494" s="196"/>
      <c r="E494" s="196"/>
      <c r="F494" s="220"/>
      <c r="G494" s="143"/>
      <c r="H494" s="196"/>
      <c r="I494" s="196"/>
      <c r="J494" s="196"/>
      <c r="K494" s="196"/>
      <c r="L494" s="196"/>
      <c r="M494" s="196"/>
      <c r="N494" s="196"/>
      <c r="O494" s="196"/>
      <c r="P494" s="196"/>
      <c r="Q494" s="196"/>
      <c r="R494" s="196"/>
      <c r="S494" s="196"/>
      <c r="T494" s="196"/>
      <c r="U494" s="196"/>
      <c r="V494" s="196"/>
      <c r="W494" s="196"/>
      <c r="X494" s="196"/>
      <c r="Y494" s="196"/>
      <c r="Z494" s="196"/>
      <c r="AA494" s="196"/>
      <c r="AB494" s="196"/>
    </row>
    <row r="495" spans="1:28" ht="12.9">
      <c r="A495" s="196"/>
      <c r="B495" s="143"/>
      <c r="C495" s="196"/>
      <c r="D495" s="196"/>
      <c r="E495" s="196"/>
      <c r="F495" s="220"/>
      <c r="G495" s="143"/>
      <c r="H495" s="196"/>
      <c r="I495" s="196"/>
      <c r="J495" s="196"/>
      <c r="K495" s="196"/>
      <c r="L495" s="196"/>
      <c r="M495" s="196"/>
      <c r="N495" s="196"/>
      <c r="O495" s="196"/>
      <c r="P495" s="196"/>
      <c r="Q495" s="196"/>
      <c r="R495" s="196"/>
      <c r="S495" s="196"/>
      <c r="T495" s="196"/>
      <c r="U495" s="196"/>
      <c r="V495" s="196"/>
      <c r="W495" s="196"/>
      <c r="X495" s="196"/>
      <c r="Y495" s="196"/>
      <c r="Z495" s="196"/>
      <c r="AA495" s="196"/>
      <c r="AB495" s="196"/>
    </row>
    <row r="496" spans="1:28" ht="12.9">
      <c r="A496" s="196"/>
      <c r="B496" s="143"/>
      <c r="C496" s="196"/>
      <c r="D496" s="196"/>
      <c r="E496" s="196"/>
      <c r="F496" s="220"/>
      <c r="G496" s="143"/>
      <c r="H496" s="196"/>
      <c r="I496" s="196"/>
      <c r="J496" s="196"/>
      <c r="K496" s="196"/>
      <c r="L496" s="196"/>
      <c r="M496" s="196"/>
      <c r="N496" s="196"/>
      <c r="O496" s="196"/>
      <c r="P496" s="196"/>
      <c r="Q496" s="196"/>
      <c r="R496" s="196"/>
      <c r="S496" s="196"/>
      <c r="T496" s="196"/>
      <c r="U496" s="196"/>
      <c r="V496" s="196"/>
      <c r="W496" s="196"/>
      <c r="X496" s="196"/>
      <c r="Y496" s="196"/>
      <c r="Z496" s="196"/>
      <c r="AA496" s="196"/>
      <c r="AB496" s="196"/>
    </row>
    <row r="497" spans="1:28" ht="12.9">
      <c r="A497" s="196"/>
      <c r="B497" s="143"/>
      <c r="C497" s="196"/>
      <c r="D497" s="196"/>
      <c r="E497" s="196"/>
      <c r="F497" s="220"/>
      <c r="G497" s="143"/>
      <c r="H497" s="196"/>
      <c r="I497" s="196"/>
      <c r="J497" s="196"/>
      <c r="K497" s="196"/>
      <c r="L497" s="196"/>
      <c r="M497" s="196"/>
      <c r="N497" s="196"/>
      <c r="O497" s="196"/>
      <c r="P497" s="196"/>
      <c r="Q497" s="196"/>
      <c r="R497" s="196"/>
      <c r="S497" s="196"/>
      <c r="T497" s="196"/>
      <c r="U497" s="196"/>
      <c r="V497" s="196"/>
      <c r="W497" s="196"/>
      <c r="X497" s="196"/>
      <c r="Y497" s="196"/>
      <c r="Z497" s="196"/>
      <c r="AA497" s="196"/>
      <c r="AB497" s="196"/>
    </row>
    <row r="498" spans="1:28" ht="12.9">
      <c r="A498" s="196"/>
      <c r="B498" s="143"/>
      <c r="C498" s="196"/>
      <c r="D498" s="196"/>
      <c r="E498" s="196"/>
      <c r="F498" s="220"/>
      <c r="G498" s="143"/>
      <c r="H498" s="196"/>
      <c r="I498" s="196"/>
      <c r="J498" s="196"/>
      <c r="K498" s="196"/>
      <c r="L498" s="196"/>
      <c r="M498" s="196"/>
      <c r="N498" s="196"/>
      <c r="O498" s="196"/>
      <c r="P498" s="196"/>
      <c r="Q498" s="196"/>
      <c r="R498" s="196"/>
      <c r="S498" s="196"/>
      <c r="T498" s="196"/>
      <c r="U498" s="196"/>
      <c r="V498" s="196"/>
      <c r="W498" s="196"/>
      <c r="X498" s="196"/>
      <c r="Y498" s="196"/>
      <c r="Z498" s="196"/>
      <c r="AA498" s="196"/>
      <c r="AB498" s="196"/>
    </row>
    <row r="499" spans="1:28" ht="12.9">
      <c r="A499" s="196"/>
      <c r="B499" s="143"/>
      <c r="C499" s="196"/>
      <c r="D499" s="196"/>
      <c r="E499" s="196"/>
      <c r="F499" s="220"/>
      <c r="G499" s="143"/>
      <c r="H499" s="196"/>
      <c r="I499" s="196"/>
      <c r="J499" s="196"/>
      <c r="K499" s="196"/>
      <c r="L499" s="196"/>
      <c r="M499" s="196"/>
      <c r="N499" s="196"/>
      <c r="O499" s="196"/>
      <c r="P499" s="196"/>
      <c r="Q499" s="196"/>
      <c r="R499" s="196"/>
      <c r="S499" s="196"/>
      <c r="T499" s="196"/>
      <c r="U499" s="196"/>
      <c r="V499" s="196"/>
      <c r="W499" s="196"/>
      <c r="X499" s="196"/>
      <c r="Y499" s="196"/>
      <c r="Z499" s="196"/>
      <c r="AA499" s="196"/>
      <c r="AB499" s="196"/>
    </row>
    <row r="500" spans="1:28" ht="12.9">
      <c r="A500" s="196"/>
      <c r="B500" s="143"/>
      <c r="C500" s="196"/>
      <c r="D500" s="196"/>
      <c r="E500" s="196"/>
      <c r="F500" s="220"/>
      <c r="G500" s="143"/>
      <c r="H500" s="196"/>
      <c r="I500" s="196"/>
      <c r="J500" s="196"/>
      <c r="K500" s="196"/>
      <c r="L500" s="196"/>
      <c r="M500" s="196"/>
      <c r="N500" s="196"/>
      <c r="O500" s="196"/>
      <c r="P500" s="196"/>
      <c r="Q500" s="196"/>
      <c r="R500" s="196"/>
      <c r="S500" s="196"/>
      <c r="T500" s="196"/>
      <c r="U500" s="196"/>
      <c r="V500" s="196"/>
      <c r="W500" s="196"/>
      <c r="X500" s="196"/>
      <c r="Y500" s="196"/>
      <c r="Z500" s="196"/>
      <c r="AA500" s="196"/>
      <c r="AB500" s="196"/>
    </row>
    <row r="501" spans="1:28" ht="12.9">
      <c r="A501" s="196"/>
      <c r="B501" s="143"/>
      <c r="C501" s="196"/>
      <c r="D501" s="196"/>
      <c r="E501" s="196"/>
      <c r="F501" s="220"/>
      <c r="G501" s="143"/>
      <c r="H501" s="196"/>
      <c r="I501" s="196"/>
      <c r="J501" s="196"/>
      <c r="K501" s="196"/>
      <c r="L501" s="196"/>
      <c r="M501" s="196"/>
      <c r="N501" s="196"/>
      <c r="O501" s="196"/>
      <c r="P501" s="196"/>
      <c r="Q501" s="196"/>
      <c r="R501" s="196"/>
      <c r="S501" s="196"/>
      <c r="T501" s="196"/>
      <c r="U501" s="196"/>
      <c r="V501" s="196"/>
      <c r="W501" s="196"/>
      <c r="X501" s="196"/>
      <c r="Y501" s="196"/>
      <c r="Z501" s="196"/>
      <c r="AA501" s="196"/>
      <c r="AB501" s="196"/>
    </row>
    <row r="502" spans="1:28" ht="12.9">
      <c r="A502" s="196"/>
      <c r="B502" s="143"/>
      <c r="C502" s="196"/>
      <c r="D502" s="196"/>
      <c r="E502" s="196"/>
      <c r="F502" s="220"/>
      <c r="G502" s="143"/>
      <c r="H502" s="196"/>
      <c r="I502" s="196"/>
      <c r="J502" s="196"/>
      <c r="K502" s="196"/>
      <c r="L502" s="196"/>
      <c r="M502" s="196"/>
      <c r="N502" s="196"/>
      <c r="O502" s="196"/>
      <c r="P502" s="196"/>
      <c r="Q502" s="196"/>
      <c r="R502" s="196"/>
      <c r="S502" s="196"/>
      <c r="T502" s="196"/>
      <c r="U502" s="196"/>
      <c r="V502" s="196"/>
      <c r="W502" s="196"/>
      <c r="X502" s="196"/>
      <c r="Y502" s="196"/>
      <c r="Z502" s="196"/>
      <c r="AA502" s="196"/>
      <c r="AB502" s="196"/>
    </row>
    <row r="503" spans="1:28" ht="12.9">
      <c r="A503" s="196"/>
      <c r="B503" s="143"/>
      <c r="C503" s="196"/>
      <c r="D503" s="196"/>
      <c r="E503" s="196"/>
      <c r="F503" s="220"/>
      <c r="G503" s="143"/>
      <c r="H503" s="196"/>
      <c r="I503" s="196"/>
      <c r="J503" s="196"/>
      <c r="K503" s="196"/>
      <c r="L503" s="196"/>
      <c r="M503" s="196"/>
      <c r="N503" s="196"/>
      <c r="O503" s="196"/>
      <c r="P503" s="196"/>
      <c r="Q503" s="196"/>
      <c r="R503" s="196"/>
      <c r="S503" s="196"/>
      <c r="T503" s="196"/>
      <c r="U503" s="196"/>
      <c r="V503" s="196"/>
      <c r="W503" s="196"/>
      <c r="X503" s="196"/>
      <c r="Y503" s="196"/>
      <c r="Z503" s="196"/>
      <c r="AA503" s="196"/>
      <c r="AB503" s="196"/>
    </row>
    <row r="504" spans="1:28" ht="12.9">
      <c r="A504" s="196"/>
      <c r="B504" s="143"/>
      <c r="C504" s="196"/>
      <c r="D504" s="196"/>
      <c r="E504" s="196"/>
      <c r="F504" s="220"/>
      <c r="G504" s="143"/>
      <c r="H504" s="196"/>
      <c r="I504" s="196"/>
      <c r="J504" s="196"/>
      <c r="K504" s="196"/>
      <c r="L504" s="196"/>
      <c r="M504" s="196"/>
      <c r="N504" s="196"/>
      <c r="O504" s="196"/>
      <c r="P504" s="196"/>
      <c r="Q504" s="196"/>
      <c r="R504" s="196"/>
      <c r="S504" s="196"/>
      <c r="T504" s="196"/>
      <c r="U504" s="196"/>
      <c r="V504" s="196"/>
      <c r="W504" s="196"/>
      <c r="X504" s="196"/>
      <c r="Y504" s="196"/>
      <c r="Z504" s="196"/>
      <c r="AA504" s="196"/>
      <c r="AB504" s="196"/>
    </row>
    <row r="505" spans="1:28" ht="12.9">
      <c r="A505" s="196"/>
      <c r="B505" s="143"/>
      <c r="C505" s="196"/>
      <c r="D505" s="196"/>
      <c r="E505" s="196"/>
      <c r="F505" s="220"/>
      <c r="G505" s="143"/>
      <c r="H505" s="196"/>
      <c r="I505" s="196"/>
      <c r="J505" s="196"/>
      <c r="K505" s="196"/>
      <c r="L505" s="196"/>
      <c r="M505" s="196"/>
      <c r="N505" s="196"/>
      <c r="O505" s="196"/>
      <c r="P505" s="196"/>
      <c r="Q505" s="196"/>
      <c r="R505" s="196"/>
      <c r="S505" s="196"/>
      <c r="T505" s="196"/>
      <c r="U505" s="196"/>
      <c r="V505" s="196"/>
      <c r="W505" s="196"/>
      <c r="X505" s="196"/>
      <c r="Y505" s="196"/>
      <c r="Z505" s="196"/>
      <c r="AA505" s="196"/>
      <c r="AB505" s="196"/>
    </row>
    <row r="506" spans="1:28" ht="12.9">
      <c r="A506" s="196"/>
      <c r="B506" s="143"/>
      <c r="C506" s="196"/>
      <c r="D506" s="196"/>
      <c r="E506" s="196"/>
      <c r="F506" s="220"/>
      <c r="G506" s="143"/>
      <c r="H506" s="196"/>
      <c r="I506" s="196"/>
      <c r="J506" s="196"/>
      <c r="K506" s="196"/>
      <c r="L506" s="196"/>
      <c r="M506" s="196"/>
      <c r="N506" s="196"/>
      <c r="O506" s="196"/>
      <c r="P506" s="196"/>
      <c r="Q506" s="196"/>
      <c r="R506" s="196"/>
      <c r="S506" s="196"/>
      <c r="T506" s="196"/>
      <c r="U506" s="196"/>
      <c r="V506" s="196"/>
      <c r="W506" s="196"/>
      <c r="X506" s="196"/>
      <c r="Y506" s="196"/>
      <c r="Z506" s="196"/>
      <c r="AA506" s="196"/>
      <c r="AB506" s="196"/>
    </row>
    <row r="507" spans="1:28" ht="12.9">
      <c r="A507" s="196"/>
      <c r="B507" s="143"/>
      <c r="C507" s="196"/>
      <c r="D507" s="196"/>
      <c r="E507" s="196"/>
      <c r="F507" s="220"/>
      <c r="G507" s="143"/>
      <c r="H507" s="196"/>
      <c r="I507" s="196"/>
      <c r="J507" s="196"/>
      <c r="K507" s="196"/>
      <c r="L507" s="196"/>
      <c r="M507" s="196"/>
      <c r="N507" s="196"/>
      <c r="O507" s="196"/>
      <c r="P507" s="196"/>
      <c r="Q507" s="196"/>
      <c r="R507" s="196"/>
      <c r="S507" s="196"/>
      <c r="T507" s="196"/>
      <c r="U507" s="196"/>
      <c r="V507" s="196"/>
      <c r="W507" s="196"/>
      <c r="X507" s="196"/>
      <c r="Y507" s="196"/>
      <c r="Z507" s="196"/>
      <c r="AA507" s="196"/>
      <c r="AB507" s="196"/>
    </row>
    <row r="508" spans="1:28" ht="12.9">
      <c r="A508" s="196"/>
      <c r="B508" s="143"/>
      <c r="C508" s="196"/>
      <c r="D508" s="196"/>
      <c r="E508" s="196"/>
      <c r="F508" s="220"/>
      <c r="G508" s="143"/>
      <c r="H508" s="196"/>
      <c r="I508" s="196"/>
      <c r="J508" s="196"/>
      <c r="K508" s="196"/>
      <c r="L508" s="196"/>
      <c r="M508" s="196"/>
      <c r="N508" s="196"/>
      <c r="O508" s="196"/>
      <c r="P508" s="196"/>
      <c r="Q508" s="196"/>
      <c r="R508" s="196"/>
      <c r="S508" s="196"/>
      <c r="T508" s="196"/>
      <c r="U508" s="196"/>
      <c r="V508" s="196"/>
      <c r="W508" s="196"/>
      <c r="X508" s="196"/>
      <c r="Y508" s="196"/>
      <c r="Z508" s="196"/>
      <c r="AA508" s="196"/>
      <c r="AB508" s="196"/>
    </row>
    <row r="509" spans="1:28" ht="12.9">
      <c r="A509" s="196"/>
      <c r="B509" s="143"/>
      <c r="C509" s="196"/>
      <c r="D509" s="196"/>
      <c r="E509" s="196"/>
      <c r="F509" s="220"/>
      <c r="G509" s="143"/>
      <c r="H509" s="196"/>
      <c r="I509" s="196"/>
      <c r="J509" s="196"/>
      <c r="K509" s="196"/>
      <c r="L509" s="196"/>
      <c r="M509" s="196"/>
      <c r="N509" s="196"/>
      <c r="O509" s="196"/>
      <c r="P509" s="196"/>
      <c r="Q509" s="196"/>
      <c r="R509" s="196"/>
      <c r="S509" s="196"/>
      <c r="T509" s="196"/>
      <c r="U509" s="196"/>
      <c r="V509" s="196"/>
      <c r="W509" s="196"/>
      <c r="X509" s="196"/>
      <c r="Y509" s="196"/>
      <c r="Z509" s="196"/>
      <c r="AA509" s="196"/>
      <c r="AB509" s="196"/>
    </row>
    <row r="510" spans="1:28" ht="12.9">
      <c r="A510" s="196"/>
      <c r="B510" s="143"/>
      <c r="C510" s="196"/>
      <c r="D510" s="196"/>
      <c r="E510" s="196"/>
      <c r="F510" s="220"/>
      <c r="G510" s="143"/>
      <c r="H510" s="196"/>
      <c r="I510" s="196"/>
      <c r="J510" s="196"/>
      <c r="K510" s="196"/>
      <c r="L510" s="196"/>
      <c r="M510" s="196"/>
      <c r="N510" s="196"/>
      <c r="O510" s="196"/>
      <c r="P510" s="196"/>
      <c r="Q510" s="196"/>
      <c r="R510" s="196"/>
      <c r="S510" s="196"/>
      <c r="T510" s="196"/>
      <c r="U510" s="196"/>
      <c r="V510" s="196"/>
      <c r="W510" s="196"/>
      <c r="X510" s="196"/>
      <c r="Y510" s="196"/>
      <c r="Z510" s="196"/>
      <c r="AA510" s="196"/>
      <c r="AB510" s="196"/>
    </row>
    <row r="511" spans="1:28" ht="12.9">
      <c r="A511" s="196"/>
      <c r="B511" s="143"/>
      <c r="C511" s="196"/>
      <c r="D511" s="196"/>
      <c r="E511" s="196"/>
      <c r="F511" s="220"/>
      <c r="G511" s="143"/>
      <c r="H511" s="196"/>
      <c r="I511" s="196"/>
      <c r="J511" s="196"/>
      <c r="K511" s="196"/>
      <c r="L511" s="196"/>
      <c r="M511" s="196"/>
      <c r="N511" s="196"/>
      <c r="O511" s="196"/>
      <c r="P511" s="196"/>
      <c r="Q511" s="196"/>
      <c r="R511" s="196"/>
      <c r="S511" s="196"/>
      <c r="T511" s="196"/>
      <c r="U511" s="196"/>
      <c r="V511" s="196"/>
      <c r="W511" s="196"/>
      <c r="X511" s="196"/>
      <c r="Y511" s="196"/>
      <c r="Z511" s="196"/>
      <c r="AA511" s="196"/>
      <c r="AB511" s="196"/>
    </row>
    <row r="512" spans="1:28" ht="12.9">
      <c r="A512" s="196"/>
      <c r="B512" s="143"/>
      <c r="C512" s="196"/>
      <c r="D512" s="196"/>
      <c r="E512" s="196"/>
      <c r="F512" s="220"/>
      <c r="G512" s="143"/>
      <c r="H512" s="196"/>
      <c r="I512" s="196"/>
      <c r="J512" s="196"/>
      <c r="K512" s="196"/>
      <c r="L512" s="196"/>
      <c r="M512" s="196"/>
      <c r="N512" s="196"/>
      <c r="O512" s="196"/>
      <c r="P512" s="196"/>
      <c r="Q512" s="196"/>
      <c r="R512" s="196"/>
      <c r="S512" s="196"/>
      <c r="T512" s="196"/>
      <c r="U512" s="196"/>
      <c r="V512" s="196"/>
      <c r="W512" s="196"/>
      <c r="X512" s="196"/>
      <c r="Y512" s="196"/>
      <c r="Z512" s="196"/>
      <c r="AA512" s="196"/>
      <c r="AB512" s="196"/>
    </row>
    <row r="513" spans="1:28" ht="12.9">
      <c r="A513" s="196"/>
      <c r="B513" s="143"/>
      <c r="C513" s="196"/>
      <c r="D513" s="196"/>
      <c r="E513" s="196"/>
      <c r="F513" s="220"/>
      <c r="G513" s="143"/>
      <c r="H513" s="196"/>
      <c r="I513" s="196"/>
      <c r="J513" s="196"/>
      <c r="K513" s="196"/>
      <c r="L513" s="196"/>
      <c r="M513" s="196"/>
      <c r="N513" s="196"/>
      <c r="O513" s="196"/>
      <c r="P513" s="196"/>
      <c r="Q513" s="196"/>
      <c r="R513" s="196"/>
      <c r="S513" s="196"/>
      <c r="T513" s="196"/>
      <c r="U513" s="196"/>
      <c r="V513" s="196"/>
      <c r="W513" s="196"/>
      <c r="X513" s="196"/>
      <c r="Y513" s="196"/>
      <c r="Z513" s="196"/>
      <c r="AA513" s="196"/>
      <c r="AB513" s="196"/>
    </row>
    <row r="514" spans="1:28" ht="12.9">
      <c r="A514" s="196"/>
      <c r="B514" s="143"/>
      <c r="C514" s="196"/>
      <c r="D514" s="196"/>
      <c r="E514" s="196"/>
      <c r="F514" s="220"/>
      <c r="G514" s="143"/>
      <c r="H514" s="196"/>
      <c r="I514" s="196"/>
      <c r="J514" s="196"/>
      <c r="K514" s="196"/>
      <c r="L514" s="196"/>
      <c r="M514" s="196"/>
      <c r="N514" s="196"/>
      <c r="O514" s="196"/>
      <c r="P514" s="196"/>
      <c r="Q514" s="196"/>
      <c r="R514" s="196"/>
      <c r="S514" s="196"/>
      <c r="T514" s="196"/>
      <c r="U514" s="196"/>
      <c r="V514" s="196"/>
      <c r="W514" s="196"/>
      <c r="X514" s="196"/>
      <c r="Y514" s="196"/>
      <c r="Z514" s="196"/>
      <c r="AA514" s="196"/>
      <c r="AB514" s="196"/>
    </row>
    <row r="515" spans="1:28" ht="12.9">
      <c r="A515" s="196"/>
      <c r="B515" s="143"/>
      <c r="C515" s="196"/>
      <c r="D515" s="196"/>
      <c r="E515" s="196"/>
      <c r="F515" s="220"/>
      <c r="G515" s="143"/>
      <c r="H515" s="196"/>
      <c r="I515" s="196"/>
      <c r="J515" s="196"/>
      <c r="K515" s="196"/>
      <c r="L515" s="196"/>
      <c r="M515" s="196"/>
      <c r="N515" s="196"/>
      <c r="O515" s="196"/>
      <c r="P515" s="196"/>
      <c r="Q515" s="196"/>
      <c r="R515" s="196"/>
      <c r="S515" s="196"/>
      <c r="T515" s="196"/>
      <c r="U515" s="196"/>
      <c r="V515" s="196"/>
      <c r="W515" s="196"/>
      <c r="X515" s="196"/>
      <c r="Y515" s="196"/>
      <c r="Z515" s="196"/>
      <c r="AA515" s="196"/>
      <c r="AB515" s="196"/>
    </row>
    <row r="516" spans="1:28" ht="12.9">
      <c r="A516" s="196"/>
      <c r="B516" s="143"/>
      <c r="C516" s="196"/>
      <c r="D516" s="196"/>
      <c r="E516" s="196"/>
      <c r="F516" s="220"/>
      <c r="G516" s="143"/>
      <c r="H516" s="196"/>
      <c r="I516" s="196"/>
      <c r="J516" s="196"/>
      <c r="K516" s="196"/>
      <c r="L516" s="196"/>
      <c r="M516" s="196"/>
      <c r="N516" s="196"/>
      <c r="O516" s="196"/>
      <c r="P516" s="196"/>
      <c r="Q516" s="196"/>
      <c r="R516" s="196"/>
      <c r="S516" s="196"/>
      <c r="T516" s="196"/>
      <c r="U516" s="196"/>
      <c r="V516" s="196"/>
      <c r="W516" s="196"/>
      <c r="X516" s="196"/>
      <c r="Y516" s="196"/>
      <c r="Z516" s="196"/>
      <c r="AA516" s="196"/>
      <c r="AB516" s="196"/>
    </row>
    <row r="517" spans="1:28" ht="12.9">
      <c r="A517" s="196"/>
      <c r="B517" s="143"/>
      <c r="C517" s="196"/>
      <c r="D517" s="196"/>
      <c r="E517" s="196"/>
      <c r="F517" s="220"/>
      <c r="G517" s="143"/>
      <c r="H517" s="196"/>
      <c r="I517" s="196"/>
      <c r="J517" s="196"/>
      <c r="K517" s="196"/>
      <c r="L517" s="196"/>
      <c r="M517" s="196"/>
      <c r="N517" s="196"/>
      <c r="O517" s="196"/>
      <c r="P517" s="196"/>
      <c r="Q517" s="196"/>
      <c r="R517" s="196"/>
      <c r="S517" s="196"/>
      <c r="T517" s="196"/>
      <c r="U517" s="196"/>
      <c r="V517" s="196"/>
      <c r="W517" s="196"/>
      <c r="X517" s="196"/>
      <c r="Y517" s="196"/>
      <c r="Z517" s="196"/>
      <c r="AA517" s="196"/>
      <c r="AB517" s="196"/>
    </row>
    <row r="518" spans="1:28" ht="12.9">
      <c r="A518" s="196"/>
      <c r="B518" s="143"/>
      <c r="C518" s="196"/>
      <c r="D518" s="196"/>
      <c r="E518" s="196"/>
      <c r="F518" s="220"/>
      <c r="G518" s="143"/>
      <c r="H518" s="196"/>
      <c r="I518" s="196"/>
      <c r="J518" s="196"/>
      <c r="K518" s="196"/>
      <c r="L518" s="196"/>
      <c r="M518" s="196"/>
      <c r="N518" s="196"/>
      <c r="O518" s="196"/>
      <c r="P518" s="196"/>
      <c r="Q518" s="196"/>
      <c r="R518" s="196"/>
      <c r="S518" s="196"/>
      <c r="T518" s="196"/>
      <c r="U518" s="196"/>
      <c r="V518" s="196"/>
      <c r="W518" s="196"/>
      <c r="X518" s="196"/>
      <c r="Y518" s="196"/>
      <c r="Z518" s="196"/>
      <c r="AA518" s="196"/>
      <c r="AB518" s="196"/>
    </row>
    <row r="519" spans="1:28" ht="12.9">
      <c r="A519" s="196"/>
      <c r="B519" s="143"/>
      <c r="C519" s="196"/>
      <c r="D519" s="196"/>
      <c r="E519" s="196"/>
      <c r="F519" s="220"/>
      <c r="G519" s="143"/>
      <c r="H519" s="196"/>
      <c r="I519" s="196"/>
      <c r="J519" s="196"/>
      <c r="K519" s="196"/>
      <c r="L519" s="196"/>
      <c r="M519" s="196"/>
      <c r="N519" s="196"/>
      <c r="O519" s="196"/>
      <c r="P519" s="196"/>
      <c r="Q519" s="196"/>
      <c r="R519" s="196"/>
      <c r="S519" s="196"/>
      <c r="T519" s="196"/>
      <c r="U519" s="196"/>
      <c r="V519" s="196"/>
      <c r="W519" s="196"/>
      <c r="X519" s="196"/>
      <c r="Y519" s="196"/>
      <c r="Z519" s="196"/>
      <c r="AA519" s="196"/>
      <c r="AB519" s="196"/>
    </row>
    <row r="520" spans="1:28" ht="12.9">
      <c r="A520" s="196"/>
      <c r="B520" s="143"/>
      <c r="C520" s="196"/>
      <c r="D520" s="196"/>
      <c r="E520" s="196"/>
      <c r="F520" s="220"/>
      <c r="G520" s="143"/>
      <c r="H520" s="196"/>
      <c r="I520" s="196"/>
      <c r="J520" s="196"/>
      <c r="K520" s="196"/>
      <c r="L520" s="196"/>
      <c r="M520" s="196"/>
      <c r="N520" s="196"/>
      <c r="O520" s="196"/>
      <c r="P520" s="196"/>
      <c r="Q520" s="196"/>
      <c r="R520" s="196"/>
      <c r="S520" s="196"/>
      <c r="T520" s="196"/>
      <c r="U520" s="196"/>
      <c r="V520" s="196"/>
      <c r="W520" s="196"/>
      <c r="X520" s="196"/>
      <c r="Y520" s="196"/>
      <c r="Z520" s="196"/>
      <c r="AA520" s="196"/>
      <c r="AB520" s="196"/>
    </row>
    <row r="521" spans="1:28" ht="12.9">
      <c r="A521" s="196"/>
      <c r="B521" s="143"/>
      <c r="C521" s="196"/>
      <c r="D521" s="196"/>
      <c r="E521" s="196"/>
      <c r="F521" s="220"/>
      <c r="G521" s="143"/>
      <c r="H521" s="196"/>
      <c r="I521" s="196"/>
      <c r="J521" s="196"/>
      <c r="K521" s="196"/>
      <c r="L521" s="196"/>
      <c r="M521" s="196"/>
      <c r="N521" s="196"/>
      <c r="O521" s="196"/>
      <c r="P521" s="196"/>
      <c r="Q521" s="196"/>
      <c r="R521" s="196"/>
      <c r="S521" s="196"/>
      <c r="T521" s="196"/>
      <c r="U521" s="196"/>
      <c r="V521" s="196"/>
      <c r="W521" s="196"/>
      <c r="X521" s="196"/>
      <c r="Y521" s="196"/>
      <c r="Z521" s="196"/>
      <c r="AA521" s="196"/>
      <c r="AB521" s="196"/>
    </row>
    <row r="522" spans="1:28" ht="12.9">
      <c r="A522" s="196"/>
      <c r="B522" s="143"/>
      <c r="C522" s="196"/>
      <c r="D522" s="196"/>
      <c r="E522" s="196"/>
      <c r="F522" s="220"/>
      <c r="G522" s="143"/>
      <c r="H522" s="196"/>
      <c r="I522" s="196"/>
      <c r="J522" s="196"/>
      <c r="K522" s="196"/>
      <c r="L522" s="196"/>
      <c r="M522" s="196"/>
      <c r="N522" s="196"/>
      <c r="O522" s="196"/>
      <c r="P522" s="196"/>
      <c r="Q522" s="196"/>
      <c r="R522" s="196"/>
      <c r="S522" s="196"/>
      <c r="T522" s="196"/>
      <c r="U522" s="196"/>
      <c r="V522" s="196"/>
      <c r="W522" s="196"/>
      <c r="X522" s="196"/>
      <c r="Y522" s="196"/>
      <c r="Z522" s="196"/>
      <c r="AA522" s="196"/>
      <c r="AB522" s="196"/>
    </row>
    <row r="523" spans="1:28" ht="12.9">
      <c r="A523" s="196"/>
      <c r="B523" s="143"/>
      <c r="C523" s="196"/>
      <c r="D523" s="196"/>
      <c r="E523" s="196"/>
      <c r="F523" s="220"/>
      <c r="G523" s="143"/>
      <c r="H523" s="196"/>
      <c r="I523" s="196"/>
      <c r="J523" s="196"/>
      <c r="K523" s="196"/>
      <c r="L523" s="196"/>
      <c r="M523" s="196"/>
      <c r="N523" s="196"/>
      <c r="O523" s="196"/>
      <c r="P523" s="196"/>
      <c r="Q523" s="196"/>
      <c r="R523" s="196"/>
      <c r="S523" s="196"/>
      <c r="T523" s="196"/>
      <c r="U523" s="196"/>
      <c r="V523" s="196"/>
      <c r="W523" s="196"/>
      <c r="X523" s="196"/>
      <c r="Y523" s="196"/>
      <c r="Z523" s="196"/>
      <c r="AA523" s="196"/>
      <c r="AB523" s="196"/>
    </row>
    <row r="524" spans="1:28" ht="12.9">
      <c r="A524" s="196"/>
      <c r="B524" s="143"/>
      <c r="C524" s="196"/>
      <c r="D524" s="196"/>
      <c r="E524" s="196"/>
      <c r="F524" s="220"/>
      <c r="G524" s="143"/>
      <c r="H524" s="196"/>
      <c r="I524" s="196"/>
      <c r="J524" s="196"/>
      <c r="K524" s="196"/>
      <c r="L524" s="196"/>
      <c r="M524" s="196"/>
      <c r="N524" s="196"/>
      <c r="O524" s="196"/>
      <c r="P524" s="196"/>
      <c r="Q524" s="196"/>
      <c r="R524" s="196"/>
      <c r="S524" s="196"/>
      <c r="T524" s="196"/>
      <c r="U524" s="196"/>
      <c r="V524" s="196"/>
      <c r="W524" s="196"/>
      <c r="X524" s="196"/>
      <c r="Y524" s="196"/>
      <c r="Z524" s="196"/>
      <c r="AA524" s="196"/>
      <c r="AB524" s="196"/>
    </row>
    <row r="525" spans="1:28" ht="12.9">
      <c r="A525" s="196"/>
      <c r="B525" s="143"/>
      <c r="C525" s="196"/>
      <c r="D525" s="196"/>
      <c r="E525" s="196"/>
      <c r="F525" s="220"/>
      <c r="G525" s="143"/>
      <c r="H525" s="196"/>
      <c r="I525" s="196"/>
      <c r="J525" s="196"/>
      <c r="K525" s="196"/>
      <c r="L525" s="196"/>
      <c r="M525" s="196"/>
      <c r="N525" s="196"/>
      <c r="O525" s="196"/>
      <c r="P525" s="196"/>
      <c r="Q525" s="196"/>
      <c r="R525" s="196"/>
      <c r="S525" s="196"/>
      <c r="T525" s="196"/>
      <c r="U525" s="196"/>
      <c r="V525" s="196"/>
      <c r="W525" s="196"/>
      <c r="X525" s="196"/>
      <c r="Y525" s="196"/>
      <c r="Z525" s="196"/>
      <c r="AA525" s="196"/>
      <c r="AB525" s="196"/>
    </row>
    <row r="526" spans="1:28" ht="12.9">
      <c r="A526" s="196"/>
      <c r="B526" s="143"/>
      <c r="C526" s="196"/>
      <c r="D526" s="196"/>
      <c r="E526" s="196"/>
      <c r="F526" s="220"/>
      <c r="G526" s="143"/>
      <c r="H526" s="196"/>
      <c r="I526" s="196"/>
      <c r="J526" s="196"/>
      <c r="K526" s="196"/>
      <c r="L526" s="196"/>
      <c r="M526" s="196"/>
      <c r="N526" s="196"/>
      <c r="O526" s="196"/>
      <c r="P526" s="196"/>
      <c r="Q526" s="196"/>
      <c r="R526" s="196"/>
      <c r="S526" s="196"/>
      <c r="T526" s="196"/>
      <c r="U526" s="196"/>
      <c r="V526" s="196"/>
      <c r="W526" s="196"/>
      <c r="X526" s="196"/>
      <c r="Y526" s="196"/>
      <c r="Z526" s="196"/>
      <c r="AA526" s="196"/>
      <c r="AB526" s="196"/>
    </row>
    <row r="527" spans="1:28" ht="12.9">
      <c r="A527" s="196"/>
      <c r="B527" s="143"/>
      <c r="C527" s="196"/>
      <c r="D527" s="196"/>
      <c r="E527" s="196"/>
      <c r="F527" s="220"/>
      <c r="G527" s="143"/>
      <c r="H527" s="196"/>
      <c r="I527" s="196"/>
      <c r="J527" s="196"/>
      <c r="K527" s="196"/>
      <c r="L527" s="196"/>
      <c r="M527" s="196"/>
      <c r="N527" s="196"/>
      <c r="O527" s="196"/>
      <c r="P527" s="196"/>
      <c r="Q527" s="196"/>
      <c r="R527" s="196"/>
      <c r="S527" s="196"/>
      <c r="T527" s="196"/>
      <c r="U527" s="196"/>
      <c r="V527" s="196"/>
      <c r="W527" s="196"/>
      <c r="X527" s="196"/>
      <c r="Y527" s="196"/>
      <c r="Z527" s="196"/>
      <c r="AA527" s="196"/>
      <c r="AB527" s="196"/>
    </row>
    <row r="528" spans="1:28" ht="12.9">
      <c r="A528" s="196"/>
      <c r="B528" s="143"/>
      <c r="C528" s="196"/>
      <c r="D528" s="196"/>
      <c r="E528" s="196"/>
      <c r="F528" s="220"/>
      <c r="G528" s="143"/>
      <c r="H528" s="196"/>
      <c r="I528" s="196"/>
      <c r="J528" s="196"/>
      <c r="K528" s="196"/>
      <c r="L528" s="196"/>
      <c r="M528" s="196"/>
      <c r="N528" s="196"/>
      <c r="O528" s="196"/>
      <c r="P528" s="196"/>
      <c r="Q528" s="196"/>
      <c r="R528" s="196"/>
      <c r="S528" s="196"/>
      <c r="T528" s="196"/>
      <c r="U528" s="196"/>
      <c r="V528" s="196"/>
      <c r="W528" s="196"/>
      <c r="X528" s="196"/>
      <c r="Y528" s="196"/>
      <c r="Z528" s="196"/>
      <c r="AA528" s="196"/>
      <c r="AB528" s="196"/>
    </row>
    <row r="529" spans="1:28" ht="12.9">
      <c r="A529" s="196"/>
      <c r="B529" s="143"/>
      <c r="C529" s="196"/>
      <c r="D529" s="196"/>
      <c r="E529" s="196"/>
      <c r="F529" s="220"/>
      <c r="G529" s="143"/>
      <c r="H529" s="196"/>
      <c r="I529" s="196"/>
      <c r="J529" s="196"/>
      <c r="K529" s="196"/>
      <c r="L529" s="196"/>
      <c r="M529" s="196"/>
      <c r="N529" s="196"/>
      <c r="O529" s="196"/>
      <c r="P529" s="196"/>
      <c r="Q529" s="196"/>
      <c r="R529" s="196"/>
      <c r="S529" s="196"/>
      <c r="T529" s="196"/>
      <c r="U529" s="196"/>
      <c r="V529" s="196"/>
      <c r="W529" s="196"/>
      <c r="X529" s="196"/>
      <c r="Y529" s="196"/>
      <c r="Z529" s="196"/>
      <c r="AA529" s="196"/>
      <c r="AB529" s="196"/>
    </row>
    <row r="530" spans="1:28" ht="12.9">
      <c r="A530" s="196"/>
      <c r="B530" s="143"/>
      <c r="C530" s="196"/>
      <c r="D530" s="196"/>
      <c r="E530" s="196"/>
      <c r="F530" s="220"/>
      <c r="G530" s="143"/>
      <c r="H530" s="196"/>
      <c r="I530" s="196"/>
      <c r="J530" s="196"/>
      <c r="K530" s="196"/>
      <c r="L530" s="196"/>
      <c r="M530" s="196"/>
      <c r="N530" s="196"/>
      <c r="O530" s="196"/>
      <c r="P530" s="196"/>
      <c r="Q530" s="196"/>
      <c r="R530" s="196"/>
      <c r="S530" s="196"/>
      <c r="T530" s="196"/>
      <c r="U530" s="196"/>
      <c r="V530" s="196"/>
      <c r="W530" s="196"/>
      <c r="X530" s="196"/>
      <c r="Y530" s="196"/>
      <c r="Z530" s="196"/>
      <c r="AA530" s="196"/>
      <c r="AB530" s="196"/>
    </row>
    <row r="531" spans="1:28" ht="12.9">
      <c r="A531" s="196"/>
      <c r="B531" s="143"/>
      <c r="C531" s="196"/>
      <c r="D531" s="196"/>
      <c r="E531" s="196"/>
      <c r="F531" s="220"/>
      <c r="G531" s="143"/>
      <c r="H531" s="196"/>
      <c r="I531" s="196"/>
      <c r="J531" s="196"/>
      <c r="K531" s="196"/>
      <c r="L531" s="196"/>
      <c r="M531" s="196"/>
      <c r="N531" s="196"/>
      <c r="O531" s="196"/>
      <c r="P531" s="196"/>
      <c r="Q531" s="196"/>
      <c r="R531" s="196"/>
      <c r="S531" s="196"/>
      <c r="T531" s="196"/>
      <c r="U531" s="196"/>
      <c r="V531" s="196"/>
      <c r="W531" s="196"/>
      <c r="X531" s="196"/>
      <c r="Y531" s="196"/>
      <c r="Z531" s="196"/>
      <c r="AA531" s="196"/>
      <c r="AB531" s="196"/>
    </row>
    <row r="532" spans="1:28" ht="12.9">
      <c r="A532" s="196"/>
      <c r="B532" s="143"/>
      <c r="C532" s="196"/>
      <c r="D532" s="196"/>
      <c r="E532" s="196"/>
      <c r="F532" s="220"/>
      <c r="G532" s="143"/>
      <c r="H532" s="196"/>
      <c r="I532" s="196"/>
      <c r="J532" s="196"/>
      <c r="K532" s="196"/>
      <c r="L532" s="196"/>
      <c r="M532" s="196"/>
      <c r="N532" s="196"/>
      <c r="O532" s="196"/>
      <c r="P532" s="196"/>
      <c r="Q532" s="196"/>
      <c r="R532" s="196"/>
      <c r="S532" s="196"/>
      <c r="T532" s="196"/>
      <c r="U532" s="196"/>
      <c r="V532" s="196"/>
      <c r="W532" s="196"/>
      <c r="X532" s="196"/>
      <c r="Y532" s="196"/>
      <c r="Z532" s="196"/>
      <c r="AA532" s="196"/>
      <c r="AB532" s="196"/>
    </row>
    <row r="533" spans="1:28" ht="12.9">
      <c r="A533" s="196"/>
      <c r="B533" s="143"/>
      <c r="C533" s="196"/>
      <c r="D533" s="196"/>
      <c r="E533" s="196"/>
      <c r="F533" s="220"/>
      <c r="G533" s="143"/>
      <c r="H533" s="196"/>
      <c r="I533" s="196"/>
      <c r="J533" s="196"/>
      <c r="K533" s="196"/>
      <c r="L533" s="196"/>
      <c r="M533" s="196"/>
      <c r="N533" s="196"/>
      <c r="O533" s="196"/>
      <c r="P533" s="196"/>
      <c r="Q533" s="196"/>
      <c r="R533" s="196"/>
      <c r="S533" s="196"/>
      <c r="T533" s="196"/>
      <c r="U533" s="196"/>
      <c r="V533" s="196"/>
      <c r="W533" s="196"/>
      <c r="X533" s="196"/>
      <c r="Y533" s="196"/>
      <c r="Z533" s="196"/>
      <c r="AA533" s="196"/>
      <c r="AB533" s="196"/>
    </row>
    <row r="534" spans="1:28" ht="12.9">
      <c r="A534" s="196"/>
      <c r="B534" s="143"/>
      <c r="C534" s="196"/>
      <c r="D534" s="196"/>
      <c r="E534" s="196"/>
      <c r="F534" s="220"/>
      <c r="G534" s="143"/>
      <c r="H534" s="196"/>
      <c r="I534" s="196"/>
      <c r="J534" s="196"/>
      <c r="K534" s="196"/>
      <c r="L534" s="196"/>
      <c r="M534" s="196"/>
      <c r="N534" s="196"/>
      <c r="O534" s="196"/>
      <c r="P534" s="196"/>
      <c r="Q534" s="196"/>
      <c r="R534" s="196"/>
      <c r="S534" s="196"/>
      <c r="T534" s="196"/>
      <c r="U534" s="196"/>
      <c r="V534" s="196"/>
      <c r="W534" s="196"/>
      <c r="X534" s="196"/>
      <c r="Y534" s="196"/>
      <c r="Z534" s="196"/>
      <c r="AA534" s="196"/>
      <c r="AB534" s="196"/>
    </row>
    <row r="535" spans="1:28" ht="12.9">
      <c r="A535" s="196"/>
      <c r="B535" s="143"/>
      <c r="C535" s="196"/>
      <c r="D535" s="196"/>
      <c r="E535" s="196"/>
      <c r="F535" s="220"/>
      <c r="G535" s="143"/>
      <c r="H535" s="196"/>
      <c r="I535" s="196"/>
      <c r="J535" s="196"/>
      <c r="K535" s="196"/>
      <c r="L535" s="196"/>
      <c r="M535" s="196"/>
      <c r="N535" s="196"/>
      <c r="O535" s="196"/>
      <c r="P535" s="196"/>
      <c r="Q535" s="196"/>
      <c r="R535" s="196"/>
      <c r="S535" s="196"/>
      <c r="T535" s="196"/>
      <c r="U535" s="196"/>
      <c r="V535" s="196"/>
      <c r="W535" s="196"/>
      <c r="X535" s="196"/>
      <c r="Y535" s="196"/>
      <c r="Z535" s="196"/>
      <c r="AA535" s="196"/>
      <c r="AB535" s="196"/>
    </row>
    <row r="536" spans="1:28" ht="12.9">
      <c r="A536" s="196"/>
      <c r="B536" s="143"/>
      <c r="C536" s="196"/>
      <c r="D536" s="196"/>
      <c r="E536" s="196"/>
      <c r="F536" s="220"/>
      <c r="G536" s="143"/>
      <c r="H536" s="196"/>
      <c r="I536" s="196"/>
      <c r="J536" s="196"/>
      <c r="K536" s="196"/>
      <c r="L536" s="196"/>
      <c r="M536" s="196"/>
      <c r="N536" s="196"/>
      <c r="O536" s="196"/>
      <c r="P536" s="196"/>
      <c r="Q536" s="196"/>
      <c r="R536" s="196"/>
      <c r="S536" s="196"/>
      <c r="T536" s="196"/>
      <c r="U536" s="196"/>
      <c r="V536" s="196"/>
      <c r="W536" s="196"/>
      <c r="X536" s="196"/>
      <c r="Y536" s="196"/>
      <c r="Z536" s="196"/>
      <c r="AA536" s="196"/>
      <c r="AB536" s="196"/>
    </row>
    <row r="537" spans="1:28" ht="12.9">
      <c r="A537" s="196"/>
      <c r="B537" s="143"/>
      <c r="C537" s="196"/>
      <c r="D537" s="196"/>
      <c r="E537" s="196"/>
      <c r="F537" s="220"/>
      <c r="G537" s="143"/>
      <c r="H537" s="196"/>
      <c r="I537" s="196"/>
      <c r="J537" s="196"/>
      <c r="K537" s="196"/>
      <c r="L537" s="196"/>
      <c r="M537" s="196"/>
      <c r="N537" s="196"/>
      <c r="O537" s="196"/>
      <c r="P537" s="196"/>
      <c r="Q537" s="196"/>
      <c r="R537" s="196"/>
      <c r="S537" s="196"/>
      <c r="T537" s="196"/>
      <c r="U537" s="196"/>
      <c r="V537" s="196"/>
      <c r="W537" s="196"/>
      <c r="X537" s="196"/>
      <c r="Y537" s="196"/>
      <c r="Z537" s="196"/>
      <c r="AA537" s="196"/>
      <c r="AB537" s="196"/>
    </row>
    <row r="538" spans="1:28" ht="12.9">
      <c r="A538" s="196"/>
      <c r="B538" s="143"/>
      <c r="C538" s="196"/>
      <c r="D538" s="196"/>
      <c r="E538" s="196"/>
      <c r="F538" s="220"/>
      <c r="G538" s="143"/>
      <c r="H538" s="196"/>
      <c r="I538" s="196"/>
      <c r="J538" s="196"/>
      <c r="K538" s="196"/>
      <c r="L538" s="196"/>
      <c r="M538" s="196"/>
      <c r="N538" s="196"/>
      <c r="O538" s="196"/>
      <c r="P538" s="196"/>
      <c r="Q538" s="196"/>
      <c r="R538" s="196"/>
      <c r="S538" s="196"/>
      <c r="T538" s="196"/>
      <c r="U538" s="196"/>
      <c r="V538" s="196"/>
      <c r="W538" s="196"/>
      <c r="X538" s="196"/>
      <c r="Y538" s="196"/>
      <c r="Z538" s="196"/>
      <c r="AA538" s="196"/>
      <c r="AB538" s="196"/>
    </row>
    <row r="539" spans="1:28" ht="12.9">
      <c r="A539" s="196"/>
      <c r="B539" s="143"/>
      <c r="C539" s="196"/>
      <c r="D539" s="196"/>
      <c r="E539" s="196"/>
      <c r="F539" s="220"/>
      <c r="G539" s="143"/>
      <c r="H539" s="196"/>
      <c r="I539" s="196"/>
      <c r="J539" s="196"/>
      <c r="K539" s="196"/>
      <c r="L539" s="196"/>
      <c r="M539" s="196"/>
      <c r="N539" s="196"/>
      <c r="O539" s="196"/>
      <c r="P539" s="196"/>
      <c r="Q539" s="196"/>
      <c r="R539" s="196"/>
      <c r="S539" s="196"/>
      <c r="T539" s="196"/>
      <c r="U539" s="196"/>
      <c r="V539" s="196"/>
      <c r="W539" s="196"/>
      <c r="X539" s="196"/>
      <c r="Y539" s="196"/>
      <c r="Z539" s="196"/>
      <c r="AA539" s="196"/>
      <c r="AB539" s="196"/>
    </row>
    <row r="540" spans="1:28" ht="12.9">
      <c r="A540" s="196"/>
      <c r="B540" s="143"/>
      <c r="C540" s="196"/>
      <c r="D540" s="196"/>
      <c r="E540" s="196"/>
      <c r="F540" s="220"/>
      <c r="G540" s="143"/>
      <c r="H540" s="196"/>
      <c r="I540" s="196"/>
      <c r="J540" s="196"/>
      <c r="K540" s="196"/>
      <c r="L540" s="196"/>
      <c r="M540" s="196"/>
      <c r="N540" s="196"/>
      <c r="O540" s="196"/>
      <c r="P540" s="196"/>
      <c r="Q540" s="196"/>
      <c r="R540" s="196"/>
      <c r="S540" s="196"/>
      <c r="T540" s="196"/>
      <c r="U540" s="196"/>
      <c r="V540" s="196"/>
      <c r="W540" s="196"/>
      <c r="X540" s="196"/>
      <c r="Y540" s="196"/>
      <c r="Z540" s="196"/>
      <c r="AA540" s="196"/>
      <c r="AB540" s="196"/>
    </row>
    <row r="541" spans="1:28" ht="12.9">
      <c r="A541" s="196"/>
      <c r="B541" s="143"/>
      <c r="C541" s="196"/>
      <c r="D541" s="196"/>
      <c r="E541" s="196"/>
      <c r="F541" s="220"/>
      <c r="G541" s="143"/>
      <c r="H541" s="196"/>
      <c r="I541" s="196"/>
      <c r="J541" s="196"/>
      <c r="K541" s="196"/>
      <c r="L541" s="196"/>
      <c r="M541" s="196"/>
      <c r="N541" s="196"/>
      <c r="O541" s="196"/>
      <c r="P541" s="196"/>
      <c r="Q541" s="196"/>
      <c r="R541" s="196"/>
      <c r="S541" s="196"/>
      <c r="T541" s="196"/>
      <c r="U541" s="196"/>
      <c r="V541" s="196"/>
      <c r="W541" s="196"/>
      <c r="X541" s="196"/>
      <c r="Y541" s="196"/>
      <c r="Z541" s="196"/>
      <c r="AA541" s="196"/>
      <c r="AB541" s="196"/>
    </row>
    <row r="542" spans="1:28" ht="12.9">
      <c r="A542" s="196"/>
      <c r="B542" s="143"/>
      <c r="C542" s="196"/>
      <c r="D542" s="196"/>
      <c r="E542" s="196"/>
      <c r="F542" s="220"/>
      <c r="G542" s="143"/>
      <c r="H542" s="196"/>
      <c r="I542" s="196"/>
      <c r="J542" s="196"/>
      <c r="K542" s="196"/>
      <c r="L542" s="196"/>
      <c r="M542" s="196"/>
      <c r="N542" s="196"/>
      <c r="O542" s="196"/>
      <c r="P542" s="196"/>
      <c r="Q542" s="196"/>
      <c r="R542" s="196"/>
      <c r="S542" s="196"/>
      <c r="T542" s="196"/>
      <c r="U542" s="196"/>
      <c r="V542" s="196"/>
      <c r="W542" s="196"/>
      <c r="X542" s="196"/>
      <c r="Y542" s="196"/>
      <c r="Z542" s="196"/>
      <c r="AA542" s="196"/>
      <c r="AB542" s="196"/>
    </row>
    <row r="543" spans="1:28" ht="12.9">
      <c r="A543" s="196"/>
      <c r="B543" s="143"/>
      <c r="C543" s="196"/>
      <c r="D543" s="196"/>
      <c r="E543" s="196"/>
      <c r="F543" s="220"/>
      <c r="G543" s="143"/>
      <c r="H543" s="196"/>
      <c r="I543" s="196"/>
      <c r="J543" s="196"/>
      <c r="K543" s="196"/>
      <c r="L543" s="196"/>
      <c r="M543" s="196"/>
      <c r="N543" s="196"/>
      <c r="O543" s="196"/>
      <c r="P543" s="196"/>
      <c r="Q543" s="196"/>
      <c r="R543" s="196"/>
      <c r="S543" s="196"/>
      <c r="T543" s="196"/>
      <c r="U543" s="196"/>
      <c r="V543" s="196"/>
      <c r="W543" s="196"/>
      <c r="X543" s="196"/>
      <c r="Y543" s="196"/>
      <c r="Z543" s="196"/>
      <c r="AA543" s="196"/>
      <c r="AB543" s="196"/>
    </row>
    <row r="544" spans="1:28" ht="12.9">
      <c r="A544" s="196"/>
      <c r="B544" s="143"/>
      <c r="C544" s="196"/>
      <c r="D544" s="196"/>
      <c r="E544" s="196"/>
      <c r="F544" s="220"/>
      <c r="G544" s="143"/>
      <c r="H544" s="196"/>
      <c r="I544" s="196"/>
      <c r="J544" s="196"/>
      <c r="K544" s="196"/>
      <c r="L544" s="196"/>
      <c r="M544" s="196"/>
      <c r="N544" s="196"/>
      <c r="O544" s="196"/>
      <c r="P544" s="196"/>
      <c r="Q544" s="196"/>
      <c r="R544" s="196"/>
      <c r="S544" s="196"/>
      <c r="T544" s="196"/>
      <c r="U544" s="196"/>
      <c r="V544" s="196"/>
      <c r="W544" s="196"/>
      <c r="X544" s="196"/>
      <c r="Y544" s="196"/>
      <c r="Z544" s="196"/>
      <c r="AA544" s="196"/>
      <c r="AB544" s="196"/>
    </row>
    <row r="545" spans="1:28" ht="12.9">
      <c r="A545" s="196"/>
      <c r="B545" s="143"/>
      <c r="C545" s="196"/>
      <c r="D545" s="196"/>
      <c r="E545" s="196"/>
      <c r="F545" s="220"/>
      <c r="G545" s="143"/>
      <c r="H545" s="196"/>
      <c r="I545" s="196"/>
      <c r="J545" s="196"/>
      <c r="K545" s="196"/>
      <c r="L545" s="196"/>
      <c r="M545" s="196"/>
      <c r="N545" s="196"/>
      <c r="O545" s="196"/>
      <c r="P545" s="196"/>
      <c r="Q545" s="196"/>
      <c r="R545" s="196"/>
      <c r="S545" s="196"/>
      <c r="T545" s="196"/>
      <c r="U545" s="196"/>
      <c r="V545" s="196"/>
      <c r="W545" s="196"/>
      <c r="X545" s="196"/>
      <c r="Y545" s="196"/>
      <c r="Z545" s="196"/>
      <c r="AA545" s="196"/>
      <c r="AB545" s="196"/>
    </row>
    <row r="546" spans="1:28" ht="12.9">
      <c r="A546" s="196"/>
      <c r="B546" s="143"/>
      <c r="C546" s="196"/>
      <c r="D546" s="196"/>
      <c r="E546" s="196"/>
      <c r="F546" s="220"/>
      <c r="G546" s="143"/>
      <c r="H546" s="196"/>
      <c r="I546" s="196"/>
      <c r="J546" s="196"/>
      <c r="K546" s="196"/>
      <c r="L546" s="196"/>
      <c r="M546" s="196"/>
      <c r="N546" s="196"/>
      <c r="O546" s="196"/>
      <c r="P546" s="196"/>
      <c r="Q546" s="196"/>
      <c r="R546" s="196"/>
      <c r="S546" s="196"/>
      <c r="T546" s="196"/>
      <c r="U546" s="196"/>
      <c r="V546" s="196"/>
      <c r="W546" s="196"/>
      <c r="X546" s="196"/>
      <c r="Y546" s="196"/>
      <c r="Z546" s="196"/>
      <c r="AA546" s="196"/>
      <c r="AB546" s="196"/>
    </row>
    <row r="547" spans="1:28" ht="12.9">
      <c r="A547" s="196"/>
      <c r="B547" s="143"/>
      <c r="C547" s="196"/>
      <c r="D547" s="196"/>
      <c r="E547" s="196"/>
      <c r="F547" s="220"/>
      <c r="G547" s="143"/>
      <c r="H547" s="196"/>
      <c r="I547" s="196"/>
      <c r="J547" s="196"/>
      <c r="K547" s="196"/>
      <c r="L547" s="196"/>
      <c r="M547" s="196"/>
      <c r="N547" s="196"/>
      <c r="O547" s="196"/>
      <c r="P547" s="196"/>
      <c r="Q547" s="196"/>
      <c r="R547" s="196"/>
      <c r="S547" s="196"/>
      <c r="T547" s="196"/>
      <c r="U547" s="196"/>
      <c r="V547" s="196"/>
      <c r="W547" s="196"/>
      <c r="X547" s="196"/>
      <c r="Y547" s="196"/>
      <c r="Z547" s="196"/>
      <c r="AA547" s="196"/>
      <c r="AB547" s="196"/>
    </row>
    <row r="548" spans="1:28" ht="12.9">
      <c r="A548" s="196"/>
      <c r="B548" s="143"/>
      <c r="C548" s="196"/>
      <c r="D548" s="196"/>
      <c r="E548" s="196"/>
      <c r="F548" s="220"/>
      <c r="G548" s="143"/>
      <c r="H548" s="196"/>
      <c r="I548" s="196"/>
      <c r="J548" s="196"/>
      <c r="K548" s="196"/>
      <c r="L548" s="196"/>
      <c r="M548" s="196"/>
      <c r="N548" s="196"/>
      <c r="O548" s="196"/>
      <c r="P548" s="196"/>
      <c r="Q548" s="196"/>
      <c r="R548" s="196"/>
      <c r="S548" s="196"/>
      <c r="T548" s="196"/>
      <c r="U548" s="196"/>
      <c r="V548" s="196"/>
      <c r="W548" s="196"/>
      <c r="X548" s="196"/>
      <c r="Y548" s="196"/>
      <c r="Z548" s="196"/>
      <c r="AA548" s="196"/>
      <c r="AB548" s="196"/>
    </row>
    <row r="549" spans="1:28" ht="12.9">
      <c r="A549" s="196"/>
      <c r="B549" s="143"/>
      <c r="C549" s="196"/>
      <c r="D549" s="196"/>
      <c r="E549" s="196"/>
      <c r="F549" s="220"/>
      <c r="G549" s="143"/>
      <c r="H549" s="196"/>
      <c r="I549" s="196"/>
      <c r="J549" s="196"/>
      <c r="K549" s="196"/>
      <c r="L549" s="196"/>
      <c r="M549" s="196"/>
      <c r="N549" s="196"/>
      <c r="O549" s="196"/>
      <c r="P549" s="196"/>
      <c r="Q549" s="196"/>
      <c r="R549" s="196"/>
      <c r="S549" s="196"/>
      <c r="T549" s="196"/>
      <c r="U549" s="196"/>
      <c r="V549" s="196"/>
      <c r="W549" s="196"/>
      <c r="X549" s="196"/>
      <c r="Y549" s="196"/>
      <c r="Z549" s="196"/>
      <c r="AA549" s="196"/>
      <c r="AB549" s="196"/>
    </row>
    <row r="550" spans="1:28" ht="12.9">
      <c r="A550" s="196"/>
      <c r="B550" s="143"/>
      <c r="C550" s="196"/>
      <c r="D550" s="196"/>
      <c r="E550" s="196"/>
      <c r="F550" s="220"/>
      <c r="G550" s="143"/>
      <c r="H550" s="196"/>
      <c r="I550" s="196"/>
      <c r="J550" s="196"/>
      <c r="K550" s="196"/>
      <c r="L550" s="196"/>
      <c r="M550" s="196"/>
      <c r="N550" s="196"/>
      <c r="O550" s="196"/>
      <c r="P550" s="196"/>
      <c r="Q550" s="196"/>
      <c r="R550" s="196"/>
      <c r="S550" s="196"/>
      <c r="T550" s="196"/>
      <c r="U550" s="196"/>
      <c r="V550" s="196"/>
      <c r="W550" s="196"/>
      <c r="X550" s="196"/>
      <c r="Y550" s="196"/>
      <c r="Z550" s="196"/>
      <c r="AA550" s="196"/>
      <c r="AB550" s="196"/>
    </row>
    <row r="551" spans="1:28" ht="12.9">
      <c r="A551" s="196"/>
      <c r="B551" s="143"/>
      <c r="C551" s="196"/>
      <c r="D551" s="196"/>
      <c r="E551" s="196"/>
      <c r="F551" s="220"/>
      <c r="G551" s="143"/>
      <c r="H551" s="196"/>
      <c r="I551" s="196"/>
      <c r="J551" s="196"/>
      <c r="K551" s="196"/>
      <c r="L551" s="196"/>
      <c r="M551" s="196"/>
      <c r="N551" s="196"/>
      <c r="O551" s="196"/>
      <c r="P551" s="196"/>
      <c r="Q551" s="196"/>
      <c r="R551" s="196"/>
      <c r="S551" s="196"/>
      <c r="T551" s="196"/>
      <c r="U551" s="196"/>
      <c r="V551" s="196"/>
      <c r="W551" s="196"/>
      <c r="X551" s="196"/>
      <c r="Y551" s="196"/>
      <c r="Z551" s="196"/>
      <c r="AA551" s="196"/>
      <c r="AB551" s="196"/>
    </row>
    <row r="552" spans="1:28" ht="12.9">
      <c r="A552" s="196"/>
      <c r="B552" s="143"/>
      <c r="C552" s="196"/>
      <c r="D552" s="196"/>
      <c r="E552" s="196"/>
      <c r="F552" s="220"/>
      <c r="G552" s="143"/>
      <c r="H552" s="196"/>
      <c r="I552" s="196"/>
      <c r="J552" s="196"/>
      <c r="K552" s="196"/>
      <c r="L552" s="196"/>
      <c r="M552" s="196"/>
      <c r="N552" s="196"/>
      <c r="O552" s="196"/>
      <c r="P552" s="196"/>
      <c r="Q552" s="196"/>
      <c r="R552" s="196"/>
      <c r="S552" s="196"/>
      <c r="T552" s="196"/>
      <c r="U552" s="196"/>
      <c r="V552" s="196"/>
      <c r="W552" s="196"/>
      <c r="X552" s="196"/>
      <c r="Y552" s="196"/>
      <c r="Z552" s="196"/>
      <c r="AA552" s="196"/>
      <c r="AB552" s="196"/>
    </row>
    <row r="553" spans="1:28" ht="12.9">
      <c r="A553" s="196"/>
      <c r="B553" s="143"/>
      <c r="C553" s="196"/>
      <c r="D553" s="196"/>
      <c r="E553" s="196"/>
      <c r="F553" s="220"/>
      <c r="G553" s="143"/>
      <c r="H553" s="196"/>
      <c r="I553" s="196"/>
      <c r="J553" s="196"/>
      <c r="K553" s="196"/>
      <c r="L553" s="196"/>
      <c r="M553" s="196"/>
      <c r="N553" s="196"/>
      <c r="O553" s="196"/>
      <c r="P553" s="196"/>
      <c r="Q553" s="196"/>
      <c r="R553" s="196"/>
      <c r="S553" s="196"/>
      <c r="T553" s="196"/>
      <c r="U553" s="196"/>
      <c r="V553" s="196"/>
      <c r="W553" s="196"/>
      <c r="X553" s="196"/>
      <c r="Y553" s="196"/>
      <c r="Z553" s="196"/>
      <c r="AA553" s="196"/>
      <c r="AB553" s="196"/>
    </row>
    <row r="554" spans="1:28" ht="12.9">
      <c r="A554" s="196"/>
      <c r="B554" s="143"/>
      <c r="C554" s="196"/>
      <c r="D554" s="196"/>
      <c r="E554" s="196"/>
      <c r="F554" s="220"/>
      <c r="G554" s="143"/>
      <c r="H554" s="196"/>
      <c r="I554" s="196"/>
      <c r="J554" s="196"/>
      <c r="K554" s="196"/>
      <c r="L554" s="196"/>
      <c r="M554" s="196"/>
      <c r="N554" s="196"/>
      <c r="O554" s="196"/>
      <c r="P554" s="196"/>
      <c r="Q554" s="196"/>
      <c r="R554" s="196"/>
      <c r="S554" s="196"/>
      <c r="T554" s="196"/>
      <c r="U554" s="196"/>
      <c r="V554" s="196"/>
      <c r="W554" s="196"/>
      <c r="X554" s="196"/>
      <c r="Y554" s="196"/>
      <c r="Z554" s="196"/>
      <c r="AA554" s="196"/>
      <c r="AB554" s="196"/>
    </row>
    <row r="555" spans="1:28" ht="12.9">
      <c r="A555" s="196"/>
      <c r="B555" s="143"/>
      <c r="C555" s="196"/>
      <c r="D555" s="196"/>
      <c r="E555" s="196"/>
      <c r="F555" s="220"/>
      <c r="G555" s="143"/>
      <c r="H555" s="196"/>
      <c r="I555" s="196"/>
      <c r="J555" s="196"/>
      <c r="K555" s="196"/>
      <c r="L555" s="196"/>
      <c r="M555" s="196"/>
      <c r="N555" s="196"/>
      <c r="O555" s="196"/>
      <c r="P555" s="196"/>
      <c r="Q555" s="196"/>
      <c r="R555" s="196"/>
      <c r="S555" s="196"/>
      <c r="T555" s="196"/>
      <c r="U555" s="196"/>
      <c r="V555" s="196"/>
      <c r="W555" s="196"/>
      <c r="X555" s="196"/>
      <c r="Y555" s="196"/>
      <c r="Z555" s="196"/>
      <c r="AA555" s="196"/>
      <c r="AB555" s="196"/>
    </row>
    <row r="556" spans="1:28" ht="12.9">
      <c r="A556" s="196"/>
      <c r="B556" s="143"/>
      <c r="C556" s="196"/>
      <c r="D556" s="196"/>
      <c r="E556" s="196"/>
      <c r="F556" s="220"/>
      <c r="G556" s="143"/>
      <c r="H556" s="196"/>
      <c r="I556" s="196"/>
      <c r="J556" s="196"/>
      <c r="K556" s="196"/>
      <c r="L556" s="196"/>
      <c r="M556" s="196"/>
      <c r="N556" s="196"/>
      <c r="O556" s="196"/>
      <c r="P556" s="196"/>
      <c r="Q556" s="196"/>
      <c r="R556" s="196"/>
      <c r="S556" s="196"/>
      <c r="T556" s="196"/>
      <c r="U556" s="196"/>
      <c r="V556" s="196"/>
      <c r="W556" s="196"/>
      <c r="X556" s="196"/>
      <c r="Y556" s="196"/>
      <c r="Z556" s="196"/>
      <c r="AA556" s="196"/>
      <c r="AB556" s="196"/>
    </row>
    <row r="557" spans="1:28" ht="12.9">
      <c r="A557" s="196"/>
      <c r="B557" s="143"/>
      <c r="C557" s="196"/>
      <c r="D557" s="196"/>
      <c r="E557" s="196"/>
      <c r="F557" s="220"/>
      <c r="G557" s="143"/>
      <c r="H557" s="196"/>
      <c r="I557" s="196"/>
      <c r="J557" s="196"/>
      <c r="K557" s="196"/>
      <c r="L557" s="196"/>
      <c r="M557" s="196"/>
      <c r="N557" s="196"/>
      <c r="O557" s="196"/>
      <c r="P557" s="196"/>
      <c r="Q557" s="196"/>
      <c r="R557" s="196"/>
      <c r="S557" s="196"/>
      <c r="T557" s="196"/>
      <c r="U557" s="196"/>
      <c r="V557" s="196"/>
      <c r="W557" s="196"/>
      <c r="X557" s="196"/>
      <c r="Y557" s="196"/>
      <c r="Z557" s="196"/>
      <c r="AA557" s="196"/>
      <c r="AB557" s="196"/>
    </row>
    <row r="558" spans="1:28" ht="12.9">
      <c r="A558" s="196"/>
      <c r="B558" s="143"/>
      <c r="C558" s="196"/>
      <c r="D558" s="196"/>
      <c r="E558" s="196"/>
      <c r="F558" s="220"/>
      <c r="G558" s="143"/>
      <c r="H558" s="196"/>
      <c r="I558" s="196"/>
      <c r="J558" s="196"/>
      <c r="K558" s="196"/>
      <c r="L558" s="196"/>
      <c r="M558" s="196"/>
      <c r="N558" s="196"/>
      <c r="O558" s="196"/>
      <c r="P558" s="196"/>
      <c r="Q558" s="196"/>
      <c r="R558" s="196"/>
      <c r="S558" s="196"/>
      <c r="T558" s="196"/>
      <c r="U558" s="196"/>
      <c r="V558" s="196"/>
      <c r="W558" s="196"/>
      <c r="X558" s="196"/>
      <c r="Y558" s="196"/>
      <c r="Z558" s="196"/>
      <c r="AA558" s="196"/>
      <c r="AB558" s="196"/>
    </row>
    <row r="559" spans="1:28" ht="12.9">
      <c r="A559" s="196"/>
      <c r="B559" s="143"/>
      <c r="C559" s="196"/>
      <c r="D559" s="196"/>
      <c r="E559" s="196"/>
      <c r="F559" s="220"/>
      <c r="G559" s="143"/>
      <c r="H559" s="196"/>
      <c r="I559" s="196"/>
      <c r="J559" s="196"/>
      <c r="K559" s="196"/>
      <c r="L559" s="196"/>
      <c r="M559" s="196"/>
      <c r="N559" s="196"/>
      <c r="O559" s="196"/>
      <c r="P559" s="196"/>
      <c r="Q559" s="196"/>
      <c r="R559" s="196"/>
      <c r="S559" s="196"/>
      <c r="T559" s="196"/>
      <c r="U559" s="196"/>
      <c r="V559" s="196"/>
      <c r="W559" s="196"/>
      <c r="X559" s="196"/>
      <c r="Y559" s="196"/>
      <c r="Z559" s="196"/>
      <c r="AA559" s="196"/>
      <c r="AB559" s="196"/>
    </row>
    <row r="560" spans="1:28" ht="12.9">
      <c r="A560" s="196"/>
      <c r="B560" s="143"/>
      <c r="C560" s="196"/>
      <c r="D560" s="196"/>
      <c r="E560" s="196"/>
      <c r="F560" s="220"/>
      <c r="G560" s="143"/>
      <c r="H560" s="196"/>
      <c r="I560" s="196"/>
      <c r="J560" s="196"/>
      <c r="K560" s="196"/>
      <c r="L560" s="196"/>
      <c r="M560" s="196"/>
      <c r="N560" s="196"/>
      <c r="O560" s="196"/>
      <c r="P560" s="196"/>
      <c r="Q560" s="196"/>
      <c r="R560" s="196"/>
      <c r="S560" s="196"/>
      <c r="T560" s="196"/>
      <c r="U560" s="196"/>
      <c r="V560" s="196"/>
      <c r="W560" s="196"/>
      <c r="X560" s="196"/>
      <c r="Y560" s="196"/>
      <c r="Z560" s="196"/>
      <c r="AA560" s="196"/>
      <c r="AB560" s="196"/>
    </row>
    <row r="561" spans="1:28" ht="12.9">
      <c r="A561" s="196"/>
      <c r="B561" s="143"/>
      <c r="C561" s="196"/>
      <c r="D561" s="196"/>
      <c r="E561" s="196"/>
      <c r="F561" s="220"/>
      <c r="G561" s="143"/>
      <c r="H561" s="196"/>
      <c r="I561" s="196"/>
      <c r="J561" s="196"/>
      <c r="K561" s="196"/>
      <c r="L561" s="196"/>
      <c r="M561" s="196"/>
      <c r="N561" s="196"/>
      <c r="O561" s="196"/>
      <c r="P561" s="196"/>
      <c r="Q561" s="196"/>
      <c r="R561" s="196"/>
      <c r="S561" s="196"/>
      <c r="T561" s="196"/>
      <c r="U561" s="196"/>
      <c r="V561" s="196"/>
      <c r="W561" s="196"/>
      <c r="X561" s="196"/>
      <c r="Y561" s="196"/>
      <c r="Z561" s="196"/>
      <c r="AA561" s="196"/>
      <c r="AB561" s="196"/>
    </row>
    <row r="562" spans="1:28" ht="12.9">
      <c r="A562" s="196"/>
      <c r="B562" s="143"/>
      <c r="C562" s="196"/>
      <c r="D562" s="196"/>
      <c r="E562" s="196"/>
      <c r="F562" s="220"/>
      <c r="G562" s="143"/>
      <c r="H562" s="196"/>
      <c r="I562" s="196"/>
      <c r="J562" s="196"/>
      <c r="K562" s="196"/>
      <c r="L562" s="196"/>
      <c r="M562" s="196"/>
      <c r="N562" s="196"/>
      <c r="O562" s="196"/>
      <c r="P562" s="196"/>
      <c r="Q562" s="196"/>
      <c r="R562" s="196"/>
      <c r="S562" s="196"/>
      <c r="T562" s="196"/>
      <c r="U562" s="196"/>
      <c r="V562" s="196"/>
      <c r="W562" s="196"/>
      <c r="X562" s="196"/>
      <c r="Y562" s="196"/>
      <c r="Z562" s="196"/>
      <c r="AA562" s="196"/>
      <c r="AB562" s="196"/>
    </row>
    <row r="563" spans="1:28" ht="12.9">
      <c r="A563" s="196"/>
      <c r="B563" s="143"/>
      <c r="C563" s="196"/>
      <c r="D563" s="196"/>
      <c r="E563" s="196"/>
      <c r="F563" s="220"/>
      <c r="G563" s="143"/>
      <c r="H563" s="196"/>
      <c r="I563" s="196"/>
      <c r="J563" s="196"/>
      <c r="K563" s="196"/>
      <c r="L563" s="196"/>
      <c r="M563" s="196"/>
      <c r="N563" s="196"/>
      <c r="O563" s="196"/>
      <c r="P563" s="196"/>
      <c r="Q563" s="196"/>
      <c r="R563" s="196"/>
      <c r="S563" s="196"/>
      <c r="T563" s="196"/>
      <c r="U563" s="196"/>
      <c r="V563" s="196"/>
      <c r="W563" s="196"/>
      <c r="X563" s="196"/>
      <c r="Y563" s="196"/>
      <c r="Z563" s="196"/>
      <c r="AA563" s="196"/>
      <c r="AB563" s="196"/>
    </row>
    <row r="564" spans="1:28" ht="12.9">
      <c r="A564" s="196"/>
      <c r="B564" s="143"/>
      <c r="C564" s="196"/>
      <c r="D564" s="196"/>
      <c r="E564" s="196"/>
      <c r="F564" s="220"/>
      <c r="G564" s="143"/>
      <c r="H564" s="196"/>
      <c r="I564" s="196"/>
      <c r="J564" s="196"/>
      <c r="K564" s="196"/>
      <c r="L564" s="196"/>
      <c r="M564" s="196"/>
      <c r="N564" s="196"/>
      <c r="O564" s="196"/>
      <c r="P564" s="196"/>
      <c r="Q564" s="196"/>
      <c r="R564" s="196"/>
      <c r="S564" s="196"/>
      <c r="T564" s="196"/>
      <c r="U564" s="196"/>
      <c r="V564" s="196"/>
      <c r="W564" s="196"/>
      <c r="X564" s="196"/>
      <c r="Y564" s="196"/>
      <c r="Z564" s="196"/>
      <c r="AA564" s="196"/>
      <c r="AB564" s="196"/>
    </row>
    <row r="565" spans="1:28" ht="12.9">
      <c r="A565" s="196"/>
      <c r="B565" s="143"/>
      <c r="C565" s="196"/>
      <c r="D565" s="196"/>
      <c r="E565" s="196"/>
      <c r="F565" s="220"/>
      <c r="G565" s="143"/>
      <c r="H565" s="196"/>
      <c r="I565" s="196"/>
      <c r="J565" s="196"/>
      <c r="K565" s="196"/>
      <c r="L565" s="196"/>
      <c r="M565" s="196"/>
      <c r="N565" s="196"/>
      <c r="O565" s="196"/>
      <c r="P565" s="196"/>
      <c r="Q565" s="196"/>
      <c r="R565" s="196"/>
      <c r="S565" s="196"/>
      <c r="T565" s="196"/>
      <c r="U565" s="196"/>
      <c r="V565" s="196"/>
      <c r="W565" s="196"/>
      <c r="X565" s="196"/>
      <c r="Y565" s="196"/>
      <c r="Z565" s="196"/>
      <c r="AA565" s="196"/>
      <c r="AB565" s="196"/>
    </row>
    <row r="566" spans="1:28" ht="12.9">
      <c r="A566" s="196"/>
      <c r="B566" s="143"/>
      <c r="C566" s="196"/>
      <c r="D566" s="196"/>
      <c r="E566" s="196"/>
      <c r="F566" s="220"/>
      <c r="G566" s="143"/>
      <c r="H566" s="196"/>
      <c r="I566" s="196"/>
      <c r="J566" s="196"/>
      <c r="K566" s="196"/>
      <c r="L566" s="196"/>
      <c r="M566" s="196"/>
      <c r="N566" s="196"/>
      <c r="O566" s="196"/>
      <c r="P566" s="196"/>
      <c r="Q566" s="196"/>
      <c r="R566" s="196"/>
      <c r="S566" s="196"/>
      <c r="T566" s="196"/>
      <c r="U566" s="196"/>
      <c r="V566" s="196"/>
      <c r="W566" s="196"/>
      <c r="X566" s="196"/>
      <c r="Y566" s="196"/>
      <c r="Z566" s="196"/>
      <c r="AA566" s="196"/>
      <c r="AB566" s="196"/>
    </row>
    <row r="567" spans="1:28" ht="12.9">
      <c r="A567" s="196"/>
      <c r="B567" s="143"/>
      <c r="C567" s="196"/>
      <c r="D567" s="196"/>
      <c r="E567" s="196"/>
      <c r="F567" s="220"/>
      <c r="G567" s="143"/>
      <c r="H567" s="196"/>
      <c r="I567" s="196"/>
      <c r="J567" s="196"/>
      <c r="K567" s="196"/>
      <c r="L567" s="196"/>
      <c r="M567" s="196"/>
      <c r="N567" s="196"/>
      <c r="O567" s="196"/>
      <c r="P567" s="196"/>
      <c r="Q567" s="196"/>
      <c r="R567" s="196"/>
      <c r="S567" s="196"/>
      <c r="T567" s="196"/>
      <c r="U567" s="196"/>
      <c r="V567" s="196"/>
      <c r="W567" s="196"/>
      <c r="X567" s="196"/>
      <c r="Y567" s="196"/>
      <c r="Z567" s="196"/>
      <c r="AA567" s="196"/>
      <c r="AB567" s="196"/>
    </row>
    <row r="568" spans="1:28" ht="12.9">
      <c r="A568" s="196"/>
      <c r="B568" s="143"/>
      <c r="C568" s="196"/>
      <c r="D568" s="196"/>
      <c r="E568" s="196"/>
      <c r="F568" s="220"/>
      <c r="G568" s="143"/>
      <c r="H568" s="196"/>
      <c r="I568" s="196"/>
      <c r="J568" s="196"/>
      <c r="K568" s="196"/>
      <c r="L568" s="196"/>
      <c r="M568" s="196"/>
      <c r="N568" s="196"/>
      <c r="O568" s="196"/>
      <c r="P568" s="196"/>
      <c r="Q568" s="196"/>
      <c r="R568" s="196"/>
      <c r="S568" s="196"/>
      <c r="T568" s="196"/>
      <c r="U568" s="196"/>
      <c r="V568" s="196"/>
      <c r="W568" s="196"/>
      <c r="X568" s="196"/>
      <c r="Y568" s="196"/>
      <c r="Z568" s="196"/>
      <c r="AA568" s="196"/>
      <c r="AB568" s="196"/>
    </row>
    <row r="569" spans="1:28" ht="12.9">
      <c r="A569" s="196"/>
      <c r="B569" s="143"/>
      <c r="C569" s="196"/>
      <c r="D569" s="196"/>
      <c r="E569" s="196"/>
      <c r="F569" s="220"/>
      <c r="G569" s="143"/>
      <c r="H569" s="196"/>
      <c r="I569" s="196"/>
      <c r="J569" s="196"/>
      <c r="K569" s="196"/>
      <c r="L569" s="196"/>
      <c r="M569" s="196"/>
      <c r="N569" s="196"/>
      <c r="O569" s="196"/>
      <c r="P569" s="196"/>
      <c r="Q569" s="196"/>
      <c r="R569" s="196"/>
      <c r="S569" s="196"/>
      <c r="T569" s="196"/>
      <c r="U569" s="196"/>
      <c r="V569" s="196"/>
      <c r="W569" s="196"/>
      <c r="X569" s="196"/>
      <c r="Y569" s="196"/>
      <c r="Z569" s="196"/>
      <c r="AA569" s="196"/>
      <c r="AB569" s="196"/>
    </row>
    <row r="570" spans="1:28" ht="12.9">
      <c r="A570" s="196"/>
      <c r="B570" s="143"/>
      <c r="C570" s="196"/>
      <c r="D570" s="196"/>
      <c r="E570" s="196"/>
      <c r="F570" s="220"/>
      <c r="G570" s="143"/>
      <c r="H570" s="196"/>
      <c r="I570" s="196"/>
      <c r="J570" s="196"/>
      <c r="K570" s="196"/>
      <c r="L570" s="196"/>
      <c r="M570" s="196"/>
      <c r="N570" s="196"/>
      <c r="O570" s="196"/>
      <c r="P570" s="196"/>
      <c r="Q570" s="196"/>
      <c r="R570" s="196"/>
      <c r="S570" s="196"/>
      <c r="T570" s="196"/>
      <c r="U570" s="196"/>
      <c r="V570" s="196"/>
      <c r="W570" s="196"/>
      <c r="X570" s="196"/>
      <c r="Y570" s="196"/>
      <c r="Z570" s="196"/>
      <c r="AA570" s="196"/>
      <c r="AB570" s="196"/>
    </row>
    <row r="571" spans="1:28" ht="12.9">
      <c r="A571" s="196"/>
      <c r="B571" s="143"/>
      <c r="C571" s="196"/>
      <c r="D571" s="196"/>
      <c r="E571" s="196"/>
      <c r="F571" s="220"/>
      <c r="G571" s="143"/>
      <c r="H571" s="196"/>
      <c r="I571" s="196"/>
      <c r="J571" s="196"/>
      <c r="K571" s="196"/>
      <c r="L571" s="196"/>
      <c r="M571" s="196"/>
      <c r="N571" s="196"/>
      <c r="O571" s="196"/>
      <c r="P571" s="196"/>
      <c r="Q571" s="196"/>
      <c r="R571" s="196"/>
      <c r="S571" s="196"/>
      <c r="T571" s="196"/>
      <c r="U571" s="196"/>
      <c r="V571" s="196"/>
      <c r="W571" s="196"/>
      <c r="X571" s="196"/>
      <c r="Y571" s="196"/>
      <c r="Z571" s="196"/>
      <c r="AA571" s="196"/>
      <c r="AB571" s="196"/>
    </row>
    <row r="572" spans="1:28" ht="12.9">
      <c r="A572" s="196"/>
      <c r="B572" s="143"/>
      <c r="C572" s="196"/>
      <c r="D572" s="196"/>
      <c r="E572" s="196"/>
      <c r="F572" s="220"/>
      <c r="G572" s="143"/>
      <c r="H572" s="196"/>
      <c r="I572" s="196"/>
      <c r="J572" s="196"/>
      <c r="K572" s="196"/>
      <c r="L572" s="196"/>
      <c r="M572" s="196"/>
      <c r="N572" s="196"/>
      <c r="O572" s="196"/>
      <c r="P572" s="196"/>
      <c r="Q572" s="196"/>
      <c r="R572" s="196"/>
      <c r="S572" s="196"/>
      <c r="T572" s="196"/>
      <c r="U572" s="196"/>
      <c r="V572" s="196"/>
      <c r="W572" s="196"/>
      <c r="X572" s="196"/>
      <c r="Y572" s="196"/>
      <c r="Z572" s="196"/>
      <c r="AA572" s="196"/>
      <c r="AB572" s="196"/>
    </row>
    <row r="573" spans="1:28" ht="12.9">
      <c r="A573" s="196"/>
      <c r="B573" s="143"/>
      <c r="C573" s="196"/>
      <c r="D573" s="196"/>
      <c r="E573" s="196"/>
      <c r="F573" s="220"/>
      <c r="G573" s="143"/>
      <c r="H573" s="196"/>
      <c r="I573" s="196"/>
      <c r="J573" s="196"/>
      <c r="K573" s="196"/>
      <c r="L573" s="196"/>
      <c r="M573" s="196"/>
      <c r="N573" s="196"/>
      <c r="O573" s="196"/>
      <c r="P573" s="196"/>
      <c r="Q573" s="196"/>
      <c r="R573" s="196"/>
      <c r="S573" s="196"/>
      <c r="T573" s="196"/>
      <c r="U573" s="196"/>
      <c r="V573" s="196"/>
      <c r="W573" s="196"/>
      <c r="X573" s="196"/>
      <c r="Y573" s="196"/>
      <c r="Z573" s="196"/>
      <c r="AA573" s="196"/>
      <c r="AB573" s="196"/>
    </row>
    <row r="574" spans="1:28" ht="12.9">
      <c r="A574" s="196"/>
      <c r="B574" s="143"/>
      <c r="C574" s="196"/>
      <c r="D574" s="196"/>
      <c r="E574" s="196"/>
      <c r="F574" s="220"/>
      <c r="G574" s="143"/>
      <c r="H574" s="196"/>
      <c r="I574" s="196"/>
      <c r="J574" s="196"/>
      <c r="K574" s="196"/>
      <c r="L574" s="196"/>
      <c r="M574" s="196"/>
      <c r="N574" s="196"/>
      <c r="O574" s="196"/>
      <c r="P574" s="196"/>
      <c r="Q574" s="196"/>
      <c r="R574" s="196"/>
      <c r="S574" s="196"/>
      <c r="T574" s="196"/>
      <c r="U574" s="196"/>
      <c r="V574" s="196"/>
      <c r="W574" s="196"/>
      <c r="X574" s="196"/>
      <c r="Y574" s="196"/>
      <c r="Z574" s="196"/>
      <c r="AA574" s="196"/>
      <c r="AB574" s="196"/>
    </row>
    <row r="575" spans="1:28" ht="12.9">
      <c r="A575" s="196"/>
      <c r="B575" s="143"/>
      <c r="C575" s="196"/>
      <c r="D575" s="196"/>
      <c r="E575" s="196"/>
      <c r="F575" s="220"/>
      <c r="G575" s="143"/>
      <c r="H575" s="196"/>
      <c r="I575" s="196"/>
      <c r="J575" s="196"/>
      <c r="K575" s="196"/>
      <c r="L575" s="196"/>
      <c r="M575" s="196"/>
      <c r="N575" s="196"/>
      <c r="O575" s="196"/>
      <c r="P575" s="196"/>
      <c r="Q575" s="196"/>
      <c r="R575" s="196"/>
      <c r="S575" s="196"/>
      <c r="T575" s="196"/>
      <c r="U575" s="196"/>
      <c r="V575" s="196"/>
      <c r="W575" s="196"/>
      <c r="X575" s="196"/>
      <c r="Y575" s="196"/>
      <c r="Z575" s="196"/>
      <c r="AA575" s="196"/>
      <c r="AB575" s="196"/>
    </row>
    <row r="576" spans="1:28" ht="12.9">
      <c r="A576" s="196"/>
      <c r="B576" s="143"/>
      <c r="C576" s="196"/>
      <c r="D576" s="196"/>
      <c r="E576" s="196"/>
      <c r="F576" s="220"/>
      <c r="G576" s="143"/>
      <c r="H576" s="196"/>
      <c r="I576" s="196"/>
      <c r="J576" s="196"/>
      <c r="K576" s="196"/>
      <c r="L576" s="196"/>
      <c r="M576" s="196"/>
      <c r="N576" s="196"/>
      <c r="O576" s="196"/>
      <c r="P576" s="196"/>
      <c r="Q576" s="196"/>
      <c r="R576" s="196"/>
      <c r="S576" s="196"/>
      <c r="T576" s="196"/>
      <c r="U576" s="196"/>
      <c r="V576" s="196"/>
      <c r="W576" s="196"/>
      <c r="X576" s="196"/>
      <c r="Y576" s="196"/>
      <c r="Z576" s="196"/>
      <c r="AA576" s="196"/>
      <c r="AB576" s="196"/>
    </row>
    <row r="577" spans="1:28" ht="12.9">
      <c r="A577" s="196"/>
      <c r="B577" s="143"/>
      <c r="C577" s="196"/>
      <c r="D577" s="196"/>
      <c r="E577" s="196"/>
      <c r="F577" s="220"/>
      <c r="G577" s="143"/>
      <c r="H577" s="196"/>
      <c r="I577" s="196"/>
      <c r="J577" s="196"/>
      <c r="K577" s="196"/>
      <c r="L577" s="196"/>
      <c r="M577" s="196"/>
      <c r="N577" s="196"/>
      <c r="O577" s="196"/>
      <c r="P577" s="196"/>
      <c r="Q577" s="196"/>
      <c r="R577" s="196"/>
      <c r="S577" s="196"/>
      <c r="T577" s="196"/>
      <c r="U577" s="196"/>
      <c r="V577" s="196"/>
      <c r="W577" s="196"/>
      <c r="X577" s="196"/>
      <c r="Y577" s="196"/>
      <c r="Z577" s="196"/>
      <c r="AA577" s="196"/>
      <c r="AB577" s="196"/>
    </row>
    <row r="578" spans="1:28" ht="12.9">
      <c r="A578" s="196"/>
      <c r="B578" s="143"/>
      <c r="C578" s="196"/>
      <c r="D578" s="196"/>
      <c r="E578" s="196"/>
      <c r="F578" s="220"/>
      <c r="G578" s="143"/>
      <c r="H578" s="196"/>
      <c r="I578" s="196"/>
      <c r="J578" s="196"/>
      <c r="K578" s="196"/>
      <c r="L578" s="196"/>
      <c r="M578" s="196"/>
      <c r="N578" s="196"/>
      <c r="O578" s="196"/>
      <c r="P578" s="196"/>
      <c r="Q578" s="196"/>
      <c r="R578" s="196"/>
      <c r="S578" s="196"/>
      <c r="T578" s="196"/>
      <c r="U578" s="196"/>
      <c r="V578" s="196"/>
      <c r="W578" s="196"/>
      <c r="X578" s="196"/>
      <c r="Y578" s="196"/>
      <c r="Z578" s="196"/>
      <c r="AA578" s="196"/>
      <c r="AB578" s="196"/>
    </row>
    <row r="579" spans="1:28" ht="12.9">
      <c r="A579" s="196"/>
      <c r="B579" s="143"/>
      <c r="C579" s="196"/>
      <c r="D579" s="196"/>
      <c r="E579" s="196"/>
      <c r="F579" s="220"/>
      <c r="G579" s="143"/>
      <c r="H579" s="196"/>
      <c r="I579" s="196"/>
      <c r="J579" s="196"/>
      <c r="K579" s="196"/>
      <c r="L579" s="196"/>
      <c r="M579" s="196"/>
      <c r="N579" s="196"/>
      <c r="O579" s="196"/>
      <c r="P579" s="196"/>
      <c r="Q579" s="196"/>
      <c r="R579" s="196"/>
      <c r="S579" s="196"/>
      <c r="T579" s="196"/>
      <c r="U579" s="196"/>
      <c r="V579" s="196"/>
      <c r="W579" s="196"/>
      <c r="X579" s="196"/>
      <c r="Y579" s="196"/>
      <c r="Z579" s="196"/>
      <c r="AA579" s="196"/>
      <c r="AB579" s="196"/>
    </row>
    <row r="580" spans="1:28" ht="12.9">
      <c r="A580" s="196"/>
      <c r="B580" s="143"/>
      <c r="C580" s="196"/>
      <c r="D580" s="196"/>
      <c r="E580" s="196"/>
      <c r="F580" s="220"/>
      <c r="G580" s="143"/>
      <c r="H580" s="196"/>
      <c r="I580" s="196"/>
      <c r="J580" s="196"/>
      <c r="K580" s="196"/>
      <c r="L580" s="196"/>
      <c r="M580" s="196"/>
      <c r="N580" s="196"/>
      <c r="O580" s="196"/>
      <c r="P580" s="196"/>
      <c r="Q580" s="196"/>
      <c r="R580" s="196"/>
      <c r="S580" s="196"/>
      <c r="T580" s="196"/>
      <c r="U580" s="196"/>
      <c r="V580" s="196"/>
      <c r="W580" s="196"/>
      <c r="X580" s="196"/>
      <c r="Y580" s="196"/>
      <c r="Z580" s="196"/>
      <c r="AA580" s="196"/>
      <c r="AB580" s="196"/>
    </row>
    <row r="581" spans="1:28" ht="12.9">
      <c r="A581" s="196"/>
      <c r="B581" s="143"/>
      <c r="C581" s="196"/>
      <c r="D581" s="196"/>
      <c r="E581" s="196"/>
      <c r="F581" s="220"/>
      <c r="G581" s="143"/>
      <c r="H581" s="196"/>
      <c r="I581" s="196"/>
      <c r="J581" s="196"/>
      <c r="K581" s="196"/>
      <c r="L581" s="196"/>
      <c r="M581" s="196"/>
      <c r="N581" s="196"/>
      <c r="O581" s="196"/>
      <c r="P581" s="196"/>
      <c r="Q581" s="196"/>
      <c r="R581" s="196"/>
      <c r="S581" s="196"/>
      <c r="T581" s="196"/>
      <c r="U581" s="196"/>
      <c r="V581" s="196"/>
      <c r="W581" s="196"/>
      <c r="X581" s="196"/>
      <c r="Y581" s="196"/>
      <c r="Z581" s="196"/>
      <c r="AA581" s="196"/>
      <c r="AB581" s="196"/>
    </row>
    <row r="582" spans="1:28" ht="12.9">
      <c r="A582" s="196"/>
      <c r="B582" s="143"/>
      <c r="C582" s="196"/>
      <c r="D582" s="196"/>
      <c r="E582" s="196"/>
      <c r="F582" s="220"/>
      <c r="G582" s="143"/>
      <c r="H582" s="196"/>
      <c r="I582" s="196"/>
      <c r="J582" s="196"/>
      <c r="K582" s="196"/>
      <c r="L582" s="196"/>
      <c r="M582" s="196"/>
      <c r="N582" s="196"/>
      <c r="O582" s="196"/>
      <c r="P582" s="196"/>
      <c r="Q582" s="196"/>
      <c r="R582" s="196"/>
      <c r="S582" s="196"/>
      <c r="T582" s="196"/>
      <c r="U582" s="196"/>
      <c r="V582" s="196"/>
      <c r="W582" s="196"/>
      <c r="X582" s="196"/>
      <c r="Y582" s="196"/>
      <c r="Z582" s="196"/>
      <c r="AA582" s="196"/>
      <c r="AB582" s="196"/>
    </row>
    <row r="583" spans="1:28" ht="12.9">
      <c r="A583" s="196"/>
      <c r="B583" s="143"/>
      <c r="C583" s="196"/>
      <c r="D583" s="196"/>
      <c r="E583" s="196"/>
      <c r="F583" s="220"/>
      <c r="G583" s="143"/>
      <c r="H583" s="196"/>
      <c r="I583" s="196"/>
      <c r="J583" s="196"/>
      <c r="K583" s="196"/>
      <c r="L583" s="196"/>
      <c r="M583" s="196"/>
      <c r="N583" s="196"/>
      <c r="O583" s="196"/>
      <c r="P583" s="196"/>
      <c r="Q583" s="196"/>
      <c r="R583" s="196"/>
      <c r="S583" s="196"/>
      <c r="T583" s="196"/>
      <c r="U583" s="196"/>
      <c r="V583" s="196"/>
      <c r="W583" s="196"/>
      <c r="X583" s="196"/>
      <c r="Y583" s="196"/>
      <c r="Z583" s="196"/>
      <c r="AA583" s="196"/>
      <c r="AB583" s="196"/>
    </row>
    <row r="584" spans="1:28" ht="12.9">
      <c r="A584" s="196"/>
      <c r="B584" s="143"/>
      <c r="C584" s="196"/>
      <c r="D584" s="196"/>
      <c r="E584" s="196"/>
      <c r="F584" s="220"/>
      <c r="G584" s="143"/>
      <c r="H584" s="196"/>
      <c r="I584" s="196"/>
      <c r="J584" s="196"/>
      <c r="K584" s="196"/>
      <c r="L584" s="196"/>
      <c r="M584" s="196"/>
      <c r="N584" s="196"/>
      <c r="O584" s="196"/>
      <c r="P584" s="196"/>
      <c r="Q584" s="196"/>
      <c r="R584" s="196"/>
      <c r="S584" s="196"/>
      <c r="T584" s="196"/>
      <c r="U584" s="196"/>
      <c r="V584" s="196"/>
      <c r="W584" s="196"/>
      <c r="X584" s="196"/>
      <c r="Y584" s="196"/>
      <c r="Z584" s="196"/>
      <c r="AA584" s="196"/>
      <c r="AB584" s="196"/>
    </row>
    <row r="585" spans="1:28" ht="12.9">
      <c r="A585" s="196"/>
      <c r="B585" s="143"/>
      <c r="C585" s="196"/>
      <c r="D585" s="196"/>
      <c r="E585" s="196"/>
      <c r="F585" s="220"/>
      <c r="G585" s="143"/>
      <c r="H585" s="196"/>
      <c r="I585" s="196"/>
      <c r="J585" s="196"/>
      <c r="K585" s="196"/>
      <c r="L585" s="196"/>
      <c r="M585" s="196"/>
      <c r="N585" s="196"/>
      <c r="O585" s="196"/>
      <c r="P585" s="196"/>
      <c r="Q585" s="196"/>
      <c r="R585" s="196"/>
      <c r="S585" s="196"/>
      <c r="T585" s="196"/>
      <c r="U585" s="196"/>
      <c r="V585" s="196"/>
      <c r="W585" s="196"/>
      <c r="X585" s="196"/>
      <c r="Y585" s="196"/>
      <c r="Z585" s="196"/>
      <c r="AA585" s="196"/>
      <c r="AB585" s="196"/>
    </row>
    <row r="586" spans="1:28" ht="12.9">
      <c r="A586" s="196"/>
      <c r="B586" s="143"/>
      <c r="C586" s="196"/>
      <c r="D586" s="196"/>
      <c r="E586" s="196"/>
      <c r="F586" s="220"/>
      <c r="G586" s="143"/>
      <c r="H586" s="196"/>
      <c r="I586" s="196"/>
      <c r="J586" s="196"/>
      <c r="K586" s="196"/>
      <c r="L586" s="196"/>
      <c r="M586" s="196"/>
      <c r="N586" s="196"/>
      <c r="O586" s="196"/>
      <c r="P586" s="196"/>
      <c r="Q586" s="196"/>
      <c r="R586" s="196"/>
      <c r="S586" s="196"/>
      <c r="T586" s="196"/>
      <c r="U586" s="196"/>
      <c r="V586" s="196"/>
      <c r="W586" s="196"/>
      <c r="X586" s="196"/>
      <c r="Y586" s="196"/>
      <c r="Z586" s="196"/>
      <c r="AA586" s="196"/>
      <c r="AB586" s="196"/>
    </row>
    <row r="587" spans="1:28" ht="12.9">
      <c r="A587" s="196"/>
      <c r="B587" s="143"/>
      <c r="C587" s="196"/>
      <c r="D587" s="196"/>
      <c r="E587" s="196"/>
      <c r="F587" s="220"/>
      <c r="G587" s="143"/>
      <c r="H587" s="196"/>
      <c r="I587" s="196"/>
      <c r="J587" s="196"/>
      <c r="K587" s="196"/>
      <c r="L587" s="196"/>
      <c r="M587" s="196"/>
      <c r="N587" s="196"/>
      <c r="O587" s="196"/>
      <c r="P587" s="196"/>
      <c r="Q587" s="196"/>
      <c r="R587" s="196"/>
      <c r="S587" s="196"/>
      <c r="T587" s="196"/>
      <c r="U587" s="196"/>
      <c r="V587" s="196"/>
      <c r="W587" s="196"/>
      <c r="X587" s="196"/>
      <c r="Y587" s="196"/>
      <c r="Z587" s="196"/>
      <c r="AA587" s="196"/>
      <c r="AB587" s="196"/>
    </row>
    <row r="588" spans="1:28" ht="12.9">
      <c r="A588" s="196"/>
      <c r="B588" s="143"/>
      <c r="C588" s="196"/>
      <c r="D588" s="196"/>
      <c r="E588" s="196"/>
      <c r="F588" s="220"/>
      <c r="G588" s="143"/>
      <c r="H588" s="196"/>
      <c r="I588" s="196"/>
      <c r="J588" s="196"/>
      <c r="K588" s="196"/>
      <c r="L588" s="196"/>
      <c r="M588" s="196"/>
      <c r="N588" s="196"/>
      <c r="O588" s="196"/>
      <c r="P588" s="196"/>
      <c r="Q588" s="196"/>
      <c r="R588" s="196"/>
      <c r="S588" s="196"/>
      <c r="T588" s="196"/>
      <c r="U588" s="196"/>
      <c r="V588" s="196"/>
      <c r="W588" s="196"/>
      <c r="X588" s="196"/>
      <c r="Y588" s="196"/>
      <c r="Z588" s="196"/>
      <c r="AA588" s="196"/>
      <c r="AB588" s="196"/>
    </row>
    <row r="589" spans="1:28" ht="12.9">
      <c r="A589" s="196"/>
      <c r="B589" s="143"/>
      <c r="C589" s="196"/>
      <c r="D589" s="196"/>
      <c r="E589" s="196"/>
      <c r="F589" s="220"/>
      <c r="G589" s="143"/>
      <c r="H589" s="196"/>
      <c r="I589" s="196"/>
      <c r="J589" s="196"/>
      <c r="K589" s="196"/>
      <c r="L589" s="196"/>
      <c r="M589" s="196"/>
      <c r="N589" s="196"/>
      <c r="O589" s="196"/>
      <c r="P589" s="196"/>
      <c r="Q589" s="196"/>
      <c r="R589" s="196"/>
      <c r="S589" s="196"/>
      <c r="T589" s="196"/>
      <c r="U589" s="196"/>
      <c r="V589" s="196"/>
      <c r="W589" s="196"/>
      <c r="X589" s="196"/>
      <c r="Y589" s="196"/>
      <c r="Z589" s="196"/>
      <c r="AA589" s="196"/>
      <c r="AB589" s="196"/>
    </row>
    <row r="590" spans="1:28" ht="12.9">
      <c r="A590" s="196"/>
      <c r="B590" s="143"/>
      <c r="C590" s="196"/>
      <c r="D590" s="196"/>
      <c r="E590" s="196"/>
      <c r="F590" s="220"/>
      <c r="G590" s="143"/>
      <c r="H590" s="196"/>
      <c r="I590" s="196"/>
      <c r="J590" s="196"/>
      <c r="K590" s="196"/>
      <c r="L590" s="196"/>
      <c r="M590" s="196"/>
      <c r="N590" s="196"/>
      <c r="O590" s="196"/>
      <c r="P590" s="196"/>
      <c r="Q590" s="196"/>
      <c r="R590" s="196"/>
      <c r="S590" s="196"/>
      <c r="T590" s="196"/>
      <c r="U590" s="196"/>
      <c r="V590" s="196"/>
      <c r="W590" s="196"/>
      <c r="X590" s="196"/>
      <c r="Y590" s="196"/>
      <c r="Z590" s="196"/>
      <c r="AA590" s="196"/>
      <c r="AB590" s="196"/>
    </row>
    <row r="591" spans="1:28" ht="12.9">
      <c r="A591" s="196"/>
      <c r="B591" s="143"/>
      <c r="C591" s="196"/>
      <c r="D591" s="196"/>
      <c r="E591" s="196"/>
      <c r="F591" s="220"/>
      <c r="G591" s="143"/>
      <c r="H591" s="196"/>
      <c r="I591" s="196"/>
      <c r="J591" s="196"/>
      <c r="K591" s="196"/>
      <c r="L591" s="196"/>
      <c r="M591" s="196"/>
      <c r="N591" s="196"/>
      <c r="O591" s="196"/>
      <c r="P591" s="196"/>
      <c r="Q591" s="196"/>
      <c r="R591" s="196"/>
      <c r="S591" s="196"/>
      <c r="T591" s="196"/>
      <c r="U591" s="196"/>
      <c r="V591" s="196"/>
      <c r="W591" s="196"/>
      <c r="X591" s="196"/>
      <c r="Y591" s="196"/>
      <c r="Z591" s="196"/>
      <c r="AA591" s="196"/>
      <c r="AB591" s="196"/>
    </row>
    <row r="592" spans="1:28" ht="12.9">
      <c r="A592" s="196"/>
      <c r="B592" s="143"/>
      <c r="C592" s="196"/>
      <c r="D592" s="196"/>
      <c r="E592" s="196"/>
      <c r="F592" s="220"/>
      <c r="G592" s="143"/>
      <c r="H592" s="196"/>
      <c r="I592" s="196"/>
      <c r="J592" s="196"/>
      <c r="K592" s="196"/>
      <c r="L592" s="196"/>
      <c r="M592" s="196"/>
      <c r="N592" s="196"/>
      <c r="O592" s="196"/>
      <c r="P592" s="196"/>
      <c r="Q592" s="196"/>
      <c r="R592" s="196"/>
      <c r="S592" s="196"/>
      <c r="T592" s="196"/>
      <c r="U592" s="196"/>
      <c r="V592" s="196"/>
      <c r="W592" s="196"/>
      <c r="X592" s="196"/>
      <c r="Y592" s="196"/>
      <c r="Z592" s="196"/>
      <c r="AA592" s="196"/>
      <c r="AB592" s="196"/>
    </row>
    <row r="593" spans="1:28" ht="12.9">
      <c r="A593" s="196"/>
      <c r="B593" s="143"/>
      <c r="C593" s="196"/>
      <c r="D593" s="196"/>
      <c r="E593" s="196"/>
      <c r="F593" s="220"/>
      <c r="G593" s="143"/>
      <c r="H593" s="196"/>
      <c r="I593" s="196"/>
      <c r="J593" s="196"/>
      <c r="K593" s="196"/>
      <c r="L593" s="196"/>
      <c r="M593" s="196"/>
      <c r="N593" s="196"/>
      <c r="O593" s="196"/>
      <c r="P593" s="196"/>
      <c r="Q593" s="196"/>
      <c r="R593" s="196"/>
      <c r="S593" s="196"/>
      <c r="T593" s="196"/>
      <c r="U593" s="196"/>
      <c r="V593" s="196"/>
      <c r="W593" s="196"/>
      <c r="X593" s="196"/>
      <c r="Y593" s="196"/>
      <c r="Z593" s="196"/>
      <c r="AA593" s="196"/>
      <c r="AB593" s="196"/>
    </row>
    <row r="594" spans="1:28" ht="12.9">
      <c r="A594" s="196"/>
      <c r="B594" s="143"/>
      <c r="C594" s="196"/>
      <c r="D594" s="196"/>
      <c r="E594" s="196"/>
      <c r="F594" s="220"/>
      <c r="G594" s="143"/>
      <c r="H594" s="196"/>
      <c r="I594" s="196"/>
      <c r="J594" s="196"/>
      <c r="K594" s="196"/>
      <c r="L594" s="196"/>
      <c r="M594" s="196"/>
      <c r="N594" s="196"/>
      <c r="O594" s="196"/>
      <c r="P594" s="196"/>
      <c r="Q594" s="196"/>
      <c r="R594" s="196"/>
      <c r="S594" s="196"/>
      <c r="T594" s="196"/>
      <c r="U594" s="196"/>
      <c r="V594" s="196"/>
      <c r="W594" s="196"/>
      <c r="X594" s="196"/>
      <c r="Y594" s="196"/>
      <c r="Z594" s="196"/>
      <c r="AA594" s="196"/>
      <c r="AB594" s="196"/>
    </row>
    <row r="595" spans="1:28" ht="12.9">
      <c r="A595" s="196"/>
      <c r="B595" s="143"/>
      <c r="C595" s="196"/>
      <c r="D595" s="196"/>
      <c r="E595" s="196"/>
      <c r="F595" s="220"/>
      <c r="G595" s="143"/>
      <c r="H595" s="196"/>
      <c r="I595" s="196"/>
      <c r="J595" s="196"/>
      <c r="K595" s="196"/>
      <c r="L595" s="196"/>
      <c r="M595" s="196"/>
      <c r="N595" s="196"/>
      <c r="O595" s="196"/>
      <c r="P595" s="196"/>
      <c r="Q595" s="196"/>
      <c r="R595" s="196"/>
      <c r="S595" s="196"/>
      <c r="T595" s="196"/>
      <c r="U595" s="196"/>
      <c r="V595" s="196"/>
      <c r="W595" s="196"/>
      <c r="X595" s="196"/>
      <c r="Y595" s="196"/>
      <c r="Z595" s="196"/>
      <c r="AA595" s="196"/>
      <c r="AB595" s="196"/>
    </row>
    <row r="596" spans="1:28" ht="12.9">
      <c r="A596" s="196"/>
      <c r="B596" s="143"/>
      <c r="C596" s="196"/>
      <c r="D596" s="196"/>
      <c r="E596" s="196"/>
      <c r="F596" s="220"/>
      <c r="G596" s="143"/>
      <c r="H596" s="196"/>
      <c r="I596" s="196"/>
      <c r="J596" s="196"/>
      <c r="K596" s="196"/>
      <c r="L596" s="196"/>
      <c r="M596" s="196"/>
      <c r="N596" s="196"/>
      <c r="O596" s="196"/>
      <c r="P596" s="196"/>
      <c r="Q596" s="196"/>
      <c r="R596" s="196"/>
      <c r="S596" s="196"/>
      <c r="T596" s="196"/>
      <c r="U596" s="196"/>
      <c r="V596" s="196"/>
      <c r="W596" s="196"/>
      <c r="X596" s="196"/>
      <c r="Y596" s="196"/>
      <c r="Z596" s="196"/>
      <c r="AA596" s="196"/>
      <c r="AB596" s="196"/>
    </row>
    <row r="597" spans="1:28" ht="12.9">
      <c r="A597" s="196"/>
      <c r="B597" s="143"/>
      <c r="C597" s="196"/>
      <c r="D597" s="196"/>
      <c r="E597" s="196"/>
      <c r="F597" s="220"/>
      <c r="G597" s="143"/>
      <c r="H597" s="196"/>
      <c r="I597" s="196"/>
      <c r="J597" s="196"/>
      <c r="K597" s="196"/>
      <c r="L597" s="196"/>
      <c r="M597" s="196"/>
      <c r="N597" s="196"/>
      <c r="O597" s="196"/>
      <c r="P597" s="196"/>
      <c r="Q597" s="196"/>
      <c r="R597" s="196"/>
      <c r="S597" s="196"/>
      <c r="T597" s="196"/>
      <c r="U597" s="196"/>
      <c r="V597" s="196"/>
      <c r="W597" s="196"/>
      <c r="X597" s="196"/>
      <c r="Y597" s="196"/>
      <c r="Z597" s="196"/>
      <c r="AA597" s="196"/>
      <c r="AB597" s="196"/>
    </row>
    <row r="598" spans="1:28" ht="12.9">
      <c r="A598" s="196"/>
      <c r="B598" s="143"/>
      <c r="C598" s="196"/>
      <c r="D598" s="196"/>
      <c r="E598" s="196"/>
      <c r="F598" s="220"/>
      <c r="G598" s="143"/>
      <c r="H598" s="196"/>
      <c r="I598" s="196"/>
      <c r="J598" s="196"/>
      <c r="K598" s="196"/>
      <c r="L598" s="196"/>
      <c r="M598" s="196"/>
      <c r="N598" s="196"/>
      <c r="O598" s="196"/>
      <c r="P598" s="196"/>
      <c r="Q598" s="196"/>
      <c r="R598" s="196"/>
      <c r="S598" s="196"/>
      <c r="T598" s="196"/>
      <c r="U598" s="196"/>
      <c r="V598" s="196"/>
      <c r="W598" s="196"/>
      <c r="X598" s="196"/>
      <c r="Y598" s="196"/>
      <c r="Z598" s="196"/>
      <c r="AA598" s="196"/>
      <c r="AB598" s="196"/>
    </row>
    <row r="599" spans="1:28" ht="12.9">
      <c r="A599" s="196"/>
      <c r="B599" s="143"/>
      <c r="C599" s="196"/>
      <c r="D599" s="196"/>
      <c r="E599" s="196"/>
      <c r="F599" s="220"/>
      <c r="G599" s="143"/>
      <c r="H599" s="196"/>
      <c r="I599" s="196"/>
      <c r="J599" s="196"/>
      <c r="K599" s="196"/>
      <c r="L599" s="196"/>
      <c r="M599" s="196"/>
      <c r="N599" s="196"/>
      <c r="O599" s="196"/>
      <c r="P599" s="196"/>
      <c r="Q599" s="196"/>
      <c r="R599" s="196"/>
      <c r="S599" s="196"/>
      <c r="T599" s="196"/>
      <c r="U599" s="196"/>
      <c r="V599" s="196"/>
      <c r="W599" s="196"/>
      <c r="X599" s="196"/>
      <c r="Y599" s="196"/>
      <c r="Z599" s="196"/>
      <c r="AA599" s="196"/>
      <c r="AB599" s="196"/>
    </row>
    <row r="600" spans="1:28" ht="12.9">
      <c r="A600" s="196"/>
      <c r="B600" s="143"/>
      <c r="C600" s="196"/>
      <c r="D600" s="196"/>
      <c r="E600" s="196"/>
      <c r="F600" s="220"/>
      <c r="G600" s="143"/>
      <c r="H600" s="196"/>
      <c r="I600" s="196"/>
      <c r="J600" s="196"/>
      <c r="K600" s="196"/>
      <c r="L600" s="196"/>
      <c r="M600" s="196"/>
      <c r="N600" s="196"/>
      <c r="O600" s="196"/>
      <c r="P600" s="196"/>
      <c r="Q600" s="196"/>
      <c r="R600" s="196"/>
      <c r="S600" s="196"/>
      <c r="T600" s="196"/>
      <c r="U600" s="196"/>
      <c r="V600" s="196"/>
      <c r="W600" s="196"/>
      <c r="X600" s="196"/>
      <c r="Y600" s="196"/>
      <c r="Z600" s="196"/>
      <c r="AA600" s="196"/>
      <c r="AB600" s="196"/>
    </row>
    <row r="601" spans="1:28" ht="12.9">
      <c r="A601" s="196"/>
      <c r="B601" s="143"/>
      <c r="C601" s="196"/>
      <c r="D601" s="196"/>
      <c r="E601" s="196"/>
      <c r="F601" s="220"/>
      <c r="G601" s="143"/>
      <c r="H601" s="196"/>
      <c r="I601" s="196"/>
      <c r="J601" s="196"/>
      <c r="K601" s="196"/>
      <c r="L601" s="196"/>
      <c r="M601" s="196"/>
      <c r="N601" s="196"/>
      <c r="O601" s="196"/>
      <c r="P601" s="196"/>
      <c r="Q601" s="196"/>
      <c r="R601" s="196"/>
      <c r="S601" s="196"/>
      <c r="T601" s="196"/>
      <c r="U601" s="196"/>
      <c r="V601" s="196"/>
      <c r="W601" s="196"/>
      <c r="X601" s="196"/>
      <c r="Y601" s="196"/>
      <c r="Z601" s="196"/>
      <c r="AA601" s="196"/>
      <c r="AB601" s="196"/>
    </row>
    <row r="602" spans="1:28" ht="12.9">
      <c r="A602" s="196"/>
      <c r="B602" s="143"/>
      <c r="C602" s="196"/>
      <c r="D602" s="196"/>
      <c r="E602" s="196"/>
      <c r="F602" s="220"/>
      <c r="G602" s="143"/>
      <c r="H602" s="196"/>
      <c r="I602" s="196"/>
      <c r="J602" s="196"/>
      <c r="K602" s="196"/>
      <c r="L602" s="196"/>
      <c r="M602" s="196"/>
      <c r="N602" s="196"/>
      <c r="O602" s="196"/>
      <c r="P602" s="196"/>
      <c r="Q602" s="196"/>
      <c r="R602" s="196"/>
      <c r="S602" s="196"/>
      <c r="T602" s="196"/>
      <c r="U602" s="196"/>
      <c r="V602" s="196"/>
      <c r="W602" s="196"/>
      <c r="X602" s="196"/>
      <c r="Y602" s="196"/>
      <c r="Z602" s="196"/>
      <c r="AA602" s="196"/>
      <c r="AB602" s="196"/>
    </row>
    <row r="603" spans="1:28" ht="12.9">
      <c r="A603" s="196"/>
      <c r="B603" s="143"/>
      <c r="C603" s="196"/>
      <c r="D603" s="196"/>
      <c r="E603" s="196"/>
      <c r="F603" s="220"/>
      <c r="G603" s="143"/>
      <c r="H603" s="196"/>
      <c r="I603" s="196"/>
      <c r="J603" s="196"/>
      <c r="K603" s="196"/>
      <c r="L603" s="196"/>
      <c r="M603" s="196"/>
      <c r="N603" s="196"/>
      <c r="O603" s="196"/>
      <c r="P603" s="196"/>
      <c r="Q603" s="196"/>
      <c r="R603" s="196"/>
      <c r="S603" s="196"/>
      <c r="T603" s="196"/>
      <c r="U603" s="196"/>
      <c r="V603" s="196"/>
      <c r="W603" s="196"/>
      <c r="X603" s="196"/>
      <c r="Y603" s="196"/>
      <c r="Z603" s="196"/>
      <c r="AA603" s="196"/>
      <c r="AB603" s="196"/>
    </row>
    <row r="604" spans="1:28" ht="12.9">
      <c r="A604" s="196"/>
      <c r="B604" s="143"/>
      <c r="C604" s="196"/>
      <c r="D604" s="196"/>
      <c r="E604" s="196"/>
      <c r="F604" s="220"/>
      <c r="G604" s="143"/>
      <c r="H604" s="196"/>
      <c r="I604" s="196"/>
      <c r="J604" s="196"/>
      <c r="K604" s="196"/>
      <c r="L604" s="196"/>
      <c r="M604" s="196"/>
      <c r="N604" s="196"/>
      <c r="O604" s="196"/>
      <c r="P604" s="196"/>
      <c r="Q604" s="196"/>
      <c r="R604" s="196"/>
      <c r="S604" s="196"/>
      <c r="T604" s="196"/>
      <c r="U604" s="196"/>
      <c r="V604" s="196"/>
      <c r="W604" s="196"/>
      <c r="X604" s="196"/>
      <c r="Y604" s="196"/>
      <c r="Z604" s="196"/>
      <c r="AA604" s="196"/>
      <c r="AB604" s="196"/>
    </row>
    <row r="605" spans="1:28" ht="12.9">
      <c r="A605" s="196"/>
      <c r="B605" s="143"/>
      <c r="C605" s="196"/>
      <c r="D605" s="196"/>
      <c r="E605" s="196"/>
      <c r="F605" s="220"/>
      <c r="G605" s="143"/>
      <c r="H605" s="196"/>
      <c r="I605" s="196"/>
      <c r="J605" s="196"/>
      <c r="K605" s="196"/>
      <c r="L605" s="196"/>
      <c r="M605" s="196"/>
      <c r="N605" s="196"/>
      <c r="O605" s="196"/>
      <c r="P605" s="196"/>
      <c r="Q605" s="196"/>
      <c r="R605" s="196"/>
      <c r="S605" s="196"/>
      <c r="T605" s="196"/>
      <c r="U605" s="196"/>
      <c r="V605" s="196"/>
      <c r="W605" s="196"/>
      <c r="X605" s="196"/>
      <c r="Y605" s="196"/>
      <c r="Z605" s="196"/>
      <c r="AA605" s="196"/>
      <c r="AB605" s="196"/>
    </row>
    <row r="606" spans="1:28" ht="12.9">
      <c r="A606" s="196"/>
      <c r="B606" s="143"/>
      <c r="C606" s="196"/>
      <c r="D606" s="196"/>
      <c r="E606" s="196"/>
      <c r="F606" s="220"/>
      <c r="G606" s="143"/>
      <c r="H606" s="196"/>
      <c r="I606" s="196"/>
      <c r="J606" s="196"/>
      <c r="K606" s="196"/>
      <c r="L606" s="196"/>
      <c r="M606" s="196"/>
      <c r="N606" s="196"/>
      <c r="O606" s="196"/>
      <c r="P606" s="196"/>
      <c r="Q606" s="196"/>
      <c r="R606" s="196"/>
      <c r="S606" s="196"/>
      <c r="T606" s="196"/>
      <c r="U606" s="196"/>
      <c r="V606" s="196"/>
      <c r="W606" s="196"/>
      <c r="X606" s="196"/>
      <c r="Y606" s="196"/>
      <c r="Z606" s="196"/>
      <c r="AA606" s="196"/>
      <c r="AB606" s="196"/>
    </row>
    <row r="607" spans="1:28" ht="12.9">
      <c r="A607" s="196"/>
      <c r="B607" s="143"/>
      <c r="C607" s="196"/>
      <c r="D607" s="196"/>
      <c r="E607" s="196"/>
      <c r="F607" s="220"/>
      <c r="G607" s="143"/>
      <c r="H607" s="196"/>
      <c r="I607" s="196"/>
      <c r="J607" s="196"/>
      <c r="K607" s="196"/>
      <c r="L607" s="196"/>
      <c r="M607" s="196"/>
      <c r="N607" s="196"/>
      <c r="O607" s="196"/>
      <c r="P607" s="196"/>
      <c r="Q607" s="196"/>
      <c r="R607" s="196"/>
      <c r="S607" s="196"/>
      <c r="T607" s="196"/>
      <c r="U607" s="196"/>
      <c r="V607" s="196"/>
      <c r="W607" s="196"/>
      <c r="X607" s="196"/>
      <c r="Y607" s="196"/>
      <c r="Z607" s="196"/>
      <c r="AA607" s="196"/>
      <c r="AB607" s="196"/>
    </row>
    <row r="608" spans="1:28" ht="12.9">
      <c r="A608" s="196"/>
      <c r="B608" s="143"/>
      <c r="C608" s="196"/>
      <c r="D608" s="196"/>
      <c r="E608" s="196"/>
      <c r="F608" s="220"/>
      <c r="G608" s="143"/>
      <c r="H608" s="196"/>
      <c r="I608" s="196"/>
      <c r="J608" s="196"/>
      <c r="K608" s="196"/>
      <c r="L608" s="196"/>
      <c r="M608" s="196"/>
      <c r="N608" s="196"/>
      <c r="O608" s="196"/>
      <c r="P608" s="196"/>
      <c r="Q608" s="196"/>
      <c r="R608" s="196"/>
      <c r="S608" s="196"/>
      <c r="T608" s="196"/>
      <c r="U608" s="196"/>
      <c r="V608" s="196"/>
      <c r="W608" s="196"/>
      <c r="X608" s="196"/>
      <c r="Y608" s="196"/>
      <c r="Z608" s="196"/>
      <c r="AA608" s="196"/>
      <c r="AB608" s="196"/>
    </row>
    <row r="609" spans="1:28" ht="12.9">
      <c r="A609" s="196"/>
      <c r="B609" s="143"/>
      <c r="C609" s="196"/>
      <c r="D609" s="196"/>
      <c r="E609" s="196"/>
      <c r="F609" s="220"/>
      <c r="G609" s="143"/>
      <c r="H609" s="196"/>
      <c r="I609" s="196"/>
      <c r="J609" s="196"/>
      <c r="K609" s="196"/>
      <c r="L609" s="196"/>
      <c r="M609" s="196"/>
      <c r="N609" s="196"/>
      <c r="O609" s="196"/>
      <c r="P609" s="196"/>
      <c r="Q609" s="196"/>
      <c r="R609" s="196"/>
      <c r="S609" s="196"/>
      <c r="T609" s="196"/>
      <c r="U609" s="196"/>
      <c r="V609" s="196"/>
      <c r="W609" s="196"/>
      <c r="X609" s="196"/>
      <c r="Y609" s="196"/>
      <c r="Z609" s="196"/>
      <c r="AA609" s="196"/>
      <c r="AB609" s="196"/>
    </row>
    <row r="610" spans="1:28" ht="12.9">
      <c r="A610" s="196"/>
      <c r="B610" s="143"/>
      <c r="C610" s="196"/>
      <c r="D610" s="196"/>
      <c r="E610" s="196"/>
      <c r="F610" s="220"/>
      <c r="G610" s="143"/>
      <c r="H610" s="196"/>
      <c r="I610" s="196"/>
      <c r="J610" s="196"/>
      <c r="K610" s="196"/>
      <c r="L610" s="196"/>
      <c r="M610" s="196"/>
      <c r="N610" s="196"/>
      <c r="O610" s="196"/>
      <c r="P610" s="196"/>
      <c r="Q610" s="196"/>
      <c r="R610" s="196"/>
      <c r="S610" s="196"/>
      <c r="T610" s="196"/>
      <c r="U610" s="196"/>
      <c r="V610" s="196"/>
      <c r="W610" s="196"/>
      <c r="X610" s="196"/>
      <c r="Y610" s="196"/>
      <c r="Z610" s="196"/>
      <c r="AA610" s="196"/>
      <c r="AB610" s="196"/>
    </row>
    <row r="611" spans="1:28" ht="12.9">
      <c r="A611" s="196"/>
      <c r="B611" s="143"/>
      <c r="C611" s="196"/>
      <c r="D611" s="196"/>
      <c r="E611" s="196"/>
      <c r="F611" s="220"/>
      <c r="G611" s="143"/>
      <c r="H611" s="196"/>
      <c r="I611" s="196"/>
      <c r="J611" s="196"/>
      <c r="K611" s="196"/>
      <c r="L611" s="196"/>
      <c r="M611" s="196"/>
      <c r="N611" s="196"/>
      <c r="O611" s="196"/>
      <c r="P611" s="196"/>
      <c r="Q611" s="196"/>
      <c r="R611" s="196"/>
      <c r="S611" s="196"/>
      <c r="T611" s="196"/>
      <c r="U611" s="196"/>
      <c r="V611" s="196"/>
      <c r="W611" s="196"/>
      <c r="X611" s="196"/>
      <c r="Y611" s="196"/>
      <c r="Z611" s="196"/>
      <c r="AA611" s="196"/>
      <c r="AB611" s="196"/>
    </row>
    <row r="612" spans="1:28" ht="12.9">
      <c r="A612" s="196"/>
      <c r="B612" s="143"/>
      <c r="C612" s="196"/>
      <c r="D612" s="196"/>
      <c r="E612" s="196"/>
      <c r="F612" s="220"/>
      <c r="G612" s="143"/>
      <c r="H612" s="196"/>
      <c r="I612" s="196"/>
      <c r="J612" s="196"/>
      <c r="K612" s="196"/>
      <c r="L612" s="196"/>
      <c r="M612" s="196"/>
      <c r="N612" s="196"/>
      <c r="O612" s="196"/>
      <c r="P612" s="196"/>
      <c r="Q612" s="196"/>
      <c r="R612" s="196"/>
      <c r="S612" s="196"/>
      <c r="T612" s="196"/>
      <c r="U612" s="196"/>
      <c r="V612" s="196"/>
      <c r="W612" s="196"/>
      <c r="X612" s="196"/>
      <c r="Y612" s="196"/>
      <c r="Z612" s="196"/>
      <c r="AA612" s="196"/>
      <c r="AB612" s="196"/>
    </row>
    <row r="613" spans="1:28" ht="12.9">
      <c r="A613" s="196"/>
      <c r="B613" s="143"/>
      <c r="C613" s="196"/>
      <c r="D613" s="196"/>
      <c r="E613" s="196"/>
      <c r="F613" s="220"/>
      <c r="G613" s="143"/>
      <c r="H613" s="196"/>
      <c r="I613" s="196"/>
      <c r="J613" s="196"/>
      <c r="K613" s="196"/>
      <c r="L613" s="196"/>
      <c r="M613" s="196"/>
      <c r="N613" s="196"/>
      <c r="O613" s="196"/>
      <c r="P613" s="196"/>
      <c r="Q613" s="196"/>
      <c r="R613" s="196"/>
      <c r="S613" s="196"/>
      <c r="T613" s="196"/>
      <c r="U613" s="196"/>
      <c r="V613" s="196"/>
      <c r="W613" s="196"/>
      <c r="X613" s="196"/>
      <c r="Y613" s="196"/>
      <c r="Z613" s="196"/>
      <c r="AA613" s="196"/>
      <c r="AB613" s="196"/>
    </row>
    <row r="614" spans="1:28" ht="12.9">
      <c r="A614" s="196"/>
      <c r="B614" s="143"/>
      <c r="C614" s="196"/>
      <c r="D614" s="196"/>
      <c r="E614" s="196"/>
      <c r="F614" s="220"/>
      <c r="G614" s="143"/>
      <c r="H614" s="196"/>
      <c r="I614" s="196"/>
      <c r="J614" s="196"/>
      <c r="K614" s="196"/>
      <c r="L614" s="196"/>
      <c r="M614" s="196"/>
      <c r="N614" s="196"/>
      <c r="O614" s="196"/>
      <c r="P614" s="196"/>
      <c r="Q614" s="196"/>
      <c r="R614" s="196"/>
      <c r="S614" s="196"/>
      <c r="T614" s="196"/>
      <c r="U614" s="196"/>
      <c r="V614" s="196"/>
      <c r="W614" s="196"/>
      <c r="X614" s="196"/>
      <c r="Y614" s="196"/>
      <c r="Z614" s="196"/>
      <c r="AA614" s="196"/>
      <c r="AB614" s="196"/>
    </row>
    <row r="615" spans="1:28" ht="12.9">
      <c r="A615" s="196"/>
      <c r="B615" s="143"/>
      <c r="C615" s="196"/>
      <c r="D615" s="196"/>
      <c r="E615" s="196"/>
      <c r="F615" s="220"/>
      <c r="G615" s="143"/>
      <c r="H615" s="196"/>
      <c r="I615" s="196"/>
      <c r="J615" s="196"/>
      <c r="K615" s="196"/>
      <c r="L615" s="196"/>
      <c r="M615" s="196"/>
      <c r="N615" s="196"/>
      <c r="O615" s="196"/>
      <c r="P615" s="196"/>
      <c r="Q615" s="196"/>
      <c r="R615" s="196"/>
      <c r="S615" s="196"/>
      <c r="T615" s="196"/>
      <c r="U615" s="196"/>
      <c r="V615" s="196"/>
      <c r="W615" s="196"/>
      <c r="X615" s="196"/>
      <c r="Y615" s="196"/>
      <c r="Z615" s="196"/>
      <c r="AA615" s="196"/>
      <c r="AB615" s="196"/>
    </row>
    <row r="616" spans="1:28" ht="12.9">
      <c r="A616" s="196"/>
      <c r="B616" s="143"/>
      <c r="C616" s="196"/>
      <c r="D616" s="196"/>
      <c r="E616" s="196"/>
      <c r="F616" s="220"/>
      <c r="G616" s="143"/>
      <c r="H616" s="196"/>
      <c r="I616" s="196"/>
      <c r="J616" s="196"/>
      <c r="K616" s="196"/>
      <c r="L616" s="196"/>
      <c r="M616" s="196"/>
      <c r="N616" s="196"/>
      <c r="O616" s="196"/>
      <c r="P616" s="196"/>
      <c r="Q616" s="196"/>
      <c r="R616" s="196"/>
      <c r="S616" s="196"/>
      <c r="T616" s="196"/>
      <c r="U616" s="196"/>
      <c r="V616" s="196"/>
      <c r="W616" s="196"/>
      <c r="X616" s="196"/>
      <c r="Y616" s="196"/>
      <c r="Z616" s="196"/>
      <c r="AA616" s="196"/>
      <c r="AB616" s="196"/>
    </row>
    <row r="617" spans="1:28" ht="12.9">
      <c r="A617" s="196"/>
      <c r="B617" s="143"/>
      <c r="C617" s="196"/>
      <c r="D617" s="196"/>
      <c r="E617" s="196"/>
      <c r="F617" s="220"/>
      <c r="G617" s="143"/>
      <c r="H617" s="196"/>
      <c r="I617" s="196"/>
      <c r="J617" s="196"/>
      <c r="K617" s="196"/>
      <c r="L617" s="196"/>
      <c r="M617" s="196"/>
      <c r="N617" s="196"/>
      <c r="O617" s="196"/>
      <c r="P617" s="196"/>
      <c r="Q617" s="196"/>
      <c r="R617" s="196"/>
      <c r="S617" s="196"/>
      <c r="T617" s="196"/>
      <c r="U617" s="196"/>
      <c r="V617" s="196"/>
      <c r="W617" s="196"/>
      <c r="X617" s="196"/>
      <c r="Y617" s="196"/>
      <c r="Z617" s="196"/>
      <c r="AA617" s="196"/>
      <c r="AB617" s="196"/>
    </row>
    <row r="618" spans="1:28" ht="12.9">
      <c r="A618" s="196"/>
      <c r="B618" s="143"/>
      <c r="C618" s="196"/>
      <c r="D618" s="196"/>
      <c r="E618" s="196"/>
      <c r="F618" s="220"/>
      <c r="G618" s="143"/>
      <c r="H618" s="196"/>
      <c r="I618" s="196"/>
      <c r="J618" s="196"/>
      <c r="K618" s="196"/>
      <c r="L618" s="196"/>
      <c r="M618" s="196"/>
      <c r="N618" s="196"/>
      <c r="O618" s="196"/>
      <c r="P618" s="196"/>
      <c r="Q618" s="196"/>
      <c r="R618" s="196"/>
      <c r="S618" s="196"/>
      <c r="T618" s="196"/>
      <c r="U618" s="196"/>
      <c r="V618" s="196"/>
      <c r="W618" s="196"/>
      <c r="X618" s="196"/>
      <c r="Y618" s="196"/>
      <c r="Z618" s="196"/>
      <c r="AA618" s="196"/>
      <c r="AB618" s="196"/>
    </row>
    <row r="619" spans="1:28" ht="12.9">
      <c r="A619" s="196"/>
      <c r="B619" s="143"/>
      <c r="C619" s="196"/>
      <c r="D619" s="196"/>
      <c r="E619" s="196"/>
      <c r="F619" s="220"/>
      <c r="G619" s="143"/>
      <c r="H619" s="196"/>
      <c r="I619" s="196"/>
      <c r="J619" s="196"/>
      <c r="K619" s="196"/>
      <c r="L619" s="196"/>
      <c r="M619" s="196"/>
      <c r="N619" s="196"/>
      <c r="O619" s="196"/>
      <c r="P619" s="196"/>
      <c r="Q619" s="196"/>
      <c r="R619" s="196"/>
      <c r="S619" s="196"/>
      <c r="T619" s="196"/>
      <c r="U619" s="196"/>
      <c r="V619" s="196"/>
      <c r="W619" s="196"/>
      <c r="X619" s="196"/>
      <c r="Y619" s="196"/>
      <c r="Z619" s="196"/>
      <c r="AA619" s="196"/>
      <c r="AB619" s="196"/>
    </row>
    <row r="620" spans="1:28" ht="12.9">
      <c r="A620" s="196"/>
      <c r="B620" s="143"/>
      <c r="C620" s="196"/>
      <c r="D620" s="196"/>
      <c r="E620" s="196"/>
      <c r="F620" s="220"/>
      <c r="G620" s="143"/>
      <c r="H620" s="196"/>
      <c r="I620" s="196"/>
      <c r="J620" s="196"/>
      <c r="K620" s="196"/>
      <c r="L620" s="196"/>
      <c r="M620" s="196"/>
      <c r="N620" s="196"/>
      <c r="O620" s="196"/>
      <c r="P620" s="196"/>
      <c r="Q620" s="196"/>
      <c r="R620" s="196"/>
      <c r="S620" s="196"/>
      <c r="T620" s="196"/>
      <c r="U620" s="196"/>
      <c r="V620" s="196"/>
      <c r="W620" s="196"/>
      <c r="X620" s="196"/>
      <c r="Y620" s="196"/>
      <c r="Z620" s="196"/>
      <c r="AA620" s="196"/>
      <c r="AB620" s="196"/>
    </row>
    <row r="621" spans="1:28" ht="12.9">
      <c r="A621" s="196"/>
      <c r="B621" s="143"/>
      <c r="C621" s="196"/>
      <c r="D621" s="196"/>
      <c r="E621" s="196"/>
      <c r="F621" s="220"/>
      <c r="G621" s="143"/>
      <c r="H621" s="196"/>
      <c r="I621" s="196"/>
      <c r="J621" s="196"/>
      <c r="K621" s="196"/>
      <c r="L621" s="196"/>
      <c r="M621" s="196"/>
      <c r="N621" s="196"/>
      <c r="O621" s="196"/>
      <c r="P621" s="196"/>
      <c r="Q621" s="196"/>
      <c r="R621" s="196"/>
      <c r="S621" s="196"/>
      <c r="T621" s="196"/>
      <c r="U621" s="196"/>
      <c r="V621" s="196"/>
      <c r="W621" s="196"/>
      <c r="X621" s="196"/>
      <c r="Y621" s="196"/>
      <c r="Z621" s="196"/>
      <c r="AA621" s="196"/>
      <c r="AB621" s="196"/>
    </row>
    <row r="622" spans="1:28" ht="12.9">
      <c r="A622" s="196"/>
      <c r="B622" s="143"/>
      <c r="C622" s="196"/>
      <c r="D622" s="196"/>
      <c r="E622" s="196"/>
      <c r="F622" s="220"/>
      <c r="G622" s="143"/>
      <c r="H622" s="196"/>
      <c r="I622" s="196"/>
      <c r="J622" s="196"/>
      <c r="K622" s="196"/>
      <c r="L622" s="196"/>
      <c r="M622" s="196"/>
      <c r="N622" s="196"/>
      <c r="O622" s="196"/>
      <c r="P622" s="196"/>
      <c r="Q622" s="196"/>
      <c r="R622" s="196"/>
      <c r="S622" s="196"/>
      <c r="T622" s="196"/>
      <c r="U622" s="196"/>
      <c r="V622" s="196"/>
      <c r="W622" s="196"/>
      <c r="X622" s="196"/>
      <c r="Y622" s="196"/>
      <c r="Z622" s="196"/>
      <c r="AA622" s="196"/>
      <c r="AB622" s="196"/>
    </row>
    <row r="623" spans="1:28" ht="12.9">
      <c r="A623" s="196"/>
      <c r="B623" s="143"/>
      <c r="C623" s="196"/>
      <c r="D623" s="196"/>
      <c r="E623" s="196"/>
      <c r="F623" s="220"/>
      <c r="G623" s="143"/>
      <c r="H623" s="196"/>
      <c r="I623" s="196"/>
      <c r="J623" s="196"/>
      <c r="K623" s="196"/>
      <c r="L623" s="196"/>
      <c r="M623" s="196"/>
      <c r="N623" s="196"/>
      <c r="O623" s="196"/>
      <c r="P623" s="196"/>
      <c r="Q623" s="196"/>
      <c r="R623" s="196"/>
      <c r="S623" s="196"/>
      <c r="T623" s="196"/>
      <c r="U623" s="196"/>
      <c r="V623" s="196"/>
      <c r="W623" s="196"/>
      <c r="X623" s="196"/>
      <c r="Y623" s="196"/>
      <c r="Z623" s="196"/>
      <c r="AA623" s="196"/>
      <c r="AB623" s="196"/>
    </row>
    <row r="624" spans="1:28" ht="12.9">
      <c r="A624" s="196"/>
      <c r="B624" s="143"/>
      <c r="C624" s="196"/>
      <c r="D624" s="196"/>
      <c r="E624" s="196"/>
      <c r="F624" s="220"/>
      <c r="G624" s="143"/>
      <c r="H624" s="196"/>
      <c r="I624" s="196"/>
      <c r="J624" s="196"/>
      <c r="K624" s="196"/>
      <c r="L624" s="196"/>
      <c r="M624" s="196"/>
      <c r="N624" s="196"/>
      <c r="O624" s="196"/>
      <c r="P624" s="196"/>
      <c r="Q624" s="196"/>
      <c r="R624" s="196"/>
      <c r="S624" s="196"/>
      <c r="T624" s="196"/>
      <c r="U624" s="196"/>
      <c r="V624" s="196"/>
      <c r="W624" s="196"/>
      <c r="X624" s="196"/>
      <c r="Y624" s="196"/>
      <c r="Z624" s="196"/>
      <c r="AA624" s="196"/>
      <c r="AB624" s="196"/>
    </row>
    <row r="625" spans="1:28" ht="12.9">
      <c r="A625" s="196"/>
      <c r="B625" s="143"/>
      <c r="C625" s="196"/>
      <c r="D625" s="196"/>
      <c r="E625" s="196"/>
      <c r="F625" s="220"/>
      <c r="G625" s="143"/>
      <c r="H625" s="196"/>
      <c r="I625" s="196"/>
      <c r="J625" s="196"/>
      <c r="K625" s="196"/>
      <c r="L625" s="196"/>
      <c r="M625" s="196"/>
      <c r="N625" s="196"/>
      <c r="O625" s="196"/>
      <c r="P625" s="196"/>
      <c r="Q625" s="196"/>
      <c r="R625" s="196"/>
      <c r="S625" s="196"/>
      <c r="T625" s="196"/>
      <c r="U625" s="196"/>
      <c r="V625" s="196"/>
      <c r="W625" s="196"/>
      <c r="X625" s="196"/>
      <c r="Y625" s="196"/>
      <c r="Z625" s="196"/>
      <c r="AA625" s="196"/>
      <c r="AB625" s="196"/>
    </row>
    <row r="626" spans="1:28" ht="12.9">
      <c r="A626" s="196"/>
      <c r="B626" s="143"/>
      <c r="C626" s="196"/>
      <c r="D626" s="196"/>
      <c r="E626" s="196"/>
      <c r="F626" s="220"/>
      <c r="G626" s="143"/>
      <c r="H626" s="196"/>
      <c r="I626" s="196"/>
      <c r="J626" s="196"/>
      <c r="K626" s="196"/>
      <c r="L626" s="196"/>
      <c r="M626" s="196"/>
      <c r="N626" s="196"/>
      <c r="O626" s="196"/>
      <c r="P626" s="196"/>
      <c r="Q626" s="196"/>
      <c r="R626" s="196"/>
      <c r="S626" s="196"/>
      <c r="T626" s="196"/>
      <c r="U626" s="196"/>
      <c r="V626" s="196"/>
      <c r="W626" s="196"/>
      <c r="X626" s="196"/>
      <c r="Y626" s="196"/>
      <c r="Z626" s="196"/>
      <c r="AA626" s="196"/>
      <c r="AB626" s="196"/>
    </row>
    <row r="627" spans="1:28" ht="12.9">
      <c r="A627" s="196"/>
      <c r="B627" s="143"/>
      <c r="C627" s="196"/>
      <c r="D627" s="196"/>
      <c r="E627" s="196"/>
      <c r="F627" s="220"/>
      <c r="G627" s="143"/>
      <c r="H627" s="196"/>
      <c r="I627" s="196"/>
      <c r="J627" s="196"/>
      <c r="K627" s="196"/>
      <c r="L627" s="196"/>
      <c r="M627" s="196"/>
      <c r="N627" s="196"/>
      <c r="O627" s="196"/>
      <c r="P627" s="196"/>
      <c r="Q627" s="196"/>
      <c r="R627" s="196"/>
      <c r="S627" s="196"/>
      <c r="T627" s="196"/>
      <c r="U627" s="196"/>
      <c r="V627" s="196"/>
      <c r="W627" s="196"/>
      <c r="X627" s="196"/>
      <c r="Y627" s="196"/>
      <c r="Z627" s="196"/>
      <c r="AA627" s="196"/>
      <c r="AB627" s="196"/>
    </row>
    <row r="628" spans="1:28" ht="12.9">
      <c r="A628" s="196"/>
      <c r="B628" s="143"/>
      <c r="C628" s="196"/>
      <c r="D628" s="196"/>
      <c r="E628" s="196"/>
      <c r="F628" s="220"/>
      <c r="G628" s="143"/>
      <c r="H628" s="196"/>
      <c r="I628" s="196"/>
      <c r="J628" s="196"/>
      <c r="K628" s="196"/>
      <c r="L628" s="196"/>
      <c r="M628" s="196"/>
      <c r="N628" s="196"/>
      <c r="O628" s="196"/>
      <c r="P628" s="196"/>
      <c r="Q628" s="196"/>
      <c r="R628" s="196"/>
      <c r="S628" s="196"/>
      <c r="T628" s="196"/>
      <c r="U628" s="196"/>
      <c r="V628" s="196"/>
      <c r="W628" s="196"/>
      <c r="X628" s="196"/>
      <c r="Y628" s="196"/>
      <c r="Z628" s="196"/>
      <c r="AA628" s="196"/>
      <c r="AB628" s="196"/>
    </row>
    <row r="629" spans="1:28" ht="12.9">
      <c r="A629" s="196"/>
      <c r="B629" s="143"/>
      <c r="C629" s="196"/>
      <c r="D629" s="196"/>
      <c r="E629" s="196"/>
      <c r="F629" s="220"/>
      <c r="G629" s="143"/>
      <c r="H629" s="196"/>
      <c r="I629" s="196"/>
      <c r="J629" s="196"/>
      <c r="K629" s="196"/>
      <c r="L629" s="196"/>
      <c r="M629" s="196"/>
      <c r="N629" s="196"/>
      <c r="O629" s="196"/>
      <c r="P629" s="196"/>
      <c r="Q629" s="196"/>
      <c r="R629" s="196"/>
      <c r="S629" s="196"/>
      <c r="T629" s="196"/>
      <c r="U629" s="196"/>
      <c r="V629" s="196"/>
      <c r="W629" s="196"/>
      <c r="X629" s="196"/>
      <c r="Y629" s="196"/>
      <c r="Z629" s="196"/>
      <c r="AA629" s="196"/>
      <c r="AB629" s="196"/>
    </row>
    <row r="630" spans="1:28" ht="12.9">
      <c r="A630" s="196"/>
      <c r="B630" s="143"/>
      <c r="C630" s="196"/>
      <c r="D630" s="196"/>
      <c r="E630" s="196"/>
      <c r="F630" s="220"/>
      <c r="G630" s="143"/>
      <c r="H630" s="196"/>
      <c r="I630" s="196"/>
      <c r="J630" s="196"/>
      <c r="K630" s="196"/>
      <c r="L630" s="196"/>
      <c r="M630" s="196"/>
      <c r="N630" s="196"/>
      <c r="O630" s="196"/>
      <c r="P630" s="196"/>
      <c r="Q630" s="196"/>
      <c r="R630" s="196"/>
      <c r="S630" s="196"/>
      <c r="T630" s="196"/>
      <c r="U630" s="196"/>
      <c r="V630" s="196"/>
      <c r="W630" s="196"/>
      <c r="X630" s="196"/>
      <c r="Y630" s="196"/>
      <c r="Z630" s="196"/>
      <c r="AA630" s="196"/>
      <c r="AB630" s="196"/>
    </row>
    <row r="631" spans="1:28" ht="12.9">
      <c r="A631" s="196"/>
      <c r="B631" s="143"/>
      <c r="C631" s="196"/>
      <c r="D631" s="196"/>
      <c r="E631" s="196"/>
      <c r="F631" s="220"/>
      <c r="G631" s="143"/>
      <c r="H631" s="196"/>
      <c r="I631" s="196"/>
      <c r="J631" s="196"/>
      <c r="K631" s="196"/>
      <c r="L631" s="196"/>
      <c r="M631" s="196"/>
      <c r="N631" s="196"/>
      <c r="O631" s="196"/>
      <c r="P631" s="196"/>
      <c r="Q631" s="196"/>
      <c r="R631" s="196"/>
      <c r="S631" s="196"/>
      <c r="T631" s="196"/>
      <c r="U631" s="196"/>
      <c r="V631" s="196"/>
      <c r="W631" s="196"/>
      <c r="X631" s="196"/>
      <c r="Y631" s="196"/>
      <c r="Z631" s="196"/>
      <c r="AA631" s="196"/>
      <c r="AB631" s="196"/>
    </row>
    <row r="632" spans="1:28" ht="12.9">
      <c r="A632" s="196"/>
      <c r="B632" s="143"/>
      <c r="C632" s="196"/>
      <c r="D632" s="196"/>
      <c r="E632" s="196"/>
      <c r="F632" s="220"/>
      <c r="G632" s="143"/>
      <c r="H632" s="196"/>
      <c r="I632" s="196"/>
      <c r="J632" s="196"/>
      <c r="K632" s="196"/>
      <c r="L632" s="196"/>
      <c r="M632" s="196"/>
      <c r="N632" s="196"/>
      <c r="O632" s="196"/>
      <c r="P632" s="196"/>
      <c r="Q632" s="196"/>
      <c r="R632" s="196"/>
      <c r="S632" s="196"/>
      <c r="T632" s="196"/>
      <c r="U632" s="196"/>
      <c r="V632" s="196"/>
      <c r="W632" s="196"/>
      <c r="X632" s="196"/>
      <c r="Y632" s="196"/>
      <c r="Z632" s="196"/>
      <c r="AA632" s="196"/>
      <c r="AB632" s="196"/>
    </row>
    <row r="633" spans="1:28" ht="12.9">
      <c r="A633" s="196"/>
      <c r="B633" s="143"/>
      <c r="C633" s="196"/>
      <c r="D633" s="196"/>
      <c r="E633" s="196"/>
      <c r="F633" s="220"/>
      <c r="G633" s="143"/>
      <c r="H633" s="196"/>
      <c r="I633" s="196"/>
      <c r="J633" s="196"/>
      <c r="K633" s="196"/>
      <c r="L633" s="196"/>
      <c r="M633" s="196"/>
      <c r="N633" s="196"/>
      <c r="O633" s="196"/>
      <c r="P633" s="196"/>
      <c r="Q633" s="196"/>
      <c r="R633" s="196"/>
      <c r="S633" s="196"/>
      <c r="T633" s="196"/>
      <c r="U633" s="196"/>
      <c r="V633" s="196"/>
      <c r="W633" s="196"/>
      <c r="X633" s="196"/>
      <c r="Y633" s="196"/>
      <c r="Z633" s="196"/>
      <c r="AA633" s="196"/>
      <c r="AB633" s="196"/>
    </row>
    <row r="634" spans="1:28" ht="12.9">
      <c r="A634" s="196"/>
      <c r="B634" s="143"/>
      <c r="C634" s="196"/>
      <c r="D634" s="196"/>
      <c r="E634" s="196"/>
      <c r="F634" s="220"/>
      <c r="G634" s="143"/>
      <c r="H634" s="196"/>
      <c r="I634" s="196"/>
      <c r="J634" s="196"/>
      <c r="K634" s="196"/>
      <c r="L634" s="196"/>
      <c r="M634" s="196"/>
      <c r="N634" s="196"/>
      <c r="O634" s="196"/>
      <c r="P634" s="196"/>
      <c r="Q634" s="196"/>
      <c r="R634" s="196"/>
      <c r="S634" s="196"/>
      <c r="T634" s="196"/>
      <c r="U634" s="196"/>
      <c r="V634" s="196"/>
      <c r="W634" s="196"/>
      <c r="X634" s="196"/>
      <c r="Y634" s="196"/>
      <c r="Z634" s="196"/>
      <c r="AA634" s="196"/>
      <c r="AB634" s="196"/>
    </row>
    <row r="635" spans="1:28" ht="12.9">
      <c r="A635" s="196"/>
      <c r="B635" s="143"/>
      <c r="C635" s="196"/>
      <c r="D635" s="196"/>
      <c r="E635" s="196"/>
      <c r="F635" s="220"/>
      <c r="G635" s="143"/>
      <c r="H635" s="196"/>
      <c r="I635" s="196"/>
      <c r="J635" s="196"/>
      <c r="K635" s="196"/>
      <c r="L635" s="196"/>
      <c r="M635" s="196"/>
      <c r="N635" s="196"/>
      <c r="O635" s="196"/>
      <c r="P635" s="196"/>
      <c r="Q635" s="196"/>
      <c r="R635" s="196"/>
      <c r="S635" s="196"/>
      <c r="T635" s="196"/>
      <c r="U635" s="196"/>
      <c r="V635" s="196"/>
      <c r="W635" s="196"/>
      <c r="X635" s="196"/>
      <c r="Y635" s="196"/>
      <c r="Z635" s="196"/>
      <c r="AA635" s="196"/>
      <c r="AB635" s="196"/>
    </row>
    <row r="636" spans="1:28" ht="12.9">
      <c r="A636" s="196"/>
      <c r="B636" s="143"/>
      <c r="C636" s="196"/>
      <c r="D636" s="196"/>
      <c r="E636" s="196"/>
      <c r="F636" s="220"/>
      <c r="G636" s="143"/>
      <c r="H636" s="196"/>
      <c r="I636" s="196"/>
      <c r="J636" s="196"/>
      <c r="K636" s="196"/>
      <c r="L636" s="196"/>
      <c r="M636" s="196"/>
      <c r="N636" s="196"/>
      <c r="O636" s="196"/>
      <c r="P636" s="196"/>
      <c r="Q636" s="196"/>
      <c r="R636" s="196"/>
      <c r="S636" s="196"/>
      <c r="T636" s="196"/>
      <c r="U636" s="196"/>
      <c r="V636" s="196"/>
      <c r="W636" s="196"/>
      <c r="X636" s="196"/>
      <c r="Y636" s="196"/>
      <c r="Z636" s="196"/>
      <c r="AA636" s="196"/>
      <c r="AB636" s="196"/>
    </row>
    <row r="637" spans="1:28" ht="12.9">
      <c r="A637" s="196"/>
      <c r="B637" s="143"/>
      <c r="C637" s="196"/>
      <c r="D637" s="196"/>
      <c r="E637" s="196"/>
      <c r="F637" s="220"/>
      <c r="G637" s="143"/>
      <c r="H637" s="196"/>
      <c r="I637" s="196"/>
      <c r="J637" s="196"/>
      <c r="K637" s="196"/>
      <c r="L637" s="196"/>
      <c r="M637" s="196"/>
      <c r="N637" s="196"/>
      <c r="O637" s="196"/>
      <c r="P637" s="196"/>
      <c r="Q637" s="196"/>
      <c r="R637" s="196"/>
      <c r="S637" s="196"/>
      <c r="T637" s="196"/>
      <c r="U637" s="196"/>
      <c r="V637" s="196"/>
      <c r="W637" s="196"/>
      <c r="X637" s="196"/>
      <c r="Y637" s="196"/>
      <c r="Z637" s="196"/>
      <c r="AA637" s="196"/>
      <c r="AB637" s="196"/>
    </row>
    <row r="638" spans="1:28" ht="12.9">
      <c r="A638" s="196"/>
      <c r="B638" s="143"/>
      <c r="C638" s="196"/>
      <c r="D638" s="196"/>
      <c r="E638" s="196"/>
      <c r="F638" s="220"/>
      <c r="G638" s="143"/>
      <c r="H638" s="196"/>
      <c r="I638" s="196"/>
      <c r="J638" s="196"/>
      <c r="K638" s="196"/>
      <c r="L638" s="196"/>
      <c r="M638" s="196"/>
      <c r="N638" s="196"/>
      <c r="O638" s="196"/>
      <c r="P638" s="196"/>
      <c r="Q638" s="196"/>
      <c r="R638" s="196"/>
      <c r="S638" s="196"/>
      <c r="T638" s="196"/>
      <c r="U638" s="196"/>
      <c r="V638" s="196"/>
      <c r="W638" s="196"/>
      <c r="X638" s="196"/>
      <c r="Y638" s="196"/>
      <c r="Z638" s="196"/>
      <c r="AA638" s="196"/>
      <c r="AB638" s="196"/>
    </row>
    <row r="639" spans="1:28" ht="12.9">
      <c r="A639" s="196"/>
      <c r="B639" s="143"/>
      <c r="C639" s="196"/>
      <c r="D639" s="196"/>
      <c r="E639" s="196"/>
      <c r="F639" s="220"/>
      <c r="G639" s="143"/>
      <c r="H639" s="196"/>
      <c r="I639" s="196"/>
      <c r="J639" s="196"/>
      <c r="K639" s="196"/>
      <c r="L639" s="196"/>
      <c r="M639" s="196"/>
      <c r="N639" s="196"/>
      <c r="O639" s="196"/>
      <c r="P639" s="196"/>
      <c r="Q639" s="196"/>
      <c r="R639" s="196"/>
      <c r="S639" s="196"/>
      <c r="T639" s="196"/>
      <c r="U639" s="196"/>
      <c r="V639" s="196"/>
      <c r="W639" s="196"/>
      <c r="X639" s="196"/>
      <c r="Y639" s="196"/>
      <c r="Z639" s="196"/>
      <c r="AA639" s="196"/>
      <c r="AB639" s="196"/>
    </row>
    <row r="640" spans="1:28" ht="12.9">
      <c r="A640" s="196"/>
      <c r="B640" s="143"/>
      <c r="C640" s="196"/>
      <c r="D640" s="196"/>
      <c r="E640" s="196"/>
      <c r="F640" s="220"/>
      <c r="G640" s="143"/>
      <c r="H640" s="196"/>
      <c r="I640" s="196"/>
      <c r="J640" s="196"/>
      <c r="K640" s="196"/>
      <c r="L640" s="196"/>
      <c r="M640" s="196"/>
      <c r="N640" s="196"/>
      <c r="O640" s="196"/>
      <c r="P640" s="196"/>
      <c r="Q640" s="196"/>
      <c r="R640" s="196"/>
      <c r="S640" s="196"/>
      <c r="T640" s="196"/>
      <c r="U640" s="196"/>
      <c r="V640" s="196"/>
      <c r="W640" s="196"/>
      <c r="X640" s="196"/>
      <c r="Y640" s="196"/>
      <c r="Z640" s="196"/>
      <c r="AA640" s="196"/>
      <c r="AB640" s="196"/>
    </row>
    <row r="641" spans="1:28" ht="12.9">
      <c r="A641" s="196"/>
      <c r="B641" s="143"/>
      <c r="C641" s="196"/>
      <c r="D641" s="196"/>
      <c r="E641" s="196"/>
      <c r="F641" s="220"/>
      <c r="G641" s="143"/>
      <c r="H641" s="196"/>
      <c r="I641" s="196"/>
      <c r="J641" s="196"/>
      <c r="K641" s="196"/>
      <c r="L641" s="196"/>
      <c r="M641" s="196"/>
      <c r="N641" s="196"/>
      <c r="O641" s="196"/>
      <c r="P641" s="196"/>
      <c r="Q641" s="196"/>
      <c r="R641" s="196"/>
      <c r="S641" s="196"/>
      <c r="T641" s="196"/>
      <c r="U641" s="196"/>
      <c r="V641" s="196"/>
      <c r="W641" s="196"/>
      <c r="X641" s="196"/>
      <c r="Y641" s="196"/>
      <c r="Z641" s="196"/>
      <c r="AA641" s="196"/>
      <c r="AB641" s="196"/>
    </row>
    <row r="642" spans="1:28" ht="12.9">
      <c r="A642" s="196"/>
      <c r="B642" s="143"/>
      <c r="C642" s="196"/>
      <c r="D642" s="196"/>
      <c r="E642" s="196"/>
      <c r="F642" s="220"/>
      <c r="G642" s="143"/>
      <c r="H642" s="196"/>
      <c r="I642" s="196"/>
      <c r="J642" s="196"/>
      <c r="K642" s="196"/>
      <c r="L642" s="196"/>
      <c r="M642" s="196"/>
      <c r="N642" s="196"/>
      <c r="O642" s="196"/>
      <c r="P642" s="196"/>
      <c r="Q642" s="196"/>
      <c r="R642" s="196"/>
      <c r="S642" s="196"/>
      <c r="T642" s="196"/>
      <c r="U642" s="196"/>
      <c r="V642" s="196"/>
      <c r="W642" s="196"/>
      <c r="X642" s="196"/>
      <c r="Y642" s="196"/>
      <c r="Z642" s="196"/>
      <c r="AA642" s="196"/>
      <c r="AB642" s="196"/>
    </row>
    <row r="643" spans="1:28" ht="12.9">
      <c r="A643" s="196"/>
      <c r="B643" s="143"/>
      <c r="C643" s="196"/>
      <c r="D643" s="196"/>
      <c r="E643" s="196"/>
      <c r="F643" s="220"/>
      <c r="G643" s="143"/>
      <c r="H643" s="196"/>
      <c r="I643" s="196"/>
      <c r="J643" s="196"/>
      <c r="K643" s="196"/>
      <c r="L643" s="196"/>
      <c r="M643" s="196"/>
      <c r="N643" s="196"/>
      <c r="O643" s="196"/>
      <c r="P643" s="196"/>
      <c r="Q643" s="196"/>
      <c r="R643" s="196"/>
      <c r="S643" s="196"/>
      <c r="T643" s="196"/>
      <c r="U643" s="196"/>
      <c r="V643" s="196"/>
      <c r="W643" s="196"/>
      <c r="X643" s="196"/>
      <c r="Y643" s="196"/>
      <c r="Z643" s="196"/>
      <c r="AA643" s="196"/>
      <c r="AB643" s="196"/>
    </row>
    <row r="644" spans="1:28" ht="12.9">
      <c r="A644" s="196"/>
      <c r="B644" s="143"/>
      <c r="C644" s="196"/>
      <c r="D644" s="196"/>
      <c r="E644" s="196"/>
      <c r="F644" s="220"/>
      <c r="G644" s="143"/>
      <c r="H644" s="196"/>
      <c r="I644" s="196"/>
      <c r="J644" s="196"/>
      <c r="K644" s="196"/>
      <c r="L644" s="196"/>
      <c r="M644" s="196"/>
      <c r="N644" s="196"/>
      <c r="O644" s="196"/>
      <c r="P644" s="196"/>
      <c r="Q644" s="196"/>
      <c r="R644" s="196"/>
      <c r="S644" s="196"/>
      <c r="T644" s="196"/>
      <c r="U644" s="196"/>
      <c r="V644" s="196"/>
      <c r="W644" s="196"/>
      <c r="X644" s="196"/>
      <c r="Y644" s="196"/>
      <c r="Z644" s="196"/>
      <c r="AA644" s="196"/>
      <c r="AB644" s="196"/>
    </row>
    <row r="645" spans="1:28" ht="12.9">
      <c r="A645" s="196"/>
      <c r="B645" s="143"/>
      <c r="C645" s="196"/>
      <c r="D645" s="196"/>
      <c r="E645" s="196"/>
      <c r="F645" s="220"/>
      <c r="G645" s="143"/>
      <c r="H645" s="196"/>
      <c r="I645" s="196"/>
      <c r="J645" s="196"/>
      <c r="K645" s="196"/>
      <c r="L645" s="196"/>
      <c r="M645" s="196"/>
      <c r="N645" s="196"/>
      <c r="O645" s="196"/>
      <c r="P645" s="196"/>
      <c r="Q645" s="196"/>
      <c r="R645" s="196"/>
      <c r="S645" s="196"/>
      <c r="T645" s="196"/>
      <c r="U645" s="196"/>
      <c r="V645" s="196"/>
      <c r="W645" s="196"/>
      <c r="X645" s="196"/>
      <c r="Y645" s="196"/>
      <c r="Z645" s="196"/>
      <c r="AA645" s="196"/>
      <c r="AB645" s="196"/>
    </row>
    <row r="646" spans="1:28" ht="12.9">
      <c r="A646" s="196"/>
      <c r="B646" s="143"/>
      <c r="C646" s="196"/>
      <c r="D646" s="196"/>
      <c r="E646" s="196"/>
      <c r="F646" s="220"/>
      <c r="G646" s="143"/>
      <c r="H646" s="196"/>
      <c r="I646" s="196"/>
      <c r="J646" s="196"/>
      <c r="K646" s="196"/>
      <c r="L646" s="196"/>
      <c r="M646" s="196"/>
      <c r="N646" s="196"/>
      <c r="O646" s="196"/>
      <c r="P646" s="196"/>
      <c r="Q646" s="196"/>
      <c r="R646" s="196"/>
      <c r="S646" s="196"/>
      <c r="T646" s="196"/>
      <c r="U646" s="196"/>
      <c r="V646" s="196"/>
      <c r="W646" s="196"/>
      <c r="X646" s="196"/>
      <c r="Y646" s="196"/>
      <c r="Z646" s="196"/>
      <c r="AA646" s="196"/>
      <c r="AB646" s="196"/>
    </row>
    <row r="647" spans="1:28" ht="12.9">
      <c r="A647" s="196"/>
      <c r="B647" s="143"/>
      <c r="C647" s="196"/>
      <c r="D647" s="196"/>
      <c r="E647" s="196"/>
      <c r="F647" s="220"/>
      <c r="G647" s="143"/>
      <c r="H647" s="196"/>
      <c r="I647" s="196"/>
      <c r="J647" s="196"/>
      <c r="K647" s="196"/>
      <c r="L647" s="196"/>
      <c r="M647" s="196"/>
      <c r="N647" s="196"/>
      <c r="O647" s="196"/>
      <c r="P647" s="196"/>
      <c r="Q647" s="196"/>
      <c r="R647" s="196"/>
      <c r="S647" s="196"/>
      <c r="T647" s="196"/>
      <c r="U647" s="196"/>
      <c r="V647" s="196"/>
      <c r="W647" s="196"/>
      <c r="X647" s="196"/>
      <c r="Y647" s="196"/>
      <c r="Z647" s="196"/>
      <c r="AA647" s="196"/>
      <c r="AB647" s="196"/>
    </row>
    <row r="648" spans="1:28" ht="12.9">
      <c r="A648" s="196"/>
      <c r="B648" s="143"/>
      <c r="C648" s="196"/>
      <c r="D648" s="196"/>
      <c r="E648" s="196"/>
      <c r="F648" s="220"/>
      <c r="G648" s="143"/>
      <c r="H648" s="196"/>
      <c r="I648" s="196"/>
      <c r="J648" s="196"/>
      <c r="K648" s="196"/>
      <c r="L648" s="196"/>
      <c r="M648" s="196"/>
      <c r="N648" s="196"/>
      <c r="O648" s="196"/>
      <c r="P648" s="196"/>
      <c r="Q648" s="196"/>
      <c r="R648" s="196"/>
      <c r="S648" s="196"/>
      <c r="T648" s="196"/>
      <c r="U648" s="196"/>
      <c r="V648" s="196"/>
      <c r="W648" s="196"/>
      <c r="X648" s="196"/>
      <c r="Y648" s="196"/>
      <c r="Z648" s="196"/>
      <c r="AA648" s="196"/>
      <c r="AB648" s="196"/>
    </row>
    <row r="649" spans="1:28" ht="12.9">
      <c r="A649" s="196"/>
      <c r="B649" s="143"/>
      <c r="C649" s="196"/>
      <c r="D649" s="196"/>
      <c r="E649" s="196"/>
      <c r="F649" s="220"/>
      <c r="G649" s="143"/>
      <c r="H649" s="196"/>
      <c r="I649" s="196"/>
      <c r="J649" s="196"/>
      <c r="K649" s="196"/>
      <c r="L649" s="196"/>
      <c r="M649" s="196"/>
      <c r="N649" s="196"/>
      <c r="O649" s="196"/>
      <c r="P649" s="196"/>
      <c r="Q649" s="196"/>
      <c r="R649" s="196"/>
      <c r="S649" s="196"/>
      <c r="T649" s="196"/>
      <c r="U649" s="196"/>
      <c r="V649" s="196"/>
      <c r="W649" s="196"/>
      <c r="X649" s="196"/>
      <c r="Y649" s="196"/>
      <c r="Z649" s="196"/>
      <c r="AA649" s="196"/>
      <c r="AB649" s="196"/>
    </row>
    <row r="650" spans="1:28" ht="12.9">
      <c r="A650" s="196"/>
      <c r="B650" s="143"/>
      <c r="C650" s="196"/>
      <c r="D650" s="196"/>
      <c r="E650" s="196"/>
      <c r="F650" s="220"/>
      <c r="G650" s="143"/>
      <c r="H650" s="196"/>
      <c r="I650" s="196"/>
      <c r="J650" s="196"/>
      <c r="K650" s="196"/>
      <c r="L650" s="196"/>
      <c r="M650" s="196"/>
      <c r="N650" s="196"/>
      <c r="O650" s="196"/>
      <c r="P650" s="196"/>
      <c r="Q650" s="196"/>
      <c r="R650" s="196"/>
      <c r="S650" s="196"/>
      <c r="T650" s="196"/>
      <c r="U650" s="196"/>
      <c r="V650" s="196"/>
      <c r="W650" s="196"/>
      <c r="X650" s="196"/>
      <c r="Y650" s="196"/>
      <c r="Z650" s="196"/>
      <c r="AA650" s="196"/>
      <c r="AB650" s="196"/>
    </row>
    <row r="651" spans="1:28" ht="12.9">
      <c r="A651" s="196"/>
      <c r="B651" s="143"/>
      <c r="C651" s="196"/>
      <c r="D651" s="196"/>
      <c r="E651" s="196"/>
      <c r="F651" s="220"/>
      <c r="G651" s="143"/>
      <c r="H651" s="196"/>
      <c r="I651" s="196"/>
      <c r="J651" s="196"/>
      <c r="K651" s="196"/>
      <c r="L651" s="196"/>
      <c r="M651" s="196"/>
      <c r="N651" s="196"/>
      <c r="O651" s="196"/>
      <c r="P651" s="196"/>
      <c r="Q651" s="196"/>
      <c r="R651" s="196"/>
      <c r="S651" s="196"/>
      <c r="T651" s="196"/>
      <c r="U651" s="196"/>
      <c r="V651" s="196"/>
      <c r="W651" s="196"/>
      <c r="X651" s="196"/>
      <c r="Y651" s="196"/>
      <c r="Z651" s="196"/>
      <c r="AA651" s="196"/>
      <c r="AB651" s="196"/>
    </row>
    <row r="652" spans="1:28" ht="12.9">
      <c r="A652" s="196"/>
      <c r="B652" s="143"/>
      <c r="C652" s="196"/>
      <c r="D652" s="196"/>
      <c r="E652" s="196"/>
      <c r="F652" s="220"/>
      <c r="G652" s="143"/>
      <c r="H652" s="196"/>
      <c r="I652" s="196"/>
      <c r="J652" s="196"/>
      <c r="K652" s="196"/>
      <c r="L652" s="196"/>
      <c r="M652" s="196"/>
      <c r="N652" s="196"/>
      <c r="O652" s="196"/>
      <c r="P652" s="196"/>
      <c r="Q652" s="196"/>
      <c r="R652" s="196"/>
      <c r="S652" s="196"/>
      <c r="T652" s="196"/>
      <c r="U652" s="196"/>
      <c r="V652" s="196"/>
      <c r="W652" s="196"/>
      <c r="X652" s="196"/>
      <c r="Y652" s="196"/>
      <c r="Z652" s="196"/>
      <c r="AA652" s="196"/>
      <c r="AB652" s="196"/>
    </row>
    <row r="653" spans="1:28" ht="12.9">
      <c r="A653" s="196"/>
      <c r="B653" s="143"/>
      <c r="C653" s="196"/>
      <c r="D653" s="196"/>
      <c r="E653" s="196"/>
      <c r="F653" s="220"/>
      <c r="G653" s="143"/>
      <c r="H653" s="196"/>
      <c r="I653" s="196"/>
      <c r="J653" s="196"/>
      <c r="K653" s="196"/>
      <c r="L653" s="196"/>
      <c r="M653" s="196"/>
      <c r="N653" s="196"/>
      <c r="O653" s="196"/>
      <c r="P653" s="196"/>
      <c r="Q653" s="196"/>
      <c r="R653" s="196"/>
      <c r="S653" s="196"/>
      <c r="T653" s="196"/>
      <c r="U653" s="196"/>
      <c r="V653" s="196"/>
      <c r="W653" s="196"/>
      <c r="X653" s="196"/>
      <c r="Y653" s="196"/>
      <c r="Z653" s="196"/>
      <c r="AA653" s="196"/>
      <c r="AB653" s="196"/>
    </row>
    <row r="654" spans="1:28" ht="12.9">
      <c r="A654" s="196"/>
      <c r="B654" s="143"/>
      <c r="C654" s="196"/>
      <c r="D654" s="196"/>
      <c r="E654" s="196"/>
      <c r="F654" s="220"/>
      <c r="G654" s="143"/>
      <c r="H654" s="196"/>
      <c r="I654" s="196"/>
      <c r="J654" s="196"/>
      <c r="K654" s="196"/>
      <c r="L654" s="196"/>
      <c r="M654" s="196"/>
      <c r="N654" s="196"/>
      <c r="O654" s="196"/>
      <c r="P654" s="196"/>
      <c r="Q654" s="196"/>
      <c r="R654" s="196"/>
      <c r="S654" s="196"/>
      <c r="T654" s="196"/>
      <c r="U654" s="196"/>
      <c r="V654" s="196"/>
      <c r="W654" s="196"/>
      <c r="X654" s="196"/>
      <c r="Y654" s="196"/>
      <c r="Z654" s="196"/>
      <c r="AA654" s="196"/>
      <c r="AB654" s="196"/>
    </row>
    <row r="655" spans="1:28" ht="12.9">
      <c r="A655" s="196"/>
      <c r="B655" s="143"/>
      <c r="C655" s="196"/>
      <c r="D655" s="196"/>
      <c r="E655" s="196"/>
      <c r="F655" s="220"/>
      <c r="G655" s="143"/>
      <c r="H655" s="196"/>
      <c r="I655" s="196"/>
      <c r="J655" s="196"/>
      <c r="K655" s="196"/>
      <c r="L655" s="196"/>
      <c r="M655" s="196"/>
      <c r="N655" s="196"/>
      <c r="O655" s="196"/>
      <c r="P655" s="196"/>
      <c r="Q655" s="196"/>
      <c r="R655" s="196"/>
      <c r="S655" s="196"/>
      <c r="T655" s="196"/>
      <c r="U655" s="196"/>
      <c r="V655" s="196"/>
      <c r="W655" s="196"/>
      <c r="X655" s="196"/>
      <c r="Y655" s="196"/>
      <c r="Z655" s="196"/>
      <c r="AA655" s="196"/>
      <c r="AB655" s="196"/>
    </row>
    <row r="656" spans="1:28" ht="12.9">
      <c r="A656" s="196"/>
      <c r="B656" s="143"/>
      <c r="C656" s="196"/>
      <c r="D656" s="196"/>
      <c r="E656" s="196"/>
      <c r="F656" s="220"/>
      <c r="G656" s="143"/>
      <c r="H656" s="196"/>
      <c r="I656" s="196"/>
      <c r="J656" s="196"/>
      <c r="K656" s="196"/>
      <c r="L656" s="196"/>
      <c r="M656" s="196"/>
      <c r="N656" s="196"/>
      <c r="O656" s="196"/>
      <c r="P656" s="196"/>
      <c r="Q656" s="196"/>
      <c r="R656" s="196"/>
      <c r="S656" s="196"/>
      <c r="T656" s="196"/>
      <c r="U656" s="196"/>
      <c r="V656" s="196"/>
      <c r="W656" s="196"/>
      <c r="X656" s="196"/>
      <c r="Y656" s="196"/>
      <c r="Z656" s="196"/>
      <c r="AA656" s="196"/>
      <c r="AB656" s="196"/>
    </row>
    <row r="657" spans="1:28" ht="12.9">
      <c r="A657" s="196"/>
      <c r="B657" s="143"/>
      <c r="C657" s="196"/>
      <c r="D657" s="196"/>
      <c r="E657" s="196"/>
      <c r="F657" s="220"/>
      <c r="G657" s="143"/>
      <c r="H657" s="196"/>
      <c r="I657" s="196"/>
      <c r="J657" s="196"/>
      <c r="K657" s="196"/>
      <c r="L657" s="196"/>
      <c r="M657" s="196"/>
      <c r="N657" s="196"/>
      <c r="O657" s="196"/>
      <c r="P657" s="196"/>
      <c r="Q657" s="196"/>
      <c r="R657" s="196"/>
      <c r="S657" s="196"/>
      <c r="T657" s="196"/>
      <c r="U657" s="196"/>
      <c r="V657" s="196"/>
      <c r="W657" s="196"/>
      <c r="X657" s="196"/>
      <c r="Y657" s="196"/>
      <c r="Z657" s="196"/>
      <c r="AA657" s="196"/>
      <c r="AB657" s="196"/>
    </row>
    <row r="658" spans="1:28" ht="12.9">
      <c r="A658" s="196"/>
      <c r="B658" s="143"/>
      <c r="C658" s="196"/>
      <c r="D658" s="196"/>
      <c r="E658" s="196"/>
      <c r="F658" s="220"/>
      <c r="G658" s="143"/>
      <c r="H658" s="196"/>
      <c r="I658" s="196"/>
      <c r="J658" s="196"/>
      <c r="K658" s="196"/>
      <c r="L658" s="196"/>
      <c r="M658" s="196"/>
      <c r="N658" s="196"/>
      <c r="O658" s="196"/>
      <c r="P658" s="196"/>
      <c r="Q658" s="196"/>
      <c r="R658" s="196"/>
      <c r="S658" s="196"/>
      <c r="T658" s="196"/>
      <c r="U658" s="196"/>
      <c r="V658" s="196"/>
      <c r="W658" s="196"/>
      <c r="X658" s="196"/>
      <c r="Y658" s="196"/>
      <c r="Z658" s="196"/>
      <c r="AA658" s="196"/>
      <c r="AB658" s="196"/>
    </row>
    <row r="659" spans="1:28" ht="12.9">
      <c r="A659" s="196"/>
      <c r="B659" s="143"/>
      <c r="C659" s="196"/>
      <c r="D659" s="196"/>
      <c r="E659" s="196"/>
      <c r="F659" s="220"/>
      <c r="G659" s="143"/>
      <c r="H659" s="196"/>
      <c r="I659" s="196"/>
      <c r="J659" s="196"/>
      <c r="K659" s="196"/>
      <c r="L659" s="196"/>
      <c r="M659" s="196"/>
      <c r="N659" s="196"/>
      <c r="O659" s="196"/>
      <c r="P659" s="196"/>
      <c r="Q659" s="196"/>
      <c r="R659" s="196"/>
      <c r="S659" s="196"/>
      <c r="T659" s="196"/>
      <c r="U659" s="196"/>
      <c r="V659" s="196"/>
      <c r="W659" s="196"/>
      <c r="X659" s="196"/>
      <c r="Y659" s="196"/>
      <c r="Z659" s="196"/>
      <c r="AA659" s="196"/>
      <c r="AB659" s="196"/>
    </row>
    <row r="660" spans="1:28" ht="12.9">
      <c r="A660" s="196"/>
      <c r="B660" s="143"/>
      <c r="C660" s="196"/>
      <c r="D660" s="196"/>
      <c r="E660" s="196"/>
      <c r="F660" s="220"/>
      <c r="G660" s="143"/>
      <c r="H660" s="196"/>
      <c r="I660" s="196"/>
      <c r="J660" s="196"/>
      <c r="K660" s="196"/>
      <c r="L660" s="196"/>
      <c r="M660" s="196"/>
      <c r="N660" s="196"/>
      <c r="O660" s="196"/>
      <c r="P660" s="196"/>
      <c r="Q660" s="196"/>
      <c r="R660" s="196"/>
      <c r="S660" s="196"/>
      <c r="T660" s="196"/>
      <c r="U660" s="196"/>
      <c r="V660" s="196"/>
      <c r="W660" s="196"/>
      <c r="X660" s="196"/>
      <c r="Y660" s="196"/>
      <c r="Z660" s="196"/>
      <c r="AA660" s="196"/>
      <c r="AB660" s="196"/>
    </row>
    <row r="661" spans="1:28" ht="12.9">
      <c r="A661" s="196"/>
      <c r="B661" s="143"/>
      <c r="C661" s="196"/>
      <c r="D661" s="196"/>
      <c r="E661" s="196"/>
      <c r="F661" s="220"/>
      <c r="G661" s="143"/>
      <c r="H661" s="196"/>
      <c r="I661" s="196"/>
      <c r="J661" s="196"/>
      <c r="K661" s="196"/>
      <c r="L661" s="196"/>
      <c r="M661" s="196"/>
      <c r="N661" s="196"/>
      <c r="O661" s="196"/>
      <c r="P661" s="196"/>
      <c r="Q661" s="196"/>
      <c r="R661" s="196"/>
      <c r="S661" s="196"/>
      <c r="T661" s="196"/>
      <c r="U661" s="196"/>
      <c r="V661" s="196"/>
      <c r="W661" s="196"/>
      <c r="X661" s="196"/>
      <c r="Y661" s="196"/>
      <c r="Z661" s="196"/>
      <c r="AA661" s="196"/>
      <c r="AB661" s="196"/>
    </row>
    <row r="662" spans="1:28" ht="12.9">
      <c r="A662" s="196"/>
      <c r="B662" s="143"/>
      <c r="C662" s="196"/>
      <c r="D662" s="196"/>
      <c r="E662" s="196"/>
      <c r="F662" s="220"/>
      <c r="G662" s="143"/>
      <c r="H662" s="196"/>
      <c r="I662" s="196"/>
      <c r="J662" s="196"/>
      <c r="K662" s="196"/>
      <c r="L662" s="196"/>
      <c r="M662" s="196"/>
      <c r="N662" s="196"/>
      <c r="O662" s="196"/>
      <c r="P662" s="196"/>
      <c r="Q662" s="196"/>
      <c r="R662" s="196"/>
      <c r="S662" s="196"/>
      <c r="T662" s="196"/>
      <c r="U662" s="196"/>
      <c r="V662" s="196"/>
      <c r="W662" s="196"/>
      <c r="X662" s="196"/>
      <c r="Y662" s="196"/>
      <c r="Z662" s="196"/>
      <c r="AA662" s="196"/>
      <c r="AB662" s="196"/>
    </row>
    <row r="663" spans="1:28" ht="12.9">
      <c r="A663" s="196"/>
      <c r="B663" s="143"/>
      <c r="C663" s="196"/>
      <c r="D663" s="196"/>
      <c r="E663" s="196"/>
      <c r="F663" s="220"/>
      <c r="G663" s="143"/>
      <c r="H663" s="196"/>
      <c r="I663" s="196"/>
      <c r="J663" s="196"/>
      <c r="K663" s="196"/>
      <c r="L663" s="196"/>
      <c r="M663" s="196"/>
      <c r="N663" s="196"/>
      <c r="O663" s="196"/>
      <c r="P663" s="196"/>
      <c r="Q663" s="196"/>
      <c r="R663" s="196"/>
      <c r="S663" s="196"/>
      <c r="T663" s="196"/>
      <c r="U663" s="196"/>
      <c r="V663" s="196"/>
      <c r="W663" s="196"/>
      <c r="X663" s="196"/>
      <c r="Y663" s="196"/>
      <c r="Z663" s="196"/>
      <c r="AA663" s="196"/>
      <c r="AB663" s="196"/>
    </row>
    <row r="664" spans="1:28" ht="12.9">
      <c r="A664" s="196"/>
      <c r="B664" s="143"/>
      <c r="C664" s="196"/>
      <c r="D664" s="196"/>
      <c r="E664" s="196"/>
      <c r="F664" s="220"/>
      <c r="G664" s="143"/>
      <c r="H664" s="196"/>
      <c r="I664" s="196"/>
      <c r="J664" s="196"/>
      <c r="K664" s="196"/>
      <c r="L664" s="196"/>
      <c r="M664" s="196"/>
      <c r="N664" s="196"/>
      <c r="O664" s="196"/>
      <c r="P664" s="196"/>
      <c r="Q664" s="196"/>
      <c r="R664" s="196"/>
      <c r="S664" s="196"/>
      <c r="T664" s="196"/>
      <c r="U664" s="196"/>
      <c r="V664" s="196"/>
      <c r="W664" s="196"/>
      <c r="X664" s="196"/>
      <c r="Y664" s="196"/>
      <c r="Z664" s="196"/>
      <c r="AA664" s="196"/>
      <c r="AB664" s="196"/>
    </row>
    <row r="665" spans="1:28" ht="12.9">
      <c r="A665" s="196"/>
      <c r="B665" s="143"/>
      <c r="C665" s="196"/>
      <c r="D665" s="196"/>
      <c r="E665" s="196"/>
      <c r="F665" s="220"/>
      <c r="G665" s="143"/>
      <c r="H665" s="196"/>
      <c r="I665" s="196"/>
      <c r="J665" s="196"/>
      <c r="K665" s="196"/>
      <c r="L665" s="196"/>
      <c r="M665" s="196"/>
      <c r="N665" s="196"/>
      <c r="O665" s="196"/>
      <c r="P665" s="196"/>
      <c r="Q665" s="196"/>
      <c r="R665" s="196"/>
      <c r="S665" s="196"/>
      <c r="T665" s="196"/>
      <c r="U665" s="196"/>
      <c r="V665" s="196"/>
      <c r="W665" s="196"/>
      <c r="X665" s="196"/>
      <c r="Y665" s="196"/>
      <c r="Z665" s="196"/>
      <c r="AA665" s="196"/>
      <c r="AB665" s="196"/>
    </row>
    <row r="666" spans="1:28" ht="12.9">
      <c r="A666" s="196"/>
      <c r="B666" s="143"/>
      <c r="C666" s="196"/>
      <c r="D666" s="196"/>
      <c r="E666" s="196"/>
      <c r="F666" s="220"/>
      <c r="G666" s="143"/>
      <c r="H666" s="196"/>
      <c r="I666" s="196"/>
      <c r="J666" s="196"/>
      <c r="K666" s="196"/>
      <c r="L666" s="196"/>
      <c r="M666" s="196"/>
      <c r="N666" s="196"/>
      <c r="O666" s="196"/>
      <c r="P666" s="196"/>
      <c r="Q666" s="196"/>
      <c r="R666" s="196"/>
      <c r="S666" s="196"/>
      <c r="T666" s="196"/>
      <c r="U666" s="196"/>
      <c r="V666" s="196"/>
      <c r="W666" s="196"/>
      <c r="X666" s="196"/>
      <c r="Y666" s="196"/>
      <c r="Z666" s="196"/>
      <c r="AA666" s="196"/>
      <c r="AB666" s="196"/>
    </row>
    <row r="667" spans="1:28" ht="12.9">
      <c r="A667" s="196"/>
      <c r="B667" s="143"/>
      <c r="C667" s="196"/>
      <c r="D667" s="196"/>
      <c r="E667" s="196"/>
      <c r="F667" s="220"/>
      <c r="G667" s="143"/>
      <c r="H667" s="196"/>
      <c r="I667" s="196"/>
      <c r="J667" s="196"/>
      <c r="K667" s="196"/>
      <c r="L667" s="196"/>
      <c r="M667" s="196"/>
      <c r="N667" s="196"/>
      <c r="O667" s="196"/>
      <c r="P667" s="196"/>
      <c r="Q667" s="196"/>
      <c r="R667" s="196"/>
      <c r="S667" s="196"/>
      <c r="T667" s="196"/>
      <c r="U667" s="196"/>
      <c r="V667" s="196"/>
      <c r="W667" s="196"/>
      <c r="X667" s="196"/>
      <c r="Y667" s="196"/>
      <c r="Z667" s="196"/>
      <c r="AA667" s="196"/>
      <c r="AB667" s="196"/>
    </row>
    <row r="668" spans="1:28" ht="12.9">
      <c r="A668" s="196"/>
      <c r="B668" s="143"/>
      <c r="C668" s="196"/>
      <c r="D668" s="196"/>
      <c r="E668" s="196"/>
      <c r="F668" s="220"/>
      <c r="G668" s="143"/>
      <c r="H668" s="196"/>
      <c r="I668" s="196"/>
      <c r="J668" s="196"/>
      <c r="K668" s="196"/>
      <c r="L668" s="196"/>
      <c r="M668" s="196"/>
      <c r="N668" s="196"/>
      <c r="O668" s="196"/>
      <c r="P668" s="196"/>
      <c r="Q668" s="196"/>
      <c r="R668" s="196"/>
      <c r="S668" s="196"/>
      <c r="T668" s="196"/>
      <c r="U668" s="196"/>
      <c r="V668" s="196"/>
      <c r="W668" s="196"/>
      <c r="X668" s="196"/>
      <c r="Y668" s="196"/>
      <c r="Z668" s="196"/>
      <c r="AA668" s="196"/>
      <c r="AB668" s="196"/>
    </row>
    <row r="669" spans="1:28" ht="12.9">
      <c r="A669" s="196"/>
      <c r="B669" s="143"/>
      <c r="C669" s="196"/>
      <c r="D669" s="196"/>
      <c r="E669" s="196"/>
      <c r="F669" s="220"/>
      <c r="G669" s="143"/>
      <c r="H669" s="196"/>
      <c r="I669" s="196"/>
      <c r="J669" s="196"/>
      <c r="K669" s="196"/>
      <c r="L669" s="196"/>
      <c r="M669" s="196"/>
      <c r="N669" s="196"/>
      <c r="O669" s="196"/>
      <c r="P669" s="196"/>
      <c r="Q669" s="196"/>
      <c r="R669" s="196"/>
      <c r="S669" s="196"/>
      <c r="T669" s="196"/>
      <c r="U669" s="196"/>
      <c r="V669" s="196"/>
      <c r="W669" s="196"/>
      <c r="X669" s="196"/>
      <c r="Y669" s="196"/>
      <c r="Z669" s="196"/>
      <c r="AA669" s="196"/>
      <c r="AB669" s="196"/>
    </row>
    <row r="670" spans="1:28" ht="12.9">
      <c r="A670" s="196"/>
      <c r="B670" s="143"/>
      <c r="C670" s="196"/>
      <c r="D670" s="196"/>
      <c r="E670" s="196"/>
      <c r="F670" s="220"/>
      <c r="G670" s="143"/>
      <c r="H670" s="196"/>
      <c r="I670" s="196"/>
      <c r="J670" s="196"/>
      <c r="K670" s="196"/>
      <c r="L670" s="196"/>
      <c r="M670" s="196"/>
      <c r="N670" s="196"/>
      <c r="O670" s="196"/>
      <c r="P670" s="196"/>
      <c r="Q670" s="196"/>
      <c r="R670" s="196"/>
      <c r="S670" s="196"/>
      <c r="T670" s="196"/>
      <c r="U670" s="196"/>
      <c r="V670" s="196"/>
      <c r="W670" s="196"/>
      <c r="X670" s="196"/>
      <c r="Y670" s="196"/>
      <c r="Z670" s="196"/>
      <c r="AA670" s="196"/>
      <c r="AB670" s="196"/>
    </row>
    <row r="671" spans="1:28" ht="12.9">
      <c r="A671" s="196"/>
      <c r="B671" s="143"/>
      <c r="C671" s="196"/>
      <c r="D671" s="196"/>
      <c r="E671" s="196"/>
      <c r="F671" s="220"/>
      <c r="G671" s="143"/>
      <c r="H671" s="196"/>
      <c r="I671" s="196"/>
      <c r="J671" s="196"/>
      <c r="K671" s="196"/>
      <c r="L671" s="196"/>
      <c r="M671" s="196"/>
      <c r="N671" s="196"/>
      <c r="O671" s="196"/>
      <c r="P671" s="196"/>
      <c r="Q671" s="196"/>
      <c r="R671" s="196"/>
      <c r="S671" s="196"/>
      <c r="T671" s="196"/>
      <c r="U671" s="196"/>
      <c r="V671" s="196"/>
      <c r="W671" s="196"/>
      <c r="X671" s="196"/>
      <c r="Y671" s="196"/>
      <c r="Z671" s="196"/>
      <c r="AA671" s="196"/>
      <c r="AB671" s="196"/>
    </row>
    <row r="672" spans="1:28" ht="12.9">
      <c r="A672" s="196"/>
      <c r="B672" s="143"/>
      <c r="C672" s="196"/>
      <c r="D672" s="196"/>
      <c r="E672" s="196"/>
      <c r="F672" s="220"/>
      <c r="G672" s="143"/>
      <c r="H672" s="196"/>
      <c r="I672" s="196"/>
      <c r="J672" s="196"/>
      <c r="K672" s="196"/>
      <c r="L672" s="196"/>
      <c r="M672" s="196"/>
      <c r="N672" s="196"/>
      <c r="O672" s="196"/>
      <c r="P672" s="196"/>
      <c r="Q672" s="196"/>
      <c r="R672" s="196"/>
      <c r="S672" s="196"/>
      <c r="T672" s="196"/>
      <c r="U672" s="196"/>
      <c r="V672" s="196"/>
      <c r="W672" s="196"/>
      <c r="X672" s="196"/>
      <c r="Y672" s="196"/>
      <c r="Z672" s="196"/>
      <c r="AA672" s="196"/>
      <c r="AB672" s="196"/>
    </row>
    <row r="673" spans="1:28" ht="12.9">
      <c r="A673" s="196"/>
      <c r="B673" s="143"/>
      <c r="C673" s="196"/>
      <c r="D673" s="196"/>
      <c r="E673" s="196"/>
      <c r="F673" s="220"/>
      <c r="G673" s="143"/>
      <c r="H673" s="196"/>
      <c r="I673" s="196"/>
      <c r="J673" s="196"/>
      <c r="K673" s="196"/>
      <c r="L673" s="196"/>
      <c r="M673" s="196"/>
      <c r="N673" s="196"/>
      <c r="O673" s="196"/>
      <c r="P673" s="196"/>
      <c r="Q673" s="196"/>
      <c r="R673" s="196"/>
      <c r="S673" s="196"/>
      <c r="T673" s="196"/>
      <c r="U673" s="196"/>
      <c r="V673" s="196"/>
      <c r="W673" s="196"/>
      <c r="X673" s="196"/>
      <c r="Y673" s="196"/>
      <c r="Z673" s="196"/>
      <c r="AA673" s="196"/>
      <c r="AB673" s="196"/>
    </row>
    <row r="674" spans="1:28" ht="12.9">
      <c r="A674" s="196"/>
      <c r="B674" s="143"/>
      <c r="C674" s="196"/>
      <c r="D674" s="196"/>
      <c r="E674" s="196"/>
      <c r="F674" s="220"/>
      <c r="G674" s="143"/>
      <c r="H674" s="196"/>
      <c r="I674" s="196"/>
      <c r="J674" s="196"/>
      <c r="K674" s="196"/>
      <c r="L674" s="196"/>
      <c r="M674" s="196"/>
      <c r="N674" s="196"/>
      <c r="O674" s="196"/>
      <c r="P674" s="196"/>
      <c r="Q674" s="196"/>
      <c r="R674" s="196"/>
      <c r="S674" s="196"/>
      <c r="T674" s="196"/>
      <c r="U674" s="196"/>
      <c r="V674" s="196"/>
      <c r="W674" s="196"/>
      <c r="X674" s="196"/>
      <c r="Y674" s="196"/>
      <c r="Z674" s="196"/>
      <c r="AA674" s="196"/>
      <c r="AB674" s="196"/>
    </row>
    <row r="675" spans="1:28" ht="12.9">
      <c r="A675" s="196"/>
      <c r="B675" s="143"/>
      <c r="C675" s="196"/>
      <c r="D675" s="196"/>
      <c r="E675" s="196"/>
      <c r="F675" s="220"/>
      <c r="G675" s="143"/>
      <c r="H675" s="196"/>
      <c r="I675" s="196"/>
      <c r="J675" s="196"/>
      <c r="K675" s="196"/>
      <c r="L675" s="196"/>
      <c r="M675" s="196"/>
      <c r="N675" s="196"/>
      <c r="O675" s="196"/>
      <c r="P675" s="196"/>
      <c r="Q675" s="196"/>
      <c r="R675" s="196"/>
      <c r="S675" s="196"/>
      <c r="T675" s="196"/>
      <c r="U675" s="196"/>
      <c r="V675" s="196"/>
      <c r="W675" s="196"/>
      <c r="X675" s="196"/>
      <c r="Y675" s="196"/>
      <c r="Z675" s="196"/>
      <c r="AA675" s="196"/>
      <c r="AB675" s="196"/>
    </row>
    <row r="676" spans="1:28" ht="12.9">
      <c r="A676" s="196"/>
      <c r="B676" s="143"/>
      <c r="C676" s="196"/>
      <c r="D676" s="196"/>
      <c r="E676" s="196"/>
      <c r="F676" s="220"/>
      <c r="G676" s="143"/>
      <c r="H676" s="196"/>
      <c r="I676" s="196"/>
      <c r="J676" s="196"/>
      <c r="K676" s="196"/>
      <c r="L676" s="196"/>
      <c r="M676" s="196"/>
      <c r="N676" s="196"/>
      <c r="O676" s="196"/>
      <c r="P676" s="196"/>
      <c r="Q676" s="196"/>
      <c r="R676" s="196"/>
      <c r="S676" s="196"/>
      <c r="T676" s="196"/>
      <c r="U676" s="196"/>
      <c r="V676" s="196"/>
      <c r="W676" s="196"/>
      <c r="X676" s="196"/>
      <c r="Y676" s="196"/>
      <c r="Z676" s="196"/>
      <c r="AA676" s="196"/>
      <c r="AB676" s="196"/>
    </row>
    <row r="677" spans="1:28" ht="12.9">
      <c r="A677" s="196"/>
      <c r="B677" s="143"/>
      <c r="C677" s="196"/>
      <c r="D677" s="196"/>
      <c r="E677" s="196"/>
      <c r="F677" s="220"/>
      <c r="G677" s="143"/>
      <c r="H677" s="196"/>
      <c r="I677" s="196"/>
      <c r="J677" s="196"/>
      <c r="K677" s="196"/>
      <c r="L677" s="196"/>
      <c r="M677" s="196"/>
      <c r="N677" s="196"/>
      <c r="O677" s="196"/>
      <c r="P677" s="196"/>
      <c r="Q677" s="196"/>
      <c r="R677" s="196"/>
      <c r="S677" s="196"/>
      <c r="T677" s="196"/>
      <c r="U677" s="196"/>
      <c r="V677" s="196"/>
      <c r="W677" s="196"/>
      <c r="X677" s="196"/>
      <c r="Y677" s="196"/>
      <c r="Z677" s="196"/>
      <c r="AA677" s="196"/>
      <c r="AB677" s="196"/>
    </row>
    <row r="678" spans="1:28" ht="12.9">
      <c r="A678" s="196"/>
      <c r="B678" s="143"/>
      <c r="C678" s="196"/>
      <c r="D678" s="196"/>
      <c r="E678" s="196"/>
      <c r="F678" s="220"/>
      <c r="G678" s="143"/>
      <c r="H678" s="196"/>
      <c r="I678" s="196"/>
      <c r="J678" s="196"/>
      <c r="K678" s="196"/>
      <c r="L678" s="196"/>
      <c r="M678" s="196"/>
      <c r="N678" s="196"/>
      <c r="O678" s="196"/>
      <c r="P678" s="196"/>
      <c r="Q678" s="196"/>
      <c r="R678" s="196"/>
      <c r="S678" s="196"/>
      <c r="T678" s="196"/>
      <c r="U678" s="196"/>
      <c r="V678" s="196"/>
      <c r="W678" s="196"/>
      <c r="X678" s="196"/>
      <c r="Y678" s="196"/>
      <c r="Z678" s="196"/>
      <c r="AA678" s="196"/>
      <c r="AB678" s="196"/>
    </row>
    <row r="679" spans="1:28" ht="12.9">
      <c r="A679" s="196"/>
      <c r="B679" s="143"/>
      <c r="C679" s="196"/>
      <c r="D679" s="196"/>
      <c r="E679" s="196"/>
      <c r="F679" s="220"/>
      <c r="G679" s="143"/>
      <c r="H679" s="196"/>
      <c r="I679" s="196"/>
      <c r="J679" s="196"/>
      <c r="K679" s="196"/>
      <c r="L679" s="196"/>
      <c r="M679" s="196"/>
      <c r="N679" s="196"/>
      <c r="O679" s="196"/>
      <c r="P679" s="196"/>
      <c r="Q679" s="196"/>
      <c r="R679" s="196"/>
      <c r="S679" s="196"/>
      <c r="T679" s="196"/>
      <c r="U679" s="196"/>
      <c r="V679" s="196"/>
      <c r="W679" s="196"/>
      <c r="X679" s="196"/>
      <c r="Y679" s="196"/>
      <c r="Z679" s="196"/>
      <c r="AA679" s="196"/>
      <c r="AB679" s="196"/>
    </row>
    <row r="680" spans="1:28" ht="12.9">
      <c r="A680" s="196"/>
      <c r="B680" s="143"/>
      <c r="C680" s="196"/>
      <c r="D680" s="196"/>
      <c r="E680" s="196"/>
      <c r="F680" s="220"/>
      <c r="G680" s="143"/>
      <c r="H680" s="196"/>
      <c r="I680" s="196"/>
      <c r="J680" s="196"/>
      <c r="K680" s="196"/>
      <c r="L680" s="196"/>
      <c r="M680" s="196"/>
      <c r="N680" s="196"/>
      <c r="O680" s="196"/>
      <c r="P680" s="196"/>
      <c r="Q680" s="196"/>
      <c r="R680" s="196"/>
      <c r="S680" s="196"/>
      <c r="T680" s="196"/>
      <c r="U680" s="196"/>
      <c r="V680" s="196"/>
      <c r="W680" s="196"/>
      <c r="X680" s="196"/>
      <c r="Y680" s="196"/>
      <c r="Z680" s="196"/>
      <c r="AA680" s="196"/>
      <c r="AB680" s="196"/>
    </row>
    <row r="681" spans="1:28" ht="12.9">
      <c r="A681" s="196"/>
      <c r="B681" s="143"/>
      <c r="C681" s="196"/>
      <c r="D681" s="196"/>
      <c r="E681" s="196"/>
      <c r="F681" s="220"/>
      <c r="G681" s="143"/>
      <c r="H681" s="196"/>
      <c r="I681" s="196"/>
      <c r="J681" s="196"/>
      <c r="K681" s="196"/>
      <c r="L681" s="196"/>
      <c r="M681" s="196"/>
      <c r="N681" s="196"/>
      <c r="O681" s="196"/>
      <c r="P681" s="196"/>
      <c r="Q681" s="196"/>
      <c r="R681" s="196"/>
      <c r="S681" s="196"/>
      <c r="T681" s="196"/>
      <c r="U681" s="196"/>
      <c r="V681" s="196"/>
      <c r="W681" s="196"/>
      <c r="X681" s="196"/>
      <c r="Y681" s="196"/>
      <c r="Z681" s="196"/>
      <c r="AA681" s="196"/>
      <c r="AB681" s="196"/>
    </row>
    <row r="682" spans="1:28" ht="12.9">
      <c r="A682" s="196"/>
      <c r="B682" s="143"/>
      <c r="C682" s="196"/>
      <c r="D682" s="196"/>
      <c r="E682" s="196"/>
      <c r="F682" s="220"/>
      <c r="G682" s="143"/>
      <c r="H682" s="196"/>
      <c r="I682" s="196"/>
      <c r="J682" s="196"/>
      <c r="K682" s="196"/>
      <c r="L682" s="196"/>
      <c r="M682" s="196"/>
      <c r="N682" s="196"/>
      <c r="O682" s="196"/>
      <c r="P682" s="196"/>
      <c r="Q682" s="196"/>
      <c r="R682" s="196"/>
      <c r="S682" s="196"/>
      <c r="T682" s="196"/>
      <c r="U682" s="196"/>
      <c r="V682" s="196"/>
      <c r="W682" s="196"/>
      <c r="X682" s="196"/>
      <c r="Y682" s="196"/>
      <c r="Z682" s="196"/>
      <c r="AA682" s="196"/>
      <c r="AB682" s="196"/>
    </row>
    <row r="683" spans="1:28" ht="12.9">
      <c r="A683" s="196"/>
      <c r="B683" s="143"/>
      <c r="C683" s="196"/>
      <c r="D683" s="196"/>
      <c r="E683" s="196"/>
      <c r="F683" s="220"/>
      <c r="G683" s="143"/>
      <c r="H683" s="196"/>
      <c r="I683" s="196"/>
      <c r="J683" s="196"/>
      <c r="K683" s="196"/>
      <c r="L683" s="196"/>
      <c r="M683" s="196"/>
      <c r="N683" s="196"/>
      <c r="O683" s="196"/>
      <c r="P683" s="196"/>
      <c r="Q683" s="196"/>
      <c r="R683" s="196"/>
      <c r="S683" s="196"/>
      <c r="T683" s="196"/>
      <c r="U683" s="196"/>
      <c r="V683" s="196"/>
      <c r="W683" s="196"/>
      <c r="X683" s="196"/>
      <c r="Y683" s="196"/>
      <c r="Z683" s="196"/>
      <c r="AA683" s="196"/>
      <c r="AB683" s="196"/>
    </row>
    <row r="684" spans="1:28" ht="12.9">
      <c r="A684" s="196"/>
      <c r="B684" s="143"/>
      <c r="C684" s="196"/>
      <c r="D684" s="196"/>
      <c r="E684" s="196"/>
      <c r="F684" s="220"/>
      <c r="G684" s="143"/>
      <c r="H684" s="196"/>
      <c r="I684" s="196"/>
      <c r="J684" s="196"/>
      <c r="K684" s="196"/>
      <c r="L684" s="196"/>
      <c r="M684" s="196"/>
      <c r="N684" s="196"/>
      <c r="O684" s="196"/>
      <c r="P684" s="196"/>
      <c r="Q684" s="196"/>
      <c r="R684" s="196"/>
      <c r="S684" s="196"/>
      <c r="T684" s="196"/>
      <c r="U684" s="196"/>
      <c r="V684" s="196"/>
      <c r="W684" s="196"/>
      <c r="X684" s="196"/>
      <c r="Y684" s="196"/>
      <c r="Z684" s="196"/>
      <c r="AA684" s="196"/>
      <c r="AB684" s="196"/>
    </row>
    <row r="685" spans="1:28" ht="12.9">
      <c r="A685" s="196"/>
      <c r="B685" s="143"/>
      <c r="C685" s="196"/>
      <c r="D685" s="196"/>
      <c r="E685" s="196"/>
      <c r="F685" s="220"/>
      <c r="G685" s="143"/>
      <c r="H685" s="196"/>
      <c r="I685" s="196"/>
      <c r="J685" s="196"/>
      <c r="K685" s="196"/>
      <c r="L685" s="196"/>
      <c r="M685" s="196"/>
      <c r="N685" s="196"/>
      <c r="O685" s="196"/>
      <c r="P685" s="196"/>
      <c r="Q685" s="196"/>
      <c r="R685" s="196"/>
      <c r="S685" s="196"/>
      <c r="T685" s="196"/>
      <c r="U685" s="196"/>
      <c r="V685" s="196"/>
      <c r="W685" s="196"/>
      <c r="X685" s="196"/>
      <c r="Y685" s="196"/>
      <c r="Z685" s="196"/>
      <c r="AA685" s="196"/>
      <c r="AB685" s="196"/>
    </row>
    <row r="686" spans="1:28" ht="12.9">
      <c r="A686" s="196"/>
      <c r="B686" s="143"/>
      <c r="C686" s="196"/>
      <c r="D686" s="196"/>
      <c r="E686" s="196"/>
      <c r="F686" s="220"/>
      <c r="G686" s="143"/>
      <c r="H686" s="196"/>
      <c r="I686" s="196"/>
      <c r="J686" s="196"/>
      <c r="K686" s="196"/>
      <c r="L686" s="196"/>
      <c r="M686" s="196"/>
      <c r="N686" s="196"/>
      <c r="O686" s="196"/>
      <c r="P686" s="196"/>
      <c r="Q686" s="196"/>
      <c r="R686" s="196"/>
      <c r="S686" s="196"/>
      <c r="T686" s="196"/>
      <c r="U686" s="196"/>
      <c r="V686" s="196"/>
      <c r="W686" s="196"/>
      <c r="X686" s="196"/>
      <c r="Y686" s="196"/>
      <c r="Z686" s="196"/>
      <c r="AA686" s="196"/>
      <c r="AB686" s="196"/>
    </row>
    <row r="687" spans="1:28" ht="12.9">
      <c r="A687" s="196"/>
      <c r="B687" s="143"/>
      <c r="C687" s="196"/>
      <c r="D687" s="196"/>
      <c r="E687" s="196"/>
      <c r="F687" s="220"/>
      <c r="G687" s="143"/>
      <c r="H687" s="196"/>
      <c r="I687" s="196"/>
      <c r="J687" s="196"/>
      <c r="K687" s="196"/>
      <c r="L687" s="196"/>
      <c r="M687" s="196"/>
      <c r="N687" s="196"/>
      <c r="O687" s="196"/>
      <c r="P687" s="196"/>
      <c r="Q687" s="196"/>
      <c r="R687" s="196"/>
      <c r="S687" s="196"/>
      <c r="T687" s="196"/>
      <c r="U687" s="196"/>
      <c r="V687" s="196"/>
      <c r="W687" s="196"/>
      <c r="X687" s="196"/>
      <c r="Y687" s="196"/>
      <c r="Z687" s="196"/>
      <c r="AA687" s="196"/>
      <c r="AB687" s="196"/>
    </row>
    <row r="688" spans="1:28" ht="12.9">
      <c r="A688" s="196"/>
      <c r="B688" s="143"/>
      <c r="C688" s="196"/>
      <c r="D688" s="196"/>
      <c r="E688" s="196"/>
      <c r="F688" s="220"/>
      <c r="G688" s="143"/>
      <c r="H688" s="196"/>
      <c r="I688" s="196"/>
      <c r="J688" s="196"/>
      <c r="K688" s="196"/>
      <c r="L688" s="196"/>
      <c r="M688" s="196"/>
      <c r="N688" s="196"/>
      <c r="O688" s="196"/>
      <c r="P688" s="196"/>
      <c r="Q688" s="196"/>
      <c r="R688" s="196"/>
      <c r="S688" s="196"/>
      <c r="T688" s="196"/>
      <c r="U688" s="196"/>
      <c r="V688" s="196"/>
      <c r="W688" s="196"/>
      <c r="X688" s="196"/>
      <c r="Y688" s="196"/>
      <c r="Z688" s="196"/>
      <c r="AA688" s="196"/>
      <c r="AB688" s="196"/>
    </row>
    <row r="689" spans="1:28" ht="12.9">
      <c r="A689" s="196"/>
      <c r="B689" s="143"/>
      <c r="C689" s="196"/>
      <c r="D689" s="196"/>
      <c r="E689" s="196"/>
      <c r="F689" s="220"/>
      <c r="G689" s="143"/>
      <c r="H689" s="196"/>
      <c r="I689" s="196"/>
      <c r="J689" s="196"/>
      <c r="K689" s="196"/>
      <c r="L689" s="196"/>
      <c r="M689" s="196"/>
      <c r="N689" s="196"/>
      <c r="O689" s="196"/>
      <c r="P689" s="196"/>
      <c r="Q689" s="196"/>
      <c r="R689" s="196"/>
      <c r="S689" s="196"/>
      <c r="T689" s="196"/>
      <c r="U689" s="196"/>
      <c r="V689" s="196"/>
      <c r="W689" s="196"/>
      <c r="X689" s="196"/>
      <c r="Y689" s="196"/>
      <c r="Z689" s="196"/>
      <c r="AA689" s="196"/>
      <c r="AB689" s="196"/>
    </row>
    <row r="690" spans="1:28" ht="12.9">
      <c r="A690" s="196"/>
      <c r="B690" s="143"/>
      <c r="C690" s="196"/>
      <c r="D690" s="196"/>
      <c r="E690" s="196"/>
      <c r="F690" s="220"/>
      <c r="G690" s="143"/>
      <c r="H690" s="196"/>
      <c r="I690" s="196"/>
      <c r="J690" s="196"/>
      <c r="K690" s="196"/>
      <c r="L690" s="196"/>
      <c r="M690" s="196"/>
      <c r="N690" s="196"/>
      <c r="O690" s="196"/>
      <c r="P690" s="196"/>
      <c r="Q690" s="196"/>
      <c r="R690" s="196"/>
      <c r="S690" s="196"/>
      <c r="T690" s="196"/>
      <c r="U690" s="196"/>
      <c r="V690" s="196"/>
      <c r="W690" s="196"/>
      <c r="X690" s="196"/>
      <c r="Y690" s="196"/>
      <c r="Z690" s="196"/>
      <c r="AA690" s="196"/>
      <c r="AB690" s="196"/>
    </row>
    <row r="691" spans="1:28" ht="12.9">
      <c r="A691" s="196"/>
      <c r="B691" s="143"/>
      <c r="C691" s="196"/>
      <c r="D691" s="196"/>
      <c r="E691" s="196"/>
      <c r="F691" s="220"/>
      <c r="G691" s="143"/>
      <c r="H691" s="196"/>
      <c r="I691" s="196"/>
      <c r="J691" s="196"/>
      <c r="K691" s="196"/>
      <c r="L691" s="196"/>
      <c r="M691" s="196"/>
      <c r="N691" s="196"/>
      <c r="O691" s="196"/>
      <c r="P691" s="196"/>
      <c r="Q691" s="196"/>
      <c r="R691" s="196"/>
      <c r="S691" s="196"/>
      <c r="T691" s="196"/>
      <c r="U691" s="196"/>
      <c r="V691" s="196"/>
      <c r="W691" s="196"/>
      <c r="X691" s="196"/>
      <c r="Y691" s="196"/>
      <c r="Z691" s="196"/>
      <c r="AA691" s="196"/>
      <c r="AB691" s="196"/>
    </row>
    <row r="692" spans="1:28" ht="12.9">
      <c r="A692" s="196"/>
      <c r="B692" s="143"/>
      <c r="C692" s="196"/>
      <c r="D692" s="196"/>
      <c r="E692" s="196"/>
      <c r="F692" s="220"/>
      <c r="G692" s="143"/>
      <c r="H692" s="196"/>
      <c r="I692" s="196"/>
      <c r="J692" s="196"/>
      <c r="K692" s="196"/>
      <c r="L692" s="196"/>
      <c r="M692" s="196"/>
      <c r="N692" s="196"/>
      <c r="O692" s="196"/>
      <c r="P692" s="196"/>
      <c r="Q692" s="196"/>
      <c r="R692" s="196"/>
      <c r="S692" s="196"/>
      <c r="T692" s="196"/>
      <c r="U692" s="196"/>
      <c r="V692" s="196"/>
      <c r="W692" s="196"/>
      <c r="X692" s="196"/>
      <c r="Y692" s="196"/>
      <c r="Z692" s="196"/>
      <c r="AA692" s="196"/>
      <c r="AB692" s="196"/>
    </row>
    <row r="693" spans="1:28" ht="12.9">
      <c r="A693" s="196"/>
      <c r="B693" s="143"/>
      <c r="C693" s="196"/>
      <c r="D693" s="196"/>
      <c r="E693" s="196"/>
      <c r="F693" s="220"/>
      <c r="G693" s="143"/>
      <c r="H693" s="196"/>
      <c r="I693" s="196"/>
      <c r="J693" s="196"/>
      <c r="K693" s="196"/>
      <c r="L693" s="196"/>
      <c r="M693" s="196"/>
      <c r="N693" s="196"/>
      <c r="O693" s="196"/>
      <c r="P693" s="196"/>
      <c r="Q693" s="196"/>
      <c r="R693" s="196"/>
      <c r="S693" s="196"/>
      <c r="T693" s="196"/>
      <c r="U693" s="196"/>
      <c r="V693" s="196"/>
      <c r="W693" s="196"/>
      <c r="X693" s="196"/>
      <c r="Y693" s="196"/>
      <c r="Z693" s="196"/>
      <c r="AA693" s="196"/>
      <c r="AB693" s="196"/>
    </row>
    <row r="694" spans="1:28" ht="12.9">
      <c r="A694" s="196"/>
      <c r="B694" s="143"/>
      <c r="C694" s="196"/>
      <c r="D694" s="196"/>
      <c r="E694" s="196"/>
      <c r="F694" s="220"/>
      <c r="G694" s="143"/>
      <c r="H694" s="196"/>
      <c r="I694" s="196"/>
      <c r="J694" s="196"/>
      <c r="K694" s="196"/>
      <c r="L694" s="196"/>
      <c r="M694" s="196"/>
      <c r="N694" s="196"/>
      <c r="O694" s="196"/>
      <c r="P694" s="196"/>
      <c r="Q694" s="196"/>
      <c r="R694" s="196"/>
      <c r="S694" s="196"/>
      <c r="T694" s="196"/>
      <c r="U694" s="196"/>
      <c r="V694" s="196"/>
      <c r="W694" s="196"/>
      <c r="X694" s="196"/>
      <c r="Y694" s="196"/>
      <c r="Z694" s="196"/>
      <c r="AA694" s="196"/>
      <c r="AB694" s="196"/>
    </row>
    <row r="695" spans="1:28" ht="12.9">
      <c r="A695" s="196"/>
      <c r="B695" s="143"/>
      <c r="C695" s="196"/>
      <c r="D695" s="196"/>
      <c r="E695" s="196"/>
      <c r="F695" s="220"/>
      <c r="G695" s="143"/>
      <c r="H695" s="196"/>
      <c r="I695" s="196"/>
      <c r="J695" s="196"/>
      <c r="K695" s="196"/>
      <c r="L695" s="196"/>
      <c r="M695" s="196"/>
      <c r="N695" s="196"/>
      <c r="O695" s="196"/>
      <c r="P695" s="196"/>
      <c r="Q695" s="196"/>
      <c r="R695" s="196"/>
      <c r="S695" s="196"/>
      <c r="T695" s="196"/>
      <c r="U695" s="196"/>
      <c r="V695" s="196"/>
      <c r="W695" s="196"/>
      <c r="X695" s="196"/>
      <c r="Y695" s="196"/>
      <c r="Z695" s="196"/>
      <c r="AA695" s="196"/>
      <c r="AB695" s="196"/>
    </row>
    <row r="696" spans="1:28" ht="12.9">
      <c r="A696" s="196"/>
      <c r="B696" s="143"/>
      <c r="C696" s="196"/>
      <c r="D696" s="196"/>
      <c r="E696" s="196"/>
      <c r="F696" s="220"/>
      <c r="G696" s="143"/>
      <c r="H696" s="196"/>
      <c r="I696" s="196"/>
      <c r="J696" s="196"/>
      <c r="K696" s="196"/>
      <c r="L696" s="196"/>
      <c r="M696" s="196"/>
      <c r="N696" s="196"/>
      <c r="O696" s="196"/>
      <c r="P696" s="196"/>
      <c r="Q696" s="196"/>
      <c r="R696" s="196"/>
      <c r="S696" s="196"/>
      <c r="T696" s="196"/>
      <c r="U696" s="196"/>
      <c r="V696" s="196"/>
      <c r="W696" s="196"/>
      <c r="X696" s="196"/>
      <c r="Y696" s="196"/>
      <c r="Z696" s="196"/>
      <c r="AA696" s="196"/>
      <c r="AB696" s="196"/>
    </row>
    <row r="697" spans="1:28" ht="12.9">
      <c r="A697" s="196"/>
      <c r="B697" s="143"/>
      <c r="C697" s="196"/>
      <c r="D697" s="196"/>
      <c r="E697" s="196"/>
      <c r="F697" s="220"/>
      <c r="G697" s="143"/>
      <c r="H697" s="196"/>
      <c r="I697" s="196"/>
      <c r="J697" s="196"/>
      <c r="K697" s="196"/>
      <c r="L697" s="196"/>
      <c r="M697" s="196"/>
      <c r="N697" s="196"/>
      <c r="O697" s="196"/>
      <c r="P697" s="196"/>
      <c r="Q697" s="196"/>
      <c r="R697" s="196"/>
      <c r="S697" s="196"/>
      <c r="T697" s="196"/>
      <c r="U697" s="196"/>
      <c r="V697" s="196"/>
      <c r="W697" s="196"/>
      <c r="X697" s="196"/>
      <c r="Y697" s="196"/>
      <c r="Z697" s="196"/>
      <c r="AA697" s="196"/>
      <c r="AB697" s="196"/>
    </row>
    <row r="698" spans="1:28" ht="12.9">
      <c r="A698" s="196"/>
      <c r="B698" s="143"/>
      <c r="C698" s="196"/>
      <c r="D698" s="196"/>
      <c r="E698" s="196"/>
      <c r="F698" s="220"/>
      <c r="G698" s="143"/>
      <c r="H698" s="196"/>
      <c r="I698" s="196"/>
      <c r="J698" s="196"/>
      <c r="K698" s="196"/>
      <c r="L698" s="196"/>
      <c r="M698" s="196"/>
      <c r="N698" s="196"/>
      <c r="O698" s="196"/>
      <c r="P698" s="196"/>
      <c r="Q698" s="196"/>
      <c r="R698" s="196"/>
      <c r="S698" s="196"/>
      <c r="T698" s="196"/>
      <c r="U698" s="196"/>
      <c r="V698" s="196"/>
      <c r="W698" s="196"/>
      <c r="X698" s="196"/>
      <c r="Y698" s="196"/>
      <c r="Z698" s="196"/>
      <c r="AA698" s="196"/>
      <c r="AB698" s="196"/>
    </row>
    <row r="699" spans="1:28" ht="12.9">
      <c r="A699" s="196"/>
      <c r="B699" s="143"/>
      <c r="C699" s="196"/>
      <c r="D699" s="196"/>
      <c r="E699" s="196"/>
      <c r="F699" s="220"/>
      <c r="G699" s="143"/>
      <c r="H699" s="196"/>
      <c r="I699" s="196"/>
      <c r="J699" s="196"/>
      <c r="K699" s="196"/>
      <c r="L699" s="196"/>
      <c r="M699" s="196"/>
      <c r="N699" s="196"/>
      <c r="O699" s="196"/>
      <c r="P699" s="196"/>
      <c r="Q699" s="196"/>
      <c r="R699" s="196"/>
      <c r="S699" s="196"/>
      <c r="T699" s="196"/>
      <c r="U699" s="196"/>
      <c r="V699" s="196"/>
      <c r="W699" s="196"/>
      <c r="X699" s="196"/>
      <c r="Y699" s="196"/>
      <c r="Z699" s="196"/>
      <c r="AA699" s="196"/>
      <c r="AB699" s="196"/>
    </row>
    <row r="700" spans="1:28" ht="12.9">
      <c r="A700" s="196"/>
      <c r="B700" s="143"/>
      <c r="C700" s="196"/>
      <c r="D700" s="196"/>
      <c r="E700" s="196"/>
      <c r="F700" s="220"/>
      <c r="G700" s="143"/>
      <c r="H700" s="196"/>
      <c r="I700" s="196"/>
      <c r="J700" s="196"/>
      <c r="K700" s="196"/>
      <c r="L700" s="196"/>
      <c r="M700" s="196"/>
      <c r="N700" s="196"/>
      <c r="O700" s="196"/>
      <c r="P700" s="196"/>
      <c r="Q700" s="196"/>
      <c r="R700" s="196"/>
      <c r="S700" s="196"/>
      <c r="T700" s="196"/>
      <c r="U700" s="196"/>
      <c r="V700" s="196"/>
      <c r="W700" s="196"/>
      <c r="X700" s="196"/>
      <c r="Y700" s="196"/>
      <c r="Z700" s="196"/>
      <c r="AA700" s="196"/>
      <c r="AB700" s="196"/>
    </row>
    <row r="701" spans="1:28" ht="12.9">
      <c r="A701" s="196"/>
      <c r="B701" s="143"/>
      <c r="C701" s="196"/>
      <c r="D701" s="196"/>
      <c r="E701" s="196"/>
      <c r="F701" s="220"/>
      <c r="G701" s="143"/>
      <c r="H701" s="196"/>
      <c r="I701" s="196"/>
      <c r="J701" s="196"/>
      <c r="K701" s="196"/>
      <c r="L701" s="196"/>
      <c r="M701" s="196"/>
      <c r="N701" s="196"/>
      <c r="O701" s="196"/>
      <c r="P701" s="196"/>
      <c r="Q701" s="196"/>
      <c r="R701" s="196"/>
      <c r="S701" s="196"/>
      <c r="T701" s="196"/>
      <c r="U701" s="196"/>
      <c r="V701" s="196"/>
      <c r="W701" s="196"/>
      <c r="X701" s="196"/>
      <c r="Y701" s="196"/>
      <c r="Z701" s="196"/>
      <c r="AA701" s="196"/>
      <c r="AB701" s="196"/>
    </row>
    <row r="702" spans="1:28" ht="12.9">
      <c r="A702" s="196"/>
      <c r="B702" s="143"/>
      <c r="C702" s="196"/>
      <c r="D702" s="196"/>
      <c r="E702" s="196"/>
      <c r="F702" s="220"/>
      <c r="G702" s="143"/>
      <c r="H702" s="196"/>
      <c r="I702" s="196"/>
      <c r="J702" s="196"/>
      <c r="K702" s="196"/>
      <c r="L702" s="196"/>
      <c r="M702" s="196"/>
      <c r="N702" s="196"/>
      <c r="O702" s="196"/>
      <c r="P702" s="196"/>
      <c r="Q702" s="196"/>
      <c r="R702" s="196"/>
      <c r="S702" s="196"/>
      <c r="T702" s="196"/>
      <c r="U702" s="196"/>
      <c r="V702" s="196"/>
      <c r="W702" s="196"/>
      <c r="X702" s="196"/>
      <c r="Y702" s="196"/>
      <c r="Z702" s="196"/>
      <c r="AA702" s="196"/>
      <c r="AB702" s="196"/>
    </row>
    <row r="703" spans="1:28" ht="12.9">
      <c r="A703" s="196"/>
      <c r="B703" s="143"/>
      <c r="C703" s="196"/>
      <c r="D703" s="196"/>
      <c r="E703" s="196"/>
      <c r="F703" s="220"/>
      <c r="G703" s="143"/>
      <c r="H703" s="196"/>
      <c r="I703" s="196"/>
      <c r="J703" s="196"/>
      <c r="K703" s="196"/>
      <c r="L703" s="196"/>
      <c r="M703" s="196"/>
      <c r="N703" s="196"/>
      <c r="O703" s="196"/>
      <c r="P703" s="196"/>
      <c r="Q703" s="196"/>
      <c r="R703" s="196"/>
      <c r="S703" s="196"/>
      <c r="T703" s="196"/>
      <c r="U703" s="196"/>
      <c r="V703" s="196"/>
      <c r="W703" s="196"/>
      <c r="X703" s="196"/>
      <c r="Y703" s="196"/>
      <c r="Z703" s="196"/>
      <c r="AA703" s="196"/>
      <c r="AB703" s="196"/>
    </row>
    <row r="704" spans="1:28" ht="12.9">
      <c r="A704" s="196"/>
      <c r="B704" s="143"/>
      <c r="C704" s="196"/>
      <c r="D704" s="196"/>
      <c r="E704" s="196"/>
      <c r="F704" s="220"/>
      <c r="G704" s="143"/>
      <c r="H704" s="196"/>
      <c r="I704" s="196"/>
      <c r="J704" s="196"/>
      <c r="K704" s="196"/>
      <c r="L704" s="196"/>
      <c r="M704" s="196"/>
      <c r="N704" s="196"/>
      <c r="O704" s="196"/>
      <c r="P704" s="196"/>
      <c r="Q704" s="196"/>
      <c r="R704" s="196"/>
      <c r="S704" s="196"/>
      <c r="T704" s="196"/>
      <c r="U704" s="196"/>
      <c r="V704" s="196"/>
      <c r="W704" s="196"/>
      <c r="X704" s="196"/>
      <c r="Y704" s="196"/>
      <c r="Z704" s="196"/>
      <c r="AA704" s="196"/>
      <c r="AB704" s="196"/>
    </row>
    <row r="705" spans="1:28" ht="12.9">
      <c r="A705" s="196"/>
      <c r="B705" s="143"/>
      <c r="C705" s="196"/>
      <c r="D705" s="196"/>
      <c r="E705" s="196"/>
      <c r="F705" s="220"/>
      <c r="G705" s="143"/>
      <c r="H705" s="196"/>
      <c r="I705" s="196"/>
      <c r="J705" s="196"/>
      <c r="K705" s="196"/>
      <c r="L705" s="196"/>
      <c r="M705" s="196"/>
      <c r="N705" s="196"/>
      <c r="O705" s="196"/>
      <c r="P705" s="196"/>
      <c r="Q705" s="196"/>
      <c r="R705" s="196"/>
      <c r="S705" s="196"/>
      <c r="T705" s="196"/>
      <c r="U705" s="196"/>
      <c r="V705" s="196"/>
      <c r="W705" s="196"/>
      <c r="X705" s="196"/>
      <c r="Y705" s="196"/>
      <c r="Z705" s="196"/>
      <c r="AA705" s="196"/>
      <c r="AB705" s="196"/>
    </row>
    <row r="706" spans="1:28" ht="12.9">
      <c r="A706" s="196"/>
      <c r="B706" s="143"/>
      <c r="C706" s="196"/>
      <c r="D706" s="196"/>
      <c r="E706" s="196"/>
      <c r="F706" s="220"/>
      <c r="G706" s="143"/>
      <c r="H706" s="196"/>
      <c r="I706" s="196"/>
      <c r="J706" s="196"/>
      <c r="K706" s="196"/>
      <c r="L706" s="196"/>
      <c r="M706" s="196"/>
      <c r="N706" s="196"/>
      <c r="O706" s="196"/>
      <c r="P706" s="196"/>
      <c r="Q706" s="196"/>
      <c r="R706" s="196"/>
      <c r="S706" s="196"/>
      <c r="T706" s="196"/>
      <c r="U706" s="196"/>
      <c r="V706" s="196"/>
      <c r="W706" s="196"/>
      <c r="X706" s="196"/>
      <c r="Y706" s="196"/>
      <c r="Z706" s="196"/>
      <c r="AA706" s="196"/>
      <c r="AB706" s="196"/>
    </row>
    <row r="707" spans="1:28" ht="12.9">
      <c r="A707" s="196"/>
      <c r="B707" s="143"/>
      <c r="C707" s="196"/>
      <c r="D707" s="196"/>
      <c r="E707" s="196"/>
      <c r="F707" s="220"/>
      <c r="G707" s="143"/>
      <c r="H707" s="196"/>
      <c r="I707" s="196"/>
      <c r="J707" s="196"/>
      <c r="K707" s="196"/>
      <c r="L707" s="196"/>
      <c r="M707" s="196"/>
      <c r="N707" s="196"/>
      <c r="O707" s="196"/>
      <c r="P707" s="196"/>
      <c r="Q707" s="196"/>
      <c r="R707" s="196"/>
      <c r="S707" s="196"/>
      <c r="T707" s="196"/>
      <c r="U707" s="196"/>
      <c r="V707" s="196"/>
      <c r="W707" s="196"/>
      <c r="X707" s="196"/>
      <c r="Y707" s="196"/>
      <c r="Z707" s="196"/>
      <c r="AA707" s="196"/>
      <c r="AB707" s="196"/>
    </row>
    <row r="708" spans="1:28" ht="12.9">
      <c r="A708" s="196"/>
      <c r="B708" s="143"/>
      <c r="C708" s="196"/>
      <c r="D708" s="196"/>
      <c r="E708" s="196"/>
      <c r="F708" s="220"/>
      <c r="G708" s="143"/>
      <c r="H708" s="196"/>
      <c r="I708" s="196"/>
      <c r="J708" s="196"/>
      <c r="K708" s="196"/>
      <c r="L708" s="196"/>
      <c r="M708" s="196"/>
      <c r="N708" s="196"/>
      <c r="O708" s="196"/>
      <c r="P708" s="196"/>
      <c r="Q708" s="196"/>
      <c r="R708" s="196"/>
      <c r="S708" s="196"/>
      <c r="T708" s="196"/>
      <c r="U708" s="196"/>
      <c r="V708" s="196"/>
      <c r="W708" s="196"/>
      <c r="X708" s="196"/>
      <c r="Y708" s="196"/>
      <c r="Z708" s="196"/>
      <c r="AA708" s="196"/>
      <c r="AB708" s="196"/>
    </row>
    <row r="709" spans="1:28" ht="12.9">
      <c r="A709" s="196"/>
      <c r="B709" s="143"/>
      <c r="C709" s="196"/>
      <c r="D709" s="196"/>
      <c r="E709" s="196"/>
      <c r="F709" s="220"/>
      <c r="G709" s="143"/>
      <c r="H709" s="196"/>
      <c r="I709" s="196"/>
      <c r="J709" s="196"/>
      <c r="K709" s="196"/>
      <c r="L709" s="196"/>
      <c r="M709" s="196"/>
      <c r="N709" s="196"/>
      <c r="O709" s="196"/>
      <c r="P709" s="196"/>
      <c r="Q709" s="196"/>
      <c r="R709" s="196"/>
      <c r="S709" s="196"/>
      <c r="T709" s="196"/>
      <c r="U709" s="196"/>
      <c r="V709" s="196"/>
      <c r="W709" s="196"/>
      <c r="X709" s="196"/>
      <c r="Y709" s="196"/>
      <c r="Z709" s="196"/>
      <c r="AA709" s="196"/>
      <c r="AB709" s="196"/>
    </row>
    <row r="710" spans="1:28" ht="12.9">
      <c r="A710" s="196"/>
      <c r="B710" s="143"/>
      <c r="C710" s="196"/>
      <c r="D710" s="196"/>
      <c r="E710" s="196"/>
      <c r="F710" s="220"/>
      <c r="G710" s="143"/>
      <c r="H710" s="196"/>
      <c r="I710" s="196"/>
      <c r="J710" s="196"/>
      <c r="K710" s="196"/>
      <c r="L710" s="196"/>
      <c r="M710" s="196"/>
      <c r="N710" s="196"/>
      <c r="O710" s="196"/>
      <c r="P710" s="196"/>
      <c r="Q710" s="196"/>
      <c r="R710" s="196"/>
      <c r="S710" s="196"/>
      <c r="T710" s="196"/>
      <c r="U710" s="196"/>
      <c r="V710" s="196"/>
      <c r="W710" s="196"/>
      <c r="X710" s="196"/>
      <c r="Y710" s="196"/>
      <c r="Z710" s="196"/>
      <c r="AA710" s="196"/>
      <c r="AB710" s="196"/>
    </row>
    <row r="711" spans="1:28" ht="12.9">
      <c r="A711" s="196"/>
      <c r="B711" s="143"/>
      <c r="C711" s="196"/>
      <c r="D711" s="196"/>
      <c r="E711" s="196"/>
      <c r="F711" s="220"/>
      <c r="G711" s="143"/>
      <c r="H711" s="196"/>
      <c r="I711" s="196"/>
      <c r="J711" s="196"/>
      <c r="K711" s="196"/>
      <c r="L711" s="196"/>
      <c r="M711" s="196"/>
      <c r="N711" s="196"/>
      <c r="O711" s="196"/>
      <c r="P711" s="196"/>
      <c r="Q711" s="196"/>
      <c r="R711" s="196"/>
      <c r="S711" s="196"/>
      <c r="T711" s="196"/>
      <c r="U711" s="196"/>
      <c r="V711" s="196"/>
      <c r="W711" s="196"/>
      <c r="X711" s="196"/>
      <c r="Y711" s="196"/>
      <c r="Z711" s="196"/>
      <c r="AA711" s="196"/>
      <c r="AB711" s="196"/>
    </row>
    <row r="712" spans="1:28" ht="12.9">
      <c r="A712" s="196"/>
      <c r="B712" s="143"/>
      <c r="C712" s="196"/>
      <c r="D712" s="196"/>
      <c r="E712" s="196"/>
      <c r="F712" s="220"/>
      <c r="G712" s="143"/>
      <c r="H712" s="196"/>
      <c r="I712" s="196"/>
      <c r="J712" s="196"/>
      <c r="K712" s="196"/>
      <c r="L712" s="196"/>
      <c r="M712" s="196"/>
      <c r="N712" s="196"/>
      <c r="O712" s="196"/>
      <c r="P712" s="196"/>
      <c r="Q712" s="196"/>
      <c r="R712" s="196"/>
      <c r="S712" s="196"/>
      <c r="T712" s="196"/>
      <c r="U712" s="196"/>
      <c r="V712" s="196"/>
      <c r="W712" s="196"/>
      <c r="X712" s="196"/>
      <c r="Y712" s="196"/>
      <c r="Z712" s="196"/>
      <c r="AA712" s="196"/>
      <c r="AB712" s="196"/>
    </row>
    <row r="713" spans="1:28" ht="12.9">
      <c r="A713" s="196"/>
      <c r="B713" s="143"/>
      <c r="C713" s="196"/>
      <c r="D713" s="196"/>
      <c r="E713" s="196"/>
      <c r="F713" s="220"/>
      <c r="G713" s="143"/>
      <c r="H713" s="196"/>
      <c r="I713" s="196"/>
      <c r="J713" s="196"/>
      <c r="K713" s="196"/>
      <c r="L713" s="196"/>
      <c r="M713" s="196"/>
      <c r="N713" s="196"/>
      <c r="O713" s="196"/>
      <c r="P713" s="196"/>
      <c r="Q713" s="196"/>
      <c r="R713" s="196"/>
      <c r="S713" s="196"/>
      <c r="T713" s="196"/>
      <c r="U713" s="196"/>
      <c r="V713" s="196"/>
      <c r="W713" s="196"/>
      <c r="X713" s="196"/>
      <c r="Y713" s="196"/>
      <c r="Z713" s="196"/>
      <c r="AA713" s="196"/>
      <c r="AB713" s="196"/>
    </row>
    <row r="714" spans="1:28" ht="12.9">
      <c r="A714" s="196"/>
      <c r="B714" s="143"/>
      <c r="C714" s="196"/>
      <c r="D714" s="196"/>
      <c r="E714" s="196"/>
      <c r="F714" s="220"/>
      <c r="G714" s="143"/>
      <c r="H714" s="196"/>
      <c r="I714" s="196"/>
      <c r="J714" s="196"/>
      <c r="K714" s="196"/>
      <c r="L714" s="196"/>
      <c r="M714" s="196"/>
      <c r="N714" s="196"/>
      <c r="O714" s="196"/>
      <c r="P714" s="196"/>
      <c r="Q714" s="196"/>
      <c r="R714" s="196"/>
      <c r="S714" s="196"/>
      <c r="T714" s="196"/>
      <c r="U714" s="196"/>
      <c r="V714" s="196"/>
      <c r="W714" s="196"/>
      <c r="X714" s="196"/>
      <c r="Y714" s="196"/>
      <c r="Z714" s="196"/>
      <c r="AA714" s="196"/>
      <c r="AB714" s="196"/>
    </row>
    <row r="715" spans="1:28" ht="12.9">
      <c r="A715" s="196"/>
      <c r="B715" s="143"/>
      <c r="C715" s="196"/>
      <c r="D715" s="196"/>
      <c r="E715" s="196"/>
      <c r="F715" s="220"/>
      <c r="G715" s="143"/>
      <c r="H715" s="196"/>
      <c r="I715" s="196"/>
      <c r="J715" s="196"/>
      <c r="K715" s="196"/>
      <c r="L715" s="196"/>
      <c r="M715" s="196"/>
      <c r="N715" s="196"/>
      <c r="O715" s="196"/>
      <c r="P715" s="196"/>
      <c r="Q715" s="196"/>
      <c r="R715" s="196"/>
      <c r="S715" s="196"/>
      <c r="T715" s="196"/>
      <c r="U715" s="196"/>
      <c r="V715" s="196"/>
      <c r="W715" s="196"/>
      <c r="X715" s="196"/>
      <c r="Y715" s="196"/>
      <c r="Z715" s="196"/>
      <c r="AA715" s="196"/>
      <c r="AB715" s="196"/>
    </row>
    <row r="716" spans="1:28" ht="12.9">
      <c r="A716" s="196"/>
      <c r="B716" s="143"/>
      <c r="C716" s="196"/>
      <c r="D716" s="196"/>
      <c r="E716" s="196"/>
      <c r="F716" s="220"/>
      <c r="G716" s="143"/>
      <c r="H716" s="196"/>
      <c r="I716" s="196"/>
      <c r="J716" s="196"/>
      <c r="K716" s="196"/>
      <c r="L716" s="196"/>
      <c r="M716" s="196"/>
      <c r="N716" s="196"/>
      <c r="O716" s="196"/>
      <c r="P716" s="196"/>
      <c r="Q716" s="196"/>
      <c r="R716" s="196"/>
      <c r="S716" s="196"/>
      <c r="T716" s="196"/>
      <c r="U716" s="196"/>
      <c r="V716" s="196"/>
      <c r="W716" s="196"/>
      <c r="X716" s="196"/>
      <c r="Y716" s="196"/>
      <c r="Z716" s="196"/>
      <c r="AA716" s="196"/>
      <c r="AB716" s="196"/>
    </row>
    <row r="717" spans="1:28" ht="12.9">
      <c r="A717" s="196"/>
      <c r="B717" s="143"/>
      <c r="C717" s="196"/>
      <c r="D717" s="196"/>
      <c r="E717" s="196"/>
      <c r="F717" s="220"/>
      <c r="G717" s="143"/>
      <c r="H717" s="196"/>
      <c r="I717" s="196"/>
      <c r="J717" s="196"/>
      <c r="K717" s="196"/>
      <c r="L717" s="196"/>
      <c r="M717" s="196"/>
      <c r="N717" s="196"/>
      <c r="O717" s="196"/>
      <c r="P717" s="196"/>
      <c r="Q717" s="196"/>
      <c r="R717" s="196"/>
      <c r="S717" s="196"/>
      <c r="T717" s="196"/>
      <c r="U717" s="196"/>
      <c r="V717" s="196"/>
      <c r="W717" s="196"/>
      <c r="X717" s="196"/>
      <c r="Y717" s="196"/>
      <c r="Z717" s="196"/>
      <c r="AA717" s="196"/>
      <c r="AB717" s="196"/>
    </row>
    <row r="718" spans="1:28" ht="12.9">
      <c r="A718" s="196"/>
      <c r="B718" s="143"/>
      <c r="C718" s="196"/>
      <c r="D718" s="196"/>
      <c r="E718" s="196"/>
      <c r="F718" s="220"/>
      <c r="G718" s="143"/>
      <c r="H718" s="196"/>
      <c r="I718" s="196"/>
      <c r="J718" s="196"/>
      <c r="K718" s="196"/>
      <c r="L718" s="196"/>
      <c r="M718" s="196"/>
      <c r="N718" s="196"/>
      <c r="O718" s="196"/>
      <c r="P718" s="196"/>
      <c r="Q718" s="196"/>
      <c r="R718" s="196"/>
      <c r="S718" s="196"/>
      <c r="T718" s="196"/>
      <c r="U718" s="196"/>
      <c r="V718" s="196"/>
      <c r="W718" s="196"/>
      <c r="X718" s="196"/>
      <c r="Y718" s="196"/>
      <c r="Z718" s="196"/>
      <c r="AA718" s="196"/>
      <c r="AB718" s="196"/>
    </row>
    <row r="719" spans="1:28" ht="12.9">
      <c r="A719" s="196"/>
      <c r="B719" s="143"/>
      <c r="C719" s="196"/>
      <c r="D719" s="196"/>
      <c r="E719" s="196"/>
      <c r="F719" s="220"/>
      <c r="G719" s="143"/>
      <c r="H719" s="196"/>
      <c r="I719" s="196"/>
      <c r="J719" s="196"/>
      <c r="K719" s="196"/>
      <c r="L719" s="196"/>
      <c r="M719" s="196"/>
      <c r="N719" s="196"/>
      <c r="O719" s="196"/>
      <c r="P719" s="196"/>
      <c r="Q719" s="196"/>
      <c r="R719" s="196"/>
      <c r="S719" s="196"/>
      <c r="T719" s="196"/>
      <c r="U719" s="196"/>
      <c r="V719" s="196"/>
      <c r="W719" s="196"/>
      <c r="X719" s="196"/>
      <c r="Y719" s="196"/>
      <c r="Z719" s="196"/>
      <c r="AA719" s="196"/>
      <c r="AB719" s="196"/>
    </row>
    <row r="720" spans="1:28" ht="12.9">
      <c r="A720" s="196"/>
      <c r="B720" s="143"/>
      <c r="C720" s="196"/>
      <c r="D720" s="196"/>
      <c r="E720" s="196"/>
      <c r="F720" s="220"/>
      <c r="G720" s="143"/>
      <c r="H720" s="196"/>
      <c r="I720" s="196"/>
      <c r="J720" s="196"/>
      <c r="K720" s="196"/>
      <c r="L720" s="196"/>
      <c r="M720" s="196"/>
      <c r="N720" s="196"/>
      <c r="O720" s="196"/>
      <c r="P720" s="196"/>
      <c r="Q720" s="196"/>
      <c r="R720" s="196"/>
      <c r="S720" s="196"/>
      <c r="T720" s="196"/>
      <c r="U720" s="196"/>
      <c r="V720" s="196"/>
      <c r="W720" s="196"/>
      <c r="X720" s="196"/>
      <c r="Y720" s="196"/>
      <c r="Z720" s="196"/>
      <c r="AA720" s="196"/>
      <c r="AB720" s="196"/>
    </row>
    <row r="721" spans="1:28" ht="12.9">
      <c r="A721" s="196"/>
      <c r="B721" s="143"/>
      <c r="C721" s="196"/>
      <c r="D721" s="196"/>
      <c r="E721" s="196"/>
      <c r="F721" s="220"/>
      <c r="G721" s="143"/>
      <c r="H721" s="196"/>
      <c r="I721" s="196"/>
      <c r="J721" s="196"/>
      <c r="K721" s="196"/>
      <c r="L721" s="196"/>
      <c r="M721" s="196"/>
      <c r="N721" s="196"/>
      <c r="O721" s="196"/>
      <c r="P721" s="196"/>
      <c r="Q721" s="196"/>
      <c r="R721" s="196"/>
      <c r="S721" s="196"/>
      <c r="T721" s="196"/>
      <c r="U721" s="196"/>
      <c r="V721" s="196"/>
      <c r="W721" s="196"/>
      <c r="X721" s="196"/>
      <c r="Y721" s="196"/>
      <c r="Z721" s="196"/>
      <c r="AA721" s="196"/>
      <c r="AB721" s="196"/>
    </row>
    <row r="722" spans="1:28" ht="12.9">
      <c r="A722" s="196"/>
      <c r="B722" s="143"/>
      <c r="C722" s="196"/>
      <c r="D722" s="196"/>
      <c r="E722" s="196"/>
      <c r="F722" s="220"/>
      <c r="G722" s="143"/>
      <c r="H722" s="196"/>
      <c r="I722" s="196"/>
      <c r="J722" s="196"/>
      <c r="K722" s="196"/>
      <c r="L722" s="196"/>
      <c r="M722" s="196"/>
      <c r="N722" s="196"/>
      <c r="O722" s="196"/>
      <c r="P722" s="196"/>
      <c r="Q722" s="196"/>
      <c r="R722" s="196"/>
      <c r="S722" s="196"/>
      <c r="T722" s="196"/>
      <c r="U722" s="196"/>
      <c r="V722" s="196"/>
      <c r="W722" s="196"/>
      <c r="X722" s="196"/>
      <c r="Y722" s="196"/>
      <c r="Z722" s="196"/>
      <c r="AA722" s="196"/>
      <c r="AB722" s="196"/>
    </row>
    <row r="723" spans="1:28" ht="12.9">
      <c r="A723" s="196"/>
      <c r="B723" s="143"/>
      <c r="C723" s="196"/>
      <c r="D723" s="196"/>
      <c r="E723" s="196"/>
      <c r="F723" s="220"/>
      <c r="G723" s="143"/>
      <c r="H723" s="196"/>
      <c r="I723" s="196"/>
      <c r="J723" s="196"/>
      <c r="K723" s="196"/>
      <c r="L723" s="196"/>
      <c r="M723" s="196"/>
      <c r="N723" s="196"/>
      <c r="O723" s="196"/>
      <c r="P723" s="196"/>
      <c r="Q723" s="196"/>
      <c r="R723" s="196"/>
      <c r="S723" s="196"/>
      <c r="T723" s="196"/>
      <c r="U723" s="196"/>
      <c r="V723" s="196"/>
      <c r="W723" s="196"/>
      <c r="X723" s="196"/>
      <c r="Y723" s="196"/>
      <c r="Z723" s="196"/>
      <c r="AA723" s="196"/>
      <c r="AB723" s="196"/>
    </row>
    <row r="724" spans="1:28" ht="12.9">
      <c r="A724" s="196"/>
      <c r="B724" s="143"/>
      <c r="C724" s="196"/>
      <c r="D724" s="196"/>
      <c r="E724" s="196"/>
      <c r="F724" s="220"/>
      <c r="G724" s="143"/>
      <c r="H724" s="196"/>
      <c r="I724" s="196"/>
      <c r="J724" s="196"/>
      <c r="K724" s="196"/>
      <c r="L724" s="196"/>
      <c r="M724" s="196"/>
      <c r="N724" s="196"/>
      <c r="O724" s="196"/>
      <c r="P724" s="196"/>
      <c r="Q724" s="196"/>
      <c r="R724" s="196"/>
      <c r="S724" s="196"/>
      <c r="T724" s="196"/>
      <c r="U724" s="196"/>
      <c r="V724" s="196"/>
      <c r="W724" s="196"/>
      <c r="X724" s="196"/>
      <c r="Y724" s="196"/>
      <c r="Z724" s="196"/>
      <c r="AA724" s="196"/>
      <c r="AB724" s="196"/>
    </row>
    <row r="725" spans="1:28" ht="12.9">
      <c r="A725" s="196"/>
      <c r="B725" s="143"/>
      <c r="C725" s="196"/>
      <c r="D725" s="196"/>
      <c r="E725" s="196"/>
      <c r="F725" s="220"/>
      <c r="G725" s="143"/>
      <c r="H725" s="196"/>
      <c r="I725" s="196"/>
      <c r="J725" s="196"/>
      <c r="K725" s="196"/>
      <c r="L725" s="196"/>
      <c r="M725" s="196"/>
      <c r="N725" s="196"/>
      <c r="O725" s="196"/>
      <c r="P725" s="196"/>
      <c r="Q725" s="196"/>
      <c r="R725" s="196"/>
      <c r="S725" s="196"/>
      <c r="T725" s="196"/>
      <c r="U725" s="196"/>
      <c r="V725" s="196"/>
      <c r="W725" s="196"/>
      <c r="X725" s="196"/>
      <c r="Y725" s="196"/>
      <c r="Z725" s="196"/>
      <c r="AA725" s="196"/>
      <c r="AB725" s="196"/>
    </row>
    <row r="726" spans="1:28" ht="12.9">
      <c r="A726" s="196"/>
      <c r="B726" s="143"/>
      <c r="C726" s="196"/>
      <c r="D726" s="196"/>
      <c r="E726" s="196"/>
      <c r="F726" s="220"/>
      <c r="G726" s="143"/>
      <c r="H726" s="196"/>
      <c r="I726" s="196"/>
      <c r="J726" s="196"/>
      <c r="K726" s="196"/>
      <c r="L726" s="196"/>
      <c r="M726" s="196"/>
      <c r="N726" s="196"/>
      <c r="O726" s="196"/>
      <c r="P726" s="196"/>
      <c r="Q726" s="196"/>
      <c r="R726" s="196"/>
      <c r="S726" s="196"/>
      <c r="T726" s="196"/>
      <c r="U726" s="196"/>
      <c r="V726" s="196"/>
      <c r="W726" s="196"/>
      <c r="X726" s="196"/>
      <c r="Y726" s="196"/>
      <c r="Z726" s="196"/>
      <c r="AA726" s="196"/>
      <c r="AB726" s="196"/>
    </row>
    <row r="727" spans="1:28" ht="12.9">
      <c r="A727" s="196"/>
      <c r="B727" s="143"/>
      <c r="C727" s="196"/>
      <c r="D727" s="196"/>
      <c r="E727" s="196"/>
      <c r="F727" s="220"/>
      <c r="G727" s="143"/>
      <c r="H727" s="196"/>
      <c r="I727" s="196"/>
      <c r="J727" s="196"/>
      <c r="K727" s="196"/>
      <c r="L727" s="196"/>
      <c r="M727" s="196"/>
      <c r="N727" s="196"/>
      <c r="O727" s="196"/>
      <c r="P727" s="196"/>
      <c r="Q727" s="196"/>
      <c r="R727" s="196"/>
      <c r="S727" s="196"/>
      <c r="T727" s="196"/>
      <c r="U727" s="196"/>
      <c r="V727" s="196"/>
      <c r="W727" s="196"/>
      <c r="X727" s="196"/>
      <c r="Y727" s="196"/>
      <c r="Z727" s="196"/>
      <c r="AA727" s="196"/>
      <c r="AB727" s="196"/>
    </row>
    <row r="728" spans="1:28" ht="12.9">
      <c r="A728" s="196"/>
      <c r="B728" s="143"/>
      <c r="C728" s="196"/>
      <c r="D728" s="196"/>
      <c r="E728" s="196"/>
      <c r="F728" s="220"/>
      <c r="G728" s="143"/>
      <c r="H728" s="196"/>
      <c r="I728" s="196"/>
      <c r="J728" s="196"/>
      <c r="K728" s="196"/>
      <c r="L728" s="196"/>
      <c r="M728" s="196"/>
      <c r="N728" s="196"/>
      <c r="O728" s="196"/>
      <c r="P728" s="196"/>
      <c r="Q728" s="196"/>
      <c r="R728" s="196"/>
      <c r="S728" s="196"/>
      <c r="T728" s="196"/>
      <c r="U728" s="196"/>
      <c r="V728" s="196"/>
      <c r="W728" s="196"/>
      <c r="X728" s="196"/>
      <c r="Y728" s="196"/>
      <c r="Z728" s="196"/>
      <c r="AA728" s="196"/>
      <c r="AB728" s="196"/>
    </row>
    <row r="729" spans="1:28" ht="12.9">
      <c r="A729" s="196"/>
      <c r="B729" s="143"/>
      <c r="C729" s="196"/>
      <c r="D729" s="196"/>
      <c r="E729" s="196"/>
      <c r="F729" s="220"/>
      <c r="G729" s="143"/>
      <c r="H729" s="196"/>
      <c r="I729" s="196"/>
      <c r="J729" s="196"/>
      <c r="K729" s="196"/>
      <c r="L729" s="196"/>
      <c r="M729" s="196"/>
      <c r="N729" s="196"/>
      <c r="O729" s="196"/>
      <c r="P729" s="196"/>
      <c r="Q729" s="196"/>
      <c r="R729" s="196"/>
      <c r="S729" s="196"/>
      <c r="T729" s="196"/>
      <c r="U729" s="196"/>
      <c r="V729" s="196"/>
      <c r="W729" s="196"/>
      <c r="X729" s="196"/>
      <c r="Y729" s="196"/>
      <c r="Z729" s="196"/>
      <c r="AA729" s="196"/>
      <c r="AB729" s="196"/>
    </row>
    <row r="730" spans="1:28" ht="12.9">
      <c r="A730" s="196"/>
      <c r="B730" s="143"/>
      <c r="C730" s="196"/>
      <c r="D730" s="196"/>
      <c r="E730" s="196"/>
      <c r="F730" s="220"/>
      <c r="G730" s="143"/>
      <c r="H730" s="196"/>
      <c r="I730" s="196"/>
      <c r="J730" s="196"/>
      <c r="K730" s="196"/>
      <c r="L730" s="196"/>
      <c r="M730" s="196"/>
      <c r="N730" s="196"/>
      <c r="O730" s="196"/>
      <c r="P730" s="196"/>
      <c r="Q730" s="196"/>
      <c r="R730" s="196"/>
      <c r="S730" s="196"/>
      <c r="T730" s="196"/>
      <c r="U730" s="196"/>
      <c r="V730" s="196"/>
      <c r="W730" s="196"/>
      <c r="X730" s="196"/>
      <c r="Y730" s="196"/>
      <c r="Z730" s="196"/>
      <c r="AA730" s="196"/>
      <c r="AB730" s="196"/>
    </row>
    <row r="731" spans="1:28" ht="12.9">
      <c r="A731" s="196"/>
      <c r="B731" s="143"/>
      <c r="C731" s="196"/>
      <c r="D731" s="196"/>
      <c r="E731" s="196"/>
      <c r="F731" s="220"/>
      <c r="G731" s="143"/>
      <c r="H731" s="196"/>
      <c r="I731" s="196"/>
      <c r="J731" s="196"/>
      <c r="K731" s="196"/>
      <c r="L731" s="196"/>
      <c r="M731" s="196"/>
      <c r="N731" s="196"/>
      <c r="O731" s="196"/>
      <c r="P731" s="196"/>
      <c r="Q731" s="196"/>
      <c r="R731" s="196"/>
      <c r="S731" s="196"/>
      <c r="T731" s="196"/>
      <c r="U731" s="196"/>
      <c r="V731" s="196"/>
      <c r="W731" s="196"/>
      <c r="X731" s="196"/>
      <c r="Y731" s="196"/>
      <c r="Z731" s="196"/>
      <c r="AA731" s="196"/>
      <c r="AB731" s="196"/>
    </row>
    <row r="732" spans="1:28" ht="12.9">
      <c r="A732" s="196"/>
      <c r="B732" s="143"/>
      <c r="C732" s="196"/>
      <c r="D732" s="196"/>
      <c r="E732" s="196"/>
      <c r="F732" s="220"/>
      <c r="G732" s="143"/>
      <c r="H732" s="196"/>
      <c r="I732" s="196"/>
      <c r="J732" s="196"/>
      <c r="K732" s="196"/>
      <c r="L732" s="196"/>
      <c r="M732" s="196"/>
      <c r="N732" s="196"/>
      <c r="O732" s="196"/>
      <c r="P732" s="196"/>
      <c r="Q732" s="196"/>
      <c r="R732" s="196"/>
      <c r="S732" s="196"/>
      <c r="T732" s="196"/>
      <c r="U732" s="196"/>
      <c r="V732" s="196"/>
      <c r="W732" s="196"/>
      <c r="X732" s="196"/>
      <c r="Y732" s="196"/>
      <c r="Z732" s="196"/>
      <c r="AA732" s="196"/>
      <c r="AB732" s="196"/>
    </row>
    <row r="733" spans="1:28" ht="12.9">
      <c r="A733" s="196"/>
      <c r="B733" s="143"/>
      <c r="C733" s="196"/>
      <c r="D733" s="196"/>
      <c r="E733" s="196"/>
      <c r="F733" s="220"/>
      <c r="G733" s="143"/>
      <c r="H733" s="196"/>
      <c r="I733" s="196"/>
      <c r="J733" s="196"/>
      <c r="K733" s="196"/>
      <c r="L733" s="196"/>
      <c r="M733" s="196"/>
      <c r="N733" s="196"/>
      <c r="O733" s="196"/>
      <c r="P733" s="196"/>
      <c r="Q733" s="196"/>
      <c r="R733" s="196"/>
      <c r="S733" s="196"/>
      <c r="T733" s="196"/>
      <c r="U733" s="196"/>
      <c r="V733" s="196"/>
      <c r="W733" s="196"/>
      <c r="X733" s="196"/>
      <c r="Y733" s="196"/>
      <c r="Z733" s="196"/>
      <c r="AA733" s="196"/>
      <c r="AB733" s="196"/>
    </row>
    <row r="734" spans="1:28" ht="12.9">
      <c r="A734" s="196"/>
      <c r="B734" s="143"/>
      <c r="C734" s="196"/>
      <c r="D734" s="196"/>
      <c r="E734" s="196"/>
      <c r="F734" s="220"/>
      <c r="G734" s="143"/>
      <c r="H734" s="196"/>
      <c r="I734" s="196"/>
      <c r="J734" s="196"/>
      <c r="K734" s="196"/>
      <c r="L734" s="196"/>
      <c r="M734" s="196"/>
      <c r="N734" s="196"/>
      <c r="O734" s="196"/>
      <c r="P734" s="196"/>
      <c r="Q734" s="196"/>
      <c r="R734" s="196"/>
      <c r="S734" s="196"/>
      <c r="T734" s="196"/>
      <c r="U734" s="196"/>
      <c r="V734" s="196"/>
      <c r="W734" s="196"/>
      <c r="X734" s="196"/>
      <c r="Y734" s="196"/>
      <c r="Z734" s="196"/>
      <c r="AA734" s="196"/>
      <c r="AB734" s="196"/>
    </row>
    <row r="735" spans="1:28" ht="12.9">
      <c r="A735" s="196"/>
      <c r="B735" s="143"/>
      <c r="C735" s="196"/>
      <c r="D735" s="196"/>
      <c r="E735" s="196"/>
      <c r="F735" s="220"/>
      <c r="G735" s="143"/>
      <c r="H735" s="196"/>
      <c r="I735" s="196"/>
      <c r="J735" s="196"/>
      <c r="K735" s="196"/>
      <c r="L735" s="196"/>
      <c r="M735" s="196"/>
      <c r="N735" s="196"/>
      <c r="O735" s="196"/>
      <c r="P735" s="196"/>
      <c r="Q735" s="196"/>
      <c r="R735" s="196"/>
      <c r="S735" s="196"/>
      <c r="T735" s="196"/>
      <c r="U735" s="196"/>
      <c r="V735" s="196"/>
      <c r="W735" s="196"/>
      <c r="X735" s="196"/>
      <c r="Y735" s="196"/>
      <c r="Z735" s="196"/>
      <c r="AA735" s="196"/>
      <c r="AB735" s="196"/>
    </row>
    <row r="736" spans="1:28" ht="12.9">
      <c r="A736" s="196"/>
      <c r="B736" s="143"/>
      <c r="C736" s="196"/>
      <c r="D736" s="196"/>
      <c r="E736" s="196"/>
      <c r="F736" s="220"/>
      <c r="G736" s="143"/>
      <c r="H736" s="196"/>
      <c r="I736" s="196"/>
      <c r="J736" s="196"/>
      <c r="K736" s="196"/>
      <c r="L736" s="196"/>
      <c r="M736" s="196"/>
      <c r="N736" s="196"/>
      <c r="O736" s="196"/>
      <c r="P736" s="196"/>
      <c r="Q736" s="196"/>
      <c r="R736" s="196"/>
      <c r="S736" s="196"/>
      <c r="T736" s="196"/>
      <c r="U736" s="196"/>
      <c r="V736" s="196"/>
      <c r="W736" s="196"/>
      <c r="X736" s="196"/>
      <c r="Y736" s="196"/>
      <c r="Z736" s="196"/>
      <c r="AA736" s="196"/>
      <c r="AB736" s="196"/>
    </row>
    <row r="737" spans="1:28" ht="12.9">
      <c r="A737" s="196"/>
      <c r="B737" s="143"/>
      <c r="C737" s="196"/>
      <c r="D737" s="196"/>
      <c r="E737" s="196"/>
      <c r="F737" s="220"/>
      <c r="G737" s="143"/>
      <c r="H737" s="196"/>
      <c r="I737" s="196"/>
      <c r="J737" s="196"/>
      <c r="K737" s="196"/>
      <c r="L737" s="196"/>
      <c r="M737" s="196"/>
      <c r="N737" s="196"/>
      <c r="O737" s="196"/>
      <c r="P737" s="196"/>
      <c r="Q737" s="196"/>
      <c r="R737" s="196"/>
      <c r="S737" s="196"/>
      <c r="T737" s="196"/>
      <c r="U737" s="196"/>
      <c r="V737" s="196"/>
      <c r="W737" s="196"/>
      <c r="X737" s="196"/>
      <c r="Y737" s="196"/>
      <c r="Z737" s="196"/>
      <c r="AA737" s="196"/>
      <c r="AB737" s="196"/>
    </row>
    <row r="738" spans="1:28" ht="12.9">
      <c r="A738" s="196"/>
      <c r="B738" s="143"/>
      <c r="C738" s="196"/>
      <c r="D738" s="196"/>
      <c r="E738" s="196"/>
      <c r="F738" s="220"/>
      <c r="G738" s="143"/>
      <c r="H738" s="196"/>
      <c r="I738" s="196"/>
      <c r="J738" s="196"/>
      <c r="K738" s="196"/>
      <c r="L738" s="196"/>
      <c r="M738" s="196"/>
      <c r="N738" s="196"/>
      <c r="O738" s="196"/>
      <c r="P738" s="196"/>
      <c r="Q738" s="196"/>
      <c r="R738" s="196"/>
      <c r="S738" s="196"/>
      <c r="T738" s="196"/>
      <c r="U738" s="196"/>
      <c r="V738" s="196"/>
      <c r="W738" s="196"/>
      <c r="X738" s="196"/>
      <c r="Y738" s="196"/>
      <c r="Z738" s="196"/>
      <c r="AA738" s="196"/>
      <c r="AB738" s="196"/>
    </row>
    <row r="739" spans="1:28" ht="12.9">
      <c r="A739" s="196"/>
      <c r="B739" s="143"/>
      <c r="C739" s="196"/>
      <c r="D739" s="196"/>
      <c r="E739" s="196"/>
      <c r="F739" s="220"/>
      <c r="G739" s="143"/>
      <c r="H739" s="196"/>
      <c r="I739" s="196"/>
      <c r="J739" s="196"/>
      <c r="K739" s="196"/>
      <c r="L739" s="196"/>
      <c r="M739" s="196"/>
      <c r="N739" s="196"/>
      <c r="O739" s="196"/>
      <c r="P739" s="196"/>
      <c r="Q739" s="196"/>
      <c r="R739" s="196"/>
      <c r="S739" s="196"/>
      <c r="T739" s="196"/>
      <c r="U739" s="196"/>
      <c r="V739" s="196"/>
      <c r="W739" s="196"/>
      <c r="X739" s="196"/>
      <c r="Y739" s="196"/>
      <c r="Z739" s="196"/>
      <c r="AA739" s="196"/>
      <c r="AB739" s="196"/>
    </row>
    <row r="740" spans="1:28" ht="12.9">
      <c r="A740" s="196"/>
      <c r="B740" s="143"/>
      <c r="C740" s="196"/>
      <c r="D740" s="196"/>
      <c r="E740" s="196"/>
      <c r="F740" s="220"/>
      <c r="G740" s="143"/>
      <c r="H740" s="196"/>
      <c r="I740" s="196"/>
      <c r="J740" s="196"/>
      <c r="K740" s="196"/>
      <c r="L740" s="196"/>
      <c r="M740" s="196"/>
      <c r="N740" s="196"/>
      <c r="O740" s="196"/>
      <c r="P740" s="196"/>
      <c r="Q740" s="196"/>
      <c r="R740" s="196"/>
      <c r="S740" s="196"/>
      <c r="T740" s="196"/>
      <c r="U740" s="196"/>
      <c r="V740" s="196"/>
      <c r="W740" s="196"/>
      <c r="X740" s="196"/>
      <c r="Y740" s="196"/>
      <c r="Z740" s="196"/>
      <c r="AA740" s="196"/>
      <c r="AB740" s="196"/>
    </row>
    <row r="741" spans="1:28" ht="12.9">
      <c r="A741" s="196"/>
      <c r="B741" s="143"/>
      <c r="C741" s="196"/>
      <c r="D741" s="196"/>
      <c r="E741" s="196"/>
      <c r="F741" s="220"/>
      <c r="G741" s="143"/>
      <c r="H741" s="196"/>
      <c r="I741" s="196"/>
      <c r="J741" s="196"/>
      <c r="K741" s="196"/>
      <c r="L741" s="196"/>
      <c r="M741" s="196"/>
      <c r="N741" s="196"/>
      <c r="O741" s="196"/>
      <c r="P741" s="196"/>
      <c r="Q741" s="196"/>
      <c r="R741" s="196"/>
      <c r="S741" s="196"/>
      <c r="T741" s="196"/>
      <c r="U741" s="196"/>
      <c r="V741" s="196"/>
      <c r="W741" s="196"/>
      <c r="X741" s="196"/>
      <c r="Y741" s="196"/>
      <c r="Z741" s="196"/>
      <c r="AA741" s="196"/>
      <c r="AB741" s="196"/>
    </row>
    <row r="742" spans="1:28" ht="12.9">
      <c r="A742" s="196"/>
      <c r="B742" s="143"/>
      <c r="C742" s="196"/>
      <c r="D742" s="196"/>
      <c r="E742" s="196"/>
      <c r="F742" s="220"/>
      <c r="G742" s="143"/>
      <c r="H742" s="196"/>
      <c r="I742" s="196"/>
      <c r="J742" s="196"/>
      <c r="K742" s="196"/>
      <c r="L742" s="196"/>
      <c r="M742" s="196"/>
      <c r="N742" s="196"/>
      <c r="O742" s="196"/>
      <c r="P742" s="196"/>
      <c r="Q742" s="196"/>
      <c r="R742" s="196"/>
      <c r="S742" s="196"/>
      <c r="T742" s="196"/>
      <c r="U742" s="196"/>
      <c r="V742" s="196"/>
      <c r="W742" s="196"/>
      <c r="X742" s="196"/>
      <c r="Y742" s="196"/>
      <c r="Z742" s="196"/>
      <c r="AA742" s="196"/>
      <c r="AB742" s="196"/>
    </row>
    <row r="743" spans="1:28" ht="12.9">
      <c r="A743" s="196"/>
      <c r="B743" s="143"/>
      <c r="C743" s="196"/>
      <c r="D743" s="196"/>
      <c r="E743" s="196"/>
      <c r="F743" s="220"/>
      <c r="G743" s="143"/>
      <c r="H743" s="196"/>
      <c r="I743" s="196"/>
      <c r="J743" s="196"/>
      <c r="K743" s="196"/>
      <c r="L743" s="196"/>
      <c r="M743" s="196"/>
      <c r="N743" s="196"/>
      <c r="O743" s="196"/>
      <c r="P743" s="196"/>
      <c r="Q743" s="196"/>
      <c r="R743" s="196"/>
      <c r="S743" s="196"/>
      <c r="T743" s="196"/>
      <c r="U743" s="196"/>
      <c r="V743" s="196"/>
      <c r="W743" s="196"/>
      <c r="X743" s="196"/>
      <c r="Y743" s="196"/>
      <c r="Z743" s="196"/>
      <c r="AA743" s="196"/>
      <c r="AB743" s="196"/>
    </row>
    <row r="744" spans="1:28" ht="12.9">
      <c r="A744" s="196"/>
      <c r="B744" s="143"/>
      <c r="C744" s="196"/>
      <c r="D744" s="196"/>
      <c r="E744" s="196"/>
      <c r="F744" s="220"/>
      <c r="G744" s="143"/>
      <c r="H744" s="196"/>
      <c r="I744" s="196"/>
      <c r="J744" s="196"/>
      <c r="K744" s="196"/>
      <c r="L744" s="196"/>
      <c r="M744" s="196"/>
      <c r="N744" s="196"/>
      <c r="O744" s="196"/>
      <c r="P744" s="196"/>
      <c r="Q744" s="196"/>
      <c r="R744" s="196"/>
      <c r="S744" s="196"/>
      <c r="T744" s="196"/>
      <c r="U744" s="196"/>
      <c r="V744" s="196"/>
      <c r="W744" s="196"/>
      <c r="X744" s="196"/>
      <c r="Y744" s="196"/>
      <c r="Z744" s="196"/>
      <c r="AA744" s="196"/>
      <c r="AB744" s="196"/>
    </row>
    <row r="745" spans="1:28" ht="12.9">
      <c r="A745" s="196"/>
      <c r="B745" s="143"/>
      <c r="C745" s="196"/>
      <c r="D745" s="196"/>
      <c r="E745" s="196"/>
      <c r="F745" s="220"/>
      <c r="G745" s="143"/>
      <c r="H745" s="196"/>
      <c r="I745" s="196"/>
      <c r="J745" s="196"/>
      <c r="K745" s="196"/>
      <c r="L745" s="196"/>
      <c r="M745" s="196"/>
      <c r="N745" s="196"/>
      <c r="O745" s="196"/>
      <c r="P745" s="196"/>
      <c r="Q745" s="196"/>
      <c r="R745" s="196"/>
      <c r="S745" s="196"/>
      <c r="T745" s="196"/>
      <c r="U745" s="196"/>
      <c r="V745" s="196"/>
      <c r="W745" s="196"/>
      <c r="X745" s="196"/>
      <c r="Y745" s="196"/>
      <c r="Z745" s="196"/>
      <c r="AA745" s="196"/>
      <c r="AB745" s="196"/>
    </row>
    <row r="746" spans="1:28" ht="12.9">
      <c r="A746" s="196"/>
      <c r="B746" s="143"/>
      <c r="C746" s="196"/>
      <c r="D746" s="196"/>
      <c r="E746" s="196"/>
      <c r="F746" s="220"/>
      <c r="G746" s="143"/>
      <c r="H746" s="196"/>
      <c r="I746" s="196"/>
      <c r="J746" s="196"/>
      <c r="K746" s="196"/>
      <c r="L746" s="196"/>
      <c r="M746" s="196"/>
      <c r="N746" s="196"/>
      <c r="O746" s="196"/>
      <c r="P746" s="196"/>
      <c r="Q746" s="196"/>
      <c r="R746" s="196"/>
      <c r="S746" s="196"/>
      <c r="T746" s="196"/>
      <c r="U746" s="196"/>
      <c r="V746" s="196"/>
      <c r="W746" s="196"/>
      <c r="X746" s="196"/>
      <c r="Y746" s="196"/>
      <c r="Z746" s="196"/>
      <c r="AA746" s="196"/>
      <c r="AB746" s="196"/>
    </row>
    <row r="747" spans="1:28" ht="12.9">
      <c r="A747" s="196"/>
      <c r="B747" s="143"/>
      <c r="C747" s="196"/>
      <c r="D747" s="196"/>
      <c r="E747" s="196"/>
      <c r="F747" s="220"/>
      <c r="G747" s="143"/>
      <c r="H747" s="196"/>
      <c r="I747" s="196"/>
      <c r="J747" s="196"/>
      <c r="K747" s="196"/>
      <c r="L747" s="196"/>
      <c r="M747" s="196"/>
      <c r="N747" s="196"/>
      <c r="O747" s="196"/>
      <c r="P747" s="196"/>
      <c r="Q747" s="196"/>
      <c r="R747" s="196"/>
      <c r="S747" s="196"/>
      <c r="T747" s="196"/>
      <c r="U747" s="196"/>
      <c r="V747" s="196"/>
      <c r="W747" s="196"/>
      <c r="X747" s="196"/>
      <c r="Y747" s="196"/>
      <c r="Z747" s="196"/>
      <c r="AA747" s="196"/>
      <c r="AB747" s="196"/>
    </row>
    <row r="748" spans="1:28" ht="12.9">
      <c r="A748" s="196"/>
      <c r="B748" s="143"/>
      <c r="C748" s="196"/>
      <c r="D748" s="196"/>
      <c r="E748" s="196"/>
      <c r="F748" s="220"/>
      <c r="G748" s="143"/>
      <c r="H748" s="196"/>
      <c r="I748" s="196"/>
      <c r="J748" s="196"/>
      <c r="K748" s="196"/>
      <c r="L748" s="196"/>
      <c r="M748" s="196"/>
      <c r="N748" s="196"/>
      <c r="O748" s="196"/>
      <c r="P748" s="196"/>
      <c r="Q748" s="196"/>
      <c r="R748" s="196"/>
      <c r="S748" s="196"/>
      <c r="T748" s="196"/>
      <c r="U748" s="196"/>
      <c r="V748" s="196"/>
      <c r="W748" s="196"/>
      <c r="X748" s="196"/>
      <c r="Y748" s="196"/>
      <c r="Z748" s="196"/>
      <c r="AA748" s="196"/>
      <c r="AB748" s="196"/>
    </row>
    <row r="749" spans="1:28" ht="12.9">
      <c r="A749" s="196"/>
      <c r="B749" s="143"/>
      <c r="C749" s="196"/>
      <c r="D749" s="196"/>
      <c r="E749" s="196"/>
      <c r="F749" s="220"/>
      <c r="G749" s="143"/>
      <c r="H749" s="196"/>
      <c r="I749" s="196"/>
      <c r="J749" s="196"/>
      <c r="K749" s="196"/>
      <c r="L749" s="196"/>
      <c r="M749" s="196"/>
      <c r="N749" s="196"/>
      <c r="O749" s="196"/>
      <c r="P749" s="196"/>
      <c r="Q749" s="196"/>
      <c r="R749" s="196"/>
      <c r="S749" s="196"/>
      <c r="T749" s="196"/>
      <c r="U749" s="196"/>
      <c r="V749" s="196"/>
      <c r="W749" s="196"/>
      <c r="X749" s="196"/>
      <c r="Y749" s="196"/>
      <c r="Z749" s="196"/>
      <c r="AA749" s="196"/>
      <c r="AB749" s="196"/>
    </row>
    <row r="750" spans="1:28" ht="12.9">
      <c r="A750" s="196"/>
      <c r="B750" s="143"/>
      <c r="C750" s="196"/>
      <c r="D750" s="196"/>
      <c r="E750" s="196"/>
      <c r="F750" s="220"/>
      <c r="G750" s="143"/>
      <c r="H750" s="196"/>
      <c r="I750" s="196"/>
      <c r="J750" s="196"/>
      <c r="K750" s="196"/>
      <c r="L750" s="196"/>
      <c r="M750" s="196"/>
      <c r="N750" s="196"/>
      <c r="O750" s="196"/>
      <c r="P750" s="196"/>
      <c r="Q750" s="196"/>
      <c r="R750" s="196"/>
      <c r="S750" s="196"/>
      <c r="T750" s="196"/>
      <c r="U750" s="196"/>
      <c r="V750" s="196"/>
      <c r="W750" s="196"/>
      <c r="X750" s="196"/>
      <c r="Y750" s="196"/>
      <c r="Z750" s="196"/>
      <c r="AA750" s="196"/>
      <c r="AB750" s="196"/>
    </row>
    <row r="751" spans="1:28" ht="12.9">
      <c r="A751" s="196"/>
      <c r="B751" s="143"/>
      <c r="C751" s="196"/>
      <c r="D751" s="196"/>
      <c r="E751" s="196"/>
      <c r="F751" s="220"/>
      <c r="G751" s="143"/>
      <c r="H751" s="196"/>
      <c r="I751" s="196"/>
      <c r="J751" s="196"/>
      <c r="K751" s="196"/>
      <c r="L751" s="196"/>
      <c r="M751" s="196"/>
      <c r="N751" s="196"/>
      <c r="O751" s="196"/>
      <c r="P751" s="196"/>
      <c r="Q751" s="196"/>
      <c r="R751" s="196"/>
      <c r="S751" s="196"/>
      <c r="T751" s="196"/>
      <c r="U751" s="196"/>
      <c r="V751" s="196"/>
      <c r="W751" s="196"/>
      <c r="X751" s="196"/>
      <c r="Y751" s="196"/>
      <c r="Z751" s="196"/>
      <c r="AA751" s="196"/>
      <c r="AB751" s="196"/>
    </row>
    <row r="752" spans="1:28" ht="12.9">
      <c r="A752" s="196"/>
      <c r="B752" s="143"/>
      <c r="C752" s="196"/>
      <c r="D752" s="196"/>
      <c r="E752" s="196"/>
      <c r="F752" s="220"/>
      <c r="G752" s="143"/>
      <c r="H752" s="196"/>
      <c r="I752" s="196"/>
      <c r="J752" s="196"/>
      <c r="K752" s="196"/>
      <c r="L752" s="196"/>
      <c r="M752" s="196"/>
      <c r="N752" s="196"/>
      <c r="O752" s="196"/>
      <c r="P752" s="196"/>
      <c r="Q752" s="196"/>
      <c r="R752" s="196"/>
      <c r="S752" s="196"/>
      <c r="T752" s="196"/>
      <c r="U752" s="196"/>
      <c r="V752" s="196"/>
      <c r="W752" s="196"/>
      <c r="X752" s="196"/>
      <c r="Y752" s="196"/>
      <c r="Z752" s="196"/>
      <c r="AA752" s="196"/>
      <c r="AB752" s="196"/>
    </row>
    <row r="753" spans="1:28" ht="12.9">
      <c r="A753" s="196"/>
      <c r="B753" s="143"/>
      <c r="C753" s="196"/>
      <c r="D753" s="196"/>
      <c r="E753" s="196"/>
      <c r="F753" s="220"/>
      <c r="G753" s="143"/>
      <c r="H753" s="196"/>
      <c r="I753" s="196"/>
      <c r="J753" s="196"/>
      <c r="K753" s="196"/>
      <c r="L753" s="196"/>
      <c r="M753" s="196"/>
      <c r="N753" s="196"/>
      <c r="O753" s="196"/>
      <c r="P753" s="196"/>
      <c r="Q753" s="196"/>
      <c r="R753" s="196"/>
      <c r="S753" s="196"/>
      <c r="T753" s="196"/>
      <c r="U753" s="196"/>
      <c r="V753" s="196"/>
      <c r="W753" s="196"/>
      <c r="X753" s="196"/>
      <c r="Y753" s="196"/>
      <c r="Z753" s="196"/>
      <c r="AA753" s="196"/>
      <c r="AB753" s="196"/>
    </row>
    <row r="754" spans="1:28" ht="12.9">
      <c r="A754" s="196"/>
      <c r="B754" s="143"/>
      <c r="C754" s="196"/>
      <c r="D754" s="196"/>
      <c r="E754" s="196"/>
      <c r="F754" s="220"/>
      <c r="G754" s="143"/>
      <c r="H754" s="196"/>
      <c r="I754" s="196"/>
      <c r="J754" s="196"/>
      <c r="K754" s="196"/>
      <c r="L754" s="196"/>
      <c r="M754" s="196"/>
      <c r="N754" s="196"/>
      <c r="O754" s="196"/>
      <c r="P754" s="196"/>
      <c r="Q754" s="196"/>
      <c r="R754" s="196"/>
      <c r="S754" s="196"/>
      <c r="T754" s="196"/>
      <c r="U754" s="196"/>
      <c r="V754" s="196"/>
      <c r="W754" s="196"/>
      <c r="X754" s="196"/>
      <c r="Y754" s="196"/>
      <c r="Z754" s="196"/>
      <c r="AA754" s="196"/>
      <c r="AB754" s="196"/>
    </row>
    <row r="755" spans="1:28" ht="12.9">
      <c r="A755" s="196"/>
      <c r="B755" s="143"/>
      <c r="C755" s="196"/>
      <c r="D755" s="196"/>
      <c r="E755" s="196"/>
      <c r="F755" s="220"/>
      <c r="G755" s="143"/>
      <c r="H755" s="196"/>
      <c r="I755" s="196"/>
      <c r="J755" s="196"/>
      <c r="K755" s="196"/>
      <c r="L755" s="196"/>
      <c r="M755" s="196"/>
      <c r="N755" s="196"/>
      <c r="O755" s="196"/>
      <c r="P755" s="196"/>
      <c r="Q755" s="196"/>
      <c r="R755" s="196"/>
      <c r="S755" s="196"/>
      <c r="T755" s="196"/>
      <c r="U755" s="196"/>
      <c r="V755" s="196"/>
      <c r="W755" s="196"/>
      <c r="X755" s="196"/>
      <c r="Y755" s="196"/>
      <c r="Z755" s="196"/>
      <c r="AA755" s="196"/>
      <c r="AB755" s="196"/>
    </row>
    <row r="756" spans="1:28" ht="12.9">
      <c r="A756" s="196"/>
      <c r="B756" s="143"/>
      <c r="C756" s="196"/>
      <c r="D756" s="196"/>
      <c r="E756" s="196"/>
      <c r="F756" s="220"/>
      <c r="G756" s="143"/>
      <c r="H756" s="196"/>
      <c r="I756" s="196"/>
      <c r="J756" s="196"/>
      <c r="K756" s="196"/>
      <c r="L756" s="196"/>
      <c r="M756" s="196"/>
      <c r="N756" s="196"/>
      <c r="O756" s="196"/>
      <c r="P756" s="196"/>
      <c r="Q756" s="196"/>
      <c r="R756" s="196"/>
      <c r="S756" s="196"/>
      <c r="T756" s="196"/>
      <c r="U756" s="196"/>
      <c r="V756" s="196"/>
      <c r="W756" s="196"/>
      <c r="X756" s="196"/>
      <c r="Y756" s="196"/>
      <c r="Z756" s="196"/>
      <c r="AA756" s="196"/>
      <c r="AB756" s="196"/>
    </row>
    <row r="757" spans="1:28" ht="12.9">
      <c r="A757" s="196"/>
      <c r="B757" s="143"/>
      <c r="C757" s="196"/>
      <c r="D757" s="196"/>
      <c r="E757" s="196"/>
      <c r="F757" s="220"/>
      <c r="G757" s="143"/>
      <c r="H757" s="196"/>
      <c r="I757" s="196"/>
      <c r="J757" s="196"/>
      <c r="K757" s="196"/>
      <c r="L757" s="196"/>
      <c r="M757" s="196"/>
      <c r="N757" s="196"/>
      <c r="O757" s="196"/>
      <c r="P757" s="196"/>
      <c r="Q757" s="196"/>
      <c r="R757" s="196"/>
      <c r="S757" s="196"/>
      <c r="T757" s="196"/>
      <c r="U757" s="196"/>
      <c r="V757" s="196"/>
      <c r="W757" s="196"/>
      <c r="X757" s="196"/>
      <c r="Y757" s="196"/>
      <c r="Z757" s="196"/>
      <c r="AA757" s="196"/>
      <c r="AB757" s="196"/>
    </row>
    <row r="758" spans="1:28" ht="12.9">
      <c r="A758" s="196"/>
      <c r="B758" s="143"/>
      <c r="C758" s="196"/>
      <c r="D758" s="196"/>
      <c r="E758" s="196"/>
      <c r="F758" s="220"/>
      <c r="G758" s="143"/>
      <c r="H758" s="196"/>
      <c r="I758" s="196"/>
      <c r="J758" s="196"/>
      <c r="K758" s="196"/>
      <c r="L758" s="196"/>
      <c r="M758" s="196"/>
      <c r="N758" s="196"/>
      <c r="O758" s="196"/>
      <c r="P758" s="196"/>
      <c r="Q758" s="196"/>
      <c r="R758" s="196"/>
      <c r="S758" s="196"/>
      <c r="T758" s="196"/>
      <c r="U758" s="196"/>
      <c r="V758" s="196"/>
      <c r="W758" s="196"/>
      <c r="X758" s="196"/>
      <c r="Y758" s="196"/>
      <c r="Z758" s="196"/>
      <c r="AA758" s="196"/>
      <c r="AB758" s="196"/>
    </row>
    <row r="759" spans="1:28" ht="12.9">
      <c r="A759" s="196"/>
      <c r="B759" s="143"/>
      <c r="C759" s="196"/>
      <c r="D759" s="196"/>
      <c r="E759" s="196"/>
      <c r="F759" s="220"/>
      <c r="G759" s="143"/>
      <c r="H759" s="196"/>
      <c r="I759" s="196"/>
      <c r="J759" s="196"/>
      <c r="K759" s="196"/>
      <c r="L759" s="196"/>
      <c r="M759" s="196"/>
      <c r="N759" s="196"/>
      <c r="O759" s="196"/>
      <c r="P759" s="196"/>
      <c r="Q759" s="196"/>
      <c r="R759" s="196"/>
      <c r="S759" s="196"/>
      <c r="T759" s="196"/>
      <c r="U759" s="196"/>
      <c r="V759" s="196"/>
      <c r="W759" s="196"/>
      <c r="X759" s="196"/>
      <c r="Y759" s="196"/>
      <c r="Z759" s="196"/>
      <c r="AA759" s="196"/>
      <c r="AB759" s="196"/>
    </row>
    <row r="760" spans="1:28" ht="12.9">
      <c r="A760" s="196"/>
      <c r="B760" s="143"/>
      <c r="C760" s="196"/>
      <c r="D760" s="196"/>
      <c r="E760" s="196"/>
      <c r="F760" s="220"/>
      <c r="G760" s="143"/>
      <c r="H760" s="196"/>
      <c r="I760" s="196"/>
      <c r="J760" s="196"/>
      <c r="K760" s="196"/>
      <c r="L760" s="196"/>
      <c r="M760" s="196"/>
      <c r="N760" s="196"/>
      <c r="O760" s="196"/>
      <c r="P760" s="196"/>
      <c r="Q760" s="196"/>
      <c r="R760" s="196"/>
      <c r="S760" s="196"/>
      <c r="T760" s="196"/>
      <c r="U760" s="196"/>
      <c r="V760" s="196"/>
      <c r="W760" s="196"/>
      <c r="X760" s="196"/>
      <c r="Y760" s="196"/>
      <c r="Z760" s="196"/>
      <c r="AA760" s="196"/>
      <c r="AB760" s="196"/>
    </row>
    <row r="761" spans="1:28" ht="12.9">
      <c r="A761" s="196"/>
      <c r="B761" s="143"/>
      <c r="C761" s="196"/>
      <c r="D761" s="196"/>
      <c r="E761" s="196"/>
      <c r="F761" s="220"/>
      <c r="G761" s="143"/>
      <c r="H761" s="196"/>
      <c r="I761" s="196"/>
      <c r="J761" s="196"/>
      <c r="K761" s="196"/>
      <c r="L761" s="196"/>
      <c r="M761" s="196"/>
      <c r="N761" s="196"/>
      <c r="O761" s="196"/>
      <c r="P761" s="196"/>
      <c r="Q761" s="196"/>
      <c r="R761" s="196"/>
      <c r="S761" s="196"/>
      <c r="T761" s="196"/>
      <c r="U761" s="196"/>
      <c r="V761" s="196"/>
      <c r="W761" s="196"/>
      <c r="X761" s="196"/>
      <c r="Y761" s="196"/>
      <c r="Z761" s="196"/>
      <c r="AA761" s="196"/>
      <c r="AB761" s="196"/>
    </row>
    <row r="762" spans="1:28" ht="12.9">
      <c r="A762" s="196"/>
      <c r="B762" s="143"/>
      <c r="C762" s="196"/>
      <c r="D762" s="196"/>
      <c r="E762" s="196"/>
      <c r="F762" s="220"/>
      <c r="G762" s="143"/>
      <c r="H762" s="196"/>
      <c r="I762" s="196"/>
      <c r="J762" s="196"/>
      <c r="K762" s="196"/>
      <c r="L762" s="196"/>
      <c r="M762" s="196"/>
      <c r="N762" s="196"/>
      <c r="O762" s="196"/>
      <c r="P762" s="196"/>
      <c r="Q762" s="196"/>
      <c r="R762" s="196"/>
      <c r="S762" s="196"/>
      <c r="T762" s="196"/>
      <c r="U762" s="196"/>
      <c r="V762" s="196"/>
      <c r="W762" s="196"/>
      <c r="X762" s="196"/>
      <c r="Y762" s="196"/>
      <c r="Z762" s="196"/>
      <c r="AA762" s="196"/>
      <c r="AB762" s="196"/>
    </row>
    <row r="763" spans="1:28" ht="12.9">
      <c r="A763" s="196"/>
      <c r="B763" s="143"/>
      <c r="C763" s="196"/>
      <c r="D763" s="196"/>
      <c r="E763" s="196"/>
      <c r="F763" s="220"/>
      <c r="G763" s="143"/>
      <c r="H763" s="196"/>
      <c r="I763" s="196"/>
      <c r="J763" s="196"/>
      <c r="K763" s="196"/>
      <c r="L763" s="196"/>
      <c r="M763" s="196"/>
      <c r="N763" s="196"/>
      <c r="O763" s="196"/>
      <c r="P763" s="196"/>
      <c r="Q763" s="196"/>
      <c r="R763" s="196"/>
      <c r="S763" s="196"/>
      <c r="T763" s="196"/>
      <c r="U763" s="196"/>
      <c r="V763" s="196"/>
      <c r="W763" s="196"/>
      <c r="X763" s="196"/>
      <c r="Y763" s="196"/>
      <c r="Z763" s="196"/>
      <c r="AA763" s="196"/>
      <c r="AB763" s="196"/>
    </row>
    <row r="764" spans="1:28" ht="12.9">
      <c r="A764" s="196"/>
      <c r="B764" s="143"/>
      <c r="C764" s="196"/>
      <c r="D764" s="196"/>
      <c r="E764" s="196"/>
      <c r="F764" s="220"/>
      <c r="G764" s="143"/>
      <c r="H764" s="196"/>
      <c r="I764" s="196"/>
      <c r="J764" s="196"/>
      <c r="K764" s="196"/>
      <c r="L764" s="196"/>
      <c r="M764" s="196"/>
      <c r="N764" s="196"/>
      <c r="O764" s="196"/>
      <c r="P764" s="196"/>
      <c r="Q764" s="196"/>
      <c r="R764" s="196"/>
      <c r="S764" s="196"/>
      <c r="T764" s="196"/>
      <c r="U764" s="196"/>
      <c r="V764" s="196"/>
      <c r="W764" s="196"/>
      <c r="X764" s="196"/>
      <c r="Y764" s="196"/>
      <c r="Z764" s="196"/>
      <c r="AA764" s="196"/>
      <c r="AB764" s="196"/>
    </row>
    <row r="765" spans="1:28" ht="12.9">
      <c r="A765" s="196"/>
      <c r="B765" s="143"/>
      <c r="C765" s="196"/>
      <c r="D765" s="196"/>
      <c r="E765" s="196"/>
      <c r="F765" s="220"/>
      <c r="G765" s="143"/>
      <c r="H765" s="196"/>
      <c r="I765" s="196"/>
      <c r="J765" s="196"/>
      <c r="K765" s="196"/>
      <c r="L765" s="196"/>
      <c r="M765" s="196"/>
      <c r="N765" s="196"/>
      <c r="O765" s="196"/>
      <c r="P765" s="196"/>
      <c r="Q765" s="196"/>
      <c r="R765" s="196"/>
      <c r="S765" s="196"/>
      <c r="T765" s="196"/>
      <c r="U765" s="196"/>
      <c r="V765" s="196"/>
      <c r="W765" s="196"/>
      <c r="X765" s="196"/>
      <c r="Y765" s="196"/>
      <c r="Z765" s="196"/>
      <c r="AA765" s="196"/>
      <c r="AB765" s="196"/>
    </row>
    <row r="766" spans="1:28" ht="12.9">
      <c r="A766" s="196"/>
      <c r="B766" s="143"/>
      <c r="C766" s="196"/>
      <c r="D766" s="196"/>
      <c r="E766" s="196"/>
      <c r="F766" s="220"/>
      <c r="G766" s="143"/>
      <c r="H766" s="196"/>
      <c r="I766" s="196"/>
      <c r="J766" s="196"/>
      <c r="K766" s="196"/>
      <c r="L766" s="196"/>
      <c r="M766" s="196"/>
      <c r="N766" s="196"/>
      <c r="O766" s="196"/>
      <c r="P766" s="196"/>
      <c r="Q766" s="196"/>
      <c r="R766" s="196"/>
      <c r="S766" s="196"/>
      <c r="T766" s="196"/>
      <c r="U766" s="196"/>
      <c r="V766" s="196"/>
      <c r="W766" s="196"/>
      <c r="X766" s="196"/>
      <c r="Y766" s="196"/>
      <c r="Z766" s="196"/>
      <c r="AA766" s="196"/>
      <c r="AB766" s="196"/>
    </row>
    <row r="767" spans="1:28" ht="12.9">
      <c r="A767" s="196"/>
      <c r="B767" s="143"/>
      <c r="C767" s="196"/>
      <c r="D767" s="196"/>
      <c r="E767" s="196"/>
      <c r="F767" s="220"/>
      <c r="G767" s="143"/>
      <c r="H767" s="196"/>
      <c r="I767" s="196"/>
      <c r="J767" s="196"/>
      <c r="K767" s="196"/>
      <c r="L767" s="196"/>
      <c r="M767" s="196"/>
      <c r="N767" s="196"/>
      <c r="O767" s="196"/>
      <c r="P767" s="196"/>
      <c r="Q767" s="196"/>
      <c r="R767" s="196"/>
      <c r="S767" s="196"/>
      <c r="T767" s="196"/>
      <c r="U767" s="196"/>
      <c r="V767" s="196"/>
      <c r="W767" s="196"/>
      <c r="X767" s="196"/>
      <c r="Y767" s="196"/>
      <c r="Z767" s="196"/>
      <c r="AA767" s="196"/>
      <c r="AB767" s="196"/>
    </row>
    <row r="768" spans="1:28" ht="12.9">
      <c r="A768" s="196"/>
      <c r="B768" s="143"/>
      <c r="C768" s="196"/>
      <c r="D768" s="196"/>
      <c r="E768" s="196"/>
      <c r="F768" s="220"/>
      <c r="G768" s="143"/>
      <c r="H768" s="196"/>
      <c r="I768" s="196"/>
      <c r="J768" s="196"/>
      <c r="K768" s="196"/>
      <c r="L768" s="196"/>
      <c r="M768" s="196"/>
      <c r="N768" s="196"/>
      <c r="O768" s="196"/>
      <c r="P768" s="196"/>
      <c r="Q768" s="196"/>
      <c r="R768" s="196"/>
      <c r="S768" s="196"/>
      <c r="T768" s="196"/>
      <c r="U768" s="196"/>
      <c r="V768" s="196"/>
      <c r="W768" s="196"/>
      <c r="X768" s="196"/>
      <c r="Y768" s="196"/>
      <c r="Z768" s="196"/>
      <c r="AA768" s="196"/>
      <c r="AB768" s="196"/>
    </row>
    <row r="769" spans="1:28" ht="12.9">
      <c r="A769" s="196"/>
      <c r="B769" s="143"/>
      <c r="C769" s="196"/>
      <c r="D769" s="196"/>
      <c r="E769" s="196"/>
      <c r="F769" s="220"/>
      <c r="G769" s="143"/>
      <c r="H769" s="196"/>
      <c r="I769" s="196"/>
      <c r="J769" s="196"/>
      <c r="K769" s="196"/>
      <c r="L769" s="196"/>
      <c r="M769" s="196"/>
      <c r="N769" s="196"/>
      <c r="O769" s="196"/>
      <c r="P769" s="196"/>
      <c r="Q769" s="196"/>
      <c r="R769" s="196"/>
      <c r="S769" s="196"/>
      <c r="T769" s="196"/>
      <c r="U769" s="196"/>
      <c r="V769" s="196"/>
      <c r="W769" s="196"/>
      <c r="X769" s="196"/>
      <c r="Y769" s="196"/>
      <c r="Z769" s="196"/>
      <c r="AA769" s="196"/>
      <c r="AB769" s="196"/>
    </row>
    <row r="770" spans="1:28" ht="12.9">
      <c r="A770" s="196"/>
      <c r="B770" s="143"/>
      <c r="C770" s="196"/>
      <c r="D770" s="196"/>
      <c r="E770" s="196"/>
      <c r="F770" s="220"/>
      <c r="G770" s="143"/>
      <c r="H770" s="196"/>
      <c r="I770" s="196"/>
      <c r="J770" s="196"/>
      <c r="K770" s="196"/>
      <c r="L770" s="196"/>
      <c r="M770" s="196"/>
      <c r="N770" s="196"/>
      <c r="O770" s="196"/>
      <c r="P770" s="196"/>
      <c r="Q770" s="196"/>
      <c r="R770" s="196"/>
      <c r="S770" s="196"/>
      <c r="T770" s="196"/>
      <c r="U770" s="196"/>
      <c r="V770" s="196"/>
      <c r="W770" s="196"/>
      <c r="X770" s="196"/>
      <c r="Y770" s="196"/>
      <c r="Z770" s="196"/>
      <c r="AA770" s="196"/>
      <c r="AB770" s="196"/>
    </row>
    <row r="771" spans="1:28" ht="12.9">
      <c r="A771" s="196"/>
      <c r="B771" s="143"/>
      <c r="C771" s="196"/>
      <c r="D771" s="196"/>
      <c r="E771" s="196"/>
      <c r="F771" s="220"/>
      <c r="G771" s="143"/>
      <c r="H771" s="196"/>
      <c r="I771" s="196"/>
      <c r="J771" s="196"/>
      <c r="K771" s="196"/>
      <c r="L771" s="196"/>
      <c r="M771" s="196"/>
      <c r="N771" s="196"/>
      <c r="O771" s="196"/>
      <c r="P771" s="196"/>
      <c r="Q771" s="196"/>
      <c r="R771" s="196"/>
      <c r="S771" s="196"/>
      <c r="T771" s="196"/>
      <c r="U771" s="196"/>
      <c r="V771" s="196"/>
      <c r="W771" s="196"/>
      <c r="X771" s="196"/>
      <c r="Y771" s="196"/>
      <c r="Z771" s="196"/>
      <c r="AA771" s="196"/>
      <c r="AB771" s="196"/>
    </row>
    <row r="772" spans="1:28" ht="12.9">
      <c r="A772" s="196"/>
      <c r="B772" s="143"/>
      <c r="C772" s="196"/>
      <c r="D772" s="196"/>
      <c r="E772" s="196"/>
      <c r="F772" s="220"/>
      <c r="G772" s="143"/>
      <c r="H772" s="196"/>
      <c r="I772" s="196"/>
      <c r="J772" s="196"/>
      <c r="K772" s="196"/>
      <c r="L772" s="196"/>
      <c r="M772" s="196"/>
      <c r="N772" s="196"/>
      <c r="O772" s="196"/>
      <c r="P772" s="196"/>
      <c r="Q772" s="196"/>
      <c r="R772" s="196"/>
      <c r="S772" s="196"/>
      <c r="T772" s="196"/>
      <c r="U772" s="196"/>
      <c r="V772" s="196"/>
      <c r="W772" s="196"/>
      <c r="X772" s="196"/>
      <c r="Y772" s="196"/>
      <c r="Z772" s="196"/>
      <c r="AA772" s="196"/>
      <c r="AB772" s="196"/>
    </row>
    <row r="773" spans="1:28" ht="12.9">
      <c r="A773" s="196"/>
      <c r="B773" s="143"/>
      <c r="C773" s="196"/>
      <c r="D773" s="196"/>
      <c r="E773" s="196"/>
      <c r="F773" s="220"/>
      <c r="G773" s="143"/>
      <c r="H773" s="196"/>
      <c r="I773" s="196"/>
      <c r="J773" s="196"/>
      <c r="K773" s="196"/>
      <c r="L773" s="196"/>
      <c r="M773" s="196"/>
      <c r="N773" s="196"/>
      <c r="O773" s="196"/>
      <c r="P773" s="196"/>
      <c r="Q773" s="196"/>
      <c r="R773" s="196"/>
      <c r="S773" s="196"/>
      <c r="T773" s="196"/>
      <c r="U773" s="196"/>
      <c r="V773" s="196"/>
      <c r="W773" s="196"/>
      <c r="X773" s="196"/>
      <c r="Y773" s="196"/>
      <c r="Z773" s="196"/>
      <c r="AA773" s="196"/>
      <c r="AB773" s="196"/>
    </row>
    <row r="774" spans="1:28" ht="12.9">
      <c r="A774" s="196"/>
      <c r="B774" s="143"/>
      <c r="C774" s="196"/>
      <c r="D774" s="196"/>
      <c r="E774" s="196"/>
      <c r="F774" s="220"/>
      <c r="G774" s="143"/>
      <c r="H774" s="196"/>
      <c r="I774" s="196"/>
      <c r="J774" s="196"/>
      <c r="K774" s="196"/>
      <c r="L774" s="196"/>
      <c r="M774" s="196"/>
      <c r="N774" s="196"/>
      <c r="O774" s="196"/>
      <c r="P774" s="196"/>
      <c r="Q774" s="196"/>
      <c r="R774" s="196"/>
      <c r="S774" s="196"/>
      <c r="T774" s="196"/>
      <c r="U774" s="196"/>
      <c r="V774" s="196"/>
      <c r="W774" s="196"/>
      <c r="X774" s="196"/>
      <c r="Y774" s="196"/>
      <c r="Z774" s="196"/>
      <c r="AA774" s="196"/>
      <c r="AB774" s="196"/>
    </row>
    <row r="775" spans="1:28" ht="12.9">
      <c r="A775" s="196"/>
      <c r="B775" s="143"/>
      <c r="C775" s="196"/>
      <c r="D775" s="196"/>
      <c r="E775" s="196"/>
      <c r="F775" s="220"/>
      <c r="G775" s="143"/>
      <c r="H775" s="196"/>
      <c r="I775" s="196"/>
      <c r="J775" s="196"/>
      <c r="K775" s="196"/>
      <c r="L775" s="196"/>
      <c r="M775" s="196"/>
      <c r="N775" s="196"/>
      <c r="O775" s="196"/>
      <c r="P775" s="196"/>
      <c r="Q775" s="196"/>
      <c r="R775" s="196"/>
      <c r="S775" s="196"/>
      <c r="T775" s="196"/>
      <c r="U775" s="196"/>
      <c r="V775" s="196"/>
      <c r="W775" s="196"/>
      <c r="X775" s="196"/>
      <c r="Y775" s="196"/>
      <c r="Z775" s="196"/>
      <c r="AA775" s="196"/>
      <c r="AB775" s="196"/>
    </row>
    <row r="776" spans="1:28" ht="12.9">
      <c r="A776" s="196"/>
      <c r="B776" s="143"/>
      <c r="C776" s="196"/>
      <c r="D776" s="196"/>
      <c r="E776" s="196"/>
      <c r="F776" s="220"/>
      <c r="G776" s="143"/>
      <c r="H776" s="196"/>
      <c r="I776" s="196"/>
      <c r="J776" s="196"/>
      <c r="K776" s="196"/>
      <c r="L776" s="196"/>
      <c r="M776" s="196"/>
      <c r="N776" s="196"/>
      <c r="O776" s="196"/>
      <c r="P776" s="196"/>
      <c r="Q776" s="196"/>
      <c r="R776" s="196"/>
      <c r="S776" s="196"/>
      <c r="T776" s="196"/>
      <c r="U776" s="196"/>
      <c r="V776" s="196"/>
      <c r="W776" s="196"/>
      <c r="X776" s="196"/>
      <c r="Y776" s="196"/>
      <c r="Z776" s="196"/>
      <c r="AA776" s="196"/>
      <c r="AB776" s="196"/>
    </row>
    <row r="777" spans="1:28" ht="12.9">
      <c r="A777" s="196"/>
      <c r="B777" s="143"/>
      <c r="C777" s="196"/>
      <c r="D777" s="196"/>
      <c r="E777" s="196"/>
      <c r="F777" s="220"/>
      <c r="G777" s="143"/>
      <c r="H777" s="196"/>
      <c r="I777" s="196"/>
      <c r="J777" s="196"/>
      <c r="K777" s="196"/>
      <c r="L777" s="196"/>
      <c r="M777" s="196"/>
      <c r="N777" s="196"/>
      <c r="O777" s="196"/>
      <c r="P777" s="196"/>
      <c r="Q777" s="196"/>
      <c r="R777" s="196"/>
      <c r="S777" s="196"/>
      <c r="T777" s="196"/>
      <c r="U777" s="196"/>
      <c r="V777" s="196"/>
      <c r="W777" s="196"/>
      <c r="X777" s="196"/>
      <c r="Y777" s="196"/>
      <c r="Z777" s="196"/>
      <c r="AA777" s="196"/>
      <c r="AB777" s="196"/>
    </row>
    <row r="778" spans="1:28" ht="12.9">
      <c r="A778" s="196"/>
      <c r="B778" s="143"/>
      <c r="C778" s="196"/>
      <c r="D778" s="196"/>
      <c r="E778" s="196"/>
      <c r="F778" s="220"/>
      <c r="G778" s="143"/>
      <c r="H778" s="196"/>
      <c r="I778" s="196"/>
      <c r="J778" s="196"/>
      <c r="K778" s="196"/>
      <c r="L778" s="196"/>
      <c r="M778" s="196"/>
      <c r="N778" s="196"/>
      <c r="O778" s="196"/>
      <c r="P778" s="196"/>
      <c r="Q778" s="196"/>
      <c r="R778" s="196"/>
      <c r="S778" s="196"/>
      <c r="T778" s="196"/>
      <c r="U778" s="196"/>
      <c r="V778" s="196"/>
      <c r="W778" s="196"/>
      <c r="X778" s="196"/>
      <c r="Y778" s="196"/>
      <c r="Z778" s="196"/>
      <c r="AA778" s="196"/>
      <c r="AB778" s="196"/>
    </row>
    <row r="779" spans="1:28" ht="12.9">
      <c r="A779" s="196"/>
      <c r="B779" s="143"/>
      <c r="C779" s="196"/>
      <c r="D779" s="196"/>
      <c r="E779" s="196"/>
      <c r="F779" s="220"/>
      <c r="G779" s="143"/>
      <c r="H779" s="196"/>
      <c r="I779" s="196"/>
      <c r="J779" s="196"/>
      <c r="K779" s="196"/>
      <c r="L779" s="196"/>
      <c r="M779" s="196"/>
      <c r="N779" s="196"/>
      <c r="O779" s="196"/>
      <c r="P779" s="196"/>
      <c r="Q779" s="196"/>
      <c r="R779" s="196"/>
      <c r="S779" s="196"/>
      <c r="T779" s="196"/>
      <c r="U779" s="196"/>
      <c r="V779" s="196"/>
      <c r="W779" s="196"/>
      <c r="X779" s="196"/>
      <c r="Y779" s="196"/>
      <c r="Z779" s="196"/>
      <c r="AA779" s="196"/>
      <c r="AB779" s="196"/>
    </row>
    <row r="780" spans="1:28" ht="12.9">
      <c r="A780" s="196"/>
      <c r="B780" s="143"/>
      <c r="C780" s="196"/>
      <c r="D780" s="196"/>
      <c r="E780" s="196"/>
      <c r="F780" s="220"/>
      <c r="G780" s="143"/>
      <c r="H780" s="196"/>
      <c r="I780" s="196"/>
      <c r="J780" s="196"/>
      <c r="K780" s="196"/>
      <c r="L780" s="196"/>
      <c r="M780" s="196"/>
      <c r="N780" s="196"/>
      <c r="O780" s="196"/>
      <c r="P780" s="196"/>
      <c r="Q780" s="196"/>
      <c r="R780" s="196"/>
      <c r="S780" s="196"/>
      <c r="T780" s="196"/>
      <c r="U780" s="196"/>
      <c r="V780" s="196"/>
      <c r="W780" s="196"/>
      <c r="X780" s="196"/>
      <c r="Y780" s="196"/>
      <c r="Z780" s="196"/>
      <c r="AA780" s="196"/>
      <c r="AB780" s="196"/>
    </row>
    <row r="781" spans="1:28" ht="12.9">
      <c r="A781" s="196"/>
      <c r="B781" s="143"/>
      <c r="C781" s="196"/>
      <c r="D781" s="196"/>
      <c r="E781" s="196"/>
      <c r="F781" s="220"/>
      <c r="G781" s="143"/>
      <c r="H781" s="196"/>
      <c r="I781" s="196"/>
      <c r="J781" s="196"/>
      <c r="K781" s="196"/>
      <c r="L781" s="196"/>
      <c r="M781" s="196"/>
      <c r="N781" s="196"/>
      <c r="O781" s="196"/>
      <c r="P781" s="196"/>
      <c r="Q781" s="196"/>
      <c r="R781" s="196"/>
      <c r="S781" s="196"/>
      <c r="T781" s="196"/>
      <c r="U781" s="196"/>
      <c r="V781" s="196"/>
      <c r="W781" s="196"/>
      <c r="X781" s="196"/>
      <c r="Y781" s="196"/>
      <c r="Z781" s="196"/>
      <c r="AA781" s="196"/>
      <c r="AB781" s="196"/>
    </row>
    <row r="782" spans="1:28" ht="12.9">
      <c r="A782" s="196"/>
      <c r="B782" s="143"/>
      <c r="C782" s="196"/>
      <c r="D782" s="196"/>
      <c r="E782" s="196"/>
      <c r="F782" s="220"/>
      <c r="G782" s="143"/>
      <c r="H782" s="196"/>
      <c r="I782" s="196"/>
      <c r="J782" s="196"/>
      <c r="K782" s="196"/>
      <c r="L782" s="196"/>
      <c r="M782" s="196"/>
      <c r="N782" s="196"/>
      <c r="O782" s="196"/>
      <c r="P782" s="196"/>
      <c r="Q782" s="196"/>
      <c r="R782" s="196"/>
      <c r="S782" s="196"/>
      <c r="T782" s="196"/>
      <c r="U782" s="196"/>
      <c r="V782" s="196"/>
      <c r="W782" s="196"/>
      <c r="X782" s="196"/>
      <c r="Y782" s="196"/>
      <c r="Z782" s="196"/>
      <c r="AA782" s="196"/>
      <c r="AB782" s="196"/>
    </row>
    <row r="783" spans="1:28" ht="12.9">
      <c r="A783" s="196"/>
      <c r="B783" s="143"/>
      <c r="C783" s="196"/>
      <c r="D783" s="196"/>
      <c r="E783" s="196"/>
      <c r="F783" s="220"/>
      <c r="G783" s="143"/>
      <c r="H783" s="196"/>
      <c r="I783" s="196"/>
      <c r="J783" s="196"/>
      <c r="K783" s="196"/>
      <c r="L783" s="196"/>
      <c r="M783" s="196"/>
      <c r="N783" s="196"/>
      <c r="O783" s="196"/>
      <c r="P783" s="196"/>
      <c r="Q783" s="196"/>
      <c r="R783" s="196"/>
      <c r="S783" s="196"/>
      <c r="T783" s="196"/>
      <c r="U783" s="196"/>
      <c r="V783" s="196"/>
      <c r="W783" s="196"/>
      <c r="X783" s="196"/>
      <c r="Y783" s="196"/>
      <c r="Z783" s="196"/>
      <c r="AA783" s="196"/>
      <c r="AB783" s="196"/>
    </row>
    <row r="784" spans="1:28" ht="12.9">
      <c r="A784" s="196"/>
      <c r="B784" s="143"/>
      <c r="C784" s="196"/>
      <c r="D784" s="196"/>
      <c r="E784" s="196"/>
      <c r="F784" s="220"/>
      <c r="G784" s="143"/>
      <c r="H784" s="196"/>
      <c r="I784" s="196"/>
      <c r="J784" s="196"/>
      <c r="K784" s="196"/>
      <c r="L784" s="196"/>
      <c r="M784" s="196"/>
      <c r="N784" s="196"/>
      <c r="O784" s="196"/>
      <c r="P784" s="196"/>
      <c r="Q784" s="196"/>
      <c r="R784" s="196"/>
      <c r="S784" s="196"/>
      <c r="T784" s="196"/>
      <c r="U784" s="196"/>
      <c r="V784" s="196"/>
      <c r="W784" s="196"/>
      <c r="X784" s="196"/>
      <c r="Y784" s="196"/>
      <c r="Z784" s="196"/>
      <c r="AA784" s="196"/>
      <c r="AB784" s="196"/>
    </row>
    <row r="785" spans="1:28" ht="12.9">
      <c r="A785" s="196"/>
      <c r="B785" s="143"/>
      <c r="C785" s="196"/>
      <c r="D785" s="196"/>
      <c r="E785" s="196"/>
      <c r="F785" s="220"/>
      <c r="G785" s="143"/>
      <c r="H785" s="196"/>
      <c r="I785" s="196"/>
      <c r="J785" s="196"/>
      <c r="K785" s="196"/>
      <c r="L785" s="196"/>
      <c r="M785" s="196"/>
      <c r="N785" s="196"/>
      <c r="O785" s="196"/>
      <c r="P785" s="196"/>
      <c r="Q785" s="196"/>
      <c r="R785" s="196"/>
      <c r="S785" s="196"/>
      <c r="T785" s="196"/>
      <c r="U785" s="196"/>
      <c r="V785" s="196"/>
      <c r="W785" s="196"/>
      <c r="X785" s="196"/>
      <c r="Y785" s="196"/>
      <c r="Z785" s="196"/>
      <c r="AA785" s="196"/>
      <c r="AB785" s="196"/>
    </row>
    <row r="786" spans="1:28" ht="12.9">
      <c r="A786" s="196"/>
      <c r="B786" s="143"/>
      <c r="C786" s="196"/>
      <c r="D786" s="196"/>
      <c r="E786" s="196"/>
      <c r="F786" s="220"/>
      <c r="G786" s="143"/>
      <c r="H786" s="196"/>
      <c r="I786" s="196"/>
      <c r="J786" s="196"/>
      <c r="K786" s="196"/>
      <c r="L786" s="196"/>
      <c r="M786" s="196"/>
      <c r="N786" s="196"/>
      <c r="O786" s="196"/>
      <c r="P786" s="196"/>
      <c r="Q786" s="196"/>
      <c r="R786" s="196"/>
      <c r="S786" s="196"/>
      <c r="T786" s="196"/>
      <c r="U786" s="196"/>
      <c r="V786" s="196"/>
      <c r="W786" s="196"/>
      <c r="X786" s="196"/>
      <c r="Y786" s="196"/>
      <c r="Z786" s="196"/>
      <c r="AA786" s="196"/>
      <c r="AB786" s="196"/>
    </row>
    <row r="787" spans="1:28" ht="12.9">
      <c r="A787" s="196"/>
      <c r="B787" s="143"/>
      <c r="C787" s="196"/>
      <c r="D787" s="196"/>
      <c r="E787" s="196"/>
      <c r="F787" s="220"/>
      <c r="G787" s="143"/>
      <c r="H787" s="196"/>
      <c r="I787" s="196"/>
      <c r="J787" s="196"/>
      <c r="K787" s="196"/>
      <c r="L787" s="196"/>
      <c r="M787" s="196"/>
      <c r="N787" s="196"/>
      <c r="O787" s="196"/>
      <c r="P787" s="196"/>
      <c r="Q787" s="196"/>
      <c r="R787" s="196"/>
      <c r="S787" s="196"/>
      <c r="T787" s="196"/>
      <c r="U787" s="196"/>
      <c r="V787" s="196"/>
      <c r="W787" s="196"/>
      <c r="X787" s="196"/>
      <c r="Y787" s="196"/>
      <c r="Z787" s="196"/>
      <c r="AA787" s="196"/>
      <c r="AB787" s="196"/>
    </row>
    <row r="788" spans="1:28" ht="12.9">
      <c r="A788" s="196"/>
      <c r="B788" s="143"/>
      <c r="C788" s="196"/>
      <c r="D788" s="196"/>
      <c r="E788" s="196"/>
      <c r="F788" s="220"/>
      <c r="G788" s="143"/>
      <c r="H788" s="196"/>
      <c r="I788" s="196"/>
      <c r="J788" s="196"/>
      <c r="K788" s="196"/>
      <c r="L788" s="196"/>
      <c r="M788" s="196"/>
      <c r="N788" s="196"/>
      <c r="O788" s="196"/>
      <c r="P788" s="196"/>
      <c r="Q788" s="196"/>
      <c r="R788" s="196"/>
      <c r="S788" s="196"/>
      <c r="T788" s="196"/>
      <c r="U788" s="196"/>
      <c r="V788" s="196"/>
      <c r="W788" s="196"/>
      <c r="X788" s="196"/>
      <c r="Y788" s="196"/>
      <c r="Z788" s="196"/>
      <c r="AA788" s="196"/>
      <c r="AB788" s="196"/>
    </row>
    <row r="789" spans="1:28" ht="12.9">
      <c r="A789" s="196"/>
      <c r="B789" s="143"/>
      <c r="C789" s="196"/>
      <c r="D789" s="196"/>
      <c r="E789" s="196"/>
      <c r="F789" s="220"/>
      <c r="G789" s="143"/>
      <c r="H789" s="196"/>
      <c r="I789" s="196"/>
      <c r="J789" s="196"/>
      <c r="K789" s="196"/>
      <c r="L789" s="196"/>
      <c r="M789" s="196"/>
      <c r="N789" s="196"/>
      <c r="O789" s="196"/>
      <c r="P789" s="196"/>
      <c r="Q789" s="196"/>
      <c r="R789" s="196"/>
      <c r="S789" s="196"/>
      <c r="T789" s="196"/>
      <c r="U789" s="196"/>
      <c r="V789" s="196"/>
      <c r="W789" s="196"/>
      <c r="X789" s="196"/>
      <c r="Y789" s="196"/>
      <c r="Z789" s="196"/>
      <c r="AA789" s="196"/>
      <c r="AB789" s="196"/>
    </row>
    <row r="790" spans="1:28" ht="12.9">
      <c r="A790" s="196"/>
      <c r="B790" s="143"/>
      <c r="C790" s="196"/>
      <c r="D790" s="196"/>
      <c r="E790" s="196"/>
      <c r="F790" s="220"/>
      <c r="G790" s="143"/>
      <c r="H790" s="196"/>
      <c r="I790" s="196"/>
      <c r="J790" s="196"/>
      <c r="K790" s="196"/>
      <c r="L790" s="196"/>
      <c r="M790" s="196"/>
      <c r="N790" s="196"/>
      <c r="O790" s="196"/>
      <c r="P790" s="196"/>
      <c r="Q790" s="196"/>
      <c r="R790" s="196"/>
      <c r="S790" s="196"/>
      <c r="T790" s="196"/>
      <c r="U790" s="196"/>
      <c r="V790" s="196"/>
      <c r="W790" s="196"/>
      <c r="X790" s="196"/>
      <c r="Y790" s="196"/>
      <c r="Z790" s="196"/>
      <c r="AA790" s="196"/>
      <c r="AB790" s="196"/>
    </row>
    <row r="791" spans="1:28" ht="12.9">
      <c r="A791" s="196"/>
      <c r="B791" s="143"/>
      <c r="C791" s="196"/>
      <c r="D791" s="196"/>
      <c r="E791" s="196"/>
      <c r="F791" s="220"/>
      <c r="G791" s="143"/>
      <c r="H791" s="196"/>
      <c r="I791" s="196"/>
      <c r="J791" s="196"/>
      <c r="K791" s="196"/>
      <c r="L791" s="196"/>
      <c r="M791" s="196"/>
      <c r="N791" s="196"/>
      <c r="O791" s="196"/>
      <c r="P791" s="196"/>
      <c r="Q791" s="196"/>
      <c r="R791" s="196"/>
      <c r="S791" s="196"/>
      <c r="T791" s="196"/>
      <c r="U791" s="196"/>
      <c r="V791" s="196"/>
      <c r="W791" s="196"/>
      <c r="X791" s="196"/>
      <c r="Y791" s="196"/>
      <c r="Z791" s="196"/>
      <c r="AA791" s="196"/>
      <c r="AB791" s="196"/>
    </row>
    <row r="792" spans="1:28" ht="12.9">
      <c r="A792" s="196"/>
      <c r="B792" s="143"/>
      <c r="C792" s="196"/>
      <c r="D792" s="196"/>
      <c r="E792" s="196"/>
      <c r="F792" s="220"/>
      <c r="G792" s="143"/>
      <c r="H792" s="196"/>
      <c r="I792" s="196"/>
      <c r="J792" s="196"/>
      <c r="K792" s="196"/>
      <c r="L792" s="196"/>
      <c r="M792" s="196"/>
      <c r="N792" s="196"/>
      <c r="O792" s="196"/>
      <c r="P792" s="196"/>
      <c r="Q792" s="196"/>
      <c r="R792" s="196"/>
      <c r="S792" s="196"/>
      <c r="T792" s="196"/>
      <c r="U792" s="196"/>
      <c r="V792" s="196"/>
      <c r="W792" s="196"/>
      <c r="X792" s="196"/>
      <c r="Y792" s="196"/>
      <c r="Z792" s="196"/>
      <c r="AA792" s="196"/>
      <c r="AB792" s="196"/>
    </row>
    <row r="793" spans="1:28" ht="12.9">
      <c r="A793" s="196"/>
      <c r="B793" s="143"/>
      <c r="C793" s="196"/>
      <c r="D793" s="196"/>
      <c r="E793" s="196"/>
      <c r="F793" s="220"/>
      <c r="G793" s="143"/>
      <c r="H793" s="196"/>
      <c r="I793" s="196"/>
      <c r="J793" s="196"/>
      <c r="K793" s="196"/>
      <c r="L793" s="196"/>
      <c r="M793" s="196"/>
      <c r="N793" s="196"/>
      <c r="O793" s="196"/>
      <c r="P793" s="196"/>
      <c r="Q793" s="196"/>
      <c r="R793" s="196"/>
      <c r="S793" s="196"/>
      <c r="T793" s="196"/>
      <c r="U793" s="196"/>
      <c r="V793" s="196"/>
      <c r="W793" s="196"/>
      <c r="X793" s="196"/>
      <c r="Y793" s="196"/>
      <c r="Z793" s="196"/>
      <c r="AA793" s="196"/>
      <c r="AB793" s="196"/>
    </row>
    <row r="794" spans="1:28" ht="12.9">
      <c r="A794" s="196"/>
      <c r="B794" s="143"/>
      <c r="C794" s="196"/>
      <c r="D794" s="196"/>
      <c r="E794" s="196"/>
      <c r="F794" s="220"/>
      <c r="G794" s="143"/>
      <c r="H794" s="196"/>
      <c r="I794" s="196"/>
      <c r="J794" s="196"/>
      <c r="K794" s="196"/>
      <c r="L794" s="196"/>
      <c r="M794" s="196"/>
      <c r="N794" s="196"/>
      <c r="O794" s="196"/>
      <c r="P794" s="196"/>
      <c r="Q794" s="196"/>
      <c r="R794" s="196"/>
      <c r="S794" s="196"/>
      <c r="T794" s="196"/>
      <c r="U794" s="196"/>
      <c r="V794" s="196"/>
      <c r="W794" s="196"/>
      <c r="X794" s="196"/>
      <c r="Y794" s="196"/>
      <c r="Z794" s="196"/>
      <c r="AA794" s="196"/>
      <c r="AB794" s="196"/>
    </row>
    <row r="795" spans="1:28" ht="12.9">
      <c r="A795" s="196"/>
      <c r="B795" s="143"/>
      <c r="C795" s="196"/>
      <c r="D795" s="196"/>
      <c r="E795" s="196"/>
      <c r="F795" s="220"/>
      <c r="G795" s="143"/>
      <c r="H795" s="196"/>
      <c r="I795" s="196"/>
      <c r="J795" s="196"/>
      <c r="K795" s="196"/>
      <c r="L795" s="196"/>
      <c r="M795" s="196"/>
      <c r="N795" s="196"/>
      <c r="O795" s="196"/>
      <c r="P795" s="196"/>
      <c r="Q795" s="196"/>
      <c r="R795" s="196"/>
      <c r="S795" s="196"/>
      <c r="T795" s="196"/>
      <c r="U795" s="196"/>
      <c r="V795" s="196"/>
      <c r="W795" s="196"/>
      <c r="X795" s="196"/>
      <c r="Y795" s="196"/>
      <c r="Z795" s="196"/>
      <c r="AA795" s="196"/>
      <c r="AB795" s="196"/>
    </row>
    <row r="796" spans="1:28" ht="12.9">
      <c r="A796" s="196"/>
      <c r="B796" s="143"/>
      <c r="C796" s="196"/>
      <c r="D796" s="196"/>
      <c r="E796" s="196"/>
      <c r="F796" s="220"/>
      <c r="G796" s="143"/>
      <c r="H796" s="196"/>
      <c r="I796" s="196"/>
      <c r="J796" s="196"/>
      <c r="K796" s="196"/>
      <c r="L796" s="196"/>
      <c r="M796" s="196"/>
      <c r="N796" s="196"/>
      <c r="O796" s="196"/>
      <c r="P796" s="196"/>
      <c r="Q796" s="196"/>
      <c r="R796" s="196"/>
      <c r="S796" s="196"/>
      <c r="T796" s="196"/>
      <c r="U796" s="196"/>
      <c r="V796" s="196"/>
      <c r="W796" s="196"/>
      <c r="X796" s="196"/>
      <c r="Y796" s="196"/>
      <c r="Z796" s="196"/>
      <c r="AA796" s="196"/>
      <c r="AB796" s="196"/>
    </row>
    <row r="797" spans="1:28" ht="12.9">
      <c r="A797" s="196"/>
      <c r="B797" s="143"/>
      <c r="C797" s="196"/>
      <c r="D797" s="196"/>
      <c r="E797" s="196"/>
      <c r="F797" s="220"/>
      <c r="G797" s="143"/>
      <c r="H797" s="196"/>
      <c r="I797" s="196"/>
      <c r="J797" s="196"/>
      <c r="K797" s="196"/>
      <c r="L797" s="196"/>
      <c r="M797" s="196"/>
      <c r="N797" s="196"/>
      <c r="O797" s="196"/>
      <c r="P797" s="196"/>
      <c r="Q797" s="196"/>
      <c r="R797" s="196"/>
      <c r="S797" s="196"/>
      <c r="T797" s="196"/>
      <c r="U797" s="196"/>
      <c r="V797" s="196"/>
      <c r="W797" s="196"/>
      <c r="X797" s="196"/>
      <c r="Y797" s="196"/>
      <c r="Z797" s="196"/>
      <c r="AA797" s="196"/>
      <c r="AB797" s="196"/>
    </row>
    <row r="798" spans="1:28" ht="12.9">
      <c r="A798" s="196"/>
      <c r="B798" s="143"/>
      <c r="C798" s="196"/>
      <c r="D798" s="196"/>
      <c r="E798" s="196"/>
      <c r="F798" s="220"/>
      <c r="G798" s="143"/>
      <c r="H798" s="196"/>
      <c r="I798" s="196"/>
      <c r="J798" s="196"/>
      <c r="K798" s="196"/>
      <c r="L798" s="196"/>
      <c r="M798" s="196"/>
      <c r="N798" s="196"/>
      <c r="O798" s="196"/>
      <c r="P798" s="196"/>
      <c r="Q798" s="196"/>
      <c r="R798" s="196"/>
      <c r="S798" s="196"/>
      <c r="T798" s="196"/>
      <c r="U798" s="196"/>
      <c r="V798" s="196"/>
      <c r="W798" s="196"/>
      <c r="X798" s="196"/>
      <c r="Y798" s="196"/>
      <c r="Z798" s="196"/>
      <c r="AA798" s="196"/>
      <c r="AB798" s="196"/>
    </row>
    <row r="799" spans="1:28" ht="12.9">
      <c r="A799" s="196"/>
      <c r="B799" s="143"/>
      <c r="C799" s="196"/>
      <c r="D799" s="196"/>
      <c r="E799" s="196"/>
      <c r="F799" s="220"/>
      <c r="G799" s="143"/>
      <c r="H799" s="196"/>
      <c r="I799" s="196"/>
      <c r="J799" s="196"/>
      <c r="K799" s="196"/>
      <c r="L799" s="196"/>
      <c r="M799" s="196"/>
      <c r="N799" s="196"/>
      <c r="O799" s="196"/>
      <c r="P799" s="196"/>
      <c r="Q799" s="196"/>
      <c r="R799" s="196"/>
      <c r="S799" s="196"/>
      <c r="T799" s="196"/>
      <c r="U799" s="196"/>
      <c r="V799" s="196"/>
      <c r="W799" s="196"/>
      <c r="X799" s="196"/>
      <c r="Y799" s="196"/>
      <c r="Z799" s="196"/>
      <c r="AA799" s="196"/>
      <c r="AB799" s="196"/>
    </row>
    <row r="800" spans="1:28" ht="12.9">
      <c r="A800" s="196"/>
      <c r="B800" s="143"/>
      <c r="C800" s="196"/>
      <c r="D800" s="196"/>
      <c r="E800" s="196"/>
      <c r="F800" s="220"/>
      <c r="G800" s="143"/>
      <c r="H800" s="196"/>
      <c r="I800" s="196"/>
      <c r="J800" s="196"/>
      <c r="K800" s="196"/>
      <c r="L800" s="196"/>
      <c r="M800" s="196"/>
      <c r="N800" s="196"/>
      <c r="O800" s="196"/>
      <c r="P800" s="196"/>
      <c r="Q800" s="196"/>
      <c r="R800" s="196"/>
      <c r="S800" s="196"/>
      <c r="T800" s="196"/>
      <c r="U800" s="196"/>
      <c r="V800" s="196"/>
      <c r="W800" s="196"/>
      <c r="X800" s="196"/>
      <c r="Y800" s="196"/>
      <c r="Z800" s="196"/>
      <c r="AA800" s="196"/>
      <c r="AB800" s="196"/>
    </row>
    <row r="801" spans="1:28" ht="12.9">
      <c r="A801" s="196"/>
      <c r="B801" s="143"/>
      <c r="C801" s="196"/>
      <c r="D801" s="196"/>
      <c r="E801" s="196"/>
      <c r="F801" s="220"/>
      <c r="G801" s="143"/>
      <c r="H801" s="196"/>
      <c r="I801" s="196"/>
      <c r="J801" s="196"/>
      <c r="K801" s="196"/>
      <c r="L801" s="196"/>
      <c r="M801" s="196"/>
      <c r="N801" s="196"/>
      <c r="O801" s="196"/>
      <c r="P801" s="196"/>
      <c r="Q801" s="196"/>
      <c r="R801" s="196"/>
      <c r="S801" s="196"/>
      <c r="T801" s="196"/>
      <c r="U801" s="196"/>
      <c r="V801" s="196"/>
      <c r="W801" s="196"/>
      <c r="X801" s="196"/>
      <c r="Y801" s="196"/>
      <c r="Z801" s="196"/>
      <c r="AA801" s="196"/>
      <c r="AB801" s="196"/>
    </row>
    <row r="802" spans="1:28" ht="12.9">
      <c r="A802" s="196"/>
      <c r="B802" s="143"/>
      <c r="C802" s="196"/>
      <c r="D802" s="196"/>
      <c r="E802" s="196"/>
      <c r="F802" s="220"/>
      <c r="G802" s="143"/>
      <c r="H802" s="196"/>
      <c r="I802" s="196"/>
      <c r="J802" s="196"/>
      <c r="K802" s="196"/>
      <c r="L802" s="196"/>
      <c r="M802" s="196"/>
      <c r="N802" s="196"/>
      <c r="O802" s="196"/>
      <c r="P802" s="196"/>
      <c r="Q802" s="196"/>
      <c r="R802" s="196"/>
      <c r="S802" s="196"/>
      <c r="T802" s="196"/>
      <c r="U802" s="196"/>
      <c r="V802" s="196"/>
      <c r="W802" s="196"/>
      <c r="X802" s="196"/>
      <c r="Y802" s="196"/>
      <c r="Z802" s="196"/>
      <c r="AA802" s="196"/>
      <c r="AB802" s="196"/>
    </row>
    <row r="803" spans="1:28" ht="12.9">
      <c r="A803" s="196"/>
      <c r="B803" s="143"/>
      <c r="C803" s="196"/>
      <c r="D803" s="196"/>
      <c r="E803" s="196"/>
      <c r="F803" s="220"/>
      <c r="G803" s="143"/>
      <c r="H803" s="196"/>
      <c r="I803" s="196"/>
      <c r="J803" s="196"/>
      <c r="K803" s="196"/>
      <c r="L803" s="196"/>
      <c r="M803" s="196"/>
      <c r="N803" s="196"/>
      <c r="O803" s="196"/>
      <c r="P803" s="196"/>
      <c r="Q803" s="196"/>
      <c r="R803" s="196"/>
      <c r="S803" s="196"/>
      <c r="T803" s="196"/>
      <c r="U803" s="196"/>
      <c r="V803" s="196"/>
      <c r="W803" s="196"/>
      <c r="X803" s="196"/>
      <c r="Y803" s="196"/>
      <c r="Z803" s="196"/>
      <c r="AA803" s="196"/>
      <c r="AB803" s="196"/>
    </row>
    <row r="804" spans="1:28" ht="12.9">
      <c r="A804" s="196"/>
      <c r="B804" s="143"/>
      <c r="C804" s="196"/>
      <c r="D804" s="196"/>
      <c r="E804" s="196"/>
      <c r="F804" s="220"/>
      <c r="G804" s="143"/>
      <c r="H804" s="196"/>
      <c r="I804" s="196"/>
      <c r="J804" s="196"/>
      <c r="K804" s="196"/>
      <c r="L804" s="196"/>
      <c r="M804" s="196"/>
      <c r="N804" s="196"/>
      <c r="O804" s="196"/>
      <c r="P804" s="196"/>
      <c r="Q804" s="196"/>
      <c r="R804" s="196"/>
      <c r="S804" s="196"/>
      <c r="T804" s="196"/>
      <c r="U804" s="196"/>
      <c r="V804" s="196"/>
      <c r="W804" s="196"/>
      <c r="X804" s="196"/>
      <c r="Y804" s="196"/>
      <c r="Z804" s="196"/>
      <c r="AA804" s="196"/>
      <c r="AB804" s="196"/>
    </row>
    <row r="805" spans="1:28" ht="12.9">
      <c r="A805" s="196"/>
      <c r="B805" s="143"/>
      <c r="C805" s="196"/>
      <c r="D805" s="196"/>
      <c r="E805" s="196"/>
      <c r="F805" s="220"/>
      <c r="G805" s="143"/>
      <c r="H805" s="196"/>
      <c r="I805" s="196"/>
      <c r="J805" s="196"/>
      <c r="K805" s="196"/>
      <c r="L805" s="196"/>
      <c r="M805" s="196"/>
      <c r="N805" s="196"/>
      <c r="O805" s="196"/>
      <c r="P805" s="196"/>
      <c r="Q805" s="196"/>
      <c r="R805" s="196"/>
      <c r="S805" s="196"/>
      <c r="T805" s="196"/>
      <c r="U805" s="196"/>
      <c r="V805" s="196"/>
      <c r="W805" s="196"/>
      <c r="X805" s="196"/>
      <c r="Y805" s="196"/>
      <c r="Z805" s="196"/>
      <c r="AA805" s="196"/>
      <c r="AB805" s="196"/>
    </row>
    <row r="806" spans="1:28" ht="12.9">
      <c r="A806" s="196"/>
      <c r="B806" s="143"/>
      <c r="C806" s="196"/>
      <c r="D806" s="196"/>
      <c r="E806" s="196"/>
      <c r="F806" s="220"/>
      <c r="G806" s="143"/>
      <c r="H806" s="196"/>
      <c r="I806" s="196"/>
      <c r="J806" s="196"/>
      <c r="K806" s="196"/>
      <c r="L806" s="196"/>
      <c r="M806" s="196"/>
      <c r="N806" s="196"/>
      <c r="O806" s="196"/>
      <c r="P806" s="196"/>
      <c r="Q806" s="196"/>
      <c r="R806" s="196"/>
      <c r="S806" s="196"/>
      <c r="T806" s="196"/>
      <c r="U806" s="196"/>
      <c r="V806" s="196"/>
      <c r="W806" s="196"/>
      <c r="X806" s="196"/>
      <c r="Y806" s="196"/>
      <c r="Z806" s="196"/>
      <c r="AA806" s="196"/>
      <c r="AB806" s="196"/>
    </row>
    <row r="807" spans="1:28" ht="12.9">
      <c r="A807" s="196"/>
      <c r="B807" s="143"/>
      <c r="C807" s="196"/>
      <c r="D807" s="196"/>
      <c r="E807" s="196"/>
      <c r="F807" s="220"/>
      <c r="G807" s="143"/>
      <c r="H807" s="196"/>
      <c r="I807" s="196"/>
      <c r="J807" s="196"/>
      <c r="K807" s="196"/>
      <c r="L807" s="196"/>
      <c r="M807" s="196"/>
      <c r="N807" s="196"/>
      <c r="O807" s="196"/>
      <c r="P807" s="196"/>
      <c r="Q807" s="196"/>
      <c r="R807" s="196"/>
      <c r="S807" s="196"/>
      <c r="T807" s="196"/>
      <c r="U807" s="196"/>
      <c r="V807" s="196"/>
      <c r="W807" s="196"/>
      <c r="X807" s="196"/>
      <c r="Y807" s="196"/>
      <c r="Z807" s="196"/>
      <c r="AA807" s="196"/>
      <c r="AB807" s="196"/>
    </row>
    <row r="808" spans="1:28" ht="12.9">
      <c r="A808" s="196"/>
      <c r="B808" s="143"/>
      <c r="C808" s="196"/>
      <c r="D808" s="196"/>
      <c r="E808" s="196"/>
      <c r="F808" s="220"/>
      <c r="G808" s="143"/>
      <c r="H808" s="196"/>
      <c r="I808" s="196"/>
      <c r="J808" s="196"/>
      <c r="K808" s="196"/>
      <c r="L808" s="196"/>
      <c r="M808" s="196"/>
      <c r="N808" s="196"/>
      <c r="O808" s="196"/>
      <c r="P808" s="196"/>
      <c r="Q808" s="196"/>
      <c r="R808" s="196"/>
      <c r="S808" s="196"/>
      <c r="T808" s="196"/>
      <c r="U808" s="196"/>
      <c r="V808" s="196"/>
      <c r="W808" s="196"/>
      <c r="X808" s="196"/>
      <c r="Y808" s="196"/>
      <c r="Z808" s="196"/>
      <c r="AA808" s="196"/>
      <c r="AB808" s="196"/>
    </row>
    <row r="809" spans="1:28" ht="12.9">
      <c r="A809" s="196"/>
      <c r="B809" s="143"/>
      <c r="C809" s="196"/>
      <c r="D809" s="196"/>
      <c r="E809" s="196"/>
      <c r="F809" s="220"/>
      <c r="G809" s="143"/>
      <c r="H809" s="196"/>
      <c r="I809" s="196"/>
      <c r="J809" s="196"/>
      <c r="K809" s="196"/>
      <c r="L809" s="196"/>
      <c r="M809" s="196"/>
      <c r="N809" s="196"/>
      <c r="O809" s="196"/>
      <c r="P809" s="196"/>
      <c r="Q809" s="196"/>
      <c r="R809" s="196"/>
      <c r="S809" s="196"/>
      <c r="T809" s="196"/>
      <c r="U809" s="196"/>
      <c r="V809" s="196"/>
      <c r="W809" s="196"/>
      <c r="X809" s="196"/>
      <c r="Y809" s="196"/>
      <c r="Z809" s="196"/>
      <c r="AA809" s="196"/>
      <c r="AB809" s="196"/>
    </row>
    <row r="810" spans="1:28" ht="12.9">
      <c r="A810" s="196"/>
      <c r="B810" s="143"/>
      <c r="C810" s="196"/>
      <c r="D810" s="196"/>
      <c r="E810" s="196"/>
      <c r="F810" s="220"/>
      <c r="G810" s="143"/>
      <c r="H810" s="196"/>
      <c r="I810" s="196"/>
      <c r="J810" s="196"/>
      <c r="K810" s="196"/>
      <c r="L810" s="196"/>
      <c r="M810" s="196"/>
      <c r="N810" s="196"/>
      <c r="O810" s="196"/>
      <c r="P810" s="196"/>
      <c r="Q810" s="196"/>
      <c r="R810" s="196"/>
      <c r="S810" s="196"/>
      <c r="T810" s="196"/>
      <c r="U810" s="196"/>
      <c r="V810" s="196"/>
      <c r="W810" s="196"/>
      <c r="X810" s="196"/>
      <c r="Y810" s="196"/>
      <c r="Z810" s="196"/>
      <c r="AA810" s="196"/>
      <c r="AB810" s="196"/>
    </row>
    <row r="811" spans="1:28" ht="12.9">
      <c r="A811" s="196"/>
      <c r="B811" s="143"/>
      <c r="C811" s="196"/>
      <c r="D811" s="196"/>
      <c r="E811" s="196"/>
      <c r="F811" s="220"/>
      <c r="G811" s="143"/>
      <c r="H811" s="196"/>
      <c r="I811" s="196"/>
      <c r="J811" s="196"/>
      <c r="K811" s="196"/>
      <c r="L811" s="196"/>
      <c r="M811" s="196"/>
      <c r="N811" s="196"/>
      <c r="O811" s="196"/>
      <c r="P811" s="196"/>
      <c r="Q811" s="196"/>
      <c r="R811" s="196"/>
      <c r="S811" s="196"/>
      <c r="T811" s="196"/>
      <c r="U811" s="196"/>
      <c r="V811" s="196"/>
      <c r="W811" s="196"/>
      <c r="X811" s="196"/>
      <c r="Y811" s="196"/>
      <c r="Z811" s="196"/>
      <c r="AA811" s="196"/>
      <c r="AB811" s="196"/>
    </row>
    <row r="812" spans="1:28" ht="12.9">
      <c r="A812" s="196"/>
      <c r="B812" s="143"/>
      <c r="C812" s="196"/>
      <c r="D812" s="196"/>
      <c r="E812" s="196"/>
      <c r="F812" s="220"/>
      <c r="G812" s="143"/>
      <c r="H812" s="196"/>
      <c r="I812" s="196"/>
      <c r="J812" s="196"/>
      <c r="K812" s="196"/>
      <c r="L812" s="196"/>
      <c r="M812" s="196"/>
      <c r="N812" s="196"/>
      <c r="O812" s="196"/>
      <c r="P812" s="196"/>
      <c r="Q812" s="196"/>
      <c r="R812" s="196"/>
      <c r="S812" s="196"/>
      <c r="T812" s="196"/>
      <c r="U812" s="196"/>
      <c r="V812" s="196"/>
      <c r="W812" s="196"/>
      <c r="X812" s="196"/>
      <c r="Y812" s="196"/>
      <c r="Z812" s="196"/>
      <c r="AA812" s="196"/>
      <c r="AB812" s="196"/>
    </row>
    <row r="813" spans="1:28" ht="12.9">
      <c r="A813" s="196"/>
      <c r="B813" s="143"/>
      <c r="C813" s="196"/>
      <c r="D813" s="196"/>
      <c r="E813" s="196"/>
      <c r="F813" s="220"/>
      <c r="G813" s="143"/>
      <c r="H813" s="196"/>
      <c r="I813" s="196"/>
      <c r="J813" s="196"/>
      <c r="K813" s="196"/>
      <c r="L813" s="196"/>
      <c r="M813" s="196"/>
      <c r="N813" s="196"/>
      <c r="O813" s="196"/>
      <c r="P813" s="196"/>
      <c r="Q813" s="196"/>
      <c r="R813" s="196"/>
      <c r="S813" s="196"/>
      <c r="T813" s="196"/>
      <c r="U813" s="196"/>
      <c r="V813" s="196"/>
      <c r="W813" s="196"/>
      <c r="X813" s="196"/>
      <c r="Y813" s="196"/>
      <c r="Z813" s="196"/>
      <c r="AA813" s="196"/>
      <c r="AB813" s="196"/>
    </row>
    <row r="814" spans="1:28" ht="12.9">
      <c r="A814" s="196"/>
      <c r="B814" s="143"/>
      <c r="C814" s="196"/>
      <c r="D814" s="196"/>
      <c r="E814" s="196"/>
      <c r="F814" s="220"/>
      <c r="G814" s="143"/>
      <c r="H814" s="196"/>
      <c r="I814" s="196"/>
      <c r="J814" s="196"/>
      <c r="K814" s="196"/>
      <c r="L814" s="196"/>
      <c r="M814" s="196"/>
      <c r="N814" s="196"/>
      <c r="O814" s="196"/>
      <c r="P814" s="196"/>
      <c r="Q814" s="196"/>
      <c r="R814" s="196"/>
      <c r="S814" s="196"/>
      <c r="T814" s="196"/>
      <c r="U814" s="196"/>
      <c r="V814" s="196"/>
      <c r="W814" s="196"/>
      <c r="X814" s="196"/>
      <c r="Y814" s="196"/>
      <c r="Z814" s="196"/>
      <c r="AA814" s="196"/>
      <c r="AB814" s="196"/>
    </row>
    <row r="815" spans="1:28" ht="12.9">
      <c r="A815" s="196"/>
      <c r="B815" s="143"/>
      <c r="C815" s="196"/>
      <c r="D815" s="196"/>
      <c r="E815" s="196"/>
      <c r="F815" s="220"/>
      <c r="G815" s="143"/>
      <c r="H815" s="196"/>
      <c r="I815" s="196"/>
      <c r="J815" s="196"/>
      <c r="K815" s="196"/>
      <c r="L815" s="196"/>
      <c r="M815" s="196"/>
      <c r="N815" s="196"/>
      <c r="O815" s="196"/>
      <c r="P815" s="196"/>
      <c r="Q815" s="196"/>
      <c r="R815" s="196"/>
      <c r="S815" s="196"/>
      <c r="T815" s="196"/>
      <c r="U815" s="196"/>
      <c r="V815" s="196"/>
      <c r="W815" s="196"/>
      <c r="X815" s="196"/>
      <c r="Y815" s="196"/>
      <c r="Z815" s="196"/>
      <c r="AA815" s="196"/>
      <c r="AB815" s="196"/>
    </row>
    <row r="816" spans="1:28" ht="12.9">
      <c r="A816" s="196"/>
      <c r="B816" s="143"/>
      <c r="C816" s="196"/>
      <c r="D816" s="196"/>
      <c r="E816" s="196"/>
      <c r="F816" s="220"/>
      <c r="G816" s="143"/>
      <c r="H816" s="196"/>
      <c r="I816" s="196"/>
      <c r="J816" s="196"/>
      <c r="K816" s="196"/>
      <c r="L816" s="196"/>
      <c r="M816" s="196"/>
      <c r="N816" s="196"/>
      <c r="O816" s="196"/>
      <c r="P816" s="196"/>
      <c r="Q816" s="196"/>
      <c r="R816" s="196"/>
      <c r="S816" s="196"/>
      <c r="T816" s="196"/>
      <c r="U816" s="196"/>
      <c r="V816" s="196"/>
      <c r="W816" s="196"/>
      <c r="X816" s="196"/>
      <c r="Y816" s="196"/>
      <c r="Z816" s="196"/>
      <c r="AA816" s="196"/>
      <c r="AB816" s="196"/>
    </row>
    <row r="817" spans="1:28" ht="12.9">
      <c r="A817" s="196"/>
      <c r="B817" s="143"/>
      <c r="C817" s="196"/>
      <c r="D817" s="196"/>
      <c r="E817" s="196"/>
      <c r="F817" s="220"/>
      <c r="G817" s="143"/>
      <c r="H817" s="196"/>
      <c r="I817" s="196"/>
      <c r="J817" s="196"/>
      <c r="K817" s="196"/>
      <c r="L817" s="196"/>
      <c r="M817" s="196"/>
      <c r="N817" s="196"/>
      <c r="O817" s="196"/>
      <c r="P817" s="196"/>
      <c r="Q817" s="196"/>
      <c r="R817" s="196"/>
      <c r="S817" s="196"/>
      <c r="T817" s="196"/>
      <c r="U817" s="196"/>
      <c r="V817" s="196"/>
      <c r="W817" s="196"/>
      <c r="X817" s="196"/>
      <c r="Y817" s="196"/>
      <c r="Z817" s="196"/>
      <c r="AA817" s="196"/>
      <c r="AB817" s="196"/>
    </row>
    <row r="818" spans="1:28" ht="12.9">
      <c r="A818" s="196"/>
      <c r="B818" s="143"/>
      <c r="C818" s="196"/>
      <c r="D818" s="196"/>
      <c r="E818" s="196"/>
      <c r="F818" s="220"/>
      <c r="G818" s="143"/>
      <c r="H818" s="196"/>
      <c r="I818" s="196"/>
      <c r="J818" s="196"/>
      <c r="K818" s="196"/>
      <c r="L818" s="196"/>
      <c r="M818" s="196"/>
      <c r="N818" s="196"/>
      <c r="O818" s="196"/>
      <c r="P818" s="196"/>
      <c r="Q818" s="196"/>
      <c r="R818" s="196"/>
      <c r="S818" s="196"/>
      <c r="T818" s="196"/>
      <c r="U818" s="196"/>
      <c r="V818" s="196"/>
      <c r="W818" s="196"/>
      <c r="X818" s="196"/>
      <c r="Y818" s="196"/>
      <c r="Z818" s="196"/>
      <c r="AA818" s="196"/>
      <c r="AB818" s="196"/>
    </row>
    <row r="819" spans="1:28" ht="12.9">
      <c r="A819" s="196"/>
      <c r="B819" s="143"/>
      <c r="C819" s="196"/>
      <c r="D819" s="196"/>
      <c r="E819" s="196"/>
      <c r="F819" s="220"/>
      <c r="G819" s="143"/>
      <c r="H819" s="196"/>
      <c r="I819" s="196"/>
      <c r="J819" s="196"/>
      <c r="K819" s="196"/>
      <c r="L819" s="196"/>
      <c r="M819" s="196"/>
      <c r="N819" s="196"/>
      <c r="O819" s="196"/>
      <c r="P819" s="196"/>
      <c r="Q819" s="196"/>
      <c r="R819" s="196"/>
      <c r="S819" s="196"/>
      <c r="T819" s="196"/>
      <c r="U819" s="196"/>
      <c r="V819" s="196"/>
      <c r="W819" s="196"/>
      <c r="X819" s="196"/>
      <c r="Y819" s="196"/>
      <c r="Z819" s="196"/>
      <c r="AA819" s="196"/>
      <c r="AB819" s="196"/>
    </row>
    <row r="820" spans="1:28" ht="12.9">
      <c r="A820" s="196"/>
      <c r="B820" s="143"/>
      <c r="C820" s="196"/>
      <c r="D820" s="196"/>
      <c r="E820" s="196"/>
      <c r="F820" s="220"/>
      <c r="G820" s="143"/>
      <c r="H820" s="196"/>
      <c r="I820" s="196"/>
      <c r="J820" s="196"/>
      <c r="K820" s="196"/>
      <c r="L820" s="196"/>
      <c r="M820" s="196"/>
      <c r="N820" s="196"/>
      <c r="O820" s="196"/>
      <c r="P820" s="196"/>
      <c r="Q820" s="196"/>
      <c r="R820" s="196"/>
      <c r="S820" s="196"/>
      <c r="T820" s="196"/>
      <c r="U820" s="196"/>
      <c r="V820" s="196"/>
      <c r="W820" s="196"/>
      <c r="X820" s="196"/>
      <c r="Y820" s="196"/>
      <c r="Z820" s="196"/>
      <c r="AA820" s="196"/>
      <c r="AB820" s="196"/>
    </row>
    <row r="821" spans="1:28" ht="12.9">
      <c r="A821" s="196"/>
      <c r="B821" s="143"/>
      <c r="C821" s="196"/>
      <c r="D821" s="196"/>
      <c r="E821" s="196"/>
      <c r="F821" s="220"/>
      <c r="G821" s="143"/>
      <c r="H821" s="196"/>
      <c r="I821" s="196"/>
      <c r="J821" s="196"/>
      <c r="K821" s="196"/>
      <c r="L821" s="196"/>
      <c r="M821" s="196"/>
      <c r="N821" s="196"/>
      <c r="O821" s="196"/>
      <c r="P821" s="196"/>
      <c r="Q821" s="196"/>
      <c r="R821" s="196"/>
      <c r="S821" s="196"/>
      <c r="T821" s="196"/>
      <c r="U821" s="196"/>
      <c r="V821" s="196"/>
      <c r="W821" s="196"/>
      <c r="X821" s="196"/>
      <c r="Y821" s="196"/>
      <c r="Z821" s="196"/>
      <c r="AA821" s="196"/>
      <c r="AB821" s="196"/>
    </row>
    <row r="822" spans="1:28" ht="12.9">
      <c r="A822" s="196"/>
      <c r="B822" s="143"/>
      <c r="C822" s="196"/>
      <c r="D822" s="196"/>
      <c r="E822" s="196"/>
      <c r="F822" s="220"/>
      <c r="G822" s="143"/>
      <c r="H822" s="196"/>
      <c r="I822" s="196"/>
      <c r="J822" s="196"/>
      <c r="K822" s="196"/>
      <c r="L822" s="196"/>
      <c r="M822" s="196"/>
      <c r="N822" s="196"/>
      <c r="O822" s="196"/>
      <c r="P822" s="196"/>
      <c r="Q822" s="196"/>
      <c r="R822" s="196"/>
      <c r="S822" s="196"/>
      <c r="T822" s="196"/>
      <c r="U822" s="196"/>
      <c r="V822" s="196"/>
      <c r="W822" s="196"/>
      <c r="X822" s="196"/>
      <c r="Y822" s="196"/>
      <c r="Z822" s="196"/>
      <c r="AA822" s="196"/>
      <c r="AB822" s="196"/>
    </row>
    <row r="823" spans="1:28" ht="12.9">
      <c r="A823" s="196"/>
      <c r="B823" s="143"/>
      <c r="C823" s="196"/>
      <c r="D823" s="196"/>
      <c r="E823" s="196"/>
      <c r="F823" s="220"/>
      <c r="G823" s="143"/>
      <c r="H823" s="196"/>
      <c r="I823" s="196"/>
      <c r="J823" s="196"/>
      <c r="K823" s="196"/>
      <c r="L823" s="196"/>
      <c r="M823" s="196"/>
      <c r="N823" s="196"/>
      <c r="O823" s="196"/>
      <c r="P823" s="196"/>
      <c r="Q823" s="196"/>
      <c r="R823" s="196"/>
      <c r="S823" s="196"/>
      <c r="T823" s="196"/>
      <c r="U823" s="196"/>
      <c r="V823" s="196"/>
      <c r="W823" s="196"/>
      <c r="X823" s="196"/>
      <c r="Y823" s="196"/>
      <c r="Z823" s="196"/>
      <c r="AA823" s="196"/>
      <c r="AB823" s="196"/>
    </row>
    <row r="824" spans="1:28" ht="12.9">
      <c r="A824" s="196"/>
      <c r="B824" s="143"/>
      <c r="C824" s="196"/>
      <c r="D824" s="196"/>
      <c r="E824" s="196"/>
      <c r="F824" s="220"/>
      <c r="G824" s="143"/>
      <c r="H824" s="196"/>
      <c r="I824" s="196"/>
      <c r="J824" s="196"/>
      <c r="K824" s="196"/>
      <c r="L824" s="196"/>
      <c r="M824" s="196"/>
      <c r="N824" s="196"/>
      <c r="O824" s="196"/>
      <c r="P824" s="196"/>
      <c r="Q824" s="196"/>
      <c r="R824" s="196"/>
      <c r="S824" s="196"/>
      <c r="T824" s="196"/>
      <c r="U824" s="196"/>
      <c r="V824" s="196"/>
      <c r="W824" s="196"/>
      <c r="X824" s="196"/>
      <c r="Y824" s="196"/>
      <c r="Z824" s="196"/>
      <c r="AA824" s="196"/>
      <c r="AB824" s="196"/>
    </row>
    <row r="825" spans="1:28" ht="12.9">
      <c r="A825" s="196"/>
      <c r="B825" s="143"/>
      <c r="C825" s="196"/>
      <c r="D825" s="196"/>
      <c r="E825" s="196"/>
      <c r="F825" s="220"/>
      <c r="G825" s="143"/>
      <c r="H825" s="196"/>
      <c r="I825" s="196"/>
      <c r="J825" s="196"/>
      <c r="K825" s="196"/>
      <c r="L825" s="196"/>
      <c r="M825" s="196"/>
      <c r="N825" s="196"/>
      <c r="O825" s="196"/>
      <c r="P825" s="196"/>
      <c r="Q825" s="196"/>
      <c r="R825" s="196"/>
      <c r="S825" s="196"/>
      <c r="T825" s="196"/>
      <c r="U825" s="196"/>
      <c r="V825" s="196"/>
      <c r="W825" s="196"/>
      <c r="X825" s="196"/>
      <c r="Y825" s="196"/>
      <c r="Z825" s="196"/>
      <c r="AA825" s="196"/>
      <c r="AB825" s="196"/>
    </row>
    <row r="826" spans="1:28" ht="12.9">
      <c r="A826" s="196"/>
      <c r="B826" s="143"/>
      <c r="C826" s="196"/>
      <c r="D826" s="196"/>
      <c r="E826" s="196"/>
      <c r="F826" s="220"/>
      <c r="G826" s="143"/>
      <c r="H826" s="196"/>
      <c r="I826" s="196"/>
      <c r="J826" s="196"/>
      <c r="K826" s="196"/>
      <c r="L826" s="196"/>
      <c r="M826" s="196"/>
      <c r="N826" s="196"/>
      <c r="O826" s="196"/>
      <c r="P826" s="196"/>
      <c r="Q826" s="196"/>
      <c r="R826" s="196"/>
      <c r="S826" s="196"/>
      <c r="T826" s="196"/>
      <c r="U826" s="196"/>
      <c r="V826" s="196"/>
      <c r="W826" s="196"/>
      <c r="X826" s="196"/>
      <c r="Y826" s="196"/>
      <c r="Z826" s="196"/>
      <c r="AA826" s="196"/>
      <c r="AB826" s="196"/>
    </row>
    <row r="827" spans="1:28" ht="12.9">
      <c r="A827" s="196"/>
      <c r="B827" s="143"/>
      <c r="C827" s="196"/>
      <c r="D827" s="196"/>
      <c r="E827" s="196"/>
      <c r="F827" s="220"/>
      <c r="G827" s="143"/>
      <c r="H827" s="196"/>
      <c r="I827" s="196"/>
      <c r="J827" s="196"/>
      <c r="K827" s="196"/>
      <c r="L827" s="196"/>
      <c r="M827" s="196"/>
      <c r="N827" s="196"/>
      <c r="O827" s="196"/>
      <c r="P827" s="196"/>
      <c r="Q827" s="196"/>
      <c r="R827" s="196"/>
      <c r="S827" s="196"/>
      <c r="T827" s="196"/>
      <c r="U827" s="196"/>
      <c r="V827" s="196"/>
      <c r="W827" s="196"/>
      <c r="X827" s="196"/>
      <c r="Y827" s="196"/>
      <c r="Z827" s="196"/>
      <c r="AA827" s="196"/>
      <c r="AB827" s="196"/>
    </row>
    <row r="828" spans="1:28" ht="12.9">
      <c r="A828" s="196"/>
      <c r="B828" s="143"/>
      <c r="C828" s="196"/>
      <c r="D828" s="196"/>
      <c r="E828" s="196"/>
      <c r="F828" s="220"/>
      <c r="G828" s="143"/>
      <c r="H828" s="196"/>
      <c r="I828" s="196"/>
      <c r="J828" s="196"/>
      <c r="K828" s="196"/>
      <c r="L828" s="196"/>
      <c r="M828" s="196"/>
      <c r="N828" s="196"/>
      <c r="O828" s="196"/>
      <c r="P828" s="196"/>
      <c r="Q828" s="196"/>
      <c r="R828" s="196"/>
      <c r="S828" s="196"/>
      <c r="T828" s="196"/>
      <c r="U828" s="196"/>
      <c r="V828" s="196"/>
      <c r="W828" s="196"/>
      <c r="X828" s="196"/>
      <c r="Y828" s="196"/>
      <c r="Z828" s="196"/>
      <c r="AA828" s="196"/>
      <c r="AB828" s="196"/>
    </row>
    <row r="829" spans="1:28" ht="12.9">
      <c r="A829" s="196"/>
      <c r="B829" s="143"/>
      <c r="C829" s="196"/>
      <c r="D829" s="196"/>
      <c r="E829" s="196"/>
      <c r="F829" s="220"/>
      <c r="G829" s="143"/>
      <c r="H829" s="196"/>
      <c r="I829" s="196"/>
      <c r="J829" s="196"/>
      <c r="K829" s="196"/>
      <c r="L829" s="196"/>
      <c r="M829" s="196"/>
      <c r="N829" s="196"/>
      <c r="O829" s="196"/>
      <c r="P829" s="196"/>
      <c r="Q829" s="196"/>
      <c r="R829" s="196"/>
      <c r="S829" s="196"/>
      <c r="T829" s="196"/>
      <c r="U829" s="196"/>
      <c r="V829" s="196"/>
      <c r="W829" s="196"/>
      <c r="X829" s="196"/>
      <c r="Y829" s="196"/>
      <c r="Z829" s="196"/>
      <c r="AA829" s="196"/>
      <c r="AB829" s="196"/>
    </row>
    <row r="830" spans="1:28" ht="12.9">
      <c r="A830" s="196"/>
      <c r="B830" s="143"/>
      <c r="C830" s="196"/>
      <c r="D830" s="196"/>
      <c r="E830" s="196"/>
      <c r="F830" s="220"/>
      <c r="G830" s="143"/>
      <c r="H830" s="196"/>
      <c r="I830" s="196"/>
      <c r="J830" s="196"/>
      <c r="K830" s="196"/>
      <c r="L830" s="196"/>
      <c r="M830" s="196"/>
      <c r="N830" s="196"/>
      <c r="O830" s="196"/>
      <c r="P830" s="196"/>
      <c r="Q830" s="196"/>
      <c r="R830" s="196"/>
      <c r="S830" s="196"/>
      <c r="T830" s="196"/>
      <c r="U830" s="196"/>
      <c r="V830" s="196"/>
      <c r="W830" s="196"/>
      <c r="X830" s="196"/>
      <c r="Y830" s="196"/>
      <c r="Z830" s="196"/>
      <c r="AA830" s="196"/>
      <c r="AB830" s="196"/>
    </row>
    <row r="831" spans="1:28" ht="12.9">
      <c r="A831" s="196"/>
      <c r="B831" s="143"/>
      <c r="C831" s="196"/>
      <c r="D831" s="196"/>
      <c r="E831" s="196"/>
      <c r="F831" s="220"/>
      <c r="G831" s="143"/>
      <c r="H831" s="196"/>
      <c r="I831" s="196"/>
      <c r="J831" s="196"/>
      <c r="K831" s="196"/>
      <c r="L831" s="196"/>
      <c r="M831" s="196"/>
      <c r="N831" s="196"/>
      <c r="O831" s="196"/>
      <c r="P831" s="196"/>
      <c r="Q831" s="196"/>
      <c r="R831" s="196"/>
      <c r="S831" s="196"/>
      <c r="T831" s="196"/>
      <c r="U831" s="196"/>
      <c r="V831" s="196"/>
      <c r="W831" s="196"/>
      <c r="X831" s="196"/>
      <c r="Y831" s="196"/>
      <c r="Z831" s="196"/>
      <c r="AA831" s="196"/>
      <c r="AB831" s="196"/>
    </row>
    <row r="832" spans="1:28" ht="12.9">
      <c r="A832" s="196"/>
      <c r="B832" s="143"/>
      <c r="C832" s="196"/>
      <c r="D832" s="196"/>
      <c r="E832" s="196"/>
      <c r="F832" s="220"/>
      <c r="G832" s="143"/>
      <c r="H832" s="196"/>
      <c r="I832" s="196"/>
      <c r="J832" s="196"/>
      <c r="K832" s="196"/>
      <c r="L832" s="196"/>
      <c r="M832" s="196"/>
      <c r="N832" s="196"/>
      <c r="O832" s="196"/>
      <c r="P832" s="196"/>
      <c r="Q832" s="196"/>
      <c r="R832" s="196"/>
      <c r="S832" s="196"/>
      <c r="T832" s="196"/>
      <c r="U832" s="196"/>
      <c r="V832" s="196"/>
      <c r="W832" s="196"/>
      <c r="X832" s="196"/>
      <c r="Y832" s="196"/>
      <c r="Z832" s="196"/>
      <c r="AA832" s="196"/>
      <c r="AB832" s="196"/>
    </row>
    <row r="833" spans="1:28" ht="12.9">
      <c r="A833" s="196"/>
      <c r="B833" s="143"/>
      <c r="C833" s="196"/>
      <c r="D833" s="196"/>
      <c r="E833" s="196"/>
      <c r="F833" s="220"/>
      <c r="G833" s="143"/>
      <c r="H833" s="196"/>
      <c r="I833" s="196"/>
      <c r="J833" s="196"/>
      <c r="K833" s="196"/>
      <c r="L833" s="196"/>
      <c r="M833" s="196"/>
      <c r="N833" s="196"/>
      <c r="O833" s="196"/>
      <c r="P833" s="196"/>
      <c r="Q833" s="196"/>
      <c r="R833" s="196"/>
      <c r="S833" s="196"/>
      <c r="T833" s="196"/>
      <c r="U833" s="196"/>
      <c r="V833" s="196"/>
      <c r="W833" s="196"/>
      <c r="X833" s="196"/>
      <c r="Y833" s="196"/>
      <c r="Z833" s="196"/>
      <c r="AA833" s="196"/>
      <c r="AB833" s="196"/>
    </row>
    <row r="834" spans="1:28" ht="12.9">
      <c r="A834" s="196"/>
      <c r="B834" s="143"/>
      <c r="C834" s="196"/>
      <c r="D834" s="196"/>
      <c r="E834" s="196"/>
      <c r="F834" s="220"/>
      <c r="G834" s="143"/>
      <c r="H834" s="196"/>
      <c r="I834" s="196"/>
      <c r="J834" s="196"/>
      <c r="K834" s="196"/>
      <c r="L834" s="196"/>
      <c r="M834" s="196"/>
      <c r="N834" s="196"/>
      <c r="O834" s="196"/>
      <c r="P834" s="196"/>
      <c r="Q834" s="196"/>
      <c r="R834" s="196"/>
      <c r="S834" s="196"/>
      <c r="T834" s="196"/>
      <c r="U834" s="196"/>
      <c r="V834" s="196"/>
      <c r="W834" s="196"/>
      <c r="X834" s="196"/>
      <c r="Y834" s="196"/>
      <c r="Z834" s="196"/>
      <c r="AA834" s="196"/>
      <c r="AB834" s="196"/>
    </row>
    <row r="835" spans="1:28" ht="12.9">
      <c r="A835" s="196"/>
      <c r="B835" s="143"/>
      <c r="C835" s="196"/>
      <c r="D835" s="196"/>
      <c r="E835" s="196"/>
      <c r="F835" s="220"/>
      <c r="G835" s="143"/>
      <c r="H835" s="196"/>
      <c r="I835" s="196"/>
      <c r="J835" s="196"/>
      <c r="K835" s="196"/>
      <c r="L835" s="196"/>
      <c r="M835" s="196"/>
      <c r="N835" s="196"/>
      <c r="O835" s="196"/>
      <c r="P835" s="196"/>
      <c r="Q835" s="196"/>
      <c r="R835" s="196"/>
      <c r="S835" s="196"/>
      <c r="T835" s="196"/>
      <c r="U835" s="196"/>
      <c r="V835" s="196"/>
      <c r="W835" s="196"/>
      <c r="X835" s="196"/>
      <c r="Y835" s="196"/>
      <c r="Z835" s="196"/>
      <c r="AA835" s="196"/>
      <c r="AB835" s="196"/>
    </row>
    <row r="836" spans="1:28" ht="12.9">
      <c r="A836" s="196"/>
      <c r="B836" s="143"/>
      <c r="C836" s="196"/>
      <c r="D836" s="196"/>
      <c r="E836" s="196"/>
      <c r="F836" s="220"/>
      <c r="G836" s="143"/>
      <c r="H836" s="196"/>
      <c r="I836" s="196"/>
      <c r="J836" s="196"/>
      <c r="K836" s="196"/>
      <c r="L836" s="196"/>
      <c r="M836" s="196"/>
      <c r="N836" s="196"/>
      <c r="O836" s="196"/>
      <c r="P836" s="196"/>
      <c r="Q836" s="196"/>
      <c r="R836" s="196"/>
      <c r="S836" s="196"/>
      <c r="T836" s="196"/>
      <c r="U836" s="196"/>
      <c r="V836" s="196"/>
      <c r="W836" s="196"/>
      <c r="X836" s="196"/>
      <c r="Y836" s="196"/>
      <c r="Z836" s="196"/>
      <c r="AA836" s="196"/>
      <c r="AB836" s="196"/>
    </row>
    <row r="837" spans="1:28" ht="12.9">
      <c r="A837" s="196"/>
      <c r="B837" s="143"/>
      <c r="C837" s="196"/>
      <c r="D837" s="196"/>
      <c r="E837" s="196"/>
      <c r="F837" s="220"/>
      <c r="G837" s="143"/>
      <c r="H837" s="196"/>
      <c r="I837" s="196"/>
      <c r="J837" s="196"/>
      <c r="K837" s="196"/>
      <c r="L837" s="196"/>
      <c r="M837" s="196"/>
      <c r="N837" s="196"/>
      <c r="O837" s="196"/>
      <c r="P837" s="196"/>
      <c r="Q837" s="196"/>
      <c r="R837" s="196"/>
      <c r="S837" s="196"/>
      <c r="T837" s="196"/>
      <c r="U837" s="196"/>
      <c r="V837" s="196"/>
      <c r="W837" s="196"/>
      <c r="X837" s="196"/>
      <c r="Y837" s="196"/>
      <c r="Z837" s="196"/>
      <c r="AA837" s="196"/>
      <c r="AB837" s="196"/>
    </row>
    <row r="838" spans="1:28" ht="12.9">
      <c r="A838" s="196"/>
      <c r="B838" s="143"/>
      <c r="C838" s="196"/>
      <c r="D838" s="196"/>
      <c r="E838" s="196"/>
      <c r="F838" s="220"/>
      <c r="G838" s="143"/>
      <c r="H838" s="196"/>
      <c r="I838" s="196"/>
      <c r="J838" s="196"/>
      <c r="K838" s="196"/>
      <c r="L838" s="196"/>
      <c r="M838" s="196"/>
      <c r="N838" s="196"/>
      <c r="O838" s="196"/>
      <c r="P838" s="196"/>
      <c r="Q838" s="196"/>
      <c r="R838" s="196"/>
      <c r="S838" s="196"/>
      <c r="T838" s="196"/>
      <c r="U838" s="196"/>
      <c r="V838" s="196"/>
      <c r="W838" s="196"/>
      <c r="X838" s="196"/>
      <c r="Y838" s="196"/>
      <c r="Z838" s="196"/>
      <c r="AA838" s="196"/>
      <c r="AB838" s="196"/>
    </row>
    <row r="839" spans="1:28" ht="12.9">
      <c r="A839" s="196"/>
      <c r="B839" s="143"/>
      <c r="C839" s="196"/>
      <c r="D839" s="196"/>
      <c r="E839" s="196"/>
      <c r="F839" s="220"/>
      <c r="G839" s="143"/>
      <c r="H839" s="196"/>
      <c r="I839" s="196"/>
      <c r="J839" s="196"/>
      <c r="K839" s="196"/>
      <c r="L839" s="196"/>
      <c r="M839" s="196"/>
      <c r="N839" s="196"/>
      <c r="O839" s="196"/>
      <c r="P839" s="196"/>
      <c r="Q839" s="196"/>
      <c r="R839" s="196"/>
      <c r="S839" s="196"/>
      <c r="T839" s="196"/>
      <c r="U839" s="196"/>
      <c r="V839" s="196"/>
      <c r="W839" s="196"/>
      <c r="X839" s="196"/>
      <c r="Y839" s="196"/>
      <c r="Z839" s="196"/>
      <c r="AA839" s="196"/>
      <c r="AB839" s="196"/>
    </row>
    <row r="840" spans="1:28" ht="12.9">
      <c r="A840" s="196"/>
      <c r="B840" s="143"/>
      <c r="C840" s="196"/>
      <c r="D840" s="196"/>
      <c r="E840" s="196"/>
      <c r="F840" s="220"/>
      <c r="G840" s="143"/>
      <c r="H840" s="196"/>
      <c r="I840" s="196"/>
      <c r="J840" s="196"/>
      <c r="K840" s="196"/>
      <c r="L840" s="196"/>
      <c r="M840" s="196"/>
      <c r="N840" s="196"/>
      <c r="O840" s="196"/>
      <c r="P840" s="196"/>
      <c r="Q840" s="196"/>
      <c r="R840" s="196"/>
      <c r="S840" s="196"/>
      <c r="T840" s="196"/>
      <c r="U840" s="196"/>
      <c r="V840" s="196"/>
      <c r="W840" s="196"/>
      <c r="X840" s="196"/>
      <c r="Y840" s="196"/>
      <c r="Z840" s="196"/>
      <c r="AA840" s="196"/>
      <c r="AB840" s="196"/>
    </row>
    <row r="841" spans="1:28" ht="12.9">
      <c r="A841" s="196"/>
      <c r="B841" s="143"/>
      <c r="C841" s="196"/>
      <c r="D841" s="196"/>
      <c r="E841" s="196"/>
      <c r="F841" s="220"/>
      <c r="G841" s="143"/>
      <c r="H841" s="196"/>
      <c r="I841" s="196"/>
      <c r="J841" s="196"/>
      <c r="K841" s="196"/>
      <c r="L841" s="196"/>
      <c r="M841" s="196"/>
      <c r="N841" s="196"/>
      <c r="O841" s="196"/>
      <c r="P841" s="196"/>
      <c r="Q841" s="196"/>
      <c r="R841" s="196"/>
      <c r="S841" s="196"/>
      <c r="T841" s="196"/>
      <c r="U841" s="196"/>
      <c r="V841" s="196"/>
      <c r="W841" s="196"/>
      <c r="X841" s="196"/>
      <c r="Y841" s="196"/>
      <c r="Z841" s="196"/>
      <c r="AA841" s="196"/>
      <c r="AB841" s="196"/>
    </row>
    <row r="842" spans="1:28" ht="12.9">
      <c r="A842" s="196"/>
      <c r="B842" s="143"/>
      <c r="C842" s="196"/>
      <c r="D842" s="196"/>
      <c r="E842" s="196"/>
      <c r="F842" s="220"/>
      <c r="G842" s="143"/>
      <c r="H842" s="196"/>
      <c r="I842" s="196"/>
      <c r="J842" s="196"/>
      <c r="K842" s="196"/>
      <c r="L842" s="196"/>
      <c r="M842" s="196"/>
      <c r="N842" s="196"/>
      <c r="O842" s="196"/>
      <c r="P842" s="196"/>
      <c r="Q842" s="196"/>
      <c r="R842" s="196"/>
      <c r="S842" s="196"/>
      <c r="T842" s="196"/>
      <c r="U842" s="196"/>
      <c r="V842" s="196"/>
      <c r="W842" s="196"/>
      <c r="X842" s="196"/>
      <c r="Y842" s="196"/>
      <c r="Z842" s="196"/>
      <c r="AA842" s="196"/>
      <c r="AB842" s="196"/>
    </row>
    <row r="843" spans="1:28" ht="12.9">
      <c r="A843" s="196"/>
      <c r="B843" s="143"/>
      <c r="C843" s="196"/>
      <c r="D843" s="196"/>
      <c r="E843" s="196"/>
      <c r="F843" s="220"/>
      <c r="G843" s="143"/>
      <c r="H843" s="196"/>
      <c r="I843" s="196"/>
      <c r="J843" s="196"/>
      <c r="K843" s="196"/>
      <c r="L843" s="196"/>
      <c r="M843" s="196"/>
      <c r="N843" s="196"/>
      <c r="O843" s="196"/>
      <c r="P843" s="196"/>
      <c r="Q843" s="196"/>
      <c r="R843" s="196"/>
      <c r="S843" s="196"/>
      <c r="T843" s="196"/>
      <c r="U843" s="196"/>
      <c r="V843" s="196"/>
      <c r="W843" s="196"/>
      <c r="X843" s="196"/>
      <c r="Y843" s="196"/>
      <c r="Z843" s="196"/>
      <c r="AA843" s="196"/>
      <c r="AB843" s="196"/>
    </row>
    <row r="844" spans="1:28" ht="12.9">
      <c r="A844" s="196"/>
      <c r="B844" s="143"/>
      <c r="C844" s="196"/>
      <c r="D844" s="196"/>
      <c r="E844" s="196"/>
      <c r="F844" s="220"/>
      <c r="G844" s="143"/>
      <c r="H844" s="196"/>
      <c r="I844" s="196"/>
      <c r="J844" s="196"/>
      <c r="K844" s="196"/>
      <c r="L844" s="196"/>
      <c r="M844" s="196"/>
      <c r="N844" s="196"/>
      <c r="O844" s="196"/>
      <c r="P844" s="196"/>
      <c r="Q844" s="196"/>
      <c r="R844" s="196"/>
      <c r="S844" s="196"/>
      <c r="T844" s="196"/>
      <c r="U844" s="196"/>
      <c r="V844" s="196"/>
      <c r="W844" s="196"/>
      <c r="X844" s="196"/>
      <c r="Y844" s="196"/>
      <c r="Z844" s="196"/>
      <c r="AA844" s="196"/>
      <c r="AB844" s="196"/>
    </row>
    <row r="845" spans="1:28" ht="12.9">
      <c r="A845" s="196"/>
      <c r="B845" s="143"/>
      <c r="C845" s="196"/>
      <c r="D845" s="196"/>
      <c r="E845" s="196"/>
      <c r="F845" s="220"/>
      <c r="G845" s="143"/>
      <c r="H845" s="196"/>
      <c r="I845" s="196"/>
      <c r="J845" s="196"/>
      <c r="K845" s="196"/>
      <c r="L845" s="196"/>
      <c r="M845" s="196"/>
      <c r="N845" s="196"/>
      <c r="O845" s="196"/>
      <c r="P845" s="196"/>
      <c r="Q845" s="196"/>
      <c r="R845" s="196"/>
      <c r="S845" s="196"/>
      <c r="T845" s="196"/>
      <c r="U845" s="196"/>
      <c r="V845" s="196"/>
      <c r="W845" s="196"/>
      <c r="X845" s="196"/>
      <c r="Y845" s="196"/>
      <c r="Z845" s="196"/>
      <c r="AA845" s="196"/>
      <c r="AB845" s="196"/>
    </row>
    <row r="846" spans="1:28" ht="12.9">
      <c r="A846" s="196"/>
      <c r="B846" s="143"/>
      <c r="C846" s="196"/>
      <c r="D846" s="196"/>
      <c r="E846" s="196"/>
      <c r="F846" s="220"/>
      <c r="G846" s="143"/>
      <c r="H846" s="196"/>
      <c r="I846" s="196"/>
      <c r="J846" s="196"/>
      <c r="K846" s="196"/>
      <c r="L846" s="196"/>
      <c r="M846" s="196"/>
      <c r="N846" s="196"/>
      <c r="O846" s="196"/>
      <c r="P846" s="196"/>
      <c r="Q846" s="196"/>
      <c r="R846" s="196"/>
      <c r="S846" s="196"/>
      <c r="T846" s="196"/>
      <c r="U846" s="196"/>
      <c r="V846" s="196"/>
      <c r="W846" s="196"/>
      <c r="X846" s="196"/>
      <c r="Y846" s="196"/>
      <c r="Z846" s="196"/>
      <c r="AA846" s="196"/>
      <c r="AB846" s="196"/>
    </row>
    <row r="847" spans="1:28" ht="12.9">
      <c r="A847" s="196"/>
      <c r="B847" s="143"/>
      <c r="C847" s="196"/>
      <c r="D847" s="196"/>
      <c r="E847" s="196"/>
      <c r="F847" s="220"/>
      <c r="G847" s="143"/>
      <c r="H847" s="196"/>
      <c r="I847" s="196"/>
      <c r="J847" s="196"/>
      <c r="K847" s="196"/>
      <c r="L847" s="196"/>
      <c r="M847" s="196"/>
      <c r="N847" s="196"/>
      <c r="O847" s="196"/>
      <c r="P847" s="196"/>
      <c r="Q847" s="196"/>
      <c r="R847" s="196"/>
      <c r="S847" s="196"/>
      <c r="T847" s="196"/>
      <c r="U847" s="196"/>
      <c r="V847" s="196"/>
      <c r="W847" s="196"/>
      <c r="X847" s="196"/>
      <c r="Y847" s="196"/>
      <c r="Z847" s="196"/>
      <c r="AA847" s="196"/>
      <c r="AB847" s="196"/>
    </row>
    <row r="848" spans="1:28" ht="12.9">
      <c r="A848" s="196"/>
      <c r="B848" s="143"/>
      <c r="C848" s="196"/>
      <c r="D848" s="196"/>
      <c r="E848" s="196"/>
      <c r="F848" s="220"/>
      <c r="G848" s="143"/>
      <c r="H848" s="196"/>
      <c r="I848" s="196"/>
      <c r="J848" s="196"/>
      <c r="K848" s="196"/>
      <c r="L848" s="196"/>
      <c r="M848" s="196"/>
      <c r="N848" s="196"/>
      <c r="O848" s="196"/>
      <c r="P848" s="196"/>
      <c r="Q848" s="196"/>
      <c r="R848" s="196"/>
      <c r="S848" s="196"/>
      <c r="T848" s="196"/>
      <c r="U848" s="196"/>
      <c r="V848" s="196"/>
      <c r="W848" s="196"/>
      <c r="X848" s="196"/>
      <c r="Y848" s="196"/>
      <c r="Z848" s="196"/>
      <c r="AA848" s="196"/>
      <c r="AB848" s="196"/>
    </row>
    <row r="849" spans="1:28" ht="12.9">
      <c r="A849" s="196"/>
      <c r="B849" s="143"/>
      <c r="C849" s="196"/>
      <c r="D849" s="196"/>
      <c r="E849" s="196"/>
      <c r="F849" s="220"/>
      <c r="G849" s="143"/>
      <c r="H849" s="196"/>
      <c r="I849" s="196"/>
      <c r="J849" s="196"/>
      <c r="K849" s="196"/>
      <c r="L849" s="196"/>
      <c r="M849" s="196"/>
      <c r="N849" s="196"/>
      <c r="O849" s="196"/>
      <c r="P849" s="196"/>
      <c r="Q849" s="196"/>
      <c r="R849" s="196"/>
      <c r="S849" s="196"/>
      <c r="T849" s="196"/>
      <c r="U849" s="196"/>
      <c r="V849" s="196"/>
      <c r="W849" s="196"/>
      <c r="X849" s="196"/>
      <c r="Y849" s="196"/>
      <c r="Z849" s="196"/>
      <c r="AA849" s="196"/>
      <c r="AB849" s="196"/>
    </row>
    <row r="850" spans="1:28" ht="12.9">
      <c r="A850" s="196"/>
      <c r="B850" s="143"/>
      <c r="C850" s="196"/>
      <c r="D850" s="196"/>
      <c r="E850" s="196"/>
      <c r="F850" s="220"/>
      <c r="G850" s="143"/>
      <c r="H850" s="196"/>
      <c r="I850" s="196"/>
      <c r="J850" s="196"/>
      <c r="K850" s="196"/>
      <c r="L850" s="196"/>
      <c r="M850" s="196"/>
      <c r="N850" s="196"/>
      <c r="O850" s="196"/>
      <c r="P850" s="196"/>
      <c r="Q850" s="196"/>
      <c r="R850" s="196"/>
      <c r="S850" s="196"/>
      <c r="T850" s="196"/>
      <c r="U850" s="196"/>
      <c r="V850" s="196"/>
      <c r="W850" s="196"/>
      <c r="X850" s="196"/>
      <c r="Y850" s="196"/>
      <c r="Z850" s="196"/>
      <c r="AA850" s="196"/>
      <c r="AB850" s="196"/>
    </row>
    <row r="851" spans="1:28" ht="12.9">
      <c r="A851" s="196"/>
      <c r="B851" s="143"/>
      <c r="C851" s="196"/>
      <c r="D851" s="196"/>
      <c r="E851" s="196"/>
      <c r="F851" s="220"/>
      <c r="G851" s="143"/>
      <c r="H851" s="196"/>
      <c r="I851" s="196"/>
      <c r="J851" s="196"/>
      <c r="K851" s="196"/>
      <c r="L851" s="196"/>
      <c r="M851" s="196"/>
      <c r="N851" s="196"/>
      <c r="O851" s="196"/>
      <c r="P851" s="196"/>
      <c r="Q851" s="196"/>
      <c r="R851" s="196"/>
      <c r="S851" s="196"/>
      <c r="T851" s="196"/>
      <c r="U851" s="196"/>
      <c r="V851" s="196"/>
      <c r="W851" s="196"/>
      <c r="X851" s="196"/>
      <c r="Y851" s="196"/>
      <c r="Z851" s="196"/>
      <c r="AA851" s="196"/>
      <c r="AB851" s="196"/>
    </row>
    <row r="852" spans="1:28" ht="12.9">
      <c r="A852" s="196"/>
      <c r="B852" s="143"/>
      <c r="C852" s="196"/>
      <c r="D852" s="196"/>
      <c r="E852" s="196"/>
      <c r="F852" s="220"/>
      <c r="G852" s="143"/>
      <c r="H852" s="196"/>
      <c r="I852" s="196"/>
      <c r="J852" s="196"/>
      <c r="K852" s="196"/>
      <c r="L852" s="196"/>
      <c r="M852" s="196"/>
      <c r="N852" s="196"/>
      <c r="O852" s="196"/>
      <c r="P852" s="196"/>
      <c r="Q852" s="196"/>
      <c r="R852" s="196"/>
      <c r="S852" s="196"/>
      <c r="T852" s="196"/>
      <c r="U852" s="196"/>
      <c r="V852" s="196"/>
      <c r="W852" s="196"/>
      <c r="X852" s="196"/>
      <c r="Y852" s="196"/>
      <c r="Z852" s="196"/>
      <c r="AA852" s="196"/>
      <c r="AB852" s="196"/>
    </row>
    <row r="853" spans="1:28" ht="12.9">
      <c r="A853" s="196"/>
      <c r="B853" s="143"/>
      <c r="C853" s="196"/>
      <c r="D853" s="196"/>
      <c r="E853" s="196"/>
      <c r="F853" s="220"/>
      <c r="G853" s="143"/>
      <c r="H853" s="196"/>
      <c r="I853" s="196"/>
      <c r="J853" s="196"/>
      <c r="K853" s="196"/>
      <c r="L853" s="196"/>
      <c r="M853" s="196"/>
      <c r="N853" s="196"/>
      <c r="O853" s="196"/>
      <c r="P853" s="196"/>
      <c r="Q853" s="196"/>
      <c r="R853" s="196"/>
      <c r="S853" s="196"/>
      <c r="T853" s="196"/>
      <c r="U853" s="196"/>
      <c r="V853" s="196"/>
      <c r="W853" s="196"/>
      <c r="X853" s="196"/>
      <c r="Y853" s="196"/>
      <c r="Z853" s="196"/>
      <c r="AA853" s="196"/>
      <c r="AB853" s="196"/>
    </row>
    <row r="854" spans="1:28" ht="12.9">
      <c r="A854" s="196"/>
      <c r="B854" s="143"/>
      <c r="C854" s="196"/>
      <c r="D854" s="196"/>
      <c r="E854" s="196"/>
      <c r="F854" s="220"/>
      <c r="G854" s="143"/>
      <c r="H854" s="196"/>
      <c r="I854" s="196"/>
      <c r="J854" s="196"/>
      <c r="K854" s="196"/>
      <c r="L854" s="196"/>
      <c r="M854" s="196"/>
      <c r="N854" s="196"/>
      <c r="O854" s="196"/>
      <c r="P854" s="196"/>
      <c r="Q854" s="196"/>
      <c r="R854" s="196"/>
      <c r="S854" s="196"/>
      <c r="T854" s="196"/>
      <c r="U854" s="196"/>
      <c r="V854" s="196"/>
      <c r="W854" s="196"/>
      <c r="X854" s="196"/>
      <c r="Y854" s="196"/>
      <c r="Z854" s="196"/>
      <c r="AA854" s="196"/>
      <c r="AB854" s="196"/>
    </row>
    <row r="855" spans="1:28" ht="12.9">
      <c r="A855" s="196"/>
      <c r="B855" s="143"/>
      <c r="C855" s="196"/>
      <c r="D855" s="196"/>
      <c r="E855" s="196"/>
      <c r="F855" s="220"/>
      <c r="G855" s="143"/>
      <c r="H855" s="196"/>
      <c r="I855" s="196"/>
      <c r="J855" s="196"/>
      <c r="K855" s="196"/>
      <c r="L855" s="196"/>
      <c r="M855" s="196"/>
      <c r="N855" s="196"/>
      <c r="O855" s="196"/>
      <c r="P855" s="196"/>
      <c r="Q855" s="196"/>
      <c r="R855" s="196"/>
      <c r="S855" s="196"/>
      <c r="T855" s="196"/>
      <c r="U855" s="196"/>
      <c r="V855" s="196"/>
      <c r="W855" s="196"/>
      <c r="X855" s="196"/>
      <c r="Y855" s="196"/>
      <c r="Z855" s="196"/>
      <c r="AA855" s="196"/>
      <c r="AB855" s="196"/>
    </row>
    <row r="856" spans="1:28" ht="12.9">
      <c r="A856" s="196"/>
      <c r="B856" s="143"/>
      <c r="C856" s="196"/>
      <c r="D856" s="196"/>
      <c r="E856" s="196"/>
      <c r="F856" s="220"/>
      <c r="G856" s="143"/>
      <c r="H856" s="196"/>
      <c r="I856" s="196"/>
      <c r="J856" s="196"/>
      <c r="K856" s="196"/>
      <c r="L856" s="196"/>
      <c r="M856" s="196"/>
      <c r="N856" s="196"/>
      <c r="O856" s="196"/>
      <c r="P856" s="196"/>
      <c r="Q856" s="196"/>
      <c r="R856" s="196"/>
      <c r="S856" s="196"/>
      <c r="T856" s="196"/>
      <c r="U856" s="196"/>
      <c r="V856" s="196"/>
      <c r="W856" s="196"/>
      <c r="X856" s="196"/>
      <c r="Y856" s="196"/>
      <c r="Z856" s="196"/>
      <c r="AA856" s="196"/>
      <c r="AB856" s="196"/>
    </row>
    <row r="857" spans="1:28" ht="12.9">
      <c r="A857" s="196"/>
      <c r="B857" s="143"/>
      <c r="C857" s="196"/>
      <c r="D857" s="196"/>
      <c r="E857" s="196"/>
      <c r="F857" s="220"/>
      <c r="G857" s="143"/>
      <c r="H857" s="196"/>
      <c r="I857" s="196"/>
      <c r="J857" s="196"/>
      <c r="K857" s="196"/>
      <c r="L857" s="196"/>
      <c r="M857" s="196"/>
      <c r="N857" s="196"/>
      <c r="O857" s="196"/>
      <c r="P857" s="196"/>
      <c r="Q857" s="196"/>
      <c r="R857" s="196"/>
      <c r="S857" s="196"/>
      <c r="T857" s="196"/>
      <c r="U857" s="196"/>
      <c r="V857" s="196"/>
      <c r="W857" s="196"/>
      <c r="X857" s="196"/>
      <c r="Y857" s="196"/>
      <c r="Z857" s="196"/>
      <c r="AA857" s="196"/>
      <c r="AB857" s="196"/>
    </row>
    <row r="858" spans="1:28" ht="12.9">
      <c r="A858" s="196"/>
      <c r="B858" s="143"/>
      <c r="C858" s="196"/>
      <c r="D858" s="196"/>
      <c r="E858" s="196"/>
      <c r="F858" s="220"/>
      <c r="G858" s="143"/>
      <c r="H858" s="196"/>
      <c r="I858" s="196"/>
      <c r="J858" s="196"/>
      <c r="K858" s="196"/>
      <c r="L858" s="196"/>
      <c r="M858" s="196"/>
      <c r="N858" s="196"/>
      <c r="O858" s="196"/>
      <c r="P858" s="196"/>
      <c r="Q858" s="196"/>
      <c r="R858" s="196"/>
      <c r="S858" s="196"/>
      <c r="T858" s="196"/>
      <c r="U858" s="196"/>
      <c r="V858" s="196"/>
      <c r="W858" s="196"/>
      <c r="X858" s="196"/>
      <c r="Y858" s="196"/>
      <c r="Z858" s="196"/>
      <c r="AA858" s="196"/>
      <c r="AB858" s="196"/>
    </row>
    <row r="859" spans="1:28" ht="12.9">
      <c r="A859" s="196"/>
      <c r="B859" s="143"/>
      <c r="C859" s="196"/>
      <c r="D859" s="196"/>
      <c r="E859" s="196"/>
      <c r="F859" s="220"/>
      <c r="G859" s="143"/>
      <c r="H859" s="196"/>
      <c r="I859" s="196"/>
      <c r="J859" s="196"/>
      <c r="K859" s="196"/>
      <c r="L859" s="196"/>
      <c r="M859" s="196"/>
      <c r="N859" s="196"/>
      <c r="O859" s="196"/>
      <c r="P859" s="196"/>
      <c r="Q859" s="196"/>
      <c r="R859" s="196"/>
      <c r="S859" s="196"/>
      <c r="T859" s="196"/>
      <c r="U859" s="196"/>
      <c r="V859" s="196"/>
      <c r="W859" s="196"/>
      <c r="X859" s="196"/>
      <c r="Y859" s="196"/>
      <c r="Z859" s="196"/>
      <c r="AA859" s="196"/>
      <c r="AB859" s="196"/>
    </row>
    <row r="860" spans="1:28" ht="12.9">
      <c r="A860" s="196"/>
      <c r="B860" s="143"/>
      <c r="C860" s="196"/>
      <c r="D860" s="196"/>
      <c r="E860" s="196"/>
      <c r="F860" s="220"/>
      <c r="G860" s="143"/>
      <c r="H860" s="196"/>
      <c r="I860" s="196"/>
      <c r="J860" s="196"/>
      <c r="K860" s="196"/>
      <c r="L860" s="196"/>
      <c r="M860" s="196"/>
      <c r="N860" s="196"/>
      <c r="O860" s="196"/>
      <c r="P860" s="196"/>
      <c r="Q860" s="196"/>
      <c r="R860" s="196"/>
      <c r="S860" s="196"/>
      <c r="T860" s="196"/>
      <c r="U860" s="196"/>
      <c r="V860" s="196"/>
      <c r="W860" s="196"/>
      <c r="X860" s="196"/>
      <c r="Y860" s="196"/>
      <c r="Z860" s="196"/>
      <c r="AA860" s="196"/>
      <c r="AB860" s="196"/>
    </row>
    <row r="861" spans="1:28" ht="12.9">
      <c r="A861" s="196"/>
      <c r="B861" s="143"/>
      <c r="C861" s="196"/>
      <c r="D861" s="196"/>
      <c r="E861" s="196"/>
      <c r="F861" s="220"/>
      <c r="G861" s="143"/>
      <c r="H861" s="196"/>
      <c r="I861" s="196"/>
      <c r="J861" s="196"/>
      <c r="K861" s="196"/>
      <c r="L861" s="196"/>
      <c r="M861" s="196"/>
      <c r="N861" s="196"/>
      <c r="O861" s="196"/>
      <c r="P861" s="196"/>
      <c r="Q861" s="196"/>
      <c r="R861" s="196"/>
      <c r="S861" s="196"/>
      <c r="T861" s="196"/>
      <c r="U861" s="196"/>
      <c r="V861" s="196"/>
      <c r="W861" s="196"/>
      <c r="X861" s="196"/>
      <c r="Y861" s="196"/>
      <c r="Z861" s="196"/>
      <c r="AA861" s="196"/>
      <c r="AB861" s="196"/>
    </row>
    <row r="862" spans="1:28" ht="12.9">
      <c r="A862" s="196"/>
      <c r="B862" s="143"/>
      <c r="C862" s="196"/>
      <c r="D862" s="196"/>
      <c r="E862" s="196"/>
      <c r="F862" s="220"/>
      <c r="G862" s="143"/>
      <c r="H862" s="196"/>
      <c r="I862" s="196"/>
      <c r="J862" s="196"/>
      <c r="K862" s="196"/>
      <c r="L862" s="196"/>
      <c r="M862" s="196"/>
      <c r="N862" s="196"/>
      <c r="O862" s="196"/>
      <c r="P862" s="196"/>
      <c r="Q862" s="196"/>
      <c r="R862" s="196"/>
      <c r="S862" s="196"/>
      <c r="T862" s="196"/>
      <c r="U862" s="196"/>
      <c r="V862" s="196"/>
      <c r="W862" s="196"/>
      <c r="X862" s="196"/>
      <c r="Y862" s="196"/>
      <c r="Z862" s="196"/>
      <c r="AA862" s="196"/>
      <c r="AB862" s="196"/>
    </row>
    <row r="863" spans="1:28" ht="12.9">
      <c r="A863" s="196"/>
      <c r="B863" s="143"/>
      <c r="C863" s="196"/>
      <c r="D863" s="196"/>
      <c r="E863" s="196"/>
      <c r="F863" s="220"/>
      <c r="G863" s="143"/>
      <c r="H863" s="196"/>
      <c r="I863" s="196"/>
      <c r="J863" s="196"/>
      <c r="K863" s="196"/>
      <c r="L863" s="196"/>
      <c r="M863" s="196"/>
      <c r="N863" s="196"/>
      <c r="O863" s="196"/>
      <c r="P863" s="196"/>
      <c r="Q863" s="196"/>
      <c r="R863" s="196"/>
      <c r="S863" s="196"/>
      <c r="T863" s="196"/>
      <c r="U863" s="196"/>
      <c r="V863" s="196"/>
      <c r="W863" s="196"/>
      <c r="X863" s="196"/>
      <c r="Y863" s="196"/>
      <c r="Z863" s="196"/>
      <c r="AA863" s="196"/>
      <c r="AB863" s="196"/>
    </row>
    <row r="864" spans="1:28" ht="12.9">
      <c r="A864" s="196"/>
      <c r="B864" s="143"/>
      <c r="C864" s="196"/>
      <c r="D864" s="196"/>
      <c r="E864" s="196"/>
      <c r="F864" s="220"/>
      <c r="G864" s="143"/>
      <c r="H864" s="196"/>
      <c r="I864" s="196"/>
      <c r="J864" s="196"/>
      <c r="K864" s="196"/>
      <c r="L864" s="196"/>
      <c r="M864" s="196"/>
      <c r="N864" s="196"/>
      <c r="O864" s="196"/>
      <c r="P864" s="196"/>
      <c r="Q864" s="196"/>
      <c r="R864" s="196"/>
      <c r="S864" s="196"/>
      <c r="T864" s="196"/>
      <c r="U864" s="196"/>
      <c r="V864" s="196"/>
      <c r="W864" s="196"/>
      <c r="X864" s="196"/>
      <c r="Y864" s="196"/>
      <c r="Z864" s="196"/>
      <c r="AA864" s="196"/>
      <c r="AB864" s="196"/>
    </row>
    <row r="865" spans="1:28" ht="12.9">
      <c r="A865" s="196"/>
      <c r="B865" s="143"/>
      <c r="C865" s="196"/>
      <c r="D865" s="196"/>
      <c r="E865" s="196"/>
      <c r="F865" s="220"/>
      <c r="G865" s="143"/>
      <c r="H865" s="196"/>
      <c r="I865" s="196"/>
      <c r="J865" s="196"/>
      <c r="K865" s="196"/>
      <c r="L865" s="196"/>
      <c r="M865" s="196"/>
      <c r="N865" s="196"/>
      <c r="O865" s="196"/>
      <c r="P865" s="196"/>
      <c r="Q865" s="196"/>
      <c r="R865" s="196"/>
      <c r="S865" s="196"/>
      <c r="T865" s="196"/>
      <c r="U865" s="196"/>
      <c r="V865" s="196"/>
      <c r="W865" s="196"/>
      <c r="X865" s="196"/>
      <c r="Y865" s="196"/>
      <c r="Z865" s="196"/>
      <c r="AA865" s="196"/>
      <c r="AB865" s="196"/>
    </row>
    <row r="866" spans="1:28" ht="12.9">
      <c r="A866" s="196"/>
      <c r="B866" s="143"/>
      <c r="C866" s="196"/>
      <c r="D866" s="196"/>
      <c r="E866" s="196"/>
      <c r="F866" s="220"/>
      <c r="G866" s="143"/>
      <c r="H866" s="196"/>
      <c r="I866" s="196"/>
      <c r="J866" s="196"/>
      <c r="K866" s="196"/>
      <c r="L866" s="196"/>
      <c r="M866" s="196"/>
      <c r="N866" s="196"/>
      <c r="O866" s="196"/>
      <c r="P866" s="196"/>
      <c r="Q866" s="196"/>
      <c r="R866" s="196"/>
      <c r="S866" s="196"/>
      <c r="T866" s="196"/>
      <c r="U866" s="196"/>
      <c r="V866" s="196"/>
      <c r="W866" s="196"/>
      <c r="X866" s="196"/>
      <c r="Y866" s="196"/>
      <c r="Z866" s="196"/>
      <c r="AA866" s="196"/>
      <c r="AB866" s="196"/>
    </row>
    <row r="867" spans="1:28" ht="12.9">
      <c r="A867" s="196"/>
      <c r="B867" s="143"/>
      <c r="C867" s="196"/>
      <c r="D867" s="196"/>
      <c r="E867" s="196"/>
      <c r="F867" s="220"/>
      <c r="G867" s="143"/>
      <c r="H867" s="196"/>
      <c r="I867" s="196"/>
      <c r="J867" s="196"/>
      <c r="K867" s="196"/>
      <c r="L867" s="196"/>
      <c r="M867" s="196"/>
      <c r="N867" s="196"/>
      <c r="O867" s="196"/>
      <c r="P867" s="196"/>
      <c r="Q867" s="196"/>
      <c r="R867" s="196"/>
      <c r="S867" s="196"/>
      <c r="T867" s="196"/>
      <c r="U867" s="196"/>
      <c r="V867" s="196"/>
      <c r="W867" s="196"/>
      <c r="X867" s="196"/>
      <c r="Y867" s="196"/>
      <c r="Z867" s="196"/>
      <c r="AA867" s="196"/>
      <c r="AB867" s="196"/>
    </row>
    <row r="868" spans="1:28" ht="12.9">
      <c r="A868" s="196"/>
      <c r="B868" s="143"/>
      <c r="C868" s="196"/>
      <c r="D868" s="196"/>
      <c r="E868" s="196"/>
      <c r="F868" s="220"/>
      <c r="G868" s="143"/>
      <c r="H868" s="196"/>
      <c r="I868" s="196"/>
      <c r="J868" s="196"/>
      <c r="K868" s="196"/>
      <c r="L868" s="196"/>
      <c r="M868" s="196"/>
      <c r="N868" s="196"/>
      <c r="O868" s="196"/>
      <c r="P868" s="196"/>
      <c r="Q868" s="196"/>
      <c r="R868" s="196"/>
      <c r="S868" s="196"/>
      <c r="T868" s="196"/>
      <c r="U868" s="196"/>
      <c r="V868" s="196"/>
      <c r="W868" s="196"/>
      <c r="X868" s="196"/>
      <c r="Y868" s="196"/>
      <c r="Z868" s="196"/>
      <c r="AA868" s="196"/>
      <c r="AB868" s="196"/>
    </row>
    <row r="869" spans="1:28" ht="12.9">
      <c r="A869" s="196"/>
      <c r="B869" s="143"/>
      <c r="C869" s="196"/>
      <c r="D869" s="196"/>
      <c r="E869" s="196"/>
      <c r="F869" s="220"/>
      <c r="G869" s="143"/>
      <c r="H869" s="196"/>
      <c r="I869" s="196"/>
      <c r="J869" s="196"/>
      <c r="K869" s="196"/>
      <c r="L869" s="196"/>
      <c r="M869" s="196"/>
      <c r="N869" s="196"/>
      <c r="O869" s="196"/>
      <c r="P869" s="196"/>
      <c r="Q869" s="196"/>
      <c r="R869" s="196"/>
      <c r="S869" s="196"/>
      <c r="T869" s="196"/>
      <c r="U869" s="196"/>
      <c r="V869" s="196"/>
      <c r="W869" s="196"/>
      <c r="X869" s="196"/>
      <c r="Y869" s="196"/>
      <c r="Z869" s="196"/>
      <c r="AA869" s="196"/>
      <c r="AB869" s="196"/>
    </row>
    <row r="870" spans="1:28" ht="12.9">
      <c r="A870" s="196"/>
      <c r="B870" s="143"/>
      <c r="C870" s="196"/>
      <c r="D870" s="196"/>
      <c r="E870" s="196"/>
      <c r="F870" s="220"/>
      <c r="G870" s="143"/>
      <c r="H870" s="196"/>
      <c r="I870" s="196"/>
      <c r="J870" s="196"/>
      <c r="K870" s="196"/>
      <c r="L870" s="196"/>
      <c r="M870" s="196"/>
      <c r="N870" s="196"/>
      <c r="O870" s="196"/>
      <c r="P870" s="196"/>
      <c r="Q870" s="196"/>
      <c r="R870" s="196"/>
      <c r="S870" s="196"/>
      <c r="T870" s="196"/>
      <c r="U870" s="196"/>
      <c r="V870" s="196"/>
      <c r="W870" s="196"/>
      <c r="X870" s="196"/>
      <c r="Y870" s="196"/>
      <c r="Z870" s="196"/>
      <c r="AA870" s="196"/>
      <c r="AB870" s="196"/>
    </row>
    <row r="871" spans="1:28" ht="12.9">
      <c r="A871" s="196"/>
      <c r="B871" s="143"/>
      <c r="C871" s="196"/>
      <c r="D871" s="196"/>
      <c r="E871" s="196"/>
      <c r="F871" s="220"/>
      <c r="G871" s="143"/>
      <c r="H871" s="196"/>
      <c r="I871" s="196"/>
      <c r="J871" s="196"/>
      <c r="K871" s="196"/>
      <c r="L871" s="196"/>
      <c r="M871" s="196"/>
      <c r="N871" s="196"/>
      <c r="O871" s="196"/>
      <c r="P871" s="196"/>
      <c r="Q871" s="196"/>
      <c r="R871" s="196"/>
      <c r="S871" s="196"/>
      <c r="T871" s="196"/>
      <c r="U871" s="196"/>
      <c r="V871" s="196"/>
      <c r="W871" s="196"/>
      <c r="X871" s="196"/>
      <c r="Y871" s="196"/>
      <c r="Z871" s="196"/>
      <c r="AA871" s="196"/>
      <c r="AB871" s="196"/>
    </row>
    <row r="872" spans="1:28" ht="12.9">
      <c r="A872" s="196"/>
      <c r="B872" s="143"/>
      <c r="C872" s="196"/>
      <c r="D872" s="196"/>
      <c r="E872" s="196"/>
      <c r="F872" s="220"/>
      <c r="G872" s="143"/>
      <c r="H872" s="196"/>
      <c r="I872" s="196"/>
      <c r="J872" s="196"/>
      <c r="K872" s="196"/>
      <c r="L872" s="196"/>
      <c r="M872" s="196"/>
      <c r="N872" s="196"/>
      <c r="O872" s="196"/>
      <c r="P872" s="196"/>
      <c r="Q872" s="196"/>
      <c r="R872" s="196"/>
      <c r="S872" s="196"/>
      <c r="T872" s="196"/>
      <c r="U872" s="196"/>
      <c r="V872" s="196"/>
      <c r="W872" s="196"/>
      <c r="X872" s="196"/>
      <c r="Y872" s="196"/>
      <c r="Z872" s="196"/>
      <c r="AA872" s="196"/>
      <c r="AB872" s="196"/>
    </row>
    <row r="873" spans="1:28" ht="12.9">
      <c r="A873" s="196"/>
      <c r="B873" s="143"/>
      <c r="C873" s="196"/>
      <c r="D873" s="196"/>
      <c r="E873" s="196"/>
      <c r="F873" s="220"/>
      <c r="G873" s="143"/>
      <c r="H873" s="196"/>
      <c r="I873" s="196"/>
      <c r="J873" s="196"/>
      <c r="K873" s="196"/>
      <c r="L873" s="196"/>
      <c r="M873" s="196"/>
      <c r="N873" s="196"/>
      <c r="O873" s="196"/>
      <c r="P873" s="196"/>
      <c r="Q873" s="196"/>
      <c r="R873" s="196"/>
      <c r="S873" s="196"/>
      <c r="T873" s="196"/>
      <c r="U873" s="196"/>
      <c r="V873" s="196"/>
      <c r="W873" s="196"/>
      <c r="X873" s="196"/>
      <c r="Y873" s="196"/>
      <c r="Z873" s="196"/>
      <c r="AA873" s="196"/>
      <c r="AB873" s="196"/>
    </row>
    <row r="874" spans="1:28" ht="12.9">
      <c r="A874" s="196"/>
      <c r="B874" s="143"/>
      <c r="C874" s="196"/>
      <c r="D874" s="196"/>
      <c r="E874" s="196"/>
      <c r="F874" s="220"/>
      <c r="G874" s="143"/>
      <c r="H874" s="196"/>
      <c r="I874" s="196"/>
      <c r="J874" s="196"/>
      <c r="K874" s="196"/>
      <c r="L874" s="196"/>
      <c r="M874" s="196"/>
      <c r="N874" s="196"/>
      <c r="O874" s="196"/>
      <c r="P874" s="196"/>
      <c r="Q874" s="196"/>
      <c r="R874" s="196"/>
      <c r="S874" s="196"/>
      <c r="T874" s="196"/>
      <c r="U874" s="196"/>
      <c r="V874" s="196"/>
      <c r="W874" s="196"/>
      <c r="X874" s="196"/>
      <c r="Y874" s="196"/>
      <c r="Z874" s="196"/>
      <c r="AA874" s="196"/>
      <c r="AB874" s="196"/>
    </row>
    <row r="875" spans="1:28" ht="12.9">
      <c r="A875" s="196"/>
      <c r="B875" s="143"/>
      <c r="C875" s="196"/>
      <c r="D875" s="196"/>
      <c r="E875" s="196"/>
      <c r="F875" s="220"/>
      <c r="G875" s="143"/>
      <c r="H875" s="196"/>
      <c r="I875" s="196"/>
      <c r="J875" s="196"/>
      <c r="K875" s="196"/>
      <c r="L875" s="196"/>
      <c r="M875" s="196"/>
      <c r="N875" s="196"/>
      <c r="O875" s="196"/>
      <c r="P875" s="196"/>
      <c r="Q875" s="196"/>
      <c r="R875" s="196"/>
      <c r="S875" s="196"/>
      <c r="T875" s="196"/>
      <c r="U875" s="196"/>
      <c r="V875" s="196"/>
      <c r="W875" s="196"/>
      <c r="X875" s="196"/>
      <c r="Y875" s="196"/>
      <c r="Z875" s="196"/>
      <c r="AA875" s="196"/>
      <c r="AB875" s="196"/>
    </row>
    <row r="876" spans="1:28" ht="12.9">
      <c r="A876" s="196"/>
      <c r="B876" s="143"/>
      <c r="C876" s="196"/>
      <c r="D876" s="196"/>
      <c r="E876" s="196"/>
      <c r="F876" s="220"/>
      <c r="G876" s="143"/>
      <c r="H876" s="196"/>
      <c r="I876" s="196"/>
      <c r="J876" s="196"/>
      <c r="K876" s="196"/>
      <c r="L876" s="196"/>
      <c r="M876" s="196"/>
      <c r="N876" s="196"/>
      <c r="O876" s="196"/>
      <c r="P876" s="196"/>
      <c r="Q876" s="196"/>
      <c r="R876" s="196"/>
      <c r="S876" s="196"/>
      <c r="T876" s="196"/>
      <c r="U876" s="196"/>
      <c r="V876" s="196"/>
      <c r="W876" s="196"/>
      <c r="X876" s="196"/>
      <c r="Y876" s="196"/>
      <c r="Z876" s="196"/>
      <c r="AA876" s="196"/>
      <c r="AB876" s="196"/>
    </row>
    <row r="877" spans="1:28" ht="12.9">
      <c r="A877" s="196"/>
      <c r="B877" s="143"/>
      <c r="C877" s="196"/>
      <c r="D877" s="196"/>
      <c r="E877" s="196"/>
      <c r="F877" s="220"/>
      <c r="G877" s="143"/>
      <c r="H877" s="196"/>
      <c r="I877" s="196"/>
      <c r="J877" s="196"/>
      <c r="K877" s="196"/>
      <c r="L877" s="196"/>
      <c r="M877" s="196"/>
      <c r="N877" s="196"/>
      <c r="O877" s="196"/>
      <c r="P877" s="196"/>
      <c r="Q877" s="196"/>
      <c r="R877" s="196"/>
      <c r="S877" s="196"/>
      <c r="T877" s="196"/>
      <c r="U877" s="196"/>
      <c r="V877" s="196"/>
      <c r="W877" s="196"/>
      <c r="X877" s="196"/>
      <c r="Y877" s="196"/>
      <c r="Z877" s="196"/>
      <c r="AA877" s="196"/>
      <c r="AB877" s="196"/>
    </row>
    <row r="878" spans="1:28" ht="12.9">
      <c r="A878" s="196"/>
      <c r="B878" s="143"/>
      <c r="C878" s="196"/>
      <c r="D878" s="196"/>
      <c r="E878" s="196"/>
      <c r="F878" s="220"/>
      <c r="G878" s="143"/>
      <c r="H878" s="196"/>
      <c r="I878" s="196"/>
      <c r="J878" s="196"/>
      <c r="K878" s="196"/>
      <c r="L878" s="196"/>
      <c r="M878" s="196"/>
      <c r="N878" s="196"/>
      <c r="O878" s="196"/>
      <c r="P878" s="196"/>
      <c r="Q878" s="196"/>
      <c r="R878" s="196"/>
      <c r="S878" s="196"/>
      <c r="T878" s="196"/>
      <c r="U878" s="196"/>
      <c r="V878" s="196"/>
      <c r="W878" s="196"/>
      <c r="X878" s="196"/>
      <c r="Y878" s="196"/>
      <c r="Z878" s="196"/>
      <c r="AA878" s="196"/>
      <c r="AB878" s="196"/>
    </row>
    <row r="879" spans="1:28" ht="12.9">
      <c r="A879" s="196"/>
      <c r="B879" s="143"/>
      <c r="C879" s="196"/>
      <c r="D879" s="196"/>
      <c r="E879" s="196"/>
      <c r="F879" s="220"/>
      <c r="G879" s="143"/>
      <c r="H879" s="196"/>
      <c r="I879" s="196"/>
      <c r="J879" s="196"/>
      <c r="K879" s="196"/>
      <c r="L879" s="196"/>
      <c r="M879" s="196"/>
      <c r="N879" s="196"/>
      <c r="O879" s="196"/>
      <c r="P879" s="196"/>
      <c r="Q879" s="196"/>
      <c r="R879" s="196"/>
      <c r="S879" s="196"/>
      <c r="T879" s="196"/>
      <c r="U879" s="196"/>
      <c r="V879" s="196"/>
      <c r="W879" s="196"/>
      <c r="X879" s="196"/>
      <c r="Y879" s="196"/>
      <c r="Z879" s="196"/>
      <c r="AA879" s="196"/>
      <c r="AB879" s="196"/>
    </row>
    <row r="880" spans="1:28" ht="12.9">
      <c r="A880" s="196"/>
      <c r="B880" s="143"/>
      <c r="C880" s="196"/>
      <c r="D880" s="196"/>
      <c r="E880" s="196"/>
      <c r="F880" s="220"/>
      <c r="G880" s="143"/>
      <c r="H880" s="196"/>
      <c r="I880" s="196"/>
      <c r="J880" s="196"/>
      <c r="K880" s="196"/>
      <c r="L880" s="196"/>
      <c r="M880" s="196"/>
      <c r="N880" s="196"/>
      <c r="O880" s="196"/>
      <c r="P880" s="196"/>
      <c r="Q880" s="196"/>
      <c r="R880" s="196"/>
      <c r="S880" s="196"/>
      <c r="T880" s="196"/>
      <c r="U880" s="196"/>
      <c r="V880" s="196"/>
      <c r="W880" s="196"/>
      <c r="X880" s="196"/>
      <c r="Y880" s="196"/>
      <c r="Z880" s="196"/>
      <c r="AA880" s="196"/>
      <c r="AB880" s="196"/>
    </row>
    <row r="881" spans="1:28" ht="12.9">
      <c r="A881" s="196"/>
      <c r="B881" s="143"/>
      <c r="C881" s="196"/>
      <c r="D881" s="196"/>
      <c r="E881" s="196"/>
      <c r="F881" s="220"/>
      <c r="G881" s="143"/>
      <c r="H881" s="196"/>
      <c r="I881" s="196"/>
      <c r="J881" s="196"/>
      <c r="K881" s="196"/>
      <c r="L881" s="196"/>
      <c r="M881" s="196"/>
      <c r="N881" s="196"/>
      <c r="O881" s="196"/>
      <c r="P881" s="196"/>
      <c r="Q881" s="196"/>
      <c r="R881" s="196"/>
      <c r="S881" s="196"/>
      <c r="T881" s="196"/>
      <c r="U881" s="196"/>
      <c r="V881" s="196"/>
      <c r="W881" s="196"/>
      <c r="X881" s="196"/>
      <c r="Y881" s="196"/>
      <c r="Z881" s="196"/>
      <c r="AA881" s="196"/>
      <c r="AB881" s="196"/>
    </row>
    <row r="882" spans="1:28" ht="12.9">
      <c r="A882" s="196"/>
      <c r="B882" s="143"/>
      <c r="C882" s="196"/>
      <c r="D882" s="196"/>
      <c r="E882" s="196"/>
      <c r="F882" s="220"/>
      <c r="G882" s="143"/>
      <c r="H882" s="196"/>
      <c r="I882" s="196"/>
      <c r="J882" s="196"/>
      <c r="K882" s="196"/>
      <c r="L882" s="196"/>
      <c r="M882" s="196"/>
      <c r="N882" s="196"/>
      <c r="O882" s="196"/>
      <c r="P882" s="196"/>
      <c r="Q882" s="196"/>
      <c r="R882" s="196"/>
      <c r="S882" s="196"/>
      <c r="T882" s="196"/>
      <c r="U882" s="196"/>
      <c r="V882" s="196"/>
      <c r="W882" s="196"/>
      <c r="X882" s="196"/>
      <c r="Y882" s="196"/>
      <c r="Z882" s="196"/>
      <c r="AA882" s="196"/>
      <c r="AB882" s="196"/>
    </row>
    <row r="883" spans="1:28" ht="12.9">
      <c r="A883" s="196"/>
      <c r="B883" s="143"/>
      <c r="C883" s="196"/>
      <c r="D883" s="196"/>
      <c r="E883" s="196"/>
      <c r="F883" s="220"/>
      <c r="G883" s="143"/>
      <c r="H883" s="196"/>
      <c r="I883" s="196"/>
      <c r="J883" s="196"/>
      <c r="K883" s="196"/>
      <c r="L883" s="196"/>
      <c r="M883" s="196"/>
      <c r="N883" s="196"/>
      <c r="O883" s="196"/>
      <c r="P883" s="196"/>
      <c r="Q883" s="196"/>
      <c r="R883" s="196"/>
      <c r="S883" s="196"/>
      <c r="T883" s="196"/>
      <c r="U883" s="196"/>
      <c r="V883" s="196"/>
      <c r="W883" s="196"/>
      <c r="X883" s="196"/>
      <c r="Y883" s="196"/>
      <c r="Z883" s="196"/>
      <c r="AA883" s="196"/>
      <c r="AB883" s="196"/>
    </row>
    <row r="884" spans="1:28" ht="12.9">
      <c r="A884" s="196"/>
      <c r="B884" s="143"/>
      <c r="C884" s="196"/>
      <c r="D884" s="196"/>
      <c r="E884" s="196"/>
      <c r="F884" s="220"/>
      <c r="G884" s="143"/>
      <c r="H884" s="196"/>
      <c r="I884" s="196"/>
      <c r="J884" s="196"/>
      <c r="K884" s="196"/>
      <c r="L884" s="196"/>
      <c r="M884" s="196"/>
      <c r="N884" s="196"/>
      <c r="O884" s="196"/>
      <c r="P884" s="196"/>
      <c r="Q884" s="196"/>
      <c r="R884" s="196"/>
      <c r="S884" s="196"/>
      <c r="T884" s="196"/>
      <c r="U884" s="196"/>
      <c r="V884" s="196"/>
      <c r="W884" s="196"/>
      <c r="X884" s="196"/>
      <c r="Y884" s="196"/>
      <c r="Z884" s="196"/>
      <c r="AA884" s="196"/>
      <c r="AB884" s="196"/>
    </row>
    <row r="885" spans="1:28" ht="12.9">
      <c r="A885" s="196"/>
      <c r="B885" s="143"/>
      <c r="C885" s="196"/>
      <c r="D885" s="196"/>
      <c r="E885" s="196"/>
      <c r="F885" s="220"/>
      <c r="G885" s="143"/>
      <c r="H885" s="196"/>
      <c r="I885" s="196"/>
      <c r="J885" s="196"/>
      <c r="K885" s="196"/>
      <c r="L885" s="196"/>
      <c r="M885" s="196"/>
      <c r="N885" s="196"/>
      <c r="O885" s="196"/>
      <c r="P885" s="196"/>
      <c r="Q885" s="196"/>
      <c r="R885" s="196"/>
      <c r="S885" s="196"/>
      <c r="T885" s="196"/>
      <c r="U885" s="196"/>
      <c r="V885" s="196"/>
      <c r="W885" s="196"/>
      <c r="X885" s="196"/>
      <c r="Y885" s="196"/>
      <c r="Z885" s="196"/>
      <c r="AA885" s="196"/>
      <c r="AB885" s="196"/>
    </row>
    <row r="886" spans="1:28" ht="12.9">
      <c r="A886" s="196"/>
      <c r="B886" s="143"/>
      <c r="C886" s="196"/>
      <c r="D886" s="196"/>
      <c r="E886" s="196"/>
      <c r="F886" s="220"/>
      <c r="G886" s="143"/>
      <c r="H886" s="196"/>
      <c r="I886" s="196"/>
      <c r="J886" s="196"/>
      <c r="K886" s="196"/>
      <c r="L886" s="196"/>
      <c r="M886" s="196"/>
      <c r="N886" s="196"/>
      <c r="O886" s="196"/>
      <c r="P886" s="196"/>
      <c r="Q886" s="196"/>
      <c r="R886" s="196"/>
      <c r="S886" s="196"/>
      <c r="T886" s="196"/>
      <c r="U886" s="196"/>
      <c r="V886" s="196"/>
      <c r="W886" s="196"/>
      <c r="X886" s="196"/>
      <c r="Y886" s="196"/>
      <c r="Z886" s="196"/>
      <c r="AA886" s="196"/>
      <c r="AB886" s="196"/>
    </row>
    <row r="887" spans="1:28" ht="12.9">
      <c r="A887" s="196"/>
      <c r="B887" s="143"/>
      <c r="C887" s="196"/>
      <c r="D887" s="196"/>
      <c r="E887" s="196"/>
      <c r="F887" s="220"/>
      <c r="G887" s="143"/>
      <c r="H887" s="196"/>
      <c r="I887" s="196"/>
      <c r="J887" s="196"/>
      <c r="K887" s="196"/>
      <c r="L887" s="196"/>
      <c r="M887" s="196"/>
      <c r="N887" s="196"/>
      <c r="O887" s="196"/>
      <c r="P887" s="196"/>
      <c r="Q887" s="196"/>
      <c r="R887" s="196"/>
      <c r="S887" s="196"/>
      <c r="T887" s="196"/>
      <c r="U887" s="196"/>
      <c r="V887" s="196"/>
      <c r="W887" s="196"/>
      <c r="X887" s="196"/>
      <c r="Y887" s="196"/>
      <c r="Z887" s="196"/>
      <c r="AA887" s="196"/>
      <c r="AB887" s="196"/>
    </row>
    <row r="888" spans="1:28" ht="12.9">
      <c r="A888" s="196"/>
      <c r="B888" s="143"/>
      <c r="C888" s="196"/>
      <c r="D888" s="196"/>
      <c r="E888" s="196"/>
      <c r="F888" s="220"/>
      <c r="G888" s="143"/>
      <c r="H888" s="196"/>
      <c r="I888" s="196"/>
      <c r="J888" s="196"/>
      <c r="K888" s="196"/>
      <c r="L888" s="196"/>
      <c r="M888" s="196"/>
      <c r="N888" s="196"/>
      <c r="O888" s="196"/>
      <c r="P888" s="196"/>
      <c r="Q888" s="196"/>
      <c r="R888" s="196"/>
      <c r="S888" s="196"/>
      <c r="T888" s="196"/>
      <c r="U888" s="196"/>
      <c r="V888" s="196"/>
      <c r="W888" s="196"/>
      <c r="X888" s="196"/>
      <c r="Y888" s="196"/>
      <c r="Z888" s="196"/>
      <c r="AA888" s="196"/>
      <c r="AB888" s="196"/>
    </row>
    <row r="889" spans="1:28" ht="12.9">
      <c r="A889" s="196"/>
      <c r="B889" s="143"/>
      <c r="C889" s="196"/>
      <c r="D889" s="196"/>
      <c r="E889" s="196"/>
      <c r="F889" s="220"/>
      <c r="G889" s="143"/>
      <c r="H889" s="196"/>
      <c r="I889" s="196"/>
      <c r="J889" s="196"/>
      <c r="K889" s="196"/>
      <c r="L889" s="196"/>
      <c r="M889" s="196"/>
      <c r="N889" s="196"/>
      <c r="O889" s="196"/>
      <c r="P889" s="196"/>
      <c r="Q889" s="196"/>
      <c r="R889" s="196"/>
      <c r="S889" s="196"/>
      <c r="T889" s="196"/>
      <c r="U889" s="196"/>
      <c r="V889" s="196"/>
      <c r="W889" s="196"/>
      <c r="X889" s="196"/>
      <c r="Y889" s="196"/>
      <c r="Z889" s="196"/>
      <c r="AA889" s="196"/>
      <c r="AB889" s="196"/>
    </row>
    <row r="890" spans="1:28" ht="12.9">
      <c r="A890" s="196"/>
      <c r="B890" s="143"/>
      <c r="C890" s="196"/>
      <c r="D890" s="196"/>
      <c r="E890" s="196"/>
      <c r="F890" s="220"/>
      <c r="G890" s="143"/>
      <c r="H890" s="196"/>
      <c r="I890" s="196"/>
      <c r="J890" s="196"/>
      <c r="K890" s="196"/>
      <c r="L890" s="196"/>
      <c r="M890" s="196"/>
      <c r="N890" s="196"/>
      <c r="O890" s="196"/>
      <c r="P890" s="196"/>
      <c r="Q890" s="196"/>
      <c r="R890" s="196"/>
      <c r="S890" s="196"/>
      <c r="T890" s="196"/>
      <c r="U890" s="196"/>
      <c r="V890" s="196"/>
      <c r="W890" s="196"/>
      <c r="X890" s="196"/>
      <c r="Y890" s="196"/>
      <c r="Z890" s="196"/>
      <c r="AA890" s="196"/>
      <c r="AB890" s="196"/>
    </row>
    <row r="891" spans="1:28" ht="12.9">
      <c r="A891" s="196"/>
      <c r="B891" s="143"/>
      <c r="C891" s="196"/>
      <c r="D891" s="196"/>
      <c r="E891" s="196"/>
      <c r="F891" s="220"/>
      <c r="G891" s="143"/>
      <c r="H891" s="196"/>
      <c r="I891" s="196"/>
      <c r="J891" s="196"/>
      <c r="K891" s="196"/>
      <c r="L891" s="196"/>
      <c r="M891" s="196"/>
      <c r="N891" s="196"/>
      <c r="O891" s="196"/>
      <c r="P891" s="196"/>
      <c r="Q891" s="196"/>
      <c r="R891" s="196"/>
      <c r="S891" s="196"/>
      <c r="T891" s="196"/>
      <c r="U891" s="196"/>
      <c r="V891" s="196"/>
      <c r="W891" s="196"/>
      <c r="X891" s="196"/>
      <c r="Y891" s="196"/>
      <c r="Z891" s="196"/>
      <c r="AA891" s="196"/>
      <c r="AB891" s="196"/>
    </row>
    <row r="892" spans="1:28" ht="12.9">
      <c r="A892" s="196"/>
      <c r="B892" s="143"/>
      <c r="C892" s="196"/>
      <c r="D892" s="196"/>
      <c r="E892" s="196"/>
      <c r="F892" s="220"/>
      <c r="G892" s="143"/>
      <c r="H892" s="196"/>
      <c r="I892" s="196"/>
      <c r="J892" s="196"/>
      <c r="K892" s="196"/>
      <c r="L892" s="196"/>
      <c r="M892" s="196"/>
      <c r="N892" s="196"/>
      <c r="O892" s="196"/>
      <c r="P892" s="196"/>
      <c r="Q892" s="196"/>
      <c r="R892" s="196"/>
      <c r="S892" s="196"/>
      <c r="T892" s="196"/>
      <c r="U892" s="196"/>
      <c r="V892" s="196"/>
      <c r="W892" s="196"/>
      <c r="X892" s="196"/>
      <c r="Y892" s="196"/>
      <c r="Z892" s="196"/>
      <c r="AA892" s="196"/>
      <c r="AB892" s="196"/>
    </row>
    <row r="893" spans="1:28" ht="12.9">
      <c r="A893" s="196"/>
      <c r="B893" s="143"/>
      <c r="C893" s="196"/>
      <c r="D893" s="196"/>
      <c r="E893" s="196"/>
      <c r="F893" s="220"/>
      <c r="G893" s="143"/>
      <c r="H893" s="196"/>
      <c r="I893" s="196"/>
      <c r="J893" s="196"/>
      <c r="K893" s="196"/>
      <c r="L893" s="196"/>
      <c r="M893" s="196"/>
      <c r="N893" s="196"/>
      <c r="O893" s="196"/>
      <c r="P893" s="196"/>
      <c r="Q893" s="196"/>
      <c r="R893" s="196"/>
      <c r="S893" s="196"/>
      <c r="T893" s="196"/>
      <c r="U893" s="196"/>
      <c r="V893" s="196"/>
      <c r="W893" s="196"/>
      <c r="X893" s="196"/>
      <c r="Y893" s="196"/>
      <c r="Z893" s="196"/>
      <c r="AA893" s="196"/>
      <c r="AB893" s="196"/>
    </row>
    <row r="894" spans="1:28" ht="12.9">
      <c r="A894" s="196"/>
      <c r="B894" s="143"/>
      <c r="C894" s="196"/>
      <c r="D894" s="196"/>
      <c r="E894" s="196"/>
      <c r="F894" s="220"/>
      <c r="G894" s="143"/>
      <c r="H894" s="196"/>
      <c r="I894" s="196"/>
      <c r="J894" s="196"/>
      <c r="K894" s="196"/>
      <c r="L894" s="196"/>
      <c r="M894" s="196"/>
      <c r="N894" s="196"/>
      <c r="O894" s="196"/>
      <c r="P894" s="196"/>
      <c r="Q894" s="196"/>
      <c r="R894" s="196"/>
      <c r="S894" s="196"/>
      <c r="T894" s="196"/>
      <c r="U894" s="196"/>
      <c r="V894" s="196"/>
      <c r="W894" s="196"/>
      <c r="X894" s="196"/>
      <c r="Y894" s="196"/>
      <c r="Z894" s="196"/>
      <c r="AA894" s="196"/>
      <c r="AB894" s="196"/>
    </row>
    <row r="895" spans="1:28" ht="12.9">
      <c r="A895" s="196"/>
      <c r="B895" s="143"/>
      <c r="C895" s="196"/>
      <c r="D895" s="196"/>
      <c r="E895" s="196"/>
      <c r="F895" s="220"/>
      <c r="G895" s="143"/>
      <c r="H895" s="196"/>
      <c r="I895" s="196"/>
      <c r="J895" s="196"/>
      <c r="K895" s="196"/>
      <c r="L895" s="196"/>
      <c r="M895" s="196"/>
      <c r="N895" s="196"/>
      <c r="O895" s="196"/>
      <c r="P895" s="196"/>
      <c r="Q895" s="196"/>
      <c r="R895" s="196"/>
      <c r="S895" s="196"/>
      <c r="T895" s="196"/>
      <c r="U895" s="196"/>
      <c r="V895" s="196"/>
      <c r="W895" s="196"/>
      <c r="X895" s="196"/>
      <c r="Y895" s="196"/>
      <c r="Z895" s="196"/>
      <c r="AA895" s="196"/>
      <c r="AB895" s="196"/>
    </row>
    <row r="896" spans="1:28" ht="12.9">
      <c r="A896" s="196"/>
      <c r="B896" s="143"/>
      <c r="C896" s="196"/>
      <c r="D896" s="196"/>
      <c r="E896" s="196"/>
      <c r="F896" s="220"/>
      <c r="G896" s="143"/>
      <c r="H896" s="196"/>
      <c r="I896" s="196"/>
      <c r="J896" s="196"/>
      <c r="K896" s="196"/>
      <c r="L896" s="196"/>
      <c r="M896" s="196"/>
      <c r="N896" s="196"/>
      <c r="O896" s="196"/>
      <c r="P896" s="196"/>
      <c r="Q896" s="196"/>
      <c r="R896" s="196"/>
      <c r="S896" s="196"/>
      <c r="T896" s="196"/>
      <c r="U896" s="196"/>
      <c r="V896" s="196"/>
      <c r="W896" s="196"/>
      <c r="X896" s="196"/>
      <c r="Y896" s="196"/>
      <c r="Z896" s="196"/>
      <c r="AA896" s="196"/>
      <c r="AB896" s="196"/>
    </row>
    <row r="897" spans="1:28" ht="12.9">
      <c r="A897" s="196"/>
      <c r="B897" s="143"/>
      <c r="C897" s="196"/>
      <c r="D897" s="196"/>
      <c r="E897" s="196"/>
      <c r="F897" s="220"/>
      <c r="G897" s="143"/>
      <c r="H897" s="196"/>
      <c r="I897" s="196"/>
      <c r="J897" s="196"/>
      <c r="K897" s="196"/>
      <c r="L897" s="196"/>
      <c r="M897" s="196"/>
      <c r="N897" s="196"/>
      <c r="O897" s="196"/>
      <c r="P897" s="196"/>
      <c r="Q897" s="196"/>
      <c r="R897" s="196"/>
      <c r="S897" s="196"/>
      <c r="T897" s="196"/>
      <c r="U897" s="196"/>
      <c r="V897" s="196"/>
      <c r="W897" s="196"/>
      <c r="X897" s="196"/>
      <c r="Y897" s="196"/>
      <c r="Z897" s="196"/>
      <c r="AA897" s="196"/>
      <c r="AB897" s="196"/>
    </row>
    <row r="898" spans="1:28" ht="12.9">
      <c r="A898" s="196"/>
      <c r="B898" s="143"/>
      <c r="C898" s="196"/>
      <c r="D898" s="196"/>
      <c r="E898" s="196"/>
      <c r="F898" s="220"/>
      <c r="G898" s="143"/>
      <c r="H898" s="196"/>
      <c r="I898" s="196"/>
      <c r="J898" s="196"/>
      <c r="K898" s="196"/>
      <c r="L898" s="196"/>
      <c r="M898" s="196"/>
      <c r="N898" s="196"/>
      <c r="O898" s="196"/>
      <c r="P898" s="196"/>
      <c r="Q898" s="196"/>
      <c r="R898" s="196"/>
      <c r="S898" s="196"/>
      <c r="T898" s="196"/>
      <c r="U898" s="196"/>
      <c r="V898" s="196"/>
      <c r="W898" s="196"/>
      <c r="X898" s="196"/>
      <c r="Y898" s="196"/>
      <c r="Z898" s="196"/>
      <c r="AA898" s="196"/>
      <c r="AB898" s="196"/>
    </row>
    <row r="899" spans="1:28" ht="12.9">
      <c r="A899" s="196"/>
      <c r="B899" s="143"/>
      <c r="C899" s="196"/>
      <c r="D899" s="196"/>
      <c r="E899" s="196"/>
      <c r="F899" s="220"/>
      <c r="G899" s="143"/>
      <c r="H899" s="196"/>
      <c r="I899" s="196"/>
      <c r="J899" s="196"/>
      <c r="K899" s="196"/>
      <c r="L899" s="196"/>
      <c r="M899" s="196"/>
      <c r="N899" s="196"/>
      <c r="O899" s="196"/>
      <c r="P899" s="196"/>
      <c r="Q899" s="196"/>
      <c r="R899" s="196"/>
      <c r="S899" s="196"/>
      <c r="T899" s="196"/>
      <c r="U899" s="196"/>
      <c r="V899" s="196"/>
      <c r="W899" s="196"/>
      <c r="X899" s="196"/>
      <c r="Y899" s="196"/>
      <c r="Z899" s="196"/>
      <c r="AA899" s="196"/>
      <c r="AB899" s="196"/>
    </row>
    <row r="900" spans="1:28" ht="12.9">
      <c r="A900" s="196"/>
      <c r="B900" s="143"/>
      <c r="C900" s="196"/>
      <c r="D900" s="196"/>
      <c r="E900" s="196"/>
      <c r="F900" s="220"/>
      <c r="G900" s="143"/>
      <c r="H900" s="196"/>
      <c r="I900" s="196"/>
      <c r="J900" s="196"/>
      <c r="K900" s="196"/>
      <c r="L900" s="196"/>
      <c r="M900" s="196"/>
      <c r="N900" s="196"/>
      <c r="O900" s="196"/>
      <c r="P900" s="196"/>
      <c r="Q900" s="196"/>
      <c r="R900" s="196"/>
      <c r="S900" s="196"/>
      <c r="T900" s="196"/>
      <c r="U900" s="196"/>
      <c r="V900" s="196"/>
      <c r="W900" s="196"/>
      <c r="X900" s="196"/>
      <c r="Y900" s="196"/>
      <c r="Z900" s="196"/>
      <c r="AA900" s="196"/>
      <c r="AB900" s="196"/>
    </row>
    <row r="901" spans="1:28" ht="12.9">
      <c r="A901" s="196"/>
      <c r="B901" s="143"/>
      <c r="C901" s="196"/>
      <c r="D901" s="196"/>
      <c r="E901" s="196"/>
      <c r="F901" s="220"/>
      <c r="G901" s="143"/>
      <c r="H901" s="196"/>
      <c r="I901" s="196"/>
      <c r="J901" s="196"/>
      <c r="K901" s="196"/>
      <c r="L901" s="196"/>
      <c r="M901" s="196"/>
      <c r="N901" s="196"/>
      <c r="O901" s="196"/>
      <c r="P901" s="196"/>
      <c r="Q901" s="196"/>
      <c r="R901" s="196"/>
      <c r="S901" s="196"/>
      <c r="T901" s="196"/>
      <c r="U901" s="196"/>
      <c r="V901" s="196"/>
      <c r="W901" s="196"/>
      <c r="X901" s="196"/>
      <c r="Y901" s="196"/>
      <c r="Z901" s="196"/>
      <c r="AA901" s="196"/>
      <c r="AB901" s="196"/>
    </row>
    <row r="902" spans="1:28" ht="12.9">
      <c r="A902" s="196"/>
      <c r="B902" s="143"/>
      <c r="C902" s="196"/>
      <c r="D902" s="196"/>
      <c r="E902" s="196"/>
      <c r="F902" s="220"/>
      <c r="G902" s="143"/>
      <c r="H902" s="196"/>
      <c r="I902" s="196"/>
      <c r="J902" s="196"/>
      <c r="K902" s="196"/>
      <c r="L902" s="196"/>
      <c r="M902" s="196"/>
      <c r="N902" s="196"/>
      <c r="O902" s="196"/>
      <c r="P902" s="196"/>
      <c r="Q902" s="196"/>
      <c r="R902" s="196"/>
      <c r="S902" s="196"/>
      <c r="T902" s="196"/>
      <c r="U902" s="196"/>
      <c r="V902" s="196"/>
      <c r="W902" s="196"/>
      <c r="X902" s="196"/>
      <c r="Y902" s="196"/>
      <c r="Z902" s="196"/>
      <c r="AA902" s="196"/>
      <c r="AB902" s="196"/>
    </row>
    <row r="903" spans="1:28" ht="12.9">
      <c r="A903" s="196"/>
      <c r="B903" s="143"/>
      <c r="C903" s="196"/>
      <c r="D903" s="196"/>
      <c r="E903" s="196"/>
      <c r="F903" s="220"/>
      <c r="G903" s="143"/>
      <c r="H903" s="196"/>
      <c r="I903" s="196"/>
      <c r="J903" s="196"/>
      <c r="K903" s="196"/>
      <c r="L903" s="196"/>
      <c r="M903" s="196"/>
      <c r="N903" s="196"/>
      <c r="O903" s="196"/>
      <c r="P903" s="196"/>
      <c r="Q903" s="196"/>
      <c r="R903" s="196"/>
      <c r="S903" s="196"/>
      <c r="T903" s="196"/>
      <c r="U903" s="196"/>
      <c r="V903" s="196"/>
      <c r="W903" s="196"/>
      <c r="X903" s="196"/>
      <c r="Y903" s="196"/>
      <c r="Z903" s="196"/>
      <c r="AA903" s="196"/>
      <c r="AB903" s="196"/>
    </row>
    <row r="904" spans="1:28" ht="12.9">
      <c r="A904" s="196"/>
      <c r="B904" s="143"/>
      <c r="C904" s="196"/>
      <c r="D904" s="196"/>
      <c r="E904" s="196"/>
      <c r="F904" s="220"/>
      <c r="G904" s="143"/>
      <c r="H904" s="196"/>
      <c r="I904" s="196"/>
      <c r="J904" s="196"/>
      <c r="K904" s="196"/>
      <c r="L904" s="196"/>
      <c r="M904" s="196"/>
      <c r="N904" s="196"/>
      <c r="O904" s="196"/>
      <c r="P904" s="196"/>
      <c r="Q904" s="196"/>
      <c r="R904" s="196"/>
      <c r="S904" s="196"/>
      <c r="T904" s="196"/>
      <c r="U904" s="196"/>
      <c r="V904" s="196"/>
      <c r="W904" s="196"/>
      <c r="X904" s="196"/>
      <c r="Y904" s="196"/>
      <c r="Z904" s="196"/>
      <c r="AA904" s="196"/>
      <c r="AB904" s="196"/>
    </row>
    <row r="905" spans="1:28" ht="12.9">
      <c r="A905" s="196"/>
      <c r="B905" s="143"/>
      <c r="C905" s="196"/>
      <c r="D905" s="196"/>
      <c r="E905" s="196"/>
      <c r="F905" s="220"/>
      <c r="G905" s="143"/>
      <c r="H905" s="196"/>
      <c r="I905" s="196"/>
      <c r="J905" s="196"/>
      <c r="K905" s="196"/>
      <c r="L905" s="196"/>
      <c r="M905" s="196"/>
      <c r="N905" s="196"/>
      <c r="O905" s="196"/>
      <c r="P905" s="196"/>
      <c r="Q905" s="196"/>
      <c r="R905" s="196"/>
      <c r="S905" s="196"/>
      <c r="T905" s="196"/>
      <c r="U905" s="196"/>
      <c r="V905" s="196"/>
      <c r="W905" s="196"/>
      <c r="X905" s="196"/>
      <c r="Y905" s="196"/>
      <c r="Z905" s="196"/>
      <c r="AA905" s="196"/>
      <c r="AB905" s="196"/>
    </row>
    <row r="906" spans="1:28" ht="12.9">
      <c r="A906" s="196"/>
      <c r="B906" s="143"/>
      <c r="C906" s="196"/>
      <c r="D906" s="196"/>
      <c r="E906" s="196"/>
      <c r="F906" s="220"/>
      <c r="G906" s="143"/>
      <c r="H906" s="196"/>
      <c r="I906" s="196"/>
      <c r="J906" s="196"/>
      <c r="K906" s="196"/>
      <c r="L906" s="196"/>
      <c r="M906" s="196"/>
      <c r="N906" s="196"/>
      <c r="O906" s="196"/>
      <c r="P906" s="196"/>
      <c r="Q906" s="196"/>
      <c r="R906" s="196"/>
      <c r="S906" s="196"/>
      <c r="T906" s="196"/>
      <c r="U906" s="196"/>
      <c r="V906" s="196"/>
      <c r="W906" s="196"/>
      <c r="X906" s="196"/>
      <c r="Y906" s="196"/>
      <c r="Z906" s="196"/>
      <c r="AA906" s="196"/>
      <c r="AB906" s="196"/>
    </row>
    <row r="907" spans="1:28" ht="12.9">
      <c r="A907" s="196"/>
      <c r="B907" s="143"/>
      <c r="C907" s="196"/>
      <c r="D907" s="196"/>
      <c r="E907" s="196"/>
      <c r="F907" s="220"/>
      <c r="G907" s="143"/>
      <c r="H907" s="196"/>
      <c r="I907" s="196"/>
      <c r="J907" s="196"/>
      <c r="K907" s="196"/>
      <c r="L907" s="196"/>
      <c r="M907" s="196"/>
      <c r="N907" s="196"/>
      <c r="O907" s="196"/>
      <c r="P907" s="196"/>
      <c r="Q907" s="196"/>
      <c r="R907" s="196"/>
      <c r="S907" s="196"/>
      <c r="T907" s="196"/>
      <c r="U907" s="196"/>
      <c r="V907" s="196"/>
      <c r="W907" s="196"/>
      <c r="X907" s="196"/>
      <c r="Y907" s="196"/>
      <c r="Z907" s="196"/>
      <c r="AA907" s="196"/>
      <c r="AB907" s="196"/>
    </row>
    <row r="908" spans="1:28" ht="12.9">
      <c r="A908" s="196"/>
      <c r="B908" s="143"/>
      <c r="C908" s="196"/>
      <c r="D908" s="196"/>
      <c r="E908" s="196"/>
      <c r="F908" s="220"/>
      <c r="G908" s="143"/>
      <c r="H908" s="196"/>
      <c r="I908" s="196"/>
      <c r="J908" s="196"/>
      <c r="K908" s="196"/>
      <c r="L908" s="196"/>
      <c r="M908" s="196"/>
      <c r="N908" s="196"/>
      <c r="O908" s="196"/>
      <c r="P908" s="196"/>
      <c r="Q908" s="196"/>
      <c r="R908" s="196"/>
      <c r="S908" s="196"/>
      <c r="T908" s="196"/>
      <c r="U908" s="196"/>
      <c r="V908" s="196"/>
      <c r="W908" s="196"/>
      <c r="X908" s="196"/>
      <c r="Y908" s="196"/>
      <c r="Z908" s="196"/>
      <c r="AA908" s="196"/>
      <c r="AB908" s="196"/>
    </row>
    <row r="909" spans="1:28" ht="12.9">
      <c r="A909" s="196"/>
      <c r="B909" s="143"/>
      <c r="C909" s="196"/>
      <c r="D909" s="196"/>
      <c r="E909" s="196"/>
      <c r="F909" s="220"/>
      <c r="G909" s="143"/>
      <c r="H909" s="196"/>
      <c r="I909" s="196"/>
      <c r="J909" s="196"/>
      <c r="K909" s="196"/>
      <c r="L909" s="196"/>
      <c r="M909" s="196"/>
      <c r="N909" s="196"/>
      <c r="O909" s="196"/>
      <c r="P909" s="196"/>
      <c r="Q909" s="196"/>
      <c r="R909" s="196"/>
      <c r="S909" s="196"/>
      <c r="T909" s="196"/>
      <c r="U909" s="196"/>
      <c r="V909" s="196"/>
      <c r="W909" s="196"/>
      <c r="X909" s="196"/>
      <c r="Y909" s="196"/>
      <c r="Z909" s="196"/>
      <c r="AA909" s="196"/>
      <c r="AB909" s="196"/>
    </row>
    <row r="910" spans="1:28" ht="12.9">
      <c r="A910" s="196"/>
      <c r="B910" s="143"/>
      <c r="C910" s="196"/>
      <c r="D910" s="196"/>
      <c r="E910" s="196"/>
      <c r="F910" s="220"/>
      <c r="G910" s="143"/>
      <c r="H910" s="196"/>
      <c r="I910" s="196"/>
      <c r="J910" s="196"/>
      <c r="K910" s="196"/>
      <c r="L910" s="196"/>
      <c r="M910" s="196"/>
      <c r="N910" s="196"/>
      <c r="O910" s="196"/>
      <c r="P910" s="196"/>
      <c r="Q910" s="196"/>
      <c r="R910" s="196"/>
      <c r="S910" s="196"/>
      <c r="T910" s="196"/>
      <c r="U910" s="196"/>
      <c r="V910" s="196"/>
      <c r="W910" s="196"/>
      <c r="X910" s="196"/>
      <c r="Y910" s="196"/>
      <c r="Z910" s="196"/>
      <c r="AA910" s="196"/>
      <c r="AB910" s="196"/>
    </row>
    <row r="911" spans="1:28" ht="12.9">
      <c r="A911" s="196"/>
      <c r="B911" s="143"/>
      <c r="C911" s="196"/>
      <c r="D911" s="196"/>
      <c r="E911" s="196"/>
      <c r="F911" s="220"/>
      <c r="G911" s="143"/>
      <c r="H911" s="196"/>
      <c r="I911" s="196"/>
      <c r="J911" s="196"/>
      <c r="K911" s="196"/>
      <c r="L911" s="196"/>
      <c r="M911" s="196"/>
      <c r="N911" s="196"/>
      <c r="O911" s="196"/>
      <c r="P911" s="196"/>
      <c r="Q911" s="196"/>
      <c r="R911" s="196"/>
      <c r="S911" s="196"/>
      <c r="T911" s="196"/>
      <c r="U911" s="196"/>
      <c r="V911" s="196"/>
      <c r="W911" s="196"/>
      <c r="X911" s="196"/>
      <c r="Y911" s="196"/>
      <c r="Z911" s="196"/>
      <c r="AA911" s="196"/>
      <c r="AB911" s="196"/>
    </row>
    <row r="912" spans="1:28" ht="12.9">
      <c r="A912" s="196"/>
      <c r="B912" s="143"/>
      <c r="C912" s="196"/>
      <c r="D912" s="196"/>
      <c r="E912" s="196"/>
      <c r="F912" s="220"/>
      <c r="G912" s="143"/>
      <c r="H912" s="196"/>
      <c r="I912" s="196"/>
      <c r="J912" s="196"/>
      <c r="K912" s="196"/>
      <c r="L912" s="196"/>
      <c r="M912" s="196"/>
      <c r="N912" s="196"/>
      <c r="O912" s="196"/>
      <c r="P912" s="196"/>
      <c r="Q912" s="196"/>
      <c r="R912" s="196"/>
      <c r="S912" s="196"/>
      <c r="T912" s="196"/>
      <c r="U912" s="196"/>
      <c r="V912" s="196"/>
      <c r="W912" s="196"/>
      <c r="X912" s="196"/>
      <c r="Y912" s="196"/>
      <c r="Z912" s="196"/>
      <c r="AA912" s="196"/>
      <c r="AB912" s="196"/>
    </row>
    <row r="913" spans="1:28" ht="12.9">
      <c r="A913" s="196"/>
      <c r="B913" s="143"/>
      <c r="C913" s="196"/>
      <c r="D913" s="196"/>
      <c r="E913" s="196"/>
      <c r="F913" s="220"/>
      <c r="G913" s="143"/>
      <c r="H913" s="196"/>
      <c r="I913" s="196"/>
      <c r="J913" s="196"/>
      <c r="K913" s="196"/>
      <c r="L913" s="196"/>
      <c r="M913" s="196"/>
      <c r="N913" s="196"/>
      <c r="O913" s="196"/>
      <c r="P913" s="196"/>
      <c r="Q913" s="196"/>
      <c r="R913" s="196"/>
      <c r="S913" s="196"/>
      <c r="T913" s="196"/>
      <c r="U913" s="196"/>
      <c r="V913" s="196"/>
      <c r="W913" s="196"/>
      <c r="X913" s="196"/>
      <c r="Y913" s="196"/>
      <c r="Z913" s="196"/>
      <c r="AA913" s="196"/>
      <c r="AB913" s="196"/>
    </row>
    <row r="914" spans="1:28" ht="12.9">
      <c r="A914" s="196"/>
      <c r="B914" s="143"/>
      <c r="C914" s="196"/>
      <c r="D914" s="196"/>
      <c r="E914" s="196"/>
      <c r="F914" s="220"/>
      <c r="G914" s="143"/>
      <c r="H914" s="196"/>
      <c r="I914" s="196"/>
      <c r="J914" s="196"/>
      <c r="K914" s="196"/>
      <c r="L914" s="196"/>
      <c r="M914" s="196"/>
      <c r="N914" s="196"/>
      <c r="O914" s="196"/>
      <c r="P914" s="196"/>
      <c r="Q914" s="196"/>
      <c r="R914" s="196"/>
      <c r="S914" s="196"/>
      <c r="T914" s="196"/>
      <c r="U914" s="196"/>
      <c r="V914" s="196"/>
      <c r="W914" s="196"/>
      <c r="X914" s="196"/>
      <c r="Y914" s="196"/>
      <c r="Z914" s="196"/>
      <c r="AA914" s="196"/>
      <c r="AB914" s="196"/>
    </row>
    <row r="915" spans="1:28" ht="12.9">
      <c r="A915" s="196"/>
      <c r="B915" s="143"/>
      <c r="C915" s="196"/>
      <c r="D915" s="196"/>
      <c r="E915" s="196"/>
      <c r="F915" s="220"/>
      <c r="G915" s="143"/>
      <c r="H915" s="196"/>
      <c r="I915" s="196"/>
      <c r="J915" s="196"/>
      <c r="K915" s="196"/>
      <c r="L915" s="196"/>
      <c r="M915" s="196"/>
      <c r="N915" s="196"/>
      <c r="O915" s="196"/>
      <c r="P915" s="196"/>
      <c r="Q915" s="196"/>
      <c r="R915" s="196"/>
      <c r="S915" s="196"/>
      <c r="T915" s="196"/>
      <c r="U915" s="196"/>
      <c r="V915" s="196"/>
      <c r="W915" s="196"/>
      <c r="X915" s="196"/>
      <c r="Y915" s="196"/>
      <c r="Z915" s="196"/>
      <c r="AA915" s="196"/>
      <c r="AB915" s="196"/>
    </row>
    <row r="916" spans="1:28" ht="12.9">
      <c r="A916" s="196"/>
      <c r="B916" s="143"/>
      <c r="C916" s="196"/>
      <c r="D916" s="196"/>
      <c r="E916" s="196"/>
      <c r="F916" s="220"/>
      <c r="G916" s="143"/>
      <c r="H916" s="196"/>
      <c r="I916" s="196"/>
      <c r="J916" s="196"/>
      <c r="K916" s="196"/>
      <c r="L916" s="196"/>
      <c r="M916" s="196"/>
      <c r="N916" s="196"/>
      <c r="O916" s="196"/>
      <c r="P916" s="196"/>
      <c r="Q916" s="196"/>
      <c r="R916" s="196"/>
      <c r="S916" s="196"/>
      <c r="T916" s="196"/>
      <c r="U916" s="196"/>
      <c r="V916" s="196"/>
      <c r="W916" s="196"/>
      <c r="X916" s="196"/>
      <c r="Y916" s="196"/>
      <c r="Z916" s="196"/>
      <c r="AA916" s="196"/>
      <c r="AB916" s="196"/>
    </row>
    <row r="917" spans="1:28" ht="12.9">
      <c r="A917" s="196"/>
      <c r="B917" s="143"/>
      <c r="C917" s="196"/>
      <c r="D917" s="196"/>
      <c r="E917" s="196"/>
      <c r="F917" s="220"/>
      <c r="G917" s="143"/>
      <c r="H917" s="196"/>
      <c r="I917" s="196"/>
      <c r="J917" s="196"/>
      <c r="K917" s="196"/>
      <c r="L917" s="196"/>
      <c r="M917" s="196"/>
      <c r="N917" s="196"/>
      <c r="O917" s="196"/>
      <c r="P917" s="196"/>
      <c r="Q917" s="196"/>
      <c r="R917" s="196"/>
      <c r="S917" s="196"/>
      <c r="T917" s="196"/>
      <c r="U917" s="196"/>
      <c r="V917" s="196"/>
      <c r="W917" s="196"/>
      <c r="X917" s="196"/>
      <c r="Y917" s="196"/>
      <c r="Z917" s="196"/>
      <c r="AA917" s="196"/>
      <c r="AB917" s="196"/>
    </row>
    <row r="918" spans="1:28" ht="12.9">
      <c r="A918" s="196"/>
      <c r="B918" s="143"/>
      <c r="C918" s="196"/>
      <c r="D918" s="196"/>
      <c r="E918" s="196"/>
      <c r="F918" s="220"/>
      <c r="G918" s="143"/>
      <c r="H918" s="196"/>
      <c r="I918" s="196"/>
      <c r="J918" s="196"/>
      <c r="K918" s="196"/>
      <c r="L918" s="196"/>
      <c r="M918" s="196"/>
      <c r="N918" s="196"/>
      <c r="O918" s="196"/>
      <c r="P918" s="196"/>
      <c r="Q918" s="196"/>
      <c r="R918" s="196"/>
      <c r="S918" s="196"/>
      <c r="T918" s="196"/>
      <c r="U918" s="196"/>
      <c r="V918" s="196"/>
      <c r="W918" s="196"/>
      <c r="X918" s="196"/>
      <c r="Y918" s="196"/>
      <c r="Z918" s="196"/>
      <c r="AA918" s="196"/>
      <c r="AB918" s="196"/>
    </row>
    <row r="919" spans="1:28" ht="12.9">
      <c r="A919" s="196"/>
      <c r="B919" s="143"/>
      <c r="C919" s="196"/>
      <c r="D919" s="196"/>
      <c r="E919" s="196"/>
      <c r="F919" s="220"/>
      <c r="G919" s="143"/>
      <c r="H919" s="196"/>
      <c r="I919" s="196"/>
      <c r="J919" s="196"/>
      <c r="K919" s="196"/>
      <c r="L919" s="196"/>
      <c r="M919" s="196"/>
      <c r="N919" s="196"/>
      <c r="O919" s="196"/>
      <c r="P919" s="196"/>
      <c r="Q919" s="196"/>
      <c r="R919" s="196"/>
      <c r="S919" s="196"/>
      <c r="T919" s="196"/>
      <c r="U919" s="196"/>
      <c r="V919" s="196"/>
      <c r="W919" s="196"/>
      <c r="X919" s="196"/>
      <c r="Y919" s="196"/>
      <c r="Z919" s="196"/>
      <c r="AA919" s="196"/>
      <c r="AB919" s="196"/>
    </row>
    <row r="920" spans="1:28" ht="12.9">
      <c r="A920" s="196"/>
      <c r="B920" s="143"/>
      <c r="C920" s="196"/>
      <c r="D920" s="196"/>
      <c r="E920" s="196"/>
      <c r="F920" s="220"/>
      <c r="G920" s="143"/>
      <c r="H920" s="196"/>
      <c r="I920" s="196"/>
      <c r="J920" s="196"/>
      <c r="K920" s="196"/>
      <c r="L920" s="196"/>
      <c r="M920" s="196"/>
      <c r="N920" s="196"/>
      <c r="O920" s="196"/>
      <c r="P920" s="196"/>
      <c r="Q920" s="196"/>
      <c r="R920" s="196"/>
      <c r="S920" s="196"/>
      <c r="T920" s="196"/>
      <c r="U920" s="196"/>
      <c r="V920" s="196"/>
      <c r="W920" s="196"/>
      <c r="X920" s="196"/>
      <c r="Y920" s="196"/>
      <c r="Z920" s="196"/>
      <c r="AA920" s="196"/>
      <c r="AB920" s="196"/>
    </row>
    <row r="921" spans="1:28" ht="12.9">
      <c r="A921" s="196"/>
      <c r="B921" s="143"/>
      <c r="C921" s="196"/>
      <c r="D921" s="196"/>
      <c r="E921" s="196"/>
      <c r="F921" s="220"/>
      <c r="G921" s="143"/>
      <c r="H921" s="196"/>
      <c r="I921" s="196"/>
      <c r="J921" s="196"/>
      <c r="K921" s="196"/>
      <c r="L921" s="196"/>
      <c r="M921" s="196"/>
      <c r="N921" s="196"/>
      <c r="O921" s="196"/>
      <c r="P921" s="196"/>
      <c r="Q921" s="196"/>
      <c r="R921" s="196"/>
      <c r="S921" s="196"/>
      <c r="T921" s="196"/>
      <c r="U921" s="196"/>
      <c r="V921" s="196"/>
      <c r="W921" s="196"/>
      <c r="X921" s="196"/>
      <c r="Y921" s="196"/>
      <c r="Z921" s="196"/>
      <c r="AA921" s="196"/>
      <c r="AB921" s="196"/>
    </row>
    <row r="922" spans="1:28" ht="12.9">
      <c r="A922" s="196"/>
      <c r="B922" s="143"/>
      <c r="C922" s="196"/>
      <c r="D922" s="196"/>
      <c r="E922" s="196"/>
      <c r="F922" s="220"/>
      <c r="G922" s="143"/>
      <c r="H922" s="196"/>
      <c r="I922" s="196"/>
      <c r="J922" s="196"/>
      <c r="K922" s="196"/>
      <c r="L922" s="196"/>
      <c r="M922" s="196"/>
      <c r="N922" s="196"/>
      <c r="O922" s="196"/>
      <c r="P922" s="196"/>
      <c r="Q922" s="196"/>
      <c r="R922" s="196"/>
      <c r="S922" s="196"/>
      <c r="T922" s="196"/>
      <c r="U922" s="196"/>
      <c r="V922" s="196"/>
      <c r="W922" s="196"/>
      <c r="X922" s="196"/>
      <c r="Y922" s="196"/>
      <c r="Z922" s="196"/>
      <c r="AA922" s="196"/>
      <c r="AB922" s="196"/>
    </row>
    <row r="923" spans="1:28" ht="12.9">
      <c r="A923" s="196"/>
      <c r="B923" s="143"/>
      <c r="C923" s="196"/>
      <c r="D923" s="196"/>
      <c r="E923" s="196"/>
      <c r="F923" s="220"/>
      <c r="G923" s="143"/>
      <c r="H923" s="196"/>
      <c r="I923" s="196"/>
      <c r="J923" s="196"/>
      <c r="K923" s="196"/>
      <c r="L923" s="196"/>
      <c r="M923" s="196"/>
      <c r="N923" s="196"/>
      <c r="O923" s="196"/>
      <c r="P923" s="196"/>
      <c r="Q923" s="196"/>
      <c r="R923" s="196"/>
      <c r="S923" s="196"/>
      <c r="T923" s="196"/>
      <c r="U923" s="196"/>
      <c r="V923" s="196"/>
      <c r="W923" s="196"/>
      <c r="X923" s="196"/>
      <c r="Y923" s="196"/>
      <c r="Z923" s="196"/>
      <c r="AA923" s="196"/>
      <c r="AB923" s="196"/>
    </row>
    <row r="924" spans="1:28" ht="12.9">
      <c r="A924" s="196"/>
      <c r="B924" s="143"/>
      <c r="C924" s="196"/>
      <c r="D924" s="196"/>
      <c r="E924" s="196"/>
      <c r="F924" s="220"/>
      <c r="G924" s="143"/>
      <c r="H924" s="196"/>
      <c r="I924" s="196"/>
      <c r="J924" s="196"/>
      <c r="K924" s="196"/>
      <c r="L924" s="196"/>
      <c r="M924" s="196"/>
      <c r="N924" s="196"/>
      <c r="O924" s="196"/>
      <c r="P924" s="196"/>
      <c r="Q924" s="196"/>
      <c r="R924" s="196"/>
      <c r="S924" s="196"/>
      <c r="T924" s="196"/>
      <c r="U924" s="196"/>
      <c r="V924" s="196"/>
      <c r="W924" s="196"/>
      <c r="X924" s="196"/>
      <c r="Y924" s="196"/>
      <c r="Z924" s="196"/>
      <c r="AA924" s="196"/>
      <c r="AB924" s="196"/>
    </row>
    <row r="925" spans="1:28" ht="12.9">
      <c r="A925" s="196"/>
      <c r="B925" s="143"/>
      <c r="C925" s="196"/>
      <c r="D925" s="196"/>
      <c r="E925" s="196"/>
      <c r="F925" s="220"/>
      <c r="G925" s="143"/>
      <c r="H925" s="196"/>
      <c r="I925" s="196"/>
      <c r="J925" s="196"/>
      <c r="K925" s="196"/>
      <c r="L925" s="196"/>
      <c r="M925" s="196"/>
      <c r="N925" s="196"/>
      <c r="O925" s="196"/>
      <c r="P925" s="196"/>
      <c r="Q925" s="196"/>
      <c r="R925" s="196"/>
      <c r="S925" s="196"/>
      <c r="T925" s="196"/>
      <c r="U925" s="196"/>
      <c r="V925" s="196"/>
      <c r="W925" s="196"/>
      <c r="X925" s="196"/>
      <c r="Y925" s="196"/>
      <c r="Z925" s="196"/>
      <c r="AA925" s="196"/>
      <c r="AB925" s="196"/>
    </row>
    <row r="926" spans="1:28" ht="12.9">
      <c r="A926" s="196"/>
      <c r="B926" s="143"/>
      <c r="C926" s="196"/>
      <c r="D926" s="196"/>
      <c r="E926" s="196"/>
      <c r="F926" s="220"/>
      <c r="G926" s="143"/>
      <c r="H926" s="196"/>
      <c r="I926" s="196"/>
      <c r="J926" s="196"/>
      <c r="K926" s="196"/>
      <c r="L926" s="196"/>
      <c r="M926" s="196"/>
      <c r="N926" s="196"/>
      <c r="O926" s="196"/>
      <c r="P926" s="196"/>
      <c r="Q926" s="196"/>
      <c r="R926" s="196"/>
      <c r="S926" s="196"/>
      <c r="T926" s="196"/>
      <c r="U926" s="196"/>
      <c r="V926" s="196"/>
      <c r="W926" s="196"/>
      <c r="X926" s="196"/>
      <c r="Y926" s="196"/>
      <c r="Z926" s="196"/>
      <c r="AA926" s="196"/>
      <c r="AB926" s="196"/>
    </row>
    <row r="927" spans="1:28" ht="12.9">
      <c r="A927" s="196"/>
      <c r="B927" s="143"/>
      <c r="C927" s="196"/>
      <c r="D927" s="196"/>
      <c r="E927" s="196"/>
      <c r="F927" s="220"/>
      <c r="G927" s="143"/>
      <c r="H927" s="196"/>
      <c r="I927" s="196"/>
      <c r="J927" s="196"/>
      <c r="K927" s="196"/>
      <c r="L927" s="196"/>
      <c r="M927" s="196"/>
      <c r="N927" s="196"/>
      <c r="O927" s="196"/>
      <c r="P927" s="196"/>
      <c r="Q927" s="196"/>
      <c r="R927" s="196"/>
      <c r="S927" s="196"/>
      <c r="T927" s="196"/>
      <c r="U927" s="196"/>
      <c r="V927" s="196"/>
      <c r="W927" s="196"/>
      <c r="X927" s="196"/>
      <c r="Y927" s="196"/>
      <c r="Z927" s="196"/>
      <c r="AA927" s="196"/>
      <c r="AB927" s="196"/>
    </row>
    <row r="928" spans="1:28" ht="12.9">
      <c r="A928" s="196"/>
      <c r="B928" s="143"/>
      <c r="C928" s="196"/>
      <c r="D928" s="196"/>
      <c r="E928" s="196"/>
      <c r="F928" s="220"/>
      <c r="G928" s="143"/>
      <c r="H928" s="196"/>
      <c r="I928" s="196"/>
      <c r="J928" s="196"/>
      <c r="K928" s="196"/>
      <c r="L928" s="196"/>
      <c r="M928" s="196"/>
      <c r="N928" s="196"/>
      <c r="O928" s="196"/>
      <c r="P928" s="196"/>
      <c r="Q928" s="196"/>
      <c r="R928" s="196"/>
      <c r="S928" s="196"/>
      <c r="T928" s="196"/>
      <c r="U928" s="196"/>
      <c r="V928" s="196"/>
      <c r="W928" s="196"/>
      <c r="X928" s="196"/>
      <c r="Y928" s="196"/>
      <c r="Z928" s="196"/>
      <c r="AA928" s="196"/>
      <c r="AB928" s="196"/>
    </row>
    <row r="929" spans="1:28" ht="12.9">
      <c r="A929" s="196"/>
      <c r="B929" s="143"/>
      <c r="C929" s="196"/>
      <c r="D929" s="196"/>
      <c r="E929" s="196"/>
      <c r="F929" s="220"/>
      <c r="G929" s="143"/>
      <c r="H929" s="196"/>
      <c r="I929" s="196"/>
      <c r="J929" s="196"/>
      <c r="K929" s="196"/>
      <c r="L929" s="196"/>
      <c r="M929" s="196"/>
      <c r="N929" s="196"/>
      <c r="O929" s="196"/>
      <c r="P929" s="196"/>
      <c r="Q929" s="196"/>
      <c r="R929" s="196"/>
      <c r="S929" s="196"/>
      <c r="T929" s="196"/>
      <c r="U929" s="196"/>
      <c r="V929" s="196"/>
      <c r="W929" s="196"/>
      <c r="X929" s="196"/>
      <c r="Y929" s="196"/>
      <c r="Z929" s="196"/>
      <c r="AA929" s="196"/>
      <c r="AB929" s="196"/>
    </row>
    <row r="930" spans="1:28" ht="12.9">
      <c r="A930" s="196"/>
      <c r="B930" s="143"/>
      <c r="C930" s="196"/>
      <c r="D930" s="196"/>
      <c r="E930" s="196"/>
      <c r="F930" s="220"/>
      <c r="G930" s="143"/>
      <c r="H930" s="196"/>
      <c r="I930" s="196"/>
      <c r="J930" s="196"/>
      <c r="K930" s="196"/>
      <c r="L930" s="196"/>
      <c r="M930" s="196"/>
      <c r="N930" s="196"/>
      <c r="O930" s="196"/>
      <c r="P930" s="196"/>
      <c r="Q930" s="196"/>
      <c r="R930" s="196"/>
      <c r="S930" s="196"/>
      <c r="T930" s="196"/>
      <c r="U930" s="196"/>
      <c r="V930" s="196"/>
      <c r="W930" s="196"/>
      <c r="X930" s="196"/>
      <c r="Y930" s="196"/>
      <c r="Z930" s="196"/>
      <c r="AA930" s="196"/>
      <c r="AB930" s="196"/>
    </row>
    <row r="931" spans="1:28" ht="12.9">
      <c r="A931" s="196"/>
      <c r="B931" s="143"/>
      <c r="C931" s="196"/>
      <c r="D931" s="196"/>
      <c r="E931" s="196"/>
      <c r="F931" s="220"/>
      <c r="G931" s="143"/>
      <c r="H931" s="196"/>
      <c r="I931" s="196"/>
      <c r="J931" s="196"/>
      <c r="K931" s="196"/>
      <c r="L931" s="196"/>
      <c r="M931" s="196"/>
      <c r="N931" s="196"/>
      <c r="O931" s="196"/>
      <c r="P931" s="196"/>
      <c r="Q931" s="196"/>
      <c r="R931" s="196"/>
      <c r="S931" s="196"/>
      <c r="T931" s="196"/>
      <c r="U931" s="196"/>
      <c r="V931" s="196"/>
      <c r="W931" s="196"/>
      <c r="X931" s="196"/>
      <c r="Y931" s="196"/>
      <c r="Z931" s="196"/>
      <c r="AA931" s="196"/>
      <c r="AB931" s="196"/>
    </row>
    <row r="932" spans="1:28" ht="12.9">
      <c r="A932" s="196"/>
      <c r="B932" s="143"/>
      <c r="C932" s="196"/>
      <c r="D932" s="196"/>
      <c r="E932" s="196"/>
      <c r="F932" s="220"/>
      <c r="G932" s="143"/>
      <c r="H932" s="196"/>
      <c r="I932" s="196"/>
      <c r="J932" s="196"/>
      <c r="K932" s="196"/>
      <c r="L932" s="196"/>
      <c r="M932" s="196"/>
      <c r="N932" s="196"/>
      <c r="O932" s="196"/>
      <c r="P932" s="196"/>
      <c r="Q932" s="196"/>
      <c r="R932" s="196"/>
      <c r="S932" s="196"/>
      <c r="T932" s="196"/>
      <c r="U932" s="196"/>
      <c r="V932" s="196"/>
      <c r="W932" s="196"/>
      <c r="X932" s="196"/>
      <c r="Y932" s="196"/>
      <c r="Z932" s="196"/>
      <c r="AA932" s="196"/>
      <c r="AB932" s="196"/>
    </row>
    <row r="933" spans="1:28" ht="12.9">
      <c r="A933" s="196"/>
      <c r="B933" s="143"/>
      <c r="C933" s="196"/>
      <c r="D933" s="196"/>
      <c r="E933" s="196"/>
      <c r="F933" s="220"/>
      <c r="G933" s="143"/>
      <c r="H933" s="196"/>
      <c r="I933" s="196"/>
      <c r="J933" s="196"/>
      <c r="K933" s="196"/>
      <c r="L933" s="196"/>
      <c r="M933" s="196"/>
      <c r="N933" s="196"/>
      <c r="O933" s="196"/>
      <c r="P933" s="196"/>
      <c r="Q933" s="196"/>
      <c r="R933" s="196"/>
      <c r="S933" s="196"/>
      <c r="T933" s="196"/>
      <c r="U933" s="196"/>
      <c r="V933" s="196"/>
      <c r="W933" s="196"/>
      <c r="X933" s="196"/>
      <c r="Y933" s="196"/>
      <c r="Z933" s="196"/>
      <c r="AA933" s="196"/>
      <c r="AB933" s="196"/>
    </row>
    <row r="934" spans="1:28" ht="12.9">
      <c r="A934" s="196"/>
      <c r="B934" s="143"/>
      <c r="C934" s="196"/>
      <c r="D934" s="196"/>
      <c r="E934" s="196"/>
      <c r="F934" s="220"/>
      <c r="G934" s="143"/>
      <c r="H934" s="196"/>
      <c r="I934" s="196"/>
      <c r="J934" s="196"/>
      <c r="K934" s="196"/>
      <c r="L934" s="196"/>
      <c r="M934" s="196"/>
      <c r="N934" s="196"/>
      <c r="O934" s="196"/>
      <c r="P934" s="196"/>
      <c r="Q934" s="196"/>
      <c r="R934" s="196"/>
      <c r="S934" s="196"/>
      <c r="T934" s="196"/>
      <c r="U934" s="196"/>
      <c r="V934" s="196"/>
      <c r="W934" s="196"/>
      <c r="X934" s="196"/>
      <c r="Y934" s="196"/>
      <c r="Z934" s="196"/>
      <c r="AA934" s="196"/>
      <c r="AB934" s="196"/>
    </row>
    <row r="935" spans="1:28" ht="12.9">
      <c r="A935" s="196"/>
      <c r="B935" s="143"/>
      <c r="C935" s="196"/>
      <c r="D935" s="196"/>
      <c r="E935" s="196"/>
      <c r="F935" s="220"/>
      <c r="G935" s="143"/>
      <c r="H935" s="196"/>
      <c r="I935" s="196"/>
      <c r="J935" s="196"/>
      <c r="K935" s="196"/>
      <c r="L935" s="196"/>
      <c r="M935" s="196"/>
      <c r="N935" s="196"/>
      <c r="O935" s="196"/>
      <c r="P935" s="196"/>
      <c r="Q935" s="196"/>
      <c r="R935" s="196"/>
      <c r="S935" s="196"/>
      <c r="T935" s="196"/>
      <c r="U935" s="196"/>
      <c r="V935" s="196"/>
      <c r="W935" s="196"/>
      <c r="X935" s="196"/>
      <c r="Y935" s="196"/>
      <c r="Z935" s="196"/>
      <c r="AA935" s="196"/>
      <c r="AB935" s="196"/>
    </row>
    <row r="936" spans="1:28" ht="12.9">
      <c r="A936" s="196"/>
      <c r="B936" s="143"/>
      <c r="C936" s="196"/>
      <c r="D936" s="196"/>
      <c r="E936" s="196"/>
      <c r="F936" s="220"/>
      <c r="G936" s="143"/>
      <c r="H936" s="196"/>
      <c r="I936" s="196"/>
      <c r="J936" s="196"/>
      <c r="K936" s="196"/>
      <c r="L936" s="196"/>
      <c r="M936" s="196"/>
      <c r="N936" s="196"/>
      <c r="O936" s="196"/>
      <c r="P936" s="196"/>
      <c r="Q936" s="196"/>
      <c r="R936" s="196"/>
      <c r="S936" s="196"/>
      <c r="T936" s="196"/>
      <c r="U936" s="196"/>
      <c r="V936" s="196"/>
      <c r="W936" s="196"/>
      <c r="X936" s="196"/>
      <c r="Y936" s="196"/>
      <c r="Z936" s="196"/>
      <c r="AA936" s="196"/>
      <c r="AB936" s="196"/>
    </row>
    <row r="937" spans="1:28" ht="12.9">
      <c r="A937" s="196"/>
      <c r="B937" s="143"/>
      <c r="C937" s="196"/>
      <c r="D937" s="196"/>
      <c r="E937" s="196"/>
      <c r="F937" s="220"/>
      <c r="G937" s="143"/>
      <c r="H937" s="196"/>
      <c r="I937" s="196"/>
      <c r="J937" s="196"/>
      <c r="K937" s="196"/>
      <c r="L937" s="196"/>
      <c r="M937" s="196"/>
      <c r="N937" s="196"/>
      <c r="O937" s="196"/>
      <c r="P937" s="196"/>
      <c r="Q937" s="196"/>
      <c r="R937" s="196"/>
      <c r="S937" s="196"/>
      <c r="T937" s="196"/>
      <c r="U937" s="196"/>
      <c r="V937" s="196"/>
      <c r="W937" s="196"/>
      <c r="X937" s="196"/>
      <c r="Y937" s="196"/>
      <c r="Z937" s="196"/>
      <c r="AA937" s="196"/>
      <c r="AB937" s="196"/>
    </row>
    <row r="938" spans="1:28" ht="12.9">
      <c r="A938" s="196"/>
      <c r="B938" s="143"/>
      <c r="C938" s="196"/>
      <c r="D938" s="196"/>
      <c r="E938" s="196"/>
      <c r="F938" s="220"/>
      <c r="G938" s="143"/>
      <c r="H938" s="196"/>
      <c r="I938" s="196"/>
      <c r="J938" s="196"/>
      <c r="K938" s="196"/>
      <c r="L938" s="196"/>
      <c r="M938" s="196"/>
      <c r="N938" s="196"/>
      <c r="O938" s="196"/>
      <c r="P938" s="196"/>
      <c r="Q938" s="196"/>
      <c r="R938" s="196"/>
      <c r="S938" s="196"/>
      <c r="T938" s="196"/>
      <c r="U938" s="196"/>
      <c r="V938" s="196"/>
      <c r="W938" s="196"/>
      <c r="X938" s="196"/>
      <c r="Y938" s="196"/>
      <c r="Z938" s="196"/>
      <c r="AA938" s="196"/>
      <c r="AB938" s="196"/>
    </row>
    <row r="939" spans="1:28" ht="12.9">
      <c r="A939" s="196"/>
      <c r="B939" s="143"/>
      <c r="C939" s="196"/>
      <c r="D939" s="196"/>
      <c r="E939" s="196"/>
      <c r="F939" s="220"/>
      <c r="G939" s="143"/>
      <c r="H939" s="196"/>
      <c r="I939" s="196"/>
      <c r="J939" s="196"/>
      <c r="K939" s="196"/>
      <c r="L939" s="196"/>
      <c r="M939" s="196"/>
      <c r="N939" s="196"/>
      <c r="O939" s="196"/>
      <c r="P939" s="196"/>
      <c r="Q939" s="196"/>
      <c r="R939" s="196"/>
      <c r="S939" s="196"/>
      <c r="T939" s="196"/>
      <c r="U939" s="196"/>
      <c r="V939" s="196"/>
      <c r="W939" s="196"/>
      <c r="X939" s="196"/>
      <c r="Y939" s="196"/>
      <c r="Z939" s="196"/>
      <c r="AA939" s="196"/>
      <c r="AB939" s="196"/>
    </row>
    <row r="940" spans="1:28" ht="12.9">
      <c r="A940" s="196"/>
      <c r="B940" s="143"/>
      <c r="C940" s="196"/>
      <c r="D940" s="196"/>
      <c r="E940" s="196"/>
      <c r="F940" s="220"/>
      <c r="G940" s="143"/>
      <c r="H940" s="196"/>
      <c r="I940" s="196"/>
      <c r="J940" s="196"/>
      <c r="K940" s="196"/>
      <c r="L940" s="196"/>
      <c r="M940" s="196"/>
      <c r="N940" s="196"/>
      <c r="O940" s="196"/>
      <c r="P940" s="196"/>
      <c r="Q940" s="196"/>
      <c r="R940" s="196"/>
      <c r="S940" s="196"/>
      <c r="T940" s="196"/>
      <c r="U940" s="196"/>
      <c r="V940" s="196"/>
      <c r="W940" s="196"/>
      <c r="X940" s="196"/>
      <c r="Y940" s="196"/>
      <c r="Z940" s="196"/>
      <c r="AA940" s="196"/>
      <c r="AB940" s="196"/>
    </row>
    <row r="941" spans="1:28" ht="12.9">
      <c r="A941" s="196"/>
      <c r="B941" s="143"/>
      <c r="C941" s="196"/>
      <c r="D941" s="196"/>
      <c r="E941" s="196"/>
      <c r="F941" s="220"/>
      <c r="G941" s="143"/>
      <c r="H941" s="196"/>
      <c r="I941" s="196"/>
      <c r="J941" s="196"/>
      <c r="K941" s="196"/>
      <c r="L941" s="196"/>
      <c r="M941" s="196"/>
      <c r="N941" s="196"/>
      <c r="O941" s="196"/>
      <c r="P941" s="196"/>
      <c r="Q941" s="196"/>
      <c r="R941" s="196"/>
      <c r="S941" s="196"/>
      <c r="T941" s="196"/>
      <c r="U941" s="196"/>
      <c r="V941" s="196"/>
      <c r="W941" s="196"/>
      <c r="X941" s="196"/>
      <c r="Y941" s="196"/>
      <c r="Z941" s="196"/>
      <c r="AA941" s="196"/>
      <c r="AB941" s="196"/>
    </row>
    <row r="942" spans="1:28" ht="12.9">
      <c r="A942" s="196"/>
      <c r="B942" s="143"/>
      <c r="C942" s="196"/>
      <c r="D942" s="196"/>
      <c r="E942" s="196"/>
      <c r="F942" s="220"/>
      <c r="G942" s="143"/>
      <c r="H942" s="196"/>
      <c r="I942" s="196"/>
      <c r="J942" s="196"/>
      <c r="K942" s="196"/>
      <c r="L942" s="196"/>
      <c r="M942" s="196"/>
      <c r="N942" s="196"/>
      <c r="O942" s="196"/>
      <c r="P942" s="196"/>
      <c r="Q942" s="196"/>
      <c r="R942" s="196"/>
      <c r="S942" s="196"/>
      <c r="T942" s="196"/>
      <c r="U942" s="196"/>
      <c r="V942" s="196"/>
      <c r="W942" s="196"/>
      <c r="X942" s="196"/>
      <c r="Y942" s="196"/>
      <c r="Z942" s="196"/>
      <c r="AA942" s="196"/>
      <c r="AB942" s="196"/>
    </row>
    <row r="943" spans="1:28" ht="12.9">
      <c r="A943" s="196"/>
      <c r="B943" s="143"/>
      <c r="C943" s="196"/>
      <c r="D943" s="196"/>
      <c r="E943" s="196"/>
      <c r="F943" s="220"/>
      <c r="G943" s="143"/>
      <c r="H943" s="196"/>
      <c r="I943" s="196"/>
      <c r="J943" s="196"/>
      <c r="K943" s="196"/>
      <c r="L943" s="196"/>
      <c r="M943" s="196"/>
      <c r="N943" s="196"/>
      <c r="O943" s="196"/>
      <c r="P943" s="196"/>
      <c r="Q943" s="196"/>
      <c r="R943" s="196"/>
      <c r="S943" s="196"/>
      <c r="T943" s="196"/>
      <c r="U943" s="196"/>
      <c r="V943" s="196"/>
      <c r="W943" s="196"/>
      <c r="X943" s="196"/>
      <c r="Y943" s="196"/>
      <c r="Z943" s="196"/>
      <c r="AA943" s="196"/>
      <c r="AB943" s="196"/>
    </row>
    <row r="944" spans="1:28" ht="12.9">
      <c r="A944" s="196"/>
      <c r="B944" s="143"/>
      <c r="C944" s="196"/>
      <c r="D944" s="196"/>
      <c r="E944" s="196"/>
      <c r="F944" s="220"/>
      <c r="G944" s="143"/>
      <c r="H944" s="196"/>
      <c r="I944" s="196"/>
      <c r="J944" s="196"/>
      <c r="K944" s="196"/>
      <c r="L944" s="196"/>
      <c r="M944" s="196"/>
      <c r="N944" s="196"/>
      <c r="O944" s="196"/>
      <c r="P944" s="196"/>
      <c r="Q944" s="196"/>
      <c r="R944" s="196"/>
      <c r="S944" s="196"/>
      <c r="T944" s="196"/>
      <c r="U944" s="196"/>
      <c r="V944" s="196"/>
      <c r="W944" s="196"/>
      <c r="X944" s="196"/>
      <c r="Y944" s="196"/>
      <c r="Z944" s="196"/>
      <c r="AA944" s="196"/>
      <c r="AB944" s="196"/>
    </row>
    <row r="945" spans="1:28" ht="12.9">
      <c r="A945" s="196"/>
      <c r="B945" s="143"/>
      <c r="C945" s="196"/>
      <c r="D945" s="196"/>
      <c r="E945" s="196"/>
      <c r="F945" s="220"/>
      <c r="G945" s="143"/>
      <c r="H945" s="196"/>
      <c r="I945" s="196"/>
      <c r="J945" s="196"/>
      <c r="K945" s="196"/>
      <c r="L945" s="196"/>
      <c r="M945" s="196"/>
      <c r="N945" s="196"/>
      <c r="O945" s="196"/>
      <c r="P945" s="196"/>
      <c r="Q945" s="196"/>
      <c r="R945" s="196"/>
      <c r="S945" s="196"/>
      <c r="T945" s="196"/>
      <c r="U945" s="196"/>
      <c r="V945" s="196"/>
      <c r="W945" s="196"/>
      <c r="X945" s="196"/>
      <c r="Y945" s="196"/>
      <c r="Z945" s="196"/>
      <c r="AA945" s="196"/>
      <c r="AB945" s="196"/>
    </row>
    <row r="946" spans="1:28" ht="12.9">
      <c r="A946" s="196"/>
      <c r="B946" s="143"/>
      <c r="C946" s="196"/>
      <c r="D946" s="196"/>
      <c r="E946" s="196"/>
      <c r="F946" s="220"/>
      <c r="G946" s="143"/>
      <c r="H946" s="196"/>
      <c r="I946" s="196"/>
      <c r="J946" s="196"/>
      <c r="K946" s="196"/>
      <c r="L946" s="196"/>
      <c r="M946" s="196"/>
      <c r="N946" s="196"/>
      <c r="O946" s="196"/>
      <c r="P946" s="196"/>
      <c r="Q946" s="196"/>
      <c r="R946" s="196"/>
      <c r="S946" s="196"/>
      <c r="T946" s="196"/>
      <c r="U946" s="196"/>
      <c r="V946" s="196"/>
      <c r="W946" s="196"/>
      <c r="X946" s="196"/>
      <c r="Y946" s="196"/>
      <c r="Z946" s="196"/>
      <c r="AA946" s="196"/>
      <c r="AB946" s="196"/>
    </row>
    <row r="947" spans="1:28" ht="12.9">
      <c r="A947" s="196"/>
      <c r="B947" s="143"/>
      <c r="C947" s="196"/>
      <c r="D947" s="196"/>
      <c r="E947" s="196"/>
      <c r="F947" s="220"/>
      <c r="G947" s="143"/>
      <c r="H947" s="196"/>
      <c r="I947" s="196"/>
      <c r="J947" s="196"/>
      <c r="K947" s="196"/>
      <c r="L947" s="196"/>
      <c r="M947" s="196"/>
      <c r="N947" s="196"/>
      <c r="O947" s="196"/>
      <c r="P947" s="196"/>
      <c r="Q947" s="196"/>
      <c r="R947" s="196"/>
      <c r="S947" s="196"/>
      <c r="T947" s="196"/>
      <c r="U947" s="196"/>
      <c r="V947" s="196"/>
      <c r="W947" s="196"/>
      <c r="X947" s="196"/>
      <c r="Y947" s="196"/>
      <c r="Z947" s="196"/>
      <c r="AA947" s="196"/>
      <c r="AB947" s="196"/>
    </row>
    <row r="948" spans="1:28" ht="12.9">
      <c r="A948" s="196"/>
      <c r="B948" s="143"/>
      <c r="C948" s="196"/>
      <c r="D948" s="196"/>
      <c r="E948" s="196"/>
      <c r="F948" s="220"/>
      <c r="G948" s="143"/>
      <c r="H948" s="196"/>
      <c r="I948" s="196"/>
      <c r="J948" s="196"/>
      <c r="K948" s="196"/>
      <c r="L948" s="196"/>
      <c r="M948" s="196"/>
      <c r="N948" s="196"/>
      <c r="O948" s="196"/>
      <c r="P948" s="196"/>
      <c r="Q948" s="196"/>
      <c r="R948" s="196"/>
      <c r="S948" s="196"/>
      <c r="T948" s="196"/>
      <c r="U948" s="196"/>
      <c r="V948" s="196"/>
      <c r="W948" s="196"/>
      <c r="X948" s="196"/>
      <c r="Y948" s="196"/>
      <c r="Z948" s="196"/>
      <c r="AA948" s="196"/>
      <c r="AB948" s="196"/>
    </row>
    <row r="949" spans="1:28" ht="12.9">
      <c r="A949" s="196"/>
      <c r="B949" s="143"/>
      <c r="C949" s="196"/>
      <c r="D949" s="196"/>
      <c r="E949" s="196"/>
      <c r="F949" s="220"/>
      <c r="G949" s="143"/>
      <c r="H949" s="196"/>
      <c r="I949" s="196"/>
      <c r="J949" s="196"/>
      <c r="K949" s="196"/>
      <c r="L949" s="196"/>
      <c r="M949" s="196"/>
      <c r="N949" s="196"/>
      <c r="O949" s="196"/>
      <c r="P949" s="196"/>
      <c r="Q949" s="196"/>
      <c r="R949" s="196"/>
      <c r="S949" s="196"/>
      <c r="T949" s="196"/>
      <c r="U949" s="196"/>
      <c r="V949" s="196"/>
      <c r="W949" s="196"/>
      <c r="X949" s="196"/>
      <c r="Y949" s="196"/>
      <c r="Z949" s="196"/>
      <c r="AA949" s="196"/>
      <c r="AB949" s="196"/>
    </row>
    <row r="950" spans="1:28" ht="12.9">
      <c r="A950" s="196"/>
      <c r="B950" s="143"/>
      <c r="C950" s="196"/>
      <c r="D950" s="196"/>
      <c r="E950" s="196"/>
      <c r="F950" s="220"/>
      <c r="G950" s="143"/>
      <c r="H950" s="196"/>
      <c r="I950" s="196"/>
      <c r="J950" s="196"/>
      <c r="K950" s="196"/>
      <c r="L950" s="196"/>
      <c r="M950" s="196"/>
      <c r="N950" s="196"/>
      <c r="O950" s="196"/>
      <c r="P950" s="196"/>
      <c r="Q950" s="196"/>
      <c r="R950" s="196"/>
      <c r="S950" s="196"/>
      <c r="T950" s="196"/>
      <c r="U950" s="196"/>
      <c r="V950" s="196"/>
      <c r="W950" s="196"/>
      <c r="X950" s="196"/>
      <c r="Y950" s="196"/>
      <c r="Z950" s="196"/>
      <c r="AA950" s="196"/>
      <c r="AB950" s="196"/>
    </row>
    <row r="951" spans="1:28" ht="12.9">
      <c r="A951" s="196"/>
      <c r="B951" s="143"/>
      <c r="C951" s="196"/>
      <c r="D951" s="196"/>
      <c r="E951" s="196"/>
      <c r="F951" s="220"/>
      <c r="G951" s="143"/>
      <c r="H951" s="196"/>
      <c r="I951" s="196"/>
      <c r="J951" s="196"/>
      <c r="K951" s="196"/>
      <c r="L951" s="196"/>
      <c r="M951" s="196"/>
      <c r="N951" s="196"/>
      <c r="O951" s="196"/>
      <c r="P951" s="196"/>
      <c r="Q951" s="196"/>
      <c r="R951" s="196"/>
      <c r="S951" s="196"/>
      <c r="T951" s="196"/>
      <c r="U951" s="196"/>
      <c r="V951" s="196"/>
      <c r="W951" s="196"/>
      <c r="X951" s="196"/>
      <c r="Y951" s="196"/>
      <c r="Z951" s="196"/>
      <c r="AA951" s="196"/>
      <c r="AB951" s="196"/>
    </row>
    <row r="952" spans="1:28" ht="12.9">
      <c r="A952" s="196"/>
      <c r="B952" s="143"/>
      <c r="C952" s="196"/>
      <c r="D952" s="196"/>
      <c r="E952" s="196"/>
      <c r="F952" s="220"/>
      <c r="G952" s="143"/>
      <c r="H952" s="196"/>
      <c r="I952" s="196"/>
      <c r="J952" s="196"/>
      <c r="K952" s="196"/>
      <c r="L952" s="196"/>
      <c r="M952" s="196"/>
      <c r="N952" s="196"/>
      <c r="O952" s="196"/>
      <c r="P952" s="196"/>
      <c r="Q952" s="196"/>
      <c r="R952" s="196"/>
      <c r="S952" s="196"/>
      <c r="T952" s="196"/>
      <c r="U952" s="196"/>
      <c r="V952" s="196"/>
      <c r="W952" s="196"/>
      <c r="X952" s="196"/>
      <c r="Y952" s="196"/>
      <c r="Z952" s="196"/>
      <c r="AA952" s="196"/>
      <c r="AB952" s="196"/>
    </row>
    <row r="953" spans="1:28" ht="12.9">
      <c r="A953" s="196"/>
      <c r="B953" s="143"/>
      <c r="C953" s="196"/>
      <c r="D953" s="196"/>
      <c r="E953" s="196"/>
      <c r="F953" s="220"/>
      <c r="G953" s="143"/>
      <c r="H953" s="196"/>
      <c r="I953" s="196"/>
      <c r="J953" s="196"/>
      <c r="K953" s="196"/>
      <c r="L953" s="196"/>
      <c r="M953" s="196"/>
      <c r="N953" s="196"/>
      <c r="O953" s="196"/>
      <c r="P953" s="196"/>
      <c r="Q953" s="196"/>
      <c r="R953" s="196"/>
      <c r="S953" s="196"/>
      <c r="T953" s="196"/>
      <c r="U953" s="196"/>
      <c r="V953" s="196"/>
      <c r="W953" s="196"/>
      <c r="X953" s="196"/>
      <c r="Y953" s="196"/>
      <c r="Z953" s="196"/>
      <c r="AA953" s="196"/>
      <c r="AB953" s="196"/>
    </row>
    <row r="954" spans="1:28" ht="12.9">
      <c r="A954" s="196"/>
      <c r="B954" s="143"/>
      <c r="C954" s="196"/>
      <c r="D954" s="196"/>
      <c r="E954" s="196"/>
      <c r="F954" s="220"/>
      <c r="G954" s="143"/>
      <c r="H954" s="196"/>
      <c r="I954" s="196"/>
      <c r="J954" s="196"/>
      <c r="K954" s="196"/>
      <c r="L954" s="196"/>
      <c r="M954" s="196"/>
      <c r="N954" s="196"/>
      <c r="O954" s="196"/>
      <c r="P954" s="196"/>
      <c r="Q954" s="196"/>
      <c r="R954" s="196"/>
      <c r="S954" s="196"/>
      <c r="T954" s="196"/>
      <c r="U954" s="196"/>
      <c r="V954" s="196"/>
      <c r="W954" s="196"/>
      <c r="X954" s="196"/>
      <c r="Y954" s="196"/>
      <c r="Z954" s="196"/>
      <c r="AA954" s="196"/>
      <c r="AB954" s="196"/>
    </row>
    <row r="955" spans="1:28" ht="12.9">
      <c r="A955" s="196"/>
      <c r="B955" s="143"/>
      <c r="C955" s="196"/>
      <c r="D955" s="196"/>
      <c r="E955" s="196"/>
      <c r="F955" s="220"/>
      <c r="G955" s="143"/>
      <c r="H955" s="196"/>
      <c r="I955" s="196"/>
      <c r="J955" s="196"/>
      <c r="K955" s="196"/>
      <c r="L955" s="196"/>
      <c r="M955" s="196"/>
      <c r="N955" s="196"/>
      <c r="O955" s="196"/>
      <c r="P955" s="196"/>
      <c r="Q955" s="196"/>
      <c r="R955" s="196"/>
      <c r="S955" s="196"/>
      <c r="T955" s="196"/>
      <c r="U955" s="196"/>
      <c r="V955" s="196"/>
      <c r="W955" s="196"/>
      <c r="X955" s="196"/>
      <c r="Y955" s="196"/>
      <c r="Z955" s="196"/>
      <c r="AA955" s="196"/>
      <c r="AB955" s="196"/>
    </row>
    <row r="956" spans="1:28" ht="12.9">
      <c r="A956" s="196"/>
      <c r="B956" s="143"/>
      <c r="C956" s="196"/>
      <c r="D956" s="196"/>
      <c r="E956" s="196"/>
      <c r="F956" s="220"/>
      <c r="G956" s="143"/>
      <c r="H956" s="196"/>
      <c r="I956" s="196"/>
      <c r="J956" s="196"/>
      <c r="K956" s="196"/>
      <c r="L956" s="196"/>
      <c r="M956" s="196"/>
      <c r="N956" s="196"/>
      <c r="O956" s="196"/>
      <c r="P956" s="196"/>
      <c r="Q956" s="196"/>
      <c r="R956" s="196"/>
      <c r="S956" s="196"/>
      <c r="T956" s="196"/>
      <c r="U956" s="196"/>
      <c r="V956" s="196"/>
      <c r="W956" s="196"/>
      <c r="X956" s="196"/>
      <c r="Y956" s="196"/>
      <c r="Z956" s="196"/>
      <c r="AA956" s="196"/>
      <c r="AB956" s="196"/>
    </row>
    <row r="957" spans="1:28" ht="12.9">
      <c r="A957" s="196"/>
      <c r="B957" s="143"/>
      <c r="C957" s="196"/>
      <c r="D957" s="196"/>
      <c r="E957" s="196"/>
      <c r="F957" s="220"/>
      <c r="G957" s="143"/>
      <c r="H957" s="196"/>
      <c r="I957" s="196"/>
      <c r="J957" s="196"/>
      <c r="K957" s="196"/>
      <c r="L957" s="196"/>
      <c r="M957" s="196"/>
      <c r="N957" s="196"/>
      <c r="O957" s="196"/>
      <c r="P957" s="196"/>
      <c r="Q957" s="196"/>
      <c r="R957" s="196"/>
      <c r="S957" s="196"/>
      <c r="T957" s="196"/>
      <c r="U957" s="196"/>
      <c r="V957" s="196"/>
      <c r="W957" s="196"/>
      <c r="X957" s="196"/>
      <c r="Y957" s="196"/>
      <c r="Z957" s="196"/>
      <c r="AA957" s="196"/>
      <c r="AB957" s="196"/>
    </row>
    <row r="958" spans="1:28" ht="12.9">
      <c r="A958" s="196"/>
      <c r="B958" s="143"/>
      <c r="C958" s="196"/>
      <c r="D958" s="196"/>
      <c r="E958" s="196"/>
      <c r="F958" s="220"/>
      <c r="G958" s="143"/>
      <c r="H958" s="196"/>
      <c r="I958" s="196"/>
      <c r="J958" s="196"/>
      <c r="K958" s="196"/>
      <c r="L958" s="196"/>
      <c r="M958" s="196"/>
      <c r="N958" s="196"/>
      <c r="O958" s="196"/>
      <c r="P958" s="196"/>
      <c r="Q958" s="196"/>
      <c r="R958" s="196"/>
      <c r="S958" s="196"/>
      <c r="T958" s="196"/>
      <c r="U958" s="196"/>
      <c r="V958" s="196"/>
      <c r="W958" s="196"/>
      <c r="X958" s="196"/>
      <c r="Y958" s="196"/>
      <c r="Z958" s="196"/>
      <c r="AA958" s="196"/>
      <c r="AB958" s="196"/>
    </row>
    <row r="959" spans="1:28" ht="12.9">
      <c r="A959" s="196"/>
      <c r="B959" s="143"/>
      <c r="C959" s="196"/>
      <c r="D959" s="196"/>
      <c r="E959" s="196"/>
      <c r="F959" s="220"/>
      <c r="G959" s="143"/>
      <c r="H959" s="196"/>
      <c r="I959" s="196"/>
      <c r="J959" s="196"/>
      <c r="K959" s="196"/>
      <c r="L959" s="196"/>
      <c r="M959" s="196"/>
      <c r="N959" s="196"/>
      <c r="O959" s="196"/>
      <c r="P959" s="196"/>
      <c r="Q959" s="196"/>
      <c r="R959" s="196"/>
      <c r="S959" s="196"/>
      <c r="T959" s="196"/>
      <c r="U959" s="196"/>
      <c r="V959" s="196"/>
      <c r="W959" s="196"/>
      <c r="X959" s="196"/>
      <c r="Y959" s="196"/>
      <c r="Z959" s="196"/>
      <c r="AA959" s="196"/>
      <c r="AB959" s="196"/>
    </row>
    <row r="960" spans="1:28" ht="12.9">
      <c r="A960" s="196"/>
      <c r="B960" s="143"/>
      <c r="C960" s="196"/>
      <c r="D960" s="196"/>
      <c r="E960" s="196"/>
      <c r="F960" s="220"/>
      <c r="G960" s="143"/>
      <c r="H960" s="196"/>
      <c r="I960" s="196"/>
      <c r="J960" s="196"/>
      <c r="K960" s="196"/>
      <c r="L960" s="196"/>
      <c r="M960" s="196"/>
      <c r="N960" s="196"/>
      <c r="O960" s="196"/>
      <c r="P960" s="196"/>
      <c r="Q960" s="196"/>
      <c r="R960" s="196"/>
      <c r="S960" s="196"/>
      <c r="T960" s="196"/>
      <c r="U960" s="196"/>
      <c r="V960" s="196"/>
      <c r="W960" s="196"/>
      <c r="X960" s="196"/>
      <c r="Y960" s="196"/>
      <c r="Z960" s="196"/>
      <c r="AA960" s="196"/>
      <c r="AB960" s="196"/>
    </row>
    <row r="961" spans="1:28" ht="12.9">
      <c r="A961" s="196"/>
      <c r="B961" s="143"/>
      <c r="C961" s="196"/>
      <c r="D961" s="196"/>
      <c r="E961" s="196"/>
      <c r="F961" s="220"/>
      <c r="G961" s="143"/>
      <c r="H961" s="196"/>
      <c r="I961" s="196"/>
      <c r="J961" s="196"/>
      <c r="K961" s="196"/>
      <c r="L961" s="196"/>
      <c r="M961" s="196"/>
      <c r="N961" s="196"/>
      <c r="O961" s="196"/>
      <c r="P961" s="196"/>
      <c r="Q961" s="196"/>
      <c r="R961" s="196"/>
      <c r="S961" s="196"/>
      <c r="T961" s="196"/>
      <c r="U961" s="196"/>
      <c r="V961" s="196"/>
      <c r="W961" s="196"/>
      <c r="X961" s="196"/>
      <c r="Y961" s="196"/>
      <c r="Z961" s="196"/>
      <c r="AA961" s="196"/>
      <c r="AB961" s="196"/>
    </row>
    <row r="962" spans="1:28" ht="12.9">
      <c r="A962" s="196"/>
      <c r="B962" s="143"/>
      <c r="C962" s="196"/>
      <c r="D962" s="196"/>
      <c r="E962" s="196"/>
      <c r="F962" s="220"/>
      <c r="G962" s="143"/>
      <c r="H962" s="196"/>
      <c r="I962" s="196"/>
      <c r="J962" s="196"/>
      <c r="K962" s="196"/>
      <c r="L962" s="196"/>
      <c r="M962" s="196"/>
      <c r="N962" s="196"/>
      <c r="O962" s="196"/>
      <c r="P962" s="196"/>
      <c r="Q962" s="196"/>
      <c r="R962" s="196"/>
      <c r="S962" s="196"/>
      <c r="T962" s="196"/>
      <c r="U962" s="196"/>
      <c r="V962" s="196"/>
      <c r="W962" s="196"/>
      <c r="X962" s="196"/>
      <c r="Y962" s="196"/>
      <c r="Z962" s="196"/>
      <c r="AA962" s="196"/>
      <c r="AB962" s="196"/>
    </row>
    <row r="963" spans="1:28" ht="12.9">
      <c r="A963" s="196"/>
      <c r="B963" s="143"/>
      <c r="C963" s="196"/>
      <c r="D963" s="196"/>
      <c r="E963" s="196"/>
      <c r="F963" s="220"/>
      <c r="G963" s="143"/>
      <c r="H963" s="196"/>
      <c r="I963" s="196"/>
      <c r="J963" s="196"/>
      <c r="K963" s="196"/>
      <c r="L963" s="196"/>
      <c r="M963" s="196"/>
      <c r="N963" s="196"/>
      <c r="O963" s="196"/>
      <c r="P963" s="196"/>
      <c r="Q963" s="196"/>
      <c r="R963" s="196"/>
      <c r="S963" s="196"/>
      <c r="T963" s="196"/>
      <c r="U963" s="196"/>
      <c r="V963" s="196"/>
      <c r="W963" s="196"/>
      <c r="X963" s="196"/>
      <c r="Y963" s="196"/>
      <c r="Z963" s="196"/>
      <c r="AA963" s="196"/>
      <c r="AB963" s="196"/>
    </row>
    <row r="964" spans="1:28" ht="12.9">
      <c r="A964" s="196"/>
      <c r="B964" s="143"/>
      <c r="C964" s="196"/>
      <c r="D964" s="196"/>
      <c r="E964" s="196"/>
      <c r="F964" s="220"/>
      <c r="G964" s="143"/>
      <c r="H964" s="196"/>
      <c r="I964" s="196"/>
      <c r="J964" s="196"/>
      <c r="K964" s="196"/>
      <c r="L964" s="196"/>
      <c r="M964" s="196"/>
      <c r="N964" s="196"/>
      <c r="O964" s="196"/>
      <c r="P964" s="196"/>
      <c r="Q964" s="196"/>
      <c r="R964" s="196"/>
      <c r="S964" s="196"/>
      <c r="T964" s="196"/>
      <c r="U964" s="196"/>
      <c r="V964" s="196"/>
      <c r="W964" s="196"/>
      <c r="X964" s="196"/>
      <c r="Y964" s="196"/>
      <c r="Z964" s="196"/>
      <c r="AA964" s="196"/>
      <c r="AB964" s="196"/>
    </row>
    <row r="965" spans="1:28" ht="12.9">
      <c r="A965" s="196"/>
      <c r="B965" s="143"/>
      <c r="C965" s="196"/>
      <c r="D965" s="196"/>
      <c r="E965" s="196"/>
      <c r="F965" s="220"/>
      <c r="G965" s="143"/>
      <c r="H965" s="196"/>
      <c r="I965" s="196"/>
      <c r="J965" s="196"/>
      <c r="K965" s="196"/>
      <c r="L965" s="196"/>
      <c r="M965" s="196"/>
      <c r="N965" s="196"/>
      <c r="O965" s="196"/>
      <c r="P965" s="196"/>
      <c r="Q965" s="196"/>
      <c r="R965" s="196"/>
      <c r="S965" s="196"/>
      <c r="T965" s="196"/>
      <c r="U965" s="196"/>
      <c r="V965" s="196"/>
      <c r="W965" s="196"/>
      <c r="X965" s="196"/>
      <c r="Y965" s="196"/>
      <c r="Z965" s="196"/>
      <c r="AA965" s="196"/>
      <c r="AB965" s="196"/>
    </row>
    <row r="966" spans="1:28" ht="12.9">
      <c r="A966" s="196"/>
      <c r="B966" s="143"/>
      <c r="C966" s="196"/>
      <c r="D966" s="196"/>
      <c r="E966" s="196"/>
      <c r="F966" s="220"/>
      <c r="G966" s="143"/>
      <c r="H966" s="196"/>
      <c r="I966" s="196"/>
      <c r="J966" s="196"/>
      <c r="K966" s="196"/>
      <c r="L966" s="196"/>
      <c r="M966" s="196"/>
      <c r="N966" s="196"/>
      <c r="O966" s="196"/>
      <c r="P966" s="196"/>
      <c r="Q966" s="196"/>
      <c r="R966" s="196"/>
      <c r="S966" s="196"/>
      <c r="T966" s="196"/>
      <c r="U966" s="196"/>
      <c r="V966" s="196"/>
      <c r="W966" s="196"/>
      <c r="X966" s="196"/>
      <c r="Y966" s="196"/>
      <c r="Z966" s="196"/>
      <c r="AA966" s="196"/>
      <c r="AB966" s="196"/>
    </row>
    <row r="967" spans="1:28" ht="12.9">
      <c r="A967" s="196"/>
      <c r="B967" s="143"/>
      <c r="C967" s="196"/>
      <c r="D967" s="196"/>
      <c r="E967" s="196"/>
      <c r="F967" s="220"/>
      <c r="G967" s="143"/>
      <c r="H967" s="196"/>
      <c r="I967" s="196"/>
      <c r="J967" s="196"/>
      <c r="K967" s="196"/>
      <c r="L967" s="196"/>
      <c r="M967" s="196"/>
      <c r="N967" s="196"/>
      <c r="O967" s="196"/>
      <c r="P967" s="196"/>
      <c r="Q967" s="196"/>
      <c r="R967" s="196"/>
      <c r="S967" s="196"/>
      <c r="T967" s="196"/>
      <c r="U967" s="196"/>
      <c r="V967" s="196"/>
      <c r="W967" s="196"/>
      <c r="X967" s="196"/>
      <c r="Y967" s="196"/>
      <c r="Z967" s="196"/>
      <c r="AA967" s="196"/>
      <c r="AB967" s="196"/>
    </row>
    <row r="968" spans="1:28" ht="12.9">
      <c r="A968" s="196"/>
      <c r="B968" s="143"/>
      <c r="C968" s="196"/>
      <c r="D968" s="196"/>
      <c r="E968" s="196"/>
      <c r="F968" s="220"/>
      <c r="G968" s="143"/>
      <c r="H968" s="196"/>
      <c r="I968" s="196"/>
      <c r="J968" s="196"/>
      <c r="K968" s="196"/>
      <c r="L968" s="196"/>
      <c r="M968" s="196"/>
      <c r="N968" s="196"/>
      <c r="O968" s="196"/>
      <c r="P968" s="196"/>
      <c r="Q968" s="196"/>
      <c r="R968" s="196"/>
      <c r="S968" s="196"/>
      <c r="T968" s="196"/>
      <c r="U968" s="196"/>
      <c r="V968" s="196"/>
      <c r="W968" s="196"/>
      <c r="X968" s="196"/>
      <c r="Y968" s="196"/>
      <c r="Z968" s="196"/>
      <c r="AA968" s="196"/>
      <c r="AB968" s="196"/>
    </row>
    <row r="969" spans="1:28" ht="12.9">
      <c r="A969" s="196"/>
      <c r="B969" s="143"/>
      <c r="C969" s="196"/>
      <c r="D969" s="196"/>
      <c r="E969" s="196"/>
      <c r="F969" s="220"/>
      <c r="G969" s="143"/>
      <c r="H969" s="196"/>
      <c r="I969" s="196"/>
      <c r="J969" s="196"/>
      <c r="K969" s="196"/>
      <c r="L969" s="196"/>
      <c r="M969" s="196"/>
      <c r="N969" s="196"/>
      <c r="O969" s="196"/>
      <c r="P969" s="196"/>
      <c r="Q969" s="196"/>
      <c r="R969" s="196"/>
      <c r="S969" s="196"/>
      <c r="T969" s="196"/>
      <c r="U969" s="196"/>
      <c r="V969" s="196"/>
      <c r="W969" s="196"/>
      <c r="X969" s="196"/>
      <c r="Y969" s="196"/>
      <c r="Z969" s="196"/>
      <c r="AA969" s="196"/>
      <c r="AB969" s="196"/>
    </row>
    <row r="970" spans="1:28" ht="12.9">
      <c r="A970" s="196"/>
      <c r="B970" s="143"/>
      <c r="C970" s="196"/>
      <c r="D970" s="196"/>
      <c r="E970" s="196"/>
      <c r="F970" s="220"/>
      <c r="G970" s="143"/>
      <c r="H970" s="196"/>
      <c r="I970" s="196"/>
      <c r="J970" s="196"/>
      <c r="K970" s="196"/>
      <c r="L970" s="196"/>
      <c r="M970" s="196"/>
      <c r="N970" s="196"/>
      <c r="O970" s="196"/>
      <c r="P970" s="196"/>
      <c r="Q970" s="196"/>
      <c r="R970" s="196"/>
      <c r="S970" s="196"/>
      <c r="T970" s="196"/>
      <c r="U970" s="196"/>
      <c r="V970" s="196"/>
      <c r="W970" s="196"/>
      <c r="X970" s="196"/>
      <c r="Y970" s="196"/>
      <c r="Z970" s="196"/>
      <c r="AA970" s="196"/>
      <c r="AB970" s="196"/>
    </row>
    <row r="971" spans="1:28" ht="12.9">
      <c r="A971" s="196"/>
      <c r="B971" s="143"/>
      <c r="C971" s="196"/>
      <c r="D971" s="196"/>
      <c r="E971" s="196"/>
      <c r="F971" s="220"/>
      <c r="G971" s="143"/>
      <c r="H971" s="196"/>
      <c r="I971" s="196"/>
      <c r="J971" s="196"/>
      <c r="K971" s="196"/>
      <c r="L971" s="196"/>
      <c r="M971" s="196"/>
      <c r="N971" s="196"/>
      <c r="O971" s="196"/>
      <c r="P971" s="196"/>
      <c r="Q971" s="196"/>
      <c r="R971" s="196"/>
      <c r="S971" s="196"/>
      <c r="T971" s="196"/>
      <c r="U971" s="196"/>
      <c r="V971" s="196"/>
      <c r="W971" s="196"/>
      <c r="X971" s="196"/>
      <c r="Y971" s="196"/>
      <c r="Z971" s="196"/>
      <c r="AA971" s="196"/>
      <c r="AB971" s="196"/>
    </row>
    <row r="972" spans="1:28" ht="12.9">
      <c r="A972" s="196"/>
      <c r="B972" s="143"/>
      <c r="C972" s="196"/>
      <c r="D972" s="196"/>
      <c r="E972" s="196"/>
      <c r="F972" s="220"/>
      <c r="G972" s="143"/>
      <c r="H972" s="196"/>
      <c r="I972" s="196"/>
      <c r="J972" s="196"/>
      <c r="K972" s="196"/>
      <c r="L972" s="196"/>
      <c r="M972" s="196"/>
      <c r="N972" s="196"/>
      <c r="O972" s="196"/>
      <c r="P972" s="196"/>
      <c r="Q972" s="196"/>
      <c r="R972" s="196"/>
      <c r="S972" s="196"/>
      <c r="T972" s="196"/>
      <c r="U972" s="196"/>
      <c r="V972" s="196"/>
      <c r="W972" s="196"/>
      <c r="X972" s="196"/>
      <c r="Y972" s="196"/>
      <c r="Z972" s="196"/>
      <c r="AA972" s="196"/>
      <c r="AB972" s="196"/>
    </row>
    <row r="973" spans="1:28" ht="12.9">
      <c r="A973" s="196"/>
      <c r="B973" s="143"/>
      <c r="C973" s="196"/>
      <c r="D973" s="196"/>
      <c r="E973" s="196"/>
      <c r="F973" s="220"/>
      <c r="G973" s="143"/>
      <c r="H973" s="196"/>
      <c r="I973" s="196"/>
      <c r="J973" s="196"/>
      <c r="K973" s="196"/>
      <c r="L973" s="196"/>
      <c r="M973" s="196"/>
      <c r="N973" s="196"/>
      <c r="O973" s="196"/>
      <c r="P973" s="196"/>
      <c r="Q973" s="196"/>
      <c r="R973" s="196"/>
      <c r="S973" s="196"/>
      <c r="T973" s="196"/>
      <c r="U973" s="196"/>
      <c r="V973" s="196"/>
      <c r="W973" s="196"/>
      <c r="X973" s="196"/>
      <c r="Y973" s="196"/>
      <c r="Z973" s="196"/>
      <c r="AA973" s="196"/>
      <c r="AB973" s="196"/>
    </row>
    <row r="974" spans="1:28" ht="12.9">
      <c r="A974" s="196"/>
      <c r="B974" s="143"/>
      <c r="C974" s="196"/>
      <c r="D974" s="196"/>
      <c r="E974" s="196"/>
      <c r="F974" s="220"/>
      <c r="G974" s="143"/>
      <c r="H974" s="196"/>
      <c r="I974" s="196"/>
      <c r="J974" s="196"/>
      <c r="K974" s="196"/>
      <c r="L974" s="196"/>
      <c r="M974" s="196"/>
      <c r="N974" s="196"/>
      <c r="O974" s="196"/>
      <c r="P974" s="196"/>
      <c r="Q974" s="196"/>
      <c r="R974" s="196"/>
      <c r="S974" s="196"/>
      <c r="T974" s="196"/>
      <c r="U974" s="196"/>
      <c r="V974" s="196"/>
      <c r="W974" s="196"/>
      <c r="X974" s="196"/>
      <c r="Y974" s="196"/>
      <c r="Z974" s="196"/>
      <c r="AA974" s="196"/>
      <c r="AB974" s="196"/>
    </row>
    <row r="975" spans="1:28" ht="12.9">
      <c r="A975" s="196"/>
      <c r="B975" s="143"/>
      <c r="C975" s="196"/>
      <c r="D975" s="196"/>
      <c r="E975" s="196"/>
      <c r="F975" s="220"/>
      <c r="G975" s="143"/>
      <c r="H975" s="196"/>
      <c r="I975" s="196"/>
      <c r="J975" s="196"/>
      <c r="K975" s="196"/>
      <c r="L975" s="196"/>
      <c r="M975" s="196"/>
      <c r="N975" s="196"/>
      <c r="O975" s="196"/>
      <c r="P975" s="196"/>
      <c r="Q975" s="196"/>
      <c r="R975" s="196"/>
      <c r="S975" s="196"/>
      <c r="T975" s="196"/>
      <c r="U975" s="196"/>
      <c r="V975" s="196"/>
      <c r="W975" s="196"/>
      <c r="X975" s="196"/>
      <c r="Y975" s="196"/>
      <c r="Z975" s="196"/>
      <c r="AA975" s="196"/>
      <c r="AB975" s="196"/>
    </row>
    <row r="976" spans="1:28" ht="12.9">
      <c r="A976" s="196"/>
      <c r="B976" s="143"/>
      <c r="C976" s="196"/>
      <c r="D976" s="196"/>
      <c r="E976" s="196"/>
      <c r="F976" s="220"/>
      <c r="G976" s="143"/>
      <c r="H976" s="196"/>
      <c r="I976" s="196"/>
      <c r="J976" s="196"/>
      <c r="K976" s="196"/>
      <c r="L976" s="196"/>
      <c r="M976" s="196"/>
      <c r="N976" s="196"/>
      <c r="O976" s="196"/>
      <c r="P976" s="196"/>
      <c r="Q976" s="196"/>
      <c r="R976" s="196"/>
      <c r="S976" s="196"/>
      <c r="T976" s="196"/>
      <c r="U976" s="196"/>
      <c r="V976" s="196"/>
      <c r="W976" s="196"/>
      <c r="X976" s="196"/>
      <c r="Y976" s="196"/>
      <c r="Z976" s="196"/>
      <c r="AA976" s="196"/>
      <c r="AB976" s="196"/>
    </row>
    <row r="977" spans="1:28" ht="12.9">
      <c r="A977" s="196"/>
      <c r="B977" s="143"/>
      <c r="C977" s="196"/>
      <c r="D977" s="196"/>
      <c r="E977" s="196"/>
      <c r="F977" s="220"/>
      <c r="G977" s="143"/>
      <c r="H977" s="196"/>
      <c r="I977" s="196"/>
      <c r="J977" s="196"/>
      <c r="K977" s="196"/>
      <c r="L977" s="196"/>
      <c r="M977" s="196"/>
      <c r="N977" s="196"/>
      <c r="O977" s="196"/>
      <c r="P977" s="196"/>
      <c r="Q977" s="196"/>
      <c r="R977" s="196"/>
      <c r="S977" s="196"/>
      <c r="T977" s="196"/>
      <c r="U977" s="196"/>
      <c r="V977" s="196"/>
      <c r="W977" s="196"/>
      <c r="X977" s="196"/>
      <c r="Y977" s="196"/>
      <c r="Z977" s="196"/>
      <c r="AA977" s="196"/>
      <c r="AB977" s="196"/>
    </row>
    <row r="978" spans="1:28" ht="12.9">
      <c r="A978" s="196"/>
      <c r="B978" s="143"/>
      <c r="C978" s="196"/>
      <c r="D978" s="196"/>
      <c r="E978" s="196"/>
      <c r="F978" s="220"/>
      <c r="G978" s="143"/>
      <c r="H978" s="196"/>
      <c r="I978" s="196"/>
      <c r="J978" s="196"/>
      <c r="K978" s="196"/>
      <c r="L978" s="196"/>
      <c r="M978" s="196"/>
      <c r="N978" s="196"/>
      <c r="O978" s="196"/>
      <c r="P978" s="196"/>
      <c r="Q978" s="196"/>
      <c r="R978" s="196"/>
      <c r="S978" s="196"/>
      <c r="T978" s="196"/>
      <c r="U978" s="196"/>
      <c r="V978" s="196"/>
      <c r="W978" s="196"/>
      <c r="X978" s="196"/>
      <c r="Y978" s="196"/>
      <c r="Z978" s="196"/>
      <c r="AA978" s="196"/>
      <c r="AB978" s="196"/>
    </row>
    <row r="979" spans="1:28" ht="12.9">
      <c r="A979" s="196"/>
      <c r="B979" s="143"/>
      <c r="C979" s="196"/>
      <c r="D979" s="196"/>
      <c r="E979" s="196"/>
      <c r="F979" s="220"/>
      <c r="G979" s="143"/>
      <c r="H979" s="196"/>
      <c r="I979" s="196"/>
      <c r="J979" s="196"/>
      <c r="K979" s="196"/>
      <c r="L979" s="196"/>
      <c r="M979" s="196"/>
      <c r="N979" s="196"/>
      <c r="O979" s="196"/>
      <c r="P979" s="196"/>
      <c r="Q979" s="196"/>
      <c r="R979" s="196"/>
      <c r="S979" s="196"/>
      <c r="T979" s="196"/>
      <c r="U979" s="196"/>
      <c r="V979" s="196"/>
      <c r="W979" s="196"/>
      <c r="X979" s="196"/>
      <c r="Y979" s="196"/>
      <c r="Z979" s="196"/>
      <c r="AA979" s="196"/>
      <c r="AB979" s="196"/>
    </row>
    <row r="980" spans="1:28" ht="12.9">
      <c r="A980" s="196"/>
      <c r="B980" s="143"/>
      <c r="C980" s="196"/>
      <c r="D980" s="196"/>
      <c r="E980" s="196"/>
      <c r="F980" s="220"/>
      <c r="G980" s="143"/>
      <c r="H980" s="196"/>
      <c r="I980" s="196"/>
      <c r="J980" s="196"/>
      <c r="K980" s="196"/>
      <c r="L980" s="196"/>
      <c r="M980" s="196"/>
      <c r="N980" s="196"/>
      <c r="O980" s="196"/>
      <c r="P980" s="196"/>
      <c r="Q980" s="196"/>
      <c r="R980" s="196"/>
      <c r="S980" s="196"/>
      <c r="T980" s="196"/>
      <c r="U980" s="196"/>
      <c r="V980" s="196"/>
      <c r="W980" s="196"/>
      <c r="X980" s="196"/>
      <c r="Y980" s="196"/>
      <c r="Z980" s="196"/>
      <c r="AA980" s="196"/>
      <c r="AB980" s="196"/>
    </row>
    <row r="981" spans="1:28" ht="12.9">
      <c r="A981" s="196"/>
      <c r="B981" s="143"/>
      <c r="C981" s="196"/>
      <c r="D981" s="196"/>
      <c r="E981" s="196"/>
      <c r="F981" s="220"/>
      <c r="G981" s="143"/>
      <c r="H981" s="196"/>
      <c r="I981" s="196"/>
      <c r="J981" s="196"/>
      <c r="K981" s="196"/>
      <c r="L981" s="196"/>
      <c r="M981" s="196"/>
      <c r="N981" s="196"/>
      <c r="O981" s="196"/>
      <c r="P981" s="196"/>
      <c r="Q981" s="196"/>
      <c r="R981" s="196"/>
      <c r="S981" s="196"/>
      <c r="T981" s="196"/>
      <c r="U981" s="196"/>
      <c r="V981" s="196"/>
      <c r="W981" s="196"/>
      <c r="X981" s="196"/>
      <c r="Y981" s="196"/>
      <c r="Z981" s="196"/>
      <c r="AA981" s="196"/>
      <c r="AB981" s="196"/>
    </row>
    <row r="982" spans="1:28" ht="12.9">
      <c r="A982" s="196"/>
      <c r="B982" s="143"/>
      <c r="C982" s="196"/>
      <c r="D982" s="196"/>
      <c r="E982" s="196"/>
      <c r="F982" s="220"/>
      <c r="G982" s="143"/>
      <c r="H982" s="196"/>
      <c r="I982" s="196"/>
      <c r="J982" s="196"/>
      <c r="K982" s="196"/>
      <c r="L982" s="196"/>
      <c r="M982" s="196"/>
      <c r="N982" s="196"/>
      <c r="O982" s="196"/>
      <c r="P982" s="196"/>
      <c r="Q982" s="196"/>
      <c r="R982" s="196"/>
      <c r="S982" s="196"/>
      <c r="T982" s="196"/>
      <c r="U982" s="196"/>
      <c r="V982" s="196"/>
      <c r="W982" s="196"/>
      <c r="X982" s="196"/>
      <c r="Y982" s="196"/>
      <c r="Z982" s="196"/>
      <c r="AA982" s="196"/>
      <c r="AB982" s="196"/>
    </row>
    <row r="983" spans="1:28" ht="12.9">
      <c r="A983" s="196"/>
      <c r="B983" s="143"/>
      <c r="C983" s="196"/>
      <c r="D983" s="196"/>
      <c r="E983" s="196"/>
      <c r="F983" s="220"/>
      <c r="G983" s="143"/>
      <c r="H983" s="196"/>
      <c r="I983" s="196"/>
      <c r="J983" s="196"/>
      <c r="K983" s="196"/>
      <c r="L983" s="196"/>
      <c r="M983" s="196"/>
      <c r="N983" s="196"/>
      <c r="O983" s="196"/>
      <c r="P983" s="196"/>
      <c r="Q983" s="196"/>
      <c r="R983" s="196"/>
      <c r="S983" s="196"/>
      <c r="T983" s="196"/>
      <c r="U983" s="196"/>
      <c r="V983" s="196"/>
      <c r="W983" s="196"/>
      <c r="X983" s="196"/>
      <c r="Y983" s="196"/>
      <c r="Z983" s="196"/>
      <c r="AA983" s="196"/>
      <c r="AB983" s="196"/>
    </row>
    <row r="984" spans="1:28" ht="12.9">
      <c r="A984" s="196"/>
      <c r="B984" s="143"/>
      <c r="C984" s="196"/>
      <c r="D984" s="196"/>
      <c r="E984" s="196"/>
      <c r="F984" s="220"/>
      <c r="G984" s="143"/>
      <c r="H984" s="196"/>
      <c r="I984" s="196"/>
      <c r="J984" s="196"/>
      <c r="K984" s="196"/>
      <c r="L984" s="196"/>
      <c r="M984" s="196"/>
      <c r="N984" s="196"/>
      <c r="O984" s="196"/>
      <c r="P984" s="196"/>
      <c r="Q984" s="196"/>
      <c r="R984" s="196"/>
      <c r="S984" s="196"/>
      <c r="T984" s="196"/>
      <c r="U984" s="196"/>
      <c r="V984" s="196"/>
      <c r="W984" s="196"/>
      <c r="X984" s="196"/>
      <c r="Y984" s="196"/>
      <c r="Z984" s="196"/>
      <c r="AA984" s="196"/>
      <c r="AB984" s="196"/>
    </row>
    <row r="985" spans="1:28" ht="12.9">
      <c r="A985" s="196"/>
      <c r="B985" s="143"/>
      <c r="C985" s="196"/>
      <c r="D985" s="196"/>
      <c r="E985" s="196"/>
      <c r="F985" s="220"/>
      <c r="G985" s="143"/>
      <c r="H985" s="196"/>
      <c r="I985" s="196"/>
      <c r="J985" s="196"/>
      <c r="K985" s="196"/>
      <c r="L985" s="196"/>
      <c r="M985" s="196"/>
      <c r="N985" s="196"/>
      <c r="O985" s="196"/>
      <c r="P985" s="196"/>
      <c r="Q985" s="196"/>
      <c r="R985" s="196"/>
      <c r="S985" s="196"/>
      <c r="T985" s="196"/>
      <c r="U985" s="196"/>
      <c r="V985" s="196"/>
      <c r="W985" s="196"/>
      <c r="X985" s="196"/>
      <c r="Y985" s="196"/>
      <c r="Z985" s="196"/>
      <c r="AA985" s="196"/>
      <c r="AB985" s="196"/>
    </row>
    <row r="986" spans="1:28" ht="12.9">
      <c r="A986" s="196"/>
      <c r="B986" s="143"/>
      <c r="C986" s="196"/>
      <c r="D986" s="196"/>
      <c r="E986" s="196"/>
      <c r="F986" s="220"/>
      <c r="G986" s="143"/>
      <c r="H986" s="196"/>
      <c r="I986" s="196"/>
      <c r="J986" s="196"/>
      <c r="K986" s="196"/>
      <c r="L986" s="196"/>
      <c r="M986" s="196"/>
      <c r="N986" s="196"/>
      <c r="O986" s="196"/>
      <c r="P986" s="196"/>
      <c r="Q986" s="196"/>
      <c r="R986" s="196"/>
      <c r="S986" s="196"/>
      <c r="T986" s="196"/>
      <c r="U986" s="196"/>
      <c r="V986" s="196"/>
      <c r="W986" s="196"/>
      <c r="X986" s="196"/>
      <c r="Y986" s="196"/>
      <c r="Z986" s="196"/>
      <c r="AA986" s="196"/>
      <c r="AB986" s="196"/>
    </row>
    <row r="987" spans="1:28" ht="12.9">
      <c r="A987" s="196"/>
      <c r="B987" s="143"/>
      <c r="C987" s="196"/>
      <c r="D987" s="196"/>
      <c r="E987" s="196"/>
      <c r="F987" s="220"/>
      <c r="G987" s="143"/>
      <c r="H987" s="196"/>
      <c r="I987" s="196"/>
      <c r="J987" s="196"/>
      <c r="K987" s="196"/>
      <c r="L987" s="196"/>
      <c r="M987" s="196"/>
      <c r="N987" s="196"/>
      <c r="O987" s="196"/>
      <c r="P987" s="196"/>
      <c r="Q987" s="196"/>
      <c r="R987" s="196"/>
      <c r="S987" s="196"/>
      <c r="T987" s="196"/>
      <c r="U987" s="196"/>
      <c r="V987" s="196"/>
      <c r="W987" s="196"/>
      <c r="X987" s="196"/>
      <c r="Y987" s="196"/>
      <c r="Z987" s="196"/>
      <c r="AA987" s="196"/>
      <c r="AB987" s="196"/>
    </row>
    <row r="988" spans="1:28" ht="12.9">
      <c r="A988" s="196"/>
      <c r="B988" s="143"/>
      <c r="C988" s="196"/>
      <c r="D988" s="196"/>
      <c r="E988" s="196"/>
      <c r="F988" s="220"/>
      <c r="G988" s="143"/>
      <c r="H988" s="196"/>
      <c r="I988" s="196"/>
      <c r="J988" s="196"/>
      <c r="K988" s="196"/>
      <c r="L988" s="196"/>
      <c r="M988" s="196"/>
      <c r="N988" s="196"/>
      <c r="O988" s="196"/>
      <c r="P988" s="196"/>
      <c r="Q988" s="196"/>
      <c r="R988" s="196"/>
      <c r="S988" s="196"/>
      <c r="T988" s="196"/>
      <c r="U988" s="196"/>
      <c r="V988" s="196"/>
      <c r="W988" s="196"/>
      <c r="X988" s="196"/>
      <c r="Y988" s="196"/>
      <c r="Z988" s="196"/>
      <c r="AA988" s="196"/>
      <c r="AB988" s="196"/>
    </row>
    <row r="989" spans="1:28" ht="12.9">
      <c r="A989" s="196"/>
      <c r="B989" s="143"/>
      <c r="C989" s="196"/>
      <c r="D989" s="196"/>
      <c r="E989" s="196"/>
      <c r="F989" s="220"/>
      <c r="G989" s="143"/>
      <c r="H989" s="196"/>
      <c r="I989" s="196"/>
      <c r="J989" s="196"/>
      <c r="K989" s="196"/>
      <c r="L989" s="196"/>
      <c r="M989" s="196"/>
      <c r="N989" s="196"/>
      <c r="O989" s="196"/>
      <c r="P989" s="196"/>
      <c r="Q989" s="196"/>
      <c r="R989" s="196"/>
      <c r="S989" s="196"/>
      <c r="T989" s="196"/>
      <c r="U989" s="196"/>
      <c r="V989" s="196"/>
      <c r="W989" s="196"/>
      <c r="X989" s="196"/>
      <c r="Y989" s="196"/>
      <c r="Z989" s="196"/>
      <c r="AA989" s="196"/>
      <c r="AB989" s="196"/>
    </row>
    <row r="990" spans="1:28" ht="12.9">
      <c r="A990" s="196"/>
      <c r="B990" s="143"/>
      <c r="C990" s="196"/>
      <c r="D990" s="196"/>
      <c r="E990" s="196"/>
      <c r="F990" s="220"/>
      <c r="G990" s="143"/>
      <c r="H990" s="196"/>
      <c r="I990" s="196"/>
      <c r="J990" s="196"/>
      <c r="K990" s="196"/>
      <c r="L990" s="196"/>
      <c r="M990" s="196"/>
      <c r="N990" s="196"/>
      <c r="O990" s="196"/>
      <c r="P990" s="196"/>
      <c r="Q990" s="196"/>
      <c r="R990" s="196"/>
      <c r="S990" s="196"/>
      <c r="T990" s="196"/>
      <c r="U990" s="196"/>
      <c r="V990" s="196"/>
      <c r="W990" s="196"/>
      <c r="X990" s="196"/>
      <c r="Y990" s="196"/>
      <c r="Z990" s="196"/>
      <c r="AA990" s="196"/>
      <c r="AB990" s="196"/>
    </row>
    <row r="991" spans="1:28" ht="12.9">
      <c r="A991" s="196"/>
      <c r="B991" s="143"/>
      <c r="C991" s="196"/>
      <c r="D991" s="196"/>
      <c r="E991" s="196"/>
      <c r="F991" s="220"/>
      <c r="G991" s="143"/>
      <c r="H991" s="196"/>
      <c r="I991" s="196"/>
      <c r="J991" s="196"/>
      <c r="K991" s="196"/>
      <c r="L991" s="196"/>
      <c r="M991" s="196"/>
      <c r="N991" s="196"/>
      <c r="O991" s="196"/>
      <c r="P991" s="196"/>
      <c r="Q991" s="196"/>
      <c r="R991" s="196"/>
      <c r="S991" s="196"/>
      <c r="T991" s="196"/>
      <c r="U991" s="196"/>
      <c r="V991" s="196"/>
      <c r="W991" s="196"/>
      <c r="X991" s="196"/>
      <c r="Y991" s="196"/>
      <c r="Z991" s="196"/>
      <c r="AA991" s="196"/>
      <c r="AB991" s="196"/>
    </row>
    <row r="992" spans="1:28" ht="12.9">
      <c r="A992" s="196"/>
      <c r="B992" s="143"/>
      <c r="C992" s="196"/>
      <c r="D992" s="196"/>
      <c r="E992" s="196"/>
      <c r="F992" s="220"/>
      <c r="G992" s="143"/>
      <c r="H992" s="196"/>
      <c r="I992" s="196"/>
      <c r="J992" s="196"/>
      <c r="K992" s="196"/>
      <c r="L992" s="196"/>
      <c r="M992" s="196"/>
      <c r="N992" s="196"/>
      <c r="O992" s="196"/>
      <c r="P992" s="196"/>
      <c r="Q992" s="196"/>
      <c r="R992" s="196"/>
      <c r="S992" s="196"/>
      <c r="T992" s="196"/>
      <c r="U992" s="196"/>
      <c r="V992" s="196"/>
      <c r="W992" s="196"/>
      <c r="X992" s="196"/>
      <c r="Y992" s="196"/>
      <c r="Z992" s="196"/>
      <c r="AA992" s="196"/>
      <c r="AB992" s="196"/>
    </row>
    <row r="993" spans="1:28" ht="12.9">
      <c r="A993" s="196"/>
      <c r="B993" s="143"/>
      <c r="C993" s="196"/>
      <c r="D993" s="196"/>
      <c r="E993" s="196"/>
      <c r="F993" s="220"/>
      <c r="G993" s="143"/>
      <c r="H993" s="196"/>
      <c r="I993" s="196"/>
      <c r="J993" s="196"/>
      <c r="K993" s="196"/>
      <c r="L993" s="196"/>
      <c r="M993" s="196"/>
      <c r="N993" s="196"/>
      <c r="O993" s="196"/>
      <c r="P993" s="196"/>
      <c r="Q993" s="196"/>
      <c r="R993" s="196"/>
      <c r="S993" s="196"/>
      <c r="T993" s="196"/>
      <c r="U993" s="196"/>
      <c r="V993" s="196"/>
      <c r="W993" s="196"/>
      <c r="X993" s="196"/>
      <c r="Y993" s="196"/>
      <c r="Z993" s="196"/>
      <c r="AA993" s="196"/>
      <c r="AB993" s="196"/>
    </row>
    <row r="994" spans="1:28" ht="12.9">
      <c r="A994" s="196"/>
      <c r="B994" s="143"/>
      <c r="C994" s="196"/>
      <c r="D994" s="196"/>
      <c r="E994" s="196"/>
      <c r="F994" s="220"/>
      <c r="G994" s="143"/>
      <c r="H994" s="196"/>
      <c r="I994" s="196"/>
      <c r="J994" s="196"/>
      <c r="K994" s="196"/>
      <c r="L994" s="196"/>
      <c r="M994" s="196"/>
      <c r="N994" s="196"/>
      <c r="O994" s="196"/>
      <c r="P994" s="196"/>
      <c r="Q994" s="196"/>
      <c r="R994" s="196"/>
      <c r="S994" s="196"/>
      <c r="T994" s="196"/>
      <c r="U994" s="196"/>
      <c r="V994" s="196"/>
      <c r="W994" s="196"/>
      <c r="X994" s="196"/>
      <c r="Y994" s="196"/>
      <c r="Z994" s="196"/>
      <c r="AA994" s="196"/>
      <c r="AB994" s="196"/>
    </row>
    <row r="995" spans="1:28" ht="12.9">
      <c r="A995" s="196"/>
      <c r="B995" s="143"/>
      <c r="C995" s="196"/>
      <c r="D995" s="196"/>
      <c r="E995" s="196"/>
      <c r="F995" s="220"/>
      <c r="G995" s="143"/>
      <c r="H995" s="196"/>
      <c r="I995" s="196"/>
      <c r="J995" s="196"/>
      <c r="K995" s="196"/>
      <c r="L995" s="196"/>
      <c r="M995" s="196"/>
      <c r="N995" s="196"/>
      <c r="O995" s="196"/>
      <c r="P995" s="196"/>
      <c r="Q995" s="196"/>
      <c r="R995" s="196"/>
      <c r="S995" s="196"/>
      <c r="T995" s="196"/>
      <c r="U995" s="196"/>
      <c r="V995" s="196"/>
      <c r="W995" s="196"/>
      <c r="X995" s="196"/>
      <c r="Y995" s="196"/>
      <c r="Z995" s="196"/>
      <c r="AA995" s="196"/>
      <c r="AB995" s="196"/>
    </row>
    <row r="996" spans="1:28" ht="12.9">
      <c r="A996" s="196"/>
      <c r="B996" s="143"/>
      <c r="C996" s="196"/>
      <c r="D996" s="196"/>
      <c r="E996" s="196"/>
      <c r="F996" s="220"/>
      <c r="G996" s="143"/>
      <c r="H996" s="196"/>
      <c r="I996" s="196"/>
      <c r="J996" s="196"/>
      <c r="K996" s="196"/>
      <c r="L996" s="196"/>
      <c r="M996" s="196"/>
      <c r="N996" s="196"/>
      <c r="O996" s="196"/>
      <c r="P996" s="196"/>
      <c r="Q996" s="196"/>
      <c r="R996" s="196"/>
      <c r="S996" s="196"/>
      <c r="T996" s="196"/>
      <c r="U996" s="196"/>
      <c r="V996" s="196"/>
      <c r="W996" s="196"/>
      <c r="X996" s="196"/>
      <c r="Y996" s="196"/>
      <c r="Z996" s="196"/>
      <c r="AA996" s="196"/>
      <c r="AB996" s="196"/>
    </row>
    <row r="997" spans="1:28" ht="12.9">
      <c r="A997" s="196"/>
      <c r="B997" s="143"/>
      <c r="C997" s="196"/>
      <c r="D997" s="196"/>
      <c r="E997" s="196"/>
      <c r="F997" s="220"/>
      <c r="G997" s="143"/>
      <c r="H997" s="196"/>
      <c r="I997" s="196"/>
      <c r="J997" s="196"/>
      <c r="K997" s="196"/>
      <c r="L997" s="196"/>
      <c r="M997" s="196"/>
      <c r="N997" s="196"/>
      <c r="O997" s="196"/>
      <c r="P997" s="196"/>
      <c r="Q997" s="196"/>
      <c r="R997" s="196"/>
      <c r="S997" s="196"/>
      <c r="T997" s="196"/>
      <c r="U997" s="196"/>
      <c r="V997" s="196"/>
      <c r="W997" s="196"/>
      <c r="X997" s="196"/>
      <c r="Y997" s="196"/>
      <c r="Z997" s="196"/>
      <c r="AA997" s="196"/>
      <c r="AB997" s="196"/>
    </row>
    <row r="998" spans="1:28" ht="12.9">
      <c r="A998" s="196"/>
      <c r="B998" s="143"/>
      <c r="C998" s="196"/>
      <c r="D998" s="196"/>
      <c r="E998" s="196"/>
      <c r="F998" s="220"/>
      <c r="G998" s="143"/>
      <c r="H998" s="196"/>
      <c r="I998" s="196"/>
      <c r="J998" s="196"/>
      <c r="K998" s="196"/>
      <c r="L998" s="196"/>
      <c r="M998" s="196"/>
      <c r="N998" s="196"/>
      <c r="O998" s="196"/>
      <c r="P998" s="196"/>
      <c r="Q998" s="196"/>
      <c r="R998" s="196"/>
      <c r="S998" s="196"/>
      <c r="T998" s="196"/>
      <c r="U998" s="196"/>
      <c r="V998" s="196"/>
      <c r="W998" s="196"/>
      <c r="X998" s="196"/>
      <c r="Y998" s="196"/>
      <c r="Z998" s="196"/>
      <c r="AA998" s="196"/>
      <c r="AB998" s="196"/>
    </row>
    <row r="999" spans="1:28" ht="12.9">
      <c r="A999" s="196"/>
      <c r="B999" s="143"/>
      <c r="C999" s="196"/>
      <c r="D999" s="196"/>
      <c r="E999" s="196"/>
      <c r="F999" s="220"/>
      <c r="G999" s="143"/>
      <c r="H999" s="196"/>
      <c r="I999" s="196"/>
      <c r="J999" s="196"/>
      <c r="K999" s="196"/>
      <c r="L999" s="196"/>
      <c r="M999" s="196"/>
      <c r="N999" s="196"/>
      <c r="O999" s="196"/>
      <c r="P999" s="196"/>
      <c r="Q999" s="196"/>
      <c r="R999" s="196"/>
      <c r="S999" s="196"/>
      <c r="T999" s="196"/>
      <c r="U999" s="196"/>
      <c r="V999" s="196"/>
      <c r="W999" s="196"/>
      <c r="X999" s="196"/>
      <c r="Y999" s="196"/>
      <c r="Z999" s="196"/>
      <c r="AA999" s="196"/>
      <c r="AB999" s="196"/>
    </row>
    <row r="1000" spans="1:28" ht="12.9">
      <c r="A1000" s="196"/>
      <c r="B1000" s="143"/>
      <c r="C1000" s="196"/>
      <c r="D1000" s="196"/>
      <c r="E1000" s="196"/>
      <c r="F1000" s="220"/>
      <c r="G1000" s="143"/>
      <c r="H1000" s="196"/>
      <c r="I1000" s="196"/>
      <c r="J1000" s="196"/>
      <c r="K1000" s="196"/>
      <c r="L1000" s="196"/>
      <c r="M1000" s="196"/>
      <c r="N1000" s="196"/>
      <c r="O1000" s="196"/>
      <c r="P1000" s="196"/>
      <c r="Q1000" s="196"/>
      <c r="R1000" s="196"/>
      <c r="S1000" s="196"/>
      <c r="T1000" s="196"/>
      <c r="U1000" s="196"/>
      <c r="V1000" s="196"/>
      <c r="W1000" s="196"/>
      <c r="X1000" s="196"/>
      <c r="Y1000" s="196"/>
      <c r="Z1000" s="196"/>
      <c r="AA1000" s="196"/>
      <c r="AB1000" s="196"/>
    </row>
    <row r="1001" spans="1:28" ht="12.9">
      <c r="A1001" s="196"/>
      <c r="B1001" s="143"/>
      <c r="C1001" s="196"/>
      <c r="D1001" s="196"/>
      <c r="E1001" s="196"/>
      <c r="F1001" s="220"/>
      <c r="G1001" s="143"/>
      <c r="H1001" s="196"/>
      <c r="I1001" s="196"/>
      <c r="J1001" s="196"/>
      <c r="K1001" s="196"/>
      <c r="L1001" s="196"/>
      <c r="M1001" s="196"/>
      <c r="N1001" s="196"/>
      <c r="O1001" s="196"/>
      <c r="P1001" s="196"/>
      <c r="Q1001" s="196"/>
      <c r="R1001" s="196"/>
      <c r="S1001" s="196"/>
      <c r="T1001" s="196"/>
      <c r="U1001" s="196"/>
      <c r="V1001" s="196"/>
      <c r="W1001" s="196"/>
      <c r="X1001" s="196"/>
      <c r="Y1001" s="196"/>
      <c r="Z1001" s="196"/>
      <c r="AA1001" s="196"/>
      <c r="AB1001" s="196"/>
    </row>
    <row r="1002" spans="1:28" ht="12.9">
      <c r="A1002" s="196"/>
      <c r="B1002" s="143"/>
      <c r="C1002" s="196"/>
      <c r="D1002" s="196"/>
      <c r="E1002" s="196"/>
      <c r="F1002" s="220"/>
      <c r="G1002" s="143"/>
      <c r="H1002" s="196"/>
      <c r="I1002" s="196"/>
      <c r="J1002" s="196"/>
      <c r="K1002" s="196"/>
      <c r="L1002" s="196"/>
      <c r="M1002" s="196"/>
      <c r="N1002" s="196"/>
      <c r="O1002" s="196"/>
      <c r="P1002" s="196"/>
      <c r="Q1002" s="196"/>
      <c r="R1002" s="196"/>
      <c r="S1002" s="196"/>
      <c r="T1002" s="196"/>
      <c r="U1002" s="196"/>
      <c r="V1002" s="196"/>
      <c r="W1002" s="196"/>
      <c r="X1002" s="196"/>
      <c r="Y1002" s="196"/>
      <c r="Z1002" s="196"/>
      <c r="AA1002" s="196"/>
      <c r="AB1002" s="196"/>
    </row>
    <row r="1003" spans="1:28" ht="12.9">
      <c r="A1003" s="196"/>
      <c r="B1003" s="143"/>
      <c r="C1003" s="196"/>
      <c r="D1003" s="196"/>
      <c r="E1003" s="196"/>
      <c r="F1003" s="220"/>
      <c r="G1003" s="143"/>
      <c r="H1003" s="196"/>
      <c r="I1003" s="196"/>
      <c r="J1003" s="196"/>
      <c r="K1003" s="196"/>
      <c r="L1003" s="196"/>
      <c r="M1003" s="196"/>
      <c r="N1003" s="196"/>
      <c r="O1003" s="196"/>
      <c r="P1003" s="196"/>
      <c r="Q1003" s="196"/>
      <c r="R1003" s="196"/>
      <c r="S1003" s="196"/>
      <c r="T1003" s="196"/>
      <c r="U1003" s="196"/>
      <c r="V1003" s="196"/>
      <c r="W1003" s="196"/>
      <c r="X1003" s="196"/>
      <c r="Y1003" s="196"/>
      <c r="Z1003" s="196"/>
      <c r="AA1003" s="196"/>
      <c r="AB1003" s="196"/>
    </row>
  </sheetData>
  <hyperlinks>
    <hyperlink ref="F5" r:id="rId1"/>
    <hyperlink ref="F22" r:id="rId2"/>
    <hyperlink ref="F23" r:id="rId3"/>
    <hyperlink ref="F25" r:id="rId4"/>
    <hyperlink ref="F26" r:id="rId5"/>
    <hyperlink ref="F27" r:id="rId6"/>
    <hyperlink ref="F28" r:id="rId7"/>
    <hyperlink ref="C29" r:id="rId8"/>
    <hyperlink ref="D29" r:id="rId9"/>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x14:formula1>
            <xm:f>'Self Assessment Total Score'!$C$18:$C$21</xm:f>
          </x14:formula1>
          <xm:sqref>H2:H45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S1147"/>
  <sheetViews>
    <sheetView workbookViewId="0">
      <selection activeCell="H19" sqref="H2:H19"/>
    </sheetView>
  </sheetViews>
  <sheetFormatPr defaultColWidth="14.375" defaultRowHeight="15.8" customHeight="1"/>
  <cols>
    <col min="2" max="2" width="16" customWidth="1"/>
    <col min="3" max="3" width="51" customWidth="1"/>
    <col min="4" max="4" width="31.625" customWidth="1"/>
    <col min="5" max="5" width="29.875" customWidth="1"/>
    <col min="8" max="8" width="29.625" customWidth="1"/>
  </cols>
  <sheetData>
    <row r="1" spans="1:19" ht="15.8" customHeight="1">
      <c r="A1" s="23" t="s">
        <v>7362</v>
      </c>
      <c r="B1" s="23" t="s">
        <v>3443</v>
      </c>
      <c r="C1" s="4" t="s">
        <v>3444</v>
      </c>
      <c r="D1" s="23" t="s">
        <v>36</v>
      </c>
      <c r="E1" s="23" t="s">
        <v>39</v>
      </c>
      <c r="F1" s="23" t="s">
        <v>3445</v>
      </c>
      <c r="G1" s="23" t="s">
        <v>3446</v>
      </c>
      <c r="H1" s="135" t="s">
        <v>44</v>
      </c>
      <c r="I1" s="135" t="s">
        <v>46</v>
      </c>
      <c r="J1" s="117"/>
      <c r="K1" s="117"/>
      <c r="L1" s="117"/>
      <c r="M1" s="117"/>
      <c r="N1" s="117"/>
      <c r="O1" s="117"/>
      <c r="P1" s="117"/>
      <c r="Q1" s="117"/>
      <c r="R1" s="117"/>
      <c r="S1" s="117"/>
    </row>
    <row r="2" spans="1:19" ht="15.8" customHeight="1">
      <c r="A2" s="222" t="s">
        <v>7363</v>
      </c>
      <c r="B2" s="121" t="s">
        <v>7364</v>
      </c>
      <c r="C2" s="223" t="s">
        <v>7365</v>
      </c>
      <c r="D2" s="25" t="s">
        <v>7366</v>
      </c>
      <c r="E2" s="25" t="s">
        <v>7367</v>
      </c>
      <c r="F2" s="141" t="str">
        <f t="shared" ref="F2:F19" si="0">HYPERLINK("https://www.acquisition.gov/content/part-4-administrative-matters#i1123008","FAR 4.502(d)")</f>
        <v>FAR 4.502(d)</v>
      </c>
      <c r="G2" s="112" t="str">
        <f t="shared" ref="G2:G19" si="1">HYPERLINK("https://www.acquisition.gov/content/part-504-administrative-matters#EIQXRUHK","GSAM 504.502")</f>
        <v>GSAM 504.502</v>
      </c>
      <c r="H2" s="64"/>
      <c r="I2" s="45" t="b">
        <f t="shared" ref="I2:I19" si="2">IF(AND(H2="Meet the requirements traceability “out of the box”"), 10, IF(AND(H2="Can meet the requirements traceability with configuration or through the use of another commercial product “out of the box” or other arrangement as part of the service offering quoted (i.e. at no additional cost)"), 8, IF(AND(H2="Can meet the requirements traceability with customization at additional cost"), 3, IF(AND(H2="Cannot meet the requirements traceability requirement"), 0))))</f>
        <v>0</v>
      </c>
      <c r="J2" s="117"/>
      <c r="K2" s="117"/>
      <c r="L2" s="117"/>
      <c r="M2" s="117"/>
      <c r="N2" s="117"/>
      <c r="O2" s="117"/>
      <c r="P2" s="117"/>
      <c r="Q2" s="117"/>
      <c r="R2" s="117"/>
      <c r="S2" s="117"/>
    </row>
    <row r="3" spans="1:19" ht="15.8" customHeight="1">
      <c r="A3" s="222" t="s">
        <v>7368</v>
      </c>
      <c r="B3" s="121" t="s">
        <v>7364</v>
      </c>
      <c r="C3" s="223" t="s">
        <v>7369</v>
      </c>
      <c r="D3" s="25" t="s">
        <v>7366</v>
      </c>
      <c r="E3" s="25" t="s">
        <v>7367</v>
      </c>
      <c r="F3" s="141" t="str">
        <f t="shared" si="0"/>
        <v>FAR 4.502(d)</v>
      </c>
      <c r="G3" s="112" t="str">
        <f t="shared" si="1"/>
        <v>GSAM 504.502</v>
      </c>
      <c r="H3" s="64"/>
      <c r="I3" s="45" t="b">
        <f t="shared" si="2"/>
        <v>0</v>
      </c>
      <c r="J3" s="117"/>
      <c r="K3" s="117"/>
      <c r="L3" s="117"/>
      <c r="M3" s="117"/>
      <c r="N3" s="117"/>
      <c r="O3" s="117"/>
      <c r="P3" s="117"/>
      <c r="Q3" s="117"/>
      <c r="R3" s="117"/>
      <c r="S3" s="117"/>
    </row>
    <row r="4" spans="1:19" ht="15.8" customHeight="1">
      <c r="A4" s="222" t="s">
        <v>7370</v>
      </c>
      <c r="B4" s="121" t="s">
        <v>7364</v>
      </c>
      <c r="C4" s="223" t="s">
        <v>7371</v>
      </c>
      <c r="D4" s="25" t="s">
        <v>7366</v>
      </c>
      <c r="E4" s="25" t="s">
        <v>7367</v>
      </c>
      <c r="F4" s="141" t="str">
        <f t="shared" si="0"/>
        <v>FAR 4.502(d)</v>
      </c>
      <c r="G4" s="112" t="str">
        <f t="shared" si="1"/>
        <v>GSAM 504.502</v>
      </c>
      <c r="H4" s="64"/>
      <c r="I4" s="45" t="b">
        <f t="shared" si="2"/>
        <v>0</v>
      </c>
      <c r="J4" s="117"/>
      <c r="K4" s="117"/>
      <c r="L4" s="117"/>
      <c r="M4" s="117"/>
      <c r="N4" s="117"/>
      <c r="O4" s="117"/>
      <c r="P4" s="117"/>
      <c r="Q4" s="117"/>
      <c r="R4" s="117"/>
      <c r="S4" s="117"/>
    </row>
    <row r="5" spans="1:19" ht="15.8" customHeight="1">
      <c r="A5" s="222" t="s">
        <v>7372</v>
      </c>
      <c r="B5" s="121" t="s">
        <v>7364</v>
      </c>
      <c r="C5" s="224" t="s">
        <v>7373</v>
      </c>
      <c r="D5" s="25" t="s">
        <v>7366</v>
      </c>
      <c r="E5" s="25" t="s">
        <v>7367</v>
      </c>
      <c r="F5" s="141" t="str">
        <f t="shared" si="0"/>
        <v>FAR 4.502(d)</v>
      </c>
      <c r="G5" s="112" t="str">
        <f t="shared" si="1"/>
        <v>GSAM 504.502</v>
      </c>
      <c r="H5" s="64"/>
      <c r="I5" s="45" t="b">
        <f t="shared" si="2"/>
        <v>0</v>
      </c>
      <c r="J5" s="117"/>
      <c r="K5" s="117"/>
      <c r="L5" s="117"/>
      <c r="M5" s="117"/>
      <c r="N5" s="117"/>
      <c r="O5" s="117"/>
      <c r="P5" s="117"/>
      <c r="Q5" s="117"/>
      <c r="R5" s="117"/>
      <c r="S5" s="117"/>
    </row>
    <row r="6" spans="1:19" ht="15.8" customHeight="1">
      <c r="A6" s="222" t="s">
        <v>7374</v>
      </c>
      <c r="B6" s="121" t="s">
        <v>7364</v>
      </c>
      <c r="C6" s="225" t="s">
        <v>7375</v>
      </c>
      <c r="D6" s="25" t="s">
        <v>7366</v>
      </c>
      <c r="E6" s="25" t="s">
        <v>7367</v>
      </c>
      <c r="F6" s="141" t="str">
        <f t="shared" si="0"/>
        <v>FAR 4.502(d)</v>
      </c>
      <c r="G6" s="112" t="str">
        <f t="shared" si="1"/>
        <v>GSAM 504.502</v>
      </c>
      <c r="H6" s="64"/>
      <c r="I6" s="45" t="b">
        <f t="shared" si="2"/>
        <v>0</v>
      </c>
      <c r="J6" s="117"/>
      <c r="K6" s="117"/>
      <c r="L6" s="117"/>
      <c r="M6" s="117"/>
      <c r="N6" s="117"/>
      <c r="O6" s="117"/>
      <c r="P6" s="117"/>
      <c r="Q6" s="117"/>
      <c r="R6" s="117"/>
      <c r="S6" s="117"/>
    </row>
    <row r="7" spans="1:19" ht="15.8" customHeight="1">
      <c r="A7" s="222" t="s">
        <v>7376</v>
      </c>
      <c r="B7" s="121" t="s">
        <v>7364</v>
      </c>
      <c r="C7" s="226" t="s">
        <v>7377</v>
      </c>
      <c r="D7" s="25" t="s">
        <v>7366</v>
      </c>
      <c r="E7" s="25" t="s">
        <v>7367</v>
      </c>
      <c r="F7" s="141" t="str">
        <f t="shared" si="0"/>
        <v>FAR 4.502(d)</v>
      </c>
      <c r="G7" s="112" t="str">
        <f t="shared" si="1"/>
        <v>GSAM 504.502</v>
      </c>
      <c r="H7" s="64"/>
      <c r="I7" s="45" t="b">
        <f t="shared" si="2"/>
        <v>0</v>
      </c>
      <c r="J7" s="117"/>
      <c r="K7" s="117"/>
      <c r="L7" s="117"/>
      <c r="M7" s="117"/>
      <c r="N7" s="117"/>
      <c r="O7" s="117"/>
      <c r="P7" s="117"/>
      <c r="Q7" s="117"/>
      <c r="R7" s="117"/>
      <c r="S7" s="117"/>
    </row>
    <row r="8" spans="1:19" ht="15.8" customHeight="1">
      <c r="A8" s="222" t="s">
        <v>7378</v>
      </c>
      <c r="B8" s="121" t="s">
        <v>7364</v>
      </c>
      <c r="C8" s="225" t="s">
        <v>7379</v>
      </c>
      <c r="D8" s="25" t="s">
        <v>7366</v>
      </c>
      <c r="E8" s="25" t="s">
        <v>7367</v>
      </c>
      <c r="F8" s="141" t="str">
        <f t="shared" si="0"/>
        <v>FAR 4.502(d)</v>
      </c>
      <c r="G8" s="112" t="str">
        <f t="shared" si="1"/>
        <v>GSAM 504.502</v>
      </c>
      <c r="H8" s="64"/>
      <c r="I8" s="45" t="b">
        <f t="shared" si="2"/>
        <v>0</v>
      </c>
      <c r="J8" s="117"/>
      <c r="K8" s="117"/>
      <c r="L8" s="117"/>
      <c r="M8" s="117"/>
      <c r="N8" s="117"/>
      <c r="O8" s="117"/>
      <c r="P8" s="117"/>
      <c r="Q8" s="117"/>
      <c r="R8" s="117"/>
      <c r="S8" s="117"/>
    </row>
    <row r="9" spans="1:19" ht="15.8" customHeight="1">
      <c r="A9" s="222" t="s">
        <v>7380</v>
      </c>
      <c r="B9" s="121" t="s">
        <v>7364</v>
      </c>
      <c r="C9" s="227" t="s">
        <v>7381</v>
      </c>
      <c r="D9" s="25" t="s">
        <v>7366</v>
      </c>
      <c r="E9" s="25" t="s">
        <v>7367</v>
      </c>
      <c r="F9" s="141" t="str">
        <f t="shared" si="0"/>
        <v>FAR 4.502(d)</v>
      </c>
      <c r="G9" s="112" t="str">
        <f t="shared" si="1"/>
        <v>GSAM 504.502</v>
      </c>
      <c r="H9" s="64"/>
      <c r="I9" s="45" t="b">
        <f t="shared" si="2"/>
        <v>0</v>
      </c>
      <c r="J9" s="117"/>
      <c r="K9" s="117"/>
      <c r="L9" s="117"/>
      <c r="M9" s="117"/>
      <c r="N9" s="117"/>
      <c r="O9" s="117"/>
      <c r="P9" s="117"/>
      <c r="Q9" s="117"/>
      <c r="R9" s="117"/>
      <c r="S9" s="117"/>
    </row>
    <row r="10" spans="1:19" ht="15.8" customHeight="1">
      <c r="A10" s="222" t="s">
        <v>7382</v>
      </c>
      <c r="B10" s="121" t="s">
        <v>7364</v>
      </c>
      <c r="C10" s="228" t="s">
        <v>7383</v>
      </c>
      <c r="D10" s="25" t="s">
        <v>7366</v>
      </c>
      <c r="E10" s="25" t="s">
        <v>7367</v>
      </c>
      <c r="F10" s="141" t="str">
        <f t="shared" si="0"/>
        <v>FAR 4.502(d)</v>
      </c>
      <c r="G10" s="112" t="str">
        <f t="shared" si="1"/>
        <v>GSAM 504.502</v>
      </c>
      <c r="H10" s="64"/>
      <c r="I10" s="45" t="b">
        <f t="shared" si="2"/>
        <v>0</v>
      </c>
      <c r="J10" s="117"/>
      <c r="K10" s="117"/>
      <c r="L10" s="117"/>
      <c r="M10" s="117"/>
      <c r="N10" s="117"/>
      <c r="O10" s="117"/>
      <c r="P10" s="117"/>
      <c r="Q10" s="117"/>
      <c r="R10" s="117"/>
      <c r="S10" s="117"/>
    </row>
    <row r="11" spans="1:19" ht="15.8" customHeight="1">
      <c r="A11" s="222" t="s">
        <v>7384</v>
      </c>
      <c r="B11" s="121" t="s">
        <v>7364</v>
      </c>
      <c r="C11" s="227" t="s">
        <v>7385</v>
      </c>
      <c r="D11" s="25" t="s">
        <v>7366</v>
      </c>
      <c r="E11" s="25" t="s">
        <v>7367</v>
      </c>
      <c r="F11" s="141" t="str">
        <f t="shared" si="0"/>
        <v>FAR 4.502(d)</v>
      </c>
      <c r="G11" s="112" t="str">
        <f t="shared" si="1"/>
        <v>GSAM 504.502</v>
      </c>
      <c r="H11" s="64"/>
      <c r="I11" s="45" t="b">
        <f t="shared" si="2"/>
        <v>0</v>
      </c>
      <c r="J11" s="117"/>
      <c r="K11" s="117"/>
      <c r="L11" s="117"/>
      <c r="M11" s="117"/>
      <c r="N11" s="117"/>
      <c r="O11" s="117"/>
      <c r="P11" s="117"/>
      <c r="Q11" s="117"/>
      <c r="R11" s="117"/>
      <c r="S11" s="117"/>
    </row>
    <row r="12" spans="1:19" ht="15.8" customHeight="1">
      <c r="A12" s="222" t="s">
        <v>7386</v>
      </c>
      <c r="B12" s="121" t="s">
        <v>7364</v>
      </c>
      <c r="C12" s="225" t="s">
        <v>7387</v>
      </c>
      <c r="D12" s="25" t="s">
        <v>7366</v>
      </c>
      <c r="E12" s="25" t="s">
        <v>7367</v>
      </c>
      <c r="F12" s="141" t="str">
        <f t="shared" si="0"/>
        <v>FAR 4.502(d)</v>
      </c>
      <c r="G12" s="112" t="str">
        <f t="shared" si="1"/>
        <v>GSAM 504.502</v>
      </c>
      <c r="H12" s="64"/>
      <c r="I12" s="45" t="b">
        <f t="shared" si="2"/>
        <v>0</v>
      </c>
      <c r="J12" s="117"/>
      <c r="K12" s="117"/>
      <c r="L12" s="117"/>
      <c r="M12" s="117"/>
      <c r="N12" s="117"/>
      <c r="O12" s="117"/>
      <c r="P12" s="117"/>
      <c r="Q12" s="117"/>
      <c r="R12" s="117"/>
      <c r="S12" s="117"/>
    </row>
    <row r="13" spans="1:19" ht="15.8" customHeight="1">
      <c r="A13" s="222" t="s">
        <v>7388</v>
      </c>
      <c r="B13" s="121" t="s">
        <v>7364</v>
      </c>
      <c r="C13" s="226" t="s">
        <v>7389</v>
      </c>
      <c r="D13" s="25" t="s">
        <v>7366</v>
      </c>
      <c r="E13" s="25" t="s">
        <v>7367</v>
      </c>
      <c r="F13" s="141" t="str">
        <f t="shared" si="0"/>
        <v>FAR 4.502(d)</v>
      </c>
      <c r="G13" s="112" t="str">
        <f t="shared" si="1"/>
        <v>GSAM 504.502</v>
      </c>
      <c r="H13" s="64"/>
      <c r="I13" s="45" t="b">
        <f t="shared" si="2"/>
        <v>0</v>
      </c>
      <c r="J13" s="117"/>
      <c r="K13" s="117"/>
      <c r="L13" s="117"/>
      <c r="M13" s="117"/>
      <c r="N13" s="117"/>
      <c r="O13" s="117"/>
      <c r="P13" s="117"/>
      <c r="Q13" s="117"/>
      <c r="R13" s="117"/>
      <c r="S13" s="117"/>
    </row>
    <row r="14" spans="1:19" ht="15.8" customHeight="1">
      <c r="A14" s="222" t="s">
        <v>7390</v>
      </c>
      <c r="B14" s="121" t="s">
        <v>7364</v>
      </c>
      <c r="C14" s="228" t="s">
        <v>7391</v>
      </c>
      <c r="D14" s="25" t="s">
        <v>7366</v>
      </c>
      <c r="E14" s="25" t="s">
        <v>7367</v>
      </c>
      <c r="F14" s="141" t="str">
        <f t="shared" si="0"/>
        <v>FAR 4.502(d)</v>
      </c>
      <c r="G14" s="112" t="str">
        <f t="shared" si="1"/>
        <v>GSAM 504.502</v>
      </c>
      <c r="H14" s="64"/>
      <c r="I14" s="45" t="b">
        <f t="shared" si="2"/>
        <v>0</v>
      </c>
      <c r="J14" s="117"/>
      <c r="K14" s="117"/>
      <c r="L14" s="117"/>
      <c r="M14" s="117"/>
      <c r="N14" s="117"/>
      <c r="O14" s="117"/>
      <c r="P14" s="117"/>
      <c r="Q14" s="117"/>
      <c r="R14" s="117"/>
      <c r="S14" s="117"/>
    </row>
    <row r="15" spans="1:19" ht="15.8" customHeight="1">
      <c r="A15" s="222" t="s">
        <v>7392</v>
      </c>
      <c r="B15" s="121" t="s">
        <v>7364</v>
      </c>
      <c r="C15" s="227" t="s">
        <v>7393</v>
      </c>
      <c r="D15" s="25" t="s">
        <v>7366</v>
      </c>
      <c r="E15" s="25" t="s">
        <v>7367</v>
      </c>
      <c r="F15" s="141" t="str">
        <f t="shared" si="0"/>
        <v>FAR 4.502(d)</v>
      </c>
      <c r="G15" s="112" t="str">
        <f t="shared" si="1"/>
        <v>GSAM 504.502</v>
      </c>
      <c r="H15" s="64"/>
      <c r="I15" s="45" t="b">
        <f t="shared" si="2"/>
        <v>0</v>
      </c>
      <c r="J15" s="117"/>
      <c r="K15" s="117"/>
      <c r="L15" s="117"/>
      <c r="M15" s="117"/>
      <c r="N15" s="117"/>
      <c r="O15" s="117"/>
      <c r="P15" s="117"/>
      <c r="Q15" s="117"/>
      <c r="R15" s="117"/>
      <c r="S15" s="117"/>
    </row>
    <row r="16" spans="1:19" ht="15.8" customHeight="1">
      <c r="A16" s="222" t="s">
        <v>7394</v>
      </c>
      <c r="B16" s="121" t="s">
        <v>7364</v>
      </c>
      <c r="C16" s="225" t="s">
        <v>7395</v>
      </c>
      <c r="D16" s="25" t="s">
        <v>7366</v>
      </c>
      <c r="E16" s="25" t="s">
        <v>7367</v>
      </c>
      <c r="F16" s="141" t="str">
        <f t="shared" si="0"/>
        <v>FAR 4.502(d)</v>
      </c>
      <c r="G16" s="112" t="str">
        <f t="shared" si="1"/>
        <v>GSAM 504.502</v>
      </c>
      <c r="H16" s="64"/>
      <c r="I16" s="45" t="b">
        <f t="shared" si="2"/>
        <v>0</v>
      </c>
      <c r="J16" s="117"/>
      <c r="K16" s="117"/>
      <c r="L16" s="117"/>
      <c r="M16" s="117"/>
      <c r="N16" s="117"/>
      <c r="O16" s="117"/>
      <c r="P16" s="117"/>
      <c r="Q16" s="117"/>
      <c r="R16" s="117"/>
      <c r="S16" s="117"/>
    </row>
    <row r="17" spans="1:19" ht="15.8" customHeight="1">
      <c r="A17" s="222" t="s">
        <v>7396</v>
      </c>
      <c r="B17" s="121" t="s">
        <v>7364</v>
      </c>
      <c r="C17" s="225" t="s">
        <v>7397</v>
      </c>
      <c r="D17" s="25" t="s">
        <v>7366</v>
      </c>
      <c r="E17" s="25" t="s">
        <v>7367</v>
      </c>
      <c r="F17" s="141" t="str">
        <f t="shared" si="0"/>
        <v>FAR 4.502(d)</v>
      </c>
      <c r="G17" s="112" t="str">
        <f t="shared" si="1"/>
        <v>GSAM 504.502</v>
      </c>
      <c r="H17" s="64"/>
      <c r="I17" s="45" t="b">
        <f t="shared" si="2"/>
        <v>0</v>
      </c>
      <c r="J17" s="117"/>
      <c r="K17" s="117"/>
      <c r="L17" s="117"/>
      <c r="M17" s="117"/>
      <c r="N17" s="117"/>
      <c r="O17" s="117"/>
      <c r="P17" s="117"/>
      <c r="Q17" s="117"/>
      <c r="R17" s="117"/>
      <c r="S17" s="117"/>
    </row>
    <row r="18" spans="1:19" ht="15.8" customHeight="1">
      <c r="A18" s="222" t="s">
        <v>7398</v>
      </c>
      <c r="B18" s="121" t="s">
        <v>7364</v>
      </c>
      <c r="C18" s="225" t="s">
        <v>7399</v>
      </c>
      <c r="D18" s="25" t="s">
        <v>7366</v>
      </c>
      <c r="E18" s="25" t="s">
        <v>7367</v>
      </c>
      <c r="F18" s="141" t="str">
        <f t="shared" si="0"/>
        <v>FAR 4.502(d)</v>
      </c>
      <c r="G18" s="112" t="str">
        <f t="shared" si="1"/>
        <v>GSAM 504.502</v>
      </c>
      <c r="H18" s="64"/>
      <c r="I18" s="45" t="b">
        <f t="shared" si="2"/>
        <v>0</v>
      </c>
      <c r="J18" s="117"/>
      <c r="K18" s="117"/>
      <c r="L18" s="117"/>
      <c r="M18" s="117"/>
      <c r="N18" s="117"/>
      <c r="O18" s="117"/>
      <c r="P18" s="117"/>
      <c r="Q18" s="117"/>
      <c r="R18" s="117"/>
      <c r="S18" s="117"/>
    </row>
    <row r="19" spans="1:19" ht="15.8" customHeight="1">
      <c r="A19" s="222" t="s">
        <v>7400</v>
      </c>
      <c r="B19" s="121" t="s">
        <v>7364</v>
      </c>
      <c r="C19" s="225" t="s">
        <v>7401</v>
      </c>
      <c r="D19" s="25" t="s">
        <v>7366</v>
      </c>
      <c r="E19" s="25" t="s">
        <v>7367</v>
      </c>
      <c r="F19" s="141" t="str">
        <f t="shared" si="0"/>
        <v>FAR 4.502(d)</v>
      </c>
      <c r="G19" s="112" t="str">
        <f t="shared" si="1"/>
        <v>GSAM 504.502</v>
      </c>
      <c r="H19" s="64"/>
      <c r="I19" s="45" t="b">
        <f t="shared" si="2"/>
        <v>0</v>
      </c>
      <c r="J19" s="117"/>
      <c r="K19" s="117"/>
      <c r="L19" s="117"/>
      <c r="M19" s="117"/>
      <c r="N19" s="117"/>
      <c r="O19" s="117"/>
      <c r="P19" s="117"/>
      <c r="Q19" s="117"/>
      <c r="R19" s="117"/>
      <c r="S19" s="117"/>
    </row>
    <row r="20" spans="1:19" ht="15.8" customHeight="1">
      <c r="A20" s="117"/>
      <c r="B20" s="117"/>
      <c r="C20" s="117"/>
      <c r="D20" s="70"/>
      <c r="E20" s="70"/>
      <c r="F20" s="117"/>
      <c r="G20" s="117"/>
      <c r="H20" s="117"/>
      <c r="I20" s="117"/>
      <c r="J20" s="117"/>
      <c r="K20" s="117"/>
      <c r="L20" s="117"/>
      <c r="M20" s="117"/>
      <c r="N20" s="117"/>
      <c r="O20" s="117"/>
      <c r="P20" s="117"/>
      <c r="Q20" s="117"/>
      <c r="R20" s="117"/>
      <c r="S20" s="117"/>
    </row>
    <row r="21" spans="1:19" ht="15.8" customHeight="1">
      <c r="A21" s="117"/>
      <c r="B21" s="117"/>
      <c r="C21" s="117"/>
      <c r="D21" s="70"/>
      <c r="E21" s="70"/>
      <c r="F21" s="117"/>
      <c r="G21" s="117"/>
      <c r="H21" s="117"/>
      <c r="I21" s="125">
        <f>SUM(I2:I19)</f>
        <v>0</v>
      </c>
      <c r="J21" s="117"/>
      <c r="K21" s="117"/>
      <c r="L21" s="117"/>
      <c r="M21" s="117"/>
      <c r="N21" s="117"/>
      <c r="O21" s="117"/>
      <c r="P21" s="117"/>
      <c r="Q21" s="117"/>
      <c r="R21" s="117"/>
      <c r="S21" s="117"/>
    </row>
    <row r="22" spans="1:19" ht="15.8" customHeight="1">
      <c r="A22" s="117"/>
      <c r="B22" s="117"/>
      <c r="C22" s="117"/>
      <c r="D22" s="70"/>
      <c r="E22" s="70"/>
      <c r="F22" s="117"/>
      <c r="G22" s="117"/>
      <c r="H22" s="117"/>
      <c r="I22" s="117"/>
      <c r="J22" s="117"/>
      <c r="K22" s="117"/>
      <c r="L22" s="117"/>
      <c r="M22" s="117"/>
      <c r="N22" s="117"/>
      <c r="O22" s="117"/>
      <c r="P22" s="117"/>
      <c r="Q22" s="117"/>
      <c r="R22" s="117"/>
      <c r="S22" s="117"/>
    </row>
    <row r="23" spans="1:19" ht="15.8" customHeight="1">
      <c r="A23" s="117"/>
      <c r="B23" s="117"/>
      <c r="C23" s="117"/>
      <c r="D23" s="70"/>
      <c r="E23" s="70"/>
      <c r="F23" s="117"/>
      <c r="G23" s="117"/>
      <c r="H23" s="117"/>
      <c r="I23" s="117"/>
      <c r="J23" s="117"/>
      <c r="K23" s="117"/>
      <c r="L23" s="117"/>
      <c r="M23" s="117"/>
      <c r="N23" s="117"/>
      <c r="O23" s="117"/>
      <c r="P23" s="117"/>
      <c r="Q23" s="117"/>
      <c r="R23" s="117"/>
      <c r="S23" s="117"/>
    </row>
    <row r="24" spans="1:19" ht="15.8" customHeight="1">
      <c r="A24" s="117"/>
      <c r="B24" s="117"/>
      <c r="C24" s="117"/>
      <c r="D24" s="70"/>
      <c r="E24" s="70"/>
      <c r="F24" s="117"/>
      <c r="G24" s="117"/>
      <c r="H24" s="117"/>
      <c r="I24" s="117"/>
      <c r="J24" s="117"/>
      <c r="K24" s="117"/>
      <c r="L24" s="117"/>
      <c r="M24" s="117"/>
      <c r="N24" s="117"/>
      <c r="O24" s="117"/>
      <c r="P24" s="117"/>
      <c r="Q24" s="117"/>
      <c r="R24" s="117"/>
      <c r="S24" s="117"/>
    </row>
    <row r="25" spans="1:19" ht="15.8" customHeight="1">
      <c r="A25" s="117"/>
      <c r="B25" s="117"/>
      <c r="C25" s="117"/>
      <c r="D25" s="70"/>
      <c r="E25" s="70"/>
      <c r="F25" s="117"/>
      <c r="G25" s="117"/>
      <c r="H25" s="117"/>
      <c r="I25" s="117"/>
      <c r="J25" s="117"/>
      <c r="K25" s="117"/>
      <c r="L25" s="117"/>
      <c r="M25" s="117"/>
      <c r="N25" s="117"/>
      <c r="O25" s="117"/>
      <c r="P25" s="117"/>
      <c r="Q25" s="117"/>
      <c r="R25" s="117"/>
      <c r="S25" s="117"/>
    </row>
    <row r="26" spans="1:19" ht="15.8" customHeight="1">
      <c r="A26" s="117"/>
      <c r="B26" s="117"/>
      <c r="C26" s="117"/>
      <c r="D26" s="70"/>
      <c r="E26" s="70"/>
      <c r="F26" s="117"/>
      <c r="G26" s="117"/>
      <c r="H26" s="117"/>
      <c r="I26" s="117"/>
      <c r="J26" s="117"/>
      <c r="K26" s="117"/>
      <c r="L26" s="117"/>
      <c r="M26" s="117"/>
      <c r="N26" s="117"/>
      <c r="O26" s="117"/>
      <c r="P26" s="117"/>
      <c r="Q26" s="117"/>
      <c r="R26" s="117"/>
      <c r="S26" s="117"/>
    </row>
    <row r="27" spans="1:19" ht="15.8" customHeight="1">
      <c r="A27" s="117"/>
      <c r="B27" s="117"/>
      <c r="C27" s="117"/>
      <c r="D27" s="70"/>
      <c r="E27" s="70"/>
      <c r="F27" s="117"/>
      <c r="G27" s="117"/>
      <c r="H27" s="117"/>
      <c r="I27" s="117"/>
      <c r="J27" s="117"/>
      <c r="K27" s="117"/>
      <c r="L27" s="117"/>
      <c r="M27" s="117"/>
      <c r="N27" s="117"/>
      <c r="O27" s="117"/>
      <c r="P27" s="117"/>
      <c r="Q27" s="117"/>
      <c r="R27" s="117"/>
      <c r="S27" s="117"/>
    </row>
    <row r="28" spans="1:19" ht="15.8" customHeight="1">
      <c r="A28" s="117"/>
      <c r="B28" s="117"/>
      <c r="C28" s="117"/>
      <c r="D28" s="70"/>
      <c r="E28" s="70"/>
      <c r="F28" s="117"/>
      <c r="G28" s="117"/>
      <c r="H28" s="117"/>
      <c r="I28" s="117"/>
      <c r="J28" s="117"/>
      <c r="K28" s="117"/>
      <c r="L28" s="117"/>
      <c r="M28" s="117"/>
      <c r="N28" s="117"/>
      <c r="O28" s="117"/>
      <c r="P28" s="117"/>
      <c r="Q28" s="117"/>
      <c r="R28" s="117"/>
      <c r="S28" s="117"/>
    </row>
    <row r="29" spans="1:19" ht="15.8" customHeight="1">
      <c r="A29" s="117"/>
      <c r="B29" s="117"/>
      <c r="C29" s="117"/>
      <c r="D29" s="70"/>
      <c r="E29" s="70"/>
      <c r="F29" s="117"/>
      <c r="G29" s="117"/>
      <c r="H29" s="117"/>
      <c r="I29" s="117"/>
      <c r="J29" s="117"/>
      <c r="K29" s="117"/>
      <c r="L29" s="117"/>
      <c r="M29" s="117"/>
      <c r="N29" s="117"/>
      <c r="O29" s="117"/>
      <c r="P29" s="117"/>
      <c r="Q29" s="117"/>
      <c r="R29" s="117"/>
      <c r="S29" s="117"/>
    </row>
    <row r="30" spans="1:19" ht="15.8" customHeight="1">
      <c r="A30" s="117"/>
      <c r="B30" s="117"/>
      <c r="C30" s="117"/>
      <c r="D30" s="70"/>
      <c r="E30" s="70"/>
      <c r="F30" s="117"/>
      <c r="G30" s="117"/>
      <c r="H30" s="117"/>
      <c r="I30" s="117"/>
      <c r="J30" s="117"/>
      <c r="K30" s="117"/>
      <c r="L30" s="117"/>
      <c r="M30" s="117"/>
      <c r="N30" s="117"/>
      <c r="O30" s="117"/>
      <c r="P30" s="117"/>
      <c r="Q30" s="117"/>
      <c r="R30" s="117"/>
      <c r="S30" s="117"/>
    </row>
    <row r="31" spans="1:19" ht="15.8" customHeight="1">
      <c r="A31" s="117"/>
      <c r="B31" s="117"/>
      <c r="C31" s="117"/>
      <c r="D31" s="70"/>
      <c r="E31" s="70"/>
      <c r="F31" s="117"/>
      <c r="G31" s="117"/>
      <c r="H31" s="117"/>
      <c r="I31" s="117"/>
      <c r="J31" s="117"/>
      <c r="K31" s="117"/>
      <c r="L31" s="117"/>
      <c r="M31" s="117"/>
      <c r="N31" s="117"/>
      <c r="O31" s="117"/>
      <c r="P31" s="117"/>
      <c r="Q31" s="117"/>
      <c r="R31" s="117"/>
      <c r="S31" s="117"/>
    </row>
    <row r="32" spans="1:19" ht="15.8" customHeight="1">
      <c r="A32" s="117"/>
      <c r="B32" s="117"/>
      <c r="C32" s="117"/>
      <c r="D32" s="70"/>
      <c r="E32" s="70"/>
      <c r="F32" s="117"/>
      <c r="G32" s="117"/>
      <c r="H32" s="117"/>
      <c r="I32" s="117"/>
      <c r="J32" s="117"/>
      <c r="K32" s="117"/>
      <c r="L32" s="117"/>
      <c r="M32" s="117"/>
      <c r="N32" s="117"/>
      <c r="O32" s="117"/>
      <c r="P32" s="117"/>
      <c r="Q32" s="117"/>
      <c r="R32" s="117"/>
      <c r="S32" s="117"/>
    </row>
    <row r="33" spans="1:19" ht="15.8" customHeight="1">
      <c r="A33" s="117"/>
      <c r="B33" s="117"/>
      <c r="C33" s="117"/>
      <c r="D33" s="70"/>
      <c r="E33" s="70"/>
      <c r="F33" s="117"/>
      <c r="G33" s="117"/>
      <c r="H33" s="117"/>
      <c r="I33" s="117"/>
      <c r="J33" s="117"/>
      <c r="K33" s="117"/>
      <c r="L33" s="117"/>
      <c r="M33" s="117"/>
      <c r="N33" s="117"/>
      <c r="O33" s="117"/>
      <c r="P33" s="117"/>
      <c r="Q33" s="117"/>
      <c r="R33" s="117"/>
      <c r="S33" s="117"/>
    </row>
    <row r="34" spans="1:19" ht="15.8" customHeight="1">
      <c r="A34" s="117"/>
      <c r="B34" s="117"/>
      <c r="C34" s="117"/>
      <c r="D34" s="70"/>
      <c r="E34" s="70"/>
      <c r="F34" s="117"/>
      <c r="G34" s="117"/>
      <c r="H34" s="117"/>
      <c r="I34" s="117"/>
      <c r="J34" s="117"/>
      <c r="K34" s="117"/>
      <c r="L34" s="117"/>
      <c r="M34" s="117"/>
      <c r="N34" s="117"/>
      <c r="O34" s="117"/>
      <c r="P34" s="117"/>
      <c r="Q34" s="117"/>
      <c r="R34" s="117"/>
      <c r="S34" s="117"/>
    </row>
    <row r="35" spans="1:19" ht="15.8" customHeight="1">
      <c r="A35" s="117"/>
      <c r="B35" s="117"/>
      <c r="C35" s="117"/>
      <c r="D35" s="24"/>
      <c r="E35" s="24"/>
      <c r="F35" s="117"/>
      <c r="G35" s="117"/>
      <c r="H35" s="117"/>
      <c r="I35" s="117"/>
      <c r="J35" s="117"/>
      <c r="K35" s="117"/>
      <c r="L35" s="117"/>
      <c r="M35" s="117"/>
      <c r="N35" s="117"/>
      <c r="O35" s="117"/>
      <c r="P35" s="117"/>
      <c r="Q35" s="117"/>
      <c r="R35" s="117"/>
      <c r="S35" s="117"/>
    </row>
    <row r="36" spans="1:19" ht="12.9">
      <c r="A36" s="117"/>
      <c r="B36" s="117"/>
      <c r="C36" s="117"/>
      <c r="D36" s="24"/>
      <c r="E36" s="24"/>
      <c r="F36" s="117"/>
      <c r="G36" s="117"/>
      <c r="H36" s="117"/>
      <c r="I36" s="117"/>
      <c r="J36" s="117"/>
      <c r="K36" s="117"/>
      <c r="L36" s="117"/>
      <c r="M36" s="117"/>
      <c r="N36" s="117"/>
      <c r="O36" s="117"/>
      <c r="P36" s="117"/>
      <c r="Q36" s="117"/>
      <c r="R36" s="117"/>
      <c r="S36" s="117"/>
    </row>
    <row r="37" spans="1:19" ht="12.9">
      <c r="A37" s="117"/>
      <c r="B37" s="117"/>
      <c r="C37" s="117"/>
      <c r="D37" s="24"/>
      <c r="E37" s="24"/>
      <c r="F37" s="117"/>
      <c r="G37" s="117"/>
      <c r="H37" s="117"/>
      <c r="I37" s="117"/>
      <c r="J37" s="117"/>
      <c r="K37" s="117"/>
      <c r="L37" s="117"/>
      <c r="M37" s="117"/>
      <c r="N37" s="117"/>
      <c r="O37" s="117"/>
      <c r="P37" s="117"/>
      <c r="Q37" s="117"/>
      <c r="R37" s="117"/>
      <c r="S37" s="117"/>
    </row>
    <row r="38" spans="1:19" ht="12.9">
      <c r="A38" s="117"/>
      <c r="B38" s="117"/>
      <c r="C38" s="117"/>
      <c r="D38" s="24"/>
      <c r="E38" s="24"/>
      <c r="F38" s="117"/>
      <c r="G38" s="117"/>
      <c r="H38" s="117"/>
      <c r="I38" s="117"/>
      <c r="J38" s="117"/>
      <c r="K38" s="117"/>
      <c r="L38" s="117"/>
      <c r="M38" s="117"/>
      <c r="N38" s="117"/>
      <c r="O38" s="117"/>
      <c r="P38" s="117"/>
      <c r="Q38" s="117"/>
      <c r="R38" s="117"/>
      <c r="S38" s="117"/>
    </row>
    <row r="39" spans="1:19" ht="12.9">
      <c r="A39" s="117"/>
      <c r="B39" s="117"/>
      <c r="C39" s="117"/>
      <c r="D39" s="24"/>
      <c r="E39" s="24"/>
      <c r="F39" s="117"/>
      <c r="G39" s="117"/>
      <c r="H39" s="117"/>
      <c r="I39" s="117"/>
      <c r="J39" s="117"/>
      <c r="K39" s="117"/>
      <c r="L39" s="117"/>
      <c r="M39" s="117"/>
      <c r="N39" s="117"/>
      <c r="O39" s="117"/>
      <c r="P39" s="117"/>
      <c r="Q39" s="117"/>
      <c r="R39" s="117"/>
      <c r="S39" s="117"/>
    </row>
    <row r="40" spans="1:19" ht="12.9">
      <c r="A40" s="117"/>
      <c r="B40" s="117"/>
      <c r="C40" s="117"/>
      <c r="D40" s="24"/>
      <c r="E40" s="24"/>
      <c r="F40" s="117"/>
      <c r="G40" s="117"/>
      <c r="H40" s="117"/>
      <c r="I40" s="117"/>
      <c r="J40" s="117"/>
      <c r="K40" s="117"/>
      <c r="L40" s="117"/>
      <c r="M40" s="117"/>
      <c r="N40" s="117"/>
      <c r="O40" s="117"/>
      <c r="P40" s="117"/>
      <c r="Q40" s="117"/>
      <c r="R40" s="117"/>
      <c r="S40" s="117"/>
    </row>
    <row r="41" spans="1:19" ht="12.9">
      <c r="A41" s="117"/>
      <c r="B41" s="117"/>
      <c r="C41" s="117"/>
      <c r="D41" s="24"/>
      <c r="E41" s="24"/>
      <c r="F41" s="117"/>
      <c r="G41" s="117"/>
      <c r="H41" s="117"/>
      <c r="I41" s="117"/>
      <c r="J41" s="117"/>
      <c r="K41" s="117"/>
      <c r="L41" s="117"/>
      <c r="M41" s="117"/>
      <c r="N41" s="117"/>
      <c r="O41" s="117"/>
      <c r="P41" s="117"/>
      <c r="Q41" s="117"/>
      <c r="R41" s="117"/>
      <c r="S41" s="117"/>
    </row>
    <row r="42" spans="1:19" ht="12.9">
      <c r="A42" s="117"/>
      <c r="B42" s="117"/>
      <c r="C42" s="117"/>
      <c r="D42" s="24"/>
      <c r="E42" s="24"/>
      <c r="F42" s="117"/>
      <c r="G42" s="117"/>
      <c r="H42" s="117"/>
      <c r="I42" s="117"/>
      <c r="J42" s="117"/>
      <c r="K42" s="117"/>
      <c r="L42" s="117"/>
      <c r="M42" s="117"/>
      <c r="N42" s="117"/>
      <c r="O42" s="117"/>
      <c r="P42" s="117"/>
      <c r="Q42" s="117"/>
      <c r="R42" s="117"/>
      <c r="S42" s="117"/>
    </row>
    <row r="43" spans="1:19" ht="12.9">
      <c r="A43" s="117"/>
      <c r="B43" s="117"/>
      <c r="C43" s="117"/>
      <c r="D43" s="24"/>
      <c r="E43" s="24"/>
      <c r="F43" s="117"/>
      <c r="G43" s="117"/>
      <c r="H43" s="117"/>
      <c r="I43" s="117"/>
      <c r="J43" s="117"/>
      <c r="K43" s="117"/>
      <c r="L43" s="117"/>
      <c r="M43" s="117"/>
      <c r="N43" s="117"/>
      <c r="O43" s="117"/>
      <c r="P43" s="117"/>
      <c r="Q43" s="117"/>
      <c r="R43" s="117"/>
      <c r="S43" s="117"/>
    </row>
    <row r="44" spans="1:19" ht="12.9">
      <c r="A44" s="117"/>
      <c r="B44" s="117"/>
      <c r="C44" s="117"/>
      <c r="D44" s="24"/>
      <c r="E44" s="24"/>
      <c r="F44" s="117"/>
      <c r="G44" s="117"/>
      <c r="H44" s="117"/>
      <c r="I44" s="117"/>
      <c r="J44" s="117"/>
      <c r="K44" s="117"/>
      <c r="L44" s="117"/>
      <c r="M44" s="117"/>
      <c r="N44" s="117"/>
      <c r="O44" s="117"/>
      <c r="P44" s="117"/>
      <c r="Q44" s="117"/>
      <c r="R44" s="117"/>
      <c r="S44" s="117"/>
    </row>
    <row r="45" spans="1:19" ht="12.9">
      <c r="A45" s="117"/>
      <c r="B45" s="117"/>
      <c r="C45" s="117"/>
      <c r="D45" s="24"/>
      <c r="E45" s="24"/>
      <c r="F45" s="117"/>
      <c r="G45" s="117"/>
      <c r="H45" s="117"/>
      <c r="I45" s="117"/>
      <c r="J45" s="117"/>
      <c r="K45" s="117"/>
      <c r="L45" s="117"/>
      <c r="M45" s="117"/>
      <c r="N45" s="117"/>
      <c r="O45" s="117"/>
      <c r="P45" s="117"/>
      <c r="Q45" s="117"/>
      <c r="R45" s="117"/>
      <c r="S45" s="117"/>
    </row>
    <row r="46" spans="1:19" ht="12.9">
      <c r="A46" s="117"/>
      <c r="B46" s="117"/>
      <c r="C46" s="117"/>
      <c r="D46" s="24"/>
      <c r="E46" s="24"/>
      <c r="F46" s="117"/>
      <c r="G46" s="117"/>
      <c r="H46" s="117"/>
      <c r="I46" s="117"/>
      <c r="J46" s="117"/>
      <c r="K46" s="117"/>
      <c r="L46" s="117"/>
      <c r="M46" s="117"/>
      <c r="N46" s="117"/>
      <c r="O46" s="117"/>
      <c r="P46" s="117"/>
      <c r="Q46" s="117"/>
      <c r="R46" s="117"/>
      <c r="S46" s="117"/>
    </row>
    <row r="47" spans="1:19" ht="12.9">
      <c r="A47" s="117"/>
      <c r="B47" s="117"/>
      <c r="C47" s="117"/>
      <c r="D47" s="24"/>
      <c r="E47" s="24"/>
      <c r="F47" s="117"/>
      <c r="G47" s="117"/>
      <c r="H47" s="117"/>
      <c r="I47" s="117"/>
      <c r="J47" s="117"/>
      <c r="K47" s="117"/>
      <c r="L47" s="117"/>
      <c r="M47" s="117"/>
      <c r="N47" s="117"/>
      <c r="O47" s="117"/>
      <c r="P47" s="117"/>
      <c r="Q47" s="117"/>
      <c r="R47" s="117"/>
      <c r="S47" s="117"/>
    </row>
    <row r="48" spans="1:19" ht="12.9">
      <c r="A48" s="117"/>
      <c r="B48" s="117"/>
      <c r="C48" s="117"/>
      <c r="D48" s="24"/>
      <c r="E48" s="24"/>
      <c r="F48" s="117"/>
      <c r="G48" s="117"/>
      <c r="H48" s="117"/>
      <c r="I48" s="117"/>
      <c r="J48" s="117"/>
      <c r="K48" s="117"/>
      <c r="L48" s="117"/>
      <c r="M48" s="117"/>
      <c r="N48" s="117"/>
      <c r="O48" s="117"/>
      <c r="P48" s="117"/>
      <c r="Q48" s="117"/>
      <c r="R48" s="117"/>
      <c r="S48" s="117"/>
    </row>
    <row r="49" spans="1:19" ht="12.9">
      <c r="A49" s="117"/>
      <c r="B49" s="117"/>
      <c r="C49" s="117"/>
      <c r="D49" s="24"/>
      <c r="E49" s="24"/>
      <c r="F49" s="117"/>
      <c r="G49" s="117"/>
      <c r="H49" s="117"/>
      <c r="I49" s="117"/>
      <c r="J49" s="117"/>
      <c r="K49" s="117"/>
      <c r="L49" s="117"/>
      <c r="M49" s="117"/>
      <c r="N49" s="117"/>
      <c r="O49" s="117"/>
      <c r="P49" s="117"/>
      <c r="Q49" s="117"/>
      <c r="R49" s="117"/>
      <c r="S49" s="117"/>
    </row>
    <row r="50" spans="1:19" ht="12.9">
      <c r="A50" s="117"/>
      <c r="B50" s="117"/>
      <c r="C50" s="117"/>
      <c r="D50" s="24"/>
      <c r="E50" s="24"/>
      <c r="F50" s="117"/>
      <c r="G50" s="117"/>
      <c r="H50" s="117"/>
      <c r="I50" s="117"/>
      <c r="J50" s="117"/>
      <c r="K50" s="117"/>
      <c r="L50" s="117"/>
      <c r="M50" s="117"/>
      <c r="N50" s="117"/>
      <c r="O50" s="117"/>
      <c r="P50" s="117"/>
      <c r="Q50" s="117"/>
      <c r="R50" s="117"/>
      <c r="S50" s="117"/>
    </row>
    <row r="51" spans="1:19" ht="12.9">
      <c r="A51" s="117"/>
      <c r="B51" s="117"/>
      <c r="C51" s="117"/>
      <c r="D51" s="24"/>
      <c r="E51" s="24"/>
      <c r="F51" s="117"/>
      <c r="G51" s="117"/>
      <c r="H51" s="117"/>
      <c r="I51" s="117"/>
      <c r="J51" s="117"/>
      <c r="K51" s="117"/>
      <c r="L51" s="117"/>
      <c r="M51" s="117"/>
      <c r="N51" s="117"/>
      <c r="O51" s="117"/>
      <c r="P51" s="117"/>
      <c r="Q51" s="117"/>
      <c r="R51" s="117"/>
      <c r="S51" s="117"/>
    </row>
    <row r="52" spans="1:19" ht="12.9">
      <c r="A52" s="117"/>
      <c r="B52" s="117"/>
      <c r="C52" s="117"/>
      <c r="D52" s="24"/>
      <c r="E52" s="24"/>
      <c r="F52" s="117"/>
      <c r="G52" s="117"/>
      <c r="H52" s="117"/>
      <c r="I52" s="117"/>
      <c r="J52" s="117"/>
      <c r="K52" s="117"/>
      <c r="L52" s="117"/>
      <c r="M52" s="117"/>
      <c r="N52" s="117"/>
      <c r="O52" s="117"/>
      <c r="P52" s="117"/>
      <c r="Q52" s="117"/>
      <c r="R52" s="117"/>
      <c r="S52" s="117"/>
    </row>
    <row r="53" spans="1:19" ht="12.9">
      <c r="A53" s="117"/>
      <c r="B53" s="117"/>
      <c r="C53" s="117"/>
      <c r="D53" s="24"/>
      <c r="E53" s="24"/>
      <c r="F53" s="117"/>
      <c r="G53" s="117"/>
      <c r="H53" s="117"/>
      <c r="I53" s="117"/>
      <c r="J53" s="117"/>
      <c r="K53" s="117"/>
      <c r="L53" s="117"/>
      <c r="M53" s="117"/>
      <c r="N53" s="117"/>
      <c r="O53" s="117"/>
      <c r="P53" s="117"/>
      <c r="Q53" s="117"/>
      <c r="R53" s="117"/>
      <c r="S53" s="117"/>
    </row>
    <row r="54" spans="1:19" ht="12.9">
      <c r="A54" s="117"/>
      <c r="B54" s="117"/>
      <c r="C54" s="117"/>
      <c r="D54" s="24"/>
      <c r="E54" s="24"/>
      <c r="F54" s="117"/>
      <c r="G54" s="117"/>
      <c r="H54" s="117"/>
      <c r="I54" s="117"/>
      <c r="J54" s="117"/>
      <c r="K54" s="117"/>
      <c r="L54" s="117"/>
      <c r="M54" s="117"/>
      <c r="N54" s="117"/>
      <c r="O54" s="117"/>
      <c r="P54" s="117"/>
      <c r="Q54" s="117"/>
      <c r="R54" s="117"/>
      <c r="S54" s="117"/>
    </row>
    <row r="55" spans="1:19" ht="12.9">
      <c r="A55" s="117"/>
      <c r="B55" s="117"/>
      <c r="C55" s="117"/>
      <c r="D55" s="24"/>
      <c r="E55" s="24"/>
      <c r="F55" s="117"/>
      <c r="G55" s="117"/>
      <c r="H55" s="117"/>
      <c r="I55" s="117"/>
      <c r="J55" s="117"/>
      <c r="K55" s="117"/>
      <c r="L55" s="117"/>
      <c r="M55" s="117"/>
      <c r="N55" s="117"/>
      <c r="O55" s="117"/>
      <c r="P55" s="117"/>
      <c r="Q55" s="117"/>
      <c r="R55" s="117"/>
      <c r="S55" s="117"/>
    </row>
    <row r="56" spans="1:19" ht="12.9">
      <c r="A56" s="117"/>
      <c r="B56" s="117"/>
      <c r="C56" s="117"/>
      <c r="D56" s="24"/>
      <c r="E56" s="24"/>
      <c r="F56" s="117"/>
      <c r="G56" s="117"/>
      <c r="H56" s="117"/>
      <c r="I56" s="117"/>
      <c r="J56" s="117"/>
      <c r="K56" s="117"/>
      <c r="L56" s="117"/>
      <c r="M56" s="117"/>
      <c r="N56" s="117"/>
      <c r="O56" s="117"/>
      <c r="P56" s="117"/>
      <c r="Q56" s="117"/>
      <c r="R56" s="117"/>
      <c r="S56" s="117"/>
    </row>
    <row r="57" spans="1:19" ht="12.9">
      <c r="A57" s="117"/>
      <c r="B57" s="117"/>
      <c r="C57" s="117"/>
      <c r="D57" s="24"/>
      <c r="E57" s="24"/>
      <c r="F57" s="117"/>
      <c r="G57" s="117"/>
      <c r="H57" s="117"/>
      <c r="I57" s="117"/>
      <c r="J57" s="117"/>
      <c r="K57" s="117"/>
      <c r="L57" s="117"/>
      <c r="M57" s="117"/>
      <c r="N57" s="117"/>
      <c r="O57" s="117"/>
      <c r="P57" s="117"/>
      <c r="Q57" s="117"/>
      <c r="R57" s="117"/>
      <c r="S57" s="117"/>
    </row>
    <row r="58" spans="1:19" ht="12.9">
      <c r="A58" s="117"/>
      <c r="B58" s="117"/>
      <c r="C58" s="117"/>
      <c r="D58" s="24"/>
      <c r="E58" s="24"/>
      <c r="F58" s="117"/>
      <c r="G58" s="117"/>
      <c r="H58" s="117"/>
      <c r="I58" s="117"/>
      <c r="J58" s="117"/>
      <c r="K58" s="117"/>
      <c r="L58" s="117"/>
      <c r="M58" s="117"/>
      <c r="N58" s="117"/>
      <c r="O58" s="117"/>
      <c r="P58" s="117"/>
      <c r="Q58" s="117"/>
      <c r="R58" s="117"/>
      <c r="S58" s="117"/>
    </row>
    <row r="59" spans="1:19" ht="12.9">
      <c r="A59" s="117"/>
      <c r="B59" s="117"/>
      <c r="C59" s="117"/>
      <c r="D59" s="24"/>
      <c r="E59" s="24"/>
      <c r="F59" s="117"/>
      <c r="G59" s="117"/>
      <c r="H59" s="117"/>
      <c r="I59" s="117"/>
      <c r="J59" s="117"/>
      <c r="K59" s="117"/>
      <c r="L59" s="117"/>
      <c r="M59" s="117"/>
      <c r="N59" s="117"/>
      <c r="O59" s="117"/>
      <c r="P59" s="117"/>
      <c r="Q59" s="117"/>
      <c r="R59" s="117"/>
      <c r="S59" s="117"/>
    </row>
    <row r="60" spans="1:19" ht="12.9">
      <c r="A60" s="117"/>
      <c r="B60" s="117"/>
      <c r="C60" s="117"/>
      <c r="D60" s="24"/>
      <c r="E60" s="24"/>
      <c r="F60" s="117"/>
      <c r="G60" s="117"/>
      <c r="H60" s="117"/>
      <c r="I60" s="117"/>
      <c r="J60" s="117"/>
      <c r="K60" s="117"/>
      <c r="L60" s="117"/>
      <c r="M60" s="117"/>
      <c r="N60" s="117"/>
      <c r="O60" s="117"/>
      <c r="P60" s="117"/>
      <c r="Q60" s="117"/>
      <c r="R60" s="117"/>
      <c r="S60" s="117"/>
    </row>
    <row r="61" spans="1:19" ht="12.9">
      <c r="A61" s="117"/>
      <c r="B61" s="117"/>
      <c r="C61" s="117"/>
      <c r="D61" s="24"/>
      <c r="E61" s="24"/>
      <c r="F61" s="117"/>
      <c r="G61" s="117"/>
      <c r="H61" s="117"/>
      <c r="I61" s="117"/>
      <c r="J61" s="117"/>
      <c r="K61" s="117"/>
      <c r="L61" s="117"/>
      <c r="M61" s="117"/>
      <c r="N61" s="117"/>
      <c r="O61" s="117"/>
      <c r="P61" s="117"/>
      <c r="Q61" s="117"/>
      <c r="R61" s="117"/>
      <c r="S61" s="117"/>
    </row>
    <row r="62" spans="1:19" ht="12.9">
      <c r="A62" s="117"/>
      <c r="B62" s="117"/>
      <c r="C62" s="117"/>
      <c r="D62" s="24"/>
      <c r="E62" s="24"/>
      <c r="F62" s="117"/>
      <c r="G62" s="117"/>
      <c r="H62" s="117"/>
      <c r="I62" s="117"/>
      <c r="J62" s="117"/>
      <c r="K62" s="117"/>
      <c r="L62" s="117"/>
      <c r="M62" s="117"/>
      <c r="N62" s="117"/>
      <c r="O62" s="117"/>
      <c r="P62" s="117"/>
      <c r="Q62" s="117"/>
      <c r="R62" s="117"/>
      <c r="S62" s="117"/>
    </row>
    <row r="63" spans="1:19" ht="12.9">
      <c r="A63" s="117"/>
      <c r="B63" s="117"/>
      <c r="C63" s="117"/>
      <c r="D63" s="24"/>
      <c r="E63" s="24"/>
      <c r="F63" s="117"/>
      <c r="G63" s="117"/>
      <c r="H63" s="117"/>
      <c r="I63" s="117"/>
      <c r="J63" s="117"/>
      <c r="K63" s="117"/>
      <c r="L63" s="117"/>
      <c r="M63" s="117"/>
      <c r="N63" s="117"/>
      <c r="O63" s="117"/>
      <c r="P63" s="117"/>
      <c r="Q63" s="117"/>
      <c r="R63" s="117"/>
      <c r="S63" s="117"/>
    </row>
    <row r="64" spans="1:19" ht="12.9">
      <c r="A64" s="117"/>
      <c r="B64" s="117"/>
      <c r="C64" s="117"/>
      <c r="D64" s="24"/>
      <c r="E64" s="24"/>
      <c r="F64" s="117"/>
      <c r="G64" s="117"/>
      <c r="H64" s="117"/>
      <c r="I64" s="117"/>
      <c r="J64" s="117"/>
      <c r="K64" s="117"/>
      <c r="L64" s="117"/>
      <c r="M64" s="117"/>
      <c r="N64" s="117"/>
      <c r="O64" s="117"/>
      <c r="P64" s="117"/>
      <c r="Q64" s="117"/>
      <c r="R64" s="117"/>
      <c r="S64" s="117"/>
    </row>
    <row r="65" spans="1:19" ht="12.9">
      <c r="A65" s="117"/>
      <c r="B65" s="117"/>
      <c r="C65" s="117"/>
      <c r="D65" s="24"/>
      <c r="E65" s="24"/>
      <c r="F65" s="117"/>
      <c r="G65" s="117"/>
      <c r="H65" s="117"/>
      <c r="I65" s="117"/>
      <c r="J65" s="117"/>
      <c r="K65" s="117"/>
      <c r="L65" s="117"/>
      <c r="M65" s="117"/>
      <c r="N65" s="117"/>
      <c r="O65" s="117"/>
      <c r="P65" s="117"/>
      <c r="Q65" s="117"/>
      <c r="R65" s="117"/>
      <c r="S65" s="117"/>
    </row>
    <row r="66" spans="1:19" ht="12.9">
      <c r="A66" s="117"/>
      <c r="B66" s="117"/>
      <c r="C66" s="117"/>
      <c r="D66" s="24"/>
      <c r="E66" s="24"/>
      <c r="F66" s="117"/>
      <c r="G66" s="117"/>
      <c r="H66" s="117"/>
      <c r="I66" s="117"/>
      <c r="J66" s="117"/>
      <c r="K66" s="117"/>
      <c r="L66" s="117"/>
      <c r="M66" s="117"/>
      <c r="N66" s="117"/>
      <c r="O66" s="117"/>
      <c r="P66" s="117"/>
      <c r="Q66" s="117"/>
      <c r="R66" s="117"/>
      <c r="S66" s="117"/>
    </row>
    <row r="67" spans="1:19" ht="12.9">
      <c r="A67" s="117"/>
      <c r="B67" s="117"/>
      <c r="C67" s="117"/>
      <c r="D67" s="24"/>
      <c r="E67" s="24"/>
      <c r="F67" s="117"/>
      <c r="G67" s="117"/>
      <c r="H67" s="117"/>
      <c r="I67" s="117"/>
      <c r="J67" s="117"/>
      <c r="K67" s="117"/>
      <c r="L67" s="117"/>
      <c r="M67" s="117"/>
      <c r="N67" s="117"/>
      <c r="O67" s="117"/>
      <c r="P67" s="117"/>
      <c r="Q67" s="117"/>
      <c r="R67" s="117"/>
      <c r="S67" s="117"/>
    </row>
    <row r="68" spans="1:19" ht="12.9">
      <c r="A68" s="117"/>
      <c r="B68" s="117"/>
      <c r="C68" s="117"/>
      <c r="D68" s="24"/>
      <c r="E68" s="24"/>
      <c r="F68" s="117"/>
      <c r="G68" s="117"/>
      <c r="H68" s="117"/>
      <c r="I68" s="117"/>
      <c r="J68" s="117"/>
      <c r="K68" s="117"/>
      <c r="L68" s="117"/>
      <c r="M68" s="117"/>
      <c r="N68" s="117"/>
      <c r="O68" s="117"/>
      <c r="P68" s="117"/>
      <c r="Q68" s="117"/>
      <c r="R68" s="117"/>
      <c r="S68" s="117"/>
    </row>
    <row r="69" spans="1:19" ht="12.9">
      <c r="A69" s="117"/>
      <c r="B69" s="117"/>
      <c r="C69" s="117"/>
      <c r="D69" s="24"/>
      <c r="E69" s="24"/>
      <c r="F69" s="117"/>
      <c r="G69" s="117"/>
      <c r="H69" s="117"/>
      <c r="I69" s="117"/>
      <c r="J69" s="117"/>
      <c r="K69" s="117"/>
      <c r="L69" s="117"/>
      <c r="M69" s="117"/>
      <c r="N69" s="117"/>
      <c r="O69" s="117"/>
      <c r="P69" s="117"/>
      <c r="Q69" s="117"/>
      <c r="R69" s="117"/>
      <c r="S69" s="117"/>
    </row>
    <row r="70" spans="1:19" ht="12.9">
      <c r="A70" s="117"/>
      <c r="B70" s="117"/>
      <c r="C70" s="117"/>
      <c r="D70" s="24"/>
      <c r="E70" s="24"/>
      <c r="F70" s="117"/>
      <c r="G70" s="117"/>
      <c r="H70" s="117"/>
      <c r="I70" s="117"/>
      <c r="J70" s="117"/>
      <c r="K70" s="117"/>
      <c r="L70" s="117"/>
      <c r="M70" s="117"/>
      <c r="N70" s="117"/>
      <c r="O70" s="117"/>
      <c r="P70" s="117"/>
      <c r="Q70" s="117"/>
      <c r="R70" s="117"/>
      <c r="S70" s="117"/>
    </row>
    <row r="71" spans="1:19" ht="12.9">
      <c r="A71" s="117"/>
      <c r="B71" s="117"/>
      <c r="C71" s="117"/>
      <c r="D71" s="24"/>
      <c r="E71" s="24"/>
      <c r="F71" s="117"/>
      <c r="G71" s="117"/>
      <c r="H71" s="117"/>
      <c r="I71" s="117"/>
      <c r="J71" s="117"/>
      <c r="K71" s="117"/>
      <c r="L71" s="117"/>
      <c r="M71" s="117"/>
      <c r="N71" s="117"/>
      <c r="O71" s="117"/>
      <c r="P71" s="117"/>
      <c r="Q71" s="117"/>
      <c r="R71" s="117"/>
      <c r="S71" s="117"/>
    </row>
    <row r="72" spans="1:19" ht="12.9">
      <c r="A72" s="117"/>
      <c r="B72" s="117"/>
      <c r="C72" s="117"/>
      <c r="D72" s="24"/>
      <c r="E72" s="24"/>
      <c r="F72" s="117"/>
      <c r="G72" s="117"/>
      <c r="H72" s="117"/>
      <c r="I72" s="117"/>
      <c r="J72" s="117"/>
      <c r="K72" s="117"/>
      <c r="L72" s="117"/>
      <c r="M72" s="117"/>
      <c r="N72" s="117"/>
      <c r="O72" s="117"/>
      <c r="P72" s="117"/>
      <c r="Q72" s="117"/>
      <c r="R72" s="117"/>
      <c r="S72" s="117"/>
    </row>
    <row r="73" spans="1:19" ht="12.9">
      <c r="A73" s="117"/>
      <c r="B73" s="117"/>
      <c r="C73" s="117"/>
      <c r="D73" s="24"/>
      <c r="E73" s="24"/>
      <c r="F73" s="117"/>
      <c r="G73" s="117"/>
      <c r="H73" s="117"/>
      <c r="I73" s="117"/>
      <c r="J73" s="117"/>
      <c r="K73" s="117"/>
      <c r="L73" s="117"/>
      <c r="M73" s="117"/>
      <c r="N73" s="117"/>
      <c r="O73" s="117"/>
      <c r="P73" s="117"/>
      <c r="Q73" s="117"/>
      <c r="R73" s="117"/>
      <c r="S73" s="117"/>
    </row>
    <row r="74" spans="1:19" ht="12.9">
      <c r="A74" s="117"/>
      <c r="B74" s="117"/>
      <c r="C74" s="117"/>
      <c r="D74" s="24"/>
      <c r="E74" s="24"/>
      <c r="F74" s="117"/>
      <c r="G74" s="117"/>
      <c r="H74" s="117"/>
      <c r="I74" s="117"/>
      <c r="J74" s="117"/>
      <c r="K74" s="117"/>
      <c r="L74" s="117"/>
      <c r="M74" s="117"/>
      <c r="N74" s="117"/>
      <c r="O74" s="117"/>
      <c r="P74" s="117"/>
      <c r="Q74" s="117"/>
      <c r="R74" s="117"/>
      <c r="S74" s="117"/>
    </row>
    <row r="75" spans="1:19" ht="12.9">
      <c r="A75" s="117"/>
      <c r="B75" s="117"/>
      <c r="C75" s="117"/>
      <c r="D75" s="24"/>
      <c r="E75" s="24"/>
      <c r="F75" s="117"/>
      <c r="G75" s="117"/>
      <c r="H75" s="117"/>
      <c r="I75" s="117"/>
      <c r="J75" s="117"/>
      <c r="K75" s="117"/>
      <c r="L75" s="117"/>
      <c r="M75" s="117"/>
      <c r="N75" s="117"/>
      <c r="O75" s="117"/>
      <c r="P75" s="117"/>
      <c r="Q75" s="117"/>
      <c r="R75" s="117"/>
      <c r="S75" s="117"/>
    </row>
    <row r="76" spans="1:19" ht="12.9">
      <c r="A76" s="117"/>
      <c r="B76" s="117"/>
      <c r="C76" s="117"/>
      <c r="D76" s="24"/>
      <c r="E76" s="24"/>
      <c r="F76" s="117"/>
      <c r="G76" s="117"/>
      <c r="H76" s="117"/>
      <c r="I76" s="117"/>
      <c r="J76" s="117"/>
      <c r="K76" s="117"/>
      <c r="L76" s="117"/>
      <c r="M76" s="117"/>
      <c r="N76" s="117"/>
      <c r="O76" s="117"/>
      <c r="P76" s="117"/>
      <c r="Q76" s="117"/>
      <c r="R76" s="117"/>
      <c r="S76" s="117"/>
    </row>
    <row r="77" spans="1:19" ht="12.9">
      <c r="A77" s="117"/>
      <c r="B77" s="117"/>
      <c r="C77" s="117"/>
      <c r="D77" s="24"/>
      <c r="E77" s="24"/>
      <c r="F77" s="117"/>
      <c r="G77" s="117"/>
      <c r="H77" s="117"/>
      <c r="I77" s="117"/>
      <c r="J77" s="117"/>
      <c r="K77" s="117"/>
      <c r="L77" s="117"/>
      <c r="M77" s="117"/>
      <c r="N77" s="117"/>
      <c r="O77" s="117"/>
      <c r="P77" s="117"/>
      <c r="Q77" s="117"/>
      <c r="R77" s="117"/>
      <c r="S77" s="117"/>
    </row>
    <row r="78" spans="1:19" ht="12.9">
      <c r="A78" s="117"/>
      <c r="B78" s="117"/>
      <c r="C78" s="117"/>
      <c r="D78" s="24"/>
      <c r="E78" s="24"/>
      <c r="F78" s="117"/>
      <c r="G78" s="117"/>
      <c r="H78" s="117"/>
      <c r="I78" s="117"/>
      <c r="J78" s="117"/>
      <c r="K78" s="117"/>
      <c r="L78" s="117"/>
      <c r="M78" s="117"/>
      <c r="N78" s="117"/>
      <c r="O78" s="117"/>
      <c r="P78" s="117"/>
      <c r="Q78" s="117"/>
      <c r="R78" s="117"/>
      <c r="S78" s="117"/>
    </row>
    <row r="79" spans="1:19" ht="12.9">
      <c r="A79" s="117"/>
      <c r="B79" s="117"/>
      <c r="C79" s="117"/>
      <c r="D79" s="24"/>
      <c r="E79" s="24"/>
      <c r="F79" s="117"/>
      <c r="G79" s="117"/>
      <c r="H79" s="117"/>
      <c r="I79" s="117"/>
      <c r="J79" s="117"/>
      <c r="K79" s="117"/>
      <c r="L79" s="117"/>
      <c r="M79" s="117"/>
      <c r="N79" s="117"/>
      <c r="O79" s="117"/>
      <c r="P79" s="117"/>
      <c r="Q79" s="117"/>
      <c r="R79" s="117"/>
      <c r="S79" s="117"/>
    </row>
    <row r="80" spans="1:19" ht="12.9">
      <c r="A80" s="117"/>
      <c r="B80" s="117"/>
      <c r="C80" s="117"/>
      <c r="D80" s="24"/>
      <c r="E80" s="24"/>
      <c r="F80" s="117"/>
      <c r="G80" s="117"/>
      <c r="H80" s="117"/>
      <c r="I80" s="117"/>
      <c r="J80" s="117"/>
      <c r="K80" s="117"/>
      <c r="L80" s="117"/>
      <c r="M80" s="117"/>
      <c r="N80" s="117"/>
      <c r="O80" s="117"/>
      <c r="P80" s="117"/>
      <c r="Q80" s="117"/>
      <c r="R80" s="117"/>
      <c r="S80" s="117"/>
    </row>
    <row r="81" spans="1:19" ht="12.9">
      <c r="A81" s="117"/>
      <c r="B81" s="117"/>
      <c r="C81" s="117"/>
      <c r="D81" s="24"/>
      <c r="E81" s="24"/>
      <c r="F81" s="117"/>
      <c r="G81" s="117"/>
      <c r="H81" s="117"/>
      <c r="I81" s="117"/>
      <c r="J81" s="117"/>
      <c r="K81" s="117"/>
      <c r="L81" s="117"/>
      <c r="M81" s="117"/>
      <c r="N81" s="117"/>
      <c r="O81" s="117"/>
      <c r="P81" s="117"/>
      <c r="Q81" s="117"/>
      <c r="R81" s="117"/>
      <c r="S81" s="117"/>
    </row>
    <row r="82" spans="1:19" ht="12.9">
      <c r="A82" s="117"/>
      <c r="B82" s="117"/>
      <c r="C82" s="117"/>
      <c r="D82" s="24"/>
      <c r="E82" s="24"/>
      <c r="F82" s="117"/>
      <c r="G82" s="117"/>
      <c r="H82" s="117"/>
      <c r="I82" s="117"/>
      <c r="J82" s="117"/>
      <c r="K82" s="117"/>
      <c r="L82" s="117"/>
      <c r="M82" s="117"/>
      <c r="N82" s="117"/>
      <c r="O82" s="117"/>
      <c r="P82" s="117"/>
      <c r="Q82" s="117"/>
      <c r="R82" s="117"/>
      <c r="S82" s="117"/>
    </row>
    <row r="83" spans="1:19" ht="12.9">
      <c r="A83" s="117"/>
      <c r="B83" s="117"/>
      <c r="C83" s="117"/>
      <c r="D83" s="24"/>
      <c r="E83" s="24"/>
      <c r="F83" s="117"/>
      <c r="G83" s="117"/>
      <c r="H83" s="117"/>
      <c r="I83" s="117"/>
      <c r="J83" s="117"/>
      <c r="K83" s="117"/>
      <c r="L83" s="117"/>
      <c r="M83" s="117"/>
      <c r="N83" s="117"/>
      <c r="O83" s="117"/>
      <c r="P83" s="117"/>
      <c r="Q83" s="117"/>
      <c r="R83" s="117"/>
      <c r="S83" s="117"/>
    </row>
    <row r="84" spans="1:19" ht="12.9">
      <c r="A84" s="117"/>
      <c r="B84" s="117"/>
      <c r="C84" s="117"/>
      <c r="D84" s="24"/>
      <c r="E84" s="24"/>
      <c r="F84" s="117"/>
      <c r="G84" s="117"/>
      <c r="H84" s="117"/>
      <c r="I84" s="117"/>
      <c r="J84" s="117"/>
      <c r="K84" s="117"/>
      <c r="L84" s="117"/>
      <c r="M84" s="117"/>
      <c r="N84" s="117"/>
      <c r="O84" s="117"/>
      <c r="P84" s="117"/>
      <c r="Q84" s="117"/>
      <c r="R84" s="117"/>
      <c r="S84" s="117"/>
    </row>
    <row r="85" spans="1:19" ht="12.9">
      <c r="A85" s="117"/>
      <c r="B85" s="117"/>
      <c r="C85" s="117"/>
      <c r="D85" s="24"/>
      <c r="E85" s="24"/>
      <c r="F85" s="117"/>
      <c r="G85" s="117"/>
      <c r="H85" s="117"/>
      <c r="I85" s="117"/>
      <c r="J85" s="117"/>
      <c r="K85" s="117"/>
      <c r="L85" s="117"/>
      <c r="M85" s="117"/>
      <c r="N85" s="117"/>
      <c r="O85" s="117"/>
      <c r="P85" s="117"/>
      <c r="Q85" s="117"/>
      <c r="R85" s="117"/>
      <c r="S85" s="117"/>
    </row>
    <row r="86" spans="1:19" ht="12.9">
      <c r="A86" s="117"/>
      <c r="B86" s="117"/>
      <c r="C86" s="117"/>
      <c r="D86" s="24"/>
      <c r="E86" s="24"/>
      <c r="F86" s="117"/>
      <c r="G86" s="117"/>
      <c r="H86" s="117"/>
      <c r="I86" s="117"/>
      <c r="J86" s="117"/>
      <c r="K86" s="117"/>
      <c r="L86" s="117"/>
      <c r="M86" s="117"/>
      <c r="N86" s="117"/>
      <c r="O86" s="117"/>
      <c r="P86" s="117"/>
      <c r="Q86" s="117"/>
      <c r="R86" s="117"/>
      <c r="S86" s="117"/>
    </row>
    <row r="87" spans="1:19" ht="12.9">
      <c r="A87" s="117"/>
      <c r="B87" s="117"/>
      <c r="C87" s="117"/>
      <c r="D87" s="24"/>
      <c r="E87" s="24"/>
      <c r="F87" s="117"/>
      <c r="G87" s="117"/>
      <c r="H87" s="117"/>
      <c r="I87" s="117"/>
      <c r="J87" s="117"/>
      <c r="K87" s="117"/>
      <c r="L87" s="117"/>
      <c r="M87" s="117"/>
      <c r="N87" s="117"/>
      <c r="O87" s="117"/>
      <c r="P87" s="117"/>
      <c r="Q87" s="117"/>
      <c r="R87" s="117"/>
      <c r="S87" s="117"/>
    </row>
    <row r="88" spans="1:19" ht="12.9">
      <c r="A88" s="117"/>
      <c r="B88" s="117"/>
      <c r="C88" s="117"/>
      <c r="D88" s="24"/>
      <c r="E88" s="24"/>
      <c r="F88" s="117"/>
      <c r="G88" s="117"/>
      <c r="H88" s="117"/>
      <c r="I88" s="117"/>
      <c r="J88" s="117"/>
      <c r="K88" s="117"/>
      <c r="L88" s="117"/>
      <c r="M88" s="117"/>
      <c r="N88" s="117"/>
      <c r="O88" s="117"/>
      <c r="P88" s="117"/>
      <c r="Q88" s="117"/>
      <c r="R88" s="117"/>
      <c r="S88" s="117"/>
    </row>
    <row r="89" spans="1:19" ht="12.9">
      <c r="A89" s="117"/>
      <c r="B89" s="117"/>
      <c r="C89" s="117"/>
      <c r="D89" s="24"/>
      <c r="E89" s="24"/>
      <c r="F89" s="117"/>
      <c r="G89" s="117"/>
      <c r="H89" s="117"/>
      <c r="I89" s="117"/>
      <c r="J89" s="117"/>
      <c r="K89" s="117"/>
      <c r="L89" s="117"/>
      <c r="M89" s="117"/>
      <c r="N89" s="117"/>
      <c r="O89" s="117"/>
      <c r="P89" s="117"/>
      <c r="Q89" s="117"/>
      <c r="R89" s="117"/>
      <c r="S89" s="117"/>
    </row>
    <row r="90" spans="1:19" ht="12.9">
      <c r="A90" s="117"/>
      <c r="B90" s="117"/>
      <c r="C90" s="117"/>
      <c r="D90" s="24"/>
      <c r="E90" s="24"/>
      <c r="F90" s="117"/>
      <c r="G90" s="117"/>
      <c r="H90" s="117"/>
      <c r="I90" s="117"/>
      <c r="J90" s="117"/>
      <c r="K90" s="117"/>
      <c r="L90" s="117"/>
      <c r="M90" s="117"/>
      <c r="N90" s="117"/>
      <c r="O90" s="117"/>
      <c r="P90" s="117"/>
      <c r="Q90" s="117"/>
      <c r="R90" s="117"/>
      <c r="S90" s="117"/>
    </row>
    <row r="91" spans="1:19" ht="12.9">
      <c r="A91" s="117"/>
      <c r="B91" s="117"/>
      <c r="C91" s="117"/>
      <c r="D91" s="24"/>
      <c r="E91" s="24"/>
      <c r="F91" s="117"/>
      <c r="G91" s="117"/>
      <c r="H91" s="117"/>
      <c r="I91" s="117"/>
      <c r="J91" s="117"/>
      <c r="K91" s="117"/>
      <c r="L91" s="117"/>
      <c r="M91" s="117"/>
      <c r="N91" s="117"/>
      <c r="O91" s="117"/>
      <c r="P91" s="117"/>
      <c r="Q91" s="117"/>
      <c r="R91" s="117"/>
      <c r="S91" s="117"/>
    </row>
    <row r="92" spans="1:19" ht="12.9">
      <c r="A92" s="117"/>
      <c r="B92" s="117"/>
      <c r="C92" s="117"/>
      <c r="D92" s="24"/>
      <c r="E92" s="24"/>
      <c r="F92" s="117"/>
      <c r="G92" s="117"/>
      <c r="H92" s="117"/>
      <c r="I92" s="117"/>
      <c r="J92" s="117"/>
      <c r="K92" s="117"/>
      <c r="L92" s="117"/>
      <c r="M92" s="117"/>
      <c r="N92" s="117"/>
      <c r="O92" s="117"/>
      <c r="P92" s="117"/>
      <c r="Q92" s="117"/>
      <c r="R92" s="117"/>
      <c r="S92" s="117"/>
    </row>
    <row r="93" spans="1:19" ht="12.9">
      <c r="A93" s="117"/>
      <c r="B93" s="117"/>
      <c r="C93" s="117"/>
      <c r="D93" s="24"/>
      <c r="E93" s="24"/>
      <c r="F93" s="117"/>
      <c r="G93" s="117"/>
      <c r="H93" s="117"/>
      <c r="I93" s="117"/>
      <c r="J93" s="117"/>
      <c r="K93" s="117"/>
      <c r="L93" s="117"/>
      <c r="M93" s="117"/>
      <c r="N93" s="117"/>
      <c r="O93" s="117"/>
      <c r="P93" s="117"/>
      <c r="Q93" s="117"/>
      <c r="R93" s="117"/>
      <c r="S93" s="117"/>
    </row>
    <row r="94" spans="1:19" ht="12.9">
      <c r="A94" s="117"/>
      <c r="B94" s="117"/>
      <c r="C94" s="117"/>
      <c r="D94" s="24"/>
      <c r="E94" s="24"/>
      <c r="F94" s="117"/>
      <c r="G94" s="117"/>
      <c r="H94" s="117"/>
      <c r="I94" s="117"/>
      <c r="J94" s="117"/>
      <c r="K94" s="117"/>
      <c r="L94" s="117"/>
      <c r="M94" s="117"/>
      <c r="N94" s="117"/>
      <c r="O94" s="117"/>
      <c r="P94" s="117"/>
      <c r="Q94" s="117"/>
      <c r="R94" s="117"/>
      <c r="S94" s="117"/>
    </row>
    <row r="95" spans="1:19" ht="12.9">
      <c r="A95" s="117"/>
      <c r="B95" s="117"/>
      <c r="C95" s="117"/>
      <c r="D95" s="24"/>
      <c r="E95" s="24"/>
      <c r="F95" s="117"/>
      <c r="G95" s="117"/>
      <c r="H95" s="117"/>
      <c r="I95" s="117"/>
      <c r="J95" s="117"/>
      <c r="K95" s="117"/>
      <c r="L95" s="117"/>
      <c r="M95" s="117"/>
      <c r="N95" s="117"/>
      <c r="O95" s="117"/>
      <c r="P95" s="117"/>
      <c r="Q95" s="117"/>
      <c r="R95" s="117"/>
      <c r="S95" s="117"/>
    </row>
    <row r="96" spans="1:19" ht="12.9">
      <c r="A96" s="117"/>
      <c r="B96" s="117"/>
      <c r="C96" s="117"/>
      <c r="D96" s="24"/>
      <c r="E96" s="24"/>
      <c r="F96" s="117"/>
      <c r="G96" s="117"/>
      <c r="H96" s="117"/>
      <c r="I96" s="117"/>
      <c r="J96" s="117"/>
      <c r="K96" s="117"/>
      <c r="L96" s="117"/>
      <c r="M96" s="117"/>
      <c r="N96" s="117"/>
      <c r="O96" s="117"/>
      <c r="P96" s="117"/>
      <c r="Q96" s="117"/>
      <c r="R96" s="117"/>
      <c r="S96" s="117"/>
    </row>
    <row r="97" spans="1:19" ht="12.9">
      <c r="A97" s="117"/>
      <c r="B97" s="117"/>
      <c r="C97" s="117"/>
      <c r="D97" s="24"/>
      <c r="E97" s="24"/>
      <c r="F97" s="117"/>
      <c r="G97" s="117"/>
      <c r="H97" s="117"/>
      <c r="I97" s="117"/>
      <c r="J97" s="117"/>
      <c r="K97" s="117"/>
      <c r="L97" s="117"/>
      <c r="M97" s="117"/>
      <c r="N97" s="117"/>
      <c r="O97" s="117"/>
      <c r="P97" s="117"/>
      <c r="Q97" s="117"/>
      <c r="R97" s="117"/>
      <c r="S97" s="117"/>
    </row>
    <row r="98" spans="1:19" ht="12.9">
      <c r="A98" s="117"/>
      <c r="B98" s="117"/>
      <c r="C98" s="117"/>
      <c r="D98" s="24"/>
      <c r="E98" s="24"/>
      <c r="F98" s="117"/>
      <c r="G98" s="117"/>
      <c r="H98" s="117"/>
      <c r="I98" s="117"/>
      <c r="J98" s="117"/>
      <c r="K98" s="117"/>
      <c r="L98" s="117"/>
      <c r="M98" s="117"/>
      <c r="N98" s="117"/>
      <c r="O98" s="117"/>
      <c r="P98" s="117"/>
      <c r="Q98" s="117"/>
      <c r="R98" s="117"/>
      <c r="S98" s="117"/>
    </row>
    <row r="99" spans="1:19" ht="12.9">
      <c r="A99" s="117"/>
      <c r="B99" s="117"/>
      <c r="C99" s="117"/>
      <c r="D99" s="24"/>
      <c r="E99" s="24"/>
      <c r="F99" s="117"/>
      <c r="G99" s="117"/>
      <c r="H99" s="117"/>
      <c r="I99" s="117"/>
      <c r="J99" s="117"/>
      <c r="K99" s="117"/>
      <c r="L99" s="117"/>
      <c r="M99" s="117"/>
      <c r="N99" s="117"/>
      <c r="O99" s="117"/>
      <c r="P99" s="117"/>
      <c r="Q99" s="117"/>
      <c r="R99" s="117"/>
      <c r="S99" s="117"/>
    </row>
    <row r="100" spans="1:19" ht="12.9">
      <c r="A100" s="117"/>
      <c r="B100" s="117"/>
      <c r="C100" s="117"/>
      <c r="D100" s="24"/>
      <c r="E100" s="24"/>
      <c r="F100" s="117"/>
      <c r="G100" s="117"/>
      <c r="H100" s="117"/>
      <c r="I100" s="117"/>
      <c r="J100" s="117"/>
      <c r="K100" s="117"/>
      <c r="L100" s="117"/>
      <c r="M100" s="117"/>
      <c r="N100" s="117"/>
      <c r="O100" s="117"/>
      <c r="P100" s="117"/>
      <c r="Q100" s="117"/>
      <c r="R100" s="117"/>
      <c r="S100" s="117"/>
    </row>
    <row r="101" spans="1:19" ht="12.9">
      <c r="A101" s="117"/>
      <c r="B101" s="117"/>
      <c r="C101" s="117"/>
      <c r="D101" s="24"/>
      <c r="E101" s="24"/>
      <c r="F101" s="117"/>
      <c r="G101" s="117"/>
      <c r="H101" s="117"/>
      <c r="I101" s="117"/>
      <c r="J101" s="117"/>
      <c r="K101" s="117"/>
      <c r="L101" s="117"/>
      <c r="M101" s="117"/>
      <c r="N101" s="117"/>
      <c r="O101" s="117"/>
      <c r="P101" s="117"/>
      <c r="Q101" s="117"/>
      <c r="R101" s="117"/>
      <c r="S101" s="117"/>
    </row>
    <row r="102" spans="1:19" ht="12.9">
      <c r="A102" s="117"/>
      <c r="B102" s="117"/>
      <c r="C102" s="117"/>
      <c r="D102" s="24"/>
      <c r="E102" s="24"/>
      <c r="F102" s="117"/>
      <c r="G102" s="117"/>
      <c r="H102" s="117"/>
      <c r="I102" s="117"/>
      <c r="J102" s="117"/>
      <c r="K102" s="117"/>
      <c r="L102" s="117"/>
      <c r="M102" s="117"/>
      <c r="N102" s="117"/>
      <c r="O102" s="117"/>
      <c r="P102" s="117"/>
      <c r="Q102" s="117"/>
      <c r="R102" s="117"/>
      <c r="S102" s="117"/>
    </row>
    <row r="103" spans="1:19" ht="12.9">
      <c r="A103" s="117"/>
      <c r="B103" s="117"/>
      <c r="C103" s="117"/>
      <c r="D103" s="24"/>
      <c r="E103" s="24"/>
      <c r="F103" s="117"/>
      <c r="G103" s="117"/>
      <c r="H103" s="117"/>
      <c r="I103" s="117"/>
      <c r="J103" s="117"/>
      <c r="K103" s="117"/>
      <c r="L103" s="117"/>
      <c r="M103" s="117"/>
      <c r="N103" s="117"/>
      <c r="O103" s="117"/>
      <c r="P103" s="117"/>
      <c r="Q103" s="117"/>
      <c r="R103" s="117"/>
      <c r="S103" s="117"/>
    </row>
    <row r="104" spans="1:19" ht="12.9">
      <c r="A104" s="117"/>
      <c r="B104" s="117"/>
      <c r="C104" s="117"/>
      <c r="D104" s="24"/>
      <c r="E104" s="24"/>
      <c r="F104" s="117"/>
      <c r="G104" s="117"/>
      <c r="H104" s="117"/>
      <c r="I104" s="117"/>
      <c r="J104" s="117"/>
      <c r="K104" s="117"/>
      <c r="L104" s="117"/>
      <c r="M104" s="117"/>
      <c r="N104" s="117"/>
      <c r="O104" s="117"/>
      <c r="P104" s="117"/>
      <c r="Q104" s="117"/>
      <c r="R104" s="117"/>
      <c r="S104" s="117"/>
    </row>
    <row r="105" spans="1:19" ht="12.9">
      <c r="A105" s="117"/>
      <c r="B105" s="117"/>
      <c r="C105" s="117"/>
      <c r="D105" s="24"/>
      <c r="E105" s="24"/>
      <c r="F105" s="117"/>
      <c r="G105" s="117"/>
      <c r="H105" s="117"/>
      <c r="I105" s="117"/>
      <c r="J105" s="117"/>
      <c r="K105" s="117"/>
      <c r="L105" s="117"/>
      <c r="M105" s="117"/>
      <c r="N105" s="117"/>
      <c r="O105" s="117"/>
      <c r="P105" s="117"/>
      <c r="Q105" s="117"/>
      <c r="R105" s="117"/>
      <c r="S105" s="117"/>
    </row>
    <row r="106" spans="1:19" ht="12.9">
      <c r="A106" s="117"/>
      <c r="B106" s="117"/>
      <c r="C106" s="117"/>
      <c r="D106" s="24"/>
      <c r="E106" s="24"/>
      <c r="F106" s="117"/>
      <c r="G106" s="117"/>
      <c r="H106" s="117"/>
      <c r="I106" s="117"/>
      <c r="J106" s="117"/>
      <c r="K106" s="117"/>
      <c r="L106" s="117"/>
      <c r="M106" s="117"/>
      <c r="N106" s="117"/>
      <c r="O106" s="117"/>
      <c r="P106" s="117"/>
      <c r="Q106" s="117"/>
      <c r="R106" s="117"/>
      <c r="S106" s="117"/>
    </row>
    <row r="107" spans="1:19" ht="12.9">
      <c r="A107" s="117"/>
      <c r="B107" s="117"/>
      <c r="C107" s="117"/>
      <c r="D107" s="24"/>
      <c r="E107" s="24"/>
      <c r="F107" s="117"/>
      <c r="G107" s="117"/>
      <c r="H107" s="117"/>
      <c r="I107" s="117"/>
      <c r="J107" s="117"/>
      <c r="K107" s="117"/>
      <c r="L107" s="117"/>
      <c r="M107" s="117"/>
      <c r="N107" s="117"/>
      <c r="O107" s="117"/>
      <c r="P107" s="117"/>
      <c r="Q107" s="117"/>
      <c r="R107" s="117"/>
      <c r="S107" s="117"/>
    </row>
    <row r="108" spans="1:19" ht="12.9">
      <c r="A108" s="117"/>
      <c r="B108" s="117"/>
      <c r="C108" s="117"/>
      <c r="D108" s="24"/>
      <c r="E108" s="24"/>
      <c r="F108" s="117"/>
      <c r="G108" s="117"/>
      <c r="H108" s="117"/>
      <c r="I108" s="117"/>
      <c r="J108" s="117"/>
      <c r="K108" s="117"/>
      <c r="L108" s="117"/>
      <c r="M108" s="117"/>
      <c r="N108" s="117"/>
      <c r="O108" s="117"/>
      <c r="P108" s="117"/>
      <c r="Q108" s="117"/>
      <c r="R108" s="117"/>
      <c r="S108" s="117"/>
    </row>
    <row r="109" spans="1:19" ht="12.9">
      <c r="A109" s="117"/>
      <c r="B109" s="117"/>
      <c r="C109" s="117"/>
      <c r="D109" s="24"/>
      <c r="E109" s="24"/>
      <c r="F109" s="117"/>
      <c r="G109" s="117"/>
      <c r="H109" s="117"/>
      <c r="I109" s="117"/>
      <c r="J109" s="117"/>
      <c r="K109" s="117"/>
      <c r="L109" s="117"/>
      <c r="M109" s="117"/>
      <c r="N109" s="117"/>
      <c r="O109" s="117"/>
      <c r="P109" s="117"/>
      <c r="Q109" s="117"/>
      <c r="R109" s="117"/>
      <c r="S109" s="117"/>
    </row>
    <row r="110" spans="1:19" ht="12.9">
      <c r="A110" s="117"/>
      <c r="B110" s="117"/>
      <c r="C110" s="117"/>
      <c r="D110" s="24"/>
      <c r="E110" s="24"/>
      <c r="F110" s="117"/>
      <c r="G110" s="117"/>
      <c r="H110" s="117"/>
      <c r="I110" s="117"/>
      <c r="J110" s="117"/>
      <c r="K110" s="117"/>
      <c r="L110" s="117"/>
      <c r="M110" s="117"/>
      <c r="N110" s="117"/>
      <c r="O110" s="117"/>
      <c r="P110" s="117"/>
      <c r="Q110" s="117"/>
      <c r="R110" s="117"/>
      <c r="S110" s="117"/>
    </row>
    <row r="111" spans="1:19" ht="12.9">
      <c r="A111" s="117"/>
      <c r="B111" s="117"/>
      <c r="C111" s="117"/>
      <c r="D111" s="24"/>
      <c r="E111" s="24"/>
      <c r="F111" s="117"/>
      <c r="G111" s="117"/>
      <c r="H111" s="117"/>
      <c r="I111" s="117"/>
      <c r="J111" s="117"/>
      <c r="K111" s="117"/>
      <c r="L111" s="117"/>
      <c r="M111" s="117"/>
      <c r="N111" s="117"/>
      <c r="O111" s="117"/>
      <c r="P111" s="117"/>
      <c r="Q111" s="117"/>
      <c r="R111" s="117"/>
      <c r="S111" s="117"/>
    </row>
    <row r="112" spans="1:19" ht="12.9">
      <c r="A112" s="117"/>
      <c r="B112" s="117"/>
      <c r="C112" s="117"/>
      <c r="D112" s="24"/>
      <c r="E112" s="24"/>
      <c r="F112" s="117"/>
      <c r="G112" s="117"/>
      <c r="H112" s="117"/>
      <c r="I112" s="117"/>
      <c r="J112" s="117"/>
      <c r="K112" s="117"/>
      <c r="L112" s="117"/>
      <c r="M112" s="117"/>
      <c r="N112" s="117"/>
      <c r="O112" s="117"/>
      <c r="P112" s="117"/>
      <c r="Q112" s="117"/>
      <c r="R112" s="117"/>
      <c r="S112" s="117"/>
    </row>
    <row r="113" spans="1:19" ht="12.9">
      <c r="A113" s="117"/>
      <c r="B113" s="117"/>
      <c r="C113" s="117"/>
      <c r="D113" s="24"/>
      <c r="E113" s="24"/>
      <c r="F113" s="117"/>
      <c r="G113" s="117"/>
      <c r="H113" s="117"/>
      <c r="I113" s="117"/>
      <c r="J113" s="117"/>
      <c r="K113" s="117"/>
      <c r="L113" s="117"/>
      <c r="M113" s="117"/>
      <c r="N113" s="117"/>
      <c r="O113" s="117"/>
      <c r="P113" s="117"/>
      <c r="Q113" s="117"/>
      <c r="R113" s="117"/>
      <c r="S113" s="117"/>
    </row>
    <row r="114" spans="1:19" ht="12.9">
      <c r="A114" s="117"/>
      <c r="B114" s="117"/>
      <c r="C114" s="117"/>
      <c r="D114" s="24"/>
      <c r="E114" s="24"/>
      <c r="F114" s="117"/>
      <c r="G114" s="117"/>
      <c r="H114" s="117"/>
      <c r="I114" s="117"/>
      <c r="J114" s="117"/>
      <c r="K114" s="117"/>
      <c r="L114" s="117"/>
      <c r="M114" s="117"/>
      <c r="N114" s="117"/>
      <c r="O114" s="117"/>
      <c r="P114" s="117"/>
      <c r="Q114" s="117"/>
      <c r="R114" s="117"/>
      <c r="S114" s="117"/>
    </row>
    <row r="115" spans="1:19" ht="12.9">
      <c r="A115" s="117"/>
      <c r="B115" s="117"/>
      <c r="C115" s="117"/>
      <c r="D115" s="24"/>
      <c r="E115" s="24"/>
      <c r="F115" s="117"/>
      <c r="G115" s="117"/>
      <c r="H115" s="117"/>
      <c r="I115" s="117"/>
      <c r="J115" s="117"/>
      <c r="K115" s="117"/>
      <c r="L115" s="117"/>
      <c r="M115" s="117"/>
      <c r="N115" s="117"/>
      <c r="O115" s="117"/>
      <c r="P115" s="117"/>
      <c r="Q115" s="117"/>
      <c r="R115" s="117"/>
      <c r="S115" s="117"/>
    </row>
    <row r="116" spans="1:19" ht="12.9">
      <c r="A116" s="117"/>
      <c r="B116" s="117"/>
      <c r="C116" s="117"/>
      <c r="D116" s="24"/>
      <c r="E116" s="24"/>
      <c r="F116" s="117"/>
      <c r="G116" s="117"/>
      <c r="H116" s="117"/>
      <c r="I116" s="117"/>
      <c r="J116" s="117"/>
      <c r="K116" s="117"/>
      <c r="L116" s="117"/>
      <c r="M116" s="117"/>
      <c r="N116" s="117"/>
      <c r="O116" s="117"/>
      <c r="P116" s="117"/>
      <c r="Q116" s="117"/>
      <c r="R116" s="117"/>
      <c r="S116" s="117"/>
    </row>
    <row r="117" spans="1:19" ht="12.9">
      <c r="A117" s="117"/>
      <c r="B117" s="117"/>
      <c r="C117" s="117"/>
      <c r="D117" s="24"/>
      <c r="E117" s="24"/>
      <c r="F117" s="117"/>
      <c r="G117" s="117"/>
      <c r="H117" s="117"/>
      <c r="I117" s="117"/>
      <c r="J117" s="117"/>
      <c r="K117" s="117"/>
      <c r="L117" s="117"/>
      <c r="M117" s="117"/>
      <c r="N117" s="117"/>
      <c r="O117" s="117"/>
      <c r="P117" s="117"/>
      <c r="Q117" s="117"/>
      <c r="R117" s="117"/>
      <c r="S117" s="117"/>
    </row>
    <row r="118" spans="1:19" ht="12.9">
      <c r="A118" s="117"/>
      <c r="B118" s="117"/>
      <c r="C118" s="117"/>
      <c r="D118" s="24"/>
      <c r="E118" s="24"/>
      <c r="F118" s="117"/>
      <c r="G118" s="117"/>
      <c r="H118" s="117"/>
      <c r="I118" s="117"/>
      <c r="J118" s="117"/>
      <c r="K118" s="117"/>
      <c r="L118" s="117"/>
      <c r="M118" s="117"/>
      <c r="N118" s="117"/>
      <c r="O118" s="117"/>
      <c r="P118" s="117"/>
      <c r="Q118" s="117"/>
      <c r="R118" s="117"/>
      <c r="S118" s="117"/>
    </row>
    <row r="119" spans="1:19" ht="12.9">
      <c r="A119" s="117"/>
      <c r="B119" s="117"/>
      <c r="C119" s="117"/>
      <c r="D119" s="24"/>
      <c r="E119" s="24"/>
      <c r="F119" s="117"/>
      <c r="G119" s="117"/>
      <c r="H119" s="117"/>
      <c r="I119" s="117"/>
      <c r="J119" s="117"/>
      <c r="K119" s="117"/>
      <c r="L119" s="117"/>
      <c r="M119" s="117"/>
      <c r="N119" s="117"/>
      <c r="O119" s="117"/>
      <c r="P119" s="117"/>
      <c r="Q119" s="117"/>
      <c r="R119" s="117"/>
      <c r="S119" s="117"/>
    </row>
    <row r="120" spans="1:19" ht="12.9">
      <c r="A120" s="117"/>
      <c r="B120" s="117"/>
      <c r="C120" s="117"/>
      <c r="D120" s="24"/>
      <c r="E120" s="24"/>
      <c r="F120" s="117"/>
      <c r="G120" s="117"/>
      <c r="H120" s="117"/>
      <c r="I120" s="117"/>
      <c r="J120" s="117"/>
      <c r="K120" s="117"/>
      <c r="L120" s="117"/>
      <c r="M120" s="117"/>
      <c r="N120" s="117"/>
      <c r="O120" s="117"/>
      <c r="P120" s="117"/>
      <c r="Q120" s="117"/>
      <c r="R120" s="117"/>
      <c r="S120" s="117"/>
    </row>
    <row r="121" spans="1:19" ht="12.9">
      <c r="A121" s="117"/>
      <c r="B121" s="117"/>
      <c r="C121" s="117"/>
      <c r="D121" s="24"/>
      <c r="E121" s="24"/>
      <c r="F121" s="117"/>
      <c r="G121" s="117"/>
      <c r="H121" s="117"/>
      <c r="I121" s="117"/>
      <c r="J121" s="117"/>
      <c r="K121" s="117"/>
      <c r="L121" s="117"/>
      <c r="M121" s="117"/>
      <c r="N121" s="117"/>
      <c r="O121" s="117"/>
      <c r="P121" s="117"/>
      <c r="Q121" s="117"/>
      <c r="R121" s="117"/>
      <c r="S121" s="117"/>
    </row>
    <row r="122" spans="1:19" ht="12.9">
      <c r="A122" s="117"/>
      <c r="B122" s="117"/>
      <c r="C122" s="117"/>
      <c r="D122" s="24"/>
      <c r="E122" s="24"/>
      <c r="F122" s="117"/>
      <c r="G122" s="117"/>
      <c r="H122" s="117"/>
      <c r="I122" s="117"/>
      <c r="J122" s="117"/>
      <c r="K122" s="117"/>
      <c r="L122" s="117"/>
      <c r="M122" s="117"/>
      <c r="N122" s="117"/>
      <c r="O122" s="117"/>
      <c r="P122" s="117"/>
      <c r="Q122" s="117"/>
      <c r="R122" s="117"/>
      <c r="S122" s="117"/>
    </row>
    <row r="123" spans="1:19" ht="12.9">
      <c r="A123" s="117"/>
      <c r="B123" s="117"/>
      <c r="C123" s="117"/>
      <c r="D123" s="24"/>
      <c r="E123" s="24"/>
      <c r="F123" s="117"/>
      <c r="G123" s="117"/>
      <c r="H123" s="117"/>
      <c r="I123" s="117"/>
      <c r="J123" s="117"/>
      <c r="K123" s="117"/>
      <c r="L123" s="117"/>
      <c r="M123" s="117"/>
      <c r="N123" s="117"/>
      <c r="O123" s="117"/>
      <c r="P123" s="117"/>
      <c r="Q123" s="117"/>
      <c r="R123" s="117"/>
      <c r="S123" s="117"/>
    </row>
    <row r="124" spans="1:19" ht="12.9">
      <c r="A124" s="117"/>
      <c r="B124" s="117"/>
      <c r="C124" s="117"/>
      <c r="D124" s="24"/>
      <c r="E124" s="24"/>
      <c r="F124" s="117"/>
      <c r="G124" s="117"/>
      <c r="H124" s="117"/>
      <c r="I124" s="117"/>
      <c r="J124" s="117"/>
      <c r="K124" s="117"/>
      <c r="L124" s="117"/>
      <c r="M124" s="117"/>
      <c r="N124" s="117"/>
      <c r="O124" s="117"/>
      <c r="P124" s="117"/>
      <c r="Q124" s="117"/>
      <c r="R124" s="117"/>
      <c r="S124" s="117"/>
    </row>
    <row r="125" spans="1:19" ht="12.9">
      <c r="A125" s="117"/>
      <c r="B125" s="117"/>
      <c r="C125" s="117"/>
      <c r="D125" s="24"/>
      <c r="E125" s="24"/>
      <c r="F125" s="117"/>
      <c r="G125" s="117"/>
      <c r="H125" s="117"/>
      <c r="I125" s="117"/>
      <c r="J125" s="117"/>
      <c r="K125" s="117"/>
      <c r="L125" s="117"/>
      <c r="M125" s="117"/>
      <c r="N125" s="117"/>
      <c r="O125" s="117"/>
      <c r="P125" s="117"/>
      <c r="Q125" s="117"/>
      <c r="R125" s="117"/>
      <c r="S125" s="117"/>
    </row>
    <row r="126" spans="1:19" ht="12.9">
      <c r="A126" s="117"/>
      <c r="B126" s="117"/>
      <c r="C126" s="117"/>
      <c r="D126" s="24"/>
      <c r="E126" s="24"/>
      <c r="F126" s="117"/>
      <c r="G126" s="117"/>
      <c r="H126" s="117"/>
      <c r="I126" s="117"/>
      <c r="J126" s="117"/>
      <c r="K126" s="117"/>
      <c r="L126" s="117"/>
      <c r="M126" s="117"/>
      <c r="N126" s="117"/>
      <c r="O126" s="117"/>
      <c r="P126" s="117"/>
      <c r="Q126" s="117"/>
      <c r="R126" s="117"/>
      <c r="S126" s="117"/>
    </row>
    <row r="127" spans="1:19" ht="12.9">
      <c r="A127" s="117"/>
      <c r="B127" s="117"/>
      <c r="C127" s="117"/>
      <c r="D127" s="24"/>
      <c r="E127" s="24"/>
      <c r="F127" s="117"/>
      <c r="G127" s="117"/>
      <c r="H127" s="117"/>
      <c r="I127" s="117"/>
      <c r="J127" s="117"/>
      <c r="K127" s="117"/>
      <c r="L127" s="117"/>
      <c r="M127" s="117"/>
      <c r="N127" s="117"/>
      <c r="O127" s="117"/>
      <c r="P127" s="117"/>
      <c r="Q127" s="117"/>
      <c r="R127" s="117"/>
      <c r="S127" s="117"/>
    </row>
    <row r="128" spans="1:19" ht="12.9">
      <c r="A128" s="117"/>
      <c r="B128" s="117"/>
      <c r="C128" s="117"/>
      <c r="D128" s="24"/>
      <c r="E128" s="24"/>
      <c r="F128" s="117"/>
      <c r="G128" s="117"/>
      <c r="H128" s="117"/>
      <c r="I128" s="117"/>
      <c r="J128" s="117"/>
      <c r="K128" s="117"/>
      <c r="L128" s="117"/>
      <c r="M128" s="117"/>
      <c r="N128" s="117"/>
      <c r="O128" s="117"/>
      <c r="P128" s="117"/>
      <c r="Q128" s="117"/>
      <c r="R128" s="117"/>
      <c r="S128" s="117"/>
    </row>
    <row r="129" spans="1:19" ht="12.9">
      <c r="A129" s="117"/>
      <c r="B129" s="117"/>
      <c r="C129" s="117"/>
      <c r="D129" s="24"/>
      <c r="E129" s="24"/>
      <c r="F129" s="117"/>
      <c r="G129" s="117"/>
      <c r="H129" s="117"/>
      <c r="I129" s="117"/>
      <c r="J129" s="117"/>
      <c r="K129" s="117"/>
      <c r="L129" s="117"/>
      <c r="M129" s="117"/>
      <c r="N129" s="117"/>
      <c r="O129" s="117"/>
      <c r="P129" s="117"/>
      <c r="Q129" s="117"/>
      <c r="R129" s="117"/>
      <c r="S129" s="117"/>
    </row>
    <row r="130" spans="1:19" ht="12.9">
      <c r="A130" s="117"/>
      <c r="B130" s="117"/>
      <c r="C130" s="117"/>
      <c r="D130" s="24"/>
      <c r="E130" s="24"/>
      <c r="F130" s="117"/>
      <c r="G130" s="117"/>
      <c r="H130" s="117"/>
      <c r="I130" s="117"/>
      <c r="J130" s="117"/>
      <c r="K130" s="117"/>
      <c r="L130" s="117"/>
      <c r="M130" s="117"/>
      <c r="N130" s="117"/>
      <c r="O130" s="117"/>
      <c r="P130" s="117"/>
      <c r="Q130" s="117"/>
      <c r="R130" s="117"/>
      <c r="S130" s="117"/>
    </row>
    <row r="131" spans="1:19" ht="12.9">
      <c r="A131" s="117"/>
      <c r="B131" s="117"/>
      <c r="C131" s="117"/>
      <c r="D131" s="24"/>
      <c r="E131" s="24"/>
      <c r="F131" s="117"/>
      <c r="G131" s="117"/>
      <c r="H131" s="117"/>
      <c r="I131" s="117"/>
      <c r="J131" s="117"/>
      <c r="K131" s="117"/>
      <c r="L131" s="117"/>
      <c r="M131" s="117"/>
      <c r="N131" s="117"/>
      <c r="O131" s="117"/>
      <c r="P131" s="117"/>
      <c r="Q131" s="117"/>
      <c r="R131" s="117"/>
      <c r="S131" s="117"/>
    </row>
    <row r="132" spans="1:19" ht="12.9">
      <c r="A132" s="117"/>
      <c r="B132" s="117"/>
      <c r="C132" s="117"/>
      <c r="D132" s="24"/>
      <c r="E132" s="24"/>
      <c r="F132" s="117"/>
      <c r="G132" s="117"/>
      <c r="H132" s="117"/>
      <c r="I132" s="117"/>
      <c r="J132" s="117"/>
      <c r="K132" s="117"/>
      <c r="L132" s="117"/>
      <c r="M132" s="117"/>
      <c r="N132" s="117"/>
      <c r="O132" s="117"/>
      <c r="P132" s="117"/>
      <c r="Q132" s="117"/>
      <c r="R132" s="117"/>
      <c r="S132" s="117"/>
    </row>
    <row r="133" spans="1:19" ht="12.9">
      <c r="A133" s="117"/>
      <c r="B133" s="117"/>
      <c r="C133" s="117"/>
      <c r="D133" s="24"/>
      <c r="E133" s="24"/>
      <c r="F133" s="117"/>
      <c r="G133" s="117"/>
      <c r="H133" s="117"/>
      <c r="I133" s="117"/>
      <c r="J133" s="117"/>
      <c r="K133" s="117"/>
      <c r="L133" s="117"/>
      <c r="M133" s="117"/>
      <c r="N133" s="117"/>
      <c r="O133" s="117"/>
      <c r="P133" s="117"/>
      <c r="Q133" s="117"/>
      <c r="R133" s="117"/>
      <c r="S133" s="117"/>
    </row>
    <row r="134" spans="1:19" ht="12.9">
      <c r="A134" s="117"/>
      <c r="B134" s="117"/>
      <c r="C134" s="117"/>
      <c r="D134" s="24"/>
      <c r="E134" s="24"/>
      <c r="F134" s="117"/>
      <c r="G134" s="117"/>
      <c r="H134" s="117"/>
      <c r="I134" s="117"/>
      <c r="J134" s="117"/>
      <c r="K134" s="117"/>
      <c r="L134" s="117"/>
      <c r="M134" s="117"/>
      <c r="N134" s="117"/>
      <c r="O134" s="117"/>
      <c r="P134" s="117"/>
      <c r="Q134" s="117"/>
      <c r="R134" s="117"/>
      <c r="S134" s="117"/>
    </row>
    <row r="135" spans="1:19" ht="12.9">
      <c r="A135" s="117"/>
      <c r="B135" s="117"/>
      <c r="C135" s="117"/>
      <c r="D135" s="24"/>
      <c r="E135" s="24"/>
      <c r="F135" s="117"/>
      <c r="G135" s="117"/>
      <c r="H135" s="117"/>
      <c r="I135" s="117"/>
      <c r="J135" s="117"/>
      <c r="K135" s="117"/>
      <c r="L135" s="117"/>
      <c r="M135" s="117"/>
      <c r="N135" s="117"/>
      <c r="O135" s="117"/>
      <c r="P135" s="117"/>
      <c r="Q135" s="117"/>
      <c r="R135" s="117"/>
      <c r="S135" s="117"/>
    </row>
    <row r="136" spans="1:19" ht="12.9">
      <c r="A136" s="117"/>
      <c r="B136" s="117"/>
      <c r="C136" s="117"/>
      <c r="D136" s="24"/>
      <c r="E136" s="24"/>
      <c r="F136" s="117"/>
      <c r="G136" s="117"/>
      <c r="H136" s="117"/>
      <c r="I136" s="117"/>
      <c r="J136" s="117"/>
      <c r="K136" s="117"/>
      <c r="L136" s="117"/>
      <c r="M136" s="117"/>
      <c r="N136" s="117"/>
      <c r="O136" s="117"/>
      <c r="P136" s="117"/>
      <c r="Q136" s="117"/>
      <c r="R136" s="117"/>
      <c r="S136" s="117"/>
    </row>
    <row r="137" spans="1:19" ht="12.9">
      <c r="A137" s="117"/>
      <c r="B137" s="117"/>
      <c r="C137" s="117"/>
      <c r="D137" s="24"/>
      <c r="E137" s="24"/>
      <c r="F137" s="117"/>
      <c r="G137" s="117"/>
      <c r="H137" s="117"/>
      <c r="I137" s="117"/>
      <c r="J137" s="117"/>
      <c r="K137" s="117"/>
      <c r="L137" s="117"/>
      <c r="M137" s="117"/>
      <c r="N137" s="117"/>
      <c r="O137" s="117"/>
      <c r="P137" s="117"/>
      <c r="Q137" s="117"/>
      <c r="R137" s="117"/>
      <c r="S137" s="117"/>
    </row>
    <row r="138" spans="1:19" ht="12.9">
      <c r="A138" s="117"/>
      <c r="B138" s="117"/>
      <c r="C138" s="117"/>
      <c r="D138" s="24"/>
      <c r="E138" s="24"/>
      <c r="F138" s="117"/>
      <c r="G138" s="117"/>
      <c r="H138" s="117"/>
      <c r="I138" s="117"/>
      <c r="J138" s="117"/>
      <c r="K138" s="117"/>
      <c r="L138" s="117"/>
      <c r="M138" s="117"/>
      <c r="N138" s="117"/>
      <c r="O138" s="117"/>
      <c r="P138" s="117"/>
      <c r="Q138" s="117"/>
      <c r="R138" s="117"/>
      <c r="S138" s="117"/>
    </row>
    <row r="139" spans="1:19" ht="12.9">
      <c r="A139" s="117"/>
      <c r="B139" s="117"/>
      <c r="C139" s="117"/>
      <c r="D139" s="24"/>
      <c r="E139" s="24"/>
      <c r="F139" s="117"/>
      <c r="G139" s="117"/>
      <c r="H139" s="117"/>
      <c r="I139" s="117"/>
      <c r="J139" s="117"/>
      <c r="K139" s="117"/>
      <c r="L139" s="117"/>
      <c r="M139" s="117"/>
      <c r="N139" s="117"/>
      <c r="O139" s="117"/>
      <c r="P139" s="117"/>
      <c r="Q139" s="117"/>
      <c r="R139" s="117"/>
      <c r="S139" s="117"/>
    </row>
    <row r="140" spans="1:19" ht="12.9">
      <c r="A140" s="117"/>
      <c r="B140" s="117"/>
      <c r="C140" s="117"/>
      <c r="D140" s="24"/>
      <c r="E140" s="24"/>
      <c r="F140" s="117"/>
      <c r="G140" s="117"/>
      <c r="H140" s="117"/>
      <c r="I140" s="117"/>
      <c r="J140" s="117"/>
      <c r="K140" s="117"/>
      <c r="L140" s="117"/>
      <c r="M140" s="117"/>
      <c r="N140" s="117"/>
      <c r="O140" s="117"/>
      <c r="P140" s="117"/>
      <c r="Q140" s="117"/>
      <c r="R140" s="117"/>
      <c r="S140" s="117"/>
    </row>
    <row r="141" spans="1:19" ht="12.9">
      <c r="A141" s="117"/>
      <c r="B141" s="117"/>
      <c r="C141" s="117"/>
      <c r="D141" s="24"/>
      <c r="E141" s="24"/>
      <c r="F141" s="117"/>
      <c r="G141" s="117"/>
      <c r="H141" s="117"/>
      <c r="I141" s="117"/>
      <c r="J141" s="117"/>
      <c r="K141" s="117"/>
      <c r="L141" s="117"/>
      <c r="M141" s="117"/>
      <c r="N141" s="117"/>
      <c r="O141" s="117"/>
      <c r="P141" s="117"/>
      <c r="Q141" s="117"/>
      <c r="R141" s="117"/>
      <c r="S141" s="117"/>
    </row>
    <row r="142" spans="1:19" ht="12.9">
      <c r="A142" s="117"/>
      <c r="B142" s="117"/>
      <c r="C142" s="117"/>
      <c r="D142" s="24"/>
      <c r="E142" s="24"/>
      <c r="F142" s="117"/>
      <c r="G142" s="117"/>
      <c r="H142" s="117"/>
      <c r="I142" s="117"/>
      <c r="J142" s="117"/>
      <c r="K142" s="117"/>
      <c r="L142" s="117"/>
      <c r="M142" s="117"/>
      <c r="N142" s="117"/>
      <c r="O142" s="117"/>
      <c r="P142" s="117"/>
      <c r="Q142" s="117"/>
      <c r="R142" s="117"/>
      <c r="S142" s="117"/>
    </row>
    <row r="143" spans="1:19" ht="12.9">
      <c r="A143" s="117"/>
      <c r="B143" s="117"/>
      <c r="C143" s="117"/>
      <c r="D143" s="24"/>
      <c r="E143" s="24"/>
      <c r="F143" s="117"/>
      <c r="G143" s="117"/>
      <c r="H143" s="117"/>
      <c r="I143" s="117"/>
      <c r="J143" s="117"/>
      <c r="K143" s="117"/>
      <c r="L143" s="117"/>
      <c r="M143" s="117"/>
      <c r="N143" s="117"/>
      <c r="O143" s="117"/>
      <c r="P143" s="117"/>
      <c r="Q143" s="117"/>
      <c r="R143" s="117"/>
      <c r="S143" s="117"/>
    </row>
    <row r="144" spans="1:19" ht="12.9">
      <c r="A144" s="117"/>
      <c r="B144" s="117"/>
      <c r="C144" s="117"/>
      <c r="D144" s="24"/>
      <c r="E144" s="24"/>
      <c r="F144" s="117"/>
      <c r="G144" s="117"/>
      <c r="H144" s="117"/>
      <c r="I144" s="117"/>
      <c r="J144" s="117"/>
      <c r="K144" s="117"/>
      <c r="L144" s="117"/>
      <c r="M144" s="117"/>
      <c r="N144" s="117"/>
      <c r="O144" s="117"/>
      <c r="P144" s="117"/>
      <c r="Q144" s="117"/>
      <c r="R144" s="117"/>
      <c r="S144" s="117"/>
    </row>
    <row r="145" spans="1:19" ht="12.9">
      <c r="A145" s="117"/>
      <c r="B145" s="117"/>
      <c r="C145" s="117"/>
      <c r="D145" s="24"/>
      <c r="E145" s="24"/>
      <c r="F145" s="117"/>
      <c r="G145" s="117"/>
      <c r="H145" s="117"/>
      <c r="I145" s="117"/>
      <c r="J145" s="117"/>
      <c r="K145" s="117"/>
      <c r="L145" s="117"/>
      <c r="M145" s="117"/>
      <c r="N145" s="117"/>
      <c r="O145" s="117"/>
      <c r="P145" s="117"/>
      <c r="Q145" s="117"/>
      <c r="R145" s="117"/>
      <c r="S145" s="117"/>
    </row>
    <row r="146" spans="1:19" ht="12.9">
      <c r="A146" s="117"/>
      <c r="B146" s="117"/>
      <c r="C146" s="117"/>
      <c r="D146" s="24"/>
      <c r="E146" s="24"/>
      <c r="F146" s="117"/>
      <c r="G146" s="117"/>
      <c r="H146" s="117"/>
      <c r="I146" s="117"/>
      <c r="J146" s="117"/>
      <c r="K146" s="117"/>
      <c r="L146" s="117"/>
      <c r="M146" s="117"/>
      <c r="N146" s="117"/>
      <c r="O146" s="117"/>
      <c r="P146" s="117"/>
      <c r="Q146" s="117"/>
      <c r="R146" s="117"/>
      <c r="S146" s="117"/>
    </row>
    <row r="147" spans="1:19" ht="12.9">
      <c r="A147" s="117"/>
      <c r="B147" s="117"/>
      <c r="C147" s="117"/>
      <c r="D147" s="24"/>
      <c r="E147" s="24"/>
      <c r="F147" s="117"/>
      <c r="G147" s="117"/>
      <c r="H147" s="117"/>
      <c r="I147" s="117"/>
      <c r="J147" s="117"/>
      <c r="K147" s="117"/>
      <c r="L147" s="117"/>
      <c r="M147" s="117"/>
      <c r="N147" s="117"/>
      <c r="O147" s="117"/>
      <c r="P147" s="117"/>
      <c r="Q147" s="117"/>
      <c r="R147" s="117"/>
      <c r="S147" s="117"/>
    </row>
    <row r="148" spans="1:19" ht="12.9">
      <c r="A148" s="117"/>
      <c r="B148" s="117"/>
      <c r="C148" s="117"/>
      <c r="D148" s="24"/>
      <c r="E148" s="24"/>
      <c r="F148" s="117"/>
      <c r="G148" s="117"/>
      <c r="H148" s="117"/>
      <c r="I148" s="117"/>
      <c r="J148" s="117"/>
      <c r="K148" s="117"/>
      <c r="L148" s="117"/>
      <c r="M148" s="117"/>
      <c r="N148" s="117"/>
      <c r="O148" s="117"/>
      <c r="P148" s="117"/>
      <c r="Q148" s="117"/>
      <c r="R148" s="117"/>
      <c r="S148" s="117"/>
    </row>
    <row r="149" spans="1:19" ht="12.9">
      <c r="A149" s="117"/>
      <c r="B149" s="117"/>
      <c r="C149" s="117"/>
      <c r="D149" s="24"/>
      <c r="E149" s="24"/>
      <c r="F149" s="117"/>
      <c r="G149" s="117"/>
      <c r="H149" s="117"/>
      <c r="I149" s="117"/>
      <c r="J149" s="117"/>
      <c r="K149" s="117"/>
      <c r="L149" s="117"/>
      <c r="M149" s="117"/>
      <c r="N149" s="117"/>
      <c r="O149" s="117"/>
      <c r="P149" s="117"/>
      <c r="Q149" s="117"/>
      <c r="R149" s="117"/>
      <c r="S149" s="117"/>
    </row>
    <row r="150" spans="1:19" ht="12.9">
      <c r="A150" s="117"/>
      <c r="B150" s="117"/>
      <c r="C150" s="117"/>
      <c r="D150" s="24"/>
      <c r="E150" s="24"/>
      <c r="F150" s="117"/>
      <c r="G150" s="117"/>
      <c r="H150" s="117"/>
      <c r="I150" s="117"/>
      <c r="J150" s="117"/>
      <c r="K150" s="117"/>
      <c r="L150" s="117"/>
      <c r="M150" s="117"/>
      <c r="N150" s="117"/>
      <c r="O150" s="117"/>
      <c r="P150" s="117"/>
      <c r="Q150" s="117"/>
      <c r="R150" s="117"/>
      <c r="S150" s="117"/>
    </row>
    <row r="151" spans="1:19" ht="12.9">
      <c r="A151" s="117"/>
      <c r="B151" s="117"/>
      <c r="C151" s="117"/>
      <c r="D151" s="24"/>
      <c r="E151" s="24"/>
      <c r="F151" s="117"/>
      <c r="G151" s="117"/>
      <c r="H151" s="117"/>
      <c r="I151" s="117"/>
      <c r="J151" s="117"/>
      <c r="K151" s="117"/>
      <c r="L151" s="117"/>
      <c r="M151" s="117"/>
      <c r="N151" s="117"/>
      <c r="O151" s="117"/>
      <c r="P151" s="117"/>
      <c r="Q151" s="117"/>
      <c r="R151" s="117"/>
      <c r="S151" s="117"/>
    </row>
    <row r="152" spans="1:19" ht="12.9">
      <c r="A152" s="117"/>
      <c r="B152" s="117"/>
      <c r="C152" s="117"/>
      <c r="D152" s="24"/>
      <c r="E152" s="24"/>
      <c r="F152" s="117"/>
      <c r="G152" s="117"/>
      <c r="H152" s="117"/>
      <c r="I152" s="117"/>
      <c r="J152" s="117"/>
      <c r="K152" s="117"/>
      <c r="L152" s="117"/>
      <c r="M152" s="117"/>
      <c r="N152" s="117"/>
      <c r="O152" s="117"/>
      <c r="P152" s="117"/>
      <c r="Q152" s="117"/>
      <c r="R152" s="117"/>
      <c r="S152" s="117"/>
    </row>
    <row r="153" spans="1:19" ht="12.9">
      <c r="A153" s="117"/>
      <c r="B153" s="117"/>
      <c r="C153" s="117"/>
      <c r="D153" s="24"/>
      <c r="E153" s="24"/>
      <c r="F153" s="117"/>
      <c r="G153" s="117"/>
      <c r="H153" s="117"/>
      <c r="I153" s="117"/>
      <c r="J153" s="117"/>
      <c r="K153" s="117"/>
      <c r="L153" s="117"/>
      <c r="M153" s="117"/>
      <c r="N153" s="117"/>
      <c r="O153" s="117"/>
      <c r="P153" s="117"/>
      <c r="Q153" s="117"/>
      <c r="R153" s="117"/>
      <c r="S153" s="117"/>
    </row>
    <row r="154" spans="1:19" ht="12.9">
      <c r="A154" s="117"/>
      <c r="B154" s="117"/>
      <c r="C154" s="117"/>
      <c r="D154" s="24"/>
      <c r="E154" s="24"/>
      <c r="F154" s="117"/>
      <c r="G154" s="117"/>
      <c r="H154" s="117"/>
      <c r="I154" s="117"/>
      <c r="J154" s="117"/>
      <c r="K154" s="117"/>
      <c r="L154" s="117"/>
      <c r="M154" s="117"/>
      <c r="N154" s="117"/>
      <c r="O154" s="117"/>
      <c r="P154" s="117"/>
      <c r="Q154" s="117"/>
      <c r="R154" s="117"/>
      <c r="S154" s="117"/>
    </row>
    <row r="155" spans="1:19" ht="12.9">
      <c r="A155" s="117"/>
      <c r="B155" s="117"/>
      <c r="C155" s="117"/>
      <c r="D155" s="24"/>
      <c r="E155" s="24"/>
      <c r="F155" s="117"/>
      <c r="G155" s="117"/>
      <c r="H155" s="117"/>
      <c r="I155" s="117"/>
      <c r="J155" s="117"/>
      <c r="K155" s="117"/>
      <c r="L155" s="117"/>
      <c r="M155" s="117"/>
      <c r="N155" s="117"/>
      <c r="O155" s="117"/>
      <c r="P155" s="117"/>
      <c r="Q155" s="117"/>
      <c r="R155" s="117"/>
      <c r="S155" s="117"/>
    </row>
    <row r="156" spans="1:19" ht="12.9">
      <c r="A156" s="117"/>
      <c r="B156" s="117"/>
      <c r="C156" s="117"/>
      <c r="D156" s="24"/>
      <c r="E156" s="24"/>
      <c r="F156" s="117"/>
      <c r="G156" s="117"/>
      <c r="H156" s="117"/>
      <c r="I156" s="117"/>
      <c r="J156" s="117"/>
      <c r="K156" s="117"/>
      <c r="L156" s="117"/>
      <c r="M156" s="117"/>
      <c r="N156" s="117"/>
      <c r="O156" s="117"/>
      <c r="P156" s="117"/>
      <c r="Q156" s="117"/>
      <c r="R156" s="117"/>
      <c r="S156" s="117"/>
    </row>
    <row r="157" spans="1:19" ht="12.9">
      <c r="A157" s="117"/>
      <c r="B157" s="117"/>
      <c r="C157" s="117"/>
      <c r="D157" s="24"/>
      <c r="E157" s="24"/>
      <c r="F157" s="117"/>
      <c r="G157" s="117"/>
      <c r="H157" s="117"/>
      <c r="I157" s="117"/>
      <c r="J157" s="117"/>
      <c r="K157" s="117"/>
      <c r="L157" s="117"/>
      <c r="M157" s="117"/>
      <c r="N157" s="117"/>
      <c r="O157" s="117"/>
      <c r="P157" s="117"/>
      <c r="Q157" s="117"/>
      <c r="R157" s="117"/>
      <c r="S157" s="117"/>
    </row>
    <row r="158" spans="1:19" ht="12.9">
      <c r="A158" s="117"/>
      <c r="B158" s="117"/>
      <c r="C158" s="117"/>
      <c r="D158" s="24"/>
      <c r="E158" s="24"/>
      <c r="F158" s="117"/>
      <c r="G158" s="117"/>
      <c r="H158" s="117"/>
      <c r="I158" s="117"/>
      <c r="J158" s="117"/>
      <c r="K158" s="117"/>
      <c r="L158" s="117"/>
      <c r="M158" s="117"/>
      <c r="N158" s="117"/>
      <c r="O158" s="117"/>
      <c r="P158" s="117"/>
      <c r="Q158" s="117"/>
      <c r="R158" s="117"/>
      <c r="S158" s="117"/>
    </row>
    <row r="159" spans="1:19" ht="12.9">
      <c r="A159" s="117"/>
      <c r="B159" s="117"/>
      <c r="C159" s="117"/>
      <c r="D159" s="24"/>
      <c r="E159" s="24"/>
      <c r="F159" s="117"/>
      <c r="G159" s="117"/>
      <c r="H159" s="117"/>
      <c r="I159" s="117"/>
      <c r="J159" s="117"/>
      <c r="K159" s="117"/>
      <c r="L159" s="117"/>
      <c r="M159" s="117"/>
      <c r="N159" s="117"/>
      <c r="O159" s="117"/>
      <c r="P159" s="117"/>
      <c r="Q159" s="117"/>
      <c r="R159" s="117"/>
      <c r="S159" s="117"/>
    </row>
    <row r="160" spans="1:19" ht="12.9">
      <c r="A160" s="117"/>
      <c r="B160" s="117"/>
      <c r="C160" s="117"/>
      <c r="D160" s="24"/>
      <c r="E160" s="24"/>
      <c r="F160" s="117"/>
      <c r="G160" s="117"/>
      <c r="H160" s="117"/>
      <c r="I160" s="117"/>
      <c r="J160" s="117"/>
      <c r="K160" s="117"/>
      <c r="L160" s="117"/>
      <c r="M160" s="117"/>
      <c r="N160" s="117"/>
      <c r="O160" s="117"/>
      <c r="P160" s="117"/>
      <c r="Q160" s="117"/>
      <c r="R160" s="117"/>
      <c r="S160" s="117"/>
    </row>
    <row r="161" spans="1:19" ht="12.9">
      <c r="A161" s="117"/>
      <c r="B161" s="117"/>
      <c r="C161" s="117"/>
      <c r="D161" s="24"/>
      <c r="E161" s="24"/>
      <c r="F161" s="117"/>
      <c r="G161" s="117"/>
      <c r="H161" s="117"/>
      <c r="I161" s="117"/>
      <c r="J161" s="117"/>
      <c r="K161" s="117"/>
      <c r="L161" s="117"/>
      <c r="M161" s="117"/>
      <c r="N161" s="117"/>
      <c r="O161" s="117"/>
      <c r="P161" s="117"/>
      <c r="Q161" s="117"/>
      <c r="R161" s="117"/>
      <c r="S161" s="117"/>
    </row>
    <row r="162" spans="1:19" ht="12.9">
      <c r="A162" s="117"/>
      <c r="B162" s="117"/>
      <c r="C162" s="117"/>
      <c r="D162" s="24"/>
      <c r="E162" s="24"/>
      <c r="F162" s="117"/>
      <c r="G162" s="117"/>
      <c r="H162" s="117"/>
      <c r="I162" s="117"/>
      <c r="J162" s="117"/>
      <c r="K162" s="117"/>
      <c r="L162" s="117"/>
      <c r="M162" s="117"/>
      <c r="N162" s="117"/>
      <c r="O162" s="117"/>
      <c r="P162" s="117"/>
      <c r="Q162" s="117"/>
      <c r="R162" s="117"/>
      <c r="S162" s="117"/>
    </row>
    <row r="163" spans="1:19" ht="12.9">
      <c r="A163" s="117"/>
      <c r="B163" s="117"/>
      <c r="C163" s="117"/>
      <c r="D163" s="24"/>
      <c r="E163" s="24"/>
      <c r="F163" s="117"/>
      <c r="G163" s="117"/>
      <c r="H163" s="117"/>
      <c r="I163" s="117"/>
      <c r="J163" s="117"/>
      <c r="K163" s="117"/>
      <c r="L163" s="117"/>
      <c r="M163" s="117"/>
      <c r="N163" s="117"/>
      <c r="O163" s="117"/>
      <c r="P163" s="117"/>
      <c r="Q163" s="117"/>
      <c r="R163" s="117"/>
      <c r="S163" s="117"/>
    </row>
    <row r="164" spans="1:19" ht="12.9">
      <c r="A164" s="117"/>
      <c r="B164" s="117"/>
      <c r="C164" s="117"/>
      <c r="D164" s="24"/>
      <c r="E164" s="24"/>
      <c r="F164" s="117"/>
      <c r="G164" s="117"/>
      <c r="H164" s="117"/>
      <c r="I164" s="117"/>
      <c r="J164" s="117"/>
      <c r="K164" s="117"/>
      <c r="L164" s="117"/>
      <c r="M164" s="117"/>
      <c r="N164" s="117"/>
      <c r="O164" s="117"/>
      <c r="P164" s="117"/>
      <c r="Q164" s="117"/>
      <c r="R164" s="117"/>
      <c r="S164" s="117"/>
    </row>
    <row r="165" spans="1:19" ht="12.9">
      <c r="A165" s="117"/>
      <c r="B165" s="117"/>
      <c r="C165" s="117"/>
      <c r="D165" s="24"/>
      <c r="E165" s="24"/>
      <c r="F165" s="117"/>
      <c r="G165" s="117"/>
      <c r="H165" s="117"/>
      <c r="I165" s="117"/>
      <c r="J165" s="117"/>
      <c r="K165" s="117"/>
      <c r="L165" s="117"/>
      <c r="M165" s="117"/>
      <c r="N165" s="117"/>
      <c r="O165" s="117"/>
      <c r="P165" s="117"/>
      <c r="Q165" s="117"/>
      <c r="R165" s="117"/>
      <c r="S165" s="117"/>
    </row>
    <row r="166" spans="1:19" ht="12.9">
      <c r="A166" s="117"/>
      <c r="B166" s="117"/>
      <c r="C166" s="117"/>
      <c r="D166" s="24"/>
      <c r="E166" s="24"/>
      <c r="F166" s="117"/>
      <c r="G166" s="117"/>
      <c r="H166" s="117"/>
      <c r="I166" s="117"/>
      <c r="J166" s="117"/>
      <c r="K166" s="117"/>
      <c r="L166" s="117"/>
      <c r="M166" s="117"/>
      <c r="N166" s="117"/>
      <c r="O166" s="117"/>
      <c r="P166" s="117"/>
      <c r="Q166" s="117"/>
      <c r="R166" s="117"/>
      <c r="S166" s="117"/>
    </row>
    <row r="167" spans="1:19" ht="12.9">
      <c r="A167" s="117"/>
      <c r="B167" s="117"/>
      <c r="C167" s="117"/>
      <c r="D167" s="24"/>
      <c r="E167" s="24"/>
      <c r="F167" s="117"/>
      <c r="G167" s="117"/>
      <c r="H167" s="117"/>
      <c r="I167" s="117"/>
      <c r="J167" s="117"/>
      <c r="K167" s="117"/>
      <c r="L167" s="117"/>
      <c r="M167" s="117"/>
      <c r="N167" s="117"/>
      <c r="O167" s="117"/>
      <c r="P167" s="117"/>
      <c r="Q167" s="117"/>
      <c r="R167" s="117"/>
      <c r="S167" s="117"/>
    </row>
    <row r="168" spans="1:19" ht="12.9">
      <c r="A168" s="117"/>
      <c r="B168" s="117"/>
      <c r="C168" s="117"/>
      <c r="D168" s="24"/>
      <c r="E168" s="24"/>
      <c r="F168" s="117"/>
      <c r="G168" s="117"/>
      <c r="H168" s="117"/>
      <c r="I168" s="117"/>
      <c r="J168" s="117"/>
      <c r="K168" s="117"/>
      <c r="L168" s="117"/>
      <c r="M168" s="117"/>
      <c r="N168" s="117"/>
      <c r="O168" s="117"/>
      <c r="P168" s="117"/>
      <c r="Q168" s="117"/>
      <c r="R168" s="117"/>
      <c r="S168" s="117"/>
    </row>
    <row r="169" spans="1:19" ht="12.9">
      <c r="A169" s="117"/>
      <c r="B169" s="117"/>
      <c r="C169" s="117"/>
      <c r="D169" s="24"/>
      <c r="E169" s="24"/>
      <c r="F169" s="117"/>
      <c r="G169" s="117"/>
      <c r="H169" s="117"/>
      <c r="I169" s="117"/>
      <c r="J169" s="117"/>
      <c r="K169" s="117"/>
      <c r="L169" s="117"/>
      <c r="M169" s="117"/>
      <c r="N169" s="117"/>
      <c r="O169" s="117"/>
      <c r="P169" s="117"/>
      <c r="Q169" s="117"/>
      <c r="R169" s="117"/>
      <c r="S169" s="117"/>
    </row>
    <row r="170" spans="1:19" ht="12.9">
      <c r="A170" s="117"/>
      <c r="B170" s="117"/>
      <c r="C170" s="117"/>
      <c r="D170" s="24"/>
      <c r="E170" s="24"/>
      <c r="F170" s="117"/>
      <c r="G170" s="117"/>
      <c r="H170" s="117"/>
      <c r="I170" s="117"/>
      <c r="J170" s="117"/>
      <c r="K170" s="117"/>
      <c r="L170" s="117"/>
      <c r="M170" s="117"/>
      <c r="N170" s="117"/>
      <c r="O170" s="117"/>
      <c r="P170" s="117"/>
      <c r="Q170" s="117"/>
      <c r="R170" s="117"/>
      <c r="S170" s="117"/>
    </row>
    <row r="171" spans="1:19" ht="12.9">
      <c r="A171" s="117"/>
      <c r="B171" s="117"/>
      <c r="C171" s="117"/>
      <c r="D171" s="24"/>
      <c r="E171" s="24"/>
      <c r="F171" s="117"/>
      <c r="G171" s="117"/>
      <c r="H171" s="117"/>
      <c r="I171" s="117"/>
      <c r="J171" s="117"/>
      <c r="K171" s="117"/>
      <c r="L171" s="117"/>
      <c r="M171" s="117"/>
      <c r="N171" s="117"/>
      <c r="O171" s="117"/>
      <c r="P171" s="117"/>
      <c r="Q171" s="117"/>
      <c r="R171" s="117"/>
      <c r="S171" s="117"/>
    </row>
    <row r="172" spans="1:19" ht="12.9">
      <c r="A172" s="117"/>
      <c r="B172" s="117"/>
      <c r="C172" s="117"/>
      <c r="D172" s="24"/>
      <c r="E172" s="24"/>
      <c r="F172" s="117"/>
      <c r="G172" s="117"/>
      <c r="H172" s="117"/>
      <c r="I172" s="117"/>
      <c r="J172" s="117"/>
      <c r="K172" s="117"/>
      <c r="L172" s="117"/>
      <c r="M172" s="117"/>
      <c r="N172" s="117"/>
      <c r="O172" s="117"/>
      <c r="P172" s="117"/>
      <c r="Q172" s="117"/>
      <c r="R172" s="117"/>
      <c r="S172" s="117"/>
    </row>
    <row r="173" spans="1:19" ht="12.9">
      <c r="A173" s="117"/>
      <c r="B173" s="117"/>
      <c r="C173" s="117"/>
      <c r="D173" s="24"/>
      <c r="E173" s="24"/>
      <c r="F173" s="117"/>
      <c r="G173" s="117"/>
      <c r="H173" s="117"/>
      <c r="I173" s="117"/>
      <c r="J173" s="117"/>
      <c r="K173" s="117"/>
      <c r="L173" s="117"/>
      <c r="M173" s="117"/>
      <c r="N173" s="117"/>
      <c r="O173" s="117"/>
      <c r="P173" s="117"/>
      <c r="Q173" s="117"/>
      <c r="R173" s="117"/>
      <c r="S173" s="117"/>
    </row>
    <row r="174" spans="1:19" ht="12.9">
      <c r="A174" s="117"/>
      <c r="B174" s="117"/>
      <c r="C174" s="117"/>
      <c r="D174" s="24"/>
      <c r="E174" s="24"/>
      <c r="F174" s="117"/>
      <c r="G174" s="117"/>
      <c r="H174" s="117"/>
      <c r="I174" s="117"/>
      <c r="J174" s="117"/>
      <c r="K174" s="117"/>
      <c r="L174" s="117"/>
      <c r="M174" s="117"/>
      <c r="N174" s="117"/>
      <c r="O174" s="117"/>
      <c r="P174" s="117"/>
      <c r="Q174" s="117"/>
      <c r="R174" s="117"/>
      <c r="S174" s="117"/>
    </row>
    <row r="175" spans="1:19" ht="12.9">
      <c r="A175" s="117"/>
      <c r="B175" s="117"/>
      <c r="C175" s="117"/>
      <c r="D175" s="24"/>
      <c r="E175" s="24"/>
      <c r="F175" s="117"/>
      <c r="G175" s="117"/>
      <c r="H175" s="117"/>
      <c r="I175" s="117"/>
      <c r="J175" s="117"/>
      <c r="K175" s="117"/>
      <c r="L175" s="117"/>
      <c r="M175" s="117"/>
      <c r="N175" s="117"/>
      <c r="O175" s="117"/>
      <c r="P175" s="117"/>
      <c r="Q175" s="117"/>
      <c r="R175" s="117"/>
      <c r="S175" s="117"/>
    </row>
    <row r="176" spans="1:19" ht="12.9">
      <c r="A176" s="117"/>
      <c r="B176" s="117"/>
      <c r="C176" s="117"/>
      <c r="D176" s="24"/>
      <c r="E176" s="24"/>
      <c r="F176" s="117"/>
      <c r="G176" s="117"/>
      <c r="H176" s="117"/>
      <c r="I176" s="117"/>
      <c r="J176" s="117"/>
      <c r="K176" s="117"/>
      <c r="L176" s="117"/>
      <c r="M176" s="117"/>
      <c r="N176" s="117"/>
      <c r="O176" s="117"/>
      <c r="P176" s="117"/>
      <c r="Q176" s="117"/>
      <c r="R176" s="117"/>
      <c r="S176" s="117"/>
    </row>
    <row r="177" spans="1:19" ht="12.9">
      <c r="A177" s="117"/>
      <c r="B177" s="117"/>
      <c r="C177" s="117"/>
      <c r="D177" s="24"/>
      <c r="E177" s="24"/>
      <c r="F177" s="117"/>
      <c r="G177" s="117"/>
      <c r="H177" s="117"/>
      <c r="I177" s="117"/>
      <c r="J177" s="117"/>
      <c r="K177" s="117"/>
      <c r="L177" s="117"/>
      <c r="M177" s="117"/>
      <c r="N177" s="117"/>
      <c r="O177" s="117"/>
      <c r="P177" s="117"/>
      <c r="Q177" s="117"/>
      <c r="R177" s="117"/>
      <c r="S177" s="117"/>
    </row>
    <row r="178" spans="1:19" ht="12.9">
      <c r="A178" s="117"/>
      <c r="B178" s="117"/>
      <c r="C178" s="117"/>
      <c r="D178" s="24"/>
      <c r="E178" s="24"/>
      <c r="F178" s="117"/>
      <c r="G178" s="117"/>
      <c r="H178" s="117"/>
      <c r="I178" s="117"/>
      <c r="J178" s="117"/>
      <c r="K178" s="117"/>
      <c r="L178" s="117"/>
      <c r="M178" s="117"/>
      <c r="N178" s="117"/>
      <c r="O178" s="117"/>
      <c r="P178" s="117"/>
      <c r="Q178" s="117"/>
      <c r="R178" s="117"/>
      <c r="S178" s="117"/>
    </row>
    <row r="179" spans="1:19" ht="12.9">
      <c r="A179" s="117"/>
      <c r="B179" s="117"/>
      <c r="C179" s="117"/>
      <c r="D179" s="24"/>
      <c r="E179" s="24"/>
      <c r="F179" s="117"/>
      <c r="G179" s="117"/>
      <c r="H179" s="117"/>
      <c r="I179" s="117"/>
      <c r="J179" s="117"/>
      <c r="K179" s="117"/>
      <c r="L179" s="117"/>
      <c r="M179" s="117"/>
      <c r="N179" s="117"/>
      <c r="O179" s="117"/>
      <c r="P179" s="117"/>
      <c r="Q179" s="117"/>
      <c r="R179" s="117"/>
      <c r="S179" s="117"/>
    </row>
    <row r="180" spans="1:19" ht="12.9">
      <c r="A180" s="117"/>
      <c r="B180" s="117"/>
      <c r="C180" s="117"/>
      <c r="D180" s="24"/>
      <c r="E180" s="24"/>
      <c r="F180" s="117"/>
      <c r="G180" s="117"/>
      <c r="H180" s="117"/>
      <c r="I180" s="117"/>
      <c r="J180" s="117"/>
      <c r="K180" s="117"/>
      <c r="L180" s="117"/>
      <c r="M180" s="117"/>
      <c r="N180" s="117"/>
      <c r="O180" s="117"/>
      <c r="P180" s="117"/>
      <c r="Q180" s="117"/>
      <c r="R180" s="117"/>
      <c r="S180" s="117"/>
    </row>
    <row r="181" spans="1:19" ht="12.9">
      <c r="A181" s="117"/>
      <c r="B181" s="117"/>
      <c r="C181" s="117"/>
      <c r="D181" s="24"/>
      <c r="E181" s="24"/>
      <c r="F181" s="117"/>
      <c r="G181" s="117"/>
      <c r="H181" s="117"/>
      <c r="I181" s="117"/>
      <c r="J181" s="117"/>
      <c r="K181" s="117"/>
      <c r="L181" s="117"/>
      <c r="M181" s="117"/>
      <c r="N181" s="117"/>
      <c r="O181" s="117"/>
      <c r="P181" s="117"/>
      <c r="Q181" s="117"/>
      <c r="R181" s="117"/>
      <c r="S181" s="117"/>
    </row>
    <row r="182" spans="1:19" ht="12.9">
      <c r="A182" s="117"/>
      <c r="B182" s="117"/>
      <c r="C182" s="117"/>
      <c r="D182" s="24"/>
      <c r="E182" s="24"/>
      <c r="F182" s="117"/>
      <c r="G182" s="117"/>
      <c r="H182" s="117"/>
      <c r="I182" s="117"/>
      <c r="J182" s="117"/>
      <c r="K182" s="117"/>
      <c r="L182" s="117"/>
      <c r="M182" s="117"/>
      <c r="N182" s="117"/>
      <c r="O182" s="117"/>
      <c r="P182" s="117"/>
      <c r="Q182" s="117"/>
      <c r="R182" s="117"/>
      <c r="S182" s="117"/>
    </row>
    <row r="183" spans="1:19" ht="12.9">
      <c r="A183" s="117"/>
      <c r="B183" s="117"/>
      <c r="C183" s="117"/>
      <c r="D183" s="24"/>
      <c r="E183" s="24"/>
      <c r="F183" s="117"/>
      <c r="G183" s="117"/>
      <c r="H183" s="117"/>
      <c r="I183" s="117"/>
      <c r="J183" s="117"/>
      <c r="K183" s="117"/>
      <c r="L183" s="117"/>
      <c r="M183" s="117"/>
      <c r="N183" s="117"/>
      <c r="O183" s="117"/>
      <c r="P183" s="117"/>
      <c r="Q183" s="117"/>
      <c r="R183" s="117"/>
      <c r="S183" s="117"/>
    </row>
    <row r="184" spans="1:19" ht="12.9">
      <c r="A184" s="117"/>
      <c r="B184" s="117"/>
      <c r="C184" s="117"/>
      <c r="D184" s="24"/>
      <c r="E184" s="24"/>
      <c r="F184" s="117"/>
      <c r="G184" s="117"/>
      <c r="H184" s="117"/>
      <c r="I184" s="117"/>
      <c r="J184" s="117"/>
      <c r="K184" s="117"/>
      <c r="L184" s="117"/>
      <c r="M184" s="117"/>
      <c r="N184" s="117"/>
      <c r="O184" s="117"/>
      <c r="P184" s="117"/>
      <c r="Q184" s="117"/>
      <c r="R184" s="117"/>
      <c r="S184" s="117"/>
    </row>
    <row r="185" spans="1:19" ht="12.9">
      <c r="A185" s="117"/>
      <c r="B185" s="117"/>
      <c r="C185" s="117"/>
      <c r="D185" s="24"/>
      <c r="E185" s="24"/>
      <c r="F185" s="117"/>
      <c r="G185" s="117"/>
      <c r="H185" s="117"/>
      <c r="I185" s="117"/>
      <c r="J185" s="117"/>
      <c r="K185" s="117"/>
      <c r="L185" s="117"/>
      <c r="M185" s="117"/>
      <c r="N185" s="117"/>
      <c r="O185" s="117"/>
      <c r="P185" s="117"/>
      <c r="Q185" s="117"/>
      <c r="R185" s="117"/>
      <c r="S185" s="117"/>
    </row>
    <row r="186" spans="1:19" ht="12.9">
      <c r="A186" s="117"/>
      <c r="B186" s="117"/>
      <c r="C186" s="117"/>
      <c r="D186" s="24"/>
      <c r="E186" s="24"/>
      <c r="F186" s="117"/>
      <c r="G186" s="117"/>
      <c r="H186" s="117"/>
      <c r="I186" s="117"/>
      <c r="J186" s="117"/>
      <c r="K186" s="117"/>
      <c r="L186" s="117"/>
      <c r="M186" s="117"/>
      <c r="N186" s="117"/>
      <c r="O186" s="117"/>
      <c r="P186" s="117"/>
      <c r="Q186" s="117"/>
      <c r="R186" s="117"/>
      <c r="S186" s="117"/>
    </row>
    <row r="187" spans="1:19" ht="12.9">
      <c r="A187" s="117"/>
      <c r="B187" s="117"/>
      <c r="C187" s="117"/>
      <c r="D187" s="24"/>
      <c r="E187" s="24"/>
      <c r="F187" s="117"/>
      <c r="G187" s="117"/>
      <c r="H187" s="117"/>
      <c r="I187" s="117"/>
      <c r="J187" s="117"/>
      <c r="K187" s="117"/>
      <c r="L187" s="117"/>
      <c r="M187" s="117"/>
      <c r="N187" s="117"/>
      <c r="O187" s="117"/>
      <c r="P187" s="117"/>
      <c r="Q187" s="117"/>
      <c r="R187" s="117"/>
      <c r="S187" s="117"/>
    </row>
    <row r="188" spans="1:19" ht="12.9">
      <c r="A188" s="117"/>
      <c r="B188" s="117"/>
      <c r="C188" s="117"/>
      <c r="D188" s="24"/>
      <c r="E188" s="24"/>
      <c r="F188" s="117"/>
      <c r="G188" s="117"/>
      <c r="H188" s="117"/>
      <c r="I188" s="117"/>
      <c r="J188" s="117"/>
      <c r="K188" s="117"/>
      <c r="L188" s="117"/>
      <c r="M188" s="117"/>
      <c r="N188" s="117"/>
      <c r="O188" s="117"/>
      <c r="P188" s="117"/>
      <c r="Q188" s="117"/>
      <c r="R188" s="117"/>
      <c r="S188" s="117"/>
    </row>
    <row r="189" spans="1:19" ht="12.9">
      <c r="A189" s="117"/>
      <c r="B189" s="117"/>
      <c r="C189" s="117"/>
      <c r="D189" s="24"/>
      <c r="E189" s="24"/>
      <c r="F189" s="117"/>
      <c r="G189" s="117"/>
      <c r="H189" s="117"/>
      <c r="I189" s="117"/>
      <c r="J189" s="117"/>
      <c r="K189" s="117"/>
      <c r="L189" s="117"/>
      <c r="M189" s="117"/>
      <c r="N189" s="117"/>
      <c r="O189" s="117"/>
      <c r="P189" s="117"/>
      <c r="Q189" s="117"/>
      <c r="R189" s="117"/>
      <c r="S189" s="117"/>
    </row>
    <row r="190" spans="1:19" ht="12.9">
      <c r="A190" s="117"/>
      <c r="B190" s="117"/>
      <c r="C190" s="117"/>
      <c r="D190" s="24"/>
      <c r="E190" s="24"/>
      <c r="F190" s="117"/>
      <c r="G190" s="117"/>
      <c r="H190" s="117"/>
      <c r="I190" s="117"/>
      <c r="J190" s="117"/>
      <c r="K190" s="117"/>
      <c r="L190" s="117"/>
      <c r="M190" s="117"/>
      <c r="N190" s="117"/>
      <c r="O190" s="117"/>
      <c r="P190" s="117"/>
      <c r="Q190" s="117"/>
      <c r="R190" s="117"/>
      <c r="S190" s="117"/>
    </row>
    <row r="191" spans="1:19" ht="12.9">
      <c r="A191" s="117"/>
      <c r="B191" s="117"/>
      <c r="C191" s="117"/>
      <c r="D191" s="24"/>
      <c r="E191" s="24"/>
      <c r="F191" s="117"/>
      <c r="G191" s="117"/>
      <c r="H191" s="117"/>
      <c r="I191" s="117"/>
      <c r="J191" s="117"/>
      <c r="K191" s="117"/>
      <c r="L191" s="117"/>
      <c r="M191" s="117"/>
      <c r="N191" s="117"/>
      <c r="O191" s="117"/>
      <c r="P191" s="117"/>
      <c r="Q191" s="117"/>
      <c r="R191" s="117"/>
      <c r="S191" s="117"/>
    </row>
    <row r="192" spans="1:19" ht="12.9">
      <c r="A192" s="117"/>
      <c r="B192" s="117"/>
      <c r="C192" s="117"/>
      <c r="D192" s="24"/>
      <c r="E192" s="24"/>
      <c r="F192" s="117"/>
      <c r="G192" s="117"/>
      <c r="H192" s="117"/>
      <c r="I192" s="117"/>
      <c r="J192" s="117"/>
      <c r="K192" s="117"/>
      <c r="L192" s="117"/>
      <c r="M192" s="117"/>
      <c r="N192" s="117"/>
      <c r="O192" s="117"/>
      <c r="P192" s="117"/>
      <c r="Q192" s="117"/>
      <c r="R192" s="117"/>
      <c r="S192" s="117"/>
    </row>
    <row r="193" spans="1:19" ht="12.9">
      <c r="A193" s="117"/>
      <c r="B193" s="117"/>
      <c r="C193" s="117"/>
      <c r="D193" s="24"/>
      <c r="E193" s="24"/>
      <c r="F193" s="117"/>
      <c r="G193" s="117"/>
      <c r="H193" s="117"/>
      <c r="I193" s="117"/>
      <c r="J193" s="117"/>
      <c r="K193" s="117"/>
      <c r="L193" s="117"/>
      <c r="M193" s="117"/>
      <c r="N193" s="117"/>
      <c r="O193" s="117"/>
      <c r="P193" s="117"/>
      <c r="Q193" s="117"/>
      <c r="R193" s="117"/>
      <c r="S193" s="117"/>
    </row>
    <row r="194" spans="1:19" ht="12.9">
      <c r="A194" s="117"/>
      <c r="B194" s="117"/>
      <c r="C194" s="117"/>
      <c r="D194" s="24"/>
      <c r="E194" s="24"/>
      <c r="F194" s="117"/>
      <c r="G194" s="117"/>
      <c r="H194" s="117"/>
      <c r="I194" s="117"/>
      <c r="J194" s="117"/>
      <c r="K194" s="117"/>
      <c r="L194" s="117"/>
      <c r="M194" s="117"/>
      <c r="N194" s="117"/>
      <c r="O194" s="117"/>
      <c r="P194" s="117"/>
      <c r="Q194" s="117"/>
      <c r="R194" s="117"/>
      <c r="S194" s="117"/>
    </row>
    <row r="195" spans="1:19" ht="12.9">
      <c r="A195" s="117"/>
      <c r="B195" s="117"/>
      <c r="C195" s="117"/>
      <c r="D195" s="24"/>
      <c r="E195" s="24"/>
      <c r="F195" s="117"/>
      <c r="G195" s="117"/>
      <c r="H195" s="117"/>
      <c r="I195" s="117"/>
      <c r="J195" s="117"/>
      <c r="K195" s="117"/>
      <c r="L195" s="117"/>
      <c r="M195" s="117"/>
      <c r="N195" s="117"/>
      <c r="O195" s="117"/>
      <c r="P195" s="117"/>
      <c r="Q195" s="117"/>
      <c r="R195" s="117"/>
      <c r="S195" s="117"/>
    </row>
    <row r="196" spans="1:19" ht="12.9">
      <c r="A196" s="117"/>
      <c r="B196" s="117"/>
      <c r="C196" s="117"/>
      <c r="D196" s="24"/>
      <c r="E196" s="24"/>
      <c r="F196" s="117"/>
      <c r="G196" s="117"/>
      <c r="H196" s="117"/>
      <c r="I196" s="117"/>
      <c r="J196" s="117"/>
      <c r="K196" s="117"/>
      <c r="L196" s="117"/>
      <c r="M196" s="117"/>
      <c r="N196" s="117"/>
      <c r="O196" s="117"/>
      <c r="P196" s="117"/>
      <c r="Q196" s="117"/>
      <c r="R196" s="117"/>
      <c r="S196" s="117"/>
    </row>
    <row r="197" spans="1:19" ht="12.9">
      <c r="A197" s="117"/>
      <c r="B197" s="117"/>
      <c r="C197" s="117"/>
      <c r="D197" s="24"/>
      <c r="E197" s="24"/>
      <c r="F197" s="117"/>
      <c r="G197" s="117"/>
      <c r="H197" s="117"/>
      <c r="I197" s="117"/>
      <c r="J197" s="117"/>
      <c r="K197" s="117"/>
      <c r="L197" s="117"/>
      <c r="M197" s="117"/>
      <c r="N197" s="117"/>
      <c r="O197" s="117"/>
      <c r="P197" s="117"/>
      <c r="Q197" s="117"/>
      <c r="R197" s="117"/>
      <c r="S197" s="117"/>
    </row>
    <row r="198" spans="1:19" ht="12.9">
      <c r="A198" s="117"/>
      <c r="B198" s="117"/>
      <c r="C198" s="117"/>
      <c r="D198" s="24"/>
      <c r="E198" s="24"/>
      <c r="F198" s="117"/>
      <c r="G198" s="117"/>
      <c r="H198" s="117"/>
      <c r="I198" s="117"/>
      <c r="J198" s="117"/>
      <c r="K198" s="117"/>
      <c r="L198" s="117"/>
      <c r="M198" s="117"/>
      <c r="N198" s="117"/>
      <c r="O198" s="117"/>
      <c r="P198" s="117"/>
      <c r="Q198" s="117"/>
      <c r="R198" s="117"/>
      <c r="S198" s="117"/>
    </row>
    <row r="199" spans="1:19" ht="12.9">
      <c r="A199" s="117"/>
      <c r="B199" s="117"/>
      <c r="C199" s="117"/>
      <c r="D199" s="24"/>
      <c r="E199" s="24"/>
      <c r="F199" s="117"/>
      <c r="G199" s="117"/>
      <c r="H199" s="117"/>
      <c r="I199" s="117"/>
      <c r="J199" s="117"/>
      <c r="K199" s="117"/>
      <c r="L199" s="117"/>
      <c r="M199" s="117"/>
      <c r="N199" s="117"/>
      <c r="O199" s="117"/>
      <c r="P199" s="117"/>
      <c r="Q199" s="117"/>
      <c r="R199" s="117"/>
      <c r="S199" s="117"/>
    </row>
    <row r="200" spans="1:19" ht="12.9">
      <c r="A200" s="117"/>
      <c r="B200" s="117"/>
      <c r="C200" s="117"/>
      <c r="D200" s="24"/>
      <c r="E200" s="24"/>
      <c r="F200" s="117"/>
      <c r="G200" s="117"/>
      <c r="H200" s="117"/>
      <c r="I200" s="117"/>
      <c r="J200" s="117"/>
      <c r="K200" s="117"/>
      <c r="L200" s="117"/>
      <c r="M200" s="117"/>
      <c r="N200" s="117"/>
      <c r="O200" s="117"/>
      <c r="P200" s="117"/>
      <c r="Q200" s="117"/>
      <c r="R200" s="117"/>
      <c r="S200" s="117"/>
    </row>
    <row r="201" spans="1:19" ht="12.9">
      <c r="A201" s="117"/>
      <c r="B201" s="117"/>
      <c r="C201" s="117"/>
      <c r="D201" s="24"/>
      <c r="E201" s="24"/>
      <c r="F201" s="117"/>
      <c r="G201" s="117"/>
      <c r="H201" s="117"/>
      <c r="I201" s="117"/>
      <c r="J201" s="117"/>
      <c r="K201" s="117"/>
      <c r="L201" s="117"/>
      <c r="M201" s="117"/>
      <c r="N201" s="117"/>
      <c r="O201" s="117"/>
      <c r="P201" s="117"/>
      <c r="Q201" s="117"/>
      <c r="R201" s="117"/>
      <c r="S201" s="117"/>
    </row>
    <row r="202" spans="1:19" ht="12.9">
      <c r="A202" s="117"/>
      <c r="B202" s="117"/>
      <c r="C202" s="117"/>
      <c r="D202" s="24"/>
      <c r="E202" s="24"/>
      <c r="F202" s="117"/>
      <c r="G202" s="117"/>
      <c r="H202" s="117"/>
      <c r="I202" s="117"/>
      <c r="J202" s="117"/>
      <c r="K202" s="117"/>
      <c r="L202" s="117"/>
      <c r="M202" s="117"/>
      <c r="N202" s="117"/>
      <c r="O202" s="117"/>
      <c r="P202" s="117"/>
      <c r="Q202" s="117"/>
      <c r="R202" s="117"/>
      <c r="S202" s="117"/>
    </row>
    <row r="203" spans="1:19" ht="12.9">
      <c r="A203" s="117"/>
      <c r="B203" s="117"/>
      <c r="C203" s="117"/>
      <c r="D203" s="24"/>
      <c r="E203" s="24"/>
      <c r="F203" s="117"/>
      <c r="G203" s="117"/>
      <c r="H203" s="117"/>
      <c r="I203" s="117"/>
      <c r="J203" s="117"/>
      <c r="K203" s="117"/>
      <c r="L203" s="117"/>
      <c r="M203" s="117"/>
      <c r="N203" s="117"/>
      <c r="O203" s="117"/>
      <c r="P203" s="117"/>
      <c r="Q203" s="117"/>
      <c r="R203" s="117"/>
      <c r="S203" s="117"/>
    </row>
    <row r="204" spans="1:19" ht="12.9">
      <c r="A204" s="117"/>
      <c r="B204" s="117"/>
      <c r="C204" s="117"/>
      <c r="D204" s="24"/>
      <c r="E204" s="24"/>
      <c r="F204" s="117"/>
      <c r="G204" s="117"/>
      <c r="H204" s="117"/>
      <c r="I204" s="117"/>
      <c r="J204" s="117"/>
      <c r="K204" s="117"/>
      <c r="L204" s="117"/>
      <c r="M204" s="117"/>
      <c r="N204" s="117"/>
      <c r="O204" s="117"/>
      <c r="P204" s="117"/>
      <c r="Q204" s="117"/>
      <c r="R204" s="117"/>
      <c r="S204" s="117"/>
    </row>
    <row r="205" spans="1:19" ht="12.9">
      <c r="A205" s="117"/>
      <c r="B205" s="117"/>
      <c r="C205" s="117"/>
      <c r="D205" s="24"/>
      <c r="E205" s="24"/>
      <c r="F205" s="117"/>
      <c r="G205" s="117"/>
      <c r="H205" s="117"/>
      <c r="I205" s="117"/>
      <c r="J205" s="117"/>
      <c r="K205" s="117"/>
      <c r="L205" s="117"/>
      <c r="M205" s="117"/>
      <c r="N205" s="117"/>
      <c r="O205" s="117"/>
      <c r="P205" s="117"/>
      <c r="Q205" s="117"/>
      <c r="R205" s="117"/>
      <c r="S205" s="117"/>
    </row>
    <row r="206" spans="1:19" ht="12.9">
      <c r="A206" s="117"/>
      <c r="B206" s="117"/>
      <c r="C206" s="117"/>
      <c r="D206" s="24"/>
      <c r="E206" s="24"/>
      <c r="F206" s="117"/>
      <c r="G206" s="117"/>
      <c r="H206" s="117"/>
      <c r="I206" s="117"/>
      <c r="J206" s="117"/>
      <c r="K206" s="117"/>
      <c r="L206" s="117"/>
      <c r="M206" s="117"/>
      <c r="N206" s="117"/>
      <c r="O206" s="117"/>
      <c r="P206" s="117"/>
      <c r="Q206" s="117"/>
      <c r="R206" s="117"/>
      <c r="S206" s="117"/>
    </row>
    <row r="207" spans="1:19" ht="12.9">
      <c r="A207" s="117"/>
      <c r="B207" s="117"/>
      <c r="C207" s="117"/>
      <c r="D207" s="24"/>
      <c r="E207" s="24"/>
      <c r="F207" s="117"/>
      <c r="G207" s="117"/>
      <c r="H207" s="117"/>
      <c r="I207" s="117"/>
      <c r="J207" s="117"/>
      <c r="K207" s="117"/>
      <c r="L207" s="117"/>
      <c r="M207" s="117"/>
      <c r="N207" s="117"/>
      <c r="O207" s="117"/>
      <c r="P207" s="117"/>
      <c r="Q207" s="117"/>
      <c r="R207" s="117"/>
      <c r="S207" s="117"/>
    </row>
    <row r="208" spans="1:19" ht="12.9">
      <c r="A208" s="117"/>
      <c r="B208" s="117"/>
      <c r="C208" s="117"/>
      <c r="D208" s="24"/>
      <c r="E208" s="24"/>
      <c r="F208" s="117"/>
      <c r="G208" s="117"/>
      <c r="H208" s="117"/>
      <c r="I208" s="117"/>
      <c r="J208" s="117"/>
      <c r="K208" s="117"/>
      <c r="L208" s="117"/>
      <c r="M208" s="117"/>
      <c r="N208" s="117"/>
      <c r="O208" s="117"/>
      <c r="P208" s="117"/>
      <c r="Q208" s="117"/>
      <c r="R208" s="117"/>
      <c r="S208" s="117"/>
    </row>
    <row r="209" spans="1:19" ht="12.9">
      <c r="A209" s="117"/>
      <c r="B209" s="117"/>
      <c r="C209" s="117"/>
      <c r="D209" s="24"/>
      <c r="E209" s="24"/>
      <c r="F209" s="117"/>
      <c r="G209" s="117"/>
      <c r="H209" s="117"/>
      <c r="I209" s="117"/>
      <c r="J209" s="117"/>
      <c r="K209" s="117"/>
      <c r="L209" s="117"/>
      <c r="M209" s="117"/>
      <c r="N209" s="117"/>
      <c r="O209" s="117"/>
      <c r="P209" s="117"/>
      <c r="Q209" s="117"/>
      <c r="R209" s="117"/>
      <c r="S209" s="117"/>
    </row>
    <row r="210" spans="1:19" ht="12.9">
      <c r="A210" s="117"/>
      <c r="B210" s="117"/>
      <c r="C210" s="117"/>
      <c r="D210" s="24"/>
      <c r="E210" s="24"/>
      <c r="F210" s="117"/>
      <c r="G210" s="117"/>
      <c r="H210" s="117"/>
      <c r="I210" s="117"/>
      <c r="J210" s="117"/>
      <c r="K210" s="117"/>
      <c r="L210" s="117"/>
      <c r="M210" s="117"/>
      <c r="N210" s="117"/>
      <c r="O210" s="117"/>
      <c r="P210" s="117"/>
      <c r="Q210" s="117"/>
      <c r="R210" s="117"/>
      <c r="S210" s="117"/>
    </row>
    <row r="211" spans="1:19" ht="12.9">
      <c r="A211" s="117"/>
      <c r="B211" s="117"/>
      <c r="C211" s="117"/>
      <c r="D211" s="24"/>
      <c r="E211" s="24"/>
      <c r="F211" s="117"/>
      <c r="G211" s="117"/>
      <c r="H211" s="117"/>
      <c r="I211" s="117"/>
      <c r="J211" s="117"/>
      <c r="K211" s="117"/>
      <c r="L211" s="117"/>
      <c r="M211" s="117"/>
      <c r="N211" s="117"/>
      <c r="O211" s="117"/>
      <c r="P211" s="117"/>
      <c r="Q211" s="117"/>
      <c r="R211" s="117"/>
      <c r="S211" s="117"/>
    </row>
    <row r="212" spans="1:19" ht="12.9">
      <c r="A212" s="117"/>
      <c r="B212" s="117"/>
      <c r="C212" s="117"/>
      <c r="D212" s="24"/>
      <c r="E212" s="24"/>
      <c r="F212" s="117"/>
      <c r="G212" s="117"/>
      <c r="H212" s="117"/>
      <c r="I212" s="117"/>
      <c r="J212" s="117"/>
      <c r="K212" s="117"/>
      <c r="L212" s="117"/>
      <c r="M212" s="117"/>
      <c r="N212" s="117"/>
      <c r="O212" s="117"/>
      <c r="P212" s="117"/>
      <c r="Q212" s="117"/>
      <c r="R212" s="117"/>
      <c r="S212" s="117"/>
    </row>
    <row r="213" spans="1:19" ht="12.9">
      <c r="A213" s="117"/>
      <c r="B213" s="117"/>
      <c r="C213" s="117"/>
      <c r="D213" s="24"/>
      <c r="E213" s="24"/>
      <c r="F213" s="117"/>
      <c r="G213" s="117"/>
      <c r="H213" s="117"/>
      <c r="I213" s="117"/>
      <c r="J213" s="117"/>
      <c r="K213" s="117"/>
      <c r="L213" s="117"/>
      <c r="M213" s="117"/>
      <c r="N213" s="117"/>
      <c r="O213" s="117"/>
      <c r="P213" s="117"/>
      <c r="Q213" s="117"/>
      <c r="R213" s="117"/>
      <c r="S213" s="117"/>
    </row>
    <row r="214" spans="1:19" ht="12.9">
      <c r="A214" s="117"/>
      <c r="B214" s="117"/>
      <c r="C214" s="117"/>
      <c r="D214" s="24"/>
      <c r="E214" s="24"/>
      <c r="F214" s="117"/>
      <c r="G214" s="117"/>
      <c r="H214" s="117"/>
      <c r="I214" s="117"/>
      <c r="J214" s="117"/>
      <c r="K214" s="117"/>
      <c r="L214" s="117"/>
      <c r="M214" s="117"/>
      <c r="N214" s="117"/>
      <c r="O214" s="117"/>
      <c r="P214" s="117"/>
      <c r="Q214" s="117"/>
      <c r="R214" s="117"/>
      <c r="S214" s="117"/>
    </row>
    <row r="215" spans="1:19" ht="12.9">
      <c r="A215" s="117"/>
      <c r="B215" s="117"/>
      <c r="C215" s="117"/>
      <c r="D215" s="24"/>
      <c r="E215" s="24"/>
      <c r="F215" s="117"/>
      <c r="G215" s="117"/>
      <c r="H215" s="117"/>
      <c r="I215" s="117"/>
      <c r="J215" s="117"/>
      <c r="K215" s="117"/>
      <c r="L215" s="117"/>
      <c r="M215" s="117"/>
      <c r="N215" s="117"/>
      <c r="O215" s="117"/>
      <c r="P215" s="117"/>
      <c r="Q215" s="117"/>
      <c r="R215" s="117"/>
      <c r="S215" s="117"/>
    </row>
    <row r="216" spans="1:19" ht="12.9">
      <c r="A216" s="117"/>
      <c r="B216" s="117"/>
      <c r="C216" s="117"/>
      <c r="D216" s="24"/>
      <c r="E216" s="24"/>
      <c r="F216" s="117"/>
      <c r="G216" s="117"/>
      <c r="H216" s="117"/>
      <c r="I216" s="117"/>
      <c r="J216" s="117"/>
      <c r="K216" s="117"/>
      <c r="L216" s="117"/>
      <c r="M216" s="117"/>
      <c r="N216" s="117"/>
      <c r="O216" s="117"/>
      <c r="P216" s="117"/>
      <c r="Q216" s="117"/>
      <c r="R216" s="117"/>
      <c r="S216" s="117"/>
    </row>
    <row r="217" spans="1:19" ht="12.9">
      <c r="A217" s="117"/>
      <c r="B217" s="117"/>
      <c r="C217" s="117"/>
      <c r="D217" s="24"/>
      <c r="E217" s="24"/>
      <c r="F217" s="117"/>
      <c r="G217" s="117"/>
      <c r="H217" s="117"/>
      <c r="I217" s="117"/>
      <c r="J217" s="117"/>
      <c r="K217" s="117"/>
      <c r="L217" s="117"/>
      <c r="M217" s="117"/>
      <c r="N217" s="117"/>
      <c r="O217" s="117"/>
      <c r="P217" s="117"/>
      <c r="Q217" s="117"/>
      <c r="R217" s="117"/>
      <c r="S217" s="117"/>
    </row>
    <row r="218" spans="1:19" ht="12.9">
      <c r="A218" s="117"/>
      <c r="B218" s="117"/>
      <c r="C218" s="117"/>
      <c r="D218" s="24"/>
      <c r="E218" s="24"/>
      <c r="F218" s="117"/>
      <c r="G218" s="117"/>
      <c r="H218" s="117"/>
      <c r="I218" s="117"/>
      <c r="J218" s="117"/>
      <c r="K218" s="117"/>
      <c r="L218" s="117"/>
      <c r="M218" s="117"/>
      <c r="N218" s="117"/>
      <c r="O218" s="117"/>
      <c r="P218" s="117"/>
      <c r="Q218" s="117"/>
      <c r="R218" s="117"/>
      <c r="S218" s="117"/>
    </row>
    <row r="219" spans="1:19" ht="12.9">
      <c r="A219" s="117"/>
      <c r="B219" s="117"/>
      <c r="C219" s="117"/>
      <c r="D219" s="24"/>
      <c r="E219" s="24"/>
      <c r="F219" s="117"/>
      <c r="G219" s="117"/>
      <c r="H219" s="117"/>
      <c r="I219" s="117"/>
      <c r="J219" s="117"/>
      <c r="K219" s="117"/>
      <c r="L219" s="117"/>
      <c r="M219" s="117"/>
      <c r="N219" s="117"/>
      <c r="O219" s="117"/>
      <c r="P219" s="117"/>
      <c r="Q219" s="117"/>
      <c r="R219" s="117"/>
      <c r="S219" s="117"/>
    </row>
    <row r="220" spans="1:19" ht="12.9">
      <c r="A220" s="117"/>
      <c r="B220" s="117"/>
      <c r="C220" s="117"/>
      <c r="D220" s="24"/>
      <c r="E220" s="24"/>
      <c r="F220" s="117"/>
      <c r="G220" s="117"/>
      <c r="H220" s="117"/>
      <c r="I220" s="117"/>
      <c r="J220" s="117"/>
      <c r="K220" s="117"/>
      <c r="L220" s="117"/>
      <c r="M220" s="117"/>
      <c r="N220" s="117"/>
      <c r="O220" s="117"/>
      <c r="P220" s="117"/>
      <c r="Q220" s="117"/>
      <c r="R220" s="117"/>
      <c r="S220" s="117"/>
    </row>
    <row r="221" spans="1:19" ht="12.9">
      <c r="A221" s="117"/>
      <c r="B221" s="117"/>
      <c r="C221" s="117"/>
      <c r="D221" s="24"/>
      <c r="E221" s="24"/>
      <c r="F221" s="117"/>
      <c r="G221" s="117"/>
      <c r="H221" s="117"/>
      <c r="I221" s="117"/>
      <c r="J221" s="117"/>
      <c r="K221" s="117"/>
      <c r="L221" s="117"/>
      <c r="M221" s="117"/>
      <c r="N221" s="117"/>
      <c r="O221" s="117"/>
      <c r="P221" s="117"/>
      <c r="Q221" s="117"/>
      <c r="R221" s="117"/>
      <c r="S221" s="117"/>
    </row>
    <row r="222" spans="1:19" ht="12.9">
      <c r="A222" s="117"/>
      <c r="B222" s="117"/>
      <c r="C222" s="117"/>
      <c r="D222" s="24"/>
      <c r="E222" s="24"/>
      <c r="F222" s="117"/>
      <c r="G222" s="117"/>
      <c r="H222" s="117"/>
      <c r="I222" s="117"/>
      <c r="J222" s="117"/>
      <c r="K222" s="117"/>
      <c r="L222" s="117"/>
      <c r="M222" s="117"/>
      <c r="N222" s="117"/>
      <c r="O222" s="117"/>
      <c r="P222" s="117"/>
      <c r="Q222" s="117"/>
      <c r="R222" s="117"/>
      <c r="S222" s="117"/>
    </row>
    <row r="223" spans="1:19" ht="12.9">
      <c r="A223" s="117"/>
      <c r="B223" s="117"/>
      <c r="C223" s="117"/>
      <c r="D223" s="24"/>
      <c r="E223" s="24"/>
      <c r="F223" s="117"/>
      <c r="G223" s="117"/>
      <c r="H223" s="117"/>
      <c r="I223" s="117"/>
      <c r="J223" s="117"/>
      <c r="K223" s="117"/>
      <c r="L223" s="117"/>
      <c r="M223" s="117"/>
      <c r="N223" s="117"/>
      <c r="O223" s="117"/>
      <c r="P223" s="117"/>
      <c r="Q223" s="117"/>
      <c r="R223" s="117"/>
      <c r="S223" s="117"/>
    </row>
    <row r="224" spans="1:19" ht="12.9">
      <c r="A224" s="117"/>
      <c r="B224" s="117"/>
      <c r="C224" s="117"/>
      <c r="D224" s="24"/>
      <c r="E224" s="24"/>
      <c r="F224" s="117"/>
      <c r="G224" s="117"/>
      <c r="H224" s="117"/>
      <c r="I224" s="117"/>
      <c r="J224" s="117"/>
      <c r="K224" s="117"/>
      <c r="L224" s="117"/>
      <c r="M224" s="117"/>
      <c r="N224" s="117"/>
      <c r="O224" s="117"/>
      <c r="P224" s="117"/>
      <c r="Q224" s="117"/>
      <c r="R224" s="117"/>
      <c r="S224" s="117"/>
    </row>
    <row r="225" spans="1:19" ht="12.9">
      <c r="A225" s="117"/>
      <c r="B225" s="117"/>
      <c r="C225" s="117"/>
      <c r="D225" s="24"/>
      <c r="E225" s="24"/>
      <c r="F225" s="117"/>
      <c r="G225" s="117"/>
      <c r="H225" s="117"/>
      <c r="I225" s="117"/>
      <c r="J225" s="117"/>
      <c r="K225" s="117"/>
      <c r="L225" s="117"/>
      <c r="M225" s="117"/>
      <c r="N225" s="117"/>
      <c r="O225" s="117"/>
      <c r="P225" s="117"/>
      <c r="Q225" s="117"/>
      <c r="R225" s="117"/>
      <c r="S225" s="117"/>
    </row>
    <row r="226" spans="1:19" ht="12.9">
      <c r="A226" s="117"/>
      <c r="B226" s="117"/>
      <c r="C226" s="117"/>
      <c r="D226" s="24"/>
      <c r="E226" s="24"/>
      <c r="F226" s="117"/>
      <c r="G226" s="117"/>
      <c r="H226" s="117"/>
      <c r="I226" s="117"/>
      <c r="J226" s="117"/>
      <c r="K226" s="117"/>
      <c r="L226" s="117"/>
      <c r="M226" s="117"/>
      <c r="N226" s="117"/>
      <c r="O226" s="117"/>
      <c r="P226" s="117"/>
      <c r="Q226" s="117"/>
      <c r="R226" s="117"/>
      <c r="S226" s="117"/>
    </row>
    <row r="227" spans="1:19" ht="12.9">
      <c r="A227" s="117"/>
      <c r="B227" s="117"/>
      <c r="C227" s="117"/>
      <c r="D227" s="24"/>
      <c r="E227" s="24"/>
      <c r="F227" s="117"/>
      <c r="G227" s="117"/>
      <c r="H227" s="117"/>
      <c r="I227" s="117"/>
      <c r="J227" s="117"/>
      <c r="K227" s="117"/>
      <c r="L227" s="117"/>
      <c r="M227" s="117"/>
      <c r="N227" s="117"/>
      <c r="O227" s="117"/>
      <c r="P227" s="117"/>
      <c r="Q227" s="117"/>
      <c r="R227" s="117"/>
      <c r="S227" s="117"/>
    </row>
    <row r="228" spans="1:19" ht="12.9">
      <c r="A228" s="117"/>
      <c r="B228" s="117"/>
      <c r="C228" s="117"/>
      <c r="D228" s="24"/>
      <c r="E228" s="24"/>
      <c r="F228" s="117"/>
      <c r="G228" s="117"/>
      <c r="H228" s="117"/>
      <c r="I228" s="117"/>
      <c r="J228" s="117"/>
      <c r="K228" s="117"/>
      <c r="L228" s="117"/>
      <c r="M228" s="117"/>
      <c r="N228" s="117"/>
      <c r="O228" s="117"/>
      <c r="P228" s="117"/>
      <c r="Q228" s="117"/>
      <c r="R228" s="117"/>
      <c r="S228" s="117"/>
    </row>
    <row r="229" spans="1:19" ht="12.9">
      <c r="A229" s="117"/>
      <c r="B229" s="117"/>
      <c r="C229" s="117"/>
      <c r="D229" s="24"/>
      <c r="E229" s="24"/>
      <c r="F229" s="117"/>
      <c r="G229" s="117"/>
      <c r="H229" s="117"/>
      <c r="I229" s="117"/>
      <c r="J229" s="117"/>
      <c r="K229" s="117"/>
      <c r="L229" s="117"/>
      <c r="M229" s="117"/>
      <c r="N229" s="117"/>
      <c r="O229" s="117"/>
      <c r="P229" s="117"/>
      <c r="Q229" s="117"/>
      <c r="R229" s="117"/>
      <c r="S229" s="117"/>
    </row>
    <row r="230" spans="1:19" ht="12.9">
      <c r="A230" s="117"/>
      <c r="B230" s="117"/>
      <c r="C230" s="117"/>
      <c r="D230" s="24"/>
      <c r="E230" s="24"/>
      <c r="F230" s="117"/>
      <c r="G230" s="117"/>
      <c r="H230" s="117"/>
      <c r="I230" s="117"/>
      <c r="J230" s="117"/>
      <c r="K230" s="117"/>
      <c r="L230" s="117"/>
      <c r="M230" s="117"/>
      <c r="N230" s="117"/>
      <c r="O230" s="117"/>
      <c r="P230" s="117"/>
      <c r="Q230" s="117"/>
      <c r="R230" s="117"/>
      <c r="S230" s="117"/>
    </row>
    <row r="231" spans="1:19" ht="12.9">
      <c r="A231" s="117"/>
      <c r="B231" s="117"/>
      <c r="C231" s="117"/>
      <c r="D231" s="24"/>
      <c r="E231" s="24"/>
      <c r="F231" s="117"/>
      <c r="G231" s="117"/>
      <c r="H231" s="117"/>
      <c r="I231" s="117"/>
      <c r="J231" s="117"/>
      <c r="K231" s="117"/>
      <c r="L231" s="117"/>
      <c r="M231" s="117"/>
      <c r="N231" s="117"/>
      <c r="O231" s="117"/>
      <c r="P231" s="117"/>
      <c r="Q231" s="117"/>
      <c r="R231" s="117"/>
      <c r="S231" s="117"/>
    </row>
    <row r="232" spans="1:19" ht="12.9">
      <c r="A232" s="117"/>
      <c r="B232" s="117"/>
      <c r="C232" s="117"/>
      <c r="D232" s="24"/>
      <c r="E232" s="24"/>
      <c r="F232" s="117"/>
      <c r="G232" s="117"/>
      <c r="H232" s="117"/>
      <c r="I232" s="117"/>
      <c r="J232" s="117"/>
      <c r="K232" s="117"/>
      <c r="L232" s="117"/>
      <c r="M232" s="117"/>
      <c r="N232" s="117"/>
      <c r="O232" s="117"/>
      <c r="P232" s="117"/>
      <c r="Q232" s="117"/>
      <c r="R232" s="117"/>
      <c r="S232" s="117"/>
    </row>
    <row r="233" spans="1:19" ht="12.9">
      <c r="A233" s="117"/>
      <c r="B233" s="117"/>
      <c r="C233" s="117"/>
      <c r="D233" s="24"/>
      <c r="E233" s="24"/>
      <c r="F233" s="117"/>
      <c r="G233" s="117"/>
      <c r="H233" s="117"/>
      <c r="I233" s="117"/>
      <c r="J233" s="117"/>
      <c r="K233" s="117"/>
      <c r="L233" s="117"/>
      <c r="M233" s="117"/>
      <c r="N233" s="117"/>
      <c r="O233" s="117"/>
      <c r="P233" s="117"/>
      <c r="Q233" s="117"/>
      <c r="R233" s="117"/>
      <c r="S233" s="117"/>
    </row>
    <row r="234" spans="1:19" ht="12.9">
      <c r="A234" s="117"/>
      <c r="B234" s="117"/>
      <c r="C234" s="117"/>
      <c r="D234" s="24"/>
      <c r="E234" s="24"/>
      <c r="F234" s="117"/>
      <c r="G234" s="117"/>
      <c r="H234" s="117"/>
      <c r="I234" s="117"/>
      <c r="J234" s="117"/>
      <c r="K234" s="117"/>
      <c r="L234" s="117"/>
      <c r="M234" s="117"/>
      <c r="N234" s="117"/>
      <c r="O234" s="117"/>
      <c r="P234" s="117"/>
      <c r="Q234" s="117"/>
      <c r="R234" s="117"/>
      <c r="S234" s="117"/>
    </row>
    <row r="235" spans="1:19" ht="12.9">
      <c r="A235" s="117"/>
      <c r="B235" s="117"/>
      <c r="C235" s="117"/>
      <c r="D235" s="24"/>
      <c r="E235" s="24"/>
      <c r="F235" s="117"/>
      <c r="G235" s="117"/>
      <c r="H235" s="117"/>
      <c r="I235" s="117"/>
      <c r="J235" s="117"/>
      <c r="K235" s="117"/>
      <c r="L235" s="117"/>
      <c r="M235" s="117"/>
      <c r="N235" s="117"/>
      <c r="O235" s="117"/>
      <c r="P235" s="117"/>
      <c r="Q235" s="117"/>
      <c r="R235" s="117"/>
      <c r="S235" s="117"/>
    </row>
    <row r="236" spans="1:19" ht="12.9">
      <c r="A236" s="117"/>
      <c r="B236" s="117"/>
      <c r="C236" s="117"/>
      <c r="D236" s="24"/>
      <c r="E236" s="24"/>
      <c r="F236" s="117"/>
      <c r="G236" s="117"/>
      <c r="H236" s="117"/>
      <c r="I236" s="117"/>
      <c r="J236" s="117"/>
      <c r="K236" s="117"/>
      <c r="L236" s="117"/>
      <c r="M236" s="117"/>
      <c r="N236" s="117"/>
      <c r="O236" s="117"/>
      <c r="P236" s="117"/>
      <c r="Q236" s="117"/>
      <c r="R236" s="117"/>
      <c r="S236" s="117"/>
    </row>
    <row r="237" spans="1:19" ht="12.9">
      <c r="A237" s="117"/>
      <c r="B237" s="117"/>
      <c r="C237" s="117"/>
      <c r="D237" s="24"/>
      <c r="E237" s="24"/>
      <c r="F237" s="117"/>
      <c r="G237" s="117"/>
      <c r="H237" s="117"/>
      <c r="I237" s="117"/>
      <c r="J237" s="117"/>
      <c r="K237" s="117"/>
      <c r="L237" s="117"/>
      <c r="M237" s="117"/>
      <c r="N237" s="117"/>
      <c r="O237" s="117"/>
      <c r="P237" s="117"/>
      <c r="Q237" s="117"/>
      <c r="R237" s="117"/>
      <c r="S237" s="117"/>
    </row>
    <row r="238" spans="1:19" ht="12.9">
      <c r="A238" s="117"/>
      <c r="B238" s="117"/>
      <c r="C238" s="117"/>
      <c r="D238" s="24"/>
      <c r="E238" s="24"/>
      <c r="F238" s="117"/>
      <c r="G238" s="117"/>
      <c r="H238" s="117"/>
      <c r="I238" s="117"/>
      <c r="J238" s="117"/>
      <c r="K238" s="117"/>
      <c r="L238" s="117"/>
      <c r="M238" s="117"/>
      <c r="N238" s="117"/>
      <c r="O238" s="117"/>
      <c r="P238" s="117"/>
      <c r="Q238" s="117"/>
      <c r="R238" s="117"/>
      <c r="S238" s="117"/>
    </row>
    <row r="239" spans="1:19" ht="12.9">
      <c r="A239" s="117"/>
      <c r="B239" s="117"/>
      <c r="C239" s="117"/>
      <c r="D239" s="24"/>
      <c r="E239" s="24"/>
      <c r="F239" s="117"/>
      <c r="G239" s="117"/>
      <c r="H239" s="117"/>
      <c r="I239" s="117"/>
      <c r="J239" s="117"/>
      <c r="K239" s="117"/>
      <c r="L239" s="117"/>
      <c r="M239" s="117"/>
      <c r="N239" s="117"/>
      <c r="O239" s="117"/>
      <c r="P239" s="117"/>
      <c r="Q239" s="117"/>
      <c r="R239" s="117"/>
      <c r="S239" s="117"/>
    </row>
    <row r="240" spans="1:19" ht="12.9">
      <c r="A240" s="117"/>
      <c r="B240" s="117"/>
      <c r="C240" s="117"/>
      <c r="D240" s="24"/>
      <c r="E240" s="24"/>
      <c r="F240" s="117"/>
      <c r="G240" s="117"/>
      <c r="H240" s="117"/>
      <c r="I240" s="117"/>
      <c r="J240" s="117"/>
      <c r="K240" s="117"/>
      <c r="L240" s="117"/>
      <c r="M240" s="117"/>
      <c r="N240" s="117"/>
      <c r="O240" s="117"/>
      <c r="P240" s="117"/>
      <c r="Q240" s="117"/>
      <c r="R240" s="117"/>
      <c r="S240" s="117"/>
    </row>
    <row r="241" spans="1:19" ht="12.9">
      <c r="A241" s="117"/>
      <c r="B241" s="117"/>
      <c r="C241" s="117"/>
      <c r="D241" s="24"/>
      <c r="E241" s="24"/>
      <c r="F241" s="117"/>
      <c r="G241" s="117"/>
      <c r="H241" s="117"/>
      <c r="I241" s="117"/>
      <c r="J241" s="117"/>
      <c r="K241" s="117"/>
      <c r="L241" s="117"/>
      <c r="M241" s="117"/>
      <c r="N241" s="117"/>
      <c r="O241" s="117"/>
      <c r="P241" s="117"/>
      <c r="Q241" s="117"/>
      <c r="R241" s="117"/>
      <c r="S241" s="117"/>
    </row>
    <row r="242" spans="1:19" ht="12.9">
      <c r="A242" s="117"/>
      <c r="B242" s="117"/>
      <c r="C242" s="117"/>
      <c r="D242" s="24"/>
      <c r="E242" s="24"/>
      <c r="F242" s="117"/>
      <c r="G242" s="117"/>
      <c r="H242" s="117"/>
      <c r="I242" s="117"/>
      <c r="J242" s="117"/>
      <c r="K242" s="117"/>
      <c r="L242" s="117"/>
      <c r="M242" s="117"/>
      <c r="N242" s="117"/>
      <c r="O242" s="117"/>
      <c r="P242" s="117"/>
      <c r="Q242" s="117"/>
      <c r="R242" s="117"/>
      <c r="S242" s="117"/>
    </row>
    <row r="243" spans="1:19" ht="12.9">
      <c r="A243" s="117"/>
      <c r="B243" s="117"/>
      <c r="C243" s="117"/>
      <c r="D243" s="24"/>
      <c r="E243" s="24"/>
      <c r="F243" s="117"/>
      <c r="G243" s="117"/>
      <c r="H243" s="117"/>
      <c r="I243" s="117"/>
      <c r="J243" s="117"/>
      <c r="K243" s="117"/>
      <c r="L243" s="117"/>
      <c r="M243" s="117"/>
      <c r="N243" s="117"/>
      <c r="O243" s="117"/>
      <c r="P243" s="117"/>
      <c r="Q243" s="117"/>
      <c r="R243" s="117"/>
      <c r="S243" s="117"/>
    </row>
    <row r="244" spans="1:19" ht="12.9">
      <c r="A244" s="117"/>
      <c r="B244" s="117"/>
      <c r="C244" s="117"/>
      <c r="D244" s="24"/>
      <c r="E244" s="24"/>
      <c r="F244" s="117"/>
      <c r="G244" s="117"/>
      <c r="H244" s="117"/>
      <c r="I244" s="117"/>
      <c r="J244" s="117"/>
      <c r="K244" s="117"/>
      <c r="L244" s="117"/>
      <c r="M244" s="117"/>
      <c r="N244" s="117"/>
      <c r="O244" s="117"/>
      <c r="P244" s="117"/>
      <c r="Q244" s="117"/>
      <c r="R244" s="117"/>
      <c r="S244" s="117"/>
    </row>
    <row r="245" spans="1:19" ht="12.9">
      <c r="A245" s="117"/>
      <c r="B245" s="117"/>
      <c r="C245" s="117"/>
      <c r="D245" s="24"/>
      <c r="E245" s="24"/>
      <c r="F245" s="117"/>
      <c r="G245" s="117"/>
      <c r="H245" s="117"/>
      <c r="I245" s="117"/>
      <c r="J245" s="117"/>
      <c r="K245" s="117"/>
      <c r="L245" s="117"/>
      <c r="M245" s="117"/>
      <c r="N245" s="117"/>
      <c r="O245" s="117"/>
      <c r="P245" s="117"/>
      <c r="Q245" s="117"/>
      <c r="R245" s="117"/>
      <c r="S245" s="117"/>
    </row>
    <row r="246" spans="1:19" ht="12.9">
      <c r="A246" s="117"/>
      <c r="B246" s="117"/>
      <c r="C246" s="117"/>
      <c r="D246" s="24"/>
      <c r="E246" s="24"/>
      <c r="F246" s="117"/>
      <c r="G246" s="117"/>
      <c r="H246" s="117"/>
      <c r="I246" s="117"/>
      <c r="J246" s="117"/>
      <c r="K246" s="117"/>
      <c r="L246" s="117"/>
      <c r="M246" s="117"/>
      <c r="N246" s="117"/>
      <c r="O246" s="117"/>
      <c r="P246" s="117"/>
      <c r="Q246" s="117"/>
      <c r="R246" s="117"/>
      <c r="S246" s="117"/>
    </row>
    <row r="247" spans="1:19" ht="12.9">
      <c r="A247" s="117"/>
      <c r="B247" s="117"/>
      <c r="C247" s="117"/>
      <c r="D247" s="24"/>
      <c r="E247" s="24"/>
      <c r="F247" s="117"/>
      <c r="G247" s="117"/>
      <c r="H247" s="117"/>
      <c r="I247" s="117"/>
      <c r="J247" s="117"/>
      <c r="K247" s="117"/>
      <c r="L247" s="117"/>
      <c r="M247" s="117"/>
      <c r="N247" s="117"/>
      <c r="O247" s="117"/>
      <c r="P247" s="117"/>
      <c r="Q247" s="117"/>
      <c r="R247" s="117"/>
      <c r="S247" s="117"/>
    </row>
    <row r="248" spans="1:19" ht="12.9">
      <c r="A248" s="117"/>
      <c r="B248" s="117"/>
      <c r="C248" s="117"/>
      <c r="D248" s="24"/>
      <c r="E248" s="24"/>
      <c r="F248" s="117"/>
      <c r="G248" s="117"/>
      <c r="H248" s="117"/>
      <c r="I248" s="117"/>
      <c r="J248" s="117"/>
      <c r="K248" s="117"/>
      <c r="L248" s="117"/>
      <c r="M248" s="117"/>
      <c r="N248" s="117"/>
      <c r="O248" s="117"/>
      <c r="P248" s="117"/>
      <c r="Q248" s="117"/>
      <c r="R248" s="117"/>
      <c r="S248" s="117"/>
    </row>
    <row r="249" spans="1:19" ht="12.9">
      <c r="A249" s="117"/>
      <c r="B249" s="117"/>
      <c r="C249" s="117"/>
      <c r="D249" s="24"/>
      <c r="E249" s="24"/>
      <c r="F249" s="117"/>
      <c r="G249" s="117"/>
      <c r="H249" s="117"/>
      <c r="I249" s="117"/>
      <c r="J249" s="117"/>
      <c r="K249" s="117"/>
      <c r="L249" s="117"/>
      <c r="M249" s="117"/>
      <c r="N249" s="117"/>
      <c r="O249" s="117"/>
      <c r="P249" s="117"/>
      <c r="Q249" s="117"/>
      <c r="R249" s="117"/>
      <c r="S249" s="117"/>
    </row>
    <row r="250" spans="1:19" ht="12.9">
      <c r="A250" s="117"/>
      <c r="B250" s="117"/>
      <c r="C250" s="117"/>
      <c r="D250" s="24"/>
      <c r="E250" s="24"/>
      <c r="F250" s="117"/>
      <c r="G250" s="117"/>
      <c r="H250" s="117"/>
      <c r="I250" s="117"/>
      <c r="J250" s="117"/>
      <c r="K250" s="117"/>
      <c r="L250" s="117"/>
      <c r="M250" s="117"/>
      <c r="N250" s="117"/>
      <c r="O250" s="117"/>
      <c r="P250" s="117"/>
      <c r="Q250" s="117"/>
      <c r="R250" s="117"/>
      <c r="S250" s="117"/>
    </row>
    <row r="251" spans="1:19" ht="12.9">
      <c r="A251" s="117"/>
      <c r="B251" s="117"/>
      <c r="C251" s="117"/>
      <c r="D251" s="24"/>
      <c r="E251" s="24"/>
      <c r="F251" s="117"/>
      <c r="G251" s="117"/>
      <c r="H251" s="117"/>
      <c r="I251" s="117"/>
      <c r="J251" s="117"/>
      <c r="K251" s="117"/>
      <c r="L251" s="117"/>
      <c r="M251" s="117"/>
      <c r="N251" s="117"/>
      <c r="O251" s="117"/>
      <c r="P251" s="117"/>
      <c r="Q251" s="117"/>
      <c r="R251" s="117"/>
      <c r="S251" s="117"/>
    </row>
    <row r="252" spans="1:19" ht="12.9">
      <c r="A252" s="117"/>
      <c r="B252" s="117"/>
      <c r="C252" s="117"/>
      <c r="D252" s="24"/>
      <c r="E252" s="24"/>
      <c r="F252" s="117"/>
      <c r="G252" s="117"/>
      <c r="H252" s="117"/>
      <c r="I252" s="117"/>
      <c r="J252" s="117"/>
      <c r="K252" s="117"/>
      <c r="L252" s="117"/>
      <c r="M252" s="117"/>
      <c r="N252" s="117"/>
      <c r="O252" s="117"/>
      <c r="P252" s="117"/>
      <c r="Q252" s="117"/>
      <c r="R252" s="117"/>
      <c r="S252" s="117"/>
    </row>
    <row r="253" spans="1:19" ht="12.9">
      <c r="A253" s="117"/>
      <c r="B253" s="117"/>
      <c r="C253" s="117"/>
      <c r="D253" s="24"/>
      <c r="E253" s="24"/>
      <c r="F253" s="117"/>
      <c r="G253" s="117"/>
      <c r="H253" s="117"/>
      <c r="I253" s="117"/>
      <c r="J253" s="117"/>
      <c r="K253" s="117"/>
      <c r="L253" s="117"/>
      <c r="M253" s="117"/>
      <c r="N253" s="117"/>
      <c r="O253" s="117"/>
      <c r="P253" s="117"/>
      <c r="Q253" s="117"/>
      <c r="R253" s="117"/>
      <c r="S253" s="117"/>
    </row>
    <row r="254" spans="1:19" ht="12.9">
      <c r="A254" s="117"/>
      <c r="B254" s="117"/>
      <c r="C254" s="117"/>
      <c r="D254" s="24"/>
      <c r="E254" s="24"/>
      <c r="F254" s="117"/>
      <c r="G254" s="117"/>
      <c r="H254" s="117"/>
      <c r="I254" s="117"/>
      <c r="J254" s="117"/>
      <c r="K254" s="117"/>
      <c r="L254" s="117"/>
      <c r="M254" s="117"/>
      <c r="N254" s="117"/>
      <c r="O254" s="117"/>
      <c r="P254" s="117"/>
      <c r="Q254" s="117"/>
      <c r="R254" s="117"/>
      <c r="S254" s="117"/>
    </row>
    <row r="255" spans="1:19" ht="12.9">
      <c r="A255" s="117"/>
      <c r="B255" s="117"/>
      <c r="C255" s="117"/>
      <c r="D255" s="24"/>
      <c r="E255" s="24"/>
      <c r="F255" s="117"/>
      <c r="G255" s="117"/>
      <c r="H255" s="117"/>
      <c r="I255" s="117"/>
      <c r="J255" s="117"/>
      <c r="K255" s="117"/>
      <c r="L255" s="117"/>
      <c r="M255" s="117"/>
      <c r="N255" s="117"/>
      <c r="O255" s="117"/>
      <c r="P255" s="117"/>
      <c r="Q255" s="117"/>
      <c r="R255" s="117"/>
      <c r="S255" s="117"/>
    </row>
    <row r="256" spans="1:19" ht="12.9">
      <c r="A256" s="117"/>
      <c r="B256" s="117"/>
      <c r="C256" s="117"/>
      <c r="D256" s="24"/>
      <c r="E256" s="24"/>
      <c r="F256" s="117"/>
      <c r="G256" s="117"/>
      <c r="H256" s="117"/>
      <c r="I256" s="117"/>
      <c r="J256" s="117"/>
      <c r="K256" s="117"/>
      <c r="L256" s="117"/>
      <c r="M256" s="117"/>
      <c r="N256" s="117"/>
      <c r="O256" s="117"/>
      <c r="P256" s="117"/>
      <c r="Q256" s="117"/>
      <c r="R256" s="117"/>
      <c r="S256" s="117"/>
    </row>
    <row r="257" spans="1:19" ht="12.9">
      <c r="A257" s="117"/>
      <c r="B257" s="117"/>
      <c r="C257" s="117"/>
      <c r="D257" s="24"/>
      <c r="E257" s="24"/>
      <c r="F257" s="117"/>
      <c r="G257" s="117"/>
      <c r="H257" s="117"/>
      <c r="I257" s="117"/>
      <c r="J257" s="117"/>
      <c r="K257" s="117"/>
      <c r="L257" s="117"/>
      <c r="M257" s="117"/>
      <c r="N257" s="117"/>
      <c r="O257" s="117"/>
      <c r="P257" s="117"/>
      <c r="Q257" s="117"/>
      <c r="R257" s="117"/>
      <c r="S257" s="117"/>
    </row>
    <row r="258" spans="1:19" ht="12.9">
      <c r="A258" s="117"/>
      <c r="B258" s="117"/>
      <c r="C258" s="117"/>
      <c r="D258" s="24"/>
      <c r="E258" s="24"/>
      <c r="F258" s="117"/>
      <c r="G258" s="117"/>
      <c r="H258" s="117"/>
      <c r="I258" s="117"/>
      <c r="J258" s="117"/>
      <c r="K258" s="117"/>
      <c r="L258" s="117"/>
      <c r="M258" s="117"/>
      <c r="N258" s="117"/>
      <c r="O258" s="117"/>
      <c r="P258" s="117"/>
      <c r="Q258" s="117"/>
      <c r="R258" s="117"/>
      <c r="S258" s="117"/>
    </row>
    <row r="259" spans="1:19" ht="12.9">
      <c r="A259" s="117"/>
      <c r="B259" s="117"/>
      <c r="C259" s="117"/>
      <c r="D259" s="24"/>
      <c r="E259" s="24"/>
      <c r="F259" s="117"/>
      <c r="G259" s="117"/>
      <c r="H259" s="117"/>
      <c r="I259" s="117"/>
      <c r="J259" s="117"/>
      <c r="K259" s="117"/>
      <c r="L259" s="117"/>
      <c r="M259" s="117"/>
      <c r="N259" s="117"/>
      <c r="O259" s="117"/>
      <c r="P259" s="117"/>
      <c r="Q259" s="117"/>
      <c r="R259" s="117"/>
      <c r="S259" s="117"/>
    </row>
    <row r="260" spans="1:19" ht="12.9">
      <c r="A260" s="117"/>
      <c r="B260" s="117"/>
      <c r="C260" s="117"/>
      <c r="D260" s="24"/>
      <c r="E260" s="24"/>
      <c r="F260" s="117"/>
      <c r="G260" s="117"/>
      <c r="H260" s="117"/>
      <c r="I260" s="117"/>
      <c r="J260" s="117"/>
      <c r="K260" s="117"/>
      <c r="L260" s="117"/>
      <c r="M260" s="117"/>
      <c r="N260" s="117"/>
      <c r="O260" s="117"/>
      <c r="P260" s="117"/>
      <c r="Q260" s="117"/>
      <c r="R260" s="117"/>
      <c r="S260" s="117"/>
    </row>
    <row r="261" spans="1:19" ht="12.9">
      <c r="A261" s="117"/>
      <c r="B261" s="117"/>
      <c r="C261" s="117"/>
      <c r="D261" s="24"/>
      <c r="E261" s="24"/>
      <c r="F261" s="117"/>
      <c r="G261" s="117"/>
      <c r="H261" s="117"/>
      <c r="I261" s="117"/>
      <c r="J261" s="117"/>
      <c r="K261" s="117"/>
      <c r="L261" s="117"/>
      <c r="M261" s="117"/>
      <c r="N261" s="117"/>
      <c r="O261" s="117"/>
      <c r="P261" s="117"/>
      <c r="Q261" s="117"/>
      <c r="R261" s="117"/>
      <c r="S261" s="117"/>
    </row>
    <row r="262" spans="1:19" ht="12.9">
      <c r="A262" s="117"/>
      <c r="B262" s="117"/>
      <c r="C262" s="117"/>
      <c r="D262" s="24"/>
      <c r="E262" s="24"/>
      <c r="F262" s="117"/>
      <c r="G262" s="117"/>
      <c r="H262" s="117"/>
      <c r="I262" s="117"/>
      <c r="J262" s="117"/>
      <c r="K262" s="117"/>
      <c r="L262" s="117"/>
      <c r="M262" s="117"/>
      <c r="N262" s="117"/>
      <c r="O262" s="117"/>
      <c r="P262" s="117"/>
      <c r="Q262" s="117"/>
      <c r="R262" s="117"/>
      <c r="S262" s="117"/>
    </row>
    <row r="263" spans="1:19" ht="12.9">
      <c r="A263" s="117"/>
      <c r="B263" s="117"/>
      <c r="C263" s="117"/>
      <c r="D263" s="24"/>
      <c r="E263" s="24"/>
      <c r="F263" s="117"/>
      <c r="G263" s="117"/>
      <c r="H263" s="117"/>
      <c r="I263" s="117"/>
      <c r="J263" s="117"/>
      <c r="K263" s="117"/>
      <c r="L263" s="117"/>
      <c r="M263" s="117"/>
      <c r="N263" s="117"/>
      <c r="O263" s="117"/>
      <c r="P263" s="117"/>
      <c r="Q263" s="117"/>
      <c r="R263" s="117"/>
      <c r="S263" s="117"/>
    </row>
    <row r="264" spans="1:19" ht="12.9">
      <c r="A264" s="117"/>
      <c r="B264" s="117"/>
      <c r="C264" s="117"/>
      <c r="D264" s="24"/>
      <c r="E264" s="24"/>
      <c r="F264" s="117"/>
      <c r="G264" s="117"/>
      <c r="H264" s="117"/>
      <c r="I264" s="117"/>
      <c r="J264" s="117"/>
      <c r="K264" s="117"/>
      <c r="L264" s="117"/>
      <c r="M264" s="117"/>
      <c r="N264" s="117"/>
      <c r="O264" s="117"/>
      <c r="P264" s="117"/>
      <c r="Q264" s="117"/>
      <c r="R264" s="117"/>
      <c r="S264" s="117"/>
    </row>
    <row r="265" spans="1:19" ht="12.9">
      <c r="A265" s="117"/>
      <c r="B265" s="117"/>
      <c r="C265" s="117"/>
      <c r="D265" s="24"/>
      <c r="E265" s="24"/>
      <c r="F265" s="117"/>
      <c r="G265" s="117"/>
      <c r="H265" s="117"/>
      <c r="I265" s="117"/>
      <c r="J265" s="117"/>
      <c r="K265" s="117"/>
      <c r="L265" s="117"/>
      <c r="M265" s="117"/>
      <c r="N265" s="117"/>
      <c r="O265" s="117"/>
      <c r="P265" s="117"/>
      <c r="Q265" s="117"/>
      <c r="R265" s="117"/>
      <c r="S265" s="117"/>
    </row>
    <row r="266" spans="1:19" ht="12.9">
      <c r="A266" s="117"/>
      <c r="B266" s="117"/>
      <c r="C266" s="117"/>
      <c r="D266" s="24"/>
      <c r="E266" s="24"/>
      <c r="F266" s="117"/>
      <c r="G266" s="117"/>
      <c r="H266" s="117"/>
      <c r="I266" s="117"/>
      <c r="J266" s="117"/>
      <c r="K266" s="117"/>
      <c r="L266" s="117"/>
      <c r="M266" s="117"/>
      <c r="N266" s="117"/>
      <c r="O266" s="117"/>
      <c r="P266" s="117"/>
      <c r="Q266" s="117"/>
      <c r="R266" s="117"/>
      <c r="S266" s="117"/>
    </row>
    <row r="267" spans="1:19" ht="12.9">
      <c r="A267" s="117"/>
      <c r="B267" s="117"/>
      <c r="C267" s="117"/>
      <c r="D267" s="24"/>
      <c r="E267" s="24"/>
      <c r="F267" s="117"/>
      <c r="G267" s="117"/>
      <c r="H267" s="117"/>
      <c r="I267" s="117"/>
      <c r="J267" s="117"/>
      <c r="K267" s="117"/>
      <c r="L267" s="117"/>
      <c r="M267" s="117"/>
      <c r="N267" s="117"/>
      <c r="O267" s="117"/>
      <c r="P267" s="117"/>
      <c r="Q267" s="117"/>
      <c r="R267" s="117"/>
      <c r="S267" s="117"/>
    </row>
    <row r="268" spans="1:19" ht="12.9">
      <c r="A268" s="117"/>
      <c r="B268" s="117"/>
      <c r="C268" s="117"/>
      <c r="D268" s="24"/>
      <c r="E268" s="24"/>
      <c r="F268" s="117"/>
      <c r="G268" s="117"/>
      <c r="H268" s="117"/>
      <c r="I268" s="117"/>
      <c r="J268" s="117"/>
      <c r="K268" s="117"/>
      <c r="L268" s="117"/>
      <c r="M268" s="117"/>
      <c r="N268" s="117"/>
      <c r="O268" s="117"/>
      <c r="P268" s="117"/>
      <c r="Q268" s="117"/>
      <c r="R268" s="117"/>
      <c r="S268" s="117"/>
    </row>
    <row r="269" spans="1:19" ht="12.9">
      <c r="A269" s="117"/>
      <c r="B269" s="117"/>
      <c r="C269" s="117"/>
      <c r="D269" s="24"/>
      <c r="E269" s="24"/>
      <c r="F269" s="117"/>
      <c r="G269" s="117"/>
      <c r="H269" s="117"/>
      <c r="I269" s="117"/>
      <c r="J269" s="117"/>
      <c r="K269" s="117"/>
      <c r="L269" s="117"/>
      <c r="M269" s="117"/>
      <c r="N269" s="117"/>
      <c r="O269" s="117"/>
      <c r="P269" s="117"/>
      <c r="Q269" s="117"/>
      <c r="R269" s="117"/>
      <c r="S269" s="117"/>
    </row>
    <row r="270" spans="1:19" ht="12.9">
      <c r="A270" s="117"/>
      <c r="B270" s="117"/>
      <c r="C270" s="117"/>
      <c r="D270" s="24"/>
      <c r="E270" s="24"/>
      <c r="F270" s="117"/>
      <c r="G270" s="117"/>
      <c r="H270" s="117"/>
      <c r="I270" s="117"/>
      <c r="J270" s="117"/>
      <c r="K270" s="117"/>
      <c r="L270" s="117"/>
      <c r="M270" s="117"/>
      <c r="N270" s="117"/>
      <c r="O270" s="117"/>
      <c r="P270" s="117"/>
      <c r="Q270" s="117"/>
      <c r="R270" s="117"/>
      <c r="S270" s="117"/>
    </row>
    <row r="271" spans="1:19" ht="12.9">
      <c r="A271" s="117"/>
      <c r="B271" s="117"/>
      <c r="C271" s="117"/>
      <c r="D271" s="24"/>
      <c r="E271" s="24"/>
      <c r="F271" s="117"/>
      <c r="G271" s="117"/>
      <c r="H271" s="117"/>
      <c r="I271" s="117"/>
      <c r="J271" s="117"/>
      <c r="K271" s="117"/>
      <c r="L271" s="117"/>
      <c r="M271" s="117"/>
      <c r="N271" s="117"/>
      <c r="O271" s="117"/>
      <c r="P271" s="117"/>
      <c r="Q271" s="117"/>
      <c r="R271" s="117"/>
      <c r="S271" s="117"/>
    </row>
    <row r="272" spans="1:19" ht="12.9">
      <c r="A272" s="117"/>
      <c r="B272" s="117"/>
      <c r="C272" s="117"/>
      <c r="D272" s="24"/>
      <c r="E272" s="24"/>
      <c r="F272" s="117"/>
      <c r="G272" s="117"/>
      <c r="H272" s="117"/>
      <c r="I272" s="117"/>
      <c r="J272" s="117"/>
      <c r="K272" s="117"/>
      <c r="L272" s="117"/>
      <c r="M272" s="117"/>
      <c r="N272" s="117"/>
      <c r="O272" s="117"/>
      <c r="P272" s="117"/>
      <c r="Q272" s="117"/>
      <c r="R272" s="117"/>
      <c r="S272" s="117"/>
    </row>
    <row r="273" spans="1:19" ht="12.9">
      <c r="A273" s="117"/>
      <c r="B273" s="117"/>
      <c r="C273" s="117"/>
      <c r="D273" s="24"/>
      <c r="E273" s="24"/>
      <c r="F273" s="117"/>
      <c r="G273" s="117"/>
      <c r="H273" s="117"/>
      <c r="I273" s="117"/>
      <c r="J273" s="117"/>
      <c r="K273" s="117"/>
      <c r="L273" s="117"/>
      <c r="M273" s="117"/>
      <c r="N273" s="117"/>
      <c r="O273" s="117"/>
      <c r="P273" s="117"/>
      <c r="Q273" s="117"/>
      <c r="R273" s="117"/>
      <c r="S273" s="117"/>
    </row>
    <row r="274" spans="1:19" ht="12.9">
      <c r="A274" s="117"/>
      <c r="B274" s="117"/>
      <c r="C274" s="117"/>
      <c r="D274" s="24"/>
      <c r="E274" s="24"/>
      <c r="F274" s="117"/>
      <c r="G274" s="117"/>
      <c r="H274" s="117"/>
      <c r="I274" s="117"/>
      <c r="J274" s="117"/>
      <c r="K274" s="117"/>
      <c r="L274" s="117"/>
      <c r="M274" s="117"/>
      <c r="N274" s="117"/>
      <c r="O274" s="117"/>
      <c r="P274" s="117"/>
      <c r="Q274" s="117"/>
      <c r="R274" s="117"/>
      <c r="S274" s="117"/>
    </row>
    <row r="275" spans="1:19" ht="12.9">
      <c r="A275" s="117"/>
      <c r="B275" s="117"/>
      <c r="C275" s="117"/>
      <c r="D275" s="24"/>
      <c r="E275" s="24"/>
      <c r="F275" s="117"/>
      <c r="G275" s="117"/>
      <c r="H275" s="117"/>
      <c r="I275" s="117"/>
      <c r="J275" s="117"/>
      <c r="K275" s="117"/>
      <c r="L275" s="117"/>
      <c r="M275" s="117"/>
      <c r="N275" s="117"/>
      <c r="O275" s="117"/>
      <c r="P275" s="117"/>
      <c r="Q275" s="117"/>
      <c r="R275" s="117"/>
      <c r="S275" s="117"/>
    </row>
    <row r="276" spans="1:19" ht="12.9">
      <c r="A276" s="117"/>
      <c r="B276" s="117"/>
      <c r="C276" s="117"/>
      <c r="D276" s="24"/>
      <c r="E276" s="24"/>
      <c r="F276" s="117"/>
      <c r="G276" s="117"/>
      <c r="H276" s="117"/>
      <c r="I276" s="117"/>
      <c r="J276" s="117"/>
      <c r="K276" s="117"/>
      <c r="L276" s="117"/>
      <c r="M276" s="117"/>
      <c r="N276" s="117"/>
      <c r="O276" s="117"/>
      <c r="P276" s="117"/>
      <c r="Q276" s="117"/>
      <c r="R276" s="117"/>
      <c r="S276" s="117"/>
    </row>
    <row r="277" spans="1:19" ht="12.9">
      <c r="A277" s="117"/>
      <c r="B277" s="117"/>
      <c r="C277" s="117"/>
      <c r="D277" s="24"/>
      <c r="E277" s="24"/>
      <c r="F277" s="117"/>
      <c r="G277" s="117"/>
      <c r="H277" s="117"/>
      <c r="I277" s="117"/>
      <c r="J277" s="117"/>
      <c r="K277" s="117"/>
      <c r="L277" s="117"/>
      <c r="M277" s="117"/>
      <c r="N277" s="117"/>
      <c r="O277" s="117"/>
      <c r="P277" s="117"/>
      <c r="Q277" s="117"/>
      <c r="R277" s="117"/>
      <c r="S277" s="117"/>
    </row>
    <row r="278" spans="1:19" ht="12.9">
      <c r="A278" s="117"/>
      <c r="B278" s="117"/>
      <c r="C278" s="117"/>
      <c r="D278" s="24"/>
      <c r="E278" s="24"/>
      <c r="F278" s="117"/>
      <c r="G278" s="117"/>
      <c r="H278" s="117"/>
      <c r="I278" s="117"/>
      <c r="J278" s="117"/>
      <c r="K278" s="117"/>
      <c r="L278" s="117"/>
      <c r="M278" s="117"/>
      <c r="N278" s="117"/>
      <c r="O278" s="117"/>
      <c r="P278" s="117"/>
      <c r="Q278" s="117"/>
      <c r="R278" s="117"/>
      <c r="S278" s="117"/>
    </row>
    <row r="279" spans="1:19" ht="12.9">
      <c r="A279" s="117"/>
      <c r="B279" s="117"/>
      <c r="C279" s="117"/>
      <c r="D279" s="24"/>
      <c r="E279" s="24"/>
      <c r="F279" s="117"/>
      <c r="G279" s="117"/>
      <c r="H279" s="117"/>
      <c r="I279" s="117"/>
      <c r="J279" s="117"/>
      <c r="K279" s="117"/>
      <c r="L279" s="117"/>
      <c r="M279" s="117"/>
      <c r="N279" s="117"/>
      <c r="O279" s="117"/>
      <c r="P279" s="117"/>
      <c r="Q279" s="117"/>
      <c r="R279" s="117"/>
      <c r="S279" s="117"/>
    </row>
    <row r="280" spans="1:19" ht="12.9">
      <c r="A280" s="117"/>
      <c r="B280" s="117"/>
      <c r="C280" s="117"/>
      <c r="D280" s="24"/>
      <c r="E280" s="24"/>
      <c r="F280" s="117"/>
      <c r="G280" s="117"/>
      <c r="H280" s="117"/>
      <c r="I280" s="117"/>
      <c r="J280" s="117"/>
      <c r="K280" s="117"/>
      <c r="L280" s="117"/>
      <c r="M280" s="117"/>
      <c r="N280" s="117"/>
      <c r="O280" s="117"/>
      <c r="P280" s="117"/>
      <c r="Q280" s="117"/>
      <c r="R280" s="117"/>
      <c r="S280" s="117"/>
    </row>
    <row r="281" spans="1:19" ht="12.9">
      <c r="A281" s="117"/>
      <c r="B281" s="117"/>
      <c r="C281" s="117"/>
      <c r="D281" s="24"/>
      <c r="E281" s="24"/>
      <c r="F281" s="117"/>
      <c r="G281" s="117"/>
      <c r="H281" s="117"/>
      <c r="I281" s="117"/>
      <c r="J281" s="117"/>
      <c r="K281" s="117"/>
      <c r="L281" s="117"/>
      <c r="M281" s="117"/>
      <c r="N281" s="117"/>
      <c r="O281" s="117"/>
      <c r="P281" s="117"/>
      <c r="Q281" s="117"/>
      <c r="R281" s="117"/>
      <c r="S281" s="117"/>
    </row>
    <row r="282" spans="1:19" ht="12.9">
      <c r="A282" s="117"/>
      <c r="B282" s="117"/>
      <c r="C282" s="117"/>
      <c r="D282" s="24"/>
      <c r="E282" s="24"/>
      <c r="F282" s="117"/>
      <c r="G282" s="117"/>
      <c r="H282" s="117"/>
      <c r="I282" s="117"/>
      <c r="J282" s="117"/>
      <c r="K282" s="117"/>
      <c r="L282" s="117"/>
      <c r="M282" s="117"/>
      <c r="N282" s="117"/>
      <c r="O282" s="117"/>
      <c r="P282" s="117"/>
      <c r="Q282" s="117"/>
      <c r="R282" s="117"/>
      <c r="S282" s="117"/>
    </row>
    <row r="283" spans="1:19" ht="12.9">
      <c r="A283" s="117"/>
      <c r="B283" s="117"/>
      <c r="C283" s="117"/>
      <c r="D283" s="24"/>
      <c r="E283" s="24"/>
      <c r="F283" s="117"/>
      <c r="G283" s="117"/>
      <c r="H283" s="117"/>
      <c r="I283" s="117"/>
      <c r="J283" s="117"/>
      <c r="K283" s="117"/>
      <c r="L283" s="117"/>
      <c r="M283" s="117"/>
      <c r="N283" s="117"/>
      <c r="O283" s="117"/>
      <c r="P283" s="117"/>
      <c r="Q283" s="117"/>
      <c r="R283" s="117"/>
      <c r="S283" s="117"/>
    </row>
    <row r="284" spans="1:19" ht="12.9">
      <c r="A284" s="117"/>
      <c r="B284" s="117"/>
      <c r="C284" s="117"/>
      <c r="D284" s="24"/>
      <c r="E284" s="24"/>
      <c r="F284" s="117"/>
      <c r="G284" s="117"/>
      <c r="H284" s="117"/>
      <c r="I284" s="117"/>
      <c r="J284" s="117"/>
      <c r="K284" s="117"/>
      <c r="L284" s="117"/>
      <c r="M284" s="117"/>
      <c r="N284" s="117"/>
      <c r="O284" s="117"/>
      <c r="P284" s="117"/>
      <c r="Q284" s="117"/>
      <c r="R284" s="117"/>
      <c r="S284" s="117"/>
    </row>
    <row r="285" spans="1:19" ht="12.9">
      <c r="A285" s="117"/>
      <c r="B285" s="117"/>
      <c r="C285" s="117"/>
      <c r="D285" s="24"/>
      <c r="E285" s="24"/>
      <c r="F285" s="117"/>
      <c r="G285" s="117"/>
      <c r="H285" s="117"/>
      <c r="I285" s="117"/>
      <c r="J285" s="117"/>
      <c r="K285" s="117"/>
      <c r="L285" s="117"/>
      <c r="M285" s="117"/>
      <c r="N285" s="117"/>
      <c r="O285" s="117"/>
      <c r="P285" s="117"/>
      <c r="Q285" s="117"/>
      <c r="R285" s="117"/>
      <c r="S285" s="117"/>
    </row>
    <row r="286" spans="1:19" ht="12.9">
      <c r="A286" s="117"/>
      <c r="B286" s="117"/>
      <c r="C286" s="117"/>
      <c r="D286" s="24"/>
      <c r="E286" s="24"/>
      <c r="F286" s="117"/>
      <c r="G286" s="117"/>
      <c r="H286" s="117"/>
      <c r="I286" s="117"/>
      <c r="J286" s="117"/>
      <c r="K286" s="117"/>
      <c r="L286" s="117"/>
      <c r="M286" s="117"/>
      <c r="N286" s="117"/>
      <c r="O286" s="117"/>
      <c r="P286" s="117"/>
      <c r="Q286" s="117"/>
      <c r="R286" s="117"/>
      <c r="S286" s="117"/>
    </row>
    <row r="287" spans="1:19" ht="12.9">
      <c r="A287" s="117"/>
      <c r="B287" s="117"/>
      <c r="C287" s="117"/>
      <c r="D287" s="24"/>
      <c r="E287" s="24"/>
      <c r="F287" s="117"/>
      <c r="G287" s="117"/>
      <c r="H287" s="117"/>
      <c r="I287" s="117"/>
      <c r="J287" s="117"/>
      <c r="K287" s="117"/>
      <c r="L287" s="117"/>
      <c r="M287" s="117"/>
      <c r="N287" s="117"/>
      <c r="O287" s="117"/>
      <c r="P287" s="117"/>
      <c r="Q287" s="117"/>
      <c r="R287" s="117"/>
      <c r="S287" s="117"/>
    </row>
    <row r="288" spans="1:19" ht="12.9">
      <c r="A288" s="117"/>
      <c r="B288" s="117"/>
      <c r="C288" s="117"/>
      <c r="D288" s="24"/>
      <c r="E288" s="24"/>
      <c r="F288" s="117"/>
      <c r="G288" s="117"/>
      <c r="H288" s="117"/>
      <c r="I288" s="117"/>
      <c r="J288" s="117"/>
      <c r="K288" s="117"/>
      <c r="L288" s="117"/>
      <c r="M288" s="117"/>
      <c r="N288" s="117"/>
      <c r="O288" s="117"/>
      <c r="P288" s="117"/>
      <c r="Q288" s="117"/>
      <c r="R288" s="117"/>
      <c r="S288" s="117"/>
    </row>
    <row r="289" spans="1:19" ht="12.9">
      <c r="A289" s="117"/>
      <c r="B289" s="117"/>
      <c r="C289" s="117"/>
      <c r="D289" s="24"/>
      <c r="E289" s="24"/>
      <c r="F289" s="117"/>
      <c r="G289" s="117"/>
      <c r="H289" s="117"/>
      <c r="I289" s="117"/>
      <c r="J289" s="117"/>
      <c r="K289" s="117"/>
      <c r="L289" s="117"/>
      <c r="M289" s="117"/>
      <c r="N289" s="117"/>
      <c r="O289" s="117"/>
      <c r="P289" s="117"/>
      <c r="Q289" s="117"/>
      <c r="R289" s="117"/>
      <c r="S289" s="117"/>
    </row>
    <row r="290" spans="1:19" ht="12.9">
      <c r="A290" s="117"/>
      <c r="B290" s="117"/>
      <c r="C290" s="117"/>
      <c r="D290" s="24"/>
      <c r="E290" s="24"/>
      <c r="F290" s="117"/>
      <c r="G290" s="117"/>
      <c r="H290" s="117"/>
      <c r="I290" s="117"/>
      <c r="J290" s="117"/>
      <c r="K290" s="117"/>
      <c r="L290" s="117"/>
      <c r="M290" s="117"/>
      <c r="N290" s="117"/>
      <c r="O290" s="117"/>
      <c r="P290" s="117"/>
      <c r="Q290" s="117"/>
      <c r="R290" s="117"/>
      <c r="S290" s="117"/>
    </row>
    <row r="291" spans="1:19" ht="12.9">
      <c r="A291" s="117"/>
      <c r="B291" s="117"/>
      <c r="C291" s="117"/>
      <c r="D291" s="24"/>
      <c r="E291" s="24"/>
      <c r="F291" s="117"/>
      <c r="G291" s="117"/>
      <c r="H291" s="117"/>
      <c r="I291" s="117"/>
      <c r="J291" s="117"/>
      <c r="K291" s="117"/>
      <c r="L291" s="117"/>
      <c r="M291" s="117"/>
      <c r="N291" s="117"/>
      <c r="O291" s="117"/>
      <c r="P291" s="117"/>
      <c r="Q291" s="117"/>
      <c r="R291" s="117"/>
      <c r="S291" s="117"/>
    </row>
    <row r="292" spans="1:19" ht="12.9">
      <c r="A292" s="117"/>
      <c r="B292" s="117"/>
      <c r="C292" s="117"/>
      <c r="D292" s="24"/>
      <c r="E292" s="24"/>
      <c r="F292" s="117"/>
      <c r="G292" s="117"/>
      <c r="H292" s="117"/>
      <c r="I292" s="117"/>
      <c r="J292" s="117"/>
      <c r="K292" s="117"/>
      <c r="L292" s="117"/>
      <c r="M292" s="117"/>
      <c r="N292" s="117"/>
      <c r="O292" s="117"/>
      <c r="P292" s="117"/>
      <c r="Q292" s="117"/>
      <c r="R292" s="117"/>
      <c r="S292" s="117"/>
    </row>
    <row r="293" spans="1:19" ht="12.9">
      <c r="A293" s="117"/>
      <c r="B293" s="117"/>
      <c r="C293" s="117"/>
      <c r="D293" s="24"/>
      <c r="E293" s="24"/>
      <c r="F293" s="117"/>
      <c r="G293" s="117"/>
      <c r="H293" s="117"/>
      <c r="I293" s="117"/>
      <c r="J293" s="117"/>
      <c r="K293" s="117"/>
      <c r="L293" s="117"/>
      <c r="M293" s="117"/>
      <c r="N293" s="117"/>
      <c r="O293" s="117"/>
      <c r="P293" s="117"/>
      <c r="Q293" s="117"/>
      <c r="R293" s="117"/>
      <c r="S293" s="117"/>
    </row>
    <row r="294" spans="1:19" ht="12.9">
      <c r="A294" s="117"/>
      <c r="B294" s="117"/>
      <c r="C294" s="117"/>
      <c r="D294" s="24"/>
      <c r="E294" s="24"/>
      <c r="F294" s="117"/>
      <c r="G294" s="117"/>
      <c r="H294" s="117"/>
      <c r="I294" s="117"/>
      <c r="J294" s="117"/>
      <c r="K294" s="117"/>
      <c r="L294" s="117"/>
      <c r="M294" s="117"/>
      <c r="N294" s="117"/>
      <c r="O294" s="117"/>
      <c r="P294" s="117"/>
      <c r="Q294" s="117"/>
      <c r="R294" s="117"/>
      <c r="S294" s="117"/>
    </row>
    <row r="295" spans="1:19" ht="12.9">
      <c r="A295" s="117"/>
      <c r="B295" s="117"/>
      <c r="C295" s="117"/>
      <c r="D295" s="24"/>
      <c r="E295" s="24"/>
      <c r="F295" s="117"/>
      <c r="G295" s="117"/>
      <c r="H295" s="117"/>
      <c r="I295" s="117"/>
      <c r="J295" s="117"/>
      <c r="K295" s="117"/>
      <c r="L295" s="117"/>
      <c r="M295" s="117"/>
      <c r="N295" s="117"/>
      <c r="O295" s="117"/>
      <c r="P295" s="117"/>
      <c r="Q295" s="117"/>
      <c r="R295" s="117"/>
      <c r="S295" s="117"/>
    </row>
    <row r="296" spans="1:19" ht="12.9">
      <c r="A296" s="117"/>
      <c r="B296" s="117"/>
      <c r="C296" s="117"/>
      <c r="D296" s="24"/>
      <c r="E296" s="24"/>
      <c r="F296" s="117"/>
      <c r="G296" s="117"/>
      <c r="H296" s="117"/>
      <c r="I296" s="117"/>
      <c r="J296" s="117"/>
      <c r="K296" s="117"/>
      <c r="L296" s="117"/>
      <c r="M296" s="117"/>
      <c r="N296" s="117"/>
      <c r="O296" s="117"/>
      <c r="P296" s="117"/>
      <c r="Q296" s="117"/>
      <c r="R296" s="117"/>
      <c r="S296" s="117"/>
    </row>
    <row r="297" spans="1:19" ht="12.9">
      <c r="A297" s="117"/>
      <c r="B297" s="117"/>
      <c r="C297" s="117"/>
      <c r="D297" s="24"/>
      <c r="E297" s="24"/>
      <c r="F297" s="117"/>
      <c r="G297" s="117"/>
      <c r="H297" s="117"/>
      <c r="I297" s="117"/>
      <c r="J297" s="117"/>
      <c r="K297" s="117"/>
      <c r="L297" s="117"/>
      <c r="M297" s="117"/>
      <c r="N297" s="117"/>
      <c r="O297" s="117"/>
      <c r="P297" s="117"/>
      <c r="Q297" s="117"/>
      <c r="R297" s="117"/>
      <c r="S297" s="117"/>
    </row>
    <row r="298" spans="1:19" ht="12.9">
      <c r="A298" s="117"/>
      <c r="B298" s="117"/>
      <c r="C298" s="117"/>
      <c r="D298" s="24"/>
      <c r="E298" s="24"/>
      <c r="F298" s="117"/>
      <c r="G298" s="117"/>
      <c r="H298" s="117"/>
      <c r="I298" s="117"/>
      <c r="J298" s="117"/>
      <c r="K298" s="117"/>
      <c r="L298" s="117"/>
      <c r="M298" s="117"/>
      <c r="N298" s="117"/>
      <c r="O298" s="117"/>
      <c r="P298" s="117"/>
      <c r="Q298" s="117"/>
      <c r="R298" s="117"/>
      <c r="S298" s="117"/>
    </row>
    <row r="299" spans="1:19" ht="12.9">
      <c r="A299" s="117"/>
      <c r="B299" s="117"/>
      <c r="C299" s="117"/>
      <c r="D299" s="24"/>
      <c r="E299" s="24"/>
      <c r="F299" s="117"/>
      <c r="G299" s="117"/>
      <c r="H299" s="117"/>
      <c r="I299" s="117"/>
      <c r="J299" s="117"/>
      <c r="K299" s="117"/>
      <c r="L299" s="117"/>
      <c r="M299" s="117"/>
      <c r="N299" s="117"/>
      <c r="O299" s="117"/>
      <c r="P299" s="117"/>
      <c r="Q299" s="117"/>
      <c r="R299" s="117"/>
      <c r="S299" s="117"/>
    </row>
    <row r="300" spans="1:19" ht="12.9">
      <c r="A300" s="117"/>
      <c r="B300" s="117"/>
      <c r="C300" s="117"/>
      <c r="D300" s="24"/>
      <c r="E300" s="24"/>
      <c r="F300" s="117"/>
      <c r="G300" s="117"/>
      <c r="H300" s="117"/>
      <c r="I300" s="117"/>
      <c r="J300" s="117"/>
      <c r="K300" s="117"/>
      <c r="L300" s="117"/>
      <c r="M300" s="117"/>
      <c r="N300" s="117"/>
      <c r="O300" s="117"/>
      <c r="P300" s="117"/>
      <c r="Q300" s="117"/>
      <c r="R300" s="117"/>
      <c r="S300" s="117"/>
    </row>
    <row r="301" spans="1:19" ht="12.9">
      <c r="A301" s="117"/>
      <c r="B301" s="117"/>
      <c r="C301" s="117"/>
      <c r="D301" s="24"/>
      <c r="E301" s="24"/>
      <c r="F301" s="117"/>
      <c r="G301" s="117"/>
      <c r="H301" s="117"/>
      <c r="I301" s="117"/>
      <c r="J301" s="117"/>
      <c r="K301" s="117"/>
      <c r="L301" s="117"/>
      <c r="M301" s="117"/>
      <c r="N301" s="117"/>
      <c r="O301" s="117"/>
      <c r="P301" s="117"/>
      <c r="Q301" s="117"/>
      <c r="R301" s="117"/>
      <c r="S301" s="117"/>
    </row>
    <row r="302" spans="1:19" ht="12.9">
      <c r="A302" s="117"/>
      <c r="B302" s="117"/>
      <c r="C302" s="117"/>
      <c r="D302" s="24"/>
      <c r="E302" s="24"/>
      <c r="F302" s="117"/>
      <c r="G302" s="117"/>
      <c r="H302" s="117"/>
      <c r="I302" s="117"/>
      <c r="J302" s="117"/>
      <c r="K302" s="117"/>
      <c r="L302" s="117"/>
      <c r="M302" s="117"/>
      <c r="N302" s="117"/>
      <c r="O302" s="117"/>
      <c r="P302" s="117"/>
      <c r="Q302" s="117"/>
      <c r="R302" s="117"/>
      <c r="S302" s="117"/>
    </row>
    <row r="303" spans="1:19" ht="12.9">
      <c r="A303" s="117"/>
      <c r="B303" s="117"/>
      <c r="C303" s="117"/>
      <c r="D303" s="24"/>
      <c r="E303" s="24"/>
      <c r="F303" s="117"/>
      <c r="G303" s="117"/>
      <c r="H303" s="117"/>
      <c r="I303" s="117"/>
      <c r="J303" s="117"/>
      <c r="K303" s="117"/>
      <c r="L303" s="117"/>
      <c r="M303" s="117"/>
      <c r="N303" s="117"/>
      <c r="O303" s="117"/>
      <c r="P303" s="117"/>
      <c r="Q303" s="117"/>
      <c r="R303" s="117"/>
      <c r="S303" s="117"/>
    </row>
    <row r="304" spans="1:19" ht="12.9">
      <c r="A304" s="117"/>
      <c r="B304" s="117"/>
      <c r="C304" s="117"/>
      <c r="D304" s="24"/>
      <c r="E304" s="24"/>
      <c r="F304" s="117"/>
      <c r="G304" s="117"/>
      <c r="H304" s="117"/>
      <c r="I304" s="117"/>
      <c r="J304" s="117"/>
      <c r="K304" s="117"/>
      <c r="L304" s="117"/>
      <c r="M304" s="117"/>
      <c r="N304" s="117"/>
      <c r="O304" s="117"/>
      <c r="P304" s="117"/>
      <c r="Q304" s="117"/>
      <c r="R304" s="117"/>
      <c r="S304" s="117"/>
    </row>
    <row r="305" spans="1:19" ht="12.9">
      <c r="A305" s="117"/>
      <c r="B305" s="117"/>
      <c r="C305" s="117"/>
      <c r="D305" s="24"/>
      <c r="E305" s="24"/>
      <c r="F305" s="117"/>
      <c r="G305" s="117"/>
      <c r="H305" s="117"/>
      <c r="I305" s="117"/>
      <c r="J305" s="117"/>
      <c r="K305" s="117"/>
      <c r="L305" s="117"/>
      <c r="M305" s="117"/>
      <c r="N305" s="117"/>
      <c r="O305" s="117"/>
      <c r="P305" s="117"/>
      <c r="Q305" s="117"/>
      <c r="R305" s="117"/>
      <c r="S305" s="117"/>
    </row>
    <row r="306" spans="1:19" ht="12.9">
      <c r="A306" s="117"/>
      <c r="B306" s="117"/>
      <c r="C306" s="117"/>
      <c r="D306" s="24"/>
      <c r="E306" s="24"/>
      <c r="F306" s="117"/>
      <c r="G306" s="117"/>
      <c r="H306" s="117"/>
      <c r="I306" s="117"/>
      <c r="J306" s="117"/>
      <c r="K306" s="117"/>
      <c r="L306" s="117"/>
      <c r="M306" s="117"/>
      <c r="N306" s="117"/>
      <c r="O306" s="117"/>
      <c r="P306" s="117"/>
      <c r="Q306" s="117"/>
      <c r="R306" s="117"/>
      <c r="S306" s="117"/>
    </row>
    <row r="307" spans="1:19" ht="12.9">
      <c r="A307" s="117"/>
      <c r="B307" s="117"/>
      <c r="C307" s="117"/>
      <c r="D307" s="24"/>
      <c r="E307" s="24"/>
      <c r="F307" s="117"/>
      <c r="G307" s="117"/>
      <c r="H307" s="117"/>
      <c r="I307" s="117"/>
      <c r="J307" s="117"/>
      <c r="K307" s="117"/>
      <c r="L307" s="117"/>
      <c r="M307" s="117"/>
      <c r="N307" s="117"/>
      <c r="O307" s="117"/>
      <c r="P307" s="117"/>
      <c r="Q307" s="117"/>
      <c r="R307" s="117"/>
      <c r="S307" s="117"/>
    </row>
    <row r="308" spans="1:19" ht="12.9">
      <c r="A308" s="117"/>
      <c r="B308" s="117"/>
      <c r="C308" s="117"/>
      <c r="D308" s="24"/>
      <c r="E308" s="24"/>
      <c r="F308" s="117"/>
      <c r="G308" s="117"/>
      <c r="H308" s="117"/>
      <c r="I308" s="117"/>
      <c r="J308" s="117"/>
      <c r="K308" s="117"/>
      <c r="L308" s="117"/>
      <c r="M308" s="117"/>
      <c r="N308" s="117"/>
      <c r="O308" s="117"/>
      <c r="P308" s="117"/>
      <c r="Q308" s="117"/>
      <c r="R308" s="117"/>
      <c r="S308" s="117"/>
    </row>
    <row r="309" spans="1:19" ht="12.9">
      <c r="A309" s="117"/>
      <c r="B309" s="117"/>
      <c r="C309" s="117"/>
      <c r="D309" s="24"/>
      <c r="E309" s="24"/>
      <c r="F309" s="117"/>
      <c r="G309" s="117"/>
      <c r="H309" s="117"/>
      <c r="I309" s="117"/>
      <c r="J309" s="117"/>
      <c r="K309" s="117"/>
      <c r="L309" s="117"/>
      <c r="M309" s="117"/>
      <c r="N309" s="117"/>
      <c r="O309" s="117"/>
      <c r="P309" s="117"/>
      <c r="Q309" s="117"/>
      <c r="R309" s="117"/>
      <c r="S309" s="117"/>
    </row>
    <row r="310" spans="1:19" ht="12.9">
      <c r="A310" s="117"/>
      <c r="B310" s="117"/>
      <c r="C310" s="117"/>
      <c r="D310" s="24"/>
      <c r="E310" s="24"/>
      <c r="F310" s="117"/>
      <c r="G310" s="117"/>
      <c r="H310" s="117"/>
      <c r="I310" s="117"/>
      <c r="J310" s="117"/>
      <c r="K310" s="117"/>
      <c r="L310" s="117"/>
      <c r="M310" s="117"/>
      <c r="N310" s="117"/>
      <c r="O310" s="117"/>
      <c r="P310" s="117"/>
      <c r="Q310" s="117"/>
      <c r="R310" s="117"/>
      <c r="S310" s="117"/>
    </row>
    <row r="311" spans="1:19" ht="12.9">
      <c r="A311" s="117"/>
      <c r="B311" s="117"/>
      <c r="C311" s="117"/>
      <c r="D311" s="24"/>
      <c r="E311" s="24"/>
      <c r="F311" s="117"/>
      <c r="G311" s="117"/>
      <c r="H311" s="117"/>
      <c r="I311" s="117"/>
      <c r="J311" s="117"/>
      <c r="K311" s="117"/>
      <c r="L311" s="117"/>
      <c r="M311" s="117"/>
      <c r="N311" s="117"/>
      <c r="O311" s="117"/>
      <c r="P311" s="117"/>
      <c r="Q311" s="117"/>
      <c r="R311" s="117"/>
      <c r="S311" s="117"/>
    </row>
    <row r="312" spans="1:19" ht="12.9">
      <c r="A312" s="117"/>
      <c r="B312" s="117"/>
      <c r="C312" s="117"/>
      <c r="D312" s="24"/>
      <c r="E312" s="24"/>
      <c r="F312" s="117"/>
      <c r="G312" s="117"/>
      <c r="H312" s="117"/>
      <c r="I312" s="117"/>
      <c r="J312" s="117"/>
      <c r="K312" s="117"/>
      <c r="L312" s="117"/>
      <c r="M312" s="117"/>
      <c r="N312" s="117"/>
      <c r="O312" s="117"/>
      <c r="P312" s="117"/>
      <c r="Q312" s="117"/>
      <c r="R312" s="117"/>
      <c r="S312" s="117"/>
    </row>
    <row r="313" spans="1:19" ht="12.9">
      <c r="A313" s="117"/>
      <c r="B313" s="117"/>
      <c r="C313" s="117"/>
      <c r="D313" s="24"/>
      <c r="E313" s="24"/>
      <c r="F313" s="117"/>
      <c r="G313" s="117"/>
      <c r="H313" s="117"/>
      <c r="I313" s="117"/>
      <c r="J313" s="117"/>
      <c r="K313" s="117"/>
      <c r="L313" s="117"/>
      <c r="M313" s="117"/>
      <c r="N313" s="117"/>
      <c r="O313" s="117"/>
      <c r="P313" s="117"/>
      <c r="Q313" s="117"/>
      <c r="R313" s="117"/>
      <c r="S313" s="117"/>
    </row>
    <row r="314" spans="1:19" ht="12.9">
      <c r="A314" s="117"/>
      <c r="B314" s="117"/>
      <c r="C314" s="117"/>
      <c r="D314" s="24"/>
      <c r="E314" s="24"/>
      <c r="F314" s="117"/>
      <c r="G314" s="117"/>
      <c r="H314" s="117"/>
      <c r="I314" s="117"/>
      <c r="J314" s="117"/>
      <c r="K314" s="117"/>
      <c r="L314" s="117"/>
      <c r="M314" s="117"/>
      <c r="N314" s="117"/>
      <c r="O314" s="117"/>
      <c r="P314" s="117"/>
      <c r="Q314" s="117"/>
      <c r="R314" s="117"/>
      <c r="S314" s="117"/>
    </row>
    <row r="315" spans="1:19" ht="12.9">
      <c r="A315" s="117"/>
      <c r="B315" s="117"/>
      <c r="C315" s="117"/>
      <c r="D315" s="24"/>
      <c r="E315" s="24"/>
      <c r="F315" s="117"/>
      <c r="G315" s="117"/>
      <c r="H315" s="117"/>
      <c r="I315" s="117"/>
      <c r="J315" s="117"/>
      <c r="K315" s="117"/>
      <c r="L315" s="117"/>
      <c r="M315" s="117"/>
      <c r="N315" s="117"/>
      <c r="O315" s="117"/>
      <c r="P315" s="117"/>
      <c r="Q315" s="117"/>
      <c r="R315" s="117"/>
      <c r="S315" s="117"/>
    </row>
    <row r="316" spans="1:19" ht="12.9">
      <c r="A316" s="117"/>
      <c r="B316" s="117"/>
      <c r="C316" s="117"/>
      <c r="D316" s="24"/>
      <c r="E316" s="24"/>
      <c r="F316" s="117"/>
      <c r="G316" s="117"/>
      <c r="H316" s="117"/>
      <c r="I316" s="117"/>
      <c r="J316" s="117"/>
      <c r="K316" s="117"/>
      <c r="L316" s="117"/>
      <c r="M316" s="117"/>
      <c r="N316" s="117"/>
      <c r="O316" s="117"/>
      <c r="P316" s="117"/>
      <c r="Q316" s="117"/>
      <c r="R316" s="117"/>
      <c r="S316" s="117"/>
    </row>
    <row r="317" spans="1:19" ht="12.9">
      <c r="A317" s="117"/>
      <c r="B317" s="117"/>
      <c r="C317" s="117"/>
      <c r="D317" s="24"/>
      <c r="E317" s="24"/>
      <c r="F317" s="117"/>
      <c r="G317" s="117"/>
      <c r="H317" s="117"/>
      <c r="I317" s="117"/>
      <c r="J317" s="117"/>
      <c r="K317" s="117"/>
      <c r="L317" s="117"/>
      <c r="M317" s="117"/>
      <c r="N317" s="117"/>
      <c r="O317" s="117"/>
      <c r="P317" s="117"/>
      <c r="Q317" s="117"/>
      <c r="R317" s="117"/>
      <c r="S317" s="117"/>
    </row>
    <row r="318" spans="1:19" ht="12.9">
      <c r="A318" s="117"/>
      <c r="B318" s="117"/>
      <c r="C318" s="117"/>
      <c r="D318" s="24"/>
      <c r="E318" s="24"/>
      <c r="F318" s="117"/>
      <c r="G318" s="117"/>
      <c r="H318" s="117"/>
      <c r="I318" s="117"/>
      <c r="J318" s="117"/>
      <c r="K318" s="117"/>
      <c r="L318" s="117"/>
      <c r="M318" s="117"/>
      <c r="N318" s="117"/>
      <c r="O318" s="117"/>
      <c r="P318" s="117"/>
      <c r="Q318" s="117"/>
      <c r="R318" s="117"/>
      <c r="S318" s="117"/>
    </row>
    <row r="319" spans="1:19" ht="12.9">
      <c r="A319" s="117"/>
      <c r="B319" s="117"/>
      <c r="C319" s="117"/>
      <c r="D319" s="24"/>
      <c r="E319" s="24"/>
      <c r="F319" s="117"/>
      <c r="G319" s="117"/>
      <c r="H319" s="117"/>
      <c r="I319" s="117"/>
      <c r="J319" s="117"/>
      <c r="K319" s="117"/>
      <c r="L319" s="117"/>
      <c r="M319" s="117"/>
      <c r="N319" s="117"/>
      <c r="O319" s="117"/>
      <c r="P319" s="117"/>
      <c r="Q319" s="117"/>
      <c r="R319" s="117"/>
      <c r="S319" s="117"/>
    </row>
    <row r="320" spans="1:19" ht="12.9">
      <c r="A320" s="117"/>
      <c r="B320" s="117"/>
      <c r="C320" s="117"/>
      <c r="D320" s="24"/>
      <c r="E320" s="24"/>
      <c r="F320" s="117"/>
      <c r="G320" s="117"/>
      <c r="H320" s="117"/>
      <c r="I320" s="117"/>
      <c r="J320" s="117"/>
      <c r="K320" s="117"/>
      <c r="L320" s="117"/>
      <c r="M320" s="117"/>
      <c r="N320" s="117"/>
      <c r="O320" s="117"/>
      <c r="P320" s="117"/>
      <c r="Q320" s="117"/>
      <c r="R320" s="117"/>
      <c r="S320" s="117"/>
    </row>
    <row r="321" spans="1:19" ht="12.9">
      <c r="A321" s="117"/>
      <c r="B321" s="117"/>
      <c r="C321" s="117"/>
      <c r="D321" s="24"/>
      <c r="E321" s="24"/>
      <c r="F321" s="117"/>
      <c r="G321" s="117"/>
      <c r="H321" s="117"/>
      <c r="I321" s="117"/>
      <c r="J321" s="117"/>
      <c r="K321" s="117"/>
      <c r="L321" s="117"/>
      <c r="M321" s="117"/>
      <c r="N321" s="117"/>
      <c r="O321" s="117"/>
      <c r="P321" s="117"/>
      <c r="Q321" s="117"/>
      <c r="R321" s="117"/>
      <c r="S321" s="117"/>
    </row>
    <row r="322" spans="1:19" ht="12.9">
      <c r="A322" s="117"/>
      <c r="B322" s="117"/>
      <c r="C322" s="117"/>
      <c r="D322" s="24"/>
      <c r="E322" s="24"/>
      <c r="F322" s="117"/>
      <c r="G322" s="117"/>
      <c r="H322" s="117"/>
      <c r="I322" s="117"/>
      <c r="J322" s="117"/>
      <c r="K322" s="117"/>
      <c r="L322" s="117"/>
      <c r="M322" s="117"/>
      <c r="N322" s="117"/>
      <c r="O322" s="117"/>
      <c r="P322" s="117"/>
      <c r="Q322" s="117"/>
      <c r="R322" s="117"/>
      <c r="S322" s="117"/>
    </row>
    <row r="323" spans="1:19" ht="12.9">
      <c r="A323" s="117"/>
      <c r="B323" s="117"/>
      <c r="C323" s="117"/>
      <c r="D323" s="24"/>
      <c r="E323" s="24"/>
      <c r="F323" s="117"/>
      <c r="G323" s="117"/>
      <c r="H323" s="117"/>
      <c r="I323" s="117"/>
      <c r="J323" s="117"/>
      <c r="K323" s="117"/>
      <c r="L323" s="117"/>
      <c r="M323" s="117"/>
      <c r="N323" s="117"/>
      <c r="O323" s="117"/>
      <c r="P323" s="117"/>
      <c r="Q323" s="117"/>
      <c r="R323" s="117"/>
      <c r="S323" s="117"/>
    </row>
    <row r="324" spans="1:19" ht="12.9">
      <c r="A324" s="117"/>
      <c r="B324" s="117"/>
      <c r="C324" s="117"/>
      <c r="D324" s="24"/>
      <c r="E324" s="24"/>
      <c r="F324" s="117"/>
      <c r="G324" s="117"/>
      <c r="H324" s="117"/>
      <c r="I324" s="117"/>
      <c r="J324" s="117"/>
      <c r="K324" s="117"/>
      <c r="L324" s="117"/>
      <c r="M324" s="117"/>
      <c r="N324" s="117"/>
      <c r="O324" s="117"/>
      <c r="P324" s="117"/>
      <c r="Q324" s="117"/>
      <c r="R324" s="117"/>
      <c r="S324" s="117"/>
    </row>
    <row r="325" spans="1:19" ht="12.9">
      <c r="A325" s="117"/>
      <c r="B325" s="117"/>
      <c r="C325" s="117"/>
      <c r="D325" s="24"/>
      <c r="E325" s="24"/>
      <c r="F325" s="117"/>
      <c r="G325" s="117"/>
      <c r="H325" s="117"/>
      <c r="I325" s="117"/>
      <c r="J325" s="117"/>
      <c r="K325" s="117"/>
      <c r="L325" s="117"/>
      <c r="M325" s="117"/>
      <c r="N325" s="117"/>
      <c r="O325" s="117"/>
      <c r="P325" s="117"/>
      <c r="Q325" s="117"/>
      <c r="R325" s="117"/>
      <c r="S325" s="117"/>
    </row>
    <row r="326" spans="1:19" ht="12.9">
      <c r="A326" s="117"/>
      <c r="B326" s="117"/>
      <c r="C326" s="117"/>
      <c r="D326" s="24"/>
      <c r="E326" s="24"/>
      <c r="F326" s="117"/>
      <c r="G326" s="117"/>
      <c r="H326" s="117"/>
      <c r="I326" s="117"/>
      <c r="J326" s="117"/>
      <c r="K326" s="117"/>
      <c r="L326" s="117"/>
      <c r="M326" s="117"/>
      <c r="N326" s="117"/>
      <c r="O326" s="117"/>
      <c r="P326" s="117"/>
      <c r="Q326" s="117"/>
      <c r="R326" s="117"/>
      <c r="S326" s="117"/>
    </row>
    <row r="327" spans="1:19" ht="12.9">
      <c r="A327" s="117"/>
      <c r="B327" s="117"/>
      <c r="C327" s="117"/>
      <c r="D327" s="24"/>
      <c r="E327" s="24"/>
      <c r="F327" s="117"/>
      <c r="G327" s="117"/>
      <c r="H327" s="117"/>
      <c r="I327" s="117"/>
      <c r="J327" s="117"/>
      <c r="K327" s="117"/>
      <c r="L327" s="117"/>
      <c r="M327" s="117"/>
      <c r="N327" s="117"/>
      <c r="O327" s="117"/>
      <c r="P327" s="117"/>
      <c r="Q327" s="117"/>
      <c r="R327" s="117"/>
      <c r="S327" s="117"/>
    </row>
    <row r="328" spans="1:19" ht="12.9">
      <c r="A328" s="117"/>
      <c r="B328" s="117"/>
      <c r="C328" s="117"/>
      <c r="D328" s="24"/>
      <c r="E328" s="24"/>
      <c r="F328" s="117"/>
      <c r="G328" s="117"/>
      <c r="H328" s="117"/>
      <c r="I328" s="117"/>
      <c r="J328" s="117"/>
      <c r="K328" s="117"/>
      <c r="L328" s="117"/>
      <c r="M328" s="117"/>
      <c r="N328" s="117"/>
      <c r="O328" s="117"/>
      <c r="P328" s="117"/>
      <c r="Q328" s="117"/>
      <c r="R328" s="117"/>
      <c r="S328" s="117"/>
    </row>
    <row r="329" spans="1:19" ht="12.9">
      <c r="A329" s="117"/>
      <c r="B329" s="117"/>
      <c r="C329" s="117"/>
      <c r="D329" s="24"/>
      <c r="E329" s="24"/>
      <c r="F329" s="117"/>
      <c r="G329" s="117"/>
      <c r="H329" s="117"/>
      <c r="I329" s="117"/>
      <c r="J329" s="117"/>
      <c r="K329" s="117"/>
      <c r="L329" s="117"/>
      <c r="M329" s="117"/>
      <c r="N329" s="117"/>
      <c r="O329" s="117"/>
      <c r="P329" s="117"/>
      <c r="Q329" s="117"/>
      <c r="R329" s="117"/>
      <c r="S329" s="117"/>
    </row>
    <row r="330" spans="1:19" ht="12.9">
      <c r="A330" s="117"/>
      <c r="B330" s="117"/>
      <c r="C330" s="117"/>
      <c r="D330" s="24"/>
      <c r="E330" s="24"/>
      <c r="F330" s="117"/>
      <c r="G330" s="117"/>
      <c r="H330" s="117"/>
      <c r="I330" s="117"/>
      <c r="J330" s="117"/>
      <c r="K330" s="117"/>
      <c r="L330" s="117"/>
      <c r="M330" s="117"/>
      <c r="N330" s="117"/>
      <c r="O330" s="117"/>
      <c r="P330" s="117"/>
      <c r="Q330" s="117"/>
      <c r="R330" s="117"/>
      <c r="S330" s="117"/>
    </row>
    <row r="331" spans="1:19" ht="12.9">
      <c r="A331" s="117"/>
      <c r="B331" s="117"/>
      <c r="C331" s="117"/>
      <c r="D331" s="24"/>
      <c r="E331" s="24"/>
      <c r="F331" s="117"/>
      <c r="G331" s="117"/>
      <c r="H331" s="117"/>
      <c r="I331" s="117"/>
      <c r="J331" s="117"/>
      <c r="K331" s="117"/>
      <c r="L331" s="117"/>
      <c r="M331" s="117"/>
      <c r="N331" s="117"/>
      <c r="O331" s="117"/>
      <c r="P331" s="117"/>
      <c r="Q331" s="117"/>
      <c r="R331" s="117"/>
      <c r="S331" s="117"/>
    </row>
    <row r="332" spans="1:19" ht="12.9">
      <c r="A332" s="117"/>
      <c r="B332" s="117"/>
      <c r="C332" s="117"/>
      <c r="D332" s="24"/>
      <c r="E332" s="24"/>
      <c r="F332" s="117"/>
      <c r="G332" s="117"/>
      <c r="H332" s="117"/>
      <c r="I332" s="117"/>
      <c r="J332" s="117"/>
      <c r="K332" s="117"/>
      <c r="L332" s="117"/>
      <c r="M332" s="117"/>
      <c r="N332" s="117"/>
      <c r="O332" s="117"/>
      <c r="P332" s="117"/>
      <c r="Q332" s="117"/>
      <c r="R332" s="117"/>
      <c r="S332" s="117"/>
    </row>
    <row r="333" spans="1:19" ht="12.9">
      <c r="A333" s="117"/>
      <c r="B333" s="117"/>
      <c r="C333" s="117"/>
      <c r="D333" s="24"/>
      <c r="E333" s="24"/>
      <c r="F333" s="117"/>
      <c r="G333" s="117"/>
      <c r="H333" s="117"/>
      <c r="I333" s="117"/>
      <c r="J333" s="117"/>
      <c r="K333" s="117"/>
      <c r="L333" s="117"/>
      <c r="M333" s="117"/>
      <c r="N333" s="117"/>
      <c r="O333" s="117"/>
      <c r="P333" s="117"/>
      <c r="Q333" s="117"/>
      <c r="R333" s="117"/>
      <c r="S333" s="117"/>
    </row>
    <row r="334" spans="1:19" ht="12.9">
      <c r="A334" s="117"/>
      <c r="B334" s="117"/>
      <c r="C334" s="117"/>
      <c r="D334" s="24"/>
      <c r="E334" s="24"/>
      <c r="F334" s="117"/>
      <c r="G334" s="117"/>
      <c r="H334" s="117"/>
      <c r="I334" s="117"/>
      <c r="J334" s="117"/>
      <c r="K334" s="117"/>
      <c r="L334" s="117"/>
      <c r="M334" s="117"/>
      <c r="N334" s="117"/>
      <c r="O334" s="117"/>
      <c r="P334" s="117"/>
      <c r="Q334" s="117"/>
      <c r="R334" s="117"/>
      <c r="S334" s="117"/>
    </row>
    <row r="335" spans="1:19" ht="12.9">
      <c r="A335" s="117"/>
      <c r="B335" s="117"/>
      <c r="C335" s="117"/>
      <c r="D335" s="24"/>
      <c r="E335" s="24"/>
      <c r="F335" s="117"/>
      <c r="G335" s="117"/>
      <c r="H335" s="117"/>
      <c r="I335" s="117"/>
      <c r="J335" s="117"/>
      <c r="K335" s="117"/>
      <c r="L335" s="117"/>
      <c r="M335" s="117"/>
      <c r="N335" s="117"/>
      <c r="O335" s="117"/>
      <c r="P335" s="117"/>
      <c r="Q335" s="117"/>
      <c r="R335" s="117"/>
      <c r="S335" s="117"/>
    </row>
    <row r="336" spans="1:19" ht="12.9">
      <c r="A336" s="117"/>
      <c r="B336" s="117"/>
      <c r="C336" s="117"/>
      <c r="D336" s="24"/>
      <c r="E336" s="24"/>
      <c r="F336" s="117"/>
      <c r="G336" s="117"/>
      <c r="H336" s="117"/>
      <c r="I336" s="117"/>
      <c r="J336" s="117"/>
      <c r="K336" s="117"/>
      <c r="L336" s="117"/>
      <c r="M336" s="117"/>
      <c r="N336" s="117"/>
      <c r="O336" s="117"/>
      <c r="P336" s="117"/>
      <c r="Q336" s="117"/>
      <c r="R336" s="117"/>
      <c r="S336" s="117"/>
    </row>
    <row r="337" spans="1:19" ht="12.9">
      <c r="A337" s="117"/>
      <c r="B337" s="117"/>
      <c r="C337" s="117"/>
      <c r="D337" s="24"/>
      <c r="E337" s="24"/>
      <c r="F337" s="117"/>
      <c r="G337" s="117"/>
      <c r="H337" s="117"/>
      <c r="I337" s="117"/>
      <c r="J337" s="117"/>
      <c r="K337" s="117"/>
      <c r="L337" s="117"/>
      <c r="M337" s="117"/>
      <c r="N337" s="117"/>
      <c r="O337" s="117"/>
      <c r="P337" s="117"/>
      <c r="Q337" s="117"/>
      <c r="R337" s="117"/>
      <c r="S337" s="117"/>
    </row>
    <row r="338" spans="1:19" ht="12.9">
      <c r="A338" s="117"/>
      <c r="B338" s="117"/>
      <c r="C338" s="117"/>
      <c r="D338" s="24"/>
      <c r="E338" s="24"/>
      <c r="F338" s="117"/>
      <c r="G338" s="117"/>
      <c r="H338" s="117"/>
      <c r="I338" s="117"/>
      <c r="J338" s="117"/>
      <c r="K338" s="117"/>
      <c r="L338" s="117"/>
      <c r="M338" s="117"/>
      <c r="N338" s="117"/>
      <c r="O338" s="117"/>
      <c r="P338" s="117"/>
      <c r="Q338" s="117"/>
      <c r="R338" s="117"/>
      <c r="S338" s="117"/>
    </row>
    <row r="339" spans="1:19" ht="12.9">
      <c r="A339" s="117"/>
      <c r="B339" s="117"/>
      <c r="C339" s="117"/>
      <c r="D339" s="24"/>
      <c r="E339" s="24"/>
      <c r="F339" s="117"/>
      <c r="G339" s="117"/>
      <c r="H339" s="117"/>
      <c r="I339" s="117"/>
      <c r="J339" s="117"/>
      <c r="K339" s="117"/>
      <c r="L339" s="117"/>
      <c r="M339" s="117"/>
      <c r="N339" s="117"/>
      <c r="O339" s="117"/>
      <c r="P339" s="117"/>
      <c r="Q339" s="117"/>
      <c r="R339" s="117"/>
      <c r="S339" s="117"/>
    </row>
    <row r="340" spans="1:19" ht="12.9">
      <c r="A340" s="117"/>
      <c r="B340" s="117"/>
      <c r="C340" s="117"/>
      <c r="D340" s="24"/>
      <c r="E340" s="24"/>
      <c r="F340" s="117"/>
      <c r="G340" s="117"/>
      <c r="H340" s="117"/>
      <c r="I340" s="117"/>
      <c r="J340" s="117"/>
      <c r="K340" s="117"/>
      <c r="L340" s="117"/>
      <c r="M340" s="117"/>
      <c r="N340" s="117"/>
      <c r="O340" s="117"/>
      <c r="P340" s="117"/>
      <c r="Q340" s="117"/>
      <c r="R340" s="117"/>
      <c r="S340" s="117"/>
    </row>
    <row r="341" spans="1:19" ht="12.9">
      <c r="A341" s="117"/>
      <c r="B341" s="117"/>
      <c r="C341" s="117"/>
      <c r="D341" s="24"/>
      <c r="E341" s="24"/>
      <c r="F341" s="117"/>
      <c r="G341" s="117"/>
      <c r="H341" s="117"/>
      <c r="I341" s="117"/>
      <c r="J341" s="117"/>
      <c r="K341" s="117"/>
      <c r="L341" s="117"/>
      <c r="M341" s="117"/>
      <c r="N341" s="117"/>
      <c r="O341" s="117"/>
      <c r="P341" s="117"/>
      <c r="Q341" s="117"/>
      <c r="R341" s="117"/>
      <c r="S341" s="117"/>
    </row>
    <row r="342" spans="1:19" ht="12.9">
      <c r="A342" s="117"/>
      <c r="B342" s="117"/>
      <c r="C342" s="117"/>
      <c r="D342" s="24"/>
      <c r="E342" s="24"/>
      <c r="F342" s="117"/>
      <c r="G342" s="117"/>
      <c r="H342" s="117"/>
      <c r="I342" s="117"/>
      <c r="J342" s="117"/>
      <c r="K342" s="117"/>
      <c r="L342" s="117"/>
      <c r="M342" s="117"/>
      <c r="N342" s="117"/>
      <c r="O342" s="117"/>
      <c r="P342" s="117"/>
      <c r="Q342" s="117"/>
      <c r="R342" s="117"/>
      <c r="S342" s="117"/>
    </row>
    <row r="343" spans="1:19" ht="12.9">
      <c r="A343" s="117"/>
      <c r="B343" s="117"/>
      <c r="C343" s="117"/>
      <c r="D343" s="24"/>
      <c r="E343" s="24"/>
      <c r="F343" s="117"/>
      <c r="G343" s="117"/>
      <c r="H343" s="117"/>
      <c r="I343" s="117"/>
      <c r="J343" s="117"/>
      <c r="K343" s="117"/>
      <c r="L343" s="117"/>
      <c r="M343" s="117"/>
      <c r="N343" s="117"/>
      <c r="O343" s="117"/>
      <c r="P343" s="117"/>
      <c r="Q343" s="117"/>
      <c r="R343" s="117"/>
      <c r="S343" s="117"/>
    </row>
    <row r="344" spans="1:19" ht="12.9">
      <c r="A344" s="117"/>
      <c r="B344" s="117"/>
      <c r="C344" s="117"/>
      <c r="D344" s="24"/>
      <c r="E344" s="24"/>
      <c r="F344" s="117"/>
      <c r="G344" s="117"/>
      <c r="H344" s="117"/>
      <c r="I344" s="117"/>
      <c r="J344" s="117"/>
      <c r="K344" s="117"/>
      <c r="L344" s="117"/>
      <c r="M344" s="117"/>
      <c r="N344" s="117"/>
      <c r="O344" s="117"/>
      <c r="P344" s="117"/>
      <c r="Q344" s="117"/>
      <c r="R344" s="117"/>
      <c r="S344" s="117"/>
    </row>
    <row r="345" spans="1:19" ht="12.9">
      <c r="A345" s="117"/>
      <c r="B345" s="117"/>
      <c r="C345" s="117"/>
      <c r="D345" s="24"/>
      <c r="E345" s="24"/>
      <c r="F345" s="117"/>
      <c r="G345" s="117"/>
      <c r="H345" s="117"/>
      <c r="I345" s="117"/>
      <c r="J345" s="117"/>
      <c r="K345" s="117"/>
      <c r="L345" s="117"/>
      <c r="M345" s="117"/>
      <c r="N345" s="117"/>
      <c r="O345" s="117"/>
      <c r="P345" s="117"/>
      <c r="Q345" s="117"/>
      <c r="R345" s="117"/>
      <c r="S345" s="117"/>
    </row>
    <row r="346" spans="1:19" ht="12.9">
      <c r="A346" s="117"/>
      <c r="B346" s="117"/>
      <c r="C346" s="117"/>
      <c r="D346" s="24"/>
      <c r="E346" s="24"/>
      <c r="F346" s="117"/>
      <c r="G346" s="117"/>
      <c r="H346" s="117"/>
      <c r="I346" s="117"/>
      <c r="J346" s="117"/>
      <c r="K346" s="117"/>
      <c r="L346" s="117"/>
      <c r="M346" s="117"/>
      <c r="N346" s="117"/>
      <c r="O346" s="117"/>
      <c r="P346" s="117"/>
      <c r="Q346" s="117"/>
      <c r="R346" s="117"/>
      <c r="S346" s="117"/>
    </row>
    <row r="347" spans="1:19" ht="12.9">
      <c r="A347" s="117"/>
      <c r="B347" s="117"/>
      <c r="C347" s="117"/>
      <c r="D347" s="24"/>
      <c r="E347" s="24"/>
      <c r="F347" s="117"/>
      <c r="G347" s="117"/>
      <c r="H347" s="117"/>
      <c r="I347" s="117"/>
      <c r="J347" s="117"/>
      <c r="K347" s="117"/>
      <c r="L347" s="117"/>
      <c r="M347" s="117"/>
      <c r="N347" s="117"/>
      <c r="O347" s="117"/>
      <c r="P347" s="117"/>
      <c r="Q347" s="117"/>
      <c r="R347" s="117"/>
      <c r="S347" s="117"/>
    </row>
    <row r="348" spans="1:19" ht="12.9">
      <c r="A348" s="117"/>
      <c r="B348" s="117"/>
      <c r="C348" s="117"/>
      <c r="D348" s="24"/>
      <c r="E348" s="24"/>
      <c r="F348" s="117"/>
      <c r="G348" s="117"/>
      <c r="H348" s="117"/>
      <c r="I348" s="117"/>
      <c r="J348" s="117"/>
      <c r="K348" s="117"/>
      <c r="L348" s="117"/>
      <c r="M348" s="117"/>
      <c r="N348" s="117"/>
      <c r="O348" s="117"/>
      <c r="P348" s="117"/>
      <c r="Q348" s="117"/>
      <c r="R348" s="117"/>
      <c r="S348" s="117"/>
    </row>
    <row r="349" spans="1:19" ht="12.9">
      <c r="A349" s="117"/>
      <c r="B349" s="117"/>
      <c r="C349" s="117"/>
      <c r="D349" s="24"/>
      <c r="E349" s="24"/>
      <c r="F349" s="117"/>
      <c r="G349" s="117"/>
      <c r="H349" s="117"/>
      <c r="I349" s="117"/>
      <c r="J349" s="117"/>
      <c r="K349" s="117"/>
      <c r="L349" s="117"/>
      <c r="M349" s="117"/>
      <c r="N349" s="117"/>
      <c r="O349" s="117"/>
      <c r="P349" s="117"/>
      <c r="Q349" s="117"/>
      <c r="R349" s="117"/>
      <c r="S349" s="117"/>
    </row>
    <row r="350" spans="1:19" ht="12.9">
      <c r="A350" s="117"/>
      <c r="B350" s="117"/>
      <c r="C350" s="117"/>
      <c r="D350" s="24"/>
      <c r="E350" s="24"/>
      <c r="F350" s="117"/>
      <c r="G350" s="117"/>
      <c r="H350" s="117"/>
      <c r="I350" s="117"/>
      <c r="J350" s="117"/>
      <c r="K350" s="117"/>
      <c r="L350" s="117"/>
      <c r="M350" s="117"/>
      <c r="N350" s="117"/>
      <c r="O350" s="117"/>
      <c r="P350" s="117"/>
      <c r="Q350" s="117"/>
      <c r="R350" s="117"/>
      <c r="S350" s="117"/>
    </row>
    <row r="351" spans="1:19" ht="12.9">
      <c r="A351" s="117"/>
      <c r="B351" s="117"/>
      <c r="C351" s="117"/>
      <c r="D351" s="24"/>
      <c r="E351" s="24"/>
      <c r="F351" s="117"/>
      <c r="G351" s="117"/>
      <c r="H351" s="117"/>
      <c r="I351" s="117"/>
      <c r="J351" s="117"/>
      <c r="K351" s="117"/>
      <c r="L351" s="117"/>
      <c r="M351" s="117"/>
      <c r="N351" s="117"/>
      <c r="O351" s="117"/>
      <c r="P351" s="117"/>
      <c r="Q351" s="117"/>
      <c r="R351" s="117"/>
      <c r="S351" s="117"/>
    </row>
    <row r="352" spans="1:19" ht="12.9">
      <c r="A352" s="117"/>
      <c r="B352" s="117"/>
      <c r="C352" s="117"/>
      <c r="D352" s="24"/>
      <c r="E352" s="24"/>
      <c r="F352" s="117"/>
      <c r="G352" s="117"/>
      <c r="H352" s="117"/>
      <c r="I352" s="117"/>
      <c r="J352" s="117"/>
      <c r="K352" s="117"/>
      <c r="L352" s="117"/>
      <c r="M352" s="117"/>
      <c r="N352" s="117"/>
      <c r="O352" s="117"/>
      <c r="P352" s="117"/>
      <c r="Q352" s="117"/>
      <c r="R352" s="117"/>
      <c r="S352" s="117"/>
    </row>
    <row r="353" spans="1:19" ht="12.9">
      <c r="A353" s="117"/>
      <c r="B353" s="117"/>
      <c r="C353" s="117"/>
      <c r="D353" s="24"/>
      <c r="E353" s="24"/>
      <c r="F353" s="117"/>
      <c r="G353" s="117"/>
      <c r="H353" s="117"/>
      <c r="I353" s="117"/>
      <c r="J353" s="117"/>
      <c r="K353" s="117"/>
      <c r="L353" s="117"/>
      <c r="M353" s="117"/>
      <c r="N353" s="117"/>
      <c r="O353" s="117"/>
      <c r="P353" s="117"/>
      <c r="Q353" s="117"/>
      <c r="R353" s="117"/>
      <c r="S353" s="117"/>
    </row>
    <row r="354" spans="1:19" ht="12.9">
      <c r="A354" s="117"/>
      <c r="B354" s="117"/>
      <c r="C354" s="117"/>
      <c r="D354" s="24"/>
      <c r="E354" s="24"/>
      <c r="F354" s="117"/>
      <c r="G354" s="117"/>
      <c r="H354" s="117"/>
      <c r="I354" s="117"/>
      <c r="J354" s="117"/>
      <c r="K354" s="117"/>
      <c r="L354" s="117"/>
      <c r="M354" s="117"/>
      <c r="N354" s="117"/>
      <c r="O354" s="117"/>
      <c r="P354" s="117"/>
      <c r="Q354" s="117"/>
      <c r="R354" s="117"/>
      <c r="S354" s="117"/>
    </row>
    <row r="355" spans="1:19" ht="12.9">
      <c r="A355" s="117"/>
      <c r="B355" s="117"/>
      <c r="C355" s="117"/>
      <c r="D355" s="24"/>
      <c r="E355" s="24"/>
      <c r="F355" s="117"/>
      <c r="G355" s="117"/>
      <c r="H355" s="117"/>
      <c r="I355" s="117"/>
      <c r="J355" s="117"/>
      <c r="K355" s="117"/>
      <c r="L355" s="117"/>
      <c r="M355" s="117"/>
      <c r="N355" s="117"/>
      <c r="O355" s="117"/>
      <c r="P355" s="117"/>
      <c r="Q355" s="117"/>
      <c r="R355" s="117"/>
      <c r="S355" s="117"/>
    </row>
    <row r="356" spans="1:19" ht="12.9">
      <c r="A356" s="117"/>
      <c r="B356" s="117"/>
      <c r="C356" s="117"/>
      <c r="D356" s="24"/>
      <c r="E356" s="24"/>
      <c r="F356" s="117"/>
      <c r="G356" s="117"/>
      <c r="H356" s="117"/>
      <c r="I356" s="117"/>
      <c r="J356" s="117"/>
      <c r="K356" s="117"/>
      <c r="L356" s="117"/>
      <c r="M356" s="117"/>
      <c r="N356" s="117"/>
      <c r="O356" s="117"/>
      <c r="P356" s="117"/>
      <c r="Q356" s="117"/>
      <c r="R356" s="117"/>
      <c r="S356" s="117"/>
    </row>
    <row r="357" spans="1:19" ht="12.9">
      <c r="A357" s="117"/>
      <c r="B357" s="117"/>
      <c r="C357" s="117"/>
      <c r="D357" s="24"/>
      <c r="E357" s="24"/>
      <c r="F357" s="117"/>
      <c r="G357" s="117"/>
      <c r="H357" s="117"/>
      <c r="I357" s="117"/>
      <c r="J357" s="117"/>
      <c r="K357" s="117"/>
      <c r="L357" s="117"/>
      <c r="M357" s="117"/>
      <c r="N357" s="117"/>
      <c r="O357" s="117"/>
      <c r="P357" s="117"/>
      <c r="Q357" s="117"/>
      <c r="R357" s="117"/>
      <c r="S357" s="117"/>
    </row>
    <row r="358" spans="1:19" ht="12.9">
      <c r="A358" s="117"/>
      <c r="B358" s="117"/>
      <c r="C358" s="117"/>
      <c r="D358" s="24"/>
      <c r="E358" s="24"/>
      <c r="F358" s="117"/>
      <c r="G358" s="117"/>
      <c r="H358" s="117"/>
      <c r="I358" s="117"/>
      <c r="J358" s="117"/>
      <c r="K358" s="117"/>
      <c r="L358" s="117"/>
      <c r="M358" s="117"/>
      <c r="N358" s="117"/>
      <c r="O358" s="117"/>
      <c r="P358" s="117"/>
      <c r="Q358" s="117"/>
      <c r="R358" s="117"/>
      <c r="S358" s="117"/>
    </row>
    <row r="359" spans="1:19" ht="12.9">
      <c r="A359" s="117"/>
      <c r="B359" s="117"/>
      <c r="C359" s="117"/>
      <c r="D359" s="24"/>
      <c r="E359" s="24"/>
      <c r="F359" s="117"/>
      <c r="G359" s="117"/>
      <c r="H359" s="117"/>
      <c r="I359" s="117"/>
      <c r="J359" s="117"/>
      <c r="K359" s="117"/>
      <c r="L359" s="117"/>
      <c r="M359" s="117"/>
      <c r="N359" s="117"/>
      <c r="O359" s="117"/>
      <c r="P359" s="117"/>
      <c r="Q359" s="117"/>
      <c r="R359" s="117"/>
      <c r="S359" s="117"/>
    </row>
    <row r="360" spans="1:19" ht="12.9">
      <c r="A360" s="117"/>
      <c r="B360" s="117"/>
      <c r="C360" s="117"/>
      <c r="D360" s="24"/>
      <c r="E360" s="24"/>
      <c r="F360" s="117"/>
      <c r="G360" s="117"/>
      <c r="H360" s="117"/>
      <c r="I360" s="117"/>
      <c r="J360" s="117"/>
      <c r="K360" s="117"/>
      <c r="L360" s="117"/>
      <c r="M360" s="117"/>
      <c r="N360" s="117"/>
      <c r="O360" s="117"/>
      <c r="P360" s="117"/>
      <c r="Q360" s="117"/>
      <c r="R360" s="117"/>
      <c r="S360" s="117"/>
    </row>
    <row r="361" spans="1:19" ht="12.9">
      <c r="A361" s="117"/>
      <c r="B361" s="117"/>
      <c r="C361" s="117"/>
      <c r="D361" s="24"/>
      <c r="E361" s="24"/>
      <c r="F361" s="117"/>
      <c r="G361" s="117"/>
      <c r="H361" s="117"/>
      <c r="I361" s="117"/>
      <c r="J361" s="117"/>
      <c r="K361" s="117"/>
      <c r="L361" s="117"/>
      <c r="M361" s="117"/>
      <c r="N361" s="117"/>
      <c r="O361" s="117"/>
      <c r="P361" s="117"/>
      <c r="Q361" s="117"/>
      <c r="R361" s="117"/>
      <c r="S361" s="117"/>
    </row>
    <row r="362" spans="1:19" ht="12.9">
      <c r="A362" s="117"/>
      <c r="B362" s="117"/>
      <c r="C362" s="117"/>
      <c r="D362" s="24"/>
      <c r="E362" s="24"/>
      <c r="F362" s="117"/>
      <c r="G362" s="117"/>
      <c r="H362" s="117"/>
      <c r="I362" s="117"/>
      <c r="J362" s="117"/>
      <c r="K362" s="117"/>
      <c r="L362" s="117"/>
      <c r="M362" s="117"/>
      <c r="N362" s="117"/>
      <c r="O362" s="117"/>
      <c r="P362" s="117"/>
      <c r="Q362" s="117"/>
      <c r="R362" s="117"/>
      <c r="S362" s="117"/>
    </row>
    <row r="363" spans="1:19" ht="12.9">
      <c r="A363" s="117"/>
      <c r="B363" s="117"/>
      <c r="C363" s="117"/>
      <c r="D363" s="24"/>
      <c r="E363" s="24"/>
      <c r="F363" s="117"/>
      <c r="G363" s="117"/>
      <c r="H363" s="117"/>
      <c r="I363" s="117"/>
      <c r="J363" s="117"/>
      <c r="K363" s="117"/>
      <c r="L363" s="117"/>
      <c r="M363" s="117"/>
      <c r="N363" s="117"/>
      <c r="O363" s="117"/>
      <c r="P363" s="117"/>
      <c r="Q363" s="117"/>
      <c r="R363" s="117"/>
      <c r="S363" s="117"/>
    </row>
    <row r="364" spans="1:19" ht="12.9">
      <c r="A364" s="117"/>
      <c r="B364" s="117"/>
      <c r="C364" s="117"/>
      <c r="D364" s="24"/>
      <c r="E364" s="24"/>
      <c r="F364" s="117"/>
      <c r="G364" s="117"/>
      <c r="H364" s="117"/>
      <c r="I364" s="117"/>
      <c r="J364" s="117"/>
      <c r="K364" s="117"/>
      <c r="L364" s="117"/>
      <c r="M364" s="117"/>
      <c r="N364" s="117"/>
      <c r="O364" s="117"/>
      <c r="P364" s="117"/>
      <c r="Q364" s="117"/>
      <c r="R364" s="117"/>
      <c r="S364" s="117"/>
    </row>
    <row r="365" spans="1:19" ht="12.9">
      <c r="A365" s="117"/>
      <c r="B365" s="117"/>
      <c r="C365" s="117"/>
      <c r="D365" s="24"/>
      <c r="E365" s="24"/>
      <c r="F365" s="117"/>
      <c r="G365" s="117"/>
      <c r="H365" s="117"/>
      <c r="I365" s="117"/>
      <c r="J365" s="117"/>
      <c r="K365" s="117"/>
      <c r="L365" s="117"/>
      <c r="M365" s="117"/>
      <c r="N365" s="117"/>
      <c r="O365" s="117"/>
      <c r="P365" s="117"/>
      <c r="Q365" s="117"/>
      <c r="R365" s="117"/>
      <c r="S365" s="117"/>
    </row>
    <row r="366" spans="1:19" ht="12.9">
      <c r="A366" s="117"/>
      <c r="B366" s="117"/>
      <c r="C366" s="117"/>
      <c r="D366" s="24"/>
      <c r="E366" s="24"/>
      <c r="F366" s="117"/>
      <c r="G366" s="117"/>
      <c r="H366" s="117"/>
      <c r="I366" s="117"/>
      <c r="J366" s="117"/>
      <c r="K366" s="117"/>
      <c r="L366" s="117"/>
      <c r="M366" s="117"/>
      <c r="N366" s="117"/>
      <c r="O366" s="117"/>
      <c r="P366" s="117"/>
      <c r="Q366" s="117"/>
      <c r="R366" s="117"/>
      <c r="S366" s="117"/>
    </row>
    <row r="367" spans="1:19" ht="12.9">
      <c r="A367" s="117"/>
      <c r="B367" s="117"/>
      <c r="C367" s="117"/>
      <c r="D367" s="24"/>
      <c r="E367" s="24"/>
      <c r="F367" s="117"/>
      <c r="G367" s="117"/>
      <c r="H367" s="117"/>
      <c r="I367" s="117"/>
      <c r="J367" s="117"/>
      <c r="K367" s="117"/>
      <c r="L367" s="117"/>
      <c r="M367" s="117"/>
      <c r="N367" s="117"/>
      <c r="O367" s="117"/>
      <c r="P367" s="117"/>
      <c r="Q367" s="117"/>
      <c r="R367" s="117"/>
      <c r="S367" s="117"/>
    </row>
    <row r="368" spans="1:19" ht="12.9">
      <c r="A368" s="117"/>
      <c r="B368" s="117"/>
      <c r="C368" s="117"/>
      <c r="D368" s="24"/>
      <c r="E368" s="24"/>
      <c r="F368" s="117"/>
      <c r="G368" s="117"/>
      <c r="H368" s="117"/>
      <c r="I368" s="117"/>
      <c r="J368" s="117"/>
      <c r="K368" s="117"/>
      <c r="L368" s="117"/>
      <c r="M368" s="117"/>
      <c r="N368" s="117"/>
      <c r="O368" s="117"/>
      <c r="P368" s="117"/>
      <c r="Q368" s="117"/>
      <c r="R368" s="117"/>
      <c r="S368" s="117"/>
    </row>
    <row r="369" spans="1:19" ht="12.9">
      <c r="A369" s="117"/>
      <c r="B369" s="117"/>
      <c r="C369" s="117"/>
      <c r="D369" s="24"/>
      <c r="E369" s="24"/>
      <c r="F369" s="117"/>
      <c r="G369" s="117"/>
      <c r="H369" s="117"/>
      <c r="I369" s="117"/>
      <c r="J369" s="117"/>
      <c r="K369" s="117"/>
      <c r="L369" s="117"/>
      <c r="M369" s="117"/>
      <c r="N369" s="117"/>
      <c r="O369" s="117"/>
      <c r="P369" s="117"/>
      <c r="Q369" s="117"/>
      <c r="R369" s="117"/>
      <c r="S369" s="117"/>
    </row>
    <row r="370" spans="1:19" ht="12.9">
      <c r="A370" s="117"/>
      <c r="B370" s="117"/>
      <c r="C370" s="117"/>
      <c r="D370" s="24"/>
      <c r="E370" s="24"/>
      <c r="F370" s="117"/>
      <c r="G370" s="117"/>
      <c r="H370" s="117"/>
      <c r="I370" s="117"/>
      <c r="J370" s="117"/>
      <c r="K370" s="117"/>
      <c r="L370" s="117"/>
      <c r="M370" s="117"/>
      <c r="N370" s="117"/>
      <c r="O370" s="117"/>
      <c r="P370" s="117"/>
      <c r="Q370" s="117"/>
      <c r="R370" s="117"/>
      <c r="S370" s="117"/>
    </row>
    <row r="371" spans="1:19" ht="12.9">
      <c r="A371" s="117"/>
      <c r="B371" s="117"/>
      <c r="C371" s="117"/>
      <c r="D371" s="24"/>
      <c r="E371" s="24"/>
      <c r="F371" s="117"/>
      <c r="G371" s="117"/>
      <c r="H371" s="117"/>
      <c r="I371" s="117"/>
      <c r="J371" s="117"/>
      <c r="K371" s="117"/>
      <c r="L371" s="117"/>
      <c r="M371" s="117"/>
      <c r="N371" s="117"/>
      <c r="O371" s="117"/>
      <c r="P371" s="117"/>
      <c r="Q371" s="117"/>
      <c r="R371" s="117"/>
      <c r="S371" s="117"/>
    </row>
    <row r="372" spans="1:19" ht="12.9">
      <c r="A372" s="117"/>
      <c r="B372" s="117"/>
      <c r="C372" s="117"/>
      <c r="D372" s="24"/>
      <c r="E372" s="24"/>
      <c r="F372" s="117"/>
      <c r="G372" s="117"/>
      <c r="H372" s="117"/>
      <c r="I372" s="117"/>
      <c r="J372" s="117"/>
      <c r="K372" s="117"/>
      <c r="L372" s="117"/>
      <c r="M372" s="117"/>
      <c r="N372" s="117"/>
      <c r="O372" s="117"/>
      <c r="P372" s="117"/>
      <c r="Q372" s="117"/>
      <c r="R372" s="117"/>
      <c r="S372" s="117"/>
    </row>
    <row r="373" spans="1:19" ht="12.9">
      <c r="A373" s="117"/>
      <c r="B373" s="117"/>
      <c r="C373" s="117"/>
      <c r="D373" s="24"/>
      <c r="E373" s="24"/>
      <c r="F373" s="117"/>
      <c r="G373" s="117"/>
      <c r="H373" s="117"/>
      <c r="I373" s="117"/>
      <c r="J373" s="117"/>
      <c r="K373" s="117"/>
      <c r="L373" s="117"/>
      <c r="M373" s="117"/>
      <c r="N373" s="117"/>
      <c r="O373" s="117"/>
      <c r="P373" s="117"/>
      <c r="Q373" s="117"/>
      <c r="R373" s="117"/>
      <c r="S373" s="117"/>
    </row>
    <row r="374" spans="1:19" ht="12.9">
      <c r="A374" s="117"/>
      <c r="B374" s="117"/>
      <c r="C374" s="117"/>
      <c r="D374" s="24"/>
      <c r="E374" s="24"/>
      <c r="F374" s="117"/>
      <c r="G374" s="117"/>
      <c r="H374" s="117"/>
      <c r="I374" s="117"/>
      <c r="J374" s="117"/>
      <c r="K374" s="117"/>
      <c r="L374" s="117"/>
      <c r="M374" s="117"/>
      <c r="N374" s="117"/>
      <c r="O374" s="117"/>
      <c r="P374" s="117"/>
      <c r="Q374" s="117"/>
      <c r="R374" s="117"/>
      <c r="S374" s="117"/>
    </row>
    <row r="375" spans="1:19" ht="12.9">
      <c r="A375" s="117"/>
      <c r="B375" s="117"/>
      <c r="C375" s="117"/>
      <c r="D375" s="24"/>
      <c r="E375" s="24"/>
      <c r="F375" s="117"/>
      <c r="G375" s="117"/>
      <c r="H375" s="117"/>
      <c r="I375" s="117"/>
      <c r="J375" s="117"/>
      <c r="K375" s="117"/>
      <c r="L375" s="117"/>
      <c r="M375" s="117"/>
      <c r="N375" s="117"/>
      <c r="O375" s="117"/>
      <c r="P375" s="117"/>
      <c r="Q375" s="117"/>
      <c r="R375" s="117"/>
      <c r="S375" s="117"/>
    </row>
    <row r="376" spans="1:19" ht="12.9">
      <c r="A376" s="117"/>
      <c r="B376" s="117"/>
      <c r="C376" s="117"/>
      <c r="D376" s="24"/>
      <c r="E376" s="24"/>
      <c r="F376" s="117"/>
      <c r="G376" s="117"/>
      <c r="H376" s="117"/>
      <c r="I376" s="117"/>
      <c r="J376" s="117"/>
      <c r="K376" s="117"/>
      <c r="L376" s="117"/>
      <c r="M376" s="117"/>
      <c r="N376" s="117"/>
      <c r="O376" s="117"/>
      <c r="P376" s="117"/>
      <c r="Q376" s="117"/>
      <c r="R376" s="117"/>
      <c r="S376" s="117"/>
    </row>
    <row r="377" spans="1:19" ht="12.9">
      <c r="A377" s="117"/>
      <c r="B377" s="117"/>
      <c r="C377" s="117"/>
      <c r="D377" s="24"/>
      <c r="E377" s="24"/>
      <c r="F377" s="117"/>
      <c r="G377" s="117"/>
      <c r="H377" s="117"/>
      <c r="I377" s="117"/>
      <c r="J377" s="117"/>
      <c r="K377" s="117"/>
      <c r="L377" s="117"/>
      <c r="M377" s="117"/>
      <c r="N377" s="117"/>
      <c r="O377" s="117"/>
      <c r="P377" s="117"/>
      <c r="Q377" s="117"/>
      <c r="R377" s="117"/>
      <c r="S377" s="117"/>
    </row>
    <row r="378" spans="1:19" ht="12.9">
      <c r="A378" s="117"/>
      <c r="B378" s="117"/>
      <c r="C378" s="117"/>
      <c r="D378" s="24"/>
      <c r="E378" s="24"/>
      <c r="F378" s="117"/>
      <c r="G378" s="117"/>
      <c r="H378" s="117"/>
      <c r="I378" s="117"/>
      <c r="J378" s="117"/>
      <c r="K378" s="117"/>
      <c r="L378" s="117"/>
      <c r="M378" s="117"/>
      <c r="N378" s="117"/>
      <c r="O378" s="117"/>
      <c r="P378" s="117"/>
      <c r="Q378" s="117"/>
      <c r="R378" s="117"/>
      <c r="S378" s="117"/>
    </row>
    <row r="379" spans="1:19" ht="12.9">
      <c r="A379" s="117"/>
      <c r="B379" s="117"/>
      <c r="C379" s="117"/>
      <c r="D379" s="24"/>
      <c r="E379" s="24"/>
      <c r="F379" s="117"/>
      <c r="G379" s="117"/>
      <c r="H379" s="117"/>
      <c r="I379" s="117"/>
      <c r="J379" s="117"/>
      <c r="K379" s="117"/>
      <c r="L379" s="117"/>
      <c r="M379" s="117"/>
      <c r="N379" s="117"/>
      <c r="O379" s="117"/>
      <c r="P379" s="117"/>
      <c r="Q379" s="117"/>
      <c r="R379" s="117"/>
      <c r="S379" s="117"/>
    </row>
    <row r="380" spans="1:19" ht="12.9">
      <c r="A380" s="117"/>
      <c r="B380" s="117"/>
      <c r="C380" s="117"/>
      <c r="D380" s="24"/>
      <c r="E380" s="24"/>
      <c r="F380" s="117"/>
      <c r="G380" s="117"/>
      <c r="H380" s="117"/>
      <c r="I380" s="117"/>
      <c r="J380" s="117"/>
      <c r="K380" s="117"/>
      <c r="L380" s="117"/>
      <c r="M380" s="117"/>
      <c r="N380" s="117"/>
      <c r="O380" s="117"/>
      <c r="P380" s="117"/>
      <c r="Q380" s="117"/>
      <c r="R380" s="117"/>
      <c r="S380" s="117"/>
    </row>
    <row r="381" spans="1:19" ht="12.9">
      <c r="A381" s="117"/>
      <c r="B381" s="117"/>
      <c r="C381" s="117"/>
      <c r="D381" s="24"/>
      <c r="E381" s="24"/>
      <c r="F381" s="117"/>
      <c r="G381" s="117"/>
      <c r="H381" s="117"/>
      <c r="I381" s="117"/>
      <c r="J381" s="117"/>
      <c r="K381" s="117"/>
      <c r="L381" s="117"/>
      <c r="M381" s="117"/>
      <c r="N381" s="117"/>
      <c r="O381" s="117"/>
      <c r="P381" s="117"/>
      <c r="Q381" s="117"/>
      <c r="R381" s="117"/>
      <c r="S381" s="117"/>
    </row>
    <row r="382" spans="1:19" ht="12.9">
      <c r="A382" s="117"/>
      <c r="B382" s="117"/>
      <c r="C382" s="117"/>
      <c r="D382" s="24"/>
      <c r="E382" s="24"/>
      <c r="F382" s="117"/>
      <c r="G382" s="117"/>
      <c r="H382" s="117"/>
      <c r="I382" s="117"/>
      <c r="J382" s="117"/>
      <c r="K382" s="117"/>
      <c r="L382" s="117"/>
      <c r="M382" s="117"/>
      <c r="N382" s="117"/>
      <c r="O382" s="117"/>
      <c r="P382" s="117"/>
      <c r="Q382" s="117"/>
      <c r="R382" s="117"/>
      <c r="S382" s="117"/>
    </row>
    <row r="383" spans="1:19" ht="12.9">
      <c r="A383" s="117"/>
      <c r="B383" s="117"/>
      <c r="C383" s="117"/>
      <c r="D383" s="24"/>
      <c r="E383" s="24"/>
      <c r="F383" s="117"/>
      <c r="G383" s="117"/>
      <c r="H383" s="117"/>
      <c r="I383" s="117"/>
      <c r="J383" s="117"/>
      <c r="K383" s="117"/>
      <c r="L383" s="117"/>
      <c r="M383" s="117"/>
      <c r="N383" s="117"/>
      <c r="O383" s="117"/>
      <c r="P383" s="117"/>
      <c r="Q383" s="117"/>
      <c r="R383" s="117"/>
      <c r="S383" s="117"/>
    </row>
    <row r="384" spans="1:19" ht="12.9">
      <c r="A384" s="117"/>
      <c r="B384" s="117"/>
      <c r="C384" s="117"/>
      <c r="D384" s="24"/>
      <c r="E384" s="24"/>
      <c r="F384" s="117"/>
      <c r="G384" s="117"/>
      <c r="H384" s="117"/>
      <c r="I384" s="117"/>
      <c r="J384" s="117"/>
      <c r="K384" s="117"/>
      <c r="L384" s="117"/>
      <c r="M384" s="117"/>
      <c r="N384" s="117"/>
      <c r="O384" s="117"/>
      <c r="P384" s="117"/>
      <c r="Q384" s="117"/>
      <c r="R384" s="117"/>
      <c r="S384" s="117"/>
    </row>
    <row r="385" spans="1:19" ht="12.9">
      <c r="A385" s="117"/>
      <c r="B385" s="117"/>
      <c r="C385" s="117"/>
      <c r="D385" s="24"/>
      <c r="E385" s="24"/>
      <c r="F385" s="117"/>
      <c r="G385" s="117"/>
      <c r="H385" s="117"/>
      <c r="I385" s="117"/>
      <c r="J385" s="117"/>
      <c r="K385" s="117"/>
      <c r="L385" s="117"/>
      <c r="M385" s="117"/>
      <c r="N385" s="117"/>
      <c r="O385" s="117"/>
      <c r="P385" s="117"/>
      <c r="Q385" s="117"/>
      <c r="R385" s="117"/>
      <c r="S385" s="117"/>
    </row>
    <row r="386" spans="1:19" ht="12.9">
      <c r="A386" s="117"/>
      <c r="B386" s="117"/>
      <c r="C386" s="117"/>
      <c r="D386" s="24"/>
      <c r="E386" s="24"/>
      <c r="F386" s="117"/>
      <c r="G386" s="117"/>
      <c r="H386" s="117"/>
      <c r="I386" s="117"/>
      <c r="J386" s="117"/>
      <c r="K386" s="117"/>
      <c r="L386" s="117"/>
      <c r="M386" s="117"/>
      <c r="N386" s="117"/>
      <c r="O386" s="117"/>
      <c r="P386" s="117"/>
      <c r="Q386" s="117"/>
      <c r="R386" s="117"/>
      <c r="S386" s="117"/>
    </row>
    <row r="387" spans="1:19" ht="12.9">
      <c r="A387" s="117"/>
      <c r="B387" s="117"/>
      <c r="C387" s="117"/>
      <c r="D387" s="24"/>
      <c r="E387" s="24"/>
      <c r="F387" s="117"/>
      <c r="G387" s="117"/>
      <c r="H387" s="117"/>
      <c r="I387" s="117"/>
      <c r="J387" s="117"/>
      <c r="K387" s="117"/>
      <c r="L387" s="117"/>
      <c r="M387" s="117"/>
      <c r="N387" s="117"/>
      <c r="O387" s="117"/>
      <c r="P387" s="117"/>
      <c r="Q387" s="117"/>
      <c r="R387" s="117"/>
      <c r="S387" s="117"/>
    </row>
    <row r="388" spans="1:19" ht="12.9">
      <c r="A388" s="117"/>
      <c r="B388" s="117"/>
      <c r="C388" s="117"/>
      <c r="D388" s="24"/>
      <c r="E388" s="24"/>
      <c r="F388" s="117"/>
      <c r="G388" s="117"/>
      <c r="H388" s="117"/>
      <c r="I388" s="117"/>
      <c r="J388" s="117"/>
      <c r="K388" s="117"/>
      <c r="L388" s="117"/>
      <c r="M388" s="117"/>
      <c r="N388" s="117"/>
      <c r="O388" s="117"/>
      <c r="P388" s="117"/>
      <c r="Q388" s="117"/>
      <c r="R388" s="117"/>
      <c r="S388" s="117"/>
    </row>
    <row r="389" spans="1:19" ht="12.9">
      <c r="A389" s="117"/>
      <c r="B389" s="117"/>
      <c r="C389" s="117"/>
      <c r="D389" s="24"/>
      <c r="E389" s="24"/>
      <c r="F389" s="117"/>
      <c r="G389" s="117"/>
      <c r="H389" s="117"/>
      <c r="I389" s="117"/>
      <c r="J389" s="117"/>
      <c r="K389" s="117"/>
      <c r="L389" s="117"/>
      <c r="M389" s="117"/>
      <c r="N389" s="117"/>
      <c r="O389" s="117"/>
      <c r="P389" s="117"/>
      <c r="Q389" s="117"/>
      <c r="R389" s="117"/>
      <c r="S389" s="117"/>
    </row>
    <row r="390" spans="1:19" ht="12.9">
      <c r="A390" s="117"/>
      <c r="B390" s="117"/>
      <c r="C390" s="117"/>
      <c r="D390" s="24"/>
      <c r="E390" s="24"/>
      <c r="F390" s="117"/>
      <c r="G390" s="117"/>
      <c r="H390" s="117"/>
      <c r="I390" s="117"/>
      <c r="J390" s="117"/>
      <c r="K390" s="117"/>
      <c r="L390" s="117"/>
      <c r="M390" s="117"/>
      <c r="N390" s="117"/>
      <c r="O390" s="117"/>
      <c r="P390" s="117"/>
      <c r="Q390" s="117"/>
      <c r="R390" s="117"/>
      <c r="S390" s="117"/>
    </row>
    <row r="391" spans="1:19" ht="12.9">
      <c r="A391" s="117"/>
      <c r="B391" s="117"/>
      <c r="C391" s="117"/>
      <c r="D391" s="24"/>
      <c r="E391" s="24"/>
      <c r="F391" s="117"/>
      <c r="G391" s="117"/>
      <c r="H391" s="117"/>
      <c r="I391" s="117"/>
      <c r="J391" s="117"/>
      <c r="K391" s="117"/>
      <c r="L391" s="117"/>
      <c r="M391" s="117"/>
      <c r="N391" s="117"/>
      <c r="O391" s="117"/>
      <c r="P391" s="117"/>
      <c r="Q391" s="117"/>
      <c r="R391" s="117"/>
      <c r="S391" s="117"/>
    </row>
    <row r="392" spans="1:19" ht="12.9">
      <c r="A392" s="117"/>
      <c r="B392" s="117"/>
      <c r="C392" s="117"/>
      <c r="D392" s="24"/>
      <c r="E392" s="24"/>
      <c r="F392" s="117"/>
      <c r="G392" s="117"/>
      <c r="H392" s="117"/>
      <c r="I392" s="117"/>
      <c r="J392" s="117"/>
      <c r="K392" s="117"/>
      <c r="L392" s="117"/>
      <c r="M392" s="117"/>
      <c r="N392" s="117"/>
      <c r="O392" s="117"/>
      <c r="P392" s="117"/>
      <c r="Q392" s="117"/>
      <c r="R392" s="117"/>
      <c r="S392" s="117"/>
    </row>
    <row r="393" spans="1:19" ht="12.9">
      <c r="A393" s="117"/>
      <c r="B393" s="117"/>
      <c r="C393" s="117"/>
      <c r="D393" s="24"/>
      <c r="E393" s="24"/>
      <c r="F393" s="117"/>
      <c r="G393" s="117"/>
      <c r="H393" s="117"/>
      <c r="I393" s="117"/>
      <c r="J393" s="117"/>
      <c r="K393" s="117"/>
      <c r="L393" s="117"/>
      <c r="M393" s="117"/>
      <c r="N393" s="117"/>
      <c r="O393" s="117"/>
      <c r="P393" s="117"/>
      <c r="Q393" s="117"/>
      <c r="R393" s="117"/>
      <c r="S393" s="117"/>
    </row>
    <row r="394" spans="1:19" ht="12.9">
      <c r="A394" s="117"/>
      <c r="B394" s="117"/>
      <c r="C394" s="117"/>
      <c r="D394" s="24"/>
      <c r="E394" s="24"/>
      <c r="F394" s="117"/>
      <c r="G394" s="117"/>
      <c r="H394" s="117"/>
      <c r="I394" s="117"/>
      <c r="J394" s="117"/>
      <c r="K394" s="117"/>
      <c r="L394" s="117"/>
      <c r="M394" s="117"/>
      <c r="N394" s="117"/>
      <c r="O394" s="117"/>
      <c r="P394" s="117"/>
      <c r="Q394" s="117"/>
      <c r="R394" s="117"/>
      <c r="S394" s="117"/>
    </row>
    <row r="395" spans="1:19" ht="12.9">
      <c r="A395" s="117"/>
      <c r="B395" s="117"/>
      <c r="C395" s="117"/>
      <c r="D395" s="24"/>
      <c r="E395" s="24"/>
      <c r="F395" s="117"/>
      <c r="G395" s="117"/>
      <c r="H395" s="117"/>
      <c r="I395" s="117"/>
      <c r="J395" s="117"/>
      <c r="K395" s="117"/>
      <c r="L395" s="117"/>
      <c r="M395" s="117"/>
      <c r="N395" s="117"/>
      <c r="O395" s="117"/>
      <c r="P395" s="117"/>
      <c r="Q395" s="117"/>
      <c r="R395" s="117"/>
      <c r="S395" s="117"/>
    </row>
    <row r="396" spans="1:19" ht="12.9">
      <c r="A396" s="117"/>
      <c r="B396" s="117"/>
      <c r="C396" s="117"/>
      <c r="D396" s="24"/>
      <c r="E396" s="24"/>
      <c r="F396" s="117"/>
      <c r="G396" s="117"/>
      <c r="H396" s="117"/>
      <c r="I396" s="117"/>
      <c r="J396" s="117"/>
      <c r="K396" s="117"/>
      <c r="L396" s="117"/>
      <c r="M396" s="117"/>
      <c r="N396" s="117"/>
      <c r="O396" s="117"/>
      <c r="P396" s="117"/>
      <c r="Q396" s="117"/>
      <c r="R396" s="117"/>
      <c r="S396" s="117"/>
    </row>
    <row r="397" spans="1:19" ht="12.9">
      <c r="A397" s="117"/>
      <c r="B397" s="117"/>
      <c r="C397" s="117"/>
      <c r="D397" s="24"/>
      <c r="E397" s="24"/>
      <c r="F397" s="117"/>
      <c r="G397" s="117"/>
      <c r="H397" s="117"/>
      <c r="I397" s="117"/>
      <c r="J397" s="117"/>
      <c r="K397" s="117"/>
      <c r="L397" s="117"/>
      <c r="M397" s="117"/>
      <c r="N397" s="117"/>
      <c r="O397" s="117"/>
      <c r="P397" s="117"/>
      <c r="Q397" s="117"/>
      <c r="R397" s="117"/>
      <c r="S397" s="117"/>
    </row>
    <row r="398" spans="1:19" ht="12.9">
      <c r="A398" s="117"/>
      <c r="B398" s="117"/>
      <c r="C398" s="117"/>
      <c r="D398" s="24"/>
      <c r="E398" s="24"/>
      <c r="F398" s="117"/>
      <c r="G398" s="117"/>
      <c r="H398" s="117"/>
      <c r="I398" s="117"/>
      <c r="J398" s="117"/>
      <c r="K398" s="117"/>
      <c r="L398" s="117"/>
      <c r="M398" s="117"/>
      <c r="N398" s="117"/>
      <c r="O398" s="117"/>
      <c r="P398" s="117"/>
      <c r="Q398" s="117"/>
      <c r="R398" s="117"/>
      <c r="S398" s="117"/>
    </row>
    <row r="399" spans="1:19" ht="12.9">
      <c r="A399" s="117"/>
      <c r="B399" s="117"/>
      <c r="C399" s="117"/>
      <c r="D399" s="24"/>
      <c r="E399" s="24"/>
      <c r="F399" s="117"/>
      <c r="G399" s="117"/>
      <c r="H399" s="117"/>
      <c r="I399" s="117"/>
      <c r="J399" s="117"/>
      <c r="K399" s="117"/>
      <c r="L399" s="117"/>
      <c r="M399" s="117"/>
      <c r="N399" s="117"/>
      <c r="O399" s="117"/>
      <c r="P399" s="117"/>
      <c r="Q399" s="117"/>
      <c r="R399" s="117"/>
      <c r="S399" s="117"/>
    </row>
    <row r="400" spans="1:19" ht="12.9">
      <c r="A400" s="117"/>
      <c r="B400" s="117"/>
      <c r="C400" s="117"/>
      <c r="D400" s="24"/>
      <c r="E400" s="24"/>
      <c r="F400" s="117"/>
      <c r="G400" s="117"/>
      <c r="H400" s="117"/>
      <c r="I400" s="117"/>
      <c r="J400" s="117"/>
      <c r="K400" s="117"/>
      <c r="L400" s="117"/>
      <c r="M400" s="117"/>
      <c r="N400" s="117"/>
      <c r="O400" s="117"/>
      <c r="P400" s="117"/>
      <c r="Q400" s="117"/>
      <c r="R400" s="117"/>
      <c r="S400" s="117"/>
    </row>
    <row r="401" spans="1:19" ht="12.9">
      <c r="A401" s="117"/>
      <c r="B401" s="117"/>
      <c r="C401" s="117"/>
      <c r="D401" s="24"/>
      <c r="E401" s="24"/>
      <c r="F401" s="117"/>
      <c r="G401" s="117"/>
      <c r="H401" s="117"/>
      <c r="I401" s="117"/>
      <c r="J401" s="117"/>
      <c r="K401" s="117"/>
      <c r="L401" s="117"/>
      <c r="M401" s="117"/>
      <c r="N401" s="117"/>
      <c r="O401" s="117"/>
      <c r="P401" s="117"/>
      <c r="Q401" s="117"/>
      <c r="R401" s="117"/>
      <c r="S401" s="117"/>
    </row>
    <row r="402" spans="1:19" ht="12.9">
      <c r="A402" s="117"/>
      <c r="B402" s="117"/>
      <c r="C402" s="117"/>
      <c r="D402" s="24"/>
      <c r="E402" s="24"/>
      <c r="F402" s="117"/>
      <c r="G402" s="117"/>
      <c r="H402" s="117"/>
      <c r="I402" s="117"/>
      <c r="J402" s="117"/>
      <c r="K402" s="117"/>
      <c r="L402" s="117"/>
      <c r="M402" s="117"/>
      <c r="N402" s="117"/>
      <c r="O402" s="117"/>
      <c r="P402" s="117"/>
      <c r="Q402" s="117"/>
      <c r="R402" s="117"/>
      <c r="S402" s="117"/>
    </row>
    <row r="403" spans="1:19" ht="12.9">
      <c r="A403" s="117"/>
      <c r="B403" s="117"/>
      <c r="C403" s="117"/>
      <c r="D403" s="24"/>
      <c r="E403" s="24"/>
      <c r="F403" s="117"/>
      <c r="G403" s="117"/>
      <c r="H403" s="117"/>
      <c r="I403" s="117"/>
      <c r="J403" s="117"/>
      <c r="K403" s="117"/>
      <c r="L403" s="117"/>
      <c r="M403" s="117"/>
      <c r="N403" s="117"/>
      <c r="O403" s="117"/>
      <c r="P403" s="117"/>
      <c r="Q403" s="117"/>
      <c r="R403" s="117"/>
      <c r="S403" s="117"/>
    </row>
    <row r="404" spans="1:19" ht="12.9">
      <c r="A404" s="117"/>
      <c r="B404" s="117"/>
      <c r="C404" s="117"/>
      <c r="D404" s="24"/>
      <c r="E404" s="24"/>
      <c r="F404" s="117"/>
      <c r="G404" s="117"/>
      <c r="H404" s="117"/>
      <c r="I404" s="117"/>
      <c r="J404" s="117"/>
      <c r="K404" s="117"/>
      <c r="L404" s="117"/>
      <c r="M404" s="117"/>
      <c r="N404" s="117"/>
      <c r="O404" s="117"/>
      <c r="P404" s="117"/>
      <c r="Q404" s="117"/>
      <c r="R404" s="117"/>
      <c r="S404" s="117"/>
    </row>
    <row r="405" spans="1:19" ht="12.9">
      <c r="A405" s="117"/>
      <c r="B405" s="117"/>
      <c r="C405" s="117"/>
      <c r="D405" s="24"/>
      <c r="E405" s="24"/>
      <c r="F405" s="117"/>
      <c r="G405" s="117"/>
      <c r="H405" s="117"/>
      <c r="I405" s="117"/>
      <c r="J405" s="117"/>
      <c r="K405" s="117"/>
      <c r="L405" s="117"/>
      <c r="M405" s="117"/>
      <c r="N405" s="117"/>
      <c r="O405" s="117"/>
      <c r="P405" s="117"/>
      <c r="Q405" s="117"/>
      <c r="R405" s="117"/>
      <c r="S405" s="117"/>
    </row>
    <row r="406" spans="1:19" ht="12.9">
      <c r="A406" s="117"/>
      <c r="B406" s="117"/>
      <c r="C406" s="117"/>
      <c r="D406" s="24"/>
      <c r="E406" s="24"/>
      <c r="F406" s="117"/>
      <c r="G406" s="117"/>
      <c r="H406" s="117"/>
      <c r="I406" s="117"/>
      <c r="J406" s="117"/>
      <c r="K406" s="117"/>
      <c r="L406" s="117"/>
      <c r="M406" s="117"/>
      <c r="N406" s="117"/>
      <c r="O406" s="117"/>
      <c r="P406" s="117"/>
      <c r="Q406" s="117"/>
      <c r="R406" s="117"/>
      <c r="S406" s="117"/>
    </row>
    <row r="407" spans="1:19" ht="12.9">
      <c r="A407" s="117"/>
      <c r="B407" s="117"/>
      <c r="C407" s="117"/>
      <c r="D407" s="24"/>
      <c r="E407" s="24"/>
      <c r="F407" s="117"/>
      <c r="G407" s="117"/>
      <c r="H407" s="117"/>
      <c r="I407" s="117"/>
      <c r="J407" s="117"/>
      <c r="K407" s="117"/>
      <c r="L407" s="117"/>
      <c r="M407" s="117"/>
      <c r="N407" s="117"/>
      <c r="O407" s="117"/>
      <c r="P407" s="117"/>
      <c r="Q407" s="117"/>
      <c r="R407" s="117"/>
      <c r="S407" s="117"/>
    </row>
    <row r="408" spans="1:19" ht="12.9">
      <c r="A408" s="117"/>
      <c r="B408" s="117"/>
      <c r="C408" s="117"/>
      <c r="D408" s="24"/>
      <c r="E408" s="24"/>
      <c r="F408" s="117"/>
      <c r="G408" s="117"/>
      <c r="H408" s="117"/>
      <c r="I408" s="117"/>
      <c r="J408" s="117"/>
      <c r="K408" s="117"/>
      <c r="L408" s="117"/>
      <c r="M408" s="117"/>
      <c r="N408" s="117"/>
      <c r="O408" s="117"/>
      <c r="P408" s="117"/>
      <c r="Q408" s="117"/>
      <c r="R408" s="117"/>
      <c r="S408" s="117"/>
    </row>
    <row r="409" spans="1:19" ht="12.9">
      <c r="A409" s="117"/>
      <c r="B409" s="117"/>
      <c r="C409" s="117"/>
      <c r="D409" s="24"/>
      <c r="E409" s="24"/>
      <c r="F409" s="117"/>
      <c r="G409" s="117"/>
      <c r="H409" s="117"/>
      <c r="I409" s="117"/>
      <c r="J409" s="117"/>
      <c r="K409" s="117"/>
      <c r="L409" s="117"/>
      <c r="M409" s="117"/>
      <c r="N409" s="117"/>
      <c r="O409" s="117"/>
      <c r="P409" s="117"/>
      <c r="Q409" s="117"/>
      <c r="R409" s="117"/>
      <c r="S409" s="117"/>
    </row>
    <row r="410" spans="1:19" ht="12.9">
      <c r="A410" s="117"/>
      <c r="B410" s="117"/>
      <c r="C410" s="117"/>
      <c r="D410" s="24"/>
      <c r="E410" s="24"/>
      <c r="F410" s="117"/>
      <c r="G410" s="117"/>
      <c r="H410" s="117"/>
      <c r="I410" s="117"/>
      <c r="J410" s="117"/>
      <c r="K410" s="117"/>
      <c r="L410" s="117"/>
      <c r="M410" s="117"/>
      <c r="N410" s="117"/>
      <c r="O410" s="117"/>
      <c r="P410" s="117"/>
      <c r="Q410" s="117"/>
      <c r="R410" s="117"/>
      <c r="S410" s="117"/>
    </row>
    <row r="411" spans="1:19" ht="12.9">
      <c r="A411" s="117"/>
      <c r="B411" s="117"/>
      <c r="C411" s="117"/>
      <c r="D411" s="24"/>
      <c r="E411" s="24"/>
      <c r="F411" s="117"/>
      <c r="G411" s="117"/>
      <c r="H411" s="117"/>
      <c r="I411" s="117"/>
      <c r="J411" s="117"/>
      <c r="K411" s="117"/>
      <c r="L411" s="117"/>
      <c r="M411" s="117"/>
      <c r="N411" s="117"/>
      <c r="O411" s="117"/>
      <c r="P411" s="117"/>
      <c r="Q411" s="117"/>
      <c r="R411" s="117"/>
      <c r="S411" s="117"/>
    </row>
    <row r="412" spans="1:19" ht="12.9">
      <c r="A412" s="117"/>
      <c r="B412" s="117"/>
      <c r="C412" s="117"/>
      <c r="D412" s="24"/>
      <c r="E412" s="24"/>
      <c r="F412" s="117"/>
      <c r="G412" s="117"/>
      <c r="H412" s="117"/>
      <c r="I412" s="117"/>
      <c r="J412" s="117"/>
      <c r="K412" s="117"/>
      <c r="L412" s="117"/>
      <c r="M412" s="117"/>
      <c r="N412" s="117"/>
      <c r="O412" s="117"/>
      <c r="P412" s="117"/>
      <c r="Q412" s="117"/>
      <c r="R412" s="117"/>
      <c r="S412" s="117"/>
    </row>
    <row r="413" spans="1:19" ht="12.9">
      <c r="A413" s="117"/>
      <c r="B413" s="117"/>
      <c r="C413" s="117"/>
      <c r="D413" s="24"/>
      <c r="E413" s="24"/>
      <c r="F413" s="117"/>
      <c r="G413" s="117"/>
      <c r="H413" s="117"/>
      <c r="I413" s="117"/>
      <c r="J413" s="117"/>
      <c r="K413" s="117"/>
      <c r="L413" s="117"/>
      <c r="M413" s="117"/>
      <c r="N413" s="117"/>
      <c r="O413" s="117"/>
      <c r="P413" s="117"/>
      <c r="Q413" s="117"/>
      <c r="R413" s="117"/>
      <c r="S413" s="117"/>
    </row>
    <row r="414" spans="1:19" ht="12.9">
      <c r="A414" s="117"/>
      <c r="B414" s="117"/>
      <c r="C414" s="117"/>
      <c r="D414" s="24"/>
      <c r="E414" s="24"/>
      <c r="F414" s="117"/>
      <c r="G414" s="117"/>
      <c r="H414" s="117"/>
      <c r="I414" s="117"/>
      <c r="J414" s="117"/>
      <c r="K414" s="117"/>
      <c r="L414" s="117"/>
      <c r="M414" s="117"/>
      <c r="N414" s="117"/>
      <c r="O414" s="117"/>
      <c r="P414" s="117"/>
      <c r="Q414" s="117"/>
      <c r="R414" s="117"/>
      <c r="S414" s="117"/>
    </row>
    <row r="415" spans="1:19" ht="12.9">
      <c r="A415" s="117"/>
      <c r="B415" s="117"/>
      <c r="C415" s="117"/>
      <c r="D415" s="24"/>
      <c r="E415" s="24"/>
      <c r="F415" s="117"/>
      <c r="G415" s="117"/>
      <c r="H415" s="117"/>
      <c r="I415" s="117"/>
      <c r="J415" s="117"/>
      <c r="K415" s="117"/>
      <c r="L415" s="117"/>
      <c r="M415" s="117"/>
      <c r="N415" s="117"/>
      <c r="O415" s="117"/>
      <c r="P415" s="117"/>
      <c r="Q415" s="117"/>
      <c r="R415" s="117"/>
      <c r="S415" s="117"/>
    </row>
    <row r="416" spans="1:19" ht="12.9">
      <c r="A416" s="117"/>
      <c r="B416" s="117"/>
      <c r="C416" s="117"/>
      <c r="D416" s="24"/>
      <c r="E416" s="24"/>
      <c r="F416" s="117"/>
      <c r="G416" s="117"/>
      <c r="H416" s="117"/>
      <c r="I416" s="117"/>
      <c r="J416" s="117"/>
      <c r="K416" s="117"/>
      <c r="L416" s="117"/>
      <c r="M416" s="117"/>
      <c r="N416" s="117"/>
      <c r="O416" s="117"/>
      <c r="P416" s="117"/>
      <c r="Q416" s="117"/>
      <c r="R416" s="117"/>
      <c r="S416" s="117"/>
    </row>
    <row r="417" spans="1:19" ht="12.9">
      <c r="A417" s="117"/>
      <c r="B417" s="117"/>
      <c r="C417" s="117"/>
      <c r="D417" s="24"/>
      <c r="E417" s="24"/>
      <c r="F417" s="117"/>
      <c r="G417" s="117"/>
      <c r="H417" s="117"/>
      <c r="I417" s="117"/>
      <c r="J417" s="117"/>
      <c r="K417" s="117"/>
      <c r="L417" s="117"/>
      <c r="M417" s="117"/>
      <c r="N417" s="117"/>
      <c r="O417" s="117"/>
      <c r="P417" s="117"/>
      <c r="Q417" s="117"/>
      <c r="R417" s="117"/>
      <c r="S417" s="117"/>
    </row>
    <row r="418" spans="1:19" ht="12.9">
      <c r="A418" s="117"/>
      <c r="B418" s="117"/>
      <c r="C418" s="117"/>
      <c r="D418" s="24"/>
      <c r="E418" s="24"/>
      <c r="F418" s="117"/>
      <c r="G418" s="117"/>
      <c r="H418" s="117"/>
      <c r="I418" s="117"/>
      <c r="J418" s="117"/>
      <c r="K418" s="117"/>
      <c r="L418" s="117"/>
      <c r="M418" s="117"/>
      <c r="N418" s="117"/>
      <c r="O418" s="117"/>
      <c r="P418" s="117"/>
      <c r="Q418" s="117"/>
      <c r="R418" s="117"/>
      <c r="S418" s="117"/>
    </row>
    <row r="419" spans="1:19" ht="12.9">
      <c r="A419" s="117"/>
      <c r="B419" s="117"/>
      <c r="C419" s="117"/>
      <c r="D419" s="24"/>
      <c r="E419" s="24"/>
      <c r="F419" s="117"/>
      <c r="G419" s="117"/>
      <c r="H419" s="117"/>
      <c r="I419" s="117"/>
      <c r="J419" s="117"/>
      <c r="K419" s="117"/>
      <c r="L419" s="117"/>
      <c r="M419" s="117"/>
      <c r="N419" s="117"/>
      <c r="O419" s="117"/>
      <c r="P419" s="117"/>
      <c r="Q419" s="117"/>
      <c r="R419" s="117"/>
      <c r="S419" s="117"/>
    </row>
    <row r="420" spans="1:19" ht="12.9">
      <c r="A420" s="117"/>
      <c r="B420" s="117"/>
      <c r="C420" s="117"/>
      <c r="D420" s="24"/>
      <c r="E420" s="24"/>
      <c r="F420" s="117"/>
      <c r="G420" s="117"/>
      <c r="H420" s="117"/>
      <c r="I420" s="117"/>
      <c r="J420" s="117"/>
      <c r="K420" s="117"/>
      <c r="L420" s="117"/>
      <c r="M420" s="117"/>
      <c r="N420" s="117"/>
      <c r="O420" s="117"/>
      <c r="P420" s="117"/>
      <c r="Q420" s="117"/>
      <c r="R420" s="117"/>
      <c r="S420" s="117"/>
    </row>
    <row r="421" spans="1:19" ht="12.9">
      <c r="A421" s="117"/>
      <c r="B421" s="117"/>
      <c r="C421" s="117"/>
      <c r="D421" s="24"/>
      <c r="E421" s="24"/>
      <c r="F421" s="117"/>
      <c r="G421" s="117"/>
      <c r="H421" s="117"/>
      <c r="I421" s="117"/>
      <c r="J421" s="117"/>
      <c r="K421" s="117"/>
      <c r="L421" s="117"/>
      <c r="M421" s="117"/>
      <c r="N421" s="117"/>
      <c r="O421" s="117"/>
      <c r="P421" s="117"/>
      <c r="Q421" s="117"/>
      <c r="R421" s="117"/>
      <c r="S421" s="117"/>
    </row>
    <row r="422" spans="1:19" ht="12.9">
      <c r="A422" s="117"/>
      <c r="B422" s="117"/>
      <c r="C422" s="117"/>
      <c r="D422" s="24"/>
      <c r="E422" s="24"/>
      <c r="F422" s="117"/>
      <c r="G422" s="117"/>
      <c r="H422" s="117"/>
      <c r="I422" s="117"/>
      <c r="J422" s="117"/>
      <c r="K422" s="117"/>
      <c r="L422" s="117"/>
      <c r="M422" s="117"/>
      <c r="N422" s="117"/>
      <c r="O422" s="117"/>
      <c r="P422" s="117"/>
      <c r="Q422" s="117"/>
      <c r="R422" s="117"/>
      <c r="S422" s="117"/>
    </row>
    <row r="423" spans="1:19" ht="12.9">
      <c r="A423" s="117"/>
      <c r="B423" s="117"/>
      <c r="C423" s="117"/>
      <c r="D423" s="24"/>
      <c r="E423" s="24"/>
      <c r="F423" s="117"/>
      <c r="G423" s="117"/>
      <c r="H423" s="117"/>
      <c r="I423" s="117"/>
      <c r="J423" s="117"/>
      <c r="K423" s="117"/>
      <c r="L423" s="117"/>
      <c r="M423" s="117"/>
      <c r="N423" s="117"/>
      <c r="O423" s="117"/>
      <c r="P423" s="117"/>
      <c r="Q423" s="117"/>
      <c r="R423" s="117"/>
      <c r="S423" s="117"/>
    </row>
    <row r="424" spans="1:19" ht="12.9">
      <c r="A424" s="117"/>
      <c r="B424" s="117"/>
      <c r="C424" s="117"/>
      <c r="D424" s="24"/>
      <c r="E424" s="24"/>
      <c r="F424" s="117"/>
      <c r="G424" s="117"/>
      <c r="H424" s="117"/>
      <c r="I424" s="117"/>
      <c r="J424" s="117"/>
      <c r="K424" s="117"/>
      <c r="L424" s="117"/>
      <c r="M424" s="117"/>
      <c r="N424" s="117"/>
      <c r="O424" s="117"/>
      <c r="P424" s="117"/>
      <c r="Q424" s="117"/>
      <c r="R424" s="117"/>
      <c r="S424" s="117"/>
    </row>
    <row r="425" spans="1:19" ht="12.9">
      <c r="A425" s="117"/>
      <c r="B425" s="117"/>
      <c r="C425" s="117"/>
      <c r="D425" s="24"/>
      <c r="E425" s="24"/>
      <c r="F425" s="117"/>
      <c r="G425" s="117"/>
      <c r="H425" s="117"/>
      <c r="I425" s="117"/>
      <c r="J425" s="117"/>
      <c r="K425" s="117"/>
      <c r="L425" s="117"/>
      <c r="M425" s="117"/>
      <c r="N425" s="117"/>
      <c r="O425" s="117"/>
      <c r="P425" s="117"/>
      <c r="Q425" s="117"/>
      <c r="R425" s="117"/>
      <c r="S425" s="117"/>
    </row>
    <row r="426" spans="1:19" ht="12.9">
      <c r="A426" s="117"/>
      <c r="B426" s="117"/>
      <c r="C426" s="117"/>
      <c r="D426" s="24"/>
      <c r="E426" s="24"/>
      <c r="F426" s="117"/>
      <c r="G426" s="117"/>
      <c r="H426" s="117"/>
      <c r="I426" s="117"/>
      <c r="J426" s="117"/>
      <c r="K426" s="117"/>
      <c r="L426" s="117"/>
      <c r="M426" s="117"/>
      <c r="N426" s="117"/>
      <c r="O426" s="117"/>
      <c r="P426" s="117"/>
      <c r="Q426" s="117"/>
      <c r="R426" s="117"/>
      <c r="S426" s="117"/>
    </row>
    <row r="427" spans="1:19" ht="12.9">
      <c r="A427" s="117"/>
      <c r="B427" s="117"/>
      <c r="C427" s="117"/>
      <c r="D427" s="24"/>
      <c r="E427" s="24"/>
      <c r="F427" s="117"/>
      <c r="G427" s="117"/>
      <c r="H427" s="117"/>
      <c r="I427" s="117"/>
      <c r="J427" s="117"/>
      <c r="K427" s="117"/>
      <c r="L427" s="117"/>
      <c r="M427" s="117"/>
      <c r="N427" s="117"/>
      <c r="O427" s="117"/>
      <c r="P427" s="117"/>
      <c r="Q427" s="117"/>
      <c r="R427" s="117"/>
      <c r="S427" s="117"/>
    </row>
    <row r="428" spans="1:19" ht="12.9">
      <c r="A428" s="117"/>
      <c r="B428" s="117"/>
      <c r="C428" s="117"/>
      <c r="D428" s="24"/>
      <c r="E428" s="24"/>
      <c r="F428" s="117"/>
      <c r="G428" s="117"/>
      <c r="H428" s="117"/>
      <c r="I428" s="117"/>
      <c r="J428" s="117"/>
      <c r="K428" s="117"/>
      <c r="L428" s="117"/>
      <c r="M428" s="117"/>
      <c r="N428" s="117"/>
      <c r="O428" s="117"/>
      <c r="P428" s="117"/>
      <c r="Q428" s="117"/>
      <c r="R428" s="117"/>
      <c r="S428" s="117"/>
    </row>
    <row r="429" spans="1:19" ht="12.9">
      <c r="A429" s="117"/>
      <c r="B429" s="117"/>
      <c r="C429" s="117"/>
      <c r="D429" s="24"/>
      <c r="E429" s="24"/>
      <c r="F429" s="117"/>
      <c r="G429" s="117"/>
      <c r="H429" s="117"/>
      <c r="I429" s="117"/>
      <c r="J429" s="117"/>
      <c r="K429" s="117"/>
      <c r="L429" s="117"/>
      <c r="M429" s="117"/>
      <c r="N429" s="117"/>
      <c r="O429" s="117"/>
      <c r="P429" s="117"/>
      <c r="Q429" s="117"/>
      <c r="R429" s="117"/>
      <c r="S429" s="117"/>
    </row>
    <row r="430" spans="1:19" ht="12.9">
      <c r="A430" s="117"/>
      <c r="B430" s="117"/>
      <c r="C430" s="117"/>
      <c r="D430" s="24"/>
      <c r="E430" s="24"/>
      <c r="F430" s="117"/>
      <c r="G430" s="117"/>
      <c r="H430" s="117"/>
      <c r="I430" s="117"/>
      <c r="J430" s="117"/>
      <c r="K430" s="117"/>
      <c r="L430" s="117"/>
      <c r="M430" s="117"/>
      <c r="N430" s="117"/>
      <c r="O430" s="117"/>
      <c r="P430" s="117"/>
      <c r="Q430" s="117"/>
      <c r="R430" s="117"/>
      <c r="S430" s="117"/>
    </row>
    <row r="431" spans="1:19" ht="12.9">
      <c r="A431" s="117"/>
      <c r="B431" s="117"/>
      <c r="C431" s="117"/>
      <c r="D431" s="24"/>
      <c r="E431" s="24"/>
      <c r="F431" s="117"/>
      <c r="G431" s="117"/>
      <c r="H431" s="117"/>
      <c r="I431" s="117"/>
      <c r="J431" s="117"/>
      <c r="K431" s="117"/>
      <c r="L431" s="117"/>
      <c r="M431" s="117"/>
      <c r="N431" s="117"/>
      <c r="O431" s="117"/>
      <c r="P431" s="117"/>
      <c r="Q431" s="117"/>
      <c r="R431" s="117"/>
      <c r="S431" s="117"/>
    </row>
    <row r="432" spans="1:19" ht="12.9">
      <c r="A432" s="117"/>
      <c r="B432" s="117"/>
      <c r="C432" s="117"/>
      <c r="D432" s="24"/>
      <c r="E432" s="24"/>
      <c r="F432" s="117"/>
      <c r="G432" s="117"/>
      <c r="H432" s="117"/>
      <c r="I432" s="117"/>
      <c r="J432" s="117"/>
      <c r="K432" s="117"/>
      <c r="L432" s="117"/>
      <c r="M432" s="117"/>
      <c r="N432" s="117"/>
      <c r="O432" s="117"/>
      <c r="P432" s="117"/>
      <c r="Q432" s="117"/>
      <c r="R432" s="117"/>
      <c r="S432" s="117"/>
    </row>
    <row r="433" spans="1:19" ht="12.9">
      <c r="A433" s="117"/>
      <c r="B433" s="117"/>
      <c r="C433" s="117"/>
      <c r="D433" s="24"/>
      <c r="E433" s="24"/>
      <c r="F433" s="117"/>
      <c r="G433" s="117"/>
      <c r="H433" s="117"/>
      <c r="I433" s="117"/>
      <c r="J433" s="117"/>
      <c r="K433" s="117"/>
      <c r="L433" s="117"/>
      <c r="M433" s="117"/>
      <c r="N433" s="117"/>
      <c r="O433" s="117"/>
      <c r="P433" s="117"/>
      <c r="Q433" s="117"/>
      <c r="R433" s="117"/>
      <c r="S433" s="117"/>
    </row>
    <row r="434" spans="1:19" ht="12.9">
      <c r="A434" s="117"/>
      <c r="B434" s="117"/>
      <c r="C434" s="117"/>
      <c r="D434" s="24"/>
      <c r="E434" s="24"/>
      <c r="F434" s="117"/>
      <c r="G434" s="117"/>
      <c r="H434" s="117"/>
      <c r="I434" s="117"/>
      <c r="J434" s="117"/>
      <c r="K434" s="117"/>
      <c r="L434" s="117"/>
      <c r="M434" s="117"/>
      <c r="N434" s="117"/>
      <c r="O434" s="117"/>
      <c r="P434" s="117"/>
      <c r="Q434" s="117"/>
      <c r="R434" s="117"/>
      <c r="S434" s="117"/>
    </row>
    <row r="435" spans="1:19" ht="12.9">
      <c r="A435" s="117"/>
      <c r="B435" s="117"/>
      <c r="C435" s="117"/>
      <c r="D435" s="24"/>
      <c r="E435" s="24"/>
      <c r="F435" s="117"/>
      <c r="G435" s="117"/>
      <c r="H435" s="117"/>
      <c r="I435" s="117"/>
      <c r="J435" s="117"/>
      <c r="K435" s="117"/>
      <c r="L435" s="117"/>
      <c r="M435" s="117"/>
      <c r="N435" s="117"/>
      <c r="O435" s="117"/>
      <c r="P435" s="117"/>
      <c r="Q435" s="117"/>
      <c r="R435" s="117"/>
      <c r="S435" s="117"/>
    </row>
    <row r="436" spans="1:19" ht="12.9">
      <c r="A436" s="117"/>
      <c r="B436" s="117"/>
      <c r="C436" s="117"/>
      <c r="D436" s="24"/>
      <c r="E436" s="24"/>
      <c r="F436" s="117"/>
      <c r="G436" s="117"/>
      <c r="H436" s="117"/>
      <c r="I436" s="117"/>
      <c r="J436" s="117"/>
      <c r="K436" s="117"/>
      <c r="L436" s="117"/>
      <c r="M436" s="117"/>
      <c r="N436" s="117"/>
      <c r="O436" s="117"/>
      <c r="P436" s="117"/>
      <c r="Q436" s="117"/>
      <c r="R436" s="117"/>
      <c r="S436" s="117"/>
    </row>
    <row r="437" spans="1:19" ht="12.9">
      <c r="A437" s="117"/>
      <c r="B437" s="117"/>
      <c r="C437" s="117"/>
      <c r="D437" s="24"/>
      <c r="E437" s="24"/>
      <c r="F437" s="117"/>
      <c r="G437" s="117"/>
      <c r="H437" s="117"/>
      <c r="I437" s="117"/>
      <c r="J437" s="117"/>
      <c r="K437" s="117"/>
      <c r="L437" s="117"/>
      <c r="M437" s="117"/>
      <c r="N437" s="117"/>
      <c r="O437" s="117"/>
      <c r="P437" s="117"/>
      <c r="Q437" s="117"/>
      <c r="R437" s="117"/>
      <c r="S437" s="117"/>
    </row>
    <row r="438" spans="1:19" ht="12.9">
      <c r="A438" s="117"/>
      <c r="B438" s="117"/>
      <c r="C438" s="117"/>
      <c r="D438" s="24"/>
      <c r="E438" s="24"/>
      <c r="F438" s="117"/>
      <c r="G438" s="117"/>
      <c r="H438" s="117"/>
      <c r="I438" s="117"/>
      <c r="J438" s="117"/>
      <c r="K438" s="117"/>
      <c r="L438" s="117"/>
      <c r="M438" s="117"/>
      <c r="N438" s="117"/>
      <c r="O438" s="117"/>
      <c r="P438" s="117"/>
      <c r="Q438" s="117"/>
      <c r="R438" s="117"/>
      <c r="S438" s="117"/>
    </row>
    <row r="439" spans="1:19" ht="12.9">
      <c r="A439" s="117"/>
      <c r="B439" s="117"/>
      <c r="C439" s="117"/>
      <c r="D439" s="24"/>
      <c r="E439" s="24"/>
      <c r="F439" s="117"/>
      <c r="G439" s="117"/>
      <c r="H439" s="117"/>
      <c r="I439" s="117"/>
      <c r="J439" s="117"/>
      <c r="K439" s="117"/>
      <c r="L439" s="117"/>
      <c r="M439" s="117"/>
      <c r="N439" s="117"/>
      <c r="O439" s="117"/>
      <c r="P439" s="117"/>
      <c r="Q439" s="117"/>
      <c r="R439" s="117"/>
      <c r="S439" s="117"/>
    </row>
    <row r="440" spans="1:19" ht="12.9">
      <c r="A440" s="117"/>
      <c r="B440" s="117"/>
      <c r="C440" s="117"/>
      <c r="D440" s="24"/>
      <c r="E440" s="24"/>
      <c r="F440" s="117"/>
      <c r="G440" s="117"/>
      <c r="H440" s="117"/>
      <c r="I440" s="117"/>
      <c r="J440" s="117"/>
      <c r="K440" s="117"/>
      <c r="L440" s="117"/>
      <c r="M440" s="117"/>
      <c r="N440" s="117"/>
      <c r="O440" s="117"/>
      <c r="P440" s="117"/>
      <c r="Q440" s="117"/>
      <c r="R440" s="117"/>
      <c r="S440" s="117"/>
    </row>
    <row r="441" spans="1:19" ht="12.9">
      <c r="A441" s="117"/>
      <c r="B441" s="117"/>
      <c r="C441" s="117"/>
      <c r="D441" s="24"/>
      <c r="E441" s="24"/>
      <c r="F441" s="117"/>
      <c r="G441" s="117"/>
      <c r="H441" s="117"/>
      <c r="I441" s="117"/>
      <c r="J441" s="117"/>
      <c r="K441" s="117"/>
      <c r="L441" s="117"/>
      <c r="M441" s="117"/>
      <c r="N441" s="117"/>
      <c r="O441" s="117"/>
      <c r="P441" s="117"/>
      <c r="Q441" s="117"/>
      <c r="R441" s="117"/>
      <c r="S441" s="117"/>
    </row>
    <row r="442" spans="1:19" ht="12.9">
      <c r="A442" s="117"/>
      <c r="B442" s="117"/>
      <c r="C442" s="117"/>
      <c r="D442" s="24"/>
      <c r="E442" s="24"/>
      <c r="F442" s="117"/>
      <c r="G442" s="117"/>
      <c r="H442" s="117"/>
      <c r="I442" s="117"/>
      <c r="J442" s="117"/>
      <c r="K442" s="117"/>
      <c r="L442" s="117"/>
      <c r="M442" s="117"/>
      <c r="N442" s="117"/>
      <c r="O442" s="117"/>
      <c r="P442" s="117"/>
      <c r="Q442" s="117"/>
      <c r="R442" s="117"/>
      <c r="S442" s="117"/>
    </row>
    <row r="443" spans="1:19" ht="12.9">
      <c r="A443" s="117"/>
      <c r="B443" s="117"/>
      <c r="C443" s="117"/>
      <c r="D443" s="24"/>
      <c r="E443" s="24"/>
      <c r="F443" s="117"/>
      <c r="G443" s="117"/>
      <c r="H443" s="117"/>
      <c r="I443" s="117"/>
      <c r="J443" s="117"/>
      <c r="K443" s="117"/>
      <c r="L443" s="117"/>
      <c r="M443" s="117"/>
      <c r="N443" s="117"/>
      <c r="O443" s="117"/>
      <c r="P443" s="117"/>
      <c r="Q443" s="117"/>
      <c r="R443" s="117"/>
      <c r="S443" s="117"/>
    </row>
    <row r="444" spans="1:19" ht="12.9">
      <c r="A444" s="117"/>
      <c r="B444" s="117"/>
      <c r="C444" s="117"/>
      <c r="D444" s="24"/>
      <c r="E444" s="24"/>
      <c r="F444" s="117"/>
      <c r="G444" s="117"/>
      <c r="H444" s="117"/>
      <c r="I444" s="117"/>
      <c r="J444" s="117"/>
      <c r="K444" s="117"/>
      <c r="L444" s="117"/>
      <c r="M444" s="117"/>
      <c r="N444" s="117"/>
      <c r="O444" s="117"/>
      <c r="P444" s="117"/>
      <c r="Q444" s="117"/>
      <c r="R444" s="117"/>
      <c r="S444" s="117"/>
    </row>
    <row r="445" spans="1:19" ht="12.9">
      <c r="A445" s="117"/>
      <c r="B445" s="117"/>
      <c r="C445" s="117"/>
      <c r="D445" s="24"/>
      <c r="E445" s="24"/>
      <c r="F445" s="117"/>
      <c r="G445" s="117"/>
      <c r="H445" s="117"/>
      <c r="I445" s="117"/>
      <c r="J445" s="117"/>
      <c r="K445" s="117"/>
      <c r="L445" s="117"/>
      <c r="M445" s="117"/>
      <c r="N445" s="117"/>
      <c r="O445" s="117"/>
      <c r="P445" s="117"/>
      <c r="Q445" s="117"/>
      <c r="R445" s="117"/>
      <c r="S445" s="117"/>
    </row>
    <row r="446" spans="1:19" ht="12.9">
      <c r="A446" s="117"/>
      <c r="B446" s="117"/>
      <c r="C446" s="117"/>
      <c r="D446" s="24"/>
      <c r="E446" s="24"/>
      <c r="F446" s="117"/>
      <c r="G446" s="117"/>
      <c r="H446" s="117"/>
      <c r="I446" s="117"/>
      <c r="J446" s="117"/>
      <c r="K446" s="117"/>
      <c r="L446" s="117"/>
      <c r="M446" s="117"/>
      <c r="N446" s="117"/>
      <c r="O446" s="117"/>
      <c r="P446" s="117"/>
      <c r="Q446" s="117"/>
      <c r="R446" s="117"/>
      <c r="S446" s="117"/>
    </row>
    <row r="447" spans="1:19" ht="12.9">
      <c r="A447" s="117"/>
      <c r="B447" s="117"/>
      <c r="C447" s="117"/>
      <c r="D447" s="24"/>
      <c r="E447" s="24"/>
      <c r="F447" s="117"/>
      <c r="G447" s="117"/>
      <c r="H447" s="117"/>
      <c r="I447" s="117"/>
      <c r="J447" s="117"/>
      <c r="K447" s="117"/>
      <c r="L447" s="117"/>
      <c r="M447" s="117"/>
      <c r="N447" s="117"/>
      <c r="O447" s="117"/>
      <c r="P447" s="117"/>
      <c r="Q447" s="117"/>
      <c r="R447" s="117"/>
      <c r="S447" s="117"/>
    </row>
    <row r="448" spans="1:19" ht="12.9">
      <c r="A448" s="117"/>
      <c r="B448" s="117"/>
      <c r="C448" s="117"/>
      <c r="D448" s="24"/>
      <c r="E448" s="24"/>
      <c r="F448" s="117"/>
      <c r="G448" s="117"/>
      <c r="H448" s="117"/>
      <c r="I448" s="117"/>
      <c r="J448" s="117"/>
      <c r="K448" s="117"/>
      <c r="L448" s="117"/>
      <c r="M448" s="117"/>
      <c r="N448" s="117"/>
      <c r="O448" s="117"/>
      <c r="P448" s="117"/>
      <c r="Q448" s="117"/>
      <c r="R448" s="117"/>
      <c r="S448" s="117"/>
    </row>
    <row r="449" spans="1:19" ht="12.9">
      <c r="A449" s="117"/>
      <c r="B449" s="117"/>
      <c r="C449" s="117"/>
      <c r="D449" s="24"/>
      <c r="E449" s="24"/>
      <c r="F449" s="117"/>
      <c r="G449" s="117"/>
      <c r="H449" s="117"/>
      <c r="I449" s="117"/>
      <c r="J449" s="117"/>
      <c r="K449" s="117"/>
      <c r="L449" s="117"/>
      <c r="M449" s="117"/>
      <c r="N449" s="117"/>
      <c r="O449" s="117"/>
      <c r="P449" s="117"/>
      <c r="Q449" s="117"/>
      <c r="R449" s="117"/>
      <c r="S449" s="117"/>
    </row>
    <row r="450" spans="1:19" ht="12.9">
      <c r="A450" s="117"/>
      <c r="B450" s="117"/>
      <c r="C450" s="117"/>
      <c r="D450" s="24"/>
      <c r="E450" s="24"/>
      <c r="F450" s="117"/>
      <c r="G450" s="117"/>
      <c r="H450" s="117"/>
      <c r="I450" s="117"/>
      <c r="J450" s="117"/>
      <c r="K450" s="117"/>
      <c r="L450" s="117"/>
      <c r="M450" s="117"/>
      <c r="N450" s="117"/>
      <c r="O450" s="117"/>
      <c r="P450" s="117"/>
      <c r="Q450" s="117"/>
      <c r="R450" s="117"/>
      <c r="S450" s="117"/>
    </row>
    <row r="451" spans="1:19" ht="12.9">
      <c r="A451" s="117"/>
      <c r="B451" s="117"/>
      <c r="C451" s="117"/>
      <c r="D451" s="24"/>
      <c r="E451" s="24"/>
      <c r="F451" s="117"/>
      <c r="G451" s="117"/>
      <c r="H451" s="117"/>
      <c r="I451" s="117"/>
      <c r="J451" s="117"/>
      <c r="K451" s="117"/>
      <c r="L451" s="117"/>
      <c r="M451" s="117"/>
      <c r="N451" s="117"/>
      <c r="O451" s="117"/>
      <c r="P451" s="117"/>
      <c r="Q451" s="117"/>
      <c r="R451" s="117"/>
      <c r="S451" s="117"/>
    </row>
    <row r="452" spans="1:19" ht="12.9">
      <c r="A452" s="117"/>
      <c r="B452" s="117"/>
      <c r="C452" s="117"/>
      <c r="D452" s="24"/>
      <c r="E452" s="24"/>
      <c r="F452" s="117"/>
      <c r="G452" s="117"/>
      <c r="H452" s="117"/>
      <c r="I452" s="117"/>
      <c r="J452" s="117"/>
      <c r="K452" s="117"/>
      <c r="L452" s="117"/>
      <c r="M452" s="117"/>
      <c r="N452" s="117"/>
      <c r="O452" s="117"/>
      <c r="P452" s="117"/>
      <c r="Q452" s="117"/>
      <c r="R452" s="117"/>
      <c r="S452" s="117"/>
    </row>
    <row r="453" spans="1:19" ht="12.9">
      <c r="A453" s="117"/>
      <c r="B453" s="117"/>
      <c r="C453" s="117"/>
      <c r="D453" s="24"/>
      <c r="E453" s="24"/>
      <c r="F453" s="117"/>
      <c r="G453" s="117"/>
      <c r="H453" s="117"/>
      <c r="I453" s="117"/>
      <c r="J453" s="117"/>
      <c r="K453" s="117"/>
      <c r="L453" s="117"/>
      <c r="M453" s="117"/>
      <c r="N453" s="117"/>
      <c r="O453" s="117"/>
      <c r="P453" s="117"/>
      <c r="Q453" s="117"/>
      <c r="R453" s="117"/>
      <c r="S453" s="117"/>
    </row>
    <row r="454" spans="1:19" ht="12.9">
      <c r="A454" s="117"/>
      <c r="B454" s="117"/>
      <c r="C454" s="117"/>
      <c r="D454" s="24"/>
      <c r="E454" s="24"/>
      <c r="F454" s="117"/>
      <c r="G454" s="117"/>
      <c r="H454" s="117"/>
      <c r="I454" s="117"/>
      <c r="J454" s="117"/>
      <c r="K454" s="117"/>
      <c r="L454" s="117"/>
      <c r="M454" s="117"/>
      <c r="N454" s="117"/>
      <c r="O454" s="117"/>
      <c r="P454" s="117"/>
      <c r="Q454" s="117"/>
      <c r="R454" s="117"/>
      <c r="S454" s="117"/>
    </row>
    <row r="455" spans="1:19" ht="12.9">
      <c r="A455" s="117"/>
      <c r="B455" s="117"/>
      <c r="C455" s="117"/>
      <c r="D455" s="24"/>
      <c r="E455" s="24"/>
      <c r="F455" s="117"/>
      <c r="G455" s="117"/>
      <c r="H455" s="117"/>
      <c r="I455" s="117"/>
      <c r="J455" s="117"/>
      <c r="K455" s="117"/>
      <c r="L455" s="117"/>
      <c r="M455" s="117"/>
      <c r="N455" s="117"/>
      <c r="O455" s="117"/>
      <c r="P455" s="117"/>
      <c r="Q455" s="117"/>
      <c r="R455" s="117"/>
      <c r="S455" s="117"/>
    </row>
    <row r="456" spans="1:19" ht="12.9">
      <c r="A456" s="117"/>
      <c r="B456" s="117"/>
      <c r="C456" s="117"/>
      <c r="D456" s="24"/>
      <c r="E456" s="24"/>
      <c r="F456" s="117"/>
      <c r="G456" s="117"/>
      <c r="H456" s="117"/>
      <c r="I456" s="117"/>
      <c r="J456" s="117"/>
      <c r="K456" s="117"/>
      <c r="L456" s="117"/>
      <c r="M456" s="117"/>
      <c r="N456" s="117"/>
      <c r="O456" s="117"/>
      <c r="P456" s="117"/>
      <c r="Q456" s="117"/>
      <c r="R456" s="117"/>
      <c r="S456" s="117"/>
    </row>
    <row r="457" spans="1:19" ht="12.9">
      <c r="A457" s="117"/>
      <c r="B457" s="117"/>
      <c r="C457" s="117"/>
      <c r="D457" s="24"/>
      <c r="E457" s="24"/>
      <c r="F457" s="117"/>
      <c r="G457" s="117"/>
      <c r="H457" s="117"/>
      <c r="I457" s="117"/>
      <c r="J457" s="117"/>
      <c r="K457" s="117"/>
      <c r="L457" s="117"/>
      <c r="M457" s="117"/>
      <c r="N457" s="117"/>
      <c r="O457" s="117"/>
      <c r="P457" s="117"/>
      <c r="Q457" s="117"/>
      <c r="R457" s="117"/>
      <c r="S457" s="117"/>
    </row>
    <row r="458" spans="1:19" ht="12.9">
      <c r="A458" s="117"/>
      <c r="B458" s="117"/>
      <c r="C458" s="117"/>
      <c r="D458" s="24"/>
      <c r="E458" s="24"/>
      <c r="F458" s="117"/>
      <c r="G458" s="117"/>
      <c r="H458" s="117"/>
      <c r="I458" s="117"/>
      <c r="J458" s="117"/>
      <c r="K458" s="117"/>
      <c r="L458" s="117"/>
      <c r="M458" s="117"/>
      <c r="N458" s="117"/>
      <c r="O458" s="117"/>
      <c r="P458" s="117"/>
      <c r="Q458" s="117"/>
      <c r="R458" s="117"/>
      <c r="S458" s="117"/>
    </row>
    <row r="459" spans="1:19" ht="12.9">
      <c r="A459" s="117"/>
      <c r="B459" s="117"/>
      <c r="C459" s="117"/>
      <c r="D459" s="24"/>
      <c r="E459" s="24"/>
      <c r="F459" s="117"/>
      <c r="G459" s="117"/>
      <c r="H459" s="117"/>
      <c r="I459" s="117"/>
      <c r="J459" s="117"/>
      <c r="K459" s="117"/>
      <c r="L459" s="117"/>
      <c r="M459" s="117"/>
      <c r="N459" s="117"/>
      <c r="O459" s="117"/>
      <c r="P459" s="117"/>
      <c r="Q459" s="117"/>
      <c r="R459" s="117"/>
      <c r="S459" s="117"/>
    </row>
    <row r="460" spans="1:19" ht="12.9">
      <c r="A460" s="117"/>
      <c r="B460" s="117"/>
      <c r="C460" s="117"/>
      <c r="D460" s="24"/>
      <c r="E460" s="24"/>
      <c r="F460" s="117"/>
      <c r="G460" s="117"/>
      <c r="H460" s="117"/>
      <c r="I460" s="117"/>
      <c r="J460" s="117"/>
      <c r="K460" s="117"/>
      <c r="L460" s="117"/>
      <c r="M460" s="117"/>
      <c r="N460" s="117"/>
      <c r="O460" s="117"/>
      <c r="P460" s="117"/>
      <c r="Q460" s="117"/>
      <c r="R460" s="117"/>
      <c r="S460" s="117"/>
    </row>
    <row r="461" spans="1:19" ht="12.9">
      <c r="A461" s="117"/>
      <c r="B461" s="117"/>
      <c r="C461" s="117"/>
      <c r="D461" s="24"/>
      <c r="E461" s="24"/>
      <c r="F461" s="117"/>
      <c r="G461" s="117"/>
      <c r="H461" s="117"/>
      <c r="I461" s="117"/>
      <c r="J461" s="117"/>
      <c r="K461" s="117"/>
      <c r="L461" s="117"/>
      <c r="M461" s="117"/>
      <c r="N461" s="117"/>
      <c r="O461" s="117"/>
      <c r="P461" s="117"/>
      <c r="Q461" s="117"/>
      <c r="R461" s="117"/>
      <c r="S461" s="117"/>
    </row>
    <row r="462" spans="1:19" ht="12.9">
      <c r="A462" s="117"/>
      <c r="B462" s="117"/>
      <c r="C462" s="117"/>
      <c r="D462" s="24"/>
      <c r="E462" s="24"/>
      <c r="F462" s="117"/>
      <c r="G462" s="117"/>
      <c r="H462" s="117"/>
      <c r="I462" s="117"/>
      <c r="J462" s="117"/>
      <c r="K462" s="117"/>
      <c r="L462" s="117"/>
      <c r="M462" s="117"/>
      <c r="N462" s="117"/>
      <c r="O462" s="117"/>
      <c r="P462" s="117"/>
      <c r="Q462" s="117"/>
      <c r="R462" s="117"/>
      <c r="S462" s="117"/>
    </row>
    <row r="463" spans="1:19" ht="12.9">
      <c r="A463" s="117"/>
      <c r="B463" s="117"/>
      <c r="C463" s="117"/>
      <c r="D463" s="24"/>
      <c r="E463" s="24"/>
      <c r="F463" s="117"/>
      <c r="G463" s="117"/>
      <c r="H463" s="117"/>
      <c r="I463" s="117"/>
      <c r="J463" s="117"/>
      <c r="K463" s="117"/>
      <c r="L463" s="117"/>
      <c r="M463" s="117"/>
      <c r="N463" s="117"/>
      <c r="O463" s="117"/>
      <c r="P463" s="117"/>
      <c r="Q463" s="117"/>
      <c r="R463" s="117"/>
      <c r="S463" s="117"/>
    </row>
    <row r="464" spans="1:19" ht="12.9">
      <c r="A464" s="117"/>
      <c r="B464" s="117"/>
      <c r="C464" s="117"/>
      <c r="D464" s="24"/>
      <c r="E464" s="24"/>
      <c r="F464" s="117"/>
      <c r="G464" s="117"/>
      <c r="H464" s="117"/>
      <c r="I464" s="117"/>
      <c r="J464" s="117"/>
      <c r="K464" s="117"/>
      <c r="L464" s="117"/>
      <c r="M464" s="117"/>
      <c r="N464" s="117"/>
      <c r="O464" s="117"/>
      <c r="P464" s="117"/>
      <c r="Q464" s="117"/>
      <c r="R464" s="117"/>
      <c r="S464" s="117"/>
    </row>
    <row r="465" spans="1:19" ht="12.9">
      <c r="A465" s="117"/>
      <c r="B465" s="117"/>
      <c r="C465" s="117"/>
      <c r="D465" s="24"/>
      <c r="E465" s="24"/>
      <c r="F465" s="117"/>
      <c r="G465" s="117"/>
      <c r="H465" s="117"/>
      <c r="I465" s="117"/>
      <c r="J465" s="117"/>
      <c r="K465" s="117"/>
      <c r="L465" s="117"/>
      <c r="M465" s="117"/>
      <c r="N465" s="117"/>
      <c r="O465" s="117"/>
      <c r="P465" s="117"/>
      <c r="Q465" s="117"/>
      <c r="R465" s="117"/>
      <c r="S465" s="117"/>
    </row>
    <row r="466" spans="1:19" ht="12.9">
      <c r="A466" s="117"/>
      <c r="B466" s="117"/>
      <c r="C466" s="117"/>
      <c r="D466" s="24"/>
      <c r="E466" s="24"/>
      <c r="F466" s="117"/>
      <c r="G466" s="117"/>
      <c r="H466" s="117"/>
      <c r="I466" s="117"/>
      <c r="J466" s="117"/>
      <c r="K466" s="117"/>
      <c r="L466" s="117"/>
      <c r="M466" s="117"/>
      <c r="N466" s="117"/>
      <c r="O466" s="117"/>
      <c r="P466" s="117"/>
      <c r="Q466" s="117"/>
      <c r="R466" s="117"/>
      <c r="S466" s="117"/>
    </row>
    <row r="467" spans="1:19" ht="12.9">
      <c r="A467" s="117"/>
      <c r="B467" s="117"/>
      <c r="C467" s="117"/>
      <c r="D467" s="24"/>
      <c r="E467" s="24"/>
      <c r="F467" s="117"/>
      <c r="G467" s="117"/>
      <c r="H467" s="117"/>
      <c r="I467" s="117"/>
      <c r="J467" s="117"/>
      <c r="K467" s="117"/>
      <c r="L467" s="117"/>
      <c r="M467" s="117"/>
      <c r="N467" s="117"/>
      <c r="O467" s="117"/>
      <c r="P467" s="117"/>
      <c r="Q467" s="117"/>
      <c r="R467" s="117"/>
      <c r="S467" s="117"/>
    </row>
    <row r="468" spans="1:19" ht="12.9">
      <c r="A468" s="117"/>
      <c r="B468" s="117"/>
      <c r="C468" s="117"/>
      <c r="D468" s="24"/>
      <c r="E468" s="24"/>
      <c r="F468" s="117"/>
      <c r="G468" s="117"/>
      <c r="H468" s="117"/>
      <c r="I468" s="117"/>
      <c r="J468" s="117"/>
      <c r="K468" s="117"/>
      <c r="L468" s="117"/>
      <c r="M468" s="117"/>
      <c r="N468" s="117"/>
      <c r="O468" s="117"/>
      <c r="P468" s="117"/>
      <c r="Q468" s="117"/>
      <c r="R468" s="117"/>
      <c r="S468" s="117"/>
    </row>
    <row r="469" spans="1:19" ht="12.9">
      <c r="A469" s="117"/>
      <c r="B469" s="117"/>
      <c r="C469" s="117"/>
      <c r="D469" s="24"/>
      <c r="E469" s="24"/>
      <c r="F469" s="117"/>
      <c r="G469" s="117"/>
      <c r="H469" s="117"/>
      <c r="I469" s="117"/>
      <c r="J469" s="117"/>
      <c r="K469" s="117"/>
      <c r="L469" s="117"/>
      <c r="M469" s="117"/>
      <c r="N469" s="117"/>
      <c r="O469" s="117"/>
      <c r="P469" s="117"/>
      <c r="Q469" s="117"/>
      <c r="R469" s="117"/>
      <c r="S469" s="117"/>
    </row>
    <row r="470" spans="1:19" ht="12.9">
      <c r="A470" s="117"/>
      <c r="B470" s="117"/>
      <c r="C470" s="117"/>
      <c r="D470" s="24"/>
      <c r="E470" s="24"/>
      <c r="F470" s="117"/>
      <c r="G470" s="117"/>
      <c r="H470" s="117"/>
      <c r="I470" s="117"/>
      <c r="J470" s="117"/>
      <c r="K470" s="117"/>
      <c r="L470" s="117"/>
      <c r="M470" s="117"/>
      <c r="N470" s="117"/>
      <c r="O470" s="117"/>
      <c r="P470" s="117"/>
      <c r="Q470" s="117"/>
      <c r="R470" s="117"/>
      <c r="S470" s="117"/>
    </row>
    <row r="471" spans="1:19" ht="12.9">
      <c r="A471" s="117"/>
      <c r="B471" s="117"/>
      <c r="C471" s="117"/>
      <c r="D471" s="24"/>
      <c r="E471" s="24"/>
      <c r="F471" s="117"/>
      <c r="G471" s="117"/>
      <c r="H471" s="117"/>
      <c r="I471" s="117"/>
      <c r="J471" s="117"/>
      <c r="K471" s="117"/>
      <c r="L471" s="117"/>
      <c r="M471" s="117"/>
      <c r="N471" s="117"/>
      <c r="O471" s="117"/>
      <c r="P471" s="117"/>
      <c r="Q471" s="117"/>
      <c r="R471" s="117"/>
      <c r="S471" s="117"/>
    </row>
    <row r="472" spans="1:19" ht="12.9">
      <c r="A472" s="117"/>
      <c r="B472" s="117"/>
      <c r="C472" s="117"/>
      <c r="D472" s="24"/>
      <c r="E472" s="24"/>
      <c r="F472" s="117"/>
      <c r="G472" s="117"/>
      <c r="H472" s="117"/>
      <c r="I472" s="117"/>
      <c r="J472" s="117"/>
      <c r="K472" s="117"/>
      <c r="L472" s="117"/>
      <c r="M472" s="117"/>
      <c r="N472" s="117"/>
      <c r="O472" s="117"/>
      <c r="P472" s="117"/>
      <c r="Q472" s="117"/>
      <c r="R472" s="117"/>
      <c r="S472" s="117"/>
    </row>
    <row r="473" spans="1:19" ht="12.9">
      <c r="A473" s="117"/>
      <c r="B473" s="117"/>
      <c r="C473" s="117"/>
      <c r="D473" s="24"/>
      <c r="E473" s="24"/>
      <c r="F473" s="117"/>
      <c r="G473" s="117"/>
      <c r="H473" s="117"/>
      <c r="I473" s="117"/>
      <c r="J473" s="117"/>
      <c r="K473" s="117"/>
      <c r="L473" s="117"/>
      <c r="M473" s="117"/>
      <c r="N473" s="117"/>
      <c r="O473" s="117"/>
      <c r="P473" s="117"/>
      <c r="Q473" s="117"/>
      <c r="R473" s="117"/>
      <c r="S473" s="117"/>
    </row>
    <row r="474" spans="1:19" ht="12.9">
      <c r="A474" s="117"/>
      <c r="B474" s="117"/>
      <c r="C474" s="117"/>
      <c r="D474" s="24"/>
      <c r="E474" s="24"/>
      <c r="F474" s="117"/>
      <c r="G474" s="117"/>
      <c r="H474" s="117"/>
      <c r="I474" s="117"/>
      <c r="J474" s="117"/>
      <c r="K474" s="117"/>
      <c r="L474" s="117"/>
      <c r="M474" s="117"/>
      <c r="N474" s="117"/>
      <c r="O474" s="117"/>
      <c r="P474" s="117"/>
      <c r="Q474" s="117"/>
      <c r="R474" s="117"/>
      <c r="S474" s="117"/>
    </row>
    <row r="475" spans="1:19" ht="12.9">
      <c r="A475" s="117"/>
      <c r="B475" s="117"/>
      <c r="C475" s="117"/>
      <c r="D475" s="24"/>
      <c r="E475" s="24"/>
      <c r="F475" s="117"/>
      <c r="G475" s="117"/>
      <c r="H475" s="117"/>
      <c r="I475" s="117"/>
      <c r="J475" s="117"/>
      <c r="K475" s="117"/>
      <c r="L475" s="117"/>
      <c r="M475" s="117"/>
      <c r="N475" s="117"/>
      <c r="O475" s="117"/>
      <c r="P475" s="117"/>
      <c r="Q475" s="117"/>
      <c r="R475" s="117"/>
      <c r="S475" s="117"/>
    </row>
    <row r="476" spans="1:19" ht="12.9">
      <c r="A476" s="117"/>
      <c r="B476" s="117"/>
      <c r="C476" s="117"/>
      <c r="D476" s="24"/>
      <c r="E476" s="24"/>
      <c r="F476" s="117"/>
      <c r="G476" s="117"/>
      <c r="H476" s="117"/>
      <c r="I476" s="117"/>
      <c r="J476" s="117"/>
      <c r="K476" s="117"/>
      <c r="L476" s="117"/>
      <c r="M476" s="117"/>
      <c r="N476" s="117"/>
      <c r="O476" s="117"/>
      <c r="P476" s="117"/>
      <c r="Q476" s="117"/>
      <c r="R476" s="117"/>
      <c r="S476" s="117"/>
    </row>
    <row r="477" spans="1:19" ht="12.9">
      <c r="A477" s="117"/>
      <c r="B477" s="117"/>
      <c r="C477" s="117"/>
      <c r="D477" s="24"/>
      <c r="E477" s="24"/>
      <c r="F477" s="117"/>
      <c r="G477" s="117"/>
      <c r="H477" s="117"/>
      <c r="I477" s="117"/>
      <c r="J477" s="117"/>
      <c r="K477" s="117"/>
      <c r="L477" s="117"/>
      <c r="M477" s="117"/>
      <c r="N477" s="117"/>
      <c r="O477" s="117"/>
      <c r="P477" s="117"/>
      <c r="Q477" s="117"/>
      <c r="R477" s="117"/>
      <c r="S477" s="117"/>
    </row>
    <row r="478" spans="1:19" ht="12.9">
      <c r="A478" s="117"/>
      <c r="B478" s="117"/>
      <c r="C478" s="117"/>
      <c r="D478" s="24"/>
      <c r="E478" s="24"/>
      <c r="F478" s="117"/>
      <c r="G478" s="117"/>
      <c r="H478" s="117"/>
      <c r="I478" s="117"/>
      <c r="J478" s="117"/>
      <c r="K478" s="117"/>
      <c r="L478" s="117"/>
      <c r="M478" s="117"/>
      <c r="N478" s="117"/>
      <c r="O478" s="117"/>
      <c r="P478" s="117"/>
      <c r="Q478" s="117"/>
      <c r="R478" s="117"/>
      <c r="S478" s="117"/>
    </row>
    <row r="479" spans="1:19" ht="12.9">
      <c r="A479" s="117"/>
      <c r="B479" s="117"/>
      <c r="C479" s="117"/>
      <c r="D479" s="24"/>
      <c r="E479" s="24"/>
      <c r="F479" s="117"/>
      <c r="G479" s="117"/>
      <c r="H479" s="117"/>
      <c r="I479" s="117"/>
      <c r="J479" s="117"/>
      <c r="K479" s="117"/>
      <c r="L479" s="117"/>
      <c r="M479" s="117"/>
      <c r="N479" s="117"/>
      <c r="O479" s="117"/>
      <c r="P479" s="117"/>
      <c r="Q479" s="117"/>
      <c r="R479" s="117"/>
      <c r="S479" s="117"/>
    </row>
    <row r="480" spans="1:19" ht="12.9">
      <c r="A480" s="117"/>
      <c r="B480" s="117"/>
      <c r="C480" s="117"/>
      <c r="D480" s="24"/>
      <c r="E480" s="24"/>
      <c r="F480" s="117"/>
      <c r="G480" s="117"/>
      <c r="H480" s="117"/>
      <c r="I480" s="117"/>
      <c r="J480" s="117"/>
      <c r="K480" s="117"/>
      <c r="L480" s="117"/>
      <c r="M480" s="117"/>
      <c r="N480" s="117"/>
      <c r="O480" s="117"/>
      <c r="P480" s="117"/>
      <c r="Q480" s="117"/>
      <c r="R480" s="117"/>
      <c r="S480" s="117"/>
    </row>
    <row r="481" spans="1:19" ht="12.9">
      <c r="A481" s="117"/>
      <c r="B481" s="117"/>
      <c r="C481" s="117"/>
      <c r="D481" s="24"/>
      <c r="E481" s="24"/>
      <c r="F481" s="117"/>
      <c r="G481" s="117"/>
      <c r="H481" s="117"/>
      <c r="I481" s="117"/>
      <c r="J481" s="117"/>
      <c r="K481" s="117"/>
      <c r="L481" s="117"/>
      <c r="M481" s="117"/>
      <c r="N481" s="117"/>
      <c r="O481" s="117"/>
      <c r="P481" s="117"/>
      <c r="Q481" s="117"/>
      <c r="R481" s="117"/>
      <c r="S481" s="117"/>
    </row>
    <row r="482" spans="1:19" ht="12.9">
      <c r="A482" s="117"/>
      <c r="B482" s="117"/>
      <c r="C482" s="117"/>
      <c r="D482" s="24"/>
      <c r="E482" s="24"/>
      <c r="F482" s="117"/>
      <c r="G482" s="117"/>
      <c r="H482" s="117"/>
      <c r="I482" s="117"/>
      <c r="J482" s="117"/>
      <c r="K482" s="117"/>
      <c r="L482" s="117"/>
      <c r="M482" s="117"/>
      <c r="N482" s="117"/>
      <c r="O482" s="117"/>
      <c r="P482" s="117"/>
      <c r="Q482" s="117"/>
      <c r="R482" s="117"/>
      <c r="S482" s="117"/>
    </row>
    <row r="483" spans="1:19" ht="12.9">
      <c r="A483" s="117"/>
      <c r="B483" s="117"/>
      <c r="C483" s="117"/>
      <c r="D483" s="24"/>
      <c r="E483" s="24"/>
      <c r="F483" s="117"/>
      <c r="G483" s="117"/>
      <c r="H483" s="117"/>
      <c r="I483" s="117"/>
      <c r="J483" s="117"/>
      <c r="K483" s="117"/>
      <c r="L483" s="117"/>
      <c r="M483" s="117"/>
      <c r="N483" s="117"/>
      <c r="O483" s="117"/>
      <c r="P483" s="117"/>
      <c r="Q483" s="117"/>
      <c r="R483" s="117"/>
      <c r="S483" s="117"/>
    </row>
    <row r="484" spans="1:19" ht="12.9">
      <c r="A484" s="117"/>
      <c r="B484" s="117"/>
      <c r="C484" s="117"/>
      <c r="D484" s="24"/>
      <c r="E484" s="24"/>
      <c r="F484" s="117"/>
      <c r="G484" s="117"/>
      <c r="H484" s="117"/>
      <c r="I484" s="117"/>
      <c r="J484" s="117"/>
      <c r="K484" s="117"/>
      <c r="L484" s="117"/>
      <c r="M484" s="117"/>
      <c r="N484" s="117"/>
      <c r="O484" s="117"/>
      <c r="P484" s="117"/>
      <c r="Q484" s="117"/>
      <c r="R484" s="117"/>
      <c r="S484" s="117"/>
    </row>
    <row r="485" spans="1:19" ht="12.9">
      <c r="A485" s="117"/>
      <c r="B485" s="117"/>
      <c r="C485" s="117"/>
      <c r="D485" s="24"/>
      <c r="E485" s="24"/>
      <c r="F485" s="117"/>
      <c r="G485" s="117"/>
      <c r="H485" s="117"/>
      <c r="I485" s="117"/>
      <c r="J485" s="117"/>
      <c r="K485" s="117"/>
      <c r="L485" s="117"/>
      <c r="M485" s="117"/>
      <c r="N485" s="117"/>
      <c r="O485" s="117"/>
      <c r="P485" s="117"/>
      <c r="Q485" s="117"/>
      <c r="R485" s="117"/>
      <c r="S485" s="117"/>
    </row>
    <row r="486" spans="1:19" ht="12.9">
      <c r="A486" s="117"/>
      <c r="B486" s="117"/>
      <c r="C486" s="117"/>
      <c r="D486" s="24"/>
      <c r="E486" s="24"/>
      <c r="F486" s="117"/>
      <c r="G486" s="117"/>
      <c r="H486" s="117"/>
      <c r="I486" s="117"/>
      <c r="J486" s="117"/>
      <c r="K486" s="117"/>
      <c r="L486" s="117"/>
      <c r="M486" s="117"/>
      <c r="N486" s="117"/>
      <c r="O486" s="117"/>
      <c r="P486" s="117"/>
      <c r="Q486" s="117"/>
      <c r="R486" s="117"/>
      <c r="S486" s="117"/>
    </row>
    <row r="487" spans="1:19" ht="12.9">
      <c r="A487" s="117"/>
      <c r="B487" s="117"/>
      <c r="C487" s="117"/>
      <c r="D487" s="24"/>
      <c r="E487" s="24"/>
      <c r="F487" s="117"/>
      <c r="G487" s="117"/>
      <c r="H487" s="117"/>
      <c r="I487" s="117"/>
      <c r="J487" s="117"/>
      <c r="K487" s="117"/>
      <c r="L487" s="117"/>
      <c r="M487" s="117"/>
      <c r="N487" s="117"/>
      <c r="O487" s="117"/>
      <c r="P487" s="117"/>
      <c r="Q487" s="117"/>
      <c r="R487" s="117"/>
      <c r="S487" s="117"/>
    </row>
    <row r="488" spans="1:19" ht="12.9">
      <c r="A488" s="117"/>
      <c r="B488" s="117"/>
      <c r="C488" s="117"/>
      <c r="D488" s="24"/>
      <c r="E488" s="24"/>
      <c r="F488" s="117"/>
      <c r="G488" s="117"/>
      <c r="H488" s="117"/>
      <c r="I488" s="117"/>
      <c r="J488" s="117"/>
      <c r="K488" s="117"/>
      <c r="L488" s="117"/>
      <c r="M488" s="117"/>
      <c r="N488" s="117"/>
      <c r="O488" s="117"/>
      <c r="P488" s="117"/>
      <c r="Q488" s="117"/>
      <c r="R488" s="117"/>
      <c r="S488" s="117"/>
    </row>
    <row r="489" spans="1:19" ht="12.9">
      <c r="A489" s="117"/>
      <c r="B489" s="117"/>
      <c r="C489" s="117"/>
      <c r="D489" s="24"/>
      <c r="E489" s="24"/>
      <c r="F489" s="117"/>
      <c r="G489" s="117"/>
      <c r="H489" s="117"/>
      <c r="I489" s="117"/>
      <c r="J489" s="117"/>
      <c r="K489" s="117"/>
      <c r="L489" s="117"/>
      <c r="M489" s="117"/>
      <c r="N489" s="117"/>
      <c r="O489" s="117"/>
      <c r="P489" s="117"/>
      <c r="Q489" s="117"/>
      <c r="R489" s="117"/>
      <c r="S489" s="117"/>
    </row>
    <row r="490" spans="1:19" ht="12.9">
      <c r="A490" s="117"/>
      <c r="B490" s="117"/>
      <c r="C490" s="117"/>
      <c r="D490" s="24"/>
      <c r="E490" s="24"/>
      <c r="F490" s="117"/>
      <c r="G490" s="117"/>
      <c r="H490" s="117"/>
      <c r="I490" s="117"/>
      <c r="J490" s="117"/>
      <c r="K490" s="117"/>
      <c r="L490" s="117"/>
      <c r="M490" s="117"/>
      <c r="N490" s="117"/>
      <c r="O490" s="117"/>
      <c r="P490" s="117"/>
      <c r="Q490" s="117"/>
      <c r="R490" s="117"/>
      <c r="S490" s="117"/>
    </row>
    <row r="491" spans="1:19" ht="12.9">
      <c r="A491" s="117"/>
      <c r="B491" s="117"/>
      <c r="C491" s="117"/>
      <c r="D491" s="24"/>
      <c r="E491" s="24"/>
      <c r="F491" s="117"/>
      <c r="G491" s="117"/>
      <c r="H491" s="117"/>
      <c r="I491" s="117"/>
      <c r="J491" s="117"/>
      <c r="K491" s="117"/>
      <c r="L491" s="117"/>
      <c r="M491" s="117"/>
      <c r="N491" s="117"/>
      <c r="O491" s="117"/>
      <c r="P491" s="117"/>
      <c r="Q491" s="117"/>
      <c r="R491" s="117"/>
      <c r="S491" s="117"/>
    </row>
    <row r="492" spans="1:19" ht="12.9">
      <c r="A492" s="117"/>
      <c r="B492" s="117"/>
      <c r="C492" s="117"/>
      <c r="D492" s="24"/>
      <c r="E492" s="24"/>
      <c r="F492" s="117"/>
      <c r="G492" s="117"/>
      <c r="H492" s="117"/>
      <c r="I492" s="117"/>
      <c r="J492" s="117"/>
      <c r="K492" s="117"/>
      <c r="L492" s="117"/>
      <c r="M492" s="117"/>
      <c r="N492" s="117"/>
      <c r="O492" s="117"/>
      <c r="P492" s="117"/>
      <c r="Q492" s="117"/>
      <c r="R492" s="117"/>
      <c r="S492" s="117"/>
    </row>
    <row r="493" spans="1:19" ht="12.9">
      <c r="A493" s="117"/>
      <c r="B493" s="117"/>
      <c r="C493" s="117"/>
      <c r="D493" s="24"/>
      <c r="E493" s="24"/>
      <c r="F493" s="117"/>
      <c r="G493" s="117"/>
      <c r="H493" s="117"/>
      <c r="I493" s="117"/>
      <c r="J493" s="117"/>
      <c r="K493" s="117"/>
      <c r="L493" s="117"/>
      <c r="M493" s="117"/>
      <c r="N493" s="117"/>
      <c r="O493" s="117"/>
      <c r="P493" s="117"/>
      <c r="Q493" s="117"/>
      <c r="R493" s="117"/>
      <c r="S493" s="117"/>
    </row>
    <row r="494" spans="1:19" ht="12.9">
      <c r="A494" s="117"/>
      <c r="B494" s="117"/>
      <c r="C494" s="117"/>
      <c r="D494" s="24"/>
      <c r="E494" s="24"/>
      <c r="F494" s="117"/>
      <c r="G494" s="117"/>
      <c r="H494" s="117"/>
      <c r="I494" s="117"/>
      <c r="J494" s="117"/>
      <c r="K494" s="117"/>
      <c r="L494" s="117"/>
      <c r="M494" s="117"/>
      <c r="N494" s="117"/>
      <c r="O494" s="117"/>
      <c r="P494" s="117"/>
      <c r="Q494" s="117"/>
      <c r="R494" s="117"/>
      <c r="S494" s="117"/>
    </row>
    <row r="495" spans="1:19" ht="12.9">
      <c r="A495" s="117"/>
      <c r="B495" s="117"/>
      <c r="C495" s="117"/>
      <c r="D495" s="24"/>
      <c r="E495" s="24"/>
      <c r="F495" s="117"/>
      <c r="G495" s="117"/>
      <c r="H495" s="117"/>
      <c r="I495" s="117"/>
      <c r="J495" s="117"/>
      <c r="K495" s="117"/>
      <c r="L495" s="117"/>
      <c r="M495" s="117"/>
      <c r="N495" s="117"/>
      <c r="O495" s="117"/>
      <c r="P495" s="117"/>
      <c r="Q495" s="117"/>
      <c r="R495" s="117"/>
      <c r="S495" s="117"/>
    </row>
    <row r="496" spans="1:19" ht="12.9">
      <c r="A496" s="117"/>
      <c r="B496" s="117"/>
      <c r="C496" s="117"/>
      <c r="D496" s="24"/>
      <c r="E496" s="24"/>
      <c r="F496" s="117"/>
      <c r="G496" s="117"/>
      <c r="H496" s="117"/>
      <c r="I496" s="117"/>
      <c r="J496" s="117"/>
      <c r="K496" s="117"/>
      <c r="L496" s="117"/>
      <c r="M496" s="117"/>
      <c r="N496" s="117"/>
      <c r="O496" s="117"/>
      <c r="P496" s="117"/>
      <c r="Q496" s="117"/>
      <c r="R496" s="117"/>
      <c r="S496" s="117"/>
    </row>
    <row r="497" spans="1:19" ht="12.9">
      <c r="A497" s="117"/>
      <c r="B497" s="117"/>
      <c r="C497" s="117"/>
      <c r="D497" s="24"/>
      <c r="E497" s="24"/>
      <c r="F497" s="117"/>
      <c r="G497" s="117"/>
      <c r="H497" s="117"/>
      <c r="I497" s="117"/>
      <c r="J497" s="117"/>
      <c r="K497" s="117"/>
      <c r="L497" s="117"/>
      <c r="M497" s="117"/>
      <c r="N497" s="117"/>
      <c r="O497" s="117"/>
      <c r="P497" s="117"/>
      <c r="Q497" s="117"/>
      <c r="R497" s="117"/>
      <c r="S497" s="117"/>
    </row>
    <row r="498" spans="1:19" ht="12.9">
      <c r="A498" s="117"/>
      <c r="B498" s="117"/>
      <c r="C498" s="117"/>
      <c r="D498" s="24"/>
      <c r="E498" s="24"/>
      <c r="F498" s="117"/>
      <c r="G498" s="117"/>
      <c r="H498" s="117"/>
      <c r="I498" s="117"/>
      <c r="J498" s="117"/>
      <c r="K498" s="117"/>
      <c r="L498" s="117"/>
      <c r="M498" s="117"/>
      <c r="N498" s="117"/>
      <c r="O498" s="117"/>
      <c r="P498" s="117"/>
      <c r="Q498" s="117"/>
      <c r="R498" s="117"/>
      <c r="S498" s="117"/>
    </row>
    <row r="499" spans="1:19" ht="12.9">
      <c r="A499" s="117"/>
      <c r="B499" s="117"/>
      <c r="C499" s="117"/>
      <c r="D499" s="24"/>
      <c r="E499" s="24"/>
      <c r="F499" s="117"/>
      <c r="G499" s="117"/>
      <c r="H499" s="117"/>
      <c r="I499" s="117"/>
      <c r="J499" s="117"/>
      <c r="K499" s="117"/>
      <c r="L499" s="117"/>
      <c r="M499" s="117"/>
      <c r="N499" s="117"/>
      <c r="O499" s="117"/>
      <c r="P499" s="117"/>
      <c r="Q499" s="117"/>
      <c r="R499" s="117"/>
      <c r="S499" s="117"/>
    </row>
    <row r="500" spans="1:19" ht="12.9">
      <c r="A500" s="117"/>
      <c r="B500" s="117"/>
      <c r="C500" s="117"/>
      <c r="D500" s="24"/>
      <c r="E500" s="24"/>
      <c r="F500" s="117"/>
      <c r="G500" s="117"/>
      <c r="H500" s="117"/>
      <c r="I500" s="117"/>
      <c r="J500" s="117"/>
      <c r="K500" s="117"/>
      <c r="L500" s="117"/>
      <c r="M500" s="117"/>
      <c r="N500" s="117"/>
      <c r="O500" s="117"/>
      <c r="P500" s="117"/>
      <c r="Q500" s="117"/>
      <c r="R500" s="117"/>
      <c r="S500" s="117"/>
    </row>
    <row r="501" spans="1:19" ht="12.9">
      <c r="A501" s="117"/>
      <c r="B501" s="117"/>
      <c r="C501" s="117"/>
      <c r="D501" s="24"/>
      <c r="E501" s="24"/>
      <c r="F501" s="117"/>
      <c r="G501" s="117"/>
      <c r="H501" s="117"/>
      <c r="I501" s="117"/>
      <c r="J501" s="117"/>
      <c r="K501" s="117"/>
      <c r="L501" s="117"/>
      <c r="M501" s="117"/>
      <c r="N501" s="117"/>
      <c r="O501" s="117"/>
      <c r="P501" s="117"/>
      <c r="Q501" s="117"/>
      <c r="R501" s="117"/>
      <c r="S501" s="117"/>
    </row>
    <row r="502" spans="1:19" ht="12.9">
      <c r="A502" s="117"/>
      <c r="B502" s="117"/>
      <c r="C502" s="117"/>
      <c r="D502" s="24"/>
      <c r="E502" s="24"/>
      <c r="F502" s="117"/>
      <c r="G502" s="117"/>
      <c r="H502" s="117"/>
      <c r="I502" s="117"/>
      <c r="J502" s="117"/>
      <c r="K502" s="117"/>
      <c r="L502" s="117"/>
      <c r="M502" s="117"/>
      <c r="N502" s="117"/>
      <c r="O502" s="117"/>
      <c r="P502" s="117"/>
      <c r="Q502" s="117"/>
      <c r="R502" s="117"/>
      <c r="S502" s="117"/>
    </row>
    <row r="503" spans="1:19" ht="12.9">
      <c r="A503" s="117"/>
      <c r="B503" s="117"/>
      <c r="C503" s="117"/>
      <c r="D503" s="24"/>
      <c r="E503" s="24"/>
      <c r="F503" s="117"/>
      <c r="G503" s="117"/>
      <c r="H503" s="117"/>
      <c r="I503" s="117"/>
      <c r="J503" s="117"/>
      <c r="K503" s="117"/>
      <c r="L503" s="117"/>
      <c r="M503" s="117"/>
      <c r="N503" s="117"/>
      <c r="O503" s="117"/>
      <c r="P503" s="117"/>
      <c r="Q503" s="117"/>
      <c r="R503" s="117"/>
      <c r="S503" s="117"/>
    </row>
    <row r="504" spans="1:19" ht="12.9">
      <c r="A504" s="117"/>
      <c r="B504" s="117"/>
      <c r="C504" s="117"/>
      <c r="D504" s="24"/>
      <c r="E504" s="24"/>
      <c r="F504" s="117"/>
      <c r="G504" s="117"/>
      <c r="H504" s="117"/>
      <c r="I504" s="117"/>
      <c r="J504" s="117"/>
      <c r="K504" s="117"/>
      <c r="L504" s="117"/>
      <c r="M504" s="117"/>
      <c r="N504" s="117"/>
      <c r="O504" s="117"/>
      <c r="P504" s="117"/>
      <c r="Q504" s="117"/>
      <c r="R504" s="117"/>
      <c r="S504" s="117"/>
    </row>
    <row r="505" spans="1:19" ht="12.9">
      <c r="A505" s="117"/>
      <c r="B505" s="117"/>
      <c r="C505" s="117"/>
      <c r="D505" s="24"/>
      <c r="E505" s="24"/>
      <c r="F505" s="117"/>
      <c r="G505" s="117"/>
      <c r="H505" s="117"/>
      <c r="I505" s="117"/>
      <c r="J505" s="117"/>
      <c r="K505" s="117"/>
      <c r="L505" s="117"/>
      <c r="M505" s="117"/>
      <c r="N505" s="117"/>
      <c r="O505" s="117"/>
      <c r="P505" s="117"/>
      <c r="Q505" s="117"/>
      <c r="R505" s="117"/>
      <c r="S505" s="117"/>
    </row>
    <row r="506" spans="1:19" ht="12.9">
      <c r="A506" s="117"/>
      <c r="B506" s="117"/>
      <c r="C506" s="117"/>
      <c r="D506" s="24"/>
      <c r="E506" s="24"/>
      <c r="F506" s="117"/>
      <c r="G506" s="117"/>
      <c r="H506" s="117"/>
      <c r="I506" s="117"/>
      <c r="J506" s="117"/>
      <c r="K506" s="117"/>
      <c r="L506" s="117"/>
      <c r="M506" s="117"/>
      <c r="N506" s="117"/>
      <c r="O506" s="117"/>
      <c r="P506" s="117"/>
      <c r="Q506" s="117"/>
      <c r="R506" s="117"/>
      <c r="S506" s="117"/>
    </row>
    <row r="507" spans="1:19" ht="12.9">
      <c r="A507" s="117"/>
      <c r="B507" s="117"/>
      <c r="C507" s="117"/>
      <c r="D507" s="24"/>
      <c r="E507" s="24"/>
      <c r="F507" s="117"/>
      <c r="G507" s="117"/>
      <c r="H507" s="117"/>
      <c r="I507" s="117"/>
      <c r="J507" s="117"/>
      <c r="K507" s="117"/>
      <c r="L507" s="117"/>
      <c r="M507" s="117"/>
      <c r="N507" s="117"/>
      <c r="O507" s="117"/>
      <c r="P507" s="117"/>
      <c r="Q507" s="117"/>
      <c r="R507" s="117"/>
      <c r="S507" s="117"/>
    </row>
    <row r="508" spans="1:19" ht="12.9">
      <c r="A508" s="117"/>
      <c r="B508" s="117"/>
      <c r="C508" s="117"/>
      <c r="D508" s="24"/>
      <c r="E508" s="24"/>
      <c r="F508" s="117"/>
      <c r="G508" s="117"/>
      <c r="H508" s="117"/>
      <c r="I508" s="117"/>
      <c r="J508" s="117"/>
      <c r="K508" s="117"/>
      <c r="L508" s="117"/>
      <c r="M508" s="117"/>
      <c r="N508" s="117"/>
      <c r="O508" s="117"/>
      <c r="P508" s="117"/>
      <c r="Q508" s="117"/>
      <c r="R508" s="117"/>
      <c r="S508" s="117"/>
    </row>
    <row r="509" spans="1:19" ht="12.9">
      <c r="A509" s="117"/>
      <c r="B509" s="117"/>
      <c r="C509" s="117"/>
      <c r="D509" s="24"/>
      <c r="E509" s="24"/>
      <c r="F509" s="117"/>
      <c r="G509" s="117"/>
      <c r="H509" s="117"/>
      <c r="I509" s="117"/>
      <c r="J509" s="117"/>
      <c r="K509" s="117"/>
      <c r="L509" s="117"/>
      <c r="M509" s="117"/>
      <c r="N509" s="117"/>
      <c r="O509" s="117"/>
      <c r="P509" s="117"/>
      <c r="Q509" s="117"/>
      <c r="R509" s="117"/>
      <c r="S509" s="117"/>
    </row>
    <row r="510" spans="1:19" ht="12.9">
      <c r="A510" s="117"/>
      <c r="B510" s="117"/>
      <c r="C510" s="117"/>
      <c r="D510" s="24"/>
      <c r="E510" s="24"/>
      <c r="F510" s="117"/>
      <c r="G510" s="117"/>
      <c r="H510" s="117"/>
      <c r="I510" s="117"/>
      <c r="J510" s="117"/>
      <c r="K510" s="117"/>
      <c r="L510" s="117"/>
      <c r="M510" s="117"/>
      <c r="N510" s="117"/>
      <c r="O510" s="117"/>
      <c r="P510" s="117"/>
      <c r="Q510" s="117"/>
      <c r="R510" s="117"/>
      <c r="S510" s="117"/>
    </row>
    <row r="511" spans="1:19" ht="12.9">
      <c r="A511" s="117"/>
      <c r="B511" s="117"/>
      <c r="C511" s="117"/>
      <c r="D511" s="24"/>
      <c r="E511" s="24"/>
      <c r="F511" s="117"/>
      <c r="G511" s="117"/>
      <c r="H511" s="117"/>
      <c r="I511" s="117"/>
      <c r="J511" s="117"/>
      <c r="K511" s="117"/>
      <c r="L511" s="117"/>
      <c r="M511" s="117"/>
      <c r="N511" s="117"/>
      <c r="O511" s="117"/>
      <c r="P511" s="117"/>
      <c r="Q511" s="117"/>
      <c r="R511" s="117"/>
      <c r="S511" s="117"/>
    </row>
    <row r="512" spans="1:19" ht="12.9">
      <c r="A512" s="117"/>
      <c r="B512" s="117"/>
      <c r="C512" s="117"/>
      <c r="D512" s="24"/>
      <c r="E512" s="24"/>
      <c r="F512" s="117"/>
      <c r="G512" s="117"/>
      <c r="H512" s="117"/>
      <c r="I512" s="117"/>
      <c r="J512" s="117"/>
      <c r="K512" s="117"/>
      <c r="L512" s="117"/>
      <c r="M512" s="117"/>
      <c r="N512" s="117"/>
      <c r="O512" s="117"/>
      <c r="P512" s="117"/>
      <c r="Q512" s="117"/>
      <c r="R512" s="117"/>
      <c r="S512" s="117"/>
    </row>
    <row r="513" spans="1:19" ht="12.9">
      <c r="A513" s="117"/>
      <c r="B513" s="117"/>
      <c r="C513" s="117"/>
      <c r="D513" s="24"/>
      <c r="E513" s="24"/>
      <c r="F513" s="117"/>
      <c r="G513" s="117"/>
      <c r="H513" s="117"/>
      <c r="I513" s="117"/>
      <c r="J513" s="117"/>
      <c r="K513" s="117"/>
      <c r="L513" s="117"/>
      <c r="M513" s="117"/>
      <c r="N513" s="117"/>
      <c r="O513" s="117"/>
      <c r="P513" s="117"/>
      <c r="Q513" s="117"/>
      <c r="R513" s="117"/>
      <c r="S513" s="117"/>
    </row>
    <row r="514" spans="1:19" ht="12.9">
      <c r="A514" s="117"/>
      <c r="B514" s="117"/>
      <c r="C514" s="117"/>
      <c r="D514" s="24"/>
      <c r="E514" s="24"/>
      <c r="F514" s="117"/>
      <c r="G514" s="117"/>
      <c r="H514" s="117"/>
      <c r="I514" s="117"/>
      <c r="J514" s="117"/>
      <c r="K514" s="117"/>
      <c r="L514" s="117"/>
      <c r="M514" s="117"/>
      <c r="N514" s="117"/>
      <c r="O514" s="117"/>
      <c r="P514" s="117"/>
      <c r="Q514" s="117"/>
      <c r="R514" s="117"/>
      <c r="S514" s="117"/>
    </row>
    <row r="515" spans="1:19" ht="12.9">
      <c r="A515" s="117"/>
      <c r="B515" s="117"/>
      <c r="C515" s="117"/>
      <c r="D515" s="24"/>
      <c r="E515" s="24"/>
      <c r="F515" s="117"/>
      <c r="G515" s="117"/>
      <c r="H515" s="117"/>
      <c r="I515" s="117"/>
      <c r="J515" s="117"/>
      <c r="K515" s="117"/>
      <c r="L515" s="117"/>
      <c r="M515" s="117"/>
      <c r="N515" s="117"/>
      <c r="O515" s="117"/>
      <c r="P515" s="117"/>
      <c r="Q515" s="117"/>
      <c r="R515" s="117"/>
      <c r="S515" s="117"/>
    </row>
    <row r="516" spans="1:19" ht="12.9">
      <c r="A516" s="117"/>
      <c r="B516" s="117"/>
      <c r="C516" s="117"/>
      <c r="D516" s="24"/>
      <c r="E516" s="24"/>
      <c r="F516" s="117"/>
      <c r="G516" s="117"/>
      <c r="H516" s="117"/>
      <c r="I516" s="117"/>
      <c r="J516" s="117"/>
      <c r="K516" s="117"/>
      <c r="L516" s="117"/>
      <c r="M516" s="117"/>
      <c r="N516" s="117"/>
      <c r="O516" s="117"/>
      <c r="P516" s="117"/>
      <c r="Q516" s="117"/>
      <c r="R516" s="117"/>
      <c r="S516" s="117"/>
    </row>
    <row r="517" spans="1:19" ht="12.9">
      <c r="A517" s="117"/>
      <c r="B517" s="117"/>
      <c r="C517" s="117"/>
      <c r="D517" s="24"/>
      <c r="E517" s="24"/>
      <c r="F517" s="117"/>
      <c r="G517" s="117"/>
      <c r="H517" s="117"/>
      <c r="I517" s="117"/>
      <c r="J517" s="117"/>
      <c r="K517" s="117"/>
      <c r="L517" s="117"/>
      <c r="M517" s="117"/>
      <c r="N517" s="117"/>
      <c r="O517" s="117"/>
      <c r="P517" s="117"/>
      <c r="Q517" s="117"/>
      <c r="R517" s="117"/>
      <c r="S517" s="117"/>
    </row>
    <row r="518" spans="1:19" ht="12.9">
      <c r="A518" s="117"/>
      <c r="B518" s="117"/>
      <c r="C518" s="117"/>
      <c r="D518" s="24"/>
      <c r="E518" s="24"/>
      <c r="F518" s="117"/>
      <c r="G518" s="117"/>
      <c r="H518" s="117"/>
      <c r="I518" s="117"/>
      <c r="J518" s="117"/>
      <c r="K518" s="117"/>
      <c r="L518" s="117"/>
      <c r="M518" s="117"/>
      <c r="N518" s="117"/>
      <c r="O518" s="117"/>
      <c r="P518" s="117"/>
      <c r="Q518" s="117"/>
      <c r="R518" s="117"/>
      <c r="S518" s="117"/>
    </row>
    <row r="519" spans="1:19" ht="12.9">
      <c r="A519" s="117"/>
      <c r="B519" s="117"/>
      <c r="C519" s="117"/>
      <c r="D519" s="24"/>
      <c r="E519" s="24"/>
      <c r="F519" s="117"/>
      <c r="G519" s="117"/>
      <c r="H519" s="117"/>
      <c r="I519" s="117"/>
      <c r="J519" s="117"/>
      <c r="K519" s="117"/>
      <c r="L519" s="117"/>
      <c r="M519" s="117"/>
      <c r="N519" s="117"/>
      <c r="O519" s="117"/>
      <c r="P519" s="117"/>
      <c r="Q519" s="117"/>
      <c r="R519" s="117"/>
      <c r="S519" s="117"/>
    </row>
    <row r="520" spans="1:19" ht="12.9">
      <c r="A520" s="117"/>
      <c r="B520" s="117"/>
      <c r="C520" s="117"/>
      <c r="D520" s="24"/>
      <c r="E520" s="24"/>
      <c r="F520" s="117"/>
      <c r="G520" s="117"/>
      <c r="H520" s="117"/>
      <c r="I520" s="117"/>
      <c r="J520" s="117"/>
      <c r="K520" s="117"/>
      <c r="L520" s="117"/>
      <c r="M520" s="117"/>
      <c r="N520" s="117"/>
      <c r="O520" s="117"/>
      <c r="P520" s="117"/>
      <c r="Q520" s="117"/>
      <c r="R520" s="117"/>
      <c r="S520" s="117"/>
    </row>
    <row r="521" spans="1:19" ht="12.9">
      <c r="A521" s="117"/>
      <c r="B521" s="117"/>
      <c r="C521" s="117"/>
      <c r="D521" s="24"/>
      <c r="E521" s="24"/>
      <c r="F521" s="117"/>
      <c r="G521" s="117"/>
      <c r="H521" s="117"/>
      <c r="I521" s="117"/>
      <c r="J521" s="117"/>
      <c r="K521" s="117"/>
      <c r="L521" s="117"/>
      <c r="M521" s="117"/>
      <c r="N521" s="117"/>
      <c r="O521" s="117"/>
      <c r="P521" s="117"/>
      <c r="Q521" s="117"/>
      <c r="R521" s="117"/>
      <c r="S521" s="117"/>
    </row>
    <row r="522" spans="1:19" ht="12.9">
      <c r="A522" s="117"/>
      <c r="B522" s="117"/>
      <c r="C522" s="117"/>
      <c r="D522" s="24"/>
      <c r="E522" s="24"/>
      <c r="F522" s="117"/>
      <c r="G522" s="117"/>
      <c r="H522" s="117"/>
      <c r="I522" s="117"/>
      <c r="J522" s="117"/>
      <c r="K522" s="117"/>
      <c r="L522" s="117"/>
      <c r="M522" s="117"/>
      <c r="N522" s="117"/>
      <c r="O522" s="117"/>
      <c r="P522" s="117"/>
      <c r="Q522" s="117"/>
      <c r="R522" s="117"/>
      <c r="S522" s="117"/>
    </row>
    <row r="523" spans="1:19" ht="12.9">
      <c r="A523" s="117"/>
      <c r="B523" s="117"/>
      <c r="C523" s="117"/>
      <c r="D523" s="24"/>
      <c r="E523" s="24"/>
      <c r="F523" s="117"/>
      <c r="G523" s="117"/>
      <c r="H523" s="117"/>
      <c r="I523" s="117"/>
      <c r="J523" s="117"/>
      <c r="K523" s="117"/>
      <c r="L523" s="117"/>
      <c r="M523" s="117"/>
      <c r="N523" s="117"/>
      <c r="O523" s="117"/>
      <c r="P523" s="117"/>
      <c r="Q523" s="117"/>
      <c r="R523" s="117"/>
      <c r="S523" s="117"/>
    </row>
    <row r="524" spans="1:19" ht="12.9">
      <c r="A524" s="117"/>
      <c r="B524" s="117"/>
      <c r="C524" s="117"/>
      <c r="D524" s="24"/>
      <c r="E524" s="24"/>
      <c r="F524" s="117"/>
      <c r="G524" s="117"/>
      <c r="H524" s="117"/>
      <c r="I524" s="117"/>
      <c r="J524" s="117"/>
      <c r="K524" s="117"/>
      <c r="L524" s="117"/>
      <c r="M524" s="117"/>
      <c r="N524" s="117"/>
      <c r="O524" s="117"/>
      <c r="P524" s="117"/>
      <c r="Q524" s="117"/>
      <c r="R524" s="117"/>
      <c r="S524" s="117"/>
    </row>
    <row r="525" spans="1:19" ht="12.9">
      <c r="A525" s="117"/>
      <c r="B525" s="117"/>
      <c r="C525" s="117"/>
      <c r="D525" s="24"/>
      <c r="E525" s="24"/>
      <c r="F525" s="117"/>
      <c r="G525" s="117"/>
      <c r="H525" s="117"/>
      <c r="I525" s="117"/>
      <c r="J525" s="117"/>
      <c r="K525" s="117"/>
      <c r="L525" s="117"/>
      <c r="M525" s="117"/>
      <c r="N525" s="117"/>
      <c r="O525" s="117"/>
      <c r="P525" s="117"/>
      <c r="Q525" s="117"/>
      <c r="R525" s="117"/>
      <c r="S525" s="117"/>
    </row>
    <row r="526" spans="1:19" ht="12.9">
      <c r="A526" s="117"/>
      <c r="B526" s="117"/>
      <c r="C526" s="117"/>
      <c r="D526" s="24"/>
      <c r="E526" s="24"/>
      <c r="F526" s="117"/>
      <c r="G526" s="117"/>
      <c r="H526" s="117"/>
      <c r="I526" s="117"/>
      <c r="J526" s="117"/>
      <c r="K526" s="117"/>
      <c r="L526" s="117"/>
      <c r="M526" s="117"/>
      <c r="N526" s="117"/>
      <c r="O526" s="117"/>
      <c r="P526" s="117"/>
      <c r="Q526" s="117"/>
      <c r="R526" s="117"/>
      <c r="S526" s="117"/>
    </row>
    <row r="527" spans="1:19" ht="12.9">
      <c r="A527" s="117"/>
      <c r="B527" s="117"/>
      <c r="C527" s="117"/>
      <c r="D527" s="24"/>
      <c r="E527" s="24"/>
      <c r="F527" s="117"/>
      <c r="G527" s="117"/>
      <c r="H527" s="117"/>
      <c r="I527" s="117"/>
      <c r="J527" s="117"/>
      <c r="K527" s="117"/>
      <c r="L527" s="117"/>
      <c r="M527" s="117"/>
      <c r="N527" s="117"/>
      <c r="O527" s="117"/>
      <c r="P527" s="117"/>
      <c r="Q527" s="117"/>
      <c r="R527" s="117"/>
      <c r="S527" s="117"/>
    </row>
    <row r="528" spans="1:19" ht="12.9">
      <c r="A528" s="117"/>
      <c r="B528" s="117"/>
      <c r="C528" s="117"/>
      <c r="D528" s="24"/>
      <c r="E528" s="24"/>
      <c r="F528" s="117"/>
      <c r="G528" s="117"/>
      <c r="H528" s="117"/>
      <c r="I528" s="117"/>
      <c r="J528" s="117"/>
      <c r="K528" s="117"/>
      <c r="L528" s="117"/>
      <c r="M528" s="117"/>
      <c r="N528" s="117"/>
      <c r="O528" s="117"/>
      <c r="P528" s="117"/>
      <c r="Q528" s="117"/>
      <c r="R528" s="117"/>
      <c r="S528" s="117"/>
    </row>
    <row r="529" spans="1:19" ht="12.9">
      <c r="A529" s="117"/>
      <c r="B529" s="117"/>
      <c r="C529" s="117"/>
      <c r="D529" s="24"/>
      <c r="E529" s="24"/>
      <c r="F529" s="117"/>
      <c r="G529" s="117"/>
      <c r="H529" s="117"/>
      <c r="I529" s="117"/>
      <c r="J529" s="117"/>
      <c r="K529" s="117"/>
      <c r="L529" s="117"/>
      <c r="M529" s="117"/>
      <c r="N529" s="117"/>
      <c r="O529" s="117"/>
      <c r="P529" s="117"/>
      <c r="Q529" s="117"/>
      <c r="R529" s="117"/>
      <c r="S529" s="117"/>
    </row>
    <row r="530" spans="1:19" ht="12.9">
      <c r="A530" s="117"/>
      <c r="B530" s="117"/>
      <c r="C530" s="117"/>
      <c r="D530" s="24"/>
      <c r="E530" s="24"/>
      <c r="F530" s="117"/>
      <c r="G530" s="117"/>
      <c r="H530" s="117"/>
      <c r="I530" s="117"/>
      <c r="J530" s="117"/>
      <c r="K530" s="117"/>
      <c r="L530" s="117"/>
      <c r="M530" s="117"/>
      <c r="N530" s="117"/>
      <c r="O530" s="117"/>
      <c r="P530" s="117"/>
      <c r="Q530" s="117"/>
      <c r="R530" s="117"/>
      <c r="S530" s="117"/>
    </row>
    <row r="531" spans="1:19" ht="12.9">
      <c r="A531" s="117"/>
      <c r="B531" s="117"/>
      <c r="C531" s="117"/>
      <c r="D531" s="24"/>
      <c r="E531" s="24"/>
      <c r="F531" s="117"/>
      <c r="G531" s="117"/>
      <c r="H531" s="117"/>
      <c r="I531" s="117"/>
      <c r="J531" s="117"/>
      <c r="K531" s="117"/>
      <c r="L531" s="117"/>
      <c r="M531" s="117"/>
      <c r="N531" s="117"/>
      <c r="O531" s="117"/>
      <c r="P531" s="117"/>
      <c r="Q531" s="117"/>
      <c r="R531" s="117"/>
      <c r="S531" s="117"/>
    </row>
    <row r="532" spans="1:19" ht="12.9">
      <c r="A532" s="117"/>
      <c r="B532" s="117"/>
      <c r="C532" s="117"/>
      <c r="D532" s="24"/>
      <c r="E532" s="24"/>
      <c r="F532" s="117"/>
      <c r="G532" s="117"/>
      <c r="H532" s="117"/>
      <c r="I532" s="117"/>
      <c r="J532" s="117"/>
      <c r="K532" s="117"/>
      <c r="L532" s="117"/>
      <c r="M532" s="117"/>
      <c r="N532" s="117"/>
      <c r="O532" s="117"/>
      <c r="P532" s="117"/>
      <c r="Q532" s="117"/>
      <c r="R532" s="117"/>
      <c r="S532" s="117"/>
    </row>
    <row r="533" spans="1:19" ht="12.9">
      <c r="A533" s="117"/>
      <c r="B533" s="117"/>
      <c r="C533" s="117"/>
      <c r="D533" s="24"/>
      <c r="E533" s="24"/>
      <c r="F533" s="117"/>
      <c r="G533" s="117"/>
      <c r="H533" s="117"/>
      <c r="I533" s="117"/>
      <c r="J533" s="117"/>
      <c r="K533" s="117"/>
      <c r="L533" s="117"/>
      <c r="M533" s="117"/>
      <c r="N533" s="117"/>
      <c r="O533" s="117"/>
      <c r="P533" s="117"/>
      <c r="Q533" s="117"/>
      <c r="R533" s="117"/>
      <c r="S533" s="117"/>
    </row>
    <row r="534" spans="1:19" ht="12.9">
      <c r="A534" s="117"/>
      <c r="B534" s="117"/>
      <c r="C534" s="117"/>
      <c r="D534" s="24"/>
      <c r="E534" s="24"/>
      <c r="F534" s="117"/>
      <c r="G534" s="117"/>
      <c r="H534" s="117"/>
      <c r="I534" s="117"/>
      <c r="J534" s="117"/>
      <c r="K534" s="117"/>
      <c r="L534" s="117"/>
      <c r="M534" s="117"/>
      <c r="N534" s="117"/>
      <c r="O534" s="117"/>
      <c r="P534" s="117"/>
      <c r="Q534" s="117"/>
      <c r="R534" s="117"/>
      <c r="S534" s="117"/>
    </row>
    <row r="535" spans="1:19" ht="12.9">
      <c r="A535" s="117"/>
      <c r="B535" s="117"/>
      <c r="C535" s="117"/>
      <c r="D535" s="24"/>
      <c r="E535" s="24"/>
      <c r="F535" s="117"/>
      <c r="G535" s="117"/>
      <c r="H535" s="117"/>
      <c r="I535" s="117"/>
      <c r="J535" s="117"/>
      <c r="K535" s="117"/>
      <c r="L535" s="117"/>
      <c r="M535" s="117"/>
      <c r="N535" s="117"/>
      <c r="O535" s="117"/>
      <c r="P535" s="117"/>
      <c r="Q535" s="117"/>
      <c r="R535" s="117"/>
      <c r="S535" s="117"/>
    </row>
    <row r="536" spans="1:19" ht="12.9">
      <c r="A536" s="117"/>
      <c r="B536" s="117"/>
      <c r="C536" s="117"/>
      <c r="D536" s="24"/>
      <c r="E536" s="24"/>
      <c r="F536" s="117"/>
      <c r="G536" s="117"/>
      <c r="H536" s="117"/>
      <c r="I536" s="117"/>
      <c r="J536" s="117"/>
      <c r="K536" s="117"/>
      <c r="L536" s="117"/>
      <c r="M536" s="117"/>
      <c r="N536" s="117"/>
      <c r="O536" s="117"/>
      <c r="P536" s="117"/>
      <c r="Q536" s="117"/>
      <c r="R536" s="117"/>
      <c r="S536" s="117"/>
    </row>
    <row r="537" spans="1:19" ht="12.9">
      <c r="A537" s="117"/>
      <c r="B537" s="117"/>
      <c r="C537" s="117"/>
      <c r="D537" s="24"/>
      <c r="E537" s="24"/>
      <c r="F537" s="117"/>
      <c r="G537" s="117"/>
      <c r="H537" s="117"/>
      <c r="I537" s="117"/>
      <c r="J537" s="117"/>
      <c r="K537" s="117"/>
      <c r="L537" s="117"/>
      <c r="M537" s="117"/>
      <c r="N537" s="117"/>
      <c r="O537" s="117"/>
      <c r="P537" s="117"/>
      <c r="Q537" s="117"/>
      <c r="R537" s="117"/>
      <c r="S537" s="117"/>
    </row>
    <row r="538" spans="1:19" ht="12.9">
      <c r="A538" s="117"/>
      <c r="B538" s="117"/>
      <c r="C538" s="117"/>
      <c r="D538" s="24"/>
      <c r="E538" s="24"/>
      <c r="F538" s="117"/>
      <c r="G538" s="117"/>
      <c r="H538" s="117"/>
      <c r="I538" s="117"/>
      <c r="J538" s="117"/>
      <c r="K538" s="117"/>
      <c r="L538" s="117"/>
      <c r="M538" s="117"/>
      <c r="N538" s="117"/>
      <c r="O538" s="117"/>
      <c r="P538" s="117"/>
      <c r="Q538" s="117"/>
      <c r="R538" s="117"/>
      <c r="S538" s="117"/>
    </row>
    <row r="539" spans="1:19" ht="12.9">
      <c r="A539" s="117"/>
      <c r="B539" s="117"/>
      <c r="C539" s="117"/>
      <c r="D539" s="24"/>
      <c r="E539" s="24"/>
      <c r="F539" s="117"/>
      <c r="G539" s="117"/>
      <c r="H539" s="117"/>
      <c r="I539" s="117"/>
      <c r="J539" s="117"/>
      <c r="K539" s="117"/>
      <c r="L539" s="117"/>
      <c r="M539" s="117"/>
      <c r="N539" s="117"/>
      <c r="O539" s="117"/>
      <c r="P539" s="117"/>
      <c r="Q539" s="117"/>
      <c r="R539" s="117"/>
      <c r="S539" s="117"/>
    </row>
    <row r="540" spans="1:19" ht="12.9">
      <c r="A540" s="117"/>
      <c r="B540" s="117"/>
      <c r="C540" s="117"/>
      <c r="D540" s="24"/>
      <c r="E540" s="24"/>
      <c r="F540" s="117"/>
      <c r="G540" s="117"/>
      <c r="H540" s="117"/>
      <c r="I540" s="117"/>
      <c r="J540" s="117"/>
      <c r="K540" s="117"/>
      <c r="L540" s="117"/>
      <c r="M540" s="117"/>
      <c r="N540" s="117"/>
      <c r="O540" s="117"/>
      <c r="P540" s="117"/>
      <c r="Q540" s="117"/>
      <c r="R540" s="117"/>
      <c r="S540" s="117"/>
    </row>
    <row r="541" spans="1:19" ht="12.9">
      <c r="A541" s="117"/>
      <c r="B541" s="117"/>
      <c r="C541" s="117"/>
      <c r="D541" s="24"/>
      <c r="E541" s="24"/>
      <c r="F541" s="117"/>
      <c r="G541" s="117"/>
      <c r="H541" s="117"/>
      <c r="I541" s="117"/>
      <c r="J541" s="117"/>
      <c r="K541" s="117"/>
      <c r="L541" s="117"/>
      <c r="M541" s="117"/>
      <c r="N541" s="117"/>
      <c r="O541" s="117"/>
      <c r="P541" s="117"/>
      <c r="Q541" s="117"/>
      <c r="R541" s="117"/>
      <c r="S541" s="117"/>
    </row>
    <row r="542" spans="1:19" ht="12.9">
      <c r="A542" s="117"/>
      <c r="B542" s="117"/>
      <c r="C542" s="117"/>
      <c r="D542" s="24"/>
      <c r="E542" s="24"/>
      <c r="F542" s="117"/>
      <c r="G542" s="117"/>
      <c r="H542" s="117"/>
      <c r="I542" s="117"/>
      <c r="J542" s="117"/>
      <c r="K542" s="117"/>
      <c r="L542" s="117"/>
      <c r="M542" s="117"/>
      <c r="N542" s="117"/>
      <c r="O542" s="117"/>
      <c r="P542" s="117"/>
      <c r="Q542" s="117"/>
      <c r="R542" s="117"/>
      <c r="S542" s="117"/>
    </row>
    <row r="543" spans="1:19" ht="12.9">
      <c r="A543" s="117"/>
      <c r="B543" s="117"/>
      <c r="C543" s="117"/>
      <c r="D543" s="24"/>
      <c r="E543" s="24"/>
      <c r="F543" s="117"/>
      <c r="G543" s="117"/>
      <c r="H543" s="117"/>
      <c r="I543" s="117"/>
      <c r="J543" s="117"/>
      <c r="K543" s="117"/>
      <c r="L543" s="117"/>
      <c r="M543" s="117"/>
      <c r="N543" s="117"/>
      <c r="O543" s="117"/>
      <c r="P543" s="117"/>
      <c r="Q543" s="117"/>
      <c r="R543" s="117"/>
      <c r="S543" s="117"/>
    </row>
    <row r="544" spans="1:19" ht="12.9">
      <c r="A544" s="117"/>
      <c r="B544" s="117"/>
      <c r="C544" s="117"/>
      <c r="D544" s="24"/>
      <c r="E544" s="24"/>
      <c r="F544" s="117"/>
      <c r="G544" s="117"/>
      <c r="H544" s="117"/>
      <c r="I544" s="117"/>
      <c r="J544" s="117"/>
      <c r="K544" s="117"/>
      <c r="L544" s="117"/>
      <c r="M544" s="117"/>
      <c r="N544" s="117"/>
      <c r="O544" s="117"/>
      <c r="P544" s="117"/>
      <c r="Q544" s="117"/>
      <c r="R544" s="117"/>
      <c r="S544" s="117"/>
    </row>
    <row r="545" spans="1:19" ht="12.9">
      <c r="A545" s="117"/>
      <c r="B545" s="117"/>
      <c r="C545" s="117"/>
      <c r="D545" s="24"/>
      <c r="E545" s="24"/>
      <c r="F545" s="117"/>
      <c r="G545" s="117"/>
      <c r="H545" s="117"/>
      <c r="I545" s="117"/>
      <c r="J545" s="117"/>
      <c r="K545" s="117"/>
      <c r="L545" s="117"/>
      <c r="M545" s="117"/>
      <c r="N545" s="117"/>
      <c r="O545" s="117"/>
      <c r="P545" s="117"/>
      <c r="Q545" s="117"/>
      <c r="R545" s="117"/>
      <c r="S545" s="117"/>
    </row>
    <row r="546" spans="1:19" ht="12.9">
      <c r="A546" s="117"/>
      <c r="B546" s="117"/>
      <c r="C546" s="117"/>
      <c r="D546" s="24"/>
      <c r="E546" s="24"/>
      <c r="F546" s="117"/>
      <c r="G546" s="117"/>
      <c r="H546" s="117"/>
      <c r="I546" s="117"/>
      <c r="J546" s="117"/>
      <c r="K546" s="117"/>
      <c r="L546" s="117"/>
      <c r="M546" s="117"/>
      <c r="N546" s="117"/>
      <c r="O546" s="117"/>
      <c r="P546" s="117"/>
      <c r="Q546" s="117"/>
      <c r="R546" s="117"/>
      <c r="S546" s="117"/>
    </row>
    <row r="547" spans="1:19" ht="12.9">
      <c r="A547" s="117"/>
      <c r="B547" s="117"/>
      <c r="C547" s="117"/>
      <c r="D547" s="24"/>
      <c r="E547" s="24"/>
      <c r="F547" s="117"/>
      <c r="G547" s="117"/>
      <c r="H547" s="117"/>
      <c r="I547" s="117"/>
      <c r="J547" s="117"/>
      <c r="K547" s="117"/>
      <c r="L547" s="117"/>
      <c r="M547" s="117"/>
      <c r="N547" s="117"/>
      <c r="O547" s="117"/>
      <c r="P547" s="117"/>
      <c r="Q547" s="117"/>
      <c r="R547" s="117"/>
      <c r="S547" s="117"/>
    </row>
    <row r="548" spans="1:19" ht="12.9">
      <c r="A548" s="117"/>
      <c r="B548" s="117"/>
      <c r="C548" s="117"/>
      <c r="D548" s="24"/>
      <c r="E548" s="24"/>
      <c r="F548" s="117"/>
      <c r="G548" s="117"/>
      <c r="H548" s="117"/>
      <c r="I548" s="117"/>
      <c r="J548" s="117"/>
      <c r="K548" s="117"/>
      <c r="L548" s="117"/>
      <c r="M548" s="117"/>
      <c r="N548" s="117"/>
      <c r="O548" s="117"/>
      <c r="P548" s="117"/>
      <c r="Q548" s="117"/>
      <c r="R548" s="117"/>
      <c r="S548" s="117"/>
    </row>
    <row r="549" spans="1:19" ht="12.9">
      <c r="A549" s="117"/>
      <c r="B549" s="117"/>
      <c r="C549" s="117"/>
      <c r="D549" s="24"/>
      <c r="E549" s="24"/>
      <c r="F549" s="117"/>
      <c r="G549" s="117"/>
      <c r="H549" s="117"/>
      <c r="I549" s="117"/>
      <c r="J549" s="117"/>
      <c r="K549" s="117"/>
      <c r="L549" s="117"/>
      <c r="M549" s="117"/>
      <c r="N549" s="117"/>
      <c r="O549" s="117"/>
      <c r="P549" s="117"/>
      <c r="Q549" s="117"/>
      <c r="R549" s="117"/>
      <c r="S549" s="117"/>
    </row>
    <row r="550" spans="1:19" ht="12.9">
      <c r="A550" s="117"/>
      <c r="B550" s="117"/>
      <c r="C550" s="117"/>
      <c r="D550" s="24"/>
      <c r="E550" s="24"/>
      <c r="F550" s="117"/>
      <c r="G550" s="117"/>
      <c r="H550" s="117"/>
      <c r="I550" s="117"/>
      <c r="J550" s="117"/>
      <c r="K550" s="117"/>
      <c r="L550" s="117"/>
      <c r="M550" s="117"/>
      <c r="N550" s="117"/>
      <c r="O550" s="117"/>
      <c r="P550" s="117"/>
      <c r="Q550" s="117"/>
      <c r="R550" s="117"/>
      <c r="S550" s="117"/>
    </row>
    <row r="551" spans="1:19" ht="12.9">
      <c r="A551" s="117"/>
      <c r="B551" s="117"/>
      <c r="C551" s="117"/>
      <c r="D551" s="24"/>
      <c r="E551" s="24"/>
      <c r="F551" s="117"/>
      <c r="G551" s="117"/>
      <c r="H551" s="117"/>
      <c r="I551" s="117"/>
      <c r="J551" s="117"/>
      <c r="K551" s="117"/>
      <c r="L551" s="117"/>
      <c r="M551" s="117"/>
      <c r="N551" s="117"/>
      <c r="O551" s="117"/>
      <c r="P551" s="117"/>
      <c r="Q551" s="117"/>
      <c r="R551" s="117"/>
      <c r="S551" s="117"/>
    </row>
    <row r="552" spans="1:19" ht="12.9">
      <c r="A552" s="117"/>
      <c r="B552" s="117"/>
      <c r="C552" s="117"/>
      <c r="D552" s="24"/>
      <c r="E552" s="24"/>
      <c r="F552" s="117"/>
      <c r="G552" s="117"/>
      <c r="H552" s="117"/>
      <c r="I552" s="117"/>
      <c r="J552" s="117"/>
      <c r="K552" s="117"/>
      <c r="L552" s="117"/>
      <c r="M552" s="117"/>
      <c r="N552" s="117"/>
      <c r="O552" s="117"/>
      <c r="P552" s="117"/>
      <c r="Q552" s="117"/>
      <c r="R552" s="117"/>
      <c r="S552" s="117"/>
    </row>
    <row r="553" spans="1:19" ht="12.9">
      <c r="A553" s="117"/>
      <c r="B553" s="117"/>
      <c r="C553" s="117"/>
      <c r="D553" s="24"/>
      <c r="E553" s="24"/>
      <c r="F553" s="117"/>
      <c r="G553" s="117"/>
      <c r="H553" s="117"/>
      <c r="I553" s="117"/>
      <c r="J553" s="117"/>
      <c r="K553" s="117"/>
      <c r="L553" s="117"/>
      <c r="M553" s="117"/>
      <c r="N553" s="117"/>
      <c r="O553" s="117"/>
      <c r="P553" s="117"/>
      <c r="Q553" s="117"/>
      <c r="R553" s="117"/>
      <c r="S553" s="117"/>
    </row>
    <row r="554" spans="1:19" ht="12.9">
      <c r="A554" s="117"/>
      <c r="B554" s="117"/>
      <c r="C554" s="117"/>
      <c r="D554" s="24"/>
      <c r="E554" s="24"/>
      <c r="F554" s="117"/>
      <c r="G554" s="117"/>
      <c r="H554" s="117"/>
      <c r="I554" s="117"/>
      <c r="J554" s="117"/>
      <c r="K554" s="117"/>
      <c r="L554" s="117"/>
      <c r="M554" s="117"/>
      <c r="N554" s="117"/>
      <c r="O554" s="117"/>
      <c r="P554" s="117"/>
      <c r="Q554" s="117"/>
      <c r="R554" s="117"/>
      <c r="S554" s="117"/>
    </row>
    <row r="555" spans="1:19" ht="12.9">
      <c r="A555" s="117"/>
      <c r="B555" s="117"/>
      <c r="C555" s="117"/>
      <c r="D555" s="24"/>
      <c r="E555" s="24"/>
      <c r="F555" s="117"/>
      <c r="G555" s="117"/>
      <c r="H555" s="117"/>
      <c r="I555" s="117"/>
      <c r="J555" s="117"/>
      <c r="K555" s="117"/>
      <c r="L555" s="117"/>
      <c r="M555" s="117"/>
      <c r="N555" s="117"/>
      <c r="O555" s="117"/>
      <c r="P555" s="117"/>
      <c r="Q555" s="117"/>
      <c r="R555" s="117"/>
      <c r="S555" s="117"/>
    </row>
    <row r="556" spans="1:19" ht="12.9">
      <c r="A556" s="117"/>
      <c r="B556" s="117"/>
      <c r="C556" s="117"/>
      <c r="D556" s="24"/>
      <c r="E556" s="24"/>
      <c r="F556" s="117"/>
      <c r="G556" s="117"/>
      <c r="H556" s="117"/>
      <c r="I556" s="117"/>
      <c r="J556" s="117"/>
      <c r="K556" s="117"/>
      <c r="L556" s="117"/>
      <c r="M556" s="117"/>
      <c r="N556" s="117"/>
      <c r="O556" s="117"/>
      <c r="P556" s="117"/>
      <c r="Q556" s="117"/>
      <c r="R556" s="117"/>
      <c r="S556" s="117"/>
    </row>
    <row r="557" spans="1:19" ht="12.9">
      <c r="A557" s="117"/>
      <c r="B557" s="117"/>
      <c r="C557" s="117"/>
      <c r="D557" s="24"/>
      <c r="E557" s="24"/>
      <c r="F557" s="117"/>
      <c r="G557" s="117"/>
      <c r="H557" s="117"/>
      <c r="I557" s="117"/>
      <c r="J557" s="117"/>
      <c r="K557" s="117"/>
      <c r="L557" s="117"/>
      <c r="M557" s="117"/>
      <c r="N557" s="117"/>
      <c r="O557" s="117"/>
      <c r="P557" s="117"/>
      <c r="Q557" s="117"/>
      <c r="R557" s="117"/>
      <c r="S557" s="117"/>
    </row>
    <row r="558" spans="1:19" ht="12.9">
      <c r="A558" s="117"/>
      <c r="B558" s="117"/>
      <c r="C558" s="117"/>
      <c r="D558" s="24"/>
      <c r="E558" s="24"/>
      <c r="F558" s="117"/>
      <c r="G558" s="117"/>
      <c r="H558" s="117"/>
      <c r="I558" s="117"/>
      <c r="J558" s="117"/>
      <c r="K558" s="117"/>
      <c r="L558" s="117"/>
      <c r="M558" s="117"/>
      <c r="N558" s="117"/>
      <c r="O558" s="117"/>
      <c r="P558" s="117"/>
      <c r="Q558" s="117"/>
      <c r="R558" s="117"/>
      <c r="S558" s="117"/>
    </row>
    <row r="559" spans="1:19" ht="12.9">
      <c r="A559" s="117"/>
      <c r="B559" s="117"/>
      <c r="C559" s="117"/>
      <c r="D559" s="24"/>
      <c r="E559" s="24"/>
      <c r="F559" s="117"/>
      <c r="G559" s="117"/>
      <c r="H559" s="117"/>
      <c r="I559" s="117"/>
      <c r="J559" s="117"/>
      <c r="K559" s="117"/>
      <c r="L559" s="117"/>
      <c r="M559" s="117"/>
      <c r="N559" s="117"/>
      <c r="O559" s="117"/>
      <c r="P559" s="117"/>
      <c r="Q559" s="117"/>
      <c r="R559" s="117"/>
      <c r="S559" s="117"/>
    </row>
    <row r="560" spans="1:19" ht="12.9">
      <c r="A560" s="117"/>
      <c r="B560" s="117"/>
      <c r="C560" s="117"/>
      <c r="D560" s="24"/>
      <c r="E560" s="24"/>
      <c r="F560" s="117"/>
      <c r="G560" s="117"/>
      <c r="H560" s="117"/>
      <c r="I560" s="117"/>
      <c r="J560" s="117"/>
      <c r="K560" s="117"/>
      <c r="L560" s="117"/>
      <c r="M560" s="117"/>
      <c r="N560" s="117"/>
      <c r="O560" s="117"/>
      <c r="P560" s="117"/>
      <c r="Q560" s="117"/>
      <c r="R560" s="117"/>
      <c r="S560" s="117"/>
    </row>
    <row r="561" spans="1:19" ht="12.9">
      <c r="A561" s="117"/>
      <c r="B561" s="117"/>
      <c r="C561" s="117"/>
      <c r="D561" s="24"/>
      <c r="E561" s="24"/>
      <c r="F561" s="117"/>
      <c r="G561" s="117"/>
      <c r="H561" s="117"/>
      <c r="I561" s="117"/>
      <c r="J561" s="117"/>
      <c r="K561" s="117"/>
      <c r="L561" s="117"/>
      <c r="M561" s="117"/>
      <c r="N561" s="117"/>
      <c r="O561" s="117"/>
      <c r="P561" s="117"/>
      <c r="Q561" s="117"/>
      <c r="R561" s="117"/>
      <c r="S561" s="117"/>
    </row>
    <row r="562" spans="1:19" ht="12.9">
      <c r="A562" s="117"/>
      <c r="B562" s="117"/>
      <c r="C562" s="117"/>
      <c r="D562" s="24"/>
      <c r="E562" s="24"/>
      <c r="F562" s="117"/>
      <c r="G562" s="117"/>
      <c r="H562" s="117"/>
      <c r="I562" s="117"/>
      <c r="J562" s="117"/>
      <c r="K562" s="117"/>
      <c r="L562" s="117"/>
      <c r="M562" s="117"/>
      <c r="N562" s="117"/>
      <c r="O562" s="117"/>
      <c r="P562" s="117"/>
      <c r="Q562" s="117"/>
      <c r="R562" s="117"/>
      <c r="S562" s="117"/>
    </row>
    <row r="563" spans="1:19" ht="12.9">
      <c r="A563" s="117"/>
      <c r="B563" s="117"/>
      <c r="C563" s="117"/>
      <c r="D563" s="24"/>
      <c r="E563" s="24"/>
      <c r="F563" s="117"/>
      <c r="G563" s="117"/>
      <c r="H563" s="117"/>
      <c r="I563" s="117"/>
      <c r="J563" s="117"/>
      <c r="K563" s="117"/>
      <c r="L563" s="117"/>
      <c r="M563" s="117"/>
      <c r="N563" s="117"/>
      <c r="O563" s="117"/>
      <c r="P563" s="117"/>
      <c r="Q563" s="117"/>
      <c r="R563" s="117"/>
      <c r="S563" s="117"/>
    </row>
    <row r="564" spans="1:19" ht="12.9">
      <c r="A564" s="117"/>
      <c r="B564" s="117"/>
      <c r="C564" s="117"/>
      <c r="D564" s="24"/>
      <c r="E564" s="24"/>
      <c r="F564" s="117"/>
      <c r="G564" s="117"/>
      <c r="H564" s="117"/>
      <c r="I564" s="117"/>
      <c r="J564" s="117"/>
      <c r="K564" s="117"/>
      <c r="L564" s="117"/>
      <c r="M564" s="117"/>
      <c r="N564" s="117"/>
      <c r="O564" s="117"/>
      <c r="P564" s="117"/>
      <c r="Q564" s="117"/>
      <c r="R564" s="117"/>
      <c r="S564" s="117"/>
    </row>
    <row r="565" spans="1:19" ht="12.9">
      <c r="A565" s="117"/>
      <c r="B565" s="117"/>
      <c r="C565" s="117"/>
      <c r="D565" s="24"/>
      <c r="E565" s="24"/>
      <c r="F565" s="117"/>
      <c r="G565" s="117"/>
      <c r="H565" s="117"/>
      <c r="I565" s="117"/>
      <c r="J565" s="117"/>
      <c r="K565" s="117"/>
      <c r="L565" s="117"/>
      <c r="M565" s="117"/>
      <c r="N565" s="117"/>
      <c r="O565" s="117"/>
      <c r="P565" s="117"/>
      <c r="Q565" s="117"/>
      <c r="R565" s="117"/>
      <c r="S565" s="117"/>
    </row>
    <row r="566" spans="1:19" ht="12.9">
      <c r="A566" s="117"/>
      <c r="B566" s="117"/>
      <c r="C566" s="117"/>
      <c r="D566" s="24"/>
      <c r="E566" s="24"/>
      <c r="F566" s="117"/>
      <c r="G566" s="117"/>
      <c r="H566" s="117"/>
      <c r="I566" s="117"/>
      <c r="J566" s="117"/>
      <c r="K566" s="117"/>
      <c r="L566" s="117"/>
      <c r="M566" s="117"/>
      <c r="N566" s="117"/>
      <c r="O566" s="117"/>
      <c r="P566" s="117"/>
      <c r="Q566" s="117"/>
      <c r="R566" s="117"/>
      <c r="S566" s="117"/>
    </row>
    <row r="567" spans="1:19" ht="12.9">
      <c r="A567" s="117"/>
      <c r="B567" s="117"/>
      <c r="C567" s="117"/>
      <c r="D567" s="24"/>
      <c r="E567" s="24"/>
      <c r="F567" s="117"/>
      <c r="G567" s="117"/>
      <c r="H567" s="117"/>
      <c r="I567" s="117"/>
      <c r="J567" s="117"/>
      <c r="K567" s="117"/>
      <c r="L567" s="117"/>
      <c r="M567" s="117"/>
      <c r="N567" s="117"/>
      <c r="O567" s="117"/>
      <c r="P567" s="117"/>
      <c r="Q567" s="117"/>
      <c r="R567" s="117"/>
      <c r="S567" s="117"/>
    </row>
    <row r="568" spans="1:19" ht="12.9">
      <c r="A568" s="117"/>
      <c r="B568" s="117"/>
      <c r="C568" s="117"/>
      <c r="D568" s="24"/>
      <c r="E568" s="24"/>
      <c r="F568" s="117"/>
      <c r="G568" s="117"/>
      <c r="H568" s="117"/>
      <c r="I568" s="117"/>
      <c r="J568" s="117"/>
      <c r="K568" s="117"/>
      <c r="L568" s="117"/>
      <c r="M568" s="117"/>
      <c r="N568" s="117"/>
      <c r="O568" s="117"/>
      <c r="P568" s="117"/>
      <c r="Q568" s="117"/>
      <c r="R568" s="117"/>
      <c r="S568" s="117"/>
    </row>
    <row r="569" spans="1:19" ht="12.9">
      <c r="A569" s="117"/>
      <c r="B569" s="117"/>
      <c r="C569" s="117"/>
      <c r="D569" s="24"/>
      <c r="E569" s="24"/>
      <c r="F569" s="117"/>
      <c r="G569" s="117"/>
      <c r="H569" s="117"/>
      <c r="I569" s="117"/>
      <c r="J569" s="117"/>
      <c r="K569" s="117"/>
      <c r="L569" s="117"/>
      <c r="M569" s="117"/>
      <c r="N569" s="117"/>
      <c r="O569" s="117"/>
      <c r="P569" s="117"/>
      <c r="Q569" s="117"/>
      <c r="R569" s="117"/>
      <c r="S569" s="117"/>
    </row>
    <row r="570" spans="1:19" ht="12.9">
      <c r="A570" s="117"/>
      <c r="B570" s="117"/>
      <c r="C570" s="117"/>
      <c r="D570" s="24"/>
      <c r="E570" s="24"/>
      <c r="F570" s="117"/>
      <c r="G570" s="117"/>
      <c r="H570" s="117"/>
      <c r="I570" s="117"/>
      <c r="J570" s="117"/>
      <c r="K570" s="117"/>
      <c r="L570" s="117"/>
      <c r="M570" s="117"/>
      <c r="N570" s="117"/>
      <c r="O570" s="117"/>
      <c r="P570" s="117"/>
      <c r="Q570" s="117"/>
      <c r="R570" s="117"/>
      <c r="S570" s="117"/>
    </row>
    <row r="571" spans="1:19" ht="12.9">
      <c r="A571" s="117"/>
      <c r="B571" s="117"/>
      <c r="C571" s="117"/>
      <c r="D571" s="24"/>
      <c r="E571" s="24"/>
      <c r="F571" s="117"/>
      <c r="G571" s="117"/>
      <c r="H571" s="117"/>
      <c r="I571" s="117"/>
      <c r="J571" s="117"/>
      <c r="K571" s="117"/>
      <c r="L571" s="117"/>
      <c r="M571" s="117"/>
      <c r="N571" s="117"/>
      <c r="O571" s="117"/>
      <c r="P571" s="117"/>
      <c r="Q571" s="117"/>
      <c r="R571" s="117"/>
      <c r="S571" s="117"/>
    </row>
    <row r="572" spans="1:19" ht="12.9">
      <c r="A572" s="117"/>
      <c r="B572" s="117"/>
      <c r="C572" s="117"/>
      <c r="D572" s="24"/>
      <c r="E572" s="24"/>
      <c r="F572" s="117"/>
      <c r="G572" s="117"/>
      <c r="H572" s="117"/>
      <c r="I572" s="117"/>
      <c r="J572" s="117"/>
      <c r="K572" s="117"/>
      <c r="L572" s="117"/>
      <c r="M572" s="117"/>
      <c r="N572" s="117"/>
      <c r="O572" s="117"/>
      <c r="P572" s="117"/>
      <c r="Q572" s="117"/>
      <c r="R572" s="117"/>
      <c r="S572" s="117"/>
    </row>
    <row r="573" spans="1:19" ht="12.9">
      <c r="A573" s="117"/>
      <c r="B573" s="117"/>
      <c r="C573" s="117"/>
      <c r="D573" s="24"/>
      <c r="E573" s="24"/>
      <c r="F573" s="117"/>
      <c r="G573" s="117"/>
      <c r="H573" s="117"/>
      <c r="I573" s="117"/>
      <c r="J573" s="117"/>
      <c r="K573" s="117"/>
      <c r="L573" s="117"/>
      <c r="M573" s="117"/>
      <c r="N573" s="117"/>
      <c r="O573" s="117"/>
      <c r="P573" s="117"/>
      <c r="Q573" s="117"/>
      <c r="R573" s="117"/>
      <c r="S573" s="117"/>
    </row>
    <row r="574" spans="1:19" ht="12.9">
      <c r="A574" s="117"/>
      <c r="B574" s="117"/>
      <c r="C574" s="117"/>
      <c r="D574" s="24"/>
      <c r="E574" s="24"/>
      <c r="F574" s="117"/>
      <c r="G574" s="117"/>
      <c r="H574" s="117"/>
      <c r="I574" s="117"/>
      <c r="J574" s="117"/>
      <c r="K574" s="117"/>
      <c r="L574" s="117"/>
      <c r="M574" s="117"/>
      <c r="N574" s="117"/>
      <c r="O574" s="117"/>
      <c r="P574" s="117"/>
      <c r="Q574" s="117"/>
      <c r="R574" s="117"/>
      <c r="S574" s="117"/>
    </row>
    <row r="575" spans="1:19" ht="12.9">
      <c r="A575" s="117"/>
      <c r="B575" s="117"/>
      <c r="C575" s="117"/>
      <c r="D575" s="24"/>
      <c r="E575" s="24"/>
      <c r="F575" s="117"/>
      <c r="G575" s="117"/>
      <c r="H575" s="117"/>
      <c r="I575" s="117"/>
      <c r="J575" s="117"/>
      <c r="K575" s="117"/>
      <c r="L575" s="117"/>
      <c r="M575" s="117"/>
      <c r="N575" s="117"/>
      <c r="O575" s="117"/>
      <c r="P575" s="117"/>
      <c r="Q575" s="117"/>
      <c r="R575" s="117"/>
      <c r="S575" s="117"/>
    </row>
    <row r="576" spans="1:19" ht="12.9">
      <c r="A576" s="117"/>
      <c r="B576" s="117"/>
      <c r="C576" s="117"/>
      <c r="D576" s="24"/>
      <c r="E576" s="24"/>
      <c r="F576" s="117"/>
      <c r="G576" s="117"/>
      <c r="H576" s="117"/>
      <c r="I576" s="117"/>
      <c r="J576" s="117"/>
      <c r="K576" s="117"/>
      <c r="L576" s="117"/>
      <c r="M576" s="117"/>
      <c r="N576" s="117"/>
      <c r="O576" s="117"/>
      <c r="P576" s="117"/>
      <c r="Q576" s="117"/>
      <c r="R576" s="117"/>
      <c r="S576" s="117"/>
    </row>
    <row r="577" spans="1:19" ht="12.9">
      <c r="A577" s="117"/>
      <c r="B577" s="117"/>
      <c r="C577" s="117"/>
      <c r="D577" s="24"/>
      <c r="E577" s="24"/>
      <c r="F577" s="117"/>
      <c r="G577" s="117"/>
      <c r="H577" s="117"/>
      <c r="I577" s="117"/>
      <c r="J577" s="117"/>
      <c r="K577" s="117"/>
      <c r="L577" s="117"/>
      <c r="M577" s="117"/>
      <c r="N577" s="117"/>
      <c r="O577" s="117"/>
      <c r="P577" s="117"/>
      <c r="Q577" s="117"/>
      <c r="R577" s="117"/>
      <c r="S577" s="117"/>
    </row>
    <row r="578" spans="1:19" ht="12.9">
      <c r="A578" s="117"/>
      <c r="B578" s="117"/>
      <c r="C578" s="117"/>
      <c r="D578" s="24"/>
      <c r="E578" s="24"/>
      <c r="F578" s="117"/>
      <c r="G578" s="117"/>
      <c r="H578" s="117"/>
      <c r="I578" s="117"/>
      <c r="J578" s="117"/>
      <c r="K578" s="117"/>
      <c r="L578" s="117"/>
      <c r="M578" s="117"/>
      <c r="N578" s="117"/>
      <c r="O578" s="117"/>
      <c r="P578" s="117"/>
      <c r="Q578" s="117"/>
      <c r="R578" s="117"/>
      <c r="S578" s="117"/>
    </row>
    <row r="579" spans="1:19" ht="12.9">
      <c r="A579" s="117"/>
      <c r="B579" s="117"/>
      <c r="C579" s="117"/>
      <c r="D579" s="24"/>
      <c r="E579" s="24"/>
      <c r="F579" s="117"/>
      <c r="G579" s="117"/>
      <c r="H579" s="117"/>
      <c r="I579" s="117"/>
      <c r="J579" s="117"/>
      <c r="K579" s="117"/>
      <c r="L579" s="117"/>
      <c r="M579" s="117"/>
      <c r="N579" s="117"/>
      <c r="O579" s="117"/>
      <c r="P579" s="117"/>
      <c r="Q579" s="117"/>
      <c r="R579" s="117"/>
      <c r="S579" s="117"/>
    </row>
    <row r="580" spans="1:19" ht="12.9">
      <c r="A580" s="117"/>
      <c r="B580" s="117"/>
      <c r="C580" s="117"/>
      <c r="D580" s="24"/>
      <c r="E580" s="24"/>
      <c r="F580" s="117"/>
      <c r="G580" s="117"/>
      <c r="H580" s="117"/>
      <c r="I580" s="117"/>
      <c r="J580" s="117"/>
      <c r="K580" s="117"/>
      <c r="L580" s="117"/>
      <c r="M580" s="117"/>
      <c r="N580" s="117"/>
      <c r="O580" s="117"/>
      <c r="P580" s="117"/>
      <c r="Q580" s="117"/>
      <c r="R580" s="117"/>
      <c r="S580" s="117"/>
    </row>
    <row r="581" spans="1:19" ht="12.9">
      <c r="A581" s="117"/>
      <c r="B581" s="117"/>
      <c r="C581" s="117"/>
      <c r="D581" s="24"/>
      <c r="E581" s="24"/>
      <c r="F581" s="117"/>
      <c r="G581" s="117"/>
      <c r="H581" s="117"/>
      <c r="I581" s="117"/>
      <c r="J581" s="117"/>
      <c r="K581" s="117"/>
      <c r="L581" s="117"/>
      <c r="M581" s="117"/>
      <c r="N581" s="117"/>
      <c r="O581" s="117"/>
      <c r="P581" s="117"/>
      <c r="Q581" s="117"/>
      <c r="R581" s="117"/>
      <c r="S581" s="117"/>
    </row>
    <row r="582" spans="1:19" ht="12.9">
      <c r="A582" s="117"/>
      <c r="B582" s="117"/>
      <c r="C582" s="117"/>
      <c r="D582" s="24"/>
      <c r="E582" s="24"/>
      <c r="F582" s="117"/>
      <c r="G582" s="117"/>
      <c r="H582" s="117"/>
      <c r="I582" s="117"/>
      <c r="J582" s="117"/>
      <c r="K582" s="117"/>
      <c r="L582" s="117"/>
      <c r="M582" s="117"/>
      <c r="N582" s="117"/>
      <c r="O582" s="117"/>
      <c r="P582" s="117"/>
      <c r="Q582" s="117"/>
      <c r="R582" s="117"/>
      <c r="S582" s="117"/>
    </row>
    <row r="583" spans="1:19" ht="12.9">
      <c r="A583" s="117"/>
      <c r="B583" s="117"/>
      <c r="C583" s="117"/>
      <c r="D583" s="24"/>
      <c r="E583" s="24"/>
      <c r="F583" s="117"/>
      <c r="G583" s="117"/>
      <c r="H583" s="117"/>
      <c r="I583" s="117"/>
      <c r="J583" s="117"/>
      <c r="K583" s="117"/>
      <c r="L583" s="117"/>
      <c r="M583" s="117"/>
      <c r="N583" s="117"/>
      <c r="O583" s="117"/>
      <c r="P583" s="117"/>
      <c r="Q583" s="117"/>
      <c r="R583" s="117"/>
      <c r="S583" s="117"/>
    </row>
    <row r="584" spans="1:19" ht="12.9">
      <c r="A584" s="117"/>
      <c r="B584" s="117"/>
      <c r="C584" s="117"/>
      <c r="D584" s="24"/>
      <c r="E584" s="24"/>
      <c r="F584" s="117"/>
      <c r="G584" s="117"/>
      <c r="H584" s="117"/>
      <c r="I584" s="117"/>
      <c r="J584" s="117"/>
      <c r="K584" s="117"/>
      <c r="L584" s="117"/>
      <c r="M584" s="117"/>
      <c r="N584" s="117"/>
      <c r="O584" s="117"/>
      <c r="P584" s="117"/>
      <c r="Q584" s="117"/>
      <c r="R584" s="117"/>
      <c r="S584" s="117"/>
    </row>
    <row r="585" spans="1:19" ht="12.9">
      <c r="A585" s="117"/>
      <c r="B585" s="117"/>
      <c r="C585" s="117"/>
      <c r="D585" s="24"/>
      <c r="E585" s="24"/>
      <c r="F585" s="117"/>
      <c r="G585" s="117"/>
      <c r="H585" s="117"/>
      <c r="I585" s="117"/>
      <c r="J585" s="117"/>
      <c r="K585" s="117"/>
      <c r="L585" s="117"/>
      <c r="M585" s="117"/>
      <c r="N585" s="117"/>
      <c r="O585" s="117"/>
      <c r="P585" s="117"/>
      <c r="Q585" s="117"/>
      <c r="R585" s="117"/>
      <c r="S585" s="117"/>
    </row>
    <row r="586" spans="1:19" ht="12.9">
      <c r="A586" s="117"/>
      <c r="B586" s="117"/>
      <c r="C586" s="117"/>
      <c r="D586" s="24"/>
      <c r="E586" s="24"/>
      <c r="F586" s="117"/>
      <c r="G586" s="117"/>
      <c r="H586" s="117"/>
      <c r="I586" s="117"/>
      <c r="J586" s="117"/>
      <c r="K586" s="117"/>
      <c r="L586" s="117"/>
      <c r="M586" s="117"/>
      <c r="N586" s="117"/>
      <c r="O586" s="117"/>
      <c r="P586" s="117"/>
      <c r="Q586" s="117"/>
      <c r="R586" s="117"/>
      <c r="S586" s="117"/>
    </row>
    <row r="587" spans="1:19" ht="12.9">
      <c r="A587" s="117"/>
      <c r="B587" s="117"/>
      <c r="C587" s="117"/>
      <c r="D587" s="24"/>
      <c r="E587" s="24"/>
      <c r="F587" s="117"/>
      <c r="G587" s="117"/>
      <c r="H587" s="117"/>
      <c r="I587" s="117"/>
      <c r="J587" s="117"/>
      <c r="K587" s="117"/>
      <c r="L587" s="117"/>
      <c r="M587" s="117"/>
      <c r="N587" s="117"/>
      <c r="O587" s="117"/>
      <c r="P587" s="117"/>
      <c r="Q587" s="117"/>
      <c r="R587" s="117"/>
      <c r="S587" s="117"/>
    </row>
    <row r="588" spans="1:19" ht="12.9">
      <c r="A588" s="117"/>
      <c r="B588" s="117"/>
      <c r="C588" s="117"/>
      <c r="D588" s="24"/>
      <c r="E588" s="24"/>
      <c r="F588" s="117"/>
      <c r="G588" s="117"/>
      <c r="H588" s="117"/>
      <c r="I588" s="117"/>
      <c r="J588" s="117"/>
      <c r="K588" s="117"/>
      <c r="L588" s="117"/>
      <c r="M588" s="117"/>
      <c r="N588" s="117"/>
      <c r="O588" s="117"/>
      <c r="P588" s="117"/>
      <c r="Q588" s="117"/>
      <c r="R588" s="117"/>
      <c r="S588" s="117"/>
    </row>
    <row r="589" spans="1:19" ht="12.9">
      <c r="A589" s="117"/>
      <c r="B589" s="117"/>
      <c r="C589" s="117"/>
      <c r="D589" s="24"/>
      <c r="E589" s="24"/>
      <c r="F589" s="117"/>
      <c r="G589" s="117"/>
      <c r="H589" s="117"/>
      <c r="I589" s="117"/>
      <c r="J589" s="117"/>
      <c r="K589" s="117"/>
      <c r="L589" s="117"/>
      <c r="M589" s="117"/>
      <c r="N589" s="117"/>
      <c r="O589" s="117"/>
      <c r="P589" s="117"/>
      <c r="Q589" s="117"/>
      <c r="R589" s="117"/>
      <c r="S589" s="117"/>
    </row>
    <row r="590" spans="1:19" ht="12.9">
      <c r="A590" s="117"/>
      <c r="B590" s="117"/>
      <c r="C590" s="117"/>
      <c r="D590" s="24"/>
      <c r="E590" s="24"/>
      <c r="F590" s="117"/>
      <c r="G590" s="117"/>
      <c r="H590" s="117"/>
      <c r="I590" s="117"/>
      <c r="J590" s="117"/>
      <c r="K590" s="117"/>
      <c r="L590" s="117"/>
      <c r="M590" s="117"/>
      <c r="N590" s="117"/>
      <c r="O590" s="117"/>
      <c r="P590" s="117"/>
      <c r="Q590" s="117"/>
      <c r="R590" s="117"/>
      <c r="S590" s="117"/>
    </row>
    <row r="591" spans="1:19" ht="12.9">
      <c r="A591" s="117"/>
      <c r="B591" s="117"/>
      <c r="C591" s="117"/>
      <c r="D591" s="24"/>
      <c r="E591" s="24"/>
      <c r="F591" s="117"/>
      <c r="G591" s="117"/>
      <c r="H591" s="117"/>
      <c r="I591" s="117"/>
      <c r="J591" s="117"/>
      <c r="K591" s="117"/>
      <c r="L591" s="117"/>
      <c r="M591" s="117"/>
      <c r="N591" s="117"/>
      <c r="O591" s="117"/>
      <c r="P591" s="117"/>
      <c r="Q591" s="117"/>
      <c r="R591" s="117"/>
      <c r="S591" s="117"/>
    </row>
    <row r="592" spans="1:19" ht="12.9">
      <c r="A592" s="117"/>
      <c r="B592" s="117"/>
      <c r="C592" s="117"/>
      <c r="D592" s="24"/>
      <c r="E592" s="24"/>
      <c r="F592" s="117"/>
      <c r="G592" s="117"/>
      <c r="H592" s="117"/>
      <c r="I592" s="117"/>
      <c r="J592" s="117"/>
      <c r="K592" s="117"/>
      <c r="L592" s="117"/>
      <c r="M592" s="117"/>
      <c r="N592" s="117"/>
      <c r="O592" s="117"/>
      <c r="P592" s="117"/>
      <c r="Q592" s="117"/>
      <c r="R592" s="117"/>
      <c r="S592" s="117"/>
    </row>
    <row r="593" spans="1:19" ht="12.9">
      <c r="A593" s="117"/>
      <c r="B593" s="117"/>
      <c r="C593" s="117"/>
      <c r="D593" s="24"/>
      <c r="E593" s="24"/>
      <c r="F593" s="117"/>
      <c r="G593" s="117"/>
      <c r="H593" s="117"/>
      <c r="I593" s="117"/>
      <c r="J593" s="117"/>
      <c r="K593" s="117"/>
      <c r="L593" s="117"/>
      <c r="M593" s="117"/>
      <c r="N593" s="117"/>
      <c r="O593" s="117"/>
      <c r="P593" s="117"/>
      <c r="Q593" s="117"/>
      <c r="R593" s="117"/>
      <c r="S593" s="117"/>
    </row>
    <row r="594" spans="1:19" ht="12.9">
      <c r="A594" s="117"/>
      <c r="B594" s="117"/>
      <c r="C594" s="117"/>
      <c r="D594" s="24"/>
      <c r="E594" s="24"/>
      <c r="F594" s="117"/>
      <c r="G594" s="117"/>
      <c r="H594" s="117"/>
      <c r="I594" s="117"/>
      <c r="J594" s="117"/>
      <c r="K594" s="117"/>
      <c r="L594" s="117"/>
      <c r="M594" s="117"/>
      <c r="N594" s="117"/>
      <c r="O594" s="117"/>
      <c r="P594" s="117"/>
      <c r="Q594" s="117"/>
      <c r="R594" s="117"/>
      <c r="S594" s="117"/>
    </row>
    <row r="595" spans="1:19" ht="12.9">
      <c r="A595" s="117"/>
      <c r="B595" s="117"/>
      <c r="C595" s="117"/>
      <c r="D595" s="24"/>
      <c r="E595" s="24"/>
      <c r="F595" s="117"/>
      <c r="G595" s="117"/>
      <c r="H595" s="117"/>
      <c r="I595" s="117"/>
      <c r="J595" s="117"/>
      <c r="K595" s="117"/>
      <c r="L595" s="117"/>
      <c r="M595" s="117"/>
      <c r="N595" s="117"/>
      <c r="O595" s="117"/>
      <c r="P595" s="117"/>
      <c r="Q595" s="117"/>
      <c r="R595" s="117"/>
      <c r="S595" s="117"/>
    </row>
    <row r="596" spans="1:19" ht="12.9">
      <c r="A596" s="117"/>
      <c r="B596" s="117"/>
      <c r="C596" s="117"/>
      <c r="D596" s="24"/>
      <c r="E596" s="24"/>
      <c r="F596" s="117"/>
      <c r="G596" s="117"/>
      <c r="H596" s="117"/>
      <c r="I596" s="117"/>
      <c r="J596" s="117"/>
      <c r="K596" s="117"/>
      <c r="L596" s="117"/>
      <c r="M596" s="117"/>
      <c r="N596" s="117"/>
      <c r="O596" s="117"/>
      <c r="P596" s="117"/>
      <c r="Q596" s="117"/>
      <c r="R596" s="117"/>
      <c r="S596" s="117"/>
    </row>
    <row r="597" spans="1:19" ht="12.9">
      <c r="A597" s="117"/>
      <c r="B597" s="117"/>
      <c r="C597" s="117"/>
      <c r="D597" s="24"/>
      <c r="E597" s="24"/>
      <c r="F597" s="117"/>
      <c r="G597" s="117"/>
      <c r="H597" s="117"/>
      <c r="I597" s="117"/>
      <c r="J597" s="117"/>
      <c r="K597" s="117"/>
      <c r="L597" s="117"/>
      <c r="M597" s="117"/>
      <c r="N597" s="117"/>
      <c r="O597" s="117"/>
      <c r="P597" s="117"/>
      <c r="Q597" s="117"/>
      <c r="R597" s="117"/>
      <c r="S597" s="117"/>
    </row>
    <row r="598" spans="1:19" ht="12.9">
      <c r="A598" s="117"/>
      <c r="B598" s="117"/>
      <c r="C598" s="117"/>
      <c r="D598" s="24"/>
      <c r="E598" s="24"/>
      <c r="F598" s="117"/>
      <c r="G598" s="117"/>
      <c r="H598" s="117"/>
      <c r="I598" s="117"/>
      <c r="J598" s="117"/>
      <c r="K598" s="117"/>
      <c r="L598" s="117"/>
      <c r="M598" s="117"/>
      <c r="N598" s="117"/>
      <c r="O598" s="117"/>
      <c r="P598" s="117"/>
      <c r="Q598" s="117"/>
      <c r="R598" s="117"/>
      <c r="S598" s="117"/>
    </row>
    <row r="599" spans="1:19" ht="12.9">
      <c r="A599" s="117"/>
      <c r="B599" s="117"/>
      <c r="C599" s="117"/>
      <c r="D599" s="24"/>
      <c r="E599" s="24"/>
      <c r="F599" s="117"/>
      <c r="G599" s="117"/>
      <c r="H599" s="117"/>
      <c r="I599" s="117"/>
      <c r="J599" s="117"/>
      <c r="K599" s="117"/>
      <c r="L599" s="117"/>
      <c r="M599" s="117"/>
      <c r="N599" s="117"/>
      <c r="O599" s="117"/>
      <c r="P599" s="117"/>
      <c r="Q599" s="117"/>
      <c r="R599" s="117"/>
      <c r="S599" s="117"/>
    </row>
    <row r="600" spans="1:19" ht="12.9">
      <c r="A600" s="117"/>
      <c r="B600" s="117"/>
      <c r="C600" s="117"/>
      <c r="D600" s="24"/>
      <c r="E600" s="24"/>
      <c r="F600" s="117"/>
      <c r="G600" s="117"/>
      <c r="H600" s="117"/>
      <c r="I600" s="117"/>
      <c r="J600" s="117"/>
      <c r="K600" s="117"/>
      <c r="L600" s="117"/>
      <c r="M600" s="117"/>
      <c r="N600" s="117"/>
      <c r="O600" s="117"/>
      <c r="P600" s="117"/>
      <c r="Q600" s="117"/>
      <c r="R600" s="117"/>
      <c r="S600" s="117"/>
    </row>
    <row r="601" spans="1:19" ht="12.9">
      <c r="A601" s="117"/>
      <c r="B601" s="117"/>
      <c r="C601" s="117"/>
      <c r="D601" s="24"/>
      <c r="E601" s="24"/>
      <c r="F601" s="117"/>
      <c r="G601" s="117"/>
      <c r="H601" s="117"/>
      <c r="I601" s="117"/>
      <c r="J601" s="117"/>
      <c r="K601" s="117"/>
      <c r="L601" s="117"/>
      <c r="M601" s="117"/>
      <c r="N601" s="117"/>
      <c r="O601" s="117"/>
      <c r="P601" s="117"/>
      <c r="Q601" s="117"/>
      <c r="R601" s="117"/>
      <c r="S601" s="117"/>
    </row>
    <row r="602" spans="1:19" ht="12.9">
      <c r="A602" s="117"/>
      <c r="B602" s="117"/>
      <c r="C602" s="117"/>
      <c r="D602" s="24"/>
      <c r="E602" s="24"/>
      <c r="F602" s="117"/>
      <c r="G602" s="117"/>
      <c r="H602" s="117"/>
      <c r="I602" s="117"/>
      <c r="J602" s="117"/>
      <c r="K602" s="117"/>
      <c r="L602" s="117"/>
      <c r="M602" s="117"/>
      <c r="N602" s="117"/>
      <c r="O602" s="117"/>
      <c r="P602" s="117"/>
      <c r="Q602" s="117"/>
      <c r="R602" s="117"/>
      <c r="S602" s="117"/>
    </row>
    <row r="603" spans="1:19" ht="12.9">
      <c r="A603" s="117"/>
      <c r="B603" s="117"/>
      <c r="C603" s="117"/>
      <c r="D603" s="24"/>
      <c r="E603" s="24"/>
      <c r="F603" s="117"/>
      <c r="G603" s="117"/>
      <c r="H603" s="117"/>
      <c r="I603" s="117"/>
      <c r="J603" s="117"/>
      <c r="K603" s="117"/>
      <c r="L603" s="117"/>
      <c r="M603" s="117"/>
      <c r="N603" s="117"/>
      <c r="O603" s="117"/>
      <c r="P603" s="117"/>
      <c r="Q603" s="117"/>
      <c r="R603" s="117"/>
      <c r="S603" s="117"/>
    </row>
    <row r="604" spans="1:19" ht="12.9">
      <c r="A604" s="117"/>
      <c r="B604" s="117"/>
      <c r="C604" s="117"/>
      <c r="D604" s="24"/>
      <c r="E604" s="24"/>
      <c r="F604" s="117"/>
      <c r="G604" s="117"/>
      <c r="H604" s="117"/>
      <c r="I604" s="117"/>
      <c r="J604" s="117"/>
      <c r="K604" s="117"/>
      <c r="L604" s="117"/>
      <c r="M604" s="117"/>
      <c r="N604" s="117"/>
      <c r="O604" s="117"/>
      <c r="P604" s="117"/>
      <c r="Q604" s="117"/>
      <c r="R604" s="117"/>
      <c r="S604" s="117"/>
    </row>
    <row r="605" spans="1:19" ht="12.9">
      <c r="A605" s="117"/>
      <c r="B605" s="117"/>
      <c r="C605" s="117"/>
      <c r="D605" s="24"/>
      <c r="E605" s="24"/>
      <c r="F605" s="117"/>
      <c r="G605" s="117"/>
      <c r="H605" s="117"/>
      <c r="I605" s="117"/>
      <c r="J605" s="117"/>
      <c r="K605" s="117"/>
      <c r="L605" s="117"/>
      <c r="M605" s="117"/>
      <c r="N605" s="117"/>
      <c r="O605" s="117"/>
      <c r="P605" s="117"/>
      <c r="Q605" s="117"/>
      <c r="R605" s="117"/>
      <c r="S605" s="117"/>
    </row>
    <row r="606" spans="1:19" ht="12.9">
      <c r="A606" s="117"/>
      <c r="B606" s="117"/>
      <c r="C606" s="117"/>
      <c r="D606" s="24"/>
      <c r="E606" s="24"/>
      <c r="F606" s="117"/>
      <c r="G606" s="117"/>
      <c r="H606" s="117"/>
      <c r="I606" s="117"/>
      <c r="J606" s="117"/>
      <c r="K606" s="117"/>
      <c r="L606" s="117"/>
      <c r="M606" s="117"/>
      <c r="N606" s="117"/>
      <c r="O606" s="117"/>
      <c r="P606" s="117"/>
      <c r="Q606" s="117"/>
      <c r="R606" s="117"/>
      <c r="S606" s="117"/>
    </row>
    <row r="607" spans="1:19" ht="12.9">
      <c r="A607" s="117"/>
      <c r="B607" s="117"/>
      <c r="C607" s="117"/>
      <c r="D607" s="24"/>
      <c r="E607" s="24"/>
      <c r="F607" s="117"/>
      <c r="G607" s="117"/>
      <c r="H607" s="117"/>
      <c r="I607" s="117"/>
      <c r="J607" s="117"/>
      <c r="K607" s="117"/>
      <c r="L607" s="117"/>
      <c r="M607" s="117"/>
      <c r="N607" s="117"/>
      <c r="O607" s="117"/>
      <c r="P607" s="117"/>
      <c r="Q607" s="117"/>
      <c r="R607" s="117"/>
      <c r="S607" s="117"/>
    </row>
    <row r="608" spans="1:19" ht="12.9">
      <c r="A608" s="117"/>
      <c r="B608" s="117"/>
      <c r="C608" s="117"/>
      <c r="D608" s="24"/>
      <c r="E608" s="24"/>
      <c r="F608" s="117"/>
      <c r="G608" s="117"/>
      <c r="H608" s="117"/>
      <c r="I608" s="117"/>
      <c r="J608" s="117"/>
      <c r="K608" s="117"/>
      <c r="L608" s="117"/>
      <c r="M608" s="117"/>
      <c r="N608" s="117"/>
      <c r="O608" s="117"/>
      <c r="P608" s="117"/>
      <c r="Q608" s="117"/>
      <c r="R608" s="117"/>
      <c r="S608" s="117"/>
    </row>
    <row r="609" spans="1:19" ht="12.9">
      <c r="A609" s="117"/>
      <c r="B609" s="117"/>
      <c r="C609" s="117"/>
      <c r="D609" s="24"/>
      <c r="E609" s="24"/>
      <c r="F609" s="117"/>
      <c r="G609" s="117"/>
      <c r="H609" s="117"/>
      <c r="I609" s="117"/>
      <c r="J609" s="117"/>
      <c r="K609" s="117"/>
      <c r="L609" s="117"/>
      <c r="M609" s="117"/>
      <c r="N609" s="117"/>
      <c r="O609" s="117"/>
      <c r="P609" s="117"/>
      <c r="Q609" s="117"/>
      <c r="R609" s="117"/>
      <c r="S609" s="117"/>
    </row>
    <row r="610" spans="1:19" ht="12.9">
      <c r="A610" s="117"/>
      <c r="B610" s="117"/>
      <c r="C610" s="117"/>
      <c r="D610" s="24"/>
      <c r="E610" s="24"/>
      <c r="F610" s="117"/>
      <c r="G610" s="117"/>
      <c r="H610" s="117"/>
      <c r="I610" s="117"/>
      <c r="J610" s="117"/>
      <c r="K610" s="117"/>
      <c r="L610" s="117"/>
      <c r="M610" s="117"/>
      <c r="N610" s="117"/>
      <c r="O610" s="117"/>
      <c r="P610" s="117"/>
      <c r="Q610" s="117"/>
      <c r="R610" s="117"/>
      <c r="S610" s="117"/>
    </row>
    <row r="611" spans="1:19" ht="12.9">
      <c r="A611" s="117"/>
      <c r="B611" s="117"/>
      <c r="C611" s="117"/>
      <c r="D611" s="24"/>
      <c r="E611" s="24"/>
      <c r="F611" s="117"/>
      <c r="G611" s="117"/>
      <c r="H611" s="117"/>
      <c r="I611" s="117"/>
      <c r="J611" s="117"/>
      <c r="K611" s="117"/>
      <c r="L611" s="117"/>
      <c r="M611" s="117"/>
      <c r="N611" s="117"/>
      <c r="O611" s="117"/>
      <c r="P611" s="117"/>
      <c r="Q611" s="117"/>
      <c r="R611" s="117"/>
      <c r="S611" s="117"/>
    </row>
    <row r="612" spans="1:19" ht="12.9">
      <c r="A612" s="117"/>
      <c r="B612" s="117"/>
      <c r="C612" s="117"/>
      <c r="D612" s="24"/>
      <c r="E612" s="24"/>
      <c r="F612" s="117"/>
      <c r="G612" s="117"/>
      <c r="H612" s="117"/>
      <c r="I612" s="117"/>
      <c r="J612" s="117"/>
      <c r="K612" s="117"/>
      <c r="L612" s="117"/>
      <c r="M612" s="117"/>
      <c r="N612" s="117"/>
      <c r="O612" s="117"/>
      <c r="P612" s="117"/>
      <c r="Q612" s="117"/>
      <c r="R612" s="117"/>
      <c r="S612" s="117"/>
    </row>
    <row r="613" spans="1:19" ht="12.9">
      <c r="A613" s="117"/>
      <c r="B613" s="117"/>
      <c r="C613" s="117"/>
      <c r="D613" s="24"/>
      <c r="E613" s="24"/>
      <c r="F613" s="117"/>
      <c r="G613" s="117"/>
      <c r="H613" s="117"/>
      <c r="I613" s="117"/>
      <c r="J613" s="117"/>
      <c r="K613" s="117"/>
      <c r="L613" s="117"/>
      <c r="M613" s="117"/>
      <c r="N613" s="117"/>
      <c r="O613" s="117"/>
      <c r="P613" s="117"/>
      <c r="Q613" s="117"/>
      <c r="R613" s="117"/>
      <c r="S613" s="117"/>
    </row>
    <row r="614" spans="1:19" ht="12.9">
      <c r="A614" s="117"/>
      <c r="B614" s="117"/>
      <c r="C614" s="117"/>
      <c r="D614" s="24"/>
      <c r="E614" s="24"/>
      <c r="F614" s="117"/>
      <c r="G614" s="117"/>
      <c r="H614" s="117"/>
      <c r="I614" s="117"/>
      <c r="J614" s="117"/>
      <c r="K614" s="117"/>
      <c r="L614" s="117"/>
      <c r="M614" s="117"/>
      <c r="N614" s="117"/>
      <c r="O614" s="117"/>
      <c r="P614" s="117"/>
      <c r="Q614" s="117"/>
      <c r="R614" s="117"/>
      <c r="S614" s="117"/>
    </row>
    <row r="615" spans="1:19" ht="12.9">
      <c r="A615" s="117"/>
      <c r="B615" s="117"/>
      <c r="C615" s="117"/>
      <c r="D615" s="24"/>
      <c r="E615" s="24"/>
      <c r="F615" s="117"/>
      <c r="G615" s="117"/>
      <c r="H615" s="117"/>
      <c r="I615" s="117"/>
      <c r="J615" s="117"/>
      <c r="K615" s="117"/>
      <c r="L615" s="117"/>
      <c r="M615" s="117"/>
      <c r="N615" s="117"/>
      <c r="O615" s="117"/>
      <c r="P615" s="117"/>
      <c r="Q615" s="117"/>
      <c r="R615" s="117"/>
      <c r="S615" s="117"/>
    </row>
    <row r="616" spans="1:19" ht="12.9">
      <c r="A616" s="117"/>
      <c r="B616" s="117"/>
      <c r="C616" s="117"/>
      <c r="D616" s="24"/>
      <c r="E616" s="24"/>
      <c r="F616" s="117"/>
      <c r="G616" s="117"/>
      <c r="H616" s="117"/>
      <c r="I616" s="117"/>
      <c r="J616" s="117"/>
      <c r="K616" s="117"/>
      <c r="L616" s="117"/>
      <c r="M616" s="117"/>
      <c r="N616" s="117"/>
      <c r="O616" s="117"/>
      <c r="P616" s="117"/>
      <c r="Q616" s="117"/>
      <c r="R616" s="117"/>
      <c r="S616" s="117"/>
    </row>
    <row r="617" spans="1:19" ht="12.9">
      <c r="A617" s="117"/>
      <c r="B617" s="117"/>
      <c r="C617" s="117"/>
      <c r="D617" s="24"/>
      <c r="E617" s="24"/>
      <c r="F617" s="117"/>
      <c r="G617" s="117"/>
      <c r="H617" s="117"/>
      <c r="I617" s="117"/>
      <c r="J617" s="117"/>
      <c r="K617" s="117"/>
      <c r="L617" s="117"/>
      <c r="M617" s="117"/>
      <c r="N617" s="117"/>
      <c r="O617" s="117"/>
      <c r="P617" s="117"/>
      <c r="Q617" s="117"/>
      <c r="R617" s="117"/>
      <c r="S617" s="117"/>
    </row>
    <row r="618" spans="1:19" ht="12.9">
      <c r="A618" s="117"/>
      <c r="B618" s="117"/>
      <c r="C618" s="117"/>
      <c r="D618" s="24"/>
      <c r="E618" s="24"/>
      <c r="F618" s="117"/>
      <c r="G618" s="117"/>
      <c r="H618" s="117"/>
      <c r="I618" s="117"/>
      <c r="J618" s="117"/>
      <c r="K618" s="117"/>
      <c r="L618" s="117"/>
      <c r="M618" s="117"/>
      <c r="N618" s="117"/>
      <c r="O618" s="117"/>
      <c r="P618" s="117"/>
      <c r="Q618" s="117"/>
      <c r="R618" s="117"/>
      <c r="S618" s="117"/>
    </row>
    <row r="619" spans="1:19" ht="12.9">
      <c r="A619" s="117"/>
      <c r="B619" s="117"/>
      <c r="C619" s="117"/>
      <c r="D619" s="24"/>
      <c r="E619" s="24"/>
      <c r="F619" s="117"/>
      <c r="G619" s="117"/>
      <c r="H619" s="117"/>
      <c r="I619" s="117"/>
      <c r="J619" s="117"/>
      <c r="K619" s="117"/>
      <c r="L619" s="117"/>
      <c r="M619" s="117"/>
      <c r="N619" s="117"/>
      <c r="O619" s="117"/>
      <c r="P619" s="117"/>
      <c r="Q619" s="117"/>
      <c r="R619" s="117"/>
      <c r="S619" s="117"/>
    </row>
    <row r="620" spans="1:19" ht="12.9">
      <c r="A620" s="117"/>
      <c r="B620" s="117"/>
      <c r="C620" s="117"/>
      <c r="D620" s="24"/>
      <c r="E620" s="24"/>
      <c r="F620" s="117"/>
      <c r="G620" s="117"/>
      <c r="H620" s="117"/>
      <c r="I620" s="117"/>
      <c r="J620" s="117"/>
      <c r="K620" s="117"/>
      <c r="L620" s="117"/>
      <c r="M620" s="117"/>
      <c r="N620" s="117"/>
      <c r="O620" s="117"/>
      <c r="P620" s="117"/>
      <c r="Q620" s="117"/>
      <c r="R620" s="117"/>
      <c r="S620" s="117"/>
    </row>
    <row r="621" spans="1:19" ht="12.9">
      <c r="A621" s="117"/>
      <c r="B621" s="117"/>
      <c r="C621" s="117"/>
      <c r="D621" s="24"/>
      <c r="E621" s="24"/>
      <c r="F621" s="117"/>
      <c r="G621" s="117"/>
      <c r="H621" s="117"/>
      <c r="I621" s="117"/>
      <c r="J621" s="117"/>
      <c r="K621" s="117"/>
      <c r="L621" s="117"/>
      <c r="M621" s="117"/>
      <c r="N621" s="117"/>
      <c r="O621" s="117"/>
      <c r="P621" s="117"/>
      <c r="Q621" s="117"/>
      <c r="R621" s="117"/>
      <c r="S621" s="117"/>
    </row>
    <row r="622" spans="1:19" ht="12.9">
      <c r="A622" s="117"/>
      <c r="B622" s="117"/>
      <c r="C622" s="117"/>
      <c r="D622" s="24"/>
      <c r="E622" s="24"/>
      <c r="F622" s="117"/>
      <c r="G622" s="117"/>
      <c r="H622" s="117"/>
      <c r="I622" s="117"/>
      <c r="J622" s="117"/>
      <c r="K622" s="117"/>
      <c r="L622" s="117"/>
      <c r="M622" s="117"/>
      <c r="N622" s="117"/>
      <c r="O622" s="117"/>
      <c r="P622" s="117"/>
      <c r="Q622" s="117"/>
      <c r="R622" s="117"/>
      <c r="S622" s="117"/>
    </row>
    <row r="623" spans="1:19" ht="12.9">
      <c r="A623" s="117"/>
      <c r="B623" s="117"/>
      <c r="C623" s="117"/>
      <c r="D623" s="24"/>
      <c r="E623" s="24"/>
      <c r="F623" s="117"/>
      <c r="G623" s="117"/>
      <c r="H623" s="117"/>
      <c r="I623" s="117"/>
      <c r="J623" s="117"/>
      <c r="K623" s="117"/>
      <c r="L623" s="117"/>
      <c r="M623" s="117"/>
      <c r="N623" s="117"/>
      <c r="O623" s="117"/>
      <c r="P623" s="117"/>
      <c r="Q623" s="117"/>
      <c r="R623" s="117"/>
      <c r="S623" s="117"/>
    </row>
    <row r="624" spans="1:19" ht="12.9">
      <c r="A624" s="117"/>
      <c r="B624" s="117"/>
      <c r="C624" s="117"/>
      <c r="D624" s="24"/>
      <c r="E624" s="24"/>
      <c r="F624" s="117"/>
      <c r="G624" s="117"/>
      <c r="H624" s="117"/>
      <c r="I624" s="117"/>
      <c r="J624" s="117"/>
      <c r="K624" s="117"/>
      <c r="L624" s="117"/>
      <c r="M624" s="117"/>
      <c r="N624" s="117"/>
      <c r="O624" s="117"/>
      <c r="P624" s="117"/>
      <c r="Q624" s="117"/>
      <c r="R624" s="117"/>
      <c r="S624" s="117"/>
    </row>
    <row r="625" spans="1:19" ht="12.9">
      <c r="A625" s="117"/>
      <c r="B625" s="117"/>
      <c r="C625" s="117"/>
      <c r="D625" s="24"/>
      <c r="E625" s="24"/>
      <c r="F625" s="117"/>
      <c r="G625" s="117"/>
      <c r="H625" s="117"/>
      <c r="I625" s="117"/>
      <c r="J625" s="117"/>
      <c r="K625" s="117"/>
      <c r="L625" s="117"/>
      <c r="M625" s="117"/>
      <c r="N625" s="117"/>
      <c r="O625" s="117"/>
      <c r="P625" s="117"/>
      <c r="Q625" s="117"/>
      <c r="R625" s="117"/>
      <c r="S625" s="117"/>
    </row>
    <row r="626" spans="1:19" ht="12.9">
      <c r="A626" s="117"/>
      <c r="B626" s="117"/>
      <c r="C626" s="117"/>
      <c r="D626" s="24"/>
      <c r="E626" s="24"/>
      <c r="F626" s="117"/>
      <c r="G626" s="117"/>
      <c r="H626" s="117"/>
      <c r="I626" s="117"/>
      <c r="J626" s="117"/>
      <c r="K626" s="117"/>
      <c r="L626" s="117"/>
      <c r="M626" s="117"/>
      <c r="N626" s="117"/>
      <c r="O626" s="117"/>
      <c r="P626" s="117"/>
      <c r="Q626" s="117"/>
      <c r="R626" s="117"/>
      <c r="S626" s="117"/>
    </row>
    <row r="627" spans="1:19" ht="12.9">
      <c r="A627" s="117"/>
      <c r="B627" s="117"/>
      <c r="C627" s="117"/>
      <c r="D627" s="24"/>
      <c r="E627" s="24"/>
      <c r="F627" s="117"/>
      <c r="G627" s="117"/>
      <c r="H627" s="117"/>
      <c r="I627" s="117"/>
      <c r="J627" s="117"/>
      <c r="K627" s="117"/>
      <c r="L627" s="117"/>
      <c r="M627" s="117"/>
      <c r="N627" s="117"/>
      <c r="O627" s="117"/>
      <c r="P627" s="117"/>
      <c r="Q627" s="117"/>
      <c r="R627" s="117"/>
      <c r="S627" s="117"/>
    </row>
    <row r="628" spans="1:19" ht="12.9">
      <c r="A628" s="117"/>
      <c r="B628" s="117"/>
      <c r="C628" s="117"/>
      <c r="D628" s="24"/>
      <c r="E628" s="24"/>
      <c r="F628" s="117"/>
      <c r="G628" s="117"/>
      <c r="H628" s="117"/>
      <c r="I628" s="117"/>
      <c r="J628" s="117"/>
      <c r="K628" s="117"/>
      <c r="L628" s="117"/>
      <c r="M628" s="117"/>
      <c r="N628" s="117"/>
      <c r="O628" s="117"/>
      <c r="P628" s="117"/>
      <c r="Q628" s="117"/>
      <c r="R628" s="117"/>
      <c r="S628" s="117"/>
    </row>
    <row r="629" spans="1:19" ht="12.9">
      <c r="A629" s="117"/>
      <c r="B629" s="117"/>
      <c r="C629" s="117"/>
      <c r="D629" s="24"/>
      <c r="E629" s="24"/>
      <c r="F629" s="117"/>
      <c r="G629" s="117"/>
      <c r="H629" s="117"/>
      <c r="I629" s="117"/>
      <c r="J629" s="117"/>
      <c r="K629" s="117"/>
      <c r="L629" s="117"/>
      <c r="M629" s="117"/>
      <c r="N629" s="117"/>
      <c r="O629" s="117"/>
      <c r="P629" s="117"/>
      <c r="Q629" s="117"/>
      <c r="R629" s="117"/>
      <c r="S629" s="117"/>
    </row>
    <row r="630" spans="1:19" ht="12.9">
      <c r="A630" s="117"/>
      <c r="B630" s="117"/>
      <c r="C630" s="117"/>
      <c r="D630" s="24"/>
      <c r="E630" s="24"/>
      <c r="F630" s="117"/>
      <c r="G630" s="117"/>
      <c r="H630" s="117"/>
      <c r="I630" s="117"/>
      <c r="J630" s="117"/>
      <c r="K630" s="117"/>
      <c r="L630" s="117"/>
      <c r="M630" s="117"/>
      <c r="N630" s="117"/>
      <c r="O630" s="117"/>
      <c r="P630" s="117"/>
      <c r="Q630" s="117"/>
      <c r="R630" s="117"/>
      <c r="S630" s="117"/>
    </row>
    <row r="631" spans="1:19" ht="12.9">
      <c r="A631" s="117"/>
      <c r="B631" s="117"/>
      <c r="C631" s="117"/>
      <c r="D631" s="24"/>
      <c r="E631" s="24"/>
      <c r="F631" s="117"/>
      <c r="G631" s="117"/>
      <c r="H631" s="117"/>
      <c r="I631" s="117"/>
      <c r="J631" s="117"/>
      <c r="K631" s="117"/>
      <c r="L631" s="117"/>
      <c r="M631" s="117"/>
      <c r="N631" s="117"/>
      <c r="O631" s="117"/>
      <c r="P631" s="117"/>
      <c r="Q631" s="117"/>
      <c r="R631" s="117"/>
      <c r="S631" s="117"/>
    </row>
    <row r="632" spans="1:19" ht="12.9">
      <c r="A632" s="117"/>
      <c r="B632" s="117"/>
      <c r="C632" s="117"/>
      <c r="D632" s="24"/>
      <c r="E632" s="24"/>
      <c r="F632" s="117"/>
      <c r="G632" s="117"/>
      <c r="H632" s="117"/>
      <c r="I632" s="117"/>
      <c r="J632" s="117"/>
      <c r="K632" s="117"/>
      <c r="L632" s="117"/>
      <c r="M632" s="117"/>
      <c r="N632" s="117"/>
      <c r="O632" s="117"/>
      <c r="P632" s="117"/>
      <c r="Q632" s="117"/>
      <c r="R632" s="117"/>
      <c r="S632" s="117"/>
    </row>
    <row r="633" spans="1:19" ht="12.9">
      <c r="A633" s="117"/>
      <c r="B633" s="117"/>
      <c r="C633" s="117"/>
      <c r="D633" s="24"/>
      <c r="E633" s="24"/>
      <c r="F633" s="117"/>
      <c r="G633" s="117"/>
      <c r="H633" s="117"/>
      <c r="I633" s="117"/>
      <c r="J633" s="117"/>
      <c r="K633" s="117"/>
      <c r="L633" s="117"/>
      <c r="M633" s="117"/>
      <c r="N633" s="117"/>
      <c r="O633" s="117"/>
      <c r="P633" s="117"/>
      <c r="Q633" s="117"/>
      <c r="R633" s="117"/>
      <c r="S633" s="117"/>
    </row>
    <row r="634" spans="1:19" ht="12.9">
      <c r="A634" s="117"/>
      <c r="B634" s="117"/>
      <c r="C634" s="117"/>
      <c r="D634" s="24"/>
      <c r="E634" s="24"/>
      <c r="F634" s="117"/>
      <c r="G634" s="117"/>
      <c r="H634" s="117"/>
      <c r="I634" s="117"/>
      <c r="J634" s="117"/>
      <c r="K634" s="117"/>
      <c r="L634" s="117"/>
      <c r="M634" s="117"/>
      <c r="N634" s="117"/>
      <c r="O634" s="117"/>
      <c r="P634" s="117"/>
      <c r="Q634" s="117"/>
      <c r="R634" s="117"/>
      <c r="S634" s="117"/>
    </row>
    <row r="635" spans="1:19" ht="12.9">
      <c r="A635" s="117"/>
      <c r="B635" s="117"/>
      <c r="C635" s="117"/>
      <c r="D635" s="24"/>
      <c r="E635" s="24"/>
      <c r="F635" s="117"/>
      <c r="G635" s="117"/>
      <c r="H635" s="117"/>
      <c r="I635" s="117"/>
      <c r="J635" s="117"/>
      <c r="K635" s="117"/>
      <c r="L635" s="117"/>
      <c r="M635" s="117"/>
      <c r="N635" s="117"/>
      <c r="O635" s="117"/>
      <c r="P635" s="117"/>
      <c r="Q635" s="117"/>
      <c r="R635" s="117"/>
      <c r="S635" s="117"/>
    </row>
    <row r="636" spans="1:19" ht="12.9">
      <c r="A636" s="117"/>
      <c r="B636" s="117"/>
      <c r="C636" s="117"/>
      <c r="D636" s="24"/>
      <c r="E636" s="24"/>
      <c r="F636" s="117"/>
      <c r="G636" s="117"/>
      <c r="H636" s="117"/>
      <c r="I636" s="117"/>
      <c r="J636" s="117"/>
      <c r="K636" s="117"/>
      <c r="L636" s="117"/>
      <c r="M636" s="117"/>
      <c r="N636" s="117"/>
      <c r="O636" s="117"/>
      <c r="P636" s="117"/>
      <c r="Q636" s="117"/>
      <c r="R636" s="117"/>
      <c r="S636" s="117"/>
    </row>
    <row r="637" spans="1:19" ht="12.9">
      <c r="A637" s="117"/>
      <c r="B637" s="117"/>
      <c r="C637" s="117"/>
      <c r="D637" s="24"/>
      <c r="E637" s="24"/>
      <c r="F637" s="117"/>
      <c r="G637" s="117"/>
      <c r="H637" s="117"/>
      <c r="I637" s="117"/>
      <c r="J637" s="117"/>
      <c r="K637" s="117"/>
      <c r="L637" s="117"/>
      <c r="M637" s="117"/>
      <c r="N637" s="117"/>
      <c r="O637" s="117"/>
      <c r="P637" s="117"/>
      <c r="Q637" s="117"/>
      <c r="R637" s="117"/>
      <c r="S637" s="117"/>
    </row>
    <row r="638" spans="1:19" ht="12.9">
      <c r="A638" s="117"/>
      <c r="B638" s="117"/>
      <c r="C638" s="117"/>
      <c r="D638" s="24"/>
      <c r="E638" s="24"/>
      <c r="F638" s="117"/>
      <c r="G638" s="117"/>
      <c r="H638" s="117"/>
      <c r="I638" s="117"/>
      <c r="J638" s="117"/>
      <c r="K638" s="117"/>
      <c r="L638" s="117"/>
      <c r="M638" s="117"/>
      <c r="N638" s="117"/>
      <c r="O638" s="117"/>
      <c r="P638" s="117"/>
      <c r="Q638" s="117"/>
      <c r="R638" s="117"/>
      <c r="S638" s="117"/>
    </row>
    <row r="639" spans="1:19" ht="12.9">
      <c r="A639" s="117"/>
      <c r="B639" s="117"/>
      <c r="C639" s="117"/>
      <c r="D639" s="24"/>
      <c r="E639" s="24"/>
      <c r="F639" s="117"/>
      <c r="G639" s="117"/>
      <c r="H639" s="117"/>
      <c r="I639" s="117"/>
      <c r="J639" s="117"/>
      <c r="K639" s="117"/>
      <c r="L639" s="117"/>
      <c r="M639" s="117"/>
      <c r="N639" s="117"/>
      <c r="O639" s="117"/>
      <c r="P639" s="117"/>
      <c r="Q639" s="117"/>
      <c r="R639" s="117"/>
      <c r="S639" s="117"/>
    </row>
    <row r="640" spans="1:19" ht="12.9">
      <c r="A640" s="117"/>
      <c r="B640" s="117"/>
      <c r="C640" s="117"/>
      <c r="D640" s="24"/>
      <c r="E640" s="24"/>
      <c r="F640" s="117"/>
      <c r="G640" s="117"/>
      <c r="H640" s="117"/>
      <c r="I640" s="117"/>
      <c r="J640" s="117"/>
      <c r="K640" s="117"/>
      <c r="L640" s="117"/>
      <c r="M640" s="117"/>
      <c r="N640" s="117"/>
      <c r="O640" s="117"/>
      <c r="P640" s="117"/>
      <c r="Q640" s="117"/>
      <c r="R640" s="117"/>
      <c r="S640" s="117"/>
    </row>
    <row r="641" spans="1:19" ht="12.9">
      <c r="A641" s="117"/>
      <c r="B641" s="117"/>
      <c r="C641" s="117"/>
      <c r="D641" s="24"/>
      <c r="E641" s="24"/>
      <c r="F641" s="117"/>
      <c r="G641" s="117"/>
      <c r="H641" s="117"/>
      <c r="I641" s="117"/>
      <c r="J641" s="117"/>
      <c r="K641" s="117"/>
      <c r="L641" s="117"/>
      <c r="M641" s="117"/>
      <c r="N641" s="117"/>
      <c r="O641" s="117"/>
      <c r="P641" s="117"/>
      <c r="Q641" s="117"/>
      <c r="R641" s="117"/>
      <c r="S641" s="117"/>
    </row>
    <row r="642" spans="1:19" ht="12.9">
      <c r="A642" s="117"/>
      <c r="B642" s="117"/>
      <c r="C642" s="117"/>
      <c r="D642" s="24"/>
      <c r="E642" s="24"/>
      <c r="F642" s="117"/>
      <c r="G642" s="117"/>
      <c r="H642" s="117"/>
      <c r="I642" s="117"/>
      <c r="J642" s="117"/>
      <c r="K642" s="117"/>
      <c r="L642" s="117"/>
      <c r="M642" s="117"/>
      <c r="N642" s="117"/>
      <c r="O642" s="117"/>
      <c r="P642" s="117"/>
      <c r="Q642" s="117"/>
      <c r="R642" s="117"/>
      <c r="S642" s="117"/>
    </row>
    <row r="643" spans="1:19" ht="12.9">
      <c r="A643" s="117"/>
      <c r="B643" s="117"/>
      <c r="C643" s="117"/>
      <c r="D643" s="24"/>
      <c r="E643" s="24"/>
      <c r="F643" s="117"/>
      <c r="G643" s="117"/>
      <c r="H643" s="117"/>
      <c r="I643" s="117"/>
      <c r="J643" s="117"/>
      <c r="K643" s="117"/>
      <c r="L643" s="117"/>
      <c r="M643" s="117"/>
      <c r="N643" s="117"/>
      <c r="O643" s="117"/>
      <c r="P643" s="117"/>
      <c r="Q643" s="117"/>
      <c r="R643" s="117"/>
      <c r="S643" s="117"/>
    </row>
    <row r="644" spans="1:19" ht="12.9">
      <c r="A644" s="117"/>
      <c r="B644" s="117"/>
      <c r="C644" s="117"/>
      <c r="D644" s="24"/>
      <c r="E644" s="24"/>
      <c r="F644" s="117"/>
      <c r="G644" s="117"/>
      <c r="H644" s="117"/>
      <c r="I644" s="117"/>
      <c r="J644" s="117"/>
      <c r="K644" s="117"/>
      <c r="L644" s="117"/>
      <c r="M644" s="117"/>
      <c r="N644" s="117"/>
      <c r="O644" s="117"/>
      <c r="P644" s="117"/>
      <c r="Q644" s="117"/>
      <c r="R644" s="117"/>
      <c r="S644" s="117"/>
    </row>
    <row r="645" spans="1:19" ht="12.9">
      <c r="A645" s="117"/>
      <c r="B645" s="117"/>
      <c r="C645" s="117"/>
      <c r="D645" s="24"/>
      <c r="E645" s="24"/>
      <c r="F645" s="117"/>
      <c r="G645" s="117"/>
      <c r="H645" s="117"/>
      <c r="I645" s="117"/>
      <c r="J645" s="117"/>
      <c r="K645" s="117"/>
      <c r="L645" s="117"/>
      <c r="M645" s="117"/>
      <c r="N645" s="117"/>
      <c r="O645" s="117"/>
      <c r="P645" s="117"/>
      <c r="Q645" s="117"/>
      <c r="R645" s="117"/>
      <c r="S645" s="117"/>
    </row>
    <row r="646" spans="1:19" ht="12.9">
      <c r="A646" s="117"/>
      <c r="B646" s="117"/>
      <c r="C646" s="117"/>
      <c r="D646" s="24"/>
      <c r="E646" s="24"/>
      <c r="F646" s="117"/>
      <c r="G646" s="117"/>
      <c r="H646" s="117"/>
      <c r="I646" s="117"/>
      <c r="J646" s="117"/>
      <c r="K646" s="117"/>
      <c r="L646" s="117"/>
      <c r="M646" s="117"/>
      <c r="N646" s="117"/>
      <c r="O646" s="117"/>
      <c r="P646" s="117"/>
      <c r="Q646" s="117"/>
      <c r="R646" s="117"/>
      <c r="S646" s="117"/>
    </row>
    <row r="647" spans="1:19" ht="12.9">
      <c r="A647" s="117"/>
      <c r="B647" s="117"/>
      <c r="C647" s="117"/>
      <c r="D647" s="24"/>
      <c r="E647" s="24"/>
      <c r="F647" s="117"/>
      <c r="G647" s="117"/>
      <c r="H647" s="117"/>
      <c r="I647" s="117"/>
      <c r="J647" s="117"/>
      <c r="K647" s="117"/>
      <c r="L647" s="117"/>
      <c r="M647" s="117"/>
      <c r="N647" s="117"/>
      <c r="O647" s="117"/>
      <c r="P647" s="117"/>
      <c r="Q647" s="117"/>
      <c r="R647" s="117"/>
      <c r="S647" s="117"/>
    </row>
    <row r="648" spans="1:19" ht="12.9">
      <c r="A648" s="117"/>
      <c r="B648" s="117"/>
      <c r="C648" s="117"/>
      <c r="D648" s="24"/>
      <c r="E648" s="24"/>
      <c r="F648" s="117"/>
      <c r="G648" s="117"/>
      <c r="H648" s="117"/>
      <c r="I648" s="117"/>
      <c r="J648" s="117"/>
      <c r="K648" s="117"/>
      <c r="L648" s="117"/>
      <c r="M648" s="117"/>
      <c r="N648" s="117"/>
      <c r="O648" s="117"/>
      <c r="P648" s="117"/>
      <c r="Q648" s="117"/>
      <c r="R648" s="117"/>
      <c r="S648" s="117"/>
    </row>
    <row r="649" spans="1:19" ht="12.9">
      <c r="A649" s="117"/>
      <c r="B649" s="117"/>
      <c r="C649" s="117"/>
      <c r="D649" s="24"/>
      <c r="E649" s="24"/>
      <c r="F649" s="117"/>
      <c r="G649" s="117"/>
      <c r="H649" s="117"/>
      <c r="I649" s="117"/>
      <c r="J649" s="117"/>
      <c r="K649" s="117"/>
      <c r="L649" s="117"/>
      <c r="M649" s="117"/>
      <c r="N649" s="117"/>
      <c r="O649" s="117"/>
      <c r="P649" s="117"/>
      <c r="Q649" s="117"/>
      <c r="R649" s="117"/>
      <c r="S649" s="117"/>
    </row>
    <row r="650" spans="1:19" ht="12.9">
      <c r="A650" s="117"/>
      <c r="B650" s="117"/>
      <c r="C650" s="117"/>
      <c r="D650" s="24"/>
      <c r="E650" s="24"/>
      <c r="F650" s="117"/>
      <c r="G650" s="117"/>
      <c r="H650" s="117"/>
      <c r="I650" s="117"/>
      <c r="J650" s="117"/>
      <c r="K650" s="117"/>
      <c r="L650" s="117"/>
      <c r="M650" s="117"/>
      <c r="N650" s="117"/>
      <c r="O650" s="117"/>
      <c r="P650" s="117"/>
      <c r="Q650" s="117"/>
      <c r="R650" s="117"/>
      <c r="S650" s="117"/>
    </row>
    <row r="651" spans="1:19" ht="12.9">
      <c r="A651" s="117"/>
      <c r="B651" s="117"/>
      <c r="C651" s="117"/>
      <c r="D651" s="24"/>
      <c r="E651" s="24"/>
      <c r="F651" s="117"/>
      <c r="G651" s="117"/>
      <c r="H651" s="117"/>
      <c r="I651" s="117"/>
      <c r="J651" s="117"/>
      <c r="K651" s="117"/>
      <c r="L651" s="117"/>
      <c r="M651" s="117"/>
      <c r="N651" s="117"/>
      <c r="O651" s="117"/>
      <c r="P651" s="117"/>
      <c r="Q651" s="117"/>
      <c r="R651" s="117"/>
      <c r="S651" s="117"/>
    </row>
    <row r="652" spans="1:19" ht="12.9">
      <c r="A652" s="117"/>
      <c r="B652" s="117"/>
      <c r="C652" s="117"/>
      <c r="D652" s="24"/>
      <c r="E652" s="24"/>
      <c r="F652" s="117"/>
      <c r="G652" s="117"/>
      <c r="H652" s="117"/>
      <c r="I652" s="117"/>
      <c r="J652" s="117"/>
      <c r="K652" s="117"/>
      <c r="L652" s="117"/>
      <c r="M652" s="117"/>
      <c r="N652" s="117"/>
      <c r="O652" s="117"/>
      <c r="P652" s="117"/>
      <c r="Q652" s="117"/>
      <c r="R652" s="117"/>
      <c r="S652" s="117"/>
    </row>
    <row r="653" spans="1:19" ht="12.9">
      <c r="A653" s="117"/>
      <c r="B653" s="117"/>
      <c r="C653" s="117"/>
      <c r="D653" s="24"/>
      <c r="E653" s="24"/>
      <c r="F653" s="117"/>
      <c r="G653" s="117"/>
      <c r="H653" s="117"/>
      <c r="I653" s="117"/>
      <c r="J653" s="117"/>
      <c r="K653" s="117"/>
      <c r="L653" s="117"/>
      <c r="M653" s="117"/>
      <c r="N653" s="117"/>
      <c r="O653" s="117"/>
      <c r="P653" s="117"/>
      <c r="Q653" s="117"/>
      <c r="R653" s="117"/>
      <c r="S653" s="117"/>
    </row>
    <row r="654" spans="1:19" ht="12.9">
      <c r="A654" s="117"/>
      <c r="B654" s="117"/>
      <c r="C654" s="117"/>
      <c r="D654" s="24"/>
      <c r="E654" s="24"/>
      <c r="F654" s="117"/>
      <c r="G654" s="117"/>
      <c r="H654" s="117"/>
      <c r="I654" s="117"/>
      <c r="J654" s="117"/>
      <c r="K654" s="117"/>
      <c r="L654" s="117"/>
      <c r="M654" s="117"/>
      <c r="N654" s="117"/>
      <c r="O654" s="117"/>
      <c r="P654" s="117"/>
      <c r="Q654" s="117"/>
      <c r="R654" s="117"/>
      <c r="S654" s="117"/>
    </row>
    <row r="655" spans="1:19" ht="12.9">
      <c r="A655" s="117"/>
      <c r="B655" s="117"/>
      <c r="C655" s="117"/>
      <c r="D655" s="24"/>
      <c r="E655" s="24"/>
      <c r="F655" s="117"/>
      <c r="G655" s="117"/>
      <c r="H655" s="117"/>
      <c r="I655" s="117"/>
      <c r="J655" s="117"/>
      <c r="K655" s="117"/>
      <c r="L655" s="117"/>
      <c r="M655" s="117"/>
      <c r="N655" s="117"/>
      <c r="O655" s="117"/>
      <c r="P655" s="117"/>
      <c r="Q655" s="117"/>
      <c r="R655" s="117"/>
      <c r="S655" s="117"/>
    </row>
    <row r="656" spans="1:19" ht="12.9">
      <c r="A656" s="117"/>
      <c r="B656" s="117"/>
      <c r="C656" s="117"/>
      <c r="D656" s="24"/>
      <c r="E656" s="24"/>
      <c r="F656" s="117"/>
      <c r="G656" s="117"/>
      <c r="H656" s="117"/>
      <c r="I656" s="117"/>
      <c r="J656" s="117"/>
      <c r="K656" s="117"/>
      <c r="L656" s="117"/>
      <c r="M656" s="117"/>
      <c r="N656" s="117"/>
      <c r="O656" s="117"/>
      <c r="P656" s="117"/>
      <c r="Q656" s="117"/>
      <c r="R656" s="117"/>
      <c r="S656" s="117"/>
    </row>
    <row r="657" spans="1:19" ht="12.9">
      <c r="A657" s="117"/>
      <c r="B657" s="117"/>
      <c r="C657" s="117"/>
      <c r="D657" s="24"/>
      <c r="E657" s="24"/>
      <c r="F657" s="117"/>
      <c r="G657" s="117"/>
      <c r="H657" s="117"/>
      <c r="I657" s="117"/>
      <c r="J657" s="117"/>
      <c r="K657" s="117"/>
      <c r="L657" s="117"/>
      <c r="M657" s="117"/>
      <c r="N657" s="117"/>
      <c r="O657" s="117"/>
      <c r="P657" s="117"/>
      <c r="Q657" s="117"/>
      <c r="R657" s="117"/>
      <c r="S657" s="117"/>
    </row>
    <row r="658" spans="1:19" ht="12.9">
      <c r="A658" s="117"/>
      <c r="B658" s="117"/>
      <c r="C658" s="117"/>
      <c r="D658" s="24"/>
      <c r="E658" s="24"/>
      <c r="F658" s="117"/>
      <c r="G658" s="117"/>
      <c r="H658" s="117"/>
      <c r="I658" s="117"/>
      <c r="J658" s="117"/>
      <c r="K658" s="117"/>
      <c r="L658" s="117"/>
      <c r="M658" s="117"/>
      <c r="N658" s="117"/>
      <c r="O658" s="117"/>
      <c r="P658" s="117"/>
      <c r="Q658" s="117"/>
      <c r="R658" s="117"/>
      <c r="S658" s="117"/>
    </row>
    <row r="659" spans="1:19" ht="12.9">
      <c r="A659" s="117"/>
      <c r="B659" s="117"/>
      <c r="C659" s="117"/>
      <c r="D659" s="24"/>
      <c r="E659" s="24"/>
      <c r="F659" s="117"/>
      <c r="G659" s="117"/>
      <c r="H659" s="117"/>
      <c r="I659" s="117"/>
      <c r="J659" s="117"/>
      <c r="K659" s="117"/>
      <c r="L659" s="117"/>
      <c r="M659" s="117"/>
      <c r="N659" s="117"/>
      <c r="O659" s="117"/>
      <c r="P659" s="117"/>
      <c r="Q659" s="117"/>
      <c r="R659" s="117"/>
      <c r="S659" s="117"/>
    </row>
    <row r="660" spans="1:19" ht="12.9">
      <c r="A660" s="117"/>
      <c r="B660" s="117"/>
      <c r="C660" s="117"/>
      <c r="D660" s="24"/>
      <c r="E660" s="24"/>
      <c r="F660" s="117"/>
      <c r="G660" s="117"/>
      <c r="H660" s="117"/>
      <c r="I660" s="117"/>
      <c r="J660" s="117"/>
      <c r="K660" s="117"/>
      <c r="L660" s="117"/>
      <c r="M660" s="117"/>
      <c r="N660" s="117"/>
      <c r="O660" s="117"/>
      <c r="P660" s="117"/>
      <c r="Q660" s="117"/>
      <c r="R660" s="117"/>
      <c r="S660" s="117"/>
    </row>
    <row r="661" spans="1:19" ht="12.9">
      <c r="A661" s="117"/>
      <c r="B661" s="117"/>
      <c r="C661" s="117"/>
      <c r="D661" s="24"/>
      <c r="E661" s="24"/>
      <c r="F661" s="117"/>
      <c r="G661" s="117"/>
      <c r="H661" s="117"/>
      <c r="I661" s="117"/>
      <c r="J661" s="117"/>
      <c r="K661" s="117"/>
      <c r="L661" s="117"/>
      <c r="M661" s="117"/>
      <c r="N661" s="117"/>
      <c r="O661" s="117"/>
      <c r="P661" s="117"/>
      <c r="Q661" s="117"/>
      <c r="R661" s="117"/>
      <c r="S661" s="117"/>
    </row>
    <row r="662" spans="1:19" ht="12.9">
      <c r="A662" s="117"/>
      <c r="B662" s="117"/>
      <c r="C662" s="117"/>
      <c r="D662" s="24"/>
      <c r="E662" s="24"/>
      <c r="F662" s="117"/>
      <c r="G662" s="117"/>
      <c r="H662" s="117"/>
      <c r="I662" s="117"/>
      <c r="J662" s="117"/>
      <c r="K662" s="117"/>
      <c r="L662" s="117"/>
      <c r="M662" s="117"/>
      <c r="N662" s="117"/>
      <c r="O662" s="117"/>
      <c r="P662" s="117"/>
      <c r="Q662" s="117"/>
      <c r="R662" s="117"/>
      <c r="S662" s="117"/>
    </row>
    <row r="663" spans="1:19" ht="12.9">
      <c r="A663" s="117"/>
      <c r="B663" s="117"/>
      <c r="C663" s="117"/>
      <c r="D663" s="24"/>
      <c r="E663" s="24"/>
      <c r="F663" s="117"/>
      <c r="G663" s="117"/>
      <c r="H663" s="117"/>
      <c r="I663" s="117"/>
      <c r="J663" s="117"/>
      <c r="K663" s="117"/>
      <c r="L663" s="117"/>
      <c r="M663" s="117"/>
      <c r="N663" s="117"/>
      <c r="O663" s="117"/>
      <c r="P663" s="117"/>
      <c r="Q663" s="117"/>
      <c r="R663" s="117"/>
      <c r="S663" s="117"/>
    </row>
    <row r="664" spans="1:19" ht="12.9">
      <c r="A664" s="117"/>
      <c r="B664" s="117"/>
      <c r="C664" s="117"/>
      <c r="D664" s="24"/>
      <c r="E664" s="24"/>
      <c r="F664" s="117"/>
      <c r="G664" s="117"/>
      <c r="H664" s="117"/>
      <c r="I664" s="117"/>
      <c r="J664" s="117"/>
      <c r="K664" s="117"/>
      <c r="L664" s="117"/>
      <c r="M664" s="117"/>
      <c r="N664" s="117"/>
      <c r="O664" s="117"/>
      <c r="P664" s="117"/>
      <c r="Q664" s="117"/>
      <c r="R664" s="117"/>
      <c r="S664" s="117"/>
    </row>
    <row r="665" spans="1:19" ht="12.9">
      <c r="A665" s="117"/>
      <c r="B665" s="117"/>
      <c r="C665" s="117"/>
      <c r="D665" s="24"/>
      <c r="E665" s="24"/>
      <c r="F665" s="117"/>
      <c r="G665" s="117"/>
      <c r="H665" s="117"/>
      <c r="I665" s="117"/>
      <c r="J665" s="117"/>
      <c r="K665" s="117"/>
      <c r="L665" s="117"/>
      <c r="M665" s="117"/>
      <c r="N665" s="117"/>
      <c r="O665" s="117"/>
      <c r="P665" s="117"/>
      <c r="Q665" s="117"/>
      <c r="R665" s="117"/>
      <c r="S665" s="117"/>
    </row>
    <row r="666" spans="1:19" ht="12.9">
      <c r="A666" s="117"/>
      <c r="B666" s="117"/>
      <c r="C666" s="117"/>
      <c r="D666" s="24"/>
      <c r="E666" s="24"/>
      <c r="F666" s="117"/>
      <c r="G666" s="117"/>
      <c r="H666" s="117"/>
      <c r="I666" s="117"/>
      <c r="J666" s="117"/>
      <c r="K666" s="117"/>
      <c r="L666" s="117"/>
      <c r="M666" s="117"/>
      <c r="N666" s="117"/>
      <c r="O666" s="117"/>
      <c r="P666" s="117"/>
      <c r="Q666" s="117"/>
      <c r="R666" s="117"/>
      <c r="S666" s="117"/>
    </row>
    <row r="667" spans="1:19" ht="12.9">
      <c r="A667" s="117"/>
      <c r="B667" s="117"/>
      <c r="C667" s="117"/>
      <c r="D667" s="24"/>
      <c r="E667" s="24"/>
      <c r="F667" s="117"/>
      <c r="G667" s="117"/>
      <c r="H667" s="117"/>
      <c r="I667" s="117"/>
      <c r="J667" s="117"/>
      <c r="K667" s="117"/>
      <c r="L667" s="117"/>
      <c r="M667" s="117"/>
      <c r="N667" s="117"/>
      <c r="O667" s="117"/>
      <c r="P667" s="117"/>
      <c r="Q667" s="117"/>
      <c r="R667" s="117"/>
      <c r="S667" s="117"/>
    </row>
    <row r="668" spans="1:19" ht="12.9">
      <c r="A668" s="117"/>
      <c r="B668" s="117"/>
      <c r="C668" s="117"/>
      <c r="D668" s="24"/>
      <c r="E668" s="24"/>
      <c r="F668" s="117"/>
      <c r="G668" s="117"/>
      <c r="H668" s="117"/>
      <c r="I668" s="117"/>
      <c r="J668" s="117"/>
      <c r="K668" s="117"/>
      <c r="L668" s="117"/>
      <c r="M668" s="117"/>
      <c r="N668" s="117"/>
      <c r="O668" s="117"/>
      <c r="P668" s="117"/>
      <c r="Q668" s="117"/>
      <c r="R668" s="117"/>
      <c r="S668" s="117"/>
    </row>
    <row r="669" spans="1:19" ht="12.9">
      <c r="A669" s="117"/>
      <c r="B669" s="117"/>
      <c r="C669" s="117"/>
      <c r="D669" s="24"/>
      <c r="E669" s="24"/>
      <c r="F669" s="117"/>
      <c r="G669" s="117"/>
      <c r="H669" s="117"/>
      <c r="I669" s="117"/>
      <c r="J669" s="117"/>
      <c r="K669" s="117"/>
      <c r="L669" s="117"/>
      <c r="M669" s="117"/>
      <c r="N669" s="117"/>
      <c r="O669" s="117"/>
      <c r="P669" s="117"/>
      <c r="Q669" s="117"/>
      <c r="R669" s="117"/>
      <c r="S669" s="117"/>
    </row>
    <row r="670" spans="1:19" ht="12.9">
      <c r="A670" s="117"/>
      <c r="B670" s="117"/>
      <c r="C670" s="117"/>
      <c r="D670" s="24"/>
      <c r="E670" s="24"/>
      <c r="F670" s="117"/>
      <c r="G670" s="117"/>
      <c r="H670" s="117"/>
      <c r="I670" s="117"/>
      <c r="J670" s="117"/>
      <c r="K670" s="117"/>
      <c r="L670" s="117"/>
      <c r="M670" s="117"/>
      <c r="N670" s="117"/>
      <c r="O670" s="117"/>
      <c r="P670" s="117"/>
      <c r="Q670" s="117"/>
      <c r="R670" s="117"/>
      <c r="S670" s="117"/>
    </row>
    <row r="671" spans="1:19" ht="12.9">
      <c r="A671" s="117"/>
      <c r="B671" s="117"/>
      <c r="C671" s="117"/>
      <c r="D671" s="24"/>
      <c r="E671" s="24"/>
      <c r="F671" s="117"/>
      <c r="G671" s="117"/>
      <c r="H671" s="117"/>
      <c r="I671" s="117"/>
      <c r="J671" s="117"/>
      <c r="K671" s="117"/>
      <c r="L671" s="117"/>
      <c r="M671" s="117"/>
      <c r="N671" s="117"/>
      <c r="O671" s="117"/>
      <c r="P671" s="117"/>
      <c r="Q671" s="117"/>
      <c r="R671" s="117"/>
      <c r="S671" s="117"/>
    </row>
    <row r="672" spans="1:19" ht="12.9">
      <c r="A672" s="117"/>
      <c r="B672" s="117"/>
      <c r="C672" s="117"/>
      <c r="D672" s="24"/>
      <c r="E672" s="24"/>
      <c r="F672" s="117"/>
      <c r="G672" s="117"/>
      <c r="H672" s="117"/>
      <c r="I672" s="117"/>
      <c r="J672" s="117"/>
      <c r="K672" s="117"/>
      <c r="L672" s="117"/>
      <c r="M672" s="117"/>
      <c r="N672" s="117"/>
      <c r="O672" s="117"/>
      <c r="P672" s="117"/>
      <c r="Q672" s="117"/>
      <c r="R672" s="117"/>
      <c r="S672" s="117"/>
    </row>
    <row r="673" spans="1:19" ht="12.9">
      <c r="A673" s="117"/>
      <c r="B673" s="117"/>
      <c r="C673" s="117"/>
      <c r="D673" s="24"/>
      <c r="E673" s="24"/>
      <c r="F673" s="117"/>
      <c r="G673" s="117"/>
      <c r="H673" s="117"/>
      <c r="I673" s="117"/>
      <c r="J673" s="117"/>
      <c r="K673" s="117"/>
      <c r="L673" s="117"/>
      <c r="M673" s="117"/>
      <c r="N673" s="117"/>
      <c r="O673" s="117"/>
      <c r="P673" s="117"/>
      <c r="Q673" s="117"/>
      <c r="R673" s="117"/>
      <c r="S673" s="117"/>
    </row>
    <row r="674" spans="1:19" ht="12.9">
      <c r="A674" s="117"/>
      <c r="B674" s="117"/>
      <c r="C674" s="117"/>
      <c r="D674" s="24"/>
      <c r="E674" s="24"/>
      <c r="F674" s="117"/>
      <c r="G674" s="117"/>
      <c r="H674" s="117"/>
      <c r="I674" s="117"/>
      <c r="J674" s="117"/>
      <c r="K674" s="117"/>
      <c r="L674" s="117"/>
      <c r="M674" s="117"/>
      <c r="N674" s="117"/>
      <c r="O674" s="117"/>
      <c r="P674" s="117"/>
      <c r="Q674" s="117"/>
      <c r="R674" s="117"/>
      <c r="S674" s="117"/>
    </row>
    <row r="675" spans="1:19" ht="12.9">
      <c r="A675" s="117"/>
      <c r="B675" s="117"/>
      <c r="C675" s="117"/>
      <c r="D675" s="24"/>
      <c r="E675" s="24"/>
      <c r="F675" s="117"/>
      <c r="G675" s="117"/>
      <c r="H675" s="117"/>
      <c r="I675" s="117"/>
      <c r="J675" s="117"/>
      <c r="K675" s="117"/>
      <c r="L675" s="117"/>
      <c r="M675" s="117"/>
      <c r="N675" s="117"/>
      <c r="O675" s="117"/>
      <c r="P675" s="117"/>
      <c r="Q675" s="117"/>
      <c r="R675" s="117"/>
      <c r="S675" s="117"/>
    </row>
    <row r="676" spans="1:19" ht="12.9">
      <c r="A676" s="117"/>
      <c r="B676" s="117"/>
      <c r="C676" s="117"/>
      <c r="D676" s="24"/>
      <c r="E676" s="24"/>
      <c r="F676" s="117"/>
      <c r="G676" s="117"/>
      <c r="H676" s="117"/>
      <c r="I676" s="117"/>
      <c r="J676" s="117"/>
      <c r="K676" s="117"/>
      <c r="L676" s="117"/>
      <c r="M676" s="117"/>
      <c r="N676" s="117"/>
      <c r="O676" s="117"/>
      <c r="P676" s="117"/>
      <c r="Q676" s="117"/>
      <c r="R676" s="117"/>
      <c r="S676" s="117"/>
    </row>
    <row r="677" spans="1:19" ht="12.9">
      <c r="A677" s="117"/>
      <c r="B677" s="117"/>
      <c r="C677" s="117"/>
      <c r="D677" s="24"/>
      <c r="E677" s="24"/>
      <c r="F677" s="117"/>
      <c r="G677" s="117"/>
      <c r="H677" s="117"/>
      <c r="I677" s="117"/>
      <c r="J677" s="117"/>
      <c r="K677" s="117"/>
      <c r="L677" s="117"/>
      <c r="M677" s="117"/>
      <c r="N677" s="117"/>
      <c r="O677" s="117"/>
      <c r="P677" s="117"/>
      <c r="Q677" s="117"/>
      <c r="R677" s="117"/>
      <c r="S677" s="117"/>
    </row>
    <row r="678" spans="1:19" ht="12.9">
      <c r="A678" s="117"/>
      <c r="B678" s="117"/>
      <c r="C678" s="117"/>
      <c r="D678" s="24"/>
      <c r="E678" s="24"/>
      <c r="F678" s="117"/>
      <c r="G678" s="117"/>
      <c r="H678" s="117"/>
      <c r="I678" s="117"/>
      <c r="J678" s="117"/>
      <c r="K678" s="117"/>
      <c r="L678" s="117"/>
      <c r="M678" s="117"/>
      <c r="N678" s="117"/>
      <c r="O678" s="117"/>
      <c r="P678" s="117"/>
      <c r="Q678" s="117"/>
      <c r="R678" s="117"/>
      <c r="S678" s="117"/>
    </row>
    <row r="679" spans="1:19" ht="12.9">
      <c r="A679" s="117"/>
      <c r="B679" s="117"/>
      <c r="C679" s="117"/>
      <c r="D679" s="24"/>
      <c r="E679" s="24"/>
      <c r="F679" s="117"/>
      <c r="G679" s="117"/>
      <c r="H679" s="117"/>
      <c r="I679" s="117"/>
      <c r="J679" s="117"/>
      <c r="K679" s="117"/>
      <c r="L679" s="117"/>
      <c r="M679" s="117"/>
      <c r="N679" s="117"/>
      <c r="O679" s="117"/>
      <c r="P679" s="117"/>
      <c r="Q679" s="117"/>
      <c r="R679" s="117"/>
      <c r="S679" s="117"/>
    </row>
    <row r="680" spans="1:19" ht="12.9">
      <c r="A680" s="117"/>
      <c r="B680" s="117"/>
      <c r="C680" s="117"/>
      <c r="D680" s="24"/>
      <c r="E680" s="24"/>
      <c r="F680" s="117"/>
      <c r="G680" s="117"/>
      <c r="H680" s="117"/>
      <c r="I680" s="117"/>
      <c r="J680" s="117"/>
      <c r="K680" s="117"/>
      <c r="L680" s="117"/>
      <c r="M680" s="117"/>
      <c r="N680" s="117"/>
      <c r="O680" s="117"/>
      <c r="P680" s="117"/>
      <c r="Q680" s="117"/>
      <c r="R680" s="117"/>
      <c r="S680" s="117"/>
    </row>
    <row r="681" spans="1:19" ht="12.9">
      <c r="A681" s="117"/>
      <c r="B681" s="117"/>
      <c r="C681" s="117"/>
      <c r="D681" s="24"/>
      <c r="E681" s="24"/>
      <c r="F681" s="117"/>
      <c r="G681" s="117"/>
      <c r="H681" s="117"/>
      <c r="I681" s="117"/>
      <c r="J681" s="117"/>
      <c r="K681" s="117"/>
      <c r="L681" s="117"/>
      <c r="M681" s="117"/>
      <c r="N681" s="117"/>
      <c r="O681" s="117"/>
      <c r="P681" s="117"/>
      <c r="Q681" s="117"/>
      <c r="R681" s="117"/>
      <c r="S681" s="117"/>
    </row>
    <row r="682" spans="1:19" ht="12.9">
      <c r="A682" s="117"/>
      <c r="B682" s="117"/>
      <c r="C682" s="117"/>
      <c r="D682" s="24"/>
      <c r="E682" s="24"/>
      <c r="F682" s="117"/>
      <c r="G682" s="117"/>
      <c r="H682" s="117"/>
      <c r="I682" s="117"/>
      <c r="J682" s="117"/>
      <c r="K682" s="117"/>
      <c r="L682" s="117"/>
      <c r="M682" s="117"/>
      <c r="N682" s="117"/>
      <c r="O682" s="117"/>
      <c r="P682" s="117"/>
      <c r="Q682" s="117"/>
      <c r="R682" s="117"/>
      <c r="S682" s="117"/>
    </row>
    <row r="683" spans="1:19" ht="12.9">
      <c r="A683" s="117"/>
      <c r="B683" s="117"/>
      <c r="C683" s="117"/>
      <c r="D683" s="24"/>
      <c r="E683" s="24"/>
      <c r="F683" s="117"/>
      <c r="G683" s="117"/>
      <c r="H683" s="117"/>
      <c r="I683" s="117"/>
      <c r="J683" s="117"/>
      <c r="K683" s="117"/>
      <c r="L683" s="117"/>
      <c r="M683" s="117"/>
      <c r="N683" s="117"/>
      <c r="O683" s="117"/>
      <c r="P683" s="117"/>
      <c r="Q683" s="117"/>
      <c r="R683" s="117"/>
      <c r="S683" s="117"/>
    </row>
    <row r="684" spans="1:19" ht="12.9">
      <c r="A684" s="117"/>
      <c r="B684" s="117"/>
      <c r="C684" s="117"/>
      <c r="D684" s="24"/>
      <c r="E684" s="24"/>
      <c r="F684" s="117"/>
      <c r="G684" s="117"/>
      <c r="H684" s="117"/>
      <c r="I684" s="117"/>
      <c r="J684" s="117"/>
      <c r="K684" s="117"/>
      <c r="L684" s="117"/>
      <c r="M684" s="117"/>
      <c r="N684" s="117"/>
      <c r="O684" s="117"/>
      <c r="P684" s="117"/>
      <c r="Q684" s="117"/>
      <c r="R684" s="117"/>
      <c r="S684" s="117"/>
    </row>
    <row r="685" spans="1:19" ht="12.9">
      <c r="A685" s="117"/>
      <c r="B685" s="117"/>
      <c r="C685" s="117"/>
      <c r="D685" s="24"/>
      <c r="E685" s="24"/>
      <c r="F685" s="117"/>
      <c r="G685" s="117"/>
      <c r="H685" s="117"/>
      <c r="I685" s="117"/>
      <c r="J685" s="117"/>
      <c r="K685" s="117"/>
      <c r="L685" s="117"/>
      <c r="M685" s="117"/>
      <c r="N685" s="117"/>
      <c r="O685" s="117"/>
      <c r="P685" s="117"/>
      <c r="Q685" s="117"/>
      <c r="R685" s="117"/>
      <c r="S685" s="117"/>
    </row>
    <row r="686" spans="1:19" ht="12.9">
      <c r="A686" s="117"/>
      <c r="B686" s="117"/>
      <c r="C686" s="117"/>
      <c r="D686" s="24"/>
      <c r="E686" s="24"/>
      <c r="F686" s="117"/>
      <c r="G686" s="117"/>
      <c r="H686" s="117"/>
      <c r="I686" s="117"/>
      <c r="J686" s="117"/>
      <c r="K686" s="117"/>
      <c r="L686" s="117"/>
      <c r="M686" s="117"/>
      <c r="N686" s="117"/>
      <c r="O686" s="117"/>
      <c r="P686" s="117"/>
      <c r="Q686" s="117"/>
      <c r="R686" s="117"/>
      <c r="S686" s="117"/>
    </row>
    <row r="687" spans="1:19" ht="12.9">
      <c r="A687" s="117"/>
      <c r="B687" s="117"/>
      <c r="C687" s="117"/>
      <c r="D687" s="24"/>
      <c r="E687" s="24"/>
      <c r="F687" s="117"/>
      <c r="G687" s="117"/>
      <c r="H687" s="117"/>
      <c r="I687" s="117"/>
      <c r="J687" s="117"/>
      <c r="K687" s="117"/>
      <c r="L687" s="117"/>
      <c r="M687" s="117"/>
      <c r="N687" s="117"/>
      <c r="O687" s="117"/>
      <c r="P687" s="117"/>
      <c r="Q687" s="117"/>
      <c r="R687" s="117"/>
      <c r="S687" s="117"/>
    </row>
    <row r="688" spans="1:19" ht="12.9">
      <c r="A688" s="117"/>
      <c r="B688" s="117"/>
      <c r="C688" s="117"/>
      <c r="D688" s="24"/>
      <c r="E688" s="24"/>
      <c r="F688" s="117"/>
      <c r="G688" s="117"/>
      <c r="H688" s="117"/>
      <c r="I688" s="117"/>
      <c r="J688" s="117"/>
      <c r="K688" s="117"/>
      <c r="L688" s="117"/>
      <c r="M688" s="117"/>
      <c r="N688" s="117"/>
      <c r="O688" s="117"/>
      <c r="P688" s="117"/>
      <c r="Q688" s="117"/>
      <c r="R688" s="117"/>
      <c r="S688" s="117"/>
    </row>
    <row r="689" spans="1:19" ht="12.9">
      <c r="A689" s="117"/>
      <c r="B689" s="117"/>
      <c r="C689" s="117"/>
      <c r="D689" s="24"/>
      <c r="E689" s="24"/>
      <c r="F689" s="117"/>
      <c r="G689" s="117"/>
      <c r="H689" s="117"/>
      <c r="I689" s="117"/>
      <c r="J689" s="117"/>
      <c r="K689" s="117"/>
      <c r="L689" s="117"/>
      <c r="M689" s="117"/>
      <c r="N689" s="117"/>
      <c r="O689" s="117"/>
      <c r="P689" s="117"/>
      <c r="Q689" s="117"/>
      <c r="R689" s="117"/>
      <c r="S689" s="117"/>
    </row>
    <row r="690" spans="1:19" ht="12.9">
      <c r="A690" s="117"/>
      <c r="B690" s="117"/>
      <c r="C690" s="117"/>
      <c r="D690" s="24"/>
      <c r="E690" s="24"/>
      <c r="F690" s="117"/>
      <c r="G690" s="117"/>
      <c r="H690" s="117"/>
      <c r="I690" s="117"/>
      <c r="J690" s="117"/>
      <c r="K690" s="117"/>
      <c r="L690" s="117"/>
      <c r="M690" s="117"/>
      <c r="N690" s="117"/>
      <c r="O690" s="117"/>
      <c r="P690" s="117"/>
      <c r="Q690" s="117"/>
      <c r="R690" s="117"/>
      <c r="S690" s="117"/>
    </row>
    <row r="691" spans="1:19" ht="12.9">
      <c r="A691" s="117"/>
      <c r="B691" s="117"/>
      <c r="C691" s="117"/>
      <c r="D691" s="24"/>
      <c r="E691" s="24"/>
      <c r="F691" s="117"/>
      <c r="G691" s="117"/>
      <c r="H691" s="117"/>
      <c r="I691" s="117"/>
      <c r="J691" s="117"/>
      <c r="K691" s="117"/>
      <c r="L691" s="117"/>
      <c r="M691" s="117"/>
      <c r="N691" s="117"/>
      <c r="O691" s="117"/>
      <c r="P691" s="117"/>
      <c r="Q691" s="117"/>
      <c r="R691" s="117"/>
      <c r="S691" s="117"/>
    </row>
    <row r="692" spans="1:19" ht="12.9">
      <c r="A692" s="117"/>
      <c r="B692" s="117"/>
      <c r="C692" s="117"/>
      <c r="D692" s="24"/>
      <c r="E692" s="24"/>
      <c r="F692" s="117"/>
      <c r="G692" s="117"/>
      <c r="H692" s="117"/>
      <c r="I692" s="117"/>
      <c r="J692" s="117"/>
      <c r="K692" s="117"/>
      <c r="L692" s="117"/>
      <c r="M692" s="117"/>
      <c r="N692" s="117"/>
      <c r="O692" s="117"/>
      <c r="P692" s="117"/>
      <c r="Q692" s="117"/>
      <c r="R692" s="117"/>
      <c r="S692" s="117"/>
    </row>
    <row r="693" spans="1:19" ht="12.9">
      <c r="A693" s="117"/>
      <c r="B693" s="117"/>
      <c r="C693" s="117"/>
      <c r="D693" s="24"/>
      <c r="E693" s="24"/>
      <c r="F693" s="117"/>
      <c r="G693" s="117"/>
      <c r="H693" s="117"/>
      <c r="I693" s="117"/>
      <c r="J693" s="117"/>
      <c r="K693" s="117"/>
      <c r="L693" s="117"/>
      <c r="M693" s="117"/>
      <c r="N693" s="117"/>
      <c r="O693" s="117"/>
      <c r="P693" s="117"/>
      <c r="Q693" s="117"/>
      <c r="R693" s="117"/>
      <c r="S693" s="117"/>
    </row>
    <row r="694" spans="1:19" ht="12.9">
      <c r="A694" s="117"/>
      <c r="B694" s="117"/>
      <c r="C694" s="117"/>
      <c r="D694" s="24"/>
      <c r="E694" s="24"/>
      <c r="F694" s="117"/>
      <c r="G694" s="117"/>
      <c r="H694" s="117"/>
      <c r="I694" s="117"/>
      <c r="J694" s="117"/>
      <c r="K694" s="117"/>
      <c r="L694" s="117"/>
      <c r="M694" s="117"/>
      <c r="N694" s="117"/>
      <c r="O694" s="117"/>
      <c r="P694" s="117"/>
      <c r="Q694" s="117"/>
      <c r="R694" s="117"/>
      <c r="S694" s="117"/>
    </row>
    <row r="695" spans="1:19" ht="12.9">
      <c r="A695" s="117"/>
      <c r="B695" s="117"/>
      <c r="C695" s="117"/>
      <c r="D695" s="24"/>
      <c r="E695" s="24"/>
      <c r="F695" s="117"/>
      <c r="G695" s="117"/>
      <c r="H695" s="117"/>
      <c r="I695" s="117"/>
      <c r="J695" s="117"/>
      <c r="K695" s="117"/>
      <c r="L695" s="117"/>
      <c r="M695" s="117"/>
      <c r="N695" s="117"/>
      <c r="O695" s="117"/>
      <c r="P695" s="117"/>
      <c r="Q695" s="117"/>
      <c r="R695" s="117"/>
      <c r="S695" s="117"/>
    </row>
    <row r="696" spans="1:19" ht="12.9">
      <c r="A696" s="117"/>
      <c r="B696" s="117"/>
      <c r="C696" s="117"/>
      <c r="D696" s="24"/>
      <c r="E696" s="24"/>
      <c r="F696" s="117"/>
      <c r="G696" s="117"/>
      <c r="H696" s="117"/>
      <c r="I696" s="117"/>
      <c r="J696" s="117"/>
      <c r="K696" s="117"/>
      <c r="L696" s="117"/>
      <c r="M696" s="117"/>
      <c r="N696" s="117"/>
      <c r="O696" s="117"/>
      <c r="P696" s="117"/>
      <c r="Q696" s="117"/>
      <c r="R696" s="117"/>
      <c r="S696" s="117"/>
    </row>
    <row r="697" spans="1:19" ht="12.9">
      <c r="A697" s="117"/>
      <c r="B697" s="117"/>
      <c r="C697" s="117"/>
      <c r="D697" s="24"/>
      <c r="E697" s="24"/>
      <c r="F697" s="117"/>
      <c r="G697" s="117"/>
      <c r="H697" s="117"/>
      <c r="I697" s="117"/>
      <c r="J697" s="117"/>
      <c r="K697" s="117"/>
      <c r="L697" s="117"/>
      <c r="M697" s="117"/>
      <c r="N697" s="117"/>
      <c r="O697" s="117"/>
      <c r="P697" s="117"/>
      <c r="Q697" s="117"/>
      <c r="R697" s="117"/>
      <c r="S697" s="117"/>
    </row>
    <row r="698" spans="1:19" ht="12.9">
      <c r="A698" s="117"/>
      <c r="B698" s="117"/>
      <c r="C698" s="117"/>
      <c r="D698" s="24"/>
      <c r="E698" s="24"/>
      <c r="F698" s="117"/>
      <c r="G698" s="117"/>
      <c r="H698" s="117"/>
      <c r="I698" s="117"/>
      <c r="J698" s="117"/>
      <c r="K698" s="117"/>
      <c r="L698" s="117"/>
      <c r="M698" s="117"/>
      <c r="N698" s="117"/>
      <c r="O698" s="117"/>
      <c r="P698" s="117"/>
      <c r="Q698" s="117"/>
      <c r="R698" s="117"/>
      <c r="S698" s="117"/>
    </row>
    <row r="699" spans="1:19" ht="12.9">
      <c r="A699" s="117"/>
      <c r="B699" s="117"/>
      <c r="C699" s="117"/>
      <c r="D699" s="24"/>
      <c r="E699" s="24"/>
      <c r="F699" s="117"/>
      <c r="G699" s="117"/>
      <c r="H699" s="117"/>
      <c r="I699" s="117"/>
      <c r="J699" s="117"/>
      <c r="K699" s="117"/>
      <c r="L699" s="117"/>
      <c r="M699" s="117"/>
      <c r="N699" s="117"/>
      <c r="O699" s="117"/>
      <c r="P699" s="117"/>
      <c r="Q699" s="117"/>
      <c r="R699" s="117"/>
      <c r="S699" s="117"/>
    </row>
    <row r="700" spans="1:19" ht="12.9">
      <c r="A700" s="117"/>
      <c r="B700" s="117"/>
      <c r="C700" s="117"/>
      <c r="D700" s="24"/>
      <c r="E700" s="24"/>
      <c r="F700" s="117"/>
      <c r="G700" s="117"/>
      <c r="H700" s="117"/>
      <c r="I700" s="117"/>
      <c r="J700" s="117"/>
      <c r="K700" s="117"/>
      <c r="L700" s="117"/>
      <c r="M700" s="117"/>
      <c r="N700" s="117"/>
      <c r="O700" s="117"/>
      <c r="P700" s="117"/>
      <c r="Q700" s="117"/>
      <c r="R700" s="117"/>
      <c r="S700" s="117"/>
    </row>
    <row r="701" spans="1:19" ht="12.9">
      <c r="A701" s="117"/>
      <c r="B701" s="117"/>
      <c r="C701" s="117"/>
      <c r="D701" s="24"/>
      <c r="E701" s="24"/>
      <c r="F701" s="117"/>
      <c r="G701" s="117"/>
      <c r="H701" s="117"/>
      <c r="I701" s="117"/>
      <c r="J701" s="117"/>
      <c r="K701" s="117"/>
      <c r="L701" s="117"/>
      <c r="M701" s="117"/>
      <c r="N701" s="117"/>
      <c r="O701" s="117"/>
      <c r="P701" s="117"/>
      <c r="Q701" s="117"/>
      <c r="R701" s="117"/>
      <c r="S701" s="117"/>
    </row>
    <row r="702" spans="1:19" ht="12.9">
      <c r="A702" s="117"/>
      <c r="B702" s="117"/>
      <c r="C702" s="117"/>
      <c r="D702" s="24"/>
      <c r="E702" s="24"/>
      <c r="F702" s="117"/>
      <c r="G702" s="117"/>
      <c r="H702" s="117"/>
      <c r="I702" s="117"/>
      <c r="J702" s="117"/>
      <c r="K702" s="117"/>
      <c r="L702" s="117"/>
      <c r="M702" s="117"/>
      <c r="N702" s="117"/>
      <c r="O702" s="117"/>
      <c r="P702" s="117"/>
      <c r="Q702" s="117"/>
      <c r="R702" s="117"/>
      <c r="S702" s="117"/>
    </row>
    <row r="703" spans="1:19" ht="12.9">
      <c r="A703" s="117"/>
      <c r="B703" s="117"/>
      <c r="C703" s="117"/>
      <c r="D703" s="24"/>
      <c r="E703" s="24"/>
      <c r="F703" s="117"/>
      <c r="G703" s="117"/>
      <c r="H703" s="117"/>
      <c r="I703" s="117"/>
      <c r="J703" s="117"/>
      <c r="K703" s="117"/>
      <c r="L703" s="117"/>
      <c r="M703" s="117"/>
      <c r="N703" s="117"/>
      <c r="O703" s="117"/>
      <c r="P703" s="117"/>
      <c r="Q703" s="117"/>
      <c r="R703" s="117"/>
      <c r="S703" s="117"/>
    </row>
    <row r="704" spans="1:19" ht="12.9">
      <c r="A704" s="117"/>
      <c r="B704" s="117"/>
      <c r="C704" s="117"/>
      <c r="D704" s="24"/>
      <c r="E704" s="24"/>
      <c r="F704" s="117"/>
      <c r="G704" s="117"/>
      <c r="H704" s="117"/>
      <c r="I704" s="117"/>
      <c r="J704" s="117"/>
      <c r="K704" s="117"/>
      <c r="L704" s="117"/>
      <c r="M704" s="117"/>
      <c r="N704" s="117"/>
      <c r="O704" s="117"/>
      <c r="P704" s="117"/>
      <c r="Q704" s="117"/>
      <c r="R704" s="117"/>
      <c r="S704" s="117"/>
    </row>
    <row r="705" spans="1:19" ht="12.9">
      <c r="A705" s="117"/>
      <c r="B705" s="117"/>
      <c r="C705" s="117"/>
      <c r="D705" s="24"/>
      <c r="E705" s="24"/>
      <c r="F705" s="117"/>
      <c r="G705" s="117"/>
      <c r="H705" s="117"/>
      <c r="I705" s="117"/>
      <c r="J705" s="117"/>
      <c r="K705" s="117"/>
      <c r="L705" s="117"/>
      <c r="M705" s="117"/>
      <c r="N705" s="117"/>
      <c r="O705" s="117"/>
      <c r="P705" s="117"/>
      <c r="Q705" s="117"/>
      <c r="R705" s="117"/>
      <c r="S705" s="117"/>
    </row>
    <row r="706" spans="1:19" ht="12.9">
      <c r="A706" s="117"/>
      <c r="B706" s="117"/>
      <c r="C706" s="117"/>
      <c r="D706" s="24"/>
      <c r="E706" s="24"/>
      <c r="F706" s="117"/>
      <c r="G706" s="117"/>
      <c r="H706" s="117"/>
      <c r="I706" s="117"/>
      <c r="J706" s="117"/>
      <c r="K706" s="117"/>
      <c r="L706" s="117"/>
      <c r="M706" s="117"/>
      <c r="N706" s="117"/>
      <c r="O706" s="117"/>
      <c r="P706" s="117"/>
      <c r="Q706" s="117"/>
      <c r="R706" s="117"/>
      <c r="S706" s="117"/>
    </row>
    <row r="707" spans="1:19" ht="12.9">
      <c r="A707" s="117"/>
      <c r="B707" s="117"/>
      <c r="C707" s="117"/>
      <c r="D707" s="24"/>
      <c r="E707" s="24"/>
      <c r="F707" s="117"/>
      <c r="G707" s="117"/>
      <c r="H707" s="117"/>
      <c r="I707" s="117"/>
      <c r="J707" s="117"/>
      <c r="K707" s="117"/>
      <c r="L707" s="117"/>
      <c r="M707" s="117"/>
      <c r="N707" s="117"/>
      <c r="O707" s="117"/>
      <c r="P707" s="117"/>
      <c r="Q707" s="117"/>
      <c r="R707" s="117"/>
      <c r="S707" s="117"/>
    </row>
    <row r="708" spans="1:19" ht="12.9">
      <c r="A708" s="117"/>
      <c r="B708" s="117"/>
      <c r="C708" s="117"/>
      <c r="D708" s="24"/>
      <c r="E708" s="24"/>
      <c r="F708" s="117"/>
      <c r="G708" s="117"/>
      <c r="H708" s="117"/>
      <c r="I708" s="117"/>
      <c r="J708" s="117"/>
      <c r="K708" s="117"/>
      <c r="L708" s="117"/>
      <c r="M708" s="117"/>
      <c r="N708" s="117"/>
      <c r="O708" s="117"/>
      <c r="P708" s="117"/>
      <c r="Q708" s="117"/>
      <c r="R708" s="117"/>
      <c r="S708" s="117"/>
    </row>
    <row r="709" spans="1:19" ht="12.9">
      <c r="A709" s="117"/>
      <c r="B709" s="117"/>
      <c r="C709" s="117"/>
      <c r="D709" s="24"/>
      <c r="E709" s="24"/>
      <c r="F709" s="117"/>
      <c r="G709" s="117"/>
      <c r="H709" s="117"/>
      <c r="I709" s="117"/>
      <c r="J709" s="117"/>
      <c r="K709" s="117"/>
      <c r="L709" s="117"/>
      <c r="M709" s="117"/>
      <c r="N709" s="117"/>
      <c r="O709" s="117"/>
      <c r="P709" s="117"/>
      <c r="Q709" s="117"/>
      <c r="R709" s="117"/>
      <c r="S709" s="117"/>
    </row>
    <row r="710" spans="1:19" ht="12.9">
      <c r="A710" s="117"/>
      <c r="B710" s="117"/>
      <c r="C710" s="117"/>
      <c r="D710" s="24"/>
      <c r="E710" s="24"/>
      <c r="F710" s="117"/>
      <c r="G710" s="117"/>
      <c r="H710" s="117"/>
      <c r="I710" s="117"/>
      <c r="J710" s="117"/>
      <c r="K710" s="117"/>
      <c r="L710" s="117"/>
      <c r="M710" s="117"/>
      <c r="N710" s="117"/>
      <c r="O710" s="117"/>
      <c r="P710" s="117"/>
      <c r="Q710" s="117"/>
      <c r="R710" s="117"/>
      <c r="S710" s="117"/>
    </row>
    <row r="711" spans="1:19" ht="12.9">
      <c r="A711" s="117"/>
      <c r="B711" s="117"/>
      <c r="C711" s="117"/>
      <c r="D711" s="24"/>
      <c r="E711" s="24"/>
      <c r="F711" s="117"/>
      <c r="G711" s="117"/>
      <c r="H711" s="117"/>
      <c r="I711" s="117"/>
      <c r="J711" s="117"/>
      <c r="K711" s="117"/>
      <c r="L711" s="117"/>
      <c r="M711" s="117"/>
      <c r="N711" s="117"/>
      <c r="O711" s="117"/>
      <c r="P711" s="117"/>
      <c r="Q711" s="117"/>
      <c r="R711" s="117"/>
      <c r="S711" s="117"/>
    </row>
    <row r="712" spans="1:19" ht="12.9">
      <c r="A712" s="117"/>
      <c r="B712" s="117"/>
      <c r="C712" s="117"/>
      <c r="D712" s="24"/>
      <c r="E712" s="24"/>
      <c r="F712" s="117"/>
      <c r="G712" s="117"/>
      <c r="H712" s="117"/>
      <c r="I712" s="117"/>
      <c r="J712" s="117"/>
      <c r="K712" s="117"/>
      <c r="L712" s="117"/>
      <c r="M712" s="117"/>
      <c r="N712" s="117"/>
      <c r="O712" s="117"/>
      <c r="P712" s="117"/>
      <c r="Q712" s="117"/>
      <c r="R712" s="117"/>
      <c r="S712" s="117"/>
    </row>
    <row r="713" spans="1:19" ht="12.9">
      <c r="A713" s="117"/>
      <c r="B713" s="117"/>
      <c r="C713" s="117"/>
      <c r="D713" s="24"/>
      <c r="E713" s="24"/>
      <c r="F713" s="117"/>
      <c r="G713" s="117"/>
      <c r="H713" s="117"/>
      <c r="I713" s="117"/>
      <c r="J713" s="117"/>
      <c r="K713" s="117"/>
      <c r="L713" s="117"/>
      <c r="M713" s="117"/>
      <c r="N713" s="117"/>
      <c r="O713" s="117"/>
      <c r="P713" s="117"/>
      <c r="Q713" s="117"/>
      <c r="R713" s="117"/>
      <c r="S713" s="117"/>
    </row>
    <row r="714" spans="1:19" ht="12.9">
      <c r="A714" s="117"/>
      <c r="B714" s="117"/>
      <c r="C714" s="117"/>
      <c r="D714" s="24"/>
      <c r="E714" s="24"/>
      <c r="F714" s="117"/>
      <c r="G714" s="117"/>
      <c r="H714" s="117"/>
      <c r="I714" s="117"/>
      <c r="J714" s="117"/>
      <c r="K714" s="117"/>
      <c r="L714" s="117"/>
      <c r="M714" s="117"/>
      <c r="N714" s="117"/>
      <c r="O714" s="117"/>
      <c r="P714" s="117"/>
      <c r="Q714" s="117"/>
      <c r="R714" s="117"/>
      <c r="S714" s="117"/>
    </row>
    <row r="715" spans="1:19" ht="12.9">
      <c r="A715" s="117"/>
      <c r="B715" s="117"/>
      <c r="C715" s="117"/>
      <c r="D715" s="24"/>
      <c r="E715" s="24"/>
      <c r="F715" s="117"/>
      <c r="G715" s="117"/>
      <c r="H715" s="117"/>
      <c r="I715" s="117"/>
      <c r="J715" s="117"/>
      <c r="K715" s="117"/>
      <c r="L715" s="117"/>
      <c r="M715" s="117"/>
      <c r="N715" s="117"/>
      <c r="O715" s="117"/>
      <c r="P715" s="117"/>
      <c r="Q715" s="117"/>
      <c r="R715" s="117"/>
      <c r="S715" s="117"/>
    </row>
    <row r="716" spans="1:19" ht="12.9">
      <c r="A716" s="117"/>
      <c r="B716" s="117"/>
      <c r="C716" s="117"/>
      <c r="D716" s="24"/>
      <c r="E716" s="24"/>
      <c r="F716" s="117"/>
      <c r="G716" s="117"/>
      <c r="H716" s="117"/>
      <c r="I716" s="117"/>
      <c r="J716" s="117"/>
      <c r="K716" s="117"/>
      <c r="L716" s="117"/>
      <c r="M716" s="117"/>
      <c r="N716" s="117"/>
      <c r="O716" s="117"/>
      <c r="P716" s="117"/>
      <c r="Q716" s="117"/>
      <c r="R716" s="117"/>
      <c r="S716" s="117"/>
    </row>
    <row r="717" spans="1:19" ht="12.9">
      <c r="A717" s="117"/>
      <c r="B717" s="117"/>
      <c r="C717" s="117"/>
      <c r="D717" s="24"/>
      <c r="E717" s="24"/>
      <c r="F717" s="117"/>
      <c r="G717" s="117"/>
      <c r="H717" s="117"/>
      <c r="I717" s="117"/>
      <c r="J717" s="117"/>
      <c r="K717" s="117"/>
      <c r="L717" s="117"/>
      <c r="M717" s="117"/>
      <c r="N717" s="117"/>
      <c r="O717" s="117"/>
      <c r="P717" s="117"/>
      <c r="Q717" s="117"/>
      <c r="R717" s="117"/>
      <c r="S717" s="117"/>
    </row>
    <row r="718" spans="1:19" ht="12.9">
      <c r="A718" s="117"/>
      <c r="B718" s="117"/>
      <c r="C718" s="117"/>
      <c r="D718" s="24"/>
      <c r="E718" s="24"/>
      <c r="F718" s="117"/>
      <c r="G718" s="117"/>
      <c r="H718" s="117"/>
      <c r="I718" s="117"/>
      <c r="J718" s="117"/>
      <c r="K718" s="117"/>
      <c r="L718" s="117"/>
      <c r="M718" s="117"/>
      <c r="N718" s="117"/>
      <c r="O718" s="117"/>
      <c r="P718" s="117"/>
      <c r="Q718" s="117"/>
      <c r="R718" s="117"/>
      <c r="S718" s="117"/>
    </row>
    <row r="719" spans="1:19" ht="12.9">
      <c r="A719" s="117"/>
      <c r="B719" s="117"/>
      <c r="C719" s="117"/>
      <c r="D719" s="24"/>
      <c r="E719" s="24"/>
      <c r="F719" s="117"/>
      <c r="G719" s="117"/>
      <c r="H719" s="117"/>
      <c r="I719" s="117"/>
      <c r="J719" s="117"/>
      <c r="K719" s="117"/>
      <c r="L719" s="117"/>
      <c r="M719" s="117"/>
      <c r="N719" s="117"/>
      <c r="O719" s="117"/>
      <c r="P719" s="117"/>
      <c r="Q719" s="117"/>
      <c r="R719" s="117"/>
      <c r="S719" s="117"/>
    </row>
    <row r="720" spans="1:19" ht="12.9">
      <c r="A720" s="117"/>
      <c r="B720" s="117"/>
      <c r="C720" s="117"/>
      <c r="D720" s="24"/>
      <c r="E720" s="24"/>
      <c r="F720" s="117"/>
      <c r="G720" s="117"/>
      <c r="H720" s="117"/>
      <c r="I720" s="117"/>
      <c r="J720" s="117"/>
      <c r="K720" s="117"/>
      <c r="L720" s="117"/>
      <c r="M720" s="117"/>
      <c r="N720" s="117"/>
      <c r="O720" s="117"/>
      <c r="P720" s="117"/>
      <c r="Q720" s="117"/>
      <c r="R720" s="117"/>
      <c r="S720" s="117"/>
    </row>
    <row r="721" spans="1:19" ht="12.9">
      <c r="A721" s="117"/>
      <c r="B721" s="117"/>
      <c r="C721" s="117"/>
      <c r="D721" s="24"/>
      <c r="E721" s="24"/>
      <c r="F721" s="117"/>
      <c r="G721" s="117"/>
      <c r="H721" s="117"/>
      <c r="I721" s="117"/>
      <c r="J721" s="117"/>
      <c r="K721" s="117"/>
      <c r="L721" s="117"/>
      <c r="M721" s="117"/>
      <c r="N721" s="117"/>
      <c r="O721" s="117"/>
      <c r="P721" s="117"/>
      <c r="Q721" s="117"/>
      <c r="R721" s="117"/>
      <c r="S721" s="117"/>
    </row>
    <row r="722" spans="1:19" ht="12.9">
      <c r="A722" s="117"/>
      <c r="B722" s="117"/>
      <c r="C722" s="117"/>
      <c r="D722" s="24"/>
      <c r="E722" s="24"/>
      <c r="F722" s="117"/>
      <c r="G722" s="117"/>
      <c r="H722" s="117"/>
      <c r="I722" s="117"/>
      <c r="J722" s="117"/>
      <c r="K722" s="117"/>
      <c r="L722" s="117"/>
      <c r="M722" s="117"/>
      <c r="N722" s="117"/>
      <c r="O722" s="117"/>
      <c r="P722" s="117"/>
      <c r="Q722" s="117"/>
      <c r="R722" s="117"/>
      <c r="S722" s="117"/>
    </row>
    <row r="723" spans="1:19" ht="12.9">
      <c r="A723" s="117"/>
      <c r="B723" s="117"/>
      <c r="C723" s="117"/>
      <c r="D723" s="24"/>
      <c r="E723" s="24"/>
      <c r="F723" s="117"/>
      <c r="G723" s="117"/>
      <c r="H723" s="117"/>
      <c r="I723" s="117"/>
      <c r="J723" s="117"/>
      <c r="K723" s="117"/>
      <c r="L723" s="117"/>
      <c r="M723" s="117"/>
      <c r="N723" s="117"/>
      <c r="O723" s="117"/>
      <c r="P723" s="117"/>
      <c r="Q723" s="117"/>
      <c r="R723" s="117"/>
      <c r="S723" s="117"/>
    </row>
    <row r="724" spans="1:19" ht="12.9">
      <c r="A724" s="117"/>
      <c r="B724" s="117"/>
      <c r="C724" s="117"/>
      <c r="D724" s="24"/>
      <c r="E724" s="24"/>
      <c r="F724" s="117"/>
      <c r="G724" s="117"/>
      <c r="H724" s="117"/>
      <c r="I724" s="117"/>
      <c r="J724" s="117"/>
      <c r="K724" s="117"/>
      <c r="L724" s="117"/>
      <c r="M724" s="117"/>
      <c r="N724" s="117"/>
      <c r="O724" s="117"/>
      <c r="P724" s="117"/>
      <c r="Q724" s="117"/>
      <c r="R724" s="117"/>
      <c r="S724" s="117"/>
    </row>
    <row r="725" spans="1:19" ht="12.9">
      <c r="A725" s="117"/>
      <c r="B725" s="117"/>
      <c r="C725" s="117"/>
      <c r="D725" s="24"/>
      <c r="E725" s="24"/>
      <c r="F725" s="117"/>
      <c r="G725" s="117"/>
      <c r="H725" s="117"/>
      <c r="I725" s="117"/>
      <c r="J725" s="117"/>
      <c r="K725" s="117"/>
      <c r="L725" s="117"/>
      <c r="M725" s="117"/>
      <c r="N725" s="117"/>
      <c r="O725" s="117"/>
      <c r="P725" s="117"/>
      <c r="Q725" s="117"/>
      <c r="R725" s="117"/>
      <c r="S725" s="117"/>
    </row>
    <row r="726" spans="1:19" ht="12.9">
      <c r="A726" s="117"/>
      <c r="B726" s="117"/>
      <c r="C726" s="117"/>
      <c r="D726" s="24"/>
      <c r="E726" s="24"/>
      <c r="F726" s="117"/>
      <c r="G726" s="117"/>
      <c r="H726" s="117"/>
      <c r="I726" s="117"/>
      <c r="J726" s="117"/>
      <c r="K726" s="117"/>
      <c r="L726" s="117"/>
      <c r="M726" s="117"/>
      <c r="N726" s="117"/>
      <c r="O726" s="117"/>
      <c r="P726" s="117"/>
      <c r="Q726" s="117"/>
      <c r="R726" s="117"/>
      <c r="S726" s="117"/>
    </row>
    <row r="727" spans="1:19" ht="12.9">
      <c r="A727" s="117"/>
      <c r="B727" s="117"/>
      <c r="C727" s="117"/>
      <c r="D727" s="24"/>
      <c r="E727" s="24"/>
      <c r="F727" s="117"/>
      <c r="G727" s="117"/>
      <c r="H727" s="117"/>
      <c r="I727" s="117"/>
      <c r="J727" s="117"/>
      <c r="K727" s="117"/>
      <c r="L727" s="117"/>
      <c r="M727" s="117"/>
      <c r="N727" s="117"/>
      <c r="O727" s="117"/>
      <c r="P727" s="117"/>
      <c r="Q727" s="117"/>
      <c r="R727" s="117"/>
      <c r="S727" s="117"/>
    </row>
    <row r="728" spans="1:19" ht="12.9">
      <c r="A728" s="117"/>
      <c r="B728" s="117"/>
      <c r="C728" s="117"/>
      <c r="D728" s="24"/>
      <c r="E728" s="24"/>
      <c r="F728" s="117"/>
      <c r="G728" s="117"/>
      <c r="H728" s="117"/>
      <c r="I728" s="117"/>
      <c r="J728" s="117"/>
      <c r="K728" s="117"/>
      <c r="L728" s="117"/>
      <c r="M728" s="117"/>
      <c r="N728" s="117"/>
      <c r="O728" s="117"/>
      <c r="P728" s="117"/>
      <c r="Q728" s="117"/>
      <c r="R728" s="117"/>
      <c r="S728" s="117"/>
    </row>
    <row r="729" spans="1:19" ht="12.9">
      <c r="A729" s="117"/>
      <c r="B729" s="117"/>
      <c r="C729" s="117"/>
      <c r="D729" s="24"/>
      <c r="E729" s="24"/>
      <c r="F729" s="117"/>
      <c r="G729" s="117"/>
      <c r="H729" s="117"/>
      <c r="I729" s="117"/>
      <c r="J729" s="117"/>
      <c r="K729" s="117"/>
      <c r="L729" s="117"/>
      <c r="M729" s="117"/>
      <c r="N729" s="117"/>
      <c r="O729" s="117"/>
      <c r="P729" s="117"/>
      <c r="Q729" s="117"/>
      <c r="R729" s="117"/>
      <c r="S729" s="117"/>
    </row>
    <row r="730" spans="1:19" ht="12.9">
      <c r="A730" s="117"/>
      <c r="B730" s="117"/>
      <c r="C730" s="117"/>
      <c r="D730" s="24"/>
      <c r="E730" s="24"/>
      <c r="F730" s="117"/>
      <c r="G730" s="117"/>
      <c r="H730" s="117"/>
      <c r="I730" s="117"/>
      <c r="J730" s="117"/>
      <c r="K730" s="117"/>
      <c r="L730" s="117"/>
      <c r="M730" s="117"/>
      <c r="N730" s="117"/>
      <c r="O730" s="117"/>
      <c r="P730" s="117"/>
      <c r="Q730" s="117"/>
      <c r="R730" s="117"/>
      <c r="S730" s="117"/>
    </row>
    <row r="731" spans="1:19" ht="12.9">
      <c r="A731" s="117"/>
      <c r="B731" s="117"/>
      <c r="C731" s="117"/>
      <c r="D731" s="24"/>
      <c r="E731" s="24"/>
      <c r="F731" s="117"/>
      <c r="G731" s="117"/>
      <c r="H731" s="117"/>
      <c r="I731" s="117"/>
      <c r="J731" s="117"/>
      <c r="K731" s="117"/>
      <c r="L731" s="117"/>
      <c r="M731" s="117"/>
      <c r="N731" s="117"/>
      <c r="O731" s="117"/>
      <c r="P731" s="117"/>
      <c r="Q731" s="117"/>
      <c r="R731" s="117"/>
      <c r="S731" s="117"/>
    </row>
    <row r="732" spans="1:19" ht="12.9">
      <c r="A732" s="117"/>
      <c r="B732" s="117"/>
      <c r="C732" s="117"/>
      <c r="D732" s="24"/>
      <c r="E732" s="24"/>
      <c r="F732" s="117"/>
      <c r="G732" s="117"/>
      <c r="H732" s="117"/>
      <c r="I732" s="117"/>
      <c r="J732" s="117"/>
      <c r="K732" s="117"/>
      <c r="L732" s="117"/>
      <c r="M732" s="117"/>
      <c r="N732" s="117"/>
      <c r="O732" s="117"/>
      <c r="P732" s="117"/>
      <c r="Q732" s="117"/>
      <c r="R732" s="117"/>
      <c r="S732" s="117"/>
    </row>
    <row r="733" spans="1:19" ht="12.9">
      <c r="A733" s="117"/>
      <c r="B733" s="117"/>
      <c r="C733" s="117"/>
      <c r="D733" s="24"/>
      <c r="E733" s="24"/>
      <c r="F733" s="117"/>
      <c r="G733" s="117"/>
      <c r="H733" s="117"/>
      <c r="I733" s="117"/>
      <c r="J733" s="117"/>
      <c r="K733" s="117"/>
      <c r="L733" s="117"/>
      <c r="M733" s="117"/>
      <c r="N733" s="117"/>
      <c r="O733" s="117"/>
      <c r="P733" s="117"/>
      <c r="Q733" s="117"/>
      <c r="R733" s="117"/>
      <c r="S733" s="117"/>
    </row>
    <row r="734" spans="1:19" ht="12.9">
      <c r="A734" s="117"/>
      <c r="B734" s="117"/>
      <c r="C734" s="117"/>
      <c r="D734" s="24"/>
      <c r="E734" s="24"/>
      <c r="F734" s="117"/>
      <c r="G734" s="117"/>
      <c r="H734" s="117"/>
      <c r="I734" s="117"/>
      <c r="J734" s="117"/>
      <c r="K734" s="117"/>
      <c r="L734" s="117"/>
      <c r="M734" s="117"/>
      <c r="N734" s="117"/>
      <c r="O734" s="117"/>
      <c r="P734" s="117"/>
      <c r="Q734" s="117"/>
      <c r="R734" s="117"/>
      <c r="S734" s="117"/>
    </row>
    <row r="735" spans="1:19" ht="12.9">
      <c r="A735" s="117"/>
      <c r="B735" s="117"/>
      <c r="C735" s="117"/>
      <c r="D735" s="24"/>
      <c r="E735" s="24"/>
      <c r="F735" s="117"/>
      <c r="G735" s="117"/>
      <c r="H735" s="117"/>
      <c r="I735" s="117"/>
      <c r="J735" s="117"/>
      <c r="K735" s="117"/>
      <c r="L735" s="117"/>
      <c r="M735" s="117"/>
      <c r="N735" s="117"/>
      <c r="O735" s="117"/>
      <c r="P735" s="117"/>
      <c r="Q735" s="117"/>
      <c r="R735" s="117"/>
      <c r="S735" s="117"/>
    </row>
    <row r="736" spans="1:19" ht="12.9">
      <c r="A736" s="117"/>
      <c r="B736" s="117"/>
      <c r="C736" s="117"/>
      <c r="D736" s="24"/>
      <c r="E736" s="24"/>
      <c r="F736" s="117"/>
      <c r="G736" s="117"/>
      <c r="H736" s="117"/>
      <c r="I736" s="117"/>
      <c r="J736" s="117"/>
      <c r="K736" s="117"/>
      <c r="L736" s="117"/>
      <c r="M736" s="117"/>
      <c r="N736" s="117"/>
      <c r="O736" s="117"/>
      <c r="P736" s="117"/>
      <c r="Q736" s="117"/>
      <c r="R736" s="117"/>
      <c r="S736" s="117"/>
    </row>
    <row r="737" spans="1:19" ht="12.9">
      <c r="A737" s="117"/>
      <c r="B737" s="117"/>
      <c r="C737" s="117"/>
      <c r="D737" s="24"/>
      <c r="E737" s="24"/>
      <c r="F737" s="117"/>
      <c r="G737" s="117"/>
      <c r="H737" s="117"/>
      <c r="I737" s="117"/>
      <c r="J737" s="117"/>
      <c r="K737" s="117"/>
      <c r="L737" s="117"/>
      <c r="M737" s="117"/>
      <c r="N737" s="117"/>
      <c r="O737" s="117"/>
      <c r="P737" s="117"/>
      <c r="Q737" s="117"/>
      <c r="R737" s="117"/>
      <c r="S737" s="117"/>
    </row>
    <row r="738" spans="1:19" ht="12.9">
      <c r="A738" s="117"/>
      <c r="B738" s="117"/>
      <c r="C738" s="117"/>
      <c r="D738" s="24"/>
      <c r="E738" s="24"/>
      <c r="F738" s="117"/>
      <c r="G738" s="117"/>
      <c r="H738" s="117"/>
      <c r="I738" s="117"/>
      <c r="J738" s="117"/>
      <c r="K738" s="117"/>
      <c r="L738" s="117"/>
      <c r="M738" s="117"/>
      <c r="N738" s="117"/>
      <c r="O738" s="117"/>
      <c r="P738" s="117"/>
      <c r="Q738" s="117"/>
      <c r="R738" s="117"/>
      <c r="S738" s="117"/>
    </row>
    <row r="739" spans="1:19" ht="12.9">
      <c r="A739" s="117"/>
      <c r="B739" s="117"/>
      <c r="C739" s="117"/>
      <c r="D739" s="24"/>
      <c r="E739" s="24"/>
      <c r="F739" s="117"/>
      <c r="G739" s="117"/>
      <c r="H739" s="117"/>
      <c r="I739" s="117"/>
      <c r="J739" s="117"/>
      <c r="K739" s="117"/>
      <c r="L739" s="117"/>
      <c r="M739" s="117"/>
      <c r="N739" s="117"/>
      <c r="O739" s="117"/>
      <c r="P739" s="117"/>
      <c r="Q739" s="117"/>
      <c r="R739" s="117"/>
      <c r="S739" s="117"/>
    </row>
    <row r="740" spans="1:19" ht="12.9">
      <c r="A740" s="117"/>
      <c r="B740" s="117"/>
      <c r="C740" s="117"/>
      <c r="D740" s="24"/>
      <c r="E740" s="24"/>
      <c r="F740" s="117"/>
      <c r="G740" s="117"/>
      <c r="H740" s="117"/>
      <c r="I740" s="117"/>
      <c r="J740" s="117"/>
      <c r="K740" s="117"/>
      <c r="L740" s="117"/>
      <c r="M740" s="117"/>
      <c r="N740" s="117"/>
      <c r="O740" s="117"/>
      <c r="P740" s="117"/>
      <c r="Q740" s="117"/>
      <c r="R740" s="117"/>
      <c r="S740" s="117"/>
    </row>
    <row r="741" spans="1:19" ht="12.9">
      <c r="A741" s="117"/>
      <c r="B741" s="117"/>
      <c r="C741" s="117"/>
      <c r="D741" s="24"/>
      <c r="E741" s="24"/>
      <c r="F741" s="117"/>
      <c r="G741" s="117"/>
      <c r="H741" s="117"/>
      <c r="I741" s="117"/>
      <c r="J741" s="117"/>
      <c r="K741" s="117"/>
      <c r="L741" s="117"/>
      <c r="M741" s="117"/>
      <c r="N741" s="117"/>
      <c r="O741" s="117"/>
      <c r="P741" s="117"/>
      <c r="Q741" s="117"/>
      <c r="R741" s="117"/>
      <c r="S741" s="117"/>
    </row>
    <row r="742" spans="1:19" ht="12.9">
      <c r="A742" s="117"/>
      <c r="B742" s="117"/>
      <c r="C742" s="117"/>
      <c r="D742" s="24"/>
      <c r="E742" s="24"/>
      <c r="F742" s="117"/>
      <c r="G742" s="117"/>
      <c r="H742" s="117"/>
      <c r="I742" s="117"/>
      <c r="J742" s="117"/>
      <c r="K742" s="117"/>
      <c r="L742" s="117"/>
      <c r="M742" s="117"/>
      <c r="N742" s="117"/>
      <c r="O742" s="117"/>
      <c r="P742" s="117"/>
      <c r="Q742" s="117"/>
      <c r="R742" s="117"/>
      <c r="S742" s="117"/>
    </row>
    <row r="743" spans="1:19" ht="12.9">
      <c r="A743" s="117"/>
      <c r="B743" s="117"/>
      <c r="C743" s="117"/>
      <c r="D743" s="24"/>
      <c r="E743" s="24"/>
      <c r="F743" s="117"/>
      <c r="G743" s="117"/>
      <c r="H743" s="117"/>
      <c r="I743" s="117"/>
      <c r="J743" s="117"/>
      <c r="K743" s="117"/>
      <c r="L743" s="117"/>
      <c r="M743" s="117"/>
      <c r="N743" s="117"/>
      <c r="O743" s="117"/>
      <c r="P743" s="117"/>
      <c r="Q743" s="117"/>
      <c r="R743" s="117"/>
      <c r="S743" s="117"/>
    </row>
    <row r="744" spans="1:19" ht="12.9">
      <c r="A744" s="117"/>
      <c r="B744" s="117"/>
      <c r="C744" s="117"/>
      <c r="D744" s="24"/>
      <c r="E744" s="24"/>
      <c r="F744" s="117"/>
      <c r="G744" s="117"/>
      <c r="H744" s="117"/>
      <c r="I744" s="117"/>
      <c r="J744" s="117"/>
      <c r="K744" s="117"/>
      <c r="L744" s="117"/>
      <c r="M744" s="117"/>
      <c r="N744" s="117"/>
      <c r="O744" s="117"/>
      <c r="P744" s="117"/>
      <c r="Q744" s="117"/>
      <c r="R744" s="117"/>
      <c r="S744" s="117"/>
    </row>
    <row r="745" spans="1:19" ht="12.9">
      <c r="A745" s="117"/>
      <c r="B745" s="117"/>
      <c r="C745" s="117"/>
      <c r="D745" s="24"/>
      <c r="E745" s="24"/>
      <c r="F745" s="117"/>
      <c r="G745" s="117"/>
      <c r="H745" s="117"/>
      <c r="I745" s="117"/>
      <c r="J745" s="117"/>
      <c r="K745" s="117"/>
      <c r="L745" s="117"/>
      <c r="M745" s="117"/>
      <c r="N745" s="117"/>
      <c r="O745" s="117"/>
      <c r="P745" s="117"/>
      <c r="Q745" s="117"/>
      <c r="R745" s="117"/>
      <c r="S745" s="117"/>
    </row>
    <row r="746" spans="1:19" ht="12.9">
      <c r="A746" s="117"/>
      <c r="B746" s="117"/>
      <c r="C746" s="117"/>
      <c r="D746" s="24"/>
      <c r="E746" s="24"/>
      <c r="F746" s="117"/>
      <c r="G746" s="117"/>
      <c r="H746" s="117"/>
      <c r="I746" s="117"/>
      <c r="J746" s="117"/>
      <c r="K746" s="117"/>
      <c r="L746" s="117"/>
      <c r="M746" s="117"/>
      <c r="N746" s="117"/>
      <c r="O746" s="117"/>
      <c r="P746" s="117"/>
      <c r="Q746" s="117"/>
      <c r="R746" s="117"/>
      <c r="S746" s="117"/>
    </row>
    <row r="747" spans="1:19" ht="12.9">
      <c r="A747" s="117"/>
      <c r="B747" s="117"/>
      <c r="C747" s="117"/>
      <c r="D747" s="24"/>
      <c r="E747" s="24"/>
      <c r="F747" s="117"/>
      <c r="G747" s="117"/>
      <c r="H747" s="117"/>
      <c r="I747" s="117"/>
      <c r="J747" s="117"/>
      <c r="K747" s="117"/>
      <c r="L747" s="117"/>
      <c r="M747" s="117"/>
      <c r="N747" s="117"/>
      <c r="O747" s="117"/>
      <c r="P747" s="117"/>
      <c r="Q747" s="117"/>
      <c r="R747" s="117"/>
      <c r="S747" s="117"/>
    </row>
    <row r="748" spans="1:19" ht="12.9">
      <c r="A748" s="117"/>
      <c r="B748" s="117"/>
      <c r="C748" s="117"/>
      <c r="D748" s="24"/>
      <c r="E748" s="24"/>
      <c r="F748" s="117"/>
      <c r="G748" s="117"/>
      <c r="H748" s="117"/>
      <c r="I748" s="117"/>
      <c r="J748" s="117"/>
      <c r="K748" s="117"/>
      <c r="L748" s="117"/>
      <c r="M748" s="117"/>
      <c r="N748" s="117"/>
      <c r="O748" s="117"/>
      <c r="P748" s="117"/>
      <c r="Q748" s="117"/>
      <c r="R748" s="117"/>
      <c r="S748" s="117"/>
    </row>
    <row r="749" spans="1:19" ht="12.9">
      <c r="A749" s="117"/>
      <c r="B749" s="117"/>
      <c r="C749" s="117"/>
      <c r="D749" s="24"/>
      <c r="E749" s="24"/>
      <c r="F749" s="117"/>
      <c r="G749" s="117"/>
      <c r="H749" s="117"/>
      <c r="I749" s="117"/>
      <c r="J749" s="117"/>
      <c r="K749" s="117"/>
      <c r="L749" s="117"/>
      <c r="M749" s="117"/>
      <c r="N749" s="117"/>
      <c r="O749" s="117"/>
      <c r="P749" s="117"/>
      <c r="Q749" s="117"/>
      <c r="R749" s="117"/>
      <c r="S749" s="117"/>
    </row>
    <row r="750" spans="1:19" ht="12.9">
      <c r="A750" s="117"/>
      <c r="B750" s="117"/>
      <c r="C750" s="117"/>
      <c r="D750" s="24"/>
      <c r="E750" s="24"/>
      <c r="F750" s="117"/>
      <c r="G750" s="117"/>
      <c r="H750" s="117"/>
      <c r="I750" s="117"/>
      <c r="J750" s="117"/>
      <c r="K750" s="117"/>
      <c r="L750" s="117"/>
      <c r="M750" s="117"/>
      <c r="N750" s="117"/>
      <c r="O750" s="117"/>
      <c r="P750" s="117"/>
      <c r="Q750" s="117"/>
      <c r="R750" s="117"/>
      <c r="S750" s="117"/>
    </row>
    <row r="751" spans="1:19" ht="12.9">
      <c r="A751" s="117"/>
      <c r="B751" s="117"/>
      <c r="C751" s="117"/>
      <c r="D751" s="24"/>
      <c r="E751" s="24"/>
      <c r="F751" s="117"/>
      <c r="G751" s="117"/>
      <c r="H751" s="117"/>
      <c r="I751" s="117"/>
      <c r="J751" s="117"/>
      <c r="K751" s="117"/>
      <c r="L751" s="117"/>
      <c r="M751" s="117"/>
      <c r="N751" s="117"/>
      <c r="O751" s="117"/>
      <c r="P751" s="117"/>
      <c r="Q751" s="117"/>
      <c r="R751" s="117"/>
      <c r="S751" s="117"/>
    </row>
    <row r="752" spans="1:19" ht="12.9">
      <c r="A752" s="117"/>
      <c r="B752" s="117"/>
      <c r="C752" s="117"/>
      <c r="D752" s="24"/>
      <c r="E752" s="24"/>
      <c r="F752" s="117"/>
      <c r="G752" s="117"/>
      <c r="H752" s="117"/>
      <c r="I752" s="117"/>
      <c r="J752" s="117"/>
      <c r="K752" s="117"/>
      <c r="L752" s="117"/>
      <c r="M752" s="117"/>
      <c r="N752" s="117"/>
      <c r="O752" s="117"/>
      <c r="P752" s="117"/>
      <c r="Q752" s="117"/>
      <c r="R752" s="117"/>
      <c r="S752" s="117"/>
    </row>
    <row r="753" spans="1:19" ht="12.9">
      <c r="A753" s="117"/>
      <c r="B753" s="117"/>
      <c r="C753" s="117"/>
      <c r="D753" s="24"/>
      <c r="E753" s="24"/>
      <c r="F753" s="117"/>
      <c r="G753" s="117"/>
      <c r="H753" s="117"/>
      <c r="I753" s="117"/>
      <c r="J753" s="117"/>
      <c r="K753" s="117"/>
      <c r="L753" s="117"/>
      <c r="M753" s="117"/>
      <c r="N753" s="117"/>
      <c r="O753" s="117"/>
      <c r="P753" s="117"/>
      <c r="Q753" s="117"/>
      <c r="R753" s="117"/>
      <c r="S753" s="117"/>
    </row>
    <row r="754" spans="1:19" ht="12.9">
      <c r="A754" s="117"/>
      <c r="B754" s="117"/>
      <c r="C754" s="117"/>
      <c r="D754" s="24"/>
      <c r="E754" s="24"/>
      <c r="F754" s="117"/>
      <c r="G754" s="117"/>
      <c r="H754" s="117"/>
      <c r="I754" s="117"/>
      <c r="J754" s="117"/>
      <c r="K754" s="117"/>
      <c r="L754" s="117"/>
      <c r="M754" s="117"/>
      <c r="N754" s="117"/>
      <c r="O754" s="117"/>
      <c r="P754" s="117"/>
      <c r="Q754" s="117"/>
      <c r="R754" s="117"/>
      <c r="S754" s="117"/>
    </row>
    <row r="755" spans="1:19" ht="12.9">
      <c r="A755" s="117"/>
      <c r="B755" s="117"/>
      <c r="C755" s="117"/>
      <c r="D755" s="24"/>
      <c r="E755" s="24"/>
      <c r="F755" s="117"/>
      <c r="G755" s="117"/>
      <c r="H755" s="117"/>
      <c r="I755" s="117"/>
      <c r="J755" s="117"/>
      <c r="K755" s="117"/>
      <c r="L755" s="117"/>
      <c r="M755" s="117"/>
      <c r="N755" s="117"/>
      <c r="O755" s="117"/>
      <c r="P755" s="117"/>
      <c r="Q755" s="117"/>
      <c r="R755" s="117"/>
      <c r="S755" s="117"/>
    </row>
    <row r="756" spans="1:19" ht="12.9">
      <c r="A756" s="117"/>
      <c r="B756" s="117"/>
      <c r="C756" s="117"/>
      <c r="D756" s="24"/>
      <c r="E756" s="24"/>
      <c r="F756" s="117"/>
      <c r="G756" s="117"/>
      <c r="H756" s="117"/>
      <c r="I756" s="117"/>
      <c r="J756" s="117"/>
      <c r="K756" s="117"/>
      <c r="L756" s="117"/>
      <c r="M756" s="117"/>
      <c r="N756" s="117"/>
      <c r="O756" s="117"/>
      <c r="P756" s="117"/>
      <c r="Q756" s="117"/>
      <c r="R756" s="117"/>
      <c r="S756" s="117"/>
    </row>
    <row r="757" spans="1:19" ht="12.9">
      <c r="A757" s="117"/>
      <c r="B757" s="117"/>
      <c r="C757" s="117"/>
      <c r="D757" s="24"/>
      <c r="E757" s="24"/>
      <c r="F757" s="117"/>
      <c r="G757" s="117"/>
      <c r="H757" s="117"/>
      <c r="I757" s="117"/>
      <c r="J757" s="117"/>
      <c r="K757" s="117"/>
      <c r="L757" s="117"/>
      <c r="M757" s="117"/>
      <c r="N757" s="117"/>
      <c r="O757" s="117"/>
      <c r="P757" s="117"/>
      <c r="Q757" s="117"/>
      <c r="R757" s="117"/>
      <c r="S757" s="117"/>
    </row>
    <row r="758" spans="1:19" ht="12.9">
      <c r="A758" s="117"/>
      <c r="B758" s="117"/>
      <c r="C758" s="117"/>
      <c r="D758" s="24"/>
      <c r="E758" s="24"/>
      <c r="F758" s="117"/>
      <c r="G758" s="117"/>
      <c r="H758" s="117"/>
      <c r="I758" s="117"/>
      <c r="J758" s="117"/>
      <c r="K758" s="117"/>
      <c r="L758" s="117"/>
      <c r="M758" s="117"/>
      <c r="N758" s="117"/>
      <c r="O758" s="117"/>
      <c r="P758" s="117"/>
      <c r="Q758" s="117"/>
      <c r="R758" s="117"/>
      <c r="S758" s="117"/>
    </row>
    <row r="759" spans="1:19" ht="12.9">
      <c r="A759" s="117"/>
      <c r="B759" s="117"/>
      <c r="C759" s="117"/>
      <c r="D759" s="24"/>
      <c r="E759" s="24"/>
      <c r="F759" s="117"/>
      <c r="G759" s="117"/>
      <c r="H759" s="117"/>
      <c r="I759" s="117"/>
      <c r="J759" s="117"/>
      <c r="K759" s="117"/>
      <c r="L759" s="117"/>
      <c r="M759" s="117"/>
      <c r="N759" s="117"/>
      <c r="O759" s="117"/>
      <c r="P759" s="117"/>
      <c r="Q759" s="117"/>
      <c r="R759" s="117"/>
      <c r="S759" s="117"/>
    </row>
    <row r="760" spans="1:19" ht="12.9">
      <c r="A760" s="117"/>
      <c r="B760" s="117"/>
      <c r="C760" s="117"/>
      <c r="D760" s="24"/>
      <c r="E760" s="24"/>
      <c r="F760" s="117"/>
      <c r="G760" s="117"/>
      <c r="H760" s="117"/>
      <c r="I760" s="117"/>
      <c r="J760" s="117"/>
      <c r="K760" s="117"/>
      <c r="L760" s="117"/>
      <c r="M760" s="117"/>
      <c r="N760" s="117"/>
      <c r="O760" s="117"/>
      <c r="P760" s="117"/>
      <c r="Q760" s="117"/>
      <c r="R760" s="117"/>
      <c r="S760" s="117"/>
    </row>
    <row r="761" spans="1:19" ht="12.9">
      <c r="A761" s="117"/>
      <c r="B761" s="117"/>
      <c r="C761" s="117"/>
      <c r="D761" s="24"/>
      <c r="E761" s="24"/>
      <c r="F761" s="117"/>
      <c r="G761" s="117"/>
      <c r="H761" s="117"/>
      <c r="I761" s="117"/>
      <c r="J761" s="117"/>
      <c r="K761" s="117"/>
      <c r="L761" s="117"/>
      <c r="M761" s="117"/>
      <c r="N761" s="117"/>
      <c r="O761" s="117"/>
      <c r="P761" s="117"/>
      <c r="Q761" s="117"/>
      <c r="R761" s="117"/>
      <c r="S761" s="117"/>
    </row>
    <row r="762" spans="1:19" ht="12.9">
      <c r="A762" s="117"/>
      <c r="B762" s="117"/>
      <c r="C762" s="117"/>
      <c r="D762" s="24"/>
      <c r="E762" s="24"/>
      <c r="F762" s="117"/>
      <c r="G762" s="117"/>
      <c r="H762" s="117"/>
      <c r="I762" s="117"/>
      <c r="J762" s="117"/>
      <c r="K762" s="117"/>
      <c r="L762" s="117"/>
      <c r="M762" s="117"/>
      <c r="N762" s="117"/>
      <c r="O762" s="117"/>
      <c r="P762" s="117"/>
      <c r="Q762" s="117"/>
      <c r="R762" s="117"/>
      <c r="S762" s="117"/>
    </row>
    <row r="763" spans="1:19" ht="12.9">
      <c r="A763" s="117"/>
      <c r="B763" s="117"/>
      <c r="C763" s="117"/>
      <c r="D763" s="24"/>
      <c r="E763" s="24"/>
      <c r="F763" s="117"/>
      <c r="G763" s="117"/>
      <c r="H763" s="117"/>
      <c r="I763" s="117"/>
      <c r="J763" s="117"/>
      <c r="K763" s="117"/>
      <c r="L763" s="117"/>
      <c r="M763" s="117"/>
      <c r="N763" s="117"/>
      <c r="O763" s="117"/>
      <c r="P763" s="117"/>
      <c r="Q763" s="117"/>
      <c r="R763" s="117"/>
      <c r="S763" s="117"/>
    </row>
    <row r="764" spans="1:19" ht="12.9">
      <c r="A764" s="117"/>
      <c r="B764" s="117"/>
      <c r="C764" s="117"/>
      <c r="D764" s="24"/>
      <c r="E764" s="24"/>
      <c r="F764" s="117"/>
      <c r="G764" s="117"/>
      <c r="H764" s="117"/>
      <c r="I764" s="117"/>
      <c r="J764" s="117"/>
      <c r="K764" s="117"/>
      <c r="L764" s="117"/>
      <c r="M764" s="117"/>
      <c r="N764" s="117"/>
      <c r="O764" s="117"/>
      <c r="P764" s="117"/>
      <c r="Q764" s="117"/>
      <c r="R764" s="117"/>
      <c r="S764" s="117"/>
    </row>
    <row r="765" spans="1:19" ht="12.9">
      <c r="A765" s="117"/>
      <c r="B765" s="117"/>
      <c r="C765" s="117"/>
      <c r="D765" s="24"/>
      <c r="E765" s="24"/>
      <c r="F765" s="117"/>
      <c r="G765" s="117"/>
      <c r="H765" s="117"/>
      <c r="I765" s="117"/>
      <c r="J765" s="117"/>
      <c r="K765" s="117"/>
      <c r="L765" s="117"/>
      <c r="M765" s="117"/>
      <c r="N765" s="117"/>
      <c r="O765" s="117"/>
      <c r="P765" s="117"/>
      <c r="Q765" s="117"/>
      <c r="R765" s="117"/>
      <c r="S765" s="117"/>
    </row>
    <row r="766" spans="1:19" ht="12.9">
      <c r="A766" s="117"/>
      <c r="B766" s="117"/>
      <c r="C766" s="117"/>
      <c r="D766" s="24"/>
      <c r="E766" s="24"/>
      <c r="F766" s="117"/>
      <c r="G766" s="117"/>
      <c r="H766" s="117"/>
      <c r="I766" s="117"/>
      <c r="J766" s="117"/>
      <c r="K766" s="117"/>
      <c r="L766" s="117"/>
      <c r="M766" s="117"/>
      <c r="N766" s="117"/>
      <c r="O766" s="117"/>
      <c r="P766" s="117"/>
      <c r="Q766" s="117"/>
      <c r="R766" s="117"/>
      <c r="S766" s="117"/>
    </row>
    <row r="767" spans="1:19" ht="12.9">
      <c r="A767" s="117"/>
      <c r="B767" s="117"/>
      <c r="C767" s="117"/>
      <c r="D767" s="24"/>
      <c r="E767" s="24"/>
      <c r="F767" s="117"/>
      <c r="G767" s="117"/>
      <c r="H767" s="117"/>
      <c r="I767" s="117"/>
      <c r="J767" s="117"/>
      <c r="K767" s="117"/>
      <c r="L767" s="117"/>
      <c r="M767" s="117"/>
      <c r="N767" s="117"/>
      <c r="O767" s="117"/>
      <c r="P767" s="117"/>
      <c r="Q767" s="117"/>
      <c r="R767" s="117"/>
      <c r="S767" s="117"/>
    </row>
    <row r="768" spans="1:19" ht="12.9">
      <c r="A768" s="117"/>
      <c r="B768" s="117"/>
      <c r="C768" s="117"/>
      <c r="D768" s="24"/>
      <c r="E768" s="24"/>
      <c r="F768" s="117"/>
      <c r="G768" s="117"/>
      <c r="H768" s="117"/>
      <c r="I768" s="117"/>
      <c r="J768" s="117"/>
      <c r="K768" s="117"/>
      <c r="L768" s="117"/>
      <c r="M768" s="117"/>
      <c r="N768" s="117"/>
      <c r="O768" s="117"/>
      <c r="P768" s="117"/>
      <c r="Q768" s="117"/>
      <c r="R768" s="117"/>
      <c r="S768" s="117"/>
    </row>
    <row r="769" spans="1:19" ht="12.9">
      <c r="A769" s="117"/>
      <c r="B769" s="117"/>
      <c r="C769" s="117"/>
      <c r="D769" s="24"/>
      <c r="E769" s="24"/>
      <c r="F769" s="117"/>
      <c r="G769" s="117"/>
      <c r="H769" s="117"/>
      <c r="I769" s="117"/>
      <c r="J769" s="117"/>
      <c r="K769" s="117"/>
      <c r="L769" s="117"/>
      <c r="M769" s="117"/>
      <c r="N769" s="117"/>
      <c r="O769" s="117"/>
      <c r="P769" s="117"/>
      <c r="Q769" s="117"/>
      <c r="R769" s="117"/>
      <c r="S769" s="117"/>
    </row>
    <row r="770" spans="1:19" ht="12.9">
      <c r="A770" s="117"/>
      <c r="B770" s="117"/>
      <c r="C770" s="117"/>
      <c r="D770" s="24"/>
      <c r="E770" s="24"/>
      <c r="F770" s="117"/>
      <c r="G770" s="117"/>
      <c r="H770" s="117"/>
      <c r="I770" s="117"/>
      <c r="J770" s="117"/>
      <c r="K770" s="117"/>
      <c r="L770" s="117"/>
      <c r="M770" s="117"/>
      <c r="N770" s="117"/>
      <c r="O770" s="117"/>
      <c r="P770" s="117"/>
      <c r="Q770" s="117"/>
      <c r="R770" s="117"/>
      <c r="S770" s="117"/>
    </row>
    <row r="771" spans="1:19" ht="12.9">
      <c r="A771" s="117"/>
      <c r="B771" s="117"/>
      <c r="C771" s="117"/>
      <c r="D771" s="24"/>
      <c r="E771" s="24"/>
      <c r="F771" s="117"/>
      <c r="G771" s="117"/>
      <c r="H771" s="117"/>
      <c r="I771" s="117"/>
      <c r="J771" s="117"/>
      <c r="K771" s="117"/>
      <c r="L771" s="117"/>
      <c r="M771" s="117"/>
      <c r="N771" s="117"/>
      <c r="O771" s="117"/>
      <c r="P771" s="117"/>
      <c r="Q771" s="117"/>
      <c r="R771" s="117"/>
      <c r="S771" s="117"/>
    </row>
    <row r="772" spans="1:19" ht="12.9">
      <c r="A772" s="117"/>
      <c r="B772" s="117"/>
      <c r="C772" s="117"/>
      <c r="D772" s="24"/>
      <c r="E772" s="24"/>
      <c r="F772" s="117"/>
      <c r="G772" s="117"/>
      <c r="H772" s="117"/>
      <c r="I772" s="117"/>
      <c r="J772" s="117"/>
      <c r="K772" s="117"/>
      <c r="L772" s="117"/>
      <c r="M772" s="117"/>
      <c r="N772" s="117"/>
      <c r="O772" s="117"/>
      <c r="P772" s="117"/>
      <c r="Q772" s="117"/>
      <c r="R772" s="117"/>
      <c r="S772" s="117"/>
    </row>
    <row r="773" spans="1:19" ht="12.9">
      <c r="A773" s="117"/>
      <c r="B773" s="117"/>
      <c r="C773" s="117"/>
      <c r="D773" s="24"/>
      <c r="E773" s="24"/>
      <c r="F773" s="117"/>
      <c r="G773" s="117"/>
      <c r="H773" s="117"/>
      <c r="I773" s="117"/>
      <c r="J773" s="117"/>
      <c r="K773" s="117"/>
      <c r="L773" s="117"/>
      <c r="M773" s="117"/>
      <c r="N773" s="117"/>
      <c r="O773" s="117"/>
      <c r="P773" s="117"/>
      <c r="Q773" s="117"/>
      <c r="R773" s="117"/>
      <c r="S773" s="117"/>
    </row>
    <row r="774" spans="1:19" ht="12.9">
      <c r="A774" s="117"/>
      <c r="B774" s="117"/>
      <c r="C774" s="117"/>
      <c r="D774" s="24"/>
      <c r="E774" s="24"/>
      <c r="F774" s="117"/>
      <c r="G774" s="117"/>
      <c r="H774" s="117"/>
      <c r="I774" s="117"/>
      <c r="J774" s="117"/>
      <c r="K774" s="117"/>
      <c r="L774" s="117"/>
      <c r="M774" s="117"/>
      <c r="N774" s="117"/>
      <c r="O774" s="117"/>
      <c r="P774" s="117"/>
      <c r="Q774" s="117"/>
      <c r="R774" s="117"/>
      <c r="S774" s="117"/>
    </row>
    <row r="775" spans="1:19" ht="12.9">
      <c r="A775" s="117"/>
      <c r="B775" s="117"/>
      <c r="C775" s="117"/>
      <c r="D775" s="24"/>
      <c r="E775" s="24"/>
      <c r="F775" s="117"/>
      <c r="G775" s="117"/>
      <c r="H775" s="117"/>
      <c r="I775" s="117"/>
      <c r="J775" s="117"/>
      <c r="K775" s="117"/>
      <c r="L775" s="117"/>
      <c r="M775" s="117"/>
      <c r="N775" s="117"/>
      <c r="O775" s="117"/>
      <c r="P775" s="117"/>
      <c r="Q775" s="117"/>
      <c r="R775" s="117"/>
      <c r="S775" s="117"/>
    </row>
    <row r="776" spans="1:19" ht="12.9">
      <c r="A776" s="117"/>
      <c r="B776" s="117"/>
      <c r="C776" s="117"/>
      <c r="D776" s="24"/>
      <c r="E776" s="24"/>
      <c r="F776" s="117"/>
      <c r="G776" s="117"/>
      <c r="H776" s="117"/>
      <c r="I776" s="117"/>
      <c r="J776" s="117"/>
      <c r="K776" s="117"/>
      <c r="L776" s="117"/>
      <c r="M776" s="117"/>
      <c r="N776" s="117"/>
      <c r="O776" s="117"/>
      <c r="P776" s="117"/>
      <c r="Q776" s="117"/>
      <c r="R776" s="117"/>
      <c r="S776" s="117"/>
    </row>
    <row r="777" spans="1:19" ht="12.9">
      <c r="A777" s="117"/>
      <c r="B777" s="117"/>
      <c r="C777" s="117"/>
      <c r="D777" s="24"/>
      <c r="E777" s="24"/>
      <c r="F777" s="117"/>
      <c r="G777" s="117"/>
      <c r="H777" s="117"/>
      <c r="I777" s="117"/>
      <c r="J777" s="117"/>
      <c r="K777" s="117"/>
      <c r="L777" s="117"/>
      <c r="M777" s="117"/>
      <c r="N777" s="117"/>
      <c r="O777" s="117"/>
      <c r="P777" s="117"/>
      <c r="Q777" s="117"/>
      <c r="R777" s="117"/>
      <c r="S777" s="117"/>
    </row>
    <row r="778" spans="1:19" ht="12.9">
      <c r="A778" s="117"/>
      <c r="B778" s="117"/>
      <c r="C778" s="117"/>
      <c r="D778" s="24"/>
      <c r="E778" s="24"/>
      <c r="F778" s="117"/>
      <c r="G778" s="117"/>
      <c r="H778" s="117"/>
      <c r="I778" s="117"/>
      <c r="J778" s="117"/>
      <c r="K778" s="117"/>
      <c r="L778" s="117"/>
      <c r="M778" s="117"/>
      <c r="N778" s="117"/>
      <c r="O778" s="117"/>
      <c r="P778" s="117"/>
      <c r="Q778" s="117"/>
      <c r="R778" s="117"/>
      <c r="S778" s="117"/>
    </row>
    <row r="779" spans="1:19" ht="12.9">
      <c r="A779" s="117"/>
      <c r="B779" s="117"/>
      <c r="C779" s="117"/>
      <c r="D779" s="24"/>
      <c r="E779" s="24"/>
      <c r="F779" s="117"/>
      <c r="G779" s="117"/>
      <c r="H779" s="117"/>
      <c r="I779" s="117"/>
      <c r="J779" s="117"/>
      <c r="K779" s="117"/>
      <c r="L779" s="117"/>
      <c r="M779" s="117"/>
      <c r="N779" s="117"/>
      <c r="O779" s="117"/>
      <c r="P779" s="117"/>
      <c r="Q779" s="117"/>
      <c r="R779" s="117"/>
      <c r="S779" s="117"/>
    </row>
    <row r="780" spans="1:19" ht="12.9">
      <c r="A780" s="117"/>
      <c r="B780" s="117"/>
      <c r="C780" s="117"/>
      <c r="D780" s="24"/>
      <c r="E780" s="24"/>
      <c r="F780" s="117"/>
      <c r="G780" s="117"/>
      <c r="H780" s="117"/>
      <c r="I780" s="117"/>
      <c r="J780" s="117"/>
      <c r="K780" s="117"/>
      <c r="L780" s="117"/>
      <c r="M780" s="117"/>
      <c r="N780" s="117"/>
      <c r="O780" s="117"/>
      <c r="P780" s="117"/>
      <c r="Q780" s="117"/>
      <c r="R780" s="117"/>
      <c r="S780" s="117"/>
    </row>
    <row r="781" spans="1:19" ht="12.9">
      <c r="A781" s="117"/>
      <c r="B781" s="117"/>
      <c r="C781" s="117"/>
      <c r="D781" s="24"/>
      <c r="E781" s="24"/>
      <c r="F781" s="117"/>
      <c r="G781" s="117"/>
      <c r="H781" s="117"/>
      <c r="I781" s="117"/>
      <c r="J781" s="117"/>
      <c r="K781" s="117"/>
      <c r="L781" s="117"/>
      <c r="M781" s="117"/>
      <c r="N781" s="117"/>
      <c r="O781" s="117"/>
      <c r="P781" s="117"/>
      <c r="Q781" s="117"/>
      <c r="R781" s="117"/>
      <c r="S781" s="117"/>
    </row>
    <row r="782" spans="1:19" ht="12.9">
      <c r="A782" s="117"/>
      <c r="B782" s="117"/>
      <c r="C782" s="117"/>
      <c r="D782" s="24"/>
      <c r="E782" s="24"/>
      <c r="F782" s="117"/>
      <c r="G782" s="117"/>
      <c r="H782" s="117"/>
      <c r="I782" s="117"/>
      <c r="J782" s="117"/>
      <c r="K782" s="117"/>
      <c r="L782" s="117"/>
      <c r="M782" s="117"/>
      <c r="N782" s="117"/>
      <c r="O782" s="117"/>
      <c r="P782" s="117"/>
      <c r="Q782" s="117"/>
      <c r="R782" s="117"/>
      <c r="S782" s="117"/>
    </row>
    <row r="783" spans="1:19" ht="12.9">
      <c r="A783" s="117"/>
      <c r="B783" s="117"/>
      <c r="C783" s="117"/>
      <c r="D783" s="24"/>
      <c r="E783" s="24"/>
      <c r="F783" s="117"/>
      <c r="G783" s="117"/>
      <c r="H783" s="117"/>
      <c r="I783" s="117"/>
      <c r="J783" s="117"/>
      <c r="K783" s="117"/>
      <c r="L783" s="117"/>
      <c r="M783" s="117"/>
      <c r="N783" s="117"/>
      <c r="O783" s="117"/>
      <c r="P783" s="117"/>
      <c r="Q783" s="117"/>
      <c r="R783" s="117"/>
      <c r="S783" s="117"/>
    </row>
    <row r="784" spans="1:19" ht="12.9">
      <c r="A784" s="117"/>
      <c r="B784" s="117"/>
      <c r="C784" s="117"/>
      <c r="D784" s="24"/>
      <c r="E784" s="24"/>
      <c r="F784" s="117"/>
      <c r="G784" s="117"/>
      <c r="H784" s="117"/>
      <c r="I784" s="117"/>
      <c r="J784" s="117"/>
      <c r="K784" s="117"/>
      <c r="L784" s="117"/>
      <c r="M784" s="117"/>
      <c r="N784" s="117"/>
      <c r="O784" s="117"/>
      <c r="P784" s="117"/>
      <c r="Q784" s="117"/>
      <c r="R784" s="117"/>
      <c r="S784" s="117"/>
    </row>
    <row r="785" spans="1:19" ht="12.9">
      <c r="A785" s="117"/>
      <c r="B785" s="117"/>
      <c r="C785" s="117"/>
      <c r="D785" s="24"/>
      <c r="E785" s="24"/>
      <c r="F785" s="117"/>
      <c r="G785" s="117"/>
      <c r="H785" s="117"/>
      <c r="I785" s="117"/>
      <c r="J785" s="117"/>
      <c r="K785" s="117"/>
      <c r="L785" s="117"/>
      <c r="M785" s="117"/>
      <c r="N785" s="117"/>
      <c r="O785" s="117"/>
      <c r="P785" s="117"/>
      <c r="Q785" s="117"/>
      <c r="R785" s="117"/>
      <c r="S785" s="117"/>
    </row>
    <row r="786" spans="1:19" ht="12.9">
      <c r="A786" s="117"/>
      <c r="B786" s="117"/>
      <c r="C786" s="117"/>
      <c r="D786" s="24"/>
      <c r="E786" s="24"/>
      <c r="F786" s="117"/>
      <c r="G786" s="117"/>
      <c r="H786" s="117"/>
      <c r="I786" s="117"/>
      <c r="J786" s="117"/>
      <c r="K786" s="117"/>
      <c r="L786" s="117"/>
      <c r="M786" s="117"/>
      <c r="N786" s="117"/>
      <c r="O786" s="117"/>
      <c r="P786" s="117"/>
      <c r="Q786" s="117"/>
      <c r="R786" s="117"/>
      <c r="S786" s="117"/>
    </row>
    <row r="787" spans="1:19" ht="12.9">
      <c r="A787" s="117"/>
      <c r="B787" s="117"/>
      <c r="C787" s="117"/>
      <c r="D787" s="24"/>
      <c r="E787" s="24"/>
      <c r="F787" s="117"/>
      <c r="G787" s="117"/>
      <c r="H787" s="117"/>
      <c r="I787" s="117"/>
      <c r="J787" s="117"/>
      <c r="K787" s="117"/>
      <c r="L787" s="117"/>
      <c r="M787" s="117"/>
      <c r="N787" s="117"/>
      <c r="O787" s="117"/>
      <c r="P787" s="117"/>
      <c r="Q787" s="117"/>
      <c r="R787" s="117"/>
      <c r="S787" s="117"/>
    </row>
    <row r="788" spans="1:19" ht="12.9">
      <c r="A788" s="117"/>
      <c r="B788" s="117"/>
      <c r="C788" s="117"/>
      <c r="D788" s="24"/>
      <c r="E788" s="24"/>
      <c r="F788" s="117"/>
      <c r="G788" s="117"/>
      <c r="H788" s="117"/>
      <c r="I788" s="117"/>
      <c r="J788" s="117"/>
      <c r="K788" s="117"/>
      <c r="L788" s="117"/>
      <c r="M788" s="117"/>
      <c r="N788" s="117"/>
      <c r="O788" s="117"/>
      <c r="P788" s="117"/>
      <c r="Q788" s="117"/>
      <c r="R788" s="117"/>
      <c r="S788" s="117"/>
    </row>
    <row r="789" spans="1:19" ht="12.9">
      <c r="A789" s="117"/>
      <c r="B789" s="117"/>
      <c r="C789" s="117"/>
      <c r="D789" s="24"/>
      <c r="E789" s="24"/>
      <c r="F789" s="117"/>
      <c r="G789" s="117"/>
      <c r="H789" s="117"/>
      <c r="I789" s="117"/>
      <c r="J789" s="117"/>
      <c r="K789" s="117"/>
      <c r="L789" s="117"/>
      <c r="M789" s="117"/>
      <c r="N789" s="117"/>
      <c r="O789" s="117"/>
      <c r="P789" s="117"/>
      <c r="Q789" s="117"/>
      <c r="R789" s="117"/>
      <c r="S789" s="117"/>
    </row>
    <row r="790" spans="1:19" ht="12.9">
      <c r="A790" s="117"/>
      <c r="B790" s="117"/>
      <c r="C790" s="117"/>
      <c r="D790" s="24"/>
      <c r="E790" s="24"/>
      <c r="F790" s="117"/>
      <c r="G790" s="117"/>
      <c r="H790" s="117"/>
      <c r="I790" s="117"/>
      <c r="J790" s="117"/>
      <c r="K790" s="117"/>
      <c r="L790" s="117"/>
      <c r="M790" s="117"/>
      <c r="N790" s="117"/>
      <c r="O790" s="117"/>
      <c r="P790" s="117"/>
      <c r="Q790" s="117"/>
      <c r="R790" s="117"/>
      <c r="S790" s="117"/>
    </row>
    <row r="791" spans="1:19" ht="12.9">
      <c r="A791" s="117"/>
      <c r="B791" s="117"/>
      <c r="C791" s="117"/>
      <c r="D791" s="24"/>
      <c r="E791" s="24"/>
      <c r="F791" s="117"/>
      <c r="G791" s="117"/>
      <c r="H791" s="117"/>
      <c r="I791" s="117"/>
      <c r="J791" s="117"/>
      <c r="K791" s="117"/>
      <c r="L791" s="117"/>
      <c r="M791" s="117"/>
      <c r="N791" s="117"/>
      <c r="O791" s="117"/>
      <c r="P791" s="117"/>
      <c r="Q791" s="117"/>
      <c r="R791" s="117"/>
      <c r="S791" s="117"/>
    </row>
    <row r="792" spans="1:19" ht="12.9">
      <c r="A792" s="117"/>
      <c r="B792" s="117"/>
      <c r="C792" s="117"/>
      <c r="D792" s="24"/>
      <c r="E792" s="24"/>
      <c r="F792" s="117"/>
      <c r="G792" s="117"/>
      <c r="H792" s="117"/>
      <c r="I792" s="117"/>
      <c r="J792" s="117"/>
      <c r="K792" s="117"/>
      <c r="L792" s="117"/>
      <c r="M792" s="117"/>
      <c r="N792" s="117"/>
      <c r="O792" s="117"/>
      <c r="P792" s="117"/>
      <c r="Q792" s="117"/>
      <c r="R792" s="117"/>
      <c r="S792" s="117"/>
    </row>
    <row r="793" spans="1:19" ht="12.9">
      <c r="A793" s="117"/>
      <c r="B793" s="117"/>
      <c r="C793" s="117"/>
      <c r="D793" s="24"/>
      <c r="E793" s="24"/>
      <c r="F793" s="117"/>
      <c r="G793" s="117"/>
      <c r="H793" s="117"/>
      <c r="I793" s="117"/>
      <c r="J793" s="117"/>
      <c r="K793" s="117"/>
      <c r="L793" s="117"/>
      <c r="M793" s="117"/>
      <c r="N793" s="117"/>
      <c r="O793" s="117"/>
      <c r="P793" s="117"/>
      <c r="Q793" s="117"/>
      <c r="R793" s="117"/>
      <c r="S793" s="117"/>
    </row>
    <row r="794" spans="1:19" ht="12.9">
      <c r="A794" s="117"/>
      <c r="B794" s="117"/>
      <c r="C794" s="117"/>
      <c r="D794" s="24"/>
      <c r="E794" s="24"/>
      <c r="F794" s="117"/>
      <c r="G794" s="117"/>
      <c r="H794" s="117"/>
      <c r="I794" s="117"/>
      <c r="J794" s="117"/>
      <c r="K794" s="117"/>
      <c r="L794" s="117"/>
      <c r="M794" s="117"/>
      <c r="N794" s="117"/>
      <c r="O794" s="117"/>
      <c r="P794" s="117"/>
      <c r="Q794" s="117"/>
      <c r="R794" s="117"/>
      <c r="S794" s="117"/>
    </row>
    <row r="795" spans="1:19" ht="12.9">
      <c r="A795" s="117"/>
      <c r="B795" s="117"/>
      <c r="C795" s="117"/>
      <c r="D795" s="24"/>
      <c r="E795" s="24"/>
      <c r="F795" s="117"/>
      <c r="G795" s="117"/>
      <c r="H795" s="117"/>
      <c r="I795" s="117"/>
      <c r="J795" s="117"/>
      <c r="K795" s="117"/>
      <c r="L795" s="117"/>
      <c r="M795" s="117"/>
      <c r="N795" s="117"/>
      <c r="O795" s="117"/>
      <c r="P795" s="117"/>
      <c r="Q795" s="117"/>
      <c r="R795" s="117"/>
      <c r="S795" s="117"/>
    </row>
    <row r="796" spans="1:19" ht="12.9">
      <c r="A796" s="117"/>
      <c r="B796" s="117"/>
      <c r="C796" s="117"/>
      <c r="D796" s="24"/>
      <c r="E796" s="24"/>
      <c r="F796" s="117"/>
      <c r="G796" s="117"/>
      <c r="H796" s="117"/>
      <c r="I796" s="117"/>
      <c r="J796" s="117"/>
      <c r="K796" s="117"/>
      <c r="L796" s="117"/>
      <c r="M796" s="117"/>
      <c r="N796" s="117"/>
      <c r="O796" s="117"/>
      <c r="P796" s="117"/>
      <c r="Q796" s="117"/>
      <c r="R796" s="117"/>
      <c r="S796" s="117"/>
    </row>
    <row r="797" spans="1:19" ht="12.9">
      <c r="A797" s="117"/>
      <c r="B797" s="117"/>
      <c r="C797" s="117"/>
      <c r="D797" s="24"/>
      <c r="E797" s="24"/>
      <c r="F797" s="117"/>
      <c r="G797" s="117"/>
      <c r="H797" s="117"/>
      <c r="I797" s="117"/>
      <c r="J797" s="117"/>
      <c r="K797" s="117"/>
      <c r="L797" s="117"/>
      <c r="M797" s="117"/>
      <c r="N797" s="117"/>
      <c r="O797" s="117"/>
      <c r="P797" s="117"/>
      <c r="Q797" s="117"/>
      <c r="R797" s="117"/>
      <c r="S797" s="117"/>
    </row>
    <row r="798" spans="1:19" ht="12.9">
      <c r="A798" s="117"/>
      <c r="B798" s="117"/>
      <c r="C798" s="117"/>
      <c r="D798" s="24"/>
      <c r="E798" s="24"/>
      <c r="F798" s="117"/>
      <c r="G798" s="117"/>
      <c r="H798" s="117"/>
      <c r="I798" s="117"/>
      <c r="J798" s="117"/>
      <c r="K798" s="117"/>
      <c r="L798" s="117"/>
      <c r="M798" s="117"/>
      <c r="N798" s="117"/>
      <c r="O798" s="117"/>
      <c r="P798" s="117"/>
      <c r="Q798" s="117"/>
      <c r="R798" s="117"/>
      <c r="S798" s="117"/>
    </row>
    <row r="799" spans="1:19" ht="12.9">
      <c r="A799" s="117"/>
      <c r="B799" s="117"/>
      <c r="C799" s="117"/>
      <c r="D799" s="24"/>
      <c r="E799" s="24"/>
      <c r="F799" s="117"/>
      <c r="G799" s="117"/>
      <c r="H799" s="117"/>
      <c r="I799" s="117"/>
      <c r="J799" s="117"/>
      <c r="K799" s="117"/>
      <c r="L799" s="117"/>
      <c r="M799" s="117"/>
      <c r="N799" s="117"/>
      <c r="O799" s="117"/>
      <c r="P799" s="117"/>
      <c r="Q799" s="117"/>
      <c r="R799" s="117"/>
      <c r="S799" s="117"/>
    </row>
    <row r="800" spans="1:19" ht="12.9">
      <c r="A800" s="117"/>
      <c r="B800" s="117"/>
      <c r="C800" s="117"/>
      <c r="D800" s="24"/>
      <c r="E800" s="24"/>
      <c r="F800" s="117"/>
      <c r="G800" s="117"/>
      <c r="H800" s="117"/>
      <c r="I800" s="117"/>
      <c r="J800" s="117"/>
      <c r="K800" s="117"/>
      <c r="L800" s="117"/>
      <c r="M800" s="117"/>
      <c r="N800" s="117"/>
      <c r="O800" s="117"/>
      <c r="P800" s="117"/>
      <c r="Q800" s="117"/>
      <c r="R800" s="117"/>
      <c r="S800" s="117"/>
    </row>
    <row r="801" spans="1:19" ht="12.9">
      <c r="A801" s="117"/>
      <c r="B801" s="117"/>
      <c r="C801" s="117"/>
      <c r="D801" s="24"/>
      <c r="E801" s="24"/>
      <c r="F801" s="117"/>
      <c r="G801" s="117"/>
      <c r="H801" s="117"/>
      <c r="I801" s="117"/>
      <c r="J801" s="117"/>
      <c r="K801" s="117"/>
      <c r="L801" s="117"/>
      <c r="M801" s="117"/>
      <c r="N801" s="117"/>
      <c r="O801" s="117"/>
      <c r="P801" s="117"/>
      <c r="Q801" s="117"/>
      <c r="R801" s="117"/>
      <c r="S801" s="117"/>
    </row>
    <row r="802" spans="1:19" ht="12.9">
      <c r="A802" s="117"/>
      <c r="B802" s="117"/>
      <c r="C802" s="117"/>
      <c r="D802" s="24"/>
      <c r="E802" s="24"/>
      <c r="F802" s="117"/>
      <c r="G802" s="117"/>
      <c r="H802" s="117"/>
      <c r="I802" s="117"/>
      <c r="J802" s="117"/>
      <c r="K802" s="117"/>
      <c r="L802" s="117"/>
      <c r="M802" s="117"/>
      <c r="N802" s="117"/>
      <c r="O802" s="117"/>
      <c r="P802" s="117"/>
      <c r="Q802" s="117"/>
      <c r="R802" s="117"/>
      <c r="S802" s="117"/>
    </row>
    <row r="803" spans="1:19" ht="12.9">
      <c r="A803" s="117"/>
      <c r="B803" s="117"/>
      <c r="C803" s="117"/>
      <c r="D803" s="24"/>
      <c r="E803" s="24"/>
      <c r="F803" s="117"/>
      <c r="G803" s="117"/>
      <c r="H803" s="117"/>
      <c r="I803" s="117"/>
      <c r="J803" s="117"/>
      <c r="K803" s="117"/>
      <c r="L803" s="117"/>
      <c r="M803" s="117"/>
      <c r="N803" s="117"/>
      <c r="O803" s="117"/>
      <c r="P803" s="117"/>
      <c r="Q803" s="117"/>
      <c r="R803" s="117"/>
      <c r="S803" s="117"/>
    </row>
    <row r="804" spans="1:19" ht="12.9">
      <c r="A804" s="117"/>
      <c r="B804" s="117"/>
      <c r="C804" s="117"/>
      <c r="D804" s="24"/>
      <c r="E804" s="24"/>
      <c r="F804" s="117"/>
      <c r="G804" s="117"/>
      <c r="H804" s="117"/>
      <c r="I804" s="117"/>
      <c r="J804" s="117"/>
      <c r="K804" s="117"/>
      <c r="L804" s="117"/>
      <c r="M804" s="117"/>
      <c r="N804" s="117"/>
      <c r="O804" s="117"/>
      <c r="P804" s="117"/>
      <c r="Q804" s="117"/>
      <c r="R804" s="117"/>
      <c r="S804" s="117"/>
    </row>
    <row r="805" spans="1:19" ht="12.9">
      <c r="A805" s="117"/>
      <c r="B805" s="117"/>
      <c r="C805" s="117"/>
      <c r="D805" s="24"/>
      <c r="E805" s="24"/>
      <c r="F805" s="117"/>
      <c r="G805" s="117"/>
      <c r="H805" s="117"/>
      <c r="I805" s="117"/>
      <c r="J805" s="117"/>
      <c r="K805" s="117"/>
      <c r="L805" s="117"/>
      <c r="M805" s="117"/>
      <c r="N805" s="117"/>
      <c r="O805" s="117"/>
      <c r="P805" s="117"/>
      <c r="Q805" s="117"/>
      <c r="R805" s="117"/>
      <c r="S805" s="117"/>
    </row>
    <row r="806" spans="1:19" ht="12.9">
      <c r="A806" s="117"/>
      <c r="B806" s="117"/>
      <c r="C806" s="117"/>
      <c r="D806" s="24"/>
      <c r="E806" s="24"/>
      <c r="F806" s="117"/>
      <c r="G806" s="117"/>
      <c r="H806" s="117"/>
      <c r="I806" s="117"/>
      <c r="J806" s="117"/>
      <c r="K806" s="117"/>
      <c r="L806" s="117"/>
      <c r="M806" s="117"/>
      <c r="N806" s="117"/>
      <c r="O806" s="117"/>
      <c r="P806" s="117"/>
      <c r="Q806" s="117"/>
      <c r="R806" s="117"/>
      <c r="S806" s="117"/>
    </row>
    <row r="807" spans="1:19" ht="12.9">
      <c r="A807" s="117"/>
      <c r="B807" s="117"/>
      <c r="C807" s="117"/>
      <c r="D807" s="24"/>
      <c r="E807" s="24"/>
      <c r="F807" s="117"/>
      <c r="G807" s="117"/>
      <c r="H807" s="117"/>
      <c r="I807" s="117"/>
      <c r="J807" s="117"/>
      <c r="K807" s="117"/>
      <c r="L807" s="117"/>
      <c r="M807" s="117"/>
      <c r="N807" s="117"/>
      <c r="O807" s="117"/>
      <c r="P807" s="117"/>
      <c r="Q807" s="117"/>
      <c r="R807" s="117"/>
      <c r="S807" s="117"/>
    </row>
    <row r="808" spans="1:19" ht="12.9">
      <c r="A808" s="117"/>
      <c r="B808" s="117"/>
      <c r="C808" s="117"/>
      <c r="D808" s="24"/>
      <c r="E808" s="24"/>
      <c r="F808" s="117"/>
      <c r="G808" s="117"/>
      <c r="H808" s="117"/>
      <c r="I808" s="117"/>
      <c r="J808" s="117"/>
      <c r="K808" s="117"/>
      <c r="L808" s="117"/>
      <c r="M808" s="117"/>
      <c r="N808" s="117"/>
      <c r="O808" s="117"/>
      <c r="P808" s="117"/>
      <c r="Q808" s="117"/>
      <c r="R808" s="117"/>
      <c r="S808" s="117"/>
    </row>
    <row r="809" spans="1:19" ht="12.9">
      <c r="A809" s="117"/>
      <c r="B809" s="117"/>
      <c r="C809" s="117"/>
      <c r="D809" s="24"/>
      <c r="E809" s="24"/>
      <c r="F809" s="117"/>
      <c r="G809" s="117"/>
      <c r="H809" s="117"/>
      <c r="I809" s="117"/>
      <c r="J809" s="117"/>
      <c r="K809" s="117"/>
      <c r="L809" s="117"/>
      <c r="M809" s="117"/>
      <c r="N809" s="117"/>
      <c r="O809" s="117"/>
      <c r="P809" s="117"/>
      <c r="Q809" s="117"/>
      <c r="R809" s="117"/>
      <c r="S809" s="117"/>
    </row>
    <row r="810" spans="1:19" ht="12.9">
      <c r="A810" s="117"/>
      <c r="B810" s="117"/>
      <c r="C810" s="117"/>
      <c r="D810" s="24"/>
      <c r="E810" s="24"/>
      <c r="F810" s="117"/>
      <c r="G810" s="117"/>
      <c r="H810" s="117"/>
      <c r="I810" s="117"/>
      <c r="J810" s="117"/>
      <c r="K810" s="117"/>
      <c r="L810" s="117"/>
      <c r="M810" s="117"/>
      <c r="N810" s="117"/>
      <c r="O810" s="117"/>
      <c r="P810" s="117"/>
      <c r="Q810" s="117"/>
      <c r="R810" s="117"/>
      <c r="S810" s="117"/>
    </row>
    <row r="811" spans="1:19" ht="12.9">
      <c r="A811" s="117"/>
      <c r="B811" s="117"/>
      <c r="C811" s="117"/>
      <c r="D811" s="24"/>
      <c r="E811" s="24"/>
      <c r="F811" s="117"/>
      <c r="G811" s="117"/>
      <c r="H811" s="117"/>
      <c r="I811" s="117"/>
      <c r="J811" s="117"/>
      <c r="K811" s="117"/>
      <c r="L811" s="117"/>
      <c r="M811" s="117"/>
      <c r="N811" s="117"/>
      <c r="O811" s="117"/>
      <c r="P811" s="117"/>
      <c r="Q811" s="117"/>
      <c r="R811" s="117"/>
      <c r="S811" s="117"/>
    </row>
    <row r="812" spans="1:19" ht="12.9">
      <c r="A812" s="117"/>
      <c r="B812" s="117"/>
      <c r="C812" s="117"/>
      <c r="D812" s="24"/>
      <c r="E812" s="24"/>
      <c r="F812" s="117"/>
      <c r="G812" s="117"/>
      <c r="H812" s="117"/>
      <c r="I812" s="117"/>
      <c r="J812" s="117"/>
      <c r="K812" s="117"/>
      <c r="L812" s="117"/>
      <c r="M812" s="117"/>
      <c r="N812" s="117"/>
      <c r="O812" s="117"/>
      <c r="P812" s="117"/>
      <c r="Q812" s="117"/>
      <c r="R812" s="117"/>
      <c r="S812" s="117"/>
    </row>
    <row r="813" spans="1:19" ht="12.9">
      <c r="A813" s="117"/>
      <c r="B813" s="117"/>
      <c r="C813" s="117"/>
      <c r="D813" s="24"/>
      <c r="E813" s="24"/>
      <c r="F813" s="117"/>
      <c r="G813" s="117"/>
      <c r="H813" s="117"/>
      <c r="I813" s="117"/>
      <c r="J813" s="117"/>
      <c r="K813" s="117"/>
      <c r="L813" s="117"/>
      <c r="M813" s="117"/>
      <c r="N813" s="117"/>
      <c r="O813" s="117"/>
      <c r="P813" s="117"/>
      <c r="Q813" s="117"/>
      <c r="R813" s="117"/>
      <c r="S813" s="117"/>
    </row>
    <row r="814" spans="1:19" ht="12.9">
      <c r="A814" s="117"/>
      <c r="B814" s="117"/>
      <c r="C814" s="117"/>
      <c r="D814" s="24"/>
      <c r="E814" s="24"/>
      <c r="F814" s="117"/>
      <c r="G814" s="117"/>
      <c r="H814" s="117"/>
      <c r="I814" s="117"/>
      <c r="J814" s="117"/>
      <c r="K814" s="117"/>
      <c r="L814" s="117"/>
      <c r="M814" s="117"/>
      <c r="N814" s="117"/>
      <c r="O814" s="117"/>
      <c r="P814" s="117"/>
      <c r="Q814" s="117"/>
      <c r="R814" s="117"/>
      <c r="S814" s="117"/>
    </row>
    <row r="815" spans="1:19" ht="12.9">
      <c r="A815" s="117"/>
      <c r="B815" s="117"/>
      <c r="C815" s="117"/>
      <c r="D815" s="24"/>
      <c r="E815" s="24"/>
      <c r="F815" s="117"/>
      <c r="G815" s="117"/>
      <c r="H815" s="117"/>
      <c r="I815" s="117"/>
      <c r="J815" s="117"/>
      <c r="K815" s="117"/>
      <c r="L815" s="117"/>
      <c r="M815" s="117"/>
      <c r="N815" s="117"/>
      <c r="O815" s="117"/>
      <c r="P815" s="117"/>
      <c r="Q815" s="117"/>
      <c r="R815" s="117"/>
      <c r="S815" s="117"/>
    </row>
    <row r="816" spans="1:19" ht="12.9">
      <c r="A816" s="117"/>
      <c r="B816" s="117"/>
      <c r="C816" s="117"/>
      <c r="D816" s="24"/>
      <c r="E816" s="24"/>
      <c r="F816" s="117"/>
      <c r="G816" s="117"/>
      <c r="H816" s="117"/>
      <c r="I816" s="117"/>
      <c r="J816" s="117"/>
      <c r="K816" s="117"/>
      <c r="L816" s="117"/>
      <c r="M816" s="117"/>
      <c r="N816" s="117"/>
      <c r="O816" s="117"/>
      <c r="P816" s="117"/>
      <c r="Q816" s="117"/>
      <c r="R816" s="117"/>
      <c r="S816" s="117"/>
    </row>
    <row r="817" spans="1:19" ht="12.9">
      <c r="A817" s="117"/>
      <c r="B817" s="117"/>
      <c r="C817" s="117"/>
      <c r="D817" s="24"/>
      <c r="E817" s="24"/>
      <c r="F817" s="117"/>
      <c r="G817" s="117"/>
      <c r="H817" s="117"/>
      <c r="I817" s="117"/>
      <c r="J817" s="117"/>
      <c r="K817" s="117"/>
      <c r="L817" s="117"/>
      <c r="M817" s="117"/>
      <c r="N817" s="117"/>
      <c r="O817" s="117"/>
      <c r="P817" s="117"/>
      <c r="Q817" s="117"/>
      <c r="R817" s="117"/>
      <c r="S817" s="117"/>
    </row>
    <row r="818" spans="1:19" ht="12.9">
      <c r="A818" s="117"/>
      <c r="B818" s="117"/>
      <c r="C818" s="117"/>
      <c r="D818" s="24"/>
      <c r="E818" s="24"/>
      <c r="F818" s="117"/>
      <c r="G818" s="117"/>
      <c r="H818" s="117"/>
      <c r="I818" s="117"/>
      <c r="J818" s="117"/>
      <c r="K818" s="117"/>
      <c r="L818" s="117"/>
      <c r="M818" s="117"/>
      <c r="N818" s="117"/>
      <c r="O818" s="117"/>
      <c r="P818" s="117"/>
      <c r="Q818" s="117"/>
      <c r="R818" s="117"/>
      <c r="S818" s="117"/>
    </row>
    <row r="819" spans="1:19" ht="12.9">
      <c r="A819" s="117"/>
      <c r="B819" s="117"/>
      <c r="C819" s="117"/>
      <c r="D819" s="24"/>
      <c r="E819" s="24"/>
      <c r="F819" s="117"/>
      <c r="G819" s="117"/>
      <c r="H819" s="117"/>
      <c r="I819" s="117"/>
      <c r="J819" s="117"/>
      <c r="K819" s="117"/>
      <c r="L819" s="117"/>
      <c r="M819" s="117"/>
      <c r="N819" s="117"/>
      <c r="O819" s="117"/>
      <c r="P819" s="117"/>
      <c r="Q819" s="117"/>
      <c r="R819" s="117"/>
      <c r="S819" s="117"/>
    </row>
    <row r="820" spans="1:19" ht="12.9">
      <c r="A820" s="117"/>
      <c r="B820" s="117"/>
      <c r="C820" s="117"/>
      <c r="D820" s="24"/>
      <c r="E820" s="24"/>
      <c r="F820" s="117"/>
      <c r="G820" s="117"/>
      <c r="H820" s="117"/>
      <c r="I820" s="117"/>
      <c r="J820" s="117"/>
      <c r="K820" s="117"/>
      <c r="L820" s="117"/>
      <c r="M820" s="117"/>
      <c r="N820" s="117"/>
      <c r="O820" s="117"/>
      <c r="P820" s="117"/>
      <c r="Q820" s="117"/>
      <c r="R820" s="117"/>
      <c r="S820" s="117"/>
    </row>
    <row r="821" spans="1:19" ht="12.9">
      <c r="A821" s="117"/>
      <c r="B821" s="117"/>
      <c r="C821" s="117"/>
      <c r="D821" s="24"/>
      <c r="E821" s="24"/>
      <c r="F821" s="117"/>
      <c r="G821" s="117"/>
      <c r="H821" s="117"/>
      <c r="I821" s="117"/>
      <c r="J821" s="117"/>
      <c r="K821" s="117"/>
      <c r="L821" s="117"/>
      <c r="M821" s="117"/>
      <c r="N821" s="117"/>
      <c r="O821" s="117"/>
      <c r="P821" s="117"/>
      <c r="Q821" s="117"/>
      <c r="R821" s="117"/>
      <c r="S821" s="117"/>
    </row>
    <row r="822" spans="1:19" ht="12.9">
      <c r="A822" s="117"/>
      <c r="B822" s="117"/>
      <c r="C822" s="117"/>
      <c r="D822" s="24"/>
      <c r="E822" s="24"/>
      <c r="F822" s="117"/>
      <c r="G822" s="117"/>
      <c r="H822" s="117"/>
      <c r="I822" s="117"/>
      <c r="J822" s="117"/>
      <c r="K822" s="117"/>
      <c r="L822" s="117"/>
      <c r="M822" s="117"/>
      <c r="N822" s="117"/>
      <c r="O822" s="117"/>
      <c r="P822" s="117"/>
      <c r="Q822" s="117"/>
      <c r="R822" s="117"/>
      <c r="S822" s="117"/>
    </row>
    <row r="823" spans="1:19" ht="12.9">
      <c r="A823" s="117"/>
      <c r="B823" s="117"/>
      <c r="C823" s="117"/>
      <c r="D823" s="24"/>
      <c r="E823" s="24"/>
      <c r="F823" s="117"/>
      <c r="G823" s="117"/>
      <c r="H823" s="117"/>
      <c r="I823" s="117"/>
      <c r="J823" s="117"/>
      <c r="K823" s="117"/>
      <c r="L823" s="117"/>
      <c r="M823" s="117"/>
      <c r="N823" s="117"/>
      <c r="O823" s="117"/>
      <c r="P823" s="117"/>
      <c r="Q823" s="117"/>
      <c r="R823" s="117"/>
      <c r="S823" s="117"/>
    </row>
    <row r="824" spans="1:19" ht="12.9">
      <c r="A824" s="117"/>
      <c r="B824" s="117"/>
      <c r="C824" s="117"/>
      <c r="D824" s="24"/>
      <c r="E824" s="24"/>
      <c r="F824" s="117"/>
      <c r="G824" s="117"/>
      <c r="H824" s="117"/>
      <c r="I824" s="117"/>
      <c r="J824" s="117"/>
      <c r="K824" s="117"/>
      <c r="L824" s="117"/>
      <c r="M824" s="117"/>
      <c r="N824" s="117"/>
      <c r="O824" s="117"/>
      <c r="P824" s="117"/>
      <c r="Q824" s="117"/>
      <c r="R824" s="117"/>
      <c r="S824" s="117"/>
    </row>
    <row r="825" spans="1:19" ht="12.9">
      <c r="A825" s="117"/>
      <c r="B825" s="117"/>
      <c r="C825" s="117"/>
      <c r="D825" s="24"/>
      <c r="E825" s="24"/>
      <c r="F825" s="117"/>
      <c r="G825" s="117"/>
      <c r="H825" s="117"/>
      <c r="I825" s="117"/>
      <c r="J825" s="117"/>
      <c r="K825" s="117"/>
      <c r="L825" s="117"/>
      <c r="M825" s="117"/>
      <c r="N825" s="117"/>
      <c r="O825" s="117"/>
      <c r="P825" s="117"/>
      <c r="Q825" s="117"/>
      <c r="R825" s="117"/>
      <c r="S825" s="117"/>
    </row>
    <row r="826" spans="1:19" ht="12.9">
      <c r="A826" s="117"/>
      <c r="B826" s="117"/>
      <c r="C826" s="117"/>
      <c r="D826" s="24"/>
      <c r="E826" s="24"/>
      <c r="F826" s="117"/>
      <c r="G826" s="117"/>
      <c r="H826" s="117"/>
      <c r="I826" s="117"/>
      <c r="J826" s="117"/>
      <c r="K826" s="117"/>
      <c r="L826" s="117"/>
      <c r="M826" s="117"/>
      <c r="N826" s="117"/>
      <c r="O826" s="117"/>
      <c r="P826" s="117"/>
      <c r="Q826" s="117"/>
      <c r="R826" s="117"/>
      <c r="S826" s="117"/>
    </row>
    <row r="827" spans="1:19" ht="12.9">
      <c r="A827" s="117"/>
      <c r="B827" s="117"/>
      <c r="C827" s="117"/>
      <c r="D827" s="24"/>
      <c r="E827" s="24"/>
      <c r="F827" s="117"/>
      <c r="G827" s="117"/>
      <c r="H827" s="117"/>
      <c r="I827" s="117"/>
      <c r="J827" s="117"/>
      <c r="K827" s="117"/>
      <c r="L827" s="117"/>
      <c r="M827" s="117"/>
      <c r="N827" s="117"/>
      <c r="O827" s="117"/>
      <c r="P827" s="117"/>
      <c r="Q827" s="117"/>
      <c r="R827" s="117"/>
      <c r="S827" s="117"/>
    </row>
    <row r="828" spans="1:19" ht="12.9">
      <c r="A828" s="117"/>
      <c r="B828" s="117"/>
      <c r="C828" s="117"/>
      <c r="D828" s="24"/>
      <c r="E828" s="24"/>
      <c r="F828" s="117"/>
      <c r="G828" s="117"/>
      <c r="H828" s="117"/>
      <c r="I828" s="117"/>
      <c r="J828" s="117"/>
      <c r="K828" s="117"/>
      <c r="L828" s="117"/>
      <c r="M828" s="117"/>
      <c r="N828" s="117"/>
      <c r="O828" s="117"/>
      <c r="P828" s="117"/>
      <c r="Q828" s="117"/>
      <c r="R828" s="117"/>
      <c r="S828" s="117"/>
    </row>
    <row r="829" spans="1:19" ht="12.9">
      <c r="A829" s="117"/>
      <c r="B829" s="117"/>
      <c r="C829" s="117"/>
      <c r="D829" s="24"/>
      <c r="E829" s="24"/>
      <c r="F829" s="117"/>
      <c r="G829" s="117"/>
      <c r="H829" s="117"/>
      <c r="I829" s="117"/>
      <c r="J829" s="117"/>
      <c r="K829" s="117"/>
      <c r="L829" s="117"/>
      <c r="M829" s="117"/>
      <c r="N829" s="117"/>
      <c r="O829" s="117"/>
      <c r="P829" s="117"/>
      <c r="Q829" s="117"/>
      <c r="R829" s="117"/>
      <c r="S829" s="117"/>
    </row>
    <row r="830" spans="1:19" ht="12.9">
      <c r="A830" s="117"/>
      <c r="B830" s="117"/>
      <c r="C830" s="117"/>
      <c r="D830" s="24"/>
      <c r="E830" s="24"/>
      <c r="F830" s="117"/>
      <c r="G830" s="117"/>
      <c r="H830" s="117"/>
      <c r="I830" s="117"/>
      <c r="J830" s="117"/>
      <c r="K830" s="117"/>
      <c r="L830" s="117"/>
      <c r="M830" s="117"/>
      <c r="N830" s="117"/>
      <c r="O830" s="117"/>
      <c r="P830" s="117"/>
      <c r="Q830" s="117"/>
      <c r="R830" s="117"/>
      <c r="S830" s="117"/>
    </row>
    <row r="831" spans="1:19" ht="12.9">
      <c r="A831" s="117"/>
      <c r="B831" s="117"/>
      <c r="C831" s="117"/>
      <c r="D831" s="24"/>
      <c r="E831" s="24"/>
      <c r="F831" s="117"/>
      <c r="G831" s="117"/>
      <c r="H831" s="117"/>
      <c r="I831" s="117"/>
      <c r="J831" s="117"/>
      <c r="K831" s="117"/>
      <c r="L831" s="117"/>
      <c r="M831" s="117"/>
      <c r="N831" s="117"/>
      <c r="O831" s="117"/>
      <c r="P831" s="117"/>
      <c r="Q831" s="117"/>
      <c r="R831" s="117"/>
      <c r="S831" s="117"/>
    </row>
    <row r="832" spans="1:19" ht="12.9">
      <c r="A832" s="117"/>
      <c r="B832" s="117"/>
      <c r="C832" s="117"/>
      <c r="D832" s="24"/>
      <c r="E832" s="24"/>
      <c r="F832" s="117"/>
      <c r="G832" s="117"/>
      <c r="H832" s="117"/>
      <c r="I832" s="117"/>
      <c r="J832" s="117"/>
      <c r="K832" s="117"/>
      <c r="L832" s="117"/>
      <c r="M832" s="117"/>
      <c r="N832" s="117"/>
      <c r="O832" s="117"/>
      <c r="P832" s="117"/>
      <c r="Q832" s="117"/>
      <c r="R832" s="117"/>
      <c r="S832" s="117"/>
    </row>
    <row r="833" spans="1:19" ht="12.9">
      <c r="A833" s="117"/>
      <c r="B833" s="117"/>
      <c r="C833" s="117"/>
      <c r="D833" s="24"/>
      <c r="E833" s="24"/>
      <c r="F833" s="117"/>
      <c r="G833" s="117"/>
      <c r="H833" s="117"/>
      <c r="I833" s="117"/>
      <c r="J833" s="117"/>
      <c r="K833" s="117"/>
      <c r="L833" s="117"/>
      <c r="M833" s="117"/>
      <c r="N833" s="117"/>
      <c r="O833" s="117"/>
      <c r="P833" s="117"/>
      <c r="Q833" s="117"/>
      <c r="R833" s="117"/>
      <c r="S833" s="117"/>
    </row>
    <row r="834" spans="1:19" ht="12.9">
      <c r="A834" s="117"/>
      <c r="B834" s="117"/>
      <c r="C834" s="117"/>
      <c r="D834" s="24"/>
      <c r="E834" s="24"/>
      <c r="F834" s="117"/>
      <c r="G834" s="117"/>
      <c r="H834" s="117"/>
      <c r="I834" s="117"/>
      <c r="J834" s="117"/>
      <c r="K834" s="117"/>
      <c r="L834" s="117"/>
      <c r="M834" s="117"/>
      <c r="N834" s="117"/>
      <c r="O834" s="117"/>
      <c r="P834" s="117"/>
      <c r="Q834" s="117"/>
      <c r="R834" s="117"/>
      <c r="S834" s="117"/>
    </row>
    <row r="835" spans="1:19" ht="12.9">
      <c r="A835" s="117"/>
      <c r="B835" s="117"/>
      <c r="C835" s="117"/>
      <c r="D835" s="24"/>
      <c r="E835" s="24"/>
      <c r="F835" s="117"/>
      <c r="G835" s="117"/>
      <c r="H835" s="117"/>
      <c r="I835" s="117"/>
      <c r="J835" s="117"/>
      <c r="K835" s="117"/>
      <c r="L835" s="117"/>
      <c r="M835" s="117"/>
      <c r="N835" s="117"/>
      <c r="O835" s="117"/>
      <c r="P835" s="117"/>
      <c r="Q835" s="117"/>
      <c r="R835" s="117"/>
      <c r="S835" s="117"/>
    </row>
    <row r="836" spans="1:19" ht="12.9">
      <c r="A836" s="117"/>
      <c r="B836" s="117"/>
      <c r="C836" s="117"/>
      <c r="D836" s="24"/>
      <c r="E836" s="24"/>
      <c r="F836" s="117"/>
      <c r="G836" s="117"/>
      <c r="H836" s="117"/>
      <c r="I836" s="117"/>
      <c r="J836" s="117"/>
      <c r="K836" s="117"/>
      <c r="L836" s="117"/>
      <c r="M836" s="117"/>
      <c r="N836" s="117"/>
      <c r="O836" s="117"/>
      <c r="P836" s="117"/>
      <c r="Q836" s="117"/>
      <c r="R836" s="117"/>
      <c r="S836" s="117"/>
    </row>
    <row r="837" spans="1:19" ht="12.9">
      <c r="A837" s="117"/>
      <c r="B837" s="117"/>
      <c r="C837" s="117"/>
      <c r="D837" s="24"/>
      <c r="E837" s="24"/>
      <c r="F837" s="117"/>
      <c r="G837" s="117"/>
      <c r="H837" s="117"/>
      <c r="I837" s="117"/>
      <c r="J837" s="117"/>
      <c r="K837" s="117"/>
      <c r="L837" s="117"/>
      <c r="M837" s="117"/>
      <c r="N837" s="117"/>
      <c r="O837" s="117"/>
      <c r="P837" s="117"/>
      <c r="Q837" s="117"/>
      <c r="R837" s="117"/>
      <c r="S837" s="117"/>
    </row>
    <row r="838" spans="1:19" ht="12.9">
      <c r="A838" s="117"/>
      <c r="B838" s="117"/>
      <c r="C838" s="117"/>
      <c r="D838" s="24"/>
      <c r="E838" s="24"/>
      <c r="F838" s="117"/>
      <c r="G838" s="117"/>
      <c r="H838" s="117"/>
      <c r="I838" s="117"/>
      <c r="J838" s="117"/>
      <c r="K838" s="117"/>
      <c r="L838" s="117"/>
      <c r="M838" s="117"/>
      <c r="N838" s="117"/>
      <c r="O838" s="117"/>
      <c r="P838" s="117"/>
      <c r="Q838" s="117"/>
      <c r="R838" s="117"/>
      <c r="S838" s="117"/>
    </row>
    <row r="839" spans="1:19" ht="12.9">
      <c r="A839" s="117"/>
      <c r="B839" s="117"/>
      <c r="C839" s="117"/>
      <c r="D839" s="24"/>
      <c r="E839" s="24"/>
      <c r="F839" s="117"/>
      <c r="G839" s="117"/>
      <c r="H839" s="117"/>
      <c r="I839" s="117"/>
      <c r="J839" s="117"/>
      <c r="K839" s="117"/>
      <c r="L839" s="117"/>
      <c r="M839" s="117"/>
      <c r="N839" s="117"/>
      <c r="O839" s="117"/>
      <c r="P839" s="117"/>
      <c r="Q839" s="117"/>
      <c r="R839" s="117"/>
      <c r="S839" s="117"/>
    </row>
    <row r="840" spans="1:19" ht="12.9">
      <c r="A840" s="117"/>
      <c r="B840" s="117"/>
      <c r="C840" s="117"/>
      <c r="D840" s="24"/>
      <c r="E840" s="24"/>
      <c r="F840" s="117"/>
      <c r="G840" s="117"/>
      <c r="H840" s="117"/>
      <c r="I840" s="117"/>
      <c r="J840" s="117"/>
      <c r="K840" s="117"/>
      <c r="L840" s="117"/>
      <c r="M840" s="117"/>
      <c r="N840" s="117"/>
      <c r="O840" s="117"/>
      <c r="P840" s="117"/>
      <c r="Q840" s="117"/>
      <c r="R840" s="117"/>
      <c r="S840" s="117"/>
    </row>
    <row r="841" spans="1:19" ht="12.9">
      <c r="A841" s="117"/>
      <c r="B841" s="117"/>
      <c r="C841" s="117"/>
      <c r="D841" s="24"/>
      <c r="E841" s="24"/>
      <c r="F841" s="117"/>
      <c r="G841" s="117"/>
      <c r="H841" s="117"/>
      <c r="I841" s="117"/>
      <c r="J841" s="117"/>
      <c r="K841" s="117"/>
      <c r="L841" s="117"/>
      <c r="M841" s="117"/>
      <c r="N841" s="117"/>
      <c r="O841" s="117"/>
      <c r="P841" s="117"/>
      <c r="Q841" s="117"/>
      <c r="R841" s="117"/>
      <c r="S841" s="117"/>
    </row>
    <row r="842" spans="1:19" ht="12.9">
      <c r="A842" s="117"/>
      <c r="B842" s="117"/>
      <c r="C842" s="117"/>
      <c r="D842" s="24"/>
      <c r="E842" s="24"/>
      <c r="F842" s="117"/>
      <c r="G842" s="117"/>
      <c r="H842" s="117"/>
      <c r="I842" s="117"/>
      <c r="J842" s="117"/>
      <c r="K842" s="117"/>
      <c r="L842" s="117"/>
      <c r="M842" s="117"/>
      <c r="N842" s="117"/>
      <c r="O842" s="117"/>
      <c r="P842" s="117"/>
      <c r="Q842" s="117"/>
      <c r="R842" s="117"/>
      <c r="S842" s="117"/>
    </row>
    <row r="843" spans="1:19" ht="12.9">
      <c r="A843" s="117"/>
      <c r="B843" s="117"/>
      <c r="C843" s="117"/>
      <c r="D843" s="24"/>
      <c r="E843" s="24"/>
      <c r="F843" s="117"/>
      <c r="G843" s="117"/>
      <c r="H843" s="117"/>
      <c r="I843" s="117"/>
      <c r="J843" s="117"/>
      <c r="K843" s="117"/>
      <c r="L843" s="117"/>
      <c r="M843" s="117"/>
      <c r="N843" s="117"/>
      <c r="O843" s="117"/>
      <c r="P843" s="117"/>
      <c r="Q843" s="117"/>
      <c r="R843" s="117"/>
      <c r="S843" s="117"/>
    </row>
    <row r="844" spans="1:19" ht="12.9">
      <c r="A844" s="117"/>
      <c r="B844" s="117"/>
      <c r="C844" s="117"/>
      <c r="D844" s="24"/>
      <c r="E844" s="24"/>
      <c r="F844" s="117"/>
      <c r="G844" s="117"/>
      <c r="H844" s="117"/>
      <c r="I844" s="117"/>
      <c r="J844" s="117"/>
      <c r="K844" s="117"/>
      <c r="L844" s="117"/>
      <c r="M844" s="117"/>
      <c r="N844" s="117"/>
      <c r="O844" s="117"/>
      <c r="P844" s="117"/>
      <c r="Q844" s="117"/>
      <c r="R844" s="117"/>
      <c r="S844" s="117"/>
    </row>
    <row r="845" spans="1:19" ht="12.9">
      <c r="A845" s="117"/>
      <c r="B845" s="117"/>
      <c r="C845" s="117"/>
      <c r="D845" s="24"/>
      <c r="E845" s="24"/>
      <c r="F845" s="117"/>
      <c r="G845" s="117"/>
      <c r="H845" s="117"/>
      <c r="I845" s="117"/>
      <c r="J845" s="117"/>
      <c r="K845" s="117"/>
      <c r="L845" s="117"/>
      <c r="M845" s="117"/>
      <c r="N845" s="117"/>
      <c r="O845" s="117"/>
      <c r="P845" s="117"/>
      <c r="Q845" s="117"/>
      <c r="R845" s="117"/>
      <c r="S845" s="117"/>
    </row>
    <row r="846" spans="1:19" ht="12.9">
      <c r="A846" s="117"/>
      <c r="B846" s="117"/>
      <c r="C846" s="117"/>
      <c r="D846" s="24"/>
      <c r="E846" s="24"/>
      <c r="F846" s="117"/>
      <c r="G846" s="117"/>
      <c r="H846" s="117"/>
      <c r="I846" s="117"/>
      <c r="J846" s="117"/>
      <c r="K846" s="117"/>
      <c r="L846" s="117"/>
      <c r="M846" s="117"/>
      <c r="N846" s="117"/>
      <c r="O846" s="117"/>
      <c r="P846" s="117"/>
      <c r="Q846" s="117"/>
      <c r="R846" s="117"/>
      <c r="S846" s="117"/>
    </row>
    <row r="847" spans="1:19" ht="12.9">
      <c r="A847" s="117"/>
      <c r="B847" s="117"/>
      <c r="C847" s="117"/>
      <c r="D847" s="24"/>
      <c r="E847" s="24"/>
      <c r="F847" s="117"/>
      <c r="G847" s="117"/>
      <c r="H847" s="117"/>
      <c r="I847" s="117"/>
      <c r="J847" s="117"/>
      <c r="K847" s="117"/>
      <c r="L847" s="117"/>
      <c r="M847" s="117"/>
      <c r="N847" s="117"/>
      <c r="O847" s="117"/>
      <c r="P847" s="117"/>
      <c r="Q847" s="117"/>
      <c r="R847" s="117"/>
      <c r="S847" s="117"/>
    </row>
    <row r="848" spans="1:19" ht="12.9">
      <c r="A848" s="117"/>
      <c r="B848" s="117"/>
      <c r="C848" s="117"/>
      <c r="D848" s="24"/>
      <c r="E848" s="24"/>
      <c r="F848" s="117"/>
      <c r="G848" s="117"/>
      <c r="H848" s="117"/>
      <c r="I848" s="117"/>
      <c r="J848" s="117"/>
      <c r="K848" s="117"/>
      <c r="L848" s="117"/>
      <c r="M848" s="117"/>
      <c r="N848" s="117"/>
      <c r="O848" s="117"/>
      <c r="P848" s="117"/>
      <c r="Q848" s="117"/>
      <c r="R848" s="117"/>
      <c r="S848" s="117"/>
    </row>
    <row r="849" spans="1:19" ht="12.9">
      <c r="A849" s="117"/>
      <c r="B849" s="117"/>
      <c r="C849" s="117"/>
      <c r="D849" s="24"/>
      <c r="E849" s="24"/>
      <c r="F849" s="117"/>
      <c r="G849" s="117"/>
      <c r="H849" s="117"/>
      <c r="I849" s="117"/>
      <c r="J849" s="117"/>
      <c r="K849" s="117"/>
      <c r="L849" s="117"/>
      <c r="M849" s="117"/>
      <c r="N849" s="117"/>
      <c r="O849" s="117"/>
      <c r="P849" s="117"/>
      <c r="Q849" s="117"/>
      <c r="R849" s="117"/>
      <c r="S849" s="117"/>
    </row>
    <row r="850" spans="1:19" ht="12.9">
      <c r="A850" s="117"/>
      <c r="B850" s="117"/>
      <c r="C850" s="117"/>
      <c r="D850" s="24"/>
      <c r="E850" s="24"/>
      <c r="F850" s="117"/>
      <c r="G850" s="117"/>
      <c r="H850" s="117"/>
      <c r="I850" s="117"/>
      <c r="J850" s="117"/>
      <c r="K850" s="117"/>
      <c r="L850" s="117"/>
      <c r="M850" s="117"/>
      <c r="N850" s="117"/>
      <c r="O850" s="117"/>
      <c r="P850" s="117"/>
      <c r="Q850" s="117"/>
      <c r="R850" s="117"/>
      <c r="S850" s="117"/>
    </row>
    <row r="851" spans="1:19" ht="12.9">
      <c r="A851" s="117"/>
      <c r="B851" s="117"/>
      <c r="C851" s="117"/>
      <c r="D851" s="24"/>
      <c r="E851" s="24"/>
      <c r="F851" s="117"/>
      <c r="G851" s="117"/>
      <c r="H851" s="117"/>
      <c r="I851" s="117"/>
      <c r="J851" s="117"/>
      <c r="K851" s="117"/>
      <c r="L851" s="117"/>
      <c r="M851" s="117"/>
      <c r="N851" s="117"/>
      <c r="O851" s="117"/>
      <c r="P851" s="117"/>
      <c r="Q851" s="117"/>
      <c r="R851" s="117"/>
      <c r="S851" s="117"/>
    </row>
    <row r="852" spans="1:19" ht="12.9">
      <c r="A852" s="117"/>
      <c r="B852" s="117"/>
      <c r="C852" s="117"/>
      <c r="D852" s="24"/>
      <c r="E852" s="24"/>
      <c r="F852" s="117"/>
      <c r="G852" s="117"/>
      <c r="H852" s="117"/>
      <c r="I852" s="117"/>
      <c r="J852" s="117"/>
      <c r="K852" s="117"/>
      <c r="L852" s="117"/>
      <c r="M852" s="117"/>
      <c r="N852" s="117"/>
      <c r="O852" s="117"/>
      <c r="P852" s="117"/>
      <c r="Q852" s="117"/>
      <c r="R852" s="117"/>
      <c r="S852" s="117"/>
    </row>
    <row r="853" spans="1:19" ht="12.9">
      <c r="A853" s="117"/>
      <c r="B853" s="117"/>
      <c r="C853" s="117"/>
      <c r="D853" s="24"/>
      <c r="E853" s="24"/>
      <c r="F853" s="117"/>
      <c r="G853" s="117"/>
      <c r="H853" s="117"/>
      <c r="I853" s="117"/>
      <c r="J853" s="117"/>
      <c r="K853" s="117"/>
      <c r="L853" s="117"/>
      <c r="M853" s="117"/>
      <c r="N853" s="117"/>
      <c r="O853" s="117"/>
      <c r="P853" s="117"/>
      <c r="Q853" s="117"/>
      <c r="R853" s="117"/>
      <c r="S853" s="117"/>
    </row>
    <row r="854" spans="1:19" ht="12.9">
      <c r="A854" s="117"/>
      <c r="B854" s="117"/>
      <c r="C854" s="117"/>
      <c r="D854" s="24"/>
      <c r="E854" s="24"/>
      <c r="F854" s="117"/>
      <c r="G854" s="117"/>
      <c r="H854" s="117"/>
      <c r="I854" s="117"/>
      <c r="J854" s="117"/>
      <c r="K854" s="117"/>
      <c r="L854" s="117"/>
      <c r="M854" s="117"/>
      <c r="N854" s="117"/>
      <c r="O854" s="117"/>
      <c r="P854" s="117"/>
      <c r="Q854" s="117"/>
      <c r="R854" s="117"/>
      <c r="S854" s="117"/>
    </row>
    <row r="855" spans="1:19" ht="12.9">
      <c r="A855" s="117"/>
      <c r="B855" s="117"/>
      <c r="C855" s="117"/>
      <c r="D855" s="24"/>
      <c r="E855" s="24"/>
      <c r="F855" s="117"/>
      <c r="G855" s="117"/>
      <c r="H855" s="117"/>
      <c r="I855" s="117"/>
      <c r="J855" s="117"/>
      <c r="K855" s="117"/>
      <c r="L855" s="117"/>
      <c r="M855" s="117"/>
      <c r="N855" s="117"/>
      <c r="O855" s="117"/>
      <c r="P855" s="117"/>
      <c r="Q855" s="117"/>
      <c r="R855" s="117"/>
      <c r="S855" s="117"/>
    </row>
    <row r="856" spans="1:19" ht="12.9">
      <c r="A856" s="117"/>
      <c r="B856" s="117"/>
      <c r="C856" s="117"/>
      <c r="D856" s="24"/>
      <c r="E856" s="24"/>
      <c r="F856" s="117"/>
      <c r="G856" s="117"/>
      <c r="H856" s="117"/>
      <c r="I856" s="117"/>
      <c r="J856" s="117"/>
      <c r="K856" s="117"/>
      <c r="L856" s="117"/>
      <c r="M856" s="117"/>
      <c r="N856" s="117"/>
      <c r="O856" s="117"/>
      <c r="P856" s="117"/>
      <c r="Q856" s="117"/>
      <c r="R856" s="117"/>
      <c r="S856" s="117"/>
    </row>
    <row r="857" spans="1:19" ht="12.9">
      <c r="A857" s="117"/>
      <c r="B857" s="117"/>
      <c r="C857" s="117"/>
      <c r="D857" s="24"/>
      <c r="E857" s="24"/>
      <c r="F857" s="117"/>
      <c r="G857" s="117"/>
      <c r="H857" s="117"/>
      <c r="I857" s="117"/>
      <c r="J857" s="117"/>
      <c r="K857" s="117"/>
      <c r="L857" s="117"/>
      <c r="M857" s="117"/>
      <c r="N857" s="117"/>
      <c r="O857" s="117"/>
      <c r="P857" s="117"/>
      <c r="Q857" s="117"/>
      <c r="R857" s="117"/>
      <c r="S857" s="117"/>
    </row>
    <row r="858" spans="1:19" ht="12.9">
      <c r="A858" s="117"/>
      <c r="B858" s="117"/>
      <c r="C858" s="117"/>
      <c r="D858" s="24"/>
      <c r="E858" s="24"/>
      <c r="F858" s="117"/>
      <c r="G858" s="117"/>
      <c r="H858" s="117"/>
      <c r="I858" s="117"/>
      <c r="J858" s="117"/>
      <c r="K858" s="117"/>
      <c r="L858" s="117"/>
      <c r="M858" s="117"/>
      <c r="N858" s="117"/>
      <c r="O858" s="117"/>
      <c r="P858" s="117"/>
      <c r="Q858" s="117"/>
      <c r="R858" s="117"/>
      <c r="S858" s="117"/>
    </row>
    <row r="859" spans="1:19" ht="12.9">
      <c r="A859" s="117"/>
      <c r="B859" s="117"/>
      <c r="C859" s="117"/>
      <c r="D859" s="24"/>
      <c r="E859" s="24"/>
      <c r="F859" s="117"/>
      <c r="G859" s="117"/>
      <c r="H859" s="117"/>
      <c r="I859" s="117"/>
      <c r="J859" s="117"/>
      <c r="K859" s="117"/>
      <c r="L859" s="117"/>
      <c r="M859" s="117"/>
      <c r="N859" s="117"/>
      <c r="O859" s="117"/>
      <c r="P859" s="117"/>
      <c r="Q859" s="117"/>
      <c r="R859" s="117"/>
      <c r="S859" s="117"/>
    </row>
    <row r="860" spans="1:19" ht="12.9">
      <c r="A860" s="117"/>
      <c r="B860" s="117"/>
      <c r="C860" s="117"/>
      <c r="D860" s="24"/>
      <c r="E860" s="24"/>
      <c r="F860" s="117"/>
      <c r="G860" s="117"/>
      <c r="H860" s="117"/>
      <c r="I860" s="117"/>
      <c r="J860" s="117"/>
      <c r="K860" s="117"/>
      <c r="L860" s="117"/>
      <c r="M860" s="117"/>
      <c r="N860" s="117"/>
      <c r="O860" s="117"/>
      <c r="P860" s="117"/>
      <c r="Q860" s="117"/>
      <c r="R860" s="117"/>
      <c r="S860" s="117"/>
    </row>
    <row r="861" spans="1:19" ht="12.9">
      <c r="A861" s="117"/>
      <c r="B861" s="117"/>
      <c r="C861" s="117"/>
      <c r="D861" s="24"/>
      <c r="E861" s="24"/>
      <c r="F861" s="117"/>
      <c r="G861" s="117"/>
      <c r="H861" s="117"/>
      <c r="I861" s="117"/>
      <c r="J861" s="117"/>
      <c r="K861" s="117"/>
      <c r="L861" s="117"/>
      <c r="M861" s="117"/>
      <c r="N861" s="117"/>
      <c r="O861" s="117"/>
      <c r="P861" s="117"/>
      <c r="Q861" s="117"/>
      <c r="R861" s="117"/>
      <c r="S861" s="117"/>
    </row>
    <row r="862" spans="1:19" ht="12.9">
      <c r="A862" s="117"/>
      <c r="B862" s="117"/>
      <c r="C862" s="117"/>
      <c r="D862" s="24"/>
      <c r="E862" s="24"/>
      <c r="F862" s="117"/>
      <c r="G862" s="117"/>
      <c r="H862" s="117"/>
      <c r="I862" s="117"/>
      <c r="J862" s="117"/>
      <c r="K862" s="117"/>
      <c r="L862" s="117"/>
      <c r="M862" s="117"/>
      <c r="N862" s="117"/>
      <c r="O862" s="117"/>
      <c r="P862" s="117"/>
      <c r="Q862" s="117"/>
      <c r="R862" s="117"/>
      <c r="S862" s="117"/>
    </row>
    <row r="863" spans="1:19" ht="12.9">
      <c r="A863" s="117"/>
      <c r="B863" s="117"/>
      <c r="C863" s="117"/>
      <c r="D863" s="24"/>
      <c r="E863" s="24"/>
      <c r="F863" s="117"/>
      <c r="G863" s="117"/>
      <c r="H863" s="117"/>
      <c r="I863" s="117"/>
      <c r="J863" s="117"/>
      <c r="K863" s="117"/>
      <c r="L863" s="117"/>
      <c r="M863" s="117"/>
      <c r="N863" s="117"/>
      <c r="O863" s="117"/>
      <c r="P863" s="117"/>
      <c r="Q863" s="117"/>
      <c r="R863" s="117"/>
      <c r="S863" s="117"/>
    </row>
    <row r="864" spans="1:19" ht="12.9">
      <c r="A864" s="117"/>
      <c r="B864" s="117"/>
      <c r="C864" s="117"/>
      <c r="D864" s="24"/>
      <c r="E864" s="24"/>
      <c r="F864" s="117"/>
      <c r="G864" s="117"/>
      <c r="H864" s="117"/>
      <c r="I864" s="117"/>
      <c r="J864" s="117"/>
      <c r="K864" s="117"/>
      <c r="L864" s="117"/>
      <c r="M864" s="117"/>
      <c r="N864" s="117"/>
      <c r="O864" s="117"/>
      <c r="P864" s="117"/>
      <c r="Q864" s="117"/>
      <c r="R864" s="117"/>
      <c r="S864" s="117"/>
    </row>
    <row r="865" spans="1:19" ht="12.9">
      <c r="A865" s="117"/>
      <c r="B865" s="117"/>
      <c r="C865" s="117"/>
      <c r="D865" s="24"/>
      <c r="E865" s="24"/>
      <c r="F865" s="117"/>
      <c r="G865" s="117"/>
      <c r="H865" s="117"/>
      <c r="I865" s="117"/>
      <c r="J865" s="117"/>
      <c r="K865" s="117"/>
      <c r="L865" s="117"/>
      <c r="M865" s="117"/>
      <c r="N865" s="117"/>
      <c r="O865" s="117"/>
      <c r="P865" s="117"/>
      <c r="Q865" s="117"/>
      <c r="R865" s="117"/>
      <c r="S865" s="117"/>
    </row>
    <row r="866" spans="1:19" ht="12.9">
      <c r="A866" s="117"/>
      <c r="B866" s="117"/>
      <c r="C866" s="117"/>
      <c r="D866" s="24"/>
      <c r="E866" s="24"/>
      <c r="F866" s="117"/>
      <c r="G866" s="117"/>
      <c r="H866" s="117"/>
      <c r="I866" s="117"/>
      <c r="J866" s="117"/>
      <c r="K866" s="117"/>
      <c r="L866" s="117"/>
      <c r="M866" s="117"/>
      <c r="N866" s="117"/>
      <c r="O866" s="117"/>
      <c r="P866" s="117"/>
      <c r="Q866" s="117"/>
      <c r="R866" s="117"/>
      <c r="S866" s="117"/>
    </row>
    <row r="867" spans="1:19" ht="12.9">
      <c r="A867" s="117"/>
      <c r="B867" s="117"/>
      <c r="C867" s="117"/>
      <c r="D867" s="24"/>
      <c r="E867" s="24"/>
      <c r="F867" s="117"/>
      <c r="G867" s="117"/>
      <c r="H867" s="117"/>
      <c r="I867" s="117"/>
      <c r="J867" s="117"/>
      <c r="K867" s="117"/>
      <c r="L867" s="117"/>
      <c r="M867" s="117"/>
      <c r="N867" s="117"/>
      <c r="O867" s="117"/>
      <c r="P867" s="117"/>
      <c r="Q867" s="117"/>
      <c r="R867" s="117"/>
      <c r="S867" s="117"/>
    </row>
    <row r="868" spans="1:19" ht="12.9">
      <c r="A868" s="117"/>
      <c r="B868" s="117"/>
      <c r="C868" s="117"/>
      <c r="D868" s="24"/>
      <c r="E868" s="24"/>
      <c r="F868" s="117"/>
      <c r="G868" s="117"/>
      <c r="H868" s="117"/>
      <c r="I868" s="117"/>
      <c r="J868" s="117"/>
      <c r="K868" s="117"/>
      <c r="L868" s="117"/>
      <c r="M868" s="117"/>
      <c r="N868" s="117"/>
      <c r="O868" s="117"/>
      <c r="P868" s="117"/>
      <c r="Q868" s="117"/>
      <c r="R868" s="117"/>
      <c r="S868" s="117"/>
    </row>
    <row r="869" spans="1:19" ht="12.9">
      <c r="A869" s="117"/>
      <c r="B869" s="117"/>
      <c r="C869" s="117"/>
      <c r="D869" s="24"/>
      <c r="E869" s="24"/>
      <c r="F869" s="117"/>
      <c r="G869" s="117"/>
      <c r="H869" s="117"/>
      <c r="I869" s="117"/>
      <c r="J869" s="117"/>
      <c r="K869" s="117"/>
      <c r="L869" s="117"/>
      <c r="M869" s="117"/>
      <c r="N869" s="117"/>
      <c r="O869" s="117"/>
      <c r="P869" s="117"/>
      <c r="Q869" s="117"/>
      <c r="R869" s="117"/>
      <c r="S869" s="117"/>
    </row>
    <row r="870" spans="1:19" ht="12.9">
      <c r="A870" s="117"/>
      <c r="B870" s="117"/>
      <c r="C870" s="117"/>
      <c r="D870" s="24"/>
      <c r="E870" s="24"/>
      <c r="F870" s="117"/>
      <c r="G870" s="117"/>
      <c r="H870" s="117"/>
      <c r="I870" s="117"/>
      <c r="J870" s="117"/>
      <c r="K870" s="117"/>
      <c r="L870" s="117"/>
      <c r="M870" s="117"/>
      <c r="N870" s="117"/>
      <c r="O870" s="117"/>
      <c r="P870" s="117"/>
      <c r="Q870" s="117"/>
      <c r="R870" s="117"/>
      <c r="S870" s="117"/>
    </row>
    <row r="871" spans="1:19" ht="12.9">
      <c r="A871" s="117"/>
      <c r="B871" s="117"/>
      <c r="C871" s="117"/>
      <c r="D871" s="24"/>
      <c r="E871" s="24"/>
      <c r="F871" s="117"/>
      <c r="G871" s="117"/>
      <c r="H871" s="117"/>
      <c r="I871" s="117"/>
      <c r="J871" s="117"/>
      <c r="K871" s="117"/>
      <c r="L871" s="117"/>
      <c r="M871" s="117"/>
      <c r="N871" s="117"/>
      <c r="O871" s="117"/>
      <c r="P871" s="117"/>
      <c r="Q871" s="117"/>
      <c r="R871" s="117"/>
      <c r="S871" s="117"/>
    </row>
    <row r="872" spans="1:19" ht="12.9">
      <c r="A872" s="117"/>
      <c r="B872" s="117"/>
      <c r="C872" s="117"/>
      <c r="D872" s="24"/>
      <c r="E872" s="24"/>
      <c r="F872" s="117"/>
      <c r="G872" s="117"/>
      <c r="H872" s="117"/>
      <c r="I872" s="117"/>
      <c r="J872" s="117"/>
      <c r="K872" s="117"/>
      <c r="L872" s="117"/>
      <c r="M872" s="117"/>
      <c r="N872" s="117"/>
      <c r="O872" s="117"/>
      <c r="P872" s="117"/>
      <c r="Q872" s="117"/>
      <c r="R872" s="117"/>
      <c r="S872" s="117"/>
    </row>
    <row r="873" spans="1:19" ht="12.9">
      <c r="A873" s="117"/>
      <c r="B873" s="117"/>
      <c r="C873" s="117"/>
      <c r="D873" s="24"/>
      <c r="E873" s="24"/>
      <c r="F873" s="117"/>
      <c r="G873" s="117"/>
      <c r="H873" s="117"/>
      <c r="I873" s="117"/>
      <c r="J873" s="117"/>
      <c r="K873" s="117"/>
      <c r="L873" s="117"/>
      <c r="M873" s="117"/>
      <c r="N873" s="117"/>
      <c r="O873" s="117"/>
      <c r="P873" s="117"/>
      <c r="Q873" s="117"/>
      <c r="R873" s="117"/>
      <c r="S873" s="117"/>
    </row>
    <row r="874" spans="1:19" ht="12.9">
      <c r="A874" s="117"/>
      <c r="B874" s="117"/>
      <c r="C874" s="117"/>
      <c r="D874" s="24"/>
      <c r="E874" s="24"/>
      <c r="F874" s="117"/>
      <c r="G874" s="117"/>
      <c r="H874" s="117"/>
      <c r="I874" s="117"/>
      <c r="J874" s="117"/>
      <c r="K874" s="117"/>
      <c r="L874" s="117"/>
      <c r="M874" s="117"/>
      <c r="N874" s="117"/>
      <c r="O874" s="117"/>
      <c r="P874" s="117"/>
      <c r="Q874" s="117"/>
      <c r="R874" s="117"/>
      <c r="S874" s="117"/>
    </row>
    <row r="875" spans="1:19" ht="12.9">
      <c r="A875" s="117"/>
      <c r="B875" s="117"/>
      <c r="C875" s="117"/>
      <c r="D875" s="24"/>
      <c r="E875" s="24"/>
      <c r="F875" s="117"/>
      <c r="G875" s="117"/>
      <c r="H875" s="117"/>
      <c r="I875" s="117"/>
      <c r="J875" s="117"/>
      <c r="K875" s="117"/>
      <c r="L875" s="117"/>
      <c r="M875" s="117"/>
      <c r="N875" s="117"/>
      <c r="O875" s="117"/>
      <c r="P875" s="117"/>
      <c r="Q875" s="117"/>
      <c r="R875" s="117"/>
      <c r="S875" s="117"/>
    </row>
    <row r="876" spans="1:19" ht="12.9">
      <c r="A876" s="117"/>
      <c r="B876" s="117"/>
      <c r="C876" s="117"/>
      <c r="D876" s="24"/>
      <c r="E876" s="24"/>
      <c r="F876" s="117"/>
      <c r="G876" s="117"/>
      <c r="H876" s="117"/>
      <c r="I876" s="117"/>
      <c r="J876" s="117"/>
      <c r="K876" s="117"/>
      <c r="L876" s="117"/>
      <c r="M876" s="117"/>
      <c r="N876" s="117"/>
      <c r="O876" s="117"/>
      <c r="P876" s="117"/>
      <c r="Q876" s="117"/>
      <c r="R876" s="117"/>
      <c r="S876" s="117"/>
    </row>
    <row r="877" spans="1:19" ht="12.9">
      <c r="A877" s="117"/>
      <c r="B877" s="117"/>
      <c r="C877" s="117"/>
      <c r="D877" s="24"/>
      <c r="E877" s="24"/>
      <c r="F877" s="117"/>
      <c r="G877" s="117"/>
      <c r="H877" s="117"/>
      <c r="I877" s="117"/>
      <c r="J877" s="117"/>
      <c r="K877" s="117"/>
      <c r="L877" s="117"/>
      <c r="M877" s="117"/>
      <c r="N877" s="117"/>
      <c r="O877" s="117"/>
      <c r="P877" s="117"/>
      <c r="Q877" s="117"/>
      <c r="R877" s="117"/>
      <c r="S877" s="117"/>
    </row>
    <row r="878" spans="1:19" ht="12.9">
      <c r="A878" s="117"/>
      <c r="B878" s="117"/>
      <c r="C878" s="117"/>
      <c r="D878" s="24"/>
      <c r="E878" s="24"/>
      <c r="F878" s="117"/>
      <c r="G878" s="117"/>
      <c r="H878" s="117"/>
      <c r="I878" s="117"/>
      <c r="J878" s="117"/>
      <c r="K878" s="117"/>
      <c r="L878" s="117"/>
      <c r="M878" s="117"/>
      <c r="N878" s="117"/>
      <c r="O878" s="117"/>
      <c r="P878" s="117"/>
      <c r="Q878" s="117"/>
      <c r="R878" s="117"/>
      <c r="S878" s="117"/>
    </row>
    <row r="879" spans="1:19" ht="12.9">
      <c r="A879" s="117"/>
      <c r="B879" s="117"/>
      <c r="C879" s="117"/>
      <c r="D879" s="24"/>
      <c r="E879" s="24"/>
      <c r="F879" s="117"/>
      <c r="G879" s="117"/>
      <c r="H879" s="117"/>
      <c r="I879" s="117"/>
      <c r="J879" s="117"/>
      <c r="K879" s="117"/>
      <c r="L879" s="117"/>
      <c r="M879" s="117"/>
      <c r="N879" s="117"/>
      <c r="O879" s="117"/>
      <c r="P879" s="117"/>
      <c r="Q879" s="117"/>
      <c r="R879" s="117"/>
      <c r="S879" s="117"/>
    </row>
    <row r="880" spans="1:19" ht="12.9">
      <c r="A880" s="117"/>
      <c r="B880" s="117"/>
      <c r="C880" s="117"/>
      <c r="D880" s="24"/>
      <c r="E880" s="24"/>
      <c r="F880" s="117"/>
      <c r="G880" s="117"/>
      <c r="H880" s="117"/>
      <c r="I880" s="117"/>
      <c r="J880" s="117"/>
      <c r="K880" s="117"/>
      <c r="L880" s="117"/>
      <c r="M880" s="117"/>
      <c r="N880" s="117"/>
      <c r="O880" s="117"/>
      <c r="P880" s="117"/>
      <c r="Q880" s="117"/>
      <c r="R880" s="117"/>
      <c r="S880" s="117"/>
    </row>
    <row r="881" spans="1:19" ht="12.9">
      <c r="A881" s="117"/>
      <c r="B881" s="117"/>
      <c r="C881" s="117"/>
      <c r="D881" s="24"/>
      <c r="E881" s="24"/>
      <c r="F881" s="117"/>
      <c r="G881" s="117"/>
      <c r="H881" s="117"/>
      <c r="I881" s="117"/>
      <c r="J881" s="117"/>
      <c r="K881" s="117"/>
      <c r="L881" s="117"/>
      <c r="M881" s="117"/>
      <c r="N881" s="117"/>
      <c r="O881" s="117"/>
      <c r="P881" s="117"/>
      <c r="Q881" s="117"/>
      <c r="R881" s="117"/>
      <c r="S881" s="117"/>
    </row>
    <row r="882" spans="1:19" ht="12.9">
      <c r="A882" s="117"/>
      <c r="B882" s="117"/>
      <c r="C882" s="117"/>
      <c r="D882" s="24"/>
      <c r="E882" s="24"/>
      <c r="F882" s="117"/>
      <c r="G882" s="117"/>
      <c r="H882" s="117"/>
      <c r="I882" s="117"/>
      <c r="J882" s="117"/>
      <c r="K882" s="117"/>
      <c r="L882" s="117"/>
      <c r="M882" s="117"/>
      <c r="N882" s="117"/>
      <c r="O882" s="117"/>
      <c r="P882" s="117"/>
      <c r="Q882" s="117"/>
      <c r="R882" s="117"/>
      <c r="S882" s="117"/>
    </row>
    <row r="883" spans="1:19" ht="12.9">
      <c r="A883" s="117"/>
      <c r="B883" s="117"/>
      <c r="C883" s="117"/>
      <c r="D883" s="24"/>
      <c r="E883" s="24"/>
      <c r="F883" s="117"/>
      <c r="G883" s="117"/>
      <c r="H883" s="117"/>
      <c r="I883" s="117"/>
      <c r="J883" s="117"/>
      <c r="K883" s="117"/>
      <c r="L883" s="117"/>
      <c r="M883" s="117"/>
      <c r="N883" s="117"/>
      <c r="O883" s="117"/>
      <c r="P883" s="117"/>
      <c r="Q883" s="117"/>
      <c r="R883" s="117"/>
      <c r="S883" s="117"/>
    </row>
    <row r="884" spans="1:19" ht="12.9">
      <c r="A884" s="117"/>
      <c r="B884" s="117"/>
      <c r="C884" s="117"/>
      <c r="D884" s="24"/>
      <c r="E884" s="24"/>
      <c r="F884" s="117"/>
      <c r="G884" s="117"/>
      <c r="H884" s="117"/>
      <c r="I884" s="117"/>
      <c r="J884" s="117"/>
      <c r="K884" s="117"/>
      <c r="L884" s="117"/>
      <c r="M884" s="117"/>
      <c r="N884" s="117"/>
      <c r="O884" s="117"/>
      <c r="P884" s="117"/>
      <c r="Q884" s="117"/>
      <c r="R884" s="117"/>
      <c r="S884" s="117"/>
    </row>
    <row r="885" spans="1:19" ht="12.9">
      <c r="A885" s="117"/>
      <c r="B885" s="117"/>
      <c r="C885" s="117"/>
      <c r="D885" s="24"/>
      <c r="E885" s="24"/>
      <c r="F885" s="117"/>
      <c r="G885" s="117"/>
      <c r="H885" s="117"/>
      <c r="I885" s="117"/>
      <c r="J885" s="117"/>
      <c r="K885" s="117"/>
      <c r="L885" s="117"/>
      <c r="M885" s="117"/>
      <c r="N885" s="117"/>
      <c r="O885" s="117"/>
      <c r="P885" s="117"/>
      <c r="Q885" s="117"/>
      <c r="R885" s="117"/>
      <c r="S885" s="117"/>
    </row>
    <row r="886" spans="1:19" ht="12.9">
      <c r="A886" s="117"/>
      <c r="B886" s="117"/>
      <c r="C886" s="117"/>
      <c r="D886" s="24"/>
      <c r="E886" s="24"/>
      <c r="F886" s="117"/>
      <c r="G886" s="117"/>
      <c r="H886" s="117"/>
      <c r="I886" s="117"/>
      <c r="J886" s="117"/>
      <c r="K886" s="117"/>
      <c r="L886" s="117"/>
      <c r="M886" s="117"/>
      <c r="N886" s="117"/>
      <c r="O886" s="117"/>
      <c r="P886" s="117"/>
      <c r="Q886" s="117"/>
      <c r="R886" s="117"/>
      <c r="S886" s="117"/>
    </row>
    <row r="887" spans="1:19" ht="12.9">
      <c r="A887" s="117"/>
      <c r="B887" s="117"/>
      <c r="C887" s="117"/>
      <c r="D887" s="24"/>
      <c r="E887" s="24"/>
      <c r="F887" s="117"/>
      <c r="G887" s="117"/>
      <c r="H887" s="117"/>
      <c r="I887" s="117"/>
      <c r="J887" s="117"/>
      <c r="K887" s="117"/>
      <c r="L887" s="117"/>
      <c r="M887" s="117"/>
      <c r="N887" s="117"/>
      <c r="O887" s="117"/>
      <c r="P887" s="117"/>
      <c r="Q887" s="117"/>
      <c r="R887" s="117"/>
      <c r="S887" s="117"/>
    </row>
    <row r="888" spans="1:19" ht="12.9">
      <c r="A888" s="117"/>
      <c r="B888" s="117"/>
      <c r="C888" s="117"/>
      <c r="D888" s="24"/>
      <c r="E888" s="24"/>
      <c r="F888" s="117"/>
      <c r="G888" s="117"/>
      <c r="H888" s="117"/>
      <c r="I888" s="117"/>
      <c r="J888" s="117"/>
      <c r="K888" s="117"/>
      <c r="L888" s="117"/>
      <c r="M888" s="117"/>
      <c r="N888" s="117"/>
      <c r="O888" s="117"/>
      <c r="P888" s="117"/>
      <c r="Q888" s="117"/>
      <c r="R888" s="117"/>
      <c r="S888" s="117"/>
    </row>
    <row r="889" spans="1:19" ht="12.9">
      <c r="A889" s="117"/>
      <c r="B889" s="117"/>
      <c r="C889" s="117"/>
      <c r="D889" s="24"/>
      <c r="E889" s="24"/>
      <c r="F889" s="117"/>
      <c r="G889" s="117"/>
      <c r="H889" s="117"/>
      <c r="I889" s="117"/>
      <c r="J889" s="117"/>
      <c r="K889" s="117"/>
      <c r="L889" s="117"/>
      <c r="M889" s="117"/>
      <c r="N889" s="117"/>
      <c r="O889" s="117"/>
      <c r="P889" s="117"/>
      <c r="Q889" s="117"/>
      <c r="R889" s="117"/>
      <c r="S889" s="117"/>
    </row>
    <row r="890" spans="1:19" ht="12.9">
      <c r="A890" s="117"/>
      <c r="B890" s="117"/>
      <c r="C890" s="117"/>
      <c r="D890" s="24"/>
      <c r="E890" s="24"/>
      <c r="F890" s="117"/>
      <c r="G890" s="117"/>
      <c r="H890" s="117"/>
      <c r="I890" s="117"/>
      <c r="J890" s="117"/>
      <c r="K890" s="117"/>
      <c r="L890" s="117"/>
      <c r="M890" s="117"/>
      <c r="N890" s="117"/>
      <c r="O890" s="117"/>
      <c r="P890" s="117"/>
      <c r="Q890" s="117"/>
      <c r="R890" s="117"/>
      <c r="S890" s="117"/>
    </row>
    <row r="891" spans="1:19" ht="12.9">
      <c r="A891" s="117"/>
      <c r="B891" s="117"/>
      <c r="C891" s="117"/>
      <c r="D891" s="24"/>
      <c r="E891" s="24"/>
      <c r="F891" s="117"/>
      <c r="G891" s="117"/>
      <c r="H891" s="117"/>
      <c r="I891" s="117"/>
      <c r="J891" s="117"/>
      <c r="K891" s="117"/>
      <c r="L891" s="117"/>
      <c r="M891" s="117"/>
      <c r="N891" s="117"/>
      <c r="O891" s="117"/>
      <c r="P891" s="117"/>
      <c r="Q891" s="117"/>
      <c r="R891" s="117"/>
      <c r="S891" s="117"/>
    </row>
    <row r="892" spans="1:19" ht="12.9">
      <c r="A892" s="117"/>
      <c r="B892" s="117"/>
      <c r="C892" s="117"/>
      <c r="D892" s="24"/>
      <c r="E892" s="24"/>
      <c r="F892" s="117"/>
      <c r="G892" s="117"/>
      <c r="H892" s="117"/>
      <c r="I892" s="117"/>
      <c r="J892" s="117"/>
      <c r="K892" s="117"/>
      <c r="L892" s="117"/>
      <c r="M892" s="117"/>
      <c r="N892" s="117"/>
      <c r="O892" s="117"/>
      <c r="P892" s="117"/>
      <c r="Q892" s="117"/>
      <c r="R892" s="117"/>
      <c r="S892" s="117"/>
    </row>
    <row r="893" spans="1:19" ht="12.9">
      <c r="A893" s="117"/>
      <c r="B893" s="117"/>
      <c r="C893" s="117"/>
      <c r="D893" s="24"/>
      <c r="E893" s="24"/>
      <c r="F893" s="117"/>
      <c r="G893" s="117"/>
      <c r="H893" s="117"/>
      <c r="I893" s="117"/>
      <c r="J893" s="117"/>
      <c r="K893" s="117"/>
      <c r="L893" s="117"/>
      <c r="M893" s="117"/>
      <c r="N893" s="117"/>
      <c r="O893" s="117"/>
      <c r="P893" s="117"/>
      <c r="Q893" s="117"/>
      <c r="R893" s="117"/>
      <c r="S893" s="117"/>
    </row>
    <row r="894" spans="1:19" ht="12.9">
      <c r="A894" s="117"/>
      <c r="B894" s="117"/>
      <c r="C894" s="117"/>
      <c r="D894" s="24"/>
      <c r="E894" s="24"/>
      <c r="F894" s="117"/>
      <c r="G894" s="117"/>
      <c r="H894" s="117"/>
      <c r="I894" s="117"/>
      <c r="J894" s="117"/>
      <c r="K894" s="117"/>
      <c r="L894" s="117"/>
      <c r="M894" s="117"/>
      <c r="N894" s="117"/>
      <c r="O894" s="117"/>
      <c r="P894" s="117"/>
      <c r="Q894" s="117"/>
      <c r="R894" s="117"/>
      <c r="S894" s="117"/>
    </row>
    <row r="895" spans="1:19" ht="12.9">
      <c r="A895" s="117"/>
      <c r="B895" s="117"/>
      <c r="C895" s="117"/>
      <c r="D895" s="24"/>
      <c r="E895" s="24"/>
      <c r="F895" s="117"/>
      <c r="G895" s="117"/>
      <c r="H895" s="117"/>
      <c r="I895" s="117"/>
      <c r="J895" s="117"/>
      <c r="K895" s="117"/>
      <c r="L895" s="117"/>
      <c r="M895" s="117"/>
      <c r="N895" s="117"/>
      <c r="O895" s="117"/>
      <c r="P895" s="117"/>
      <c r="Q895" s="117"/>
      <c r="R895" s="117"/>
      <c r="S895" s="117"/>
    </row>
    <row r="896" spans="1:19" ht="12.9">
      <c r="A896" s="117"/>
      <c r="B896" s="117"/>
      <c r="C896" s="117"/>
      <c r="D896" s="24"/>
      <c r="E896" s="24"/>
      <c r="F896" s="117"/>
      <c r="G896" s="117"/>
      <c r="H896" s="117"/>
      <c r="I896" s="117"/>
      <c r="J896" s="117"/>
      <c r="K896" s="117"/>
      <c r="L896" s="117"/>
      <c r="M896" s="117"/>
      <c r="N896" s="117"/>
      <c r="O896" s="117"/>
      <c r="P896" s="117"/>
      <c r="Q896" s="117"/>
      <c r="R896" s="117"/>
      <c r="S896" s="117"/>
    </row>
    <row r="897" spans="1:19" ht="12.9">
      <c r="A897" s="117"/>
      <c r="B897" s="117"/>
      <c r="C897" s="117"/>
      <c r="D897" s="24"/>
      <c r="E897" s="24"/>
      <c r="F897" s="117"/>
      <c r="G897" s="117"/>
      <c r="H897" s="117"/>
      <c r="I897" s="117"/>
      <c r="J897" s="117"/>
      <c r="K897" s="117"/>
      <c r="L897" s="117"/>
      <c r="M897" s="117"/>
      <c r="N897" s="117"/>
      <c r="O897" s="117"/>
      <c r="P897" s="117"/>
      <c r="Q897" s="117"/>
      <c r="R897" s="117"/>
      <c r="S897" s="117"/>
    </row>
    <row r="898" spans="1:19" ht="12.9">
      <c r="A898" s="117"/>
      <c r="B898" s="117"/>
      <c r="C898" s="117"/>
      <c r="D898" s="24"/>
      <c r="E898" s="24"/>
      <c r="F898" s="117"/>
      <c r="G898" s="117"/>
      <c r="H898" s="117"/>
      <c r="I898" s="117"/>
      <c r="J898" s="117"/>
      <c r="K898" s="117"/>
      <c r="L898" s="117"/>
      <c r="M898" s="117"/>
      <c r="N898" s="117"/>
      <c r="O898" s="117"/>
      <c r="P898" s="117"/>
      <c r="Q898" s="117"/>
      <c r="R898" s="117"/>
      <c r="S898" s="117"/>
    </row>
    <row r="899" spans="1:19" ht="12.9">
      <c r="A899" s="117"/>
      <c r="B899" s="117"/>
      <c r="C899" s="117"/>
      <c r="D899" s="24"/>
      <c r="E899" s="24"/>
      <c r="F899" s="117"/>
      <c r="G899" s="117"/>
      <c r="H899" s="117"/>
      <c r="I899" s="117"/>
      <c r="J899" s="117"/>
      <c r="K899" s="117"/>
      <c r="L899" s="117"/>
      <c r="M899" s="117"/>
      <c r="N899" s="117"/>
      <c r="O899" s="117"/>
      <c r="P899" s="117"/>
      <c r="Q899" s="117"/>
      <c r="R899" s="117"/>
      <c r="S899" s="117"/>
    </row>
    <row r="900" spans="1:19" ht="12.9">
      <c r="A900" s="117"/>
      <c r="B900" s="117"/>
      <c r="C900" s="117"/>
      <c r="D900" s="24"/>
      <c r="E900" s="24"/>
      <c r="F900" s="117"/>
      <c r="G900" s="117"/>
      <c r="H900" s="117"/>
      <c r="I900" s="117"/>
      <c r="J900" s="117"/>
      <c r="K900" s="117"/>
      <c r="L900" s="117"/>
      <c r="M900" s="117"/>
      <c r="N900" s="117"/>
      <c r="O900" s="117"/>
      <c r="P900" s="117"/>
      <c r="Q900" s="117"/>
      <c r="R900" s="117"/>
      <c r="S900" s="117"/>
    </row>
    <row r="901" spans="1:19" ht="12.9">
      <c r="A901" s="117"/>
      <c r="B901" s="117"/>
      <c r="C901" s="117"/>
      <c r="D901" s="24"/>
      <c r="E901" s="24"/>
      <c r="F901" s="117"/>
      <c r="G901" s="117"/>
      <c r="H901" s="117"/>
      <c r="I901" s="117"/>
      <c r="J901" s="117"/>
      <c r="K901" s="117"/>
      <c r="L901" s="117"/>
      <c r="M901" s="117"/>
      <c r="N901" s="117"/>
      <c r="O901" s="117"/>
      <c r="P901" s="117"/>
      <c r="Q901" s="117"/>
      <c r="R901" s="117"/>
      <c r="S901" s="117"/>
    </row>
    <row r="902" spans="1:19" ht="12.9">
      <c r="A902" s="117"/>
      <c r="B902" s="117"/>
      <c r="C902" s="117"/>
      <c r="D902" s="24"/>
      <c r="E902" s="24"/>
      <c r="F902" s="117"/>
      <c r="G902" s="117"/>
      <c r="H902" s="117"/>
      <c r="I902" s="117"/>
      <c r="J902" s="117"/>
      <c r="K902" s="117"/>
      <c r="L902" s="117"/>
      <c r="M902" s="117"/>
      <c r="N902" s="117"/>
      <c r="O902" s="117"/>
      <c r="P902" s="117"/>
      <c r="Q902" s="117"/>
      <c r="R902" s="117"/>
      <c r="S902" s="117"/>
    </row>
    <row r="903" spans="1:19" ht="12.9">
      <c r="A903" s="117"/>
      <c r="B903" s="117"/>
      <c r="C903" s="117"/>
      <c r="D903" s="24"/>
      <c r="E903" s="24"/>
      <c r="F903" s="117"/>
      <c r="G903" s="117"/>
      <c r="H903" s="117"/>
      <c r="I903" s="117"/>
      <c r="J903" s="117"/>
      <c r="K903" s="117"/>
      <c r="L903" s="117"/>
      <c r="M903" s="117"/>
      <c r="N903" s="117"/>
      <c r="O903" s="117"/>
      <c r="P903" s="117"/>
      <c r="Q903" s="117"/>
      <c r="R903" s="117"/>
      <c r="S903" s="117"/>
    </row>
    <row r="904" spans="1:19" ht="12.9">
      <c r="A904" s="117"/>
      <c r="B904" s="117"/>
      <c r="C904" s="117"/>
      <c r="D904" s="24"/>
      <c r="E904" s="24"/>
      <c r="F904" s="117"/>
      <c r="G904" s="117"/>
      <c r="H904" s="117"/>
      <c r="I904" s="117"/>
      <c r="J904" s="117"/>
      <c r="K904" s="117"/>
      <c r="L904" s="117"/>
      <c r="M904" s="117"/>
      <c r="N904" s="117"/>
      <c r="O904" s="117"/>
      <c r="P904" s="117"/>
      <c r="Q904" s="117"/>
      <c r="R904" s="117"/>
      <c r="S904" s="117"/>
    </row>
    <row r="905" spans="1:19" ht="12.9">
      <c r="A905" s="117"/>
      <c r="B905" s="117"/>
      <c r="C905" s="117"/>
      <c r="D905" s="24"/>
      <c r="E905" s="24"/>
      <c r="F905" s="117"/>
      <c r="G905" s="117"/>
      <c r="H905" s="117"/>
      <c r="I905" s="117"/>
      <c r="J905" s="117"/>
      <c r="K905" s="117"/>
      <c r="L905" s="117"/>
      <c r="M905" s="117"/>
      <c r="N905" s="117"/>
      <c r="O905" s="117"/>
      <c r="P905" s="117"/>
      <c r="Q905" s="117"/>
      <c r="R905" s="117"/>
      <c r="S905" s="117"/>
    </row>
    <row r="906" spans="1:19" ht="12.9">
      <c r="A906" s="117"/>
      <c r="B906" s="117"/>
      <c r="C906" s="117"/>
      <c r="D906" s="24"/>
      <c r="E906" s="24"/>
      <c r="F906" s="117"/>
      <c r="G906" s="117"/>
      <c r="H906" s="117"/>
      <c r="I906" s="117"/>
      <c r="J906" s="117"/>
      <c r="K906" s="117"/>
      <c r="L906" s="117"/>
      <c r="M906" s="117"/>
      <c r="N906" s="117"/>
      <c r="O906" s="117"/>
      <c r="P906" s="117"/>
      <c r="Q906" s="117"/>
      <c r="R906" s="117"/>
      <c r="S906" s="117"/>
    </row>
    <row r="907" spans="1:19" ht="12.9">
      <c r="A907" s="117"/>
      <c r="B907" s="117"/>
      <c r="C907" s="117"/>
      <c r="D907" s="24"/>
      <c r="E907" s="24"/>
      <c r="F907" s="117"/>
      <c r="G907" s="117"/>
      <c r="H907" s="117"/>
      <c r="I907" s="117"/>
      <c r="J907" s="117"/>
      <c r="K907" s="117"/>
      <c r="L907" s="117"/>
      <c r="M907" s="117"/>
      <c r="N907" s="117"/>
      <c r="O907" s="117"/>
      <c r="P907" s="117"/>
      <c r="Q907" s="117"/>
      <c r="R907" s="117"/>
      <c r="S907" s="117"/>
    </row>
    <row r="908" spans="1:19" ht="12.9">
      <c r="A908" s="117"/>
      <c r="B908" s="117"/>
      <c r="C908" s="117"/>
      <c r="D908" s="24"/>
      <c r="E908" s="24"/>
      <c r="F908" s="117"/>
      <c r="G908" s="117"/>
      <c r="H908" s="117"/>
      <c r="I908" s="117"/>
      <c r="J908" s="117"/>
      <c r="K908" s="117"/>
      <c r="L908" s="117"/>
      <c r="M908" s="117"/>
      <c r="N908" s="117"/>
      <c r="O908" s="117"/>
      <c r="P908" s="117"/>
      <c r="Q908" s="117"/>
      <c r="R908" s="117"/>
      <c r="S908" s="117"/>
    </row>
    <row r="909" spans="1:19" ht="12.9">
      <c r="A909" s="117"/>
      <c r="B909" s="117"/>
      <c r="C909" s="117"/>
      <c r="D909" s="24"/>
      <c r="E909" s="24"/>
      <c r="F909" s="117"/>
      <c r="G909" s="117"/>
      <c r="H909" s="117"/>
      <c r="I909" s="117"/>
      <c r="J909" s="117"/>
      <c r="K909" s="117"/>
      <c r="L909" s="117"/>
      <c r="M909" s="117"/>
      <c r="N909" s="117"/>
      <c r="O909" s="117"/>
      <c r="P909" s="117"/>
      <c r="Q909" s="117"/>
      <c r="R909" s="117"/>
      <c r="S909" s="117"/>
    </row>
    <row r="910" spans="1:19" ht="12.9">
      <c r="A910" s="117"/>
      <c r="B910" s="117"/>
      <c r="C910" s="117"/>
      <c r="D910" s="24"/>
      <c r="E910" s="24"/>
      <c r="F910" s="117"/>
      <c r="G910" s="117"/>
      <c r="H910" s="117"/>
      <c r="I910" s="117"/>
      <c r="J910" s="117"/>
      <c r="K910" s="117"/>
      <c r="L910" s="117"/>
      <c r="M910" s="117"/>
      <c r="N910" s="117"/>
      <c r="O910" s="117"/>
      <c r="P910" s="117"/>
      <c r="Q910" s="117"/>
      <c r="R910" s="117"/>
      <c r="S910" s="117"/>
    </row>
    <row r="911" spans="1:19" ht="12.9">
      <c r="A911" s="117"/>
      <c r="B911" s="117"/>
      <c r="C911" s="117"/>
      <c r="D911" s="24"/>
      <c r="E911" s="24"/>
      <c r="F911" s="117"/>
      <c r="G911" s="117"/>
      <c r="H911" s="117"/>
      <c r="I911" s="117"/>
      <c r="J911" s="117"/>
      <c r="K911" s="117"/>
      <c r="L911" s="117"/>
      <c r="M911" s="117"/>
      <c r="N911" s="117"/>
      <c r="O911" s="117"/>
      <c r="P911" s="117"/>
      <c r="Q911" s="117"/>
      <c r="R911" s="117"/>
      <c r="S911" s="117"/>
    </row>
    <row r="912" spans="1:19" ht="12.9">
      <c r="A912" s="117"/>
      <c r="B912" s="117"/>
      <c r="C912" s="117"/>
      <c r="D912" s="24"/>
      <c r="E912" s="24"/>
      <c r="F912" s="117"/>
      <c r="G912" s="117"/>
      <c r="H912" s="117"/>
      <c r="I912" s="117"/>
      <c r="J912" s="117"/>
      <c r="K912" s="117"/>
      <c r="L912" s="117"/>
      <c r="M912" s="117"/>
      <c r="N912" s="117"/>
      <c r="O912" s="117"/>
      <c r="P912" s="117"/>
      <c r="Q912" s="117"/>
      <c r="R912" s="117"/>
      <c r="S912" s="117"/>
    </row>
    <row r="913" spans="1:19" ht="12.9">
      <c r="A913" s="117"/>
      <c r="B913" s="117"/>
      <c r="C913" s="117"/>
      <c r="D913" s="24"/>
      <c r="E913" s="24"/>
      <c r="F913" s="117"/>
      <c r="G913" s="117"/>
      <c r="H913" s="117"/>
      <c r="I913" s="117"/>
      <c r="J913" s="117"/>
      <c r="K913" s="117"/>
      <c r="L913" s="117"/>
      <c r="M913" s="117"/>
      <c r="N913" s="117"/>
      <c r="O913" s="117"/>
      <c r="P913" s="117"/>
      <c r="Q913" s="117"/>
      <c r="R913" s="117"/>
      <c r="S913" s="117"/>
    </row>
    <row r="914" spans="1:19" ht="12.9">
      <c r="A914" s="117"/>
      <c r="B914" s="117"/>
      <c r="C914" s="117"/>
      <c r="D914" s="24"/>
      <c r="E914" s="24"/>
      <c r="F914" s="117"/>
      <c r="G914" s="117"/>
      <c r="H914" s="117"/>
      <c r="I914" s="117"/>
      <c r="J914" s="117"/>
      <c r="K914" s="117"/>
      <c r="L914" s="117"/>
      <c r="M914" s="117"/>
      <c r="N914" s="117"/>
      <c r="O914" s="117"/>
      <c r="P914" s="117"/>
      <c r="Q914" s="117"/>
      <c r="R914" s="117"/>
      <c r="S914" s="117"/>
    </row>
    <row r="915" spans="1:19" ht="12.9">
      <c r="A915" s="117"/>
      <c r="B915" s="117"/>
      <c r="C915" s="117"/>
      <c r="D915" s="24"/>
      <c r="E915" s="24"/>
      <c r="F915" s="117"/>
      <c r="G915" s="117"/>
      <c r="H915" s="117"/>
      <c r="I915" s="117"/>
      <c r="J915" s="117"/>
      <c r="K915" s="117"/>
      <c r="L915" s="117"/>
      <c r="M915" s="117"/>
      <c r="N915" s="117"/>
      <c r="O915" s="117"/>
      <c r="P915" s="117"/>
      <c r="Q915" s="117"/>
      <c r="R915" s="117"/>
      <c r="S915" s="117"/>
    </row>
    <row r="916" spans="1:19" ht="12.9">
      <c r="A916" s="117"/>
      <c r="B916" s="117"/>
      <c r="C916" s="117"/>
      <c r="D916" s="24"/>
      <c r="E916" s="24"/>
      <c r="F916" s="117"/>
      <c r="G916" s="117"/>
      <c r="H916" s="117"/>
      <c r="I916" s="117"/>
      <c r="J916" s="117"/>
      <c r="K916" s="117"/>
      <c r="L916" s="117"/>
      <c r="M916" s="117"/>
      <c r="N916" s="117"/>
      <c r="O916" s="117"/>
      <c r="P916" s="117"/>
      <c r="Q916" s="117"/>
      <c r="R916" s="117"/>
      <c r="S916" s="117"/>
    </row>
    <row r="917" spans="1:19" ht="12.9">
      <c r="A917" s="117"/>
      <c r="B917" s="117"/>
      <c r="C917" s="117"/>
      <c r="D917" s="24"/>
      <c r="E917" s="24"/>
      <c r="F917" s="117"/>
      <c r="G917" s="117"/>
      <c r="H917" s="117"/>
      <c r="I917" s="117"/>
      <c r="J917" s="117"/>
      <c r="K917" s="117"/>
      <c r="L917" s="117"/>
      <c r="M917" s="117"/>
      <c r="N917" s="117"/>
      <c r="O917" s="117"/>
      <c r="P917" s="117"/>
      <c r="Q917" s="117"/>
      <c r="R917" s="117"/>
      <c r="S917" s="117"/>
    </row>
    <row r="918" spans="1:19" ht="12.9">
      <c r="A918" s="117"/>
      <c r="B918" s="117"/>
      <c r="C918" s="117"/>
      <c r="D918" s="24"/>
      <c r="E918" s="24"/>
      <c r="F918" s="117"/>
      <c r="G918" s="117"/>
      <c r="H918" s="117"/>
      <c r="I918" s="117"/>
      <c r="J918" s="117"/>
      <c r="K918" s="117"/>
      <c r="L918" s="117"/>
      <c r="M918" s="117"/>
      <c r="N918" s="117"/>
      <c r="O918" s="117"/>
      <c r="P918" s="117"/>
      <c r="Q918" s="117"/>
      <c r="R918" s="117"/>
      <c r="S918" s="117"/>
    </row>
    <row r="919" spans="1:19" ht="12.9">
      <c r="A919" s="117"/>
      <c r="B919" s="117"/>
      <c r="C919" s="117"/>
      <c r="D919" s="24"/>
      <c r="E919" s="24"/>
      <c r="F919" s="117"/>
      <c r="G919" s="117"/>
      <c r="H919" s="117"/>
      <c r="I919" s="117"/>
      <c r="J919" s="117"/>
      <c r="K919" s="117"/>
      <c r="L919" s="117"/>
      <c r="M919" s="117"/>
      <c r="N919" s="117"/>
      <c r="O919" s="117"/>
      <c r="P919" s="117"/>
      <c r="Q919" s="117"/>
      <c r="R919" s="117"/>
      <c r="S919" s="117"/>
    </row>
    <row r="920" spans="1:19" ht="12.9">
      <c r="A920" s="117"/>
      <c r="B920" s="117"/>
      <c r="C920" s="117"/>
      <c r="D920" s="24"/>
      <c r="E920" s="24"/>
      <c r="F920" s="117"/>
      <c r="G920" s="117"/>
      <c r="H920" s="117"/>
      <c r="I920" s="117"/>
      <c r="J920" s="117"/>
      <c r="K920" s="117"/>
      <c r="L920" s="117"/>
      <c r="M920" s="117"/>
      <c r="N920" s="117"/>
      <c r="O920" s="117"/>
      <c r="P920" s="117"/>
      <c r="Q920" s="117"/>
      <c r="R920" s="117"/>
      <c r="S920" s="117"/>
    </row>
    <row r="921" spans="1:19" ht="12.9">
      <c r="A921" s="117"/>
      <c r="B921" s="117"/>
      <c r="C921" s="117"/>
      <c r="D921" s="24"/>
      <c r="E921" s="24"/>
      <c r="F921" s="117"/>
      <c r="G921" s="117"/>
      <c r="H921" s="117"/>
      <c r="I921" s="117"/>
      <c r="J921" s="117"/>
      <c r="K921" s="117"/>
      <c r="L921" s="117"/>
      <c r="M921" s="117"/>
      <c r="N921" s="117"/>
      <c r="O921" s="117"/>
      <c r="P921" s="117"/>
      <c r="Q921" s="117"/>
      <c r="R921" s="117"/>
      <c r="S921" s="117"/>
    </row>
    <row r="922" spans="1:19" ht="12.9">
      <c r="A922" s="117"/>
      <c r="B922" s="117"/>
      <c r="C922" s="117"/>
      <c r="D922" s="24"/>
      <c r="E922" s="24"/>
      <c r="F922" s="117"/>
      <c r="G922" s="117"/>
      <c r="H922" s="117"/>
      <c r="I922" s="117"/>
      <c r="J922" s="117"/>
      <c r="K922" s="117"/>
      <c r="L922" s="117"/>
      <c r="M922" s="117"/>
      <c r="N922" s="117"/>
      <c r="O922" s="117"/>
      <c r="P922" s="117"/>
      <c r="Q922" s="117"/>
      <c r="R922" s="117"/>
      <c r="S922" s="117"/>
    </row>
    <row r="923" spans="1:19" ht="12.9">
      <c r="A923" s="117"/>
      <c r="B923" s="117"/>
      <c r="C923" s="117"/>
      <c r="D923" s="24"/>
      <c r="E923" s="24"/>
      <c r="F923" s="117"/>
      <c r="G923" s="117"/>
      <c r="H923" s="117"/>
      <c r="I923" s="117"/>
      <c r="J923" s="117"/>
      <c r="K923" s="117"/>
      <c r="L923" s="117"/>
      <c r="M923" s="117"/>
      <c r="N923" s="117"/>
      <c r="O923" s="117"/>
      <c r="P923" s="117"/>
      <c r="Q923" s="117"/>
      <c r="R923" s="117"/>
      <c r="S923" s="117"/>
    </row>
    <row r="924" spans="1:19" ht="12.9">
      <c r="A924" s="117"/>
      <c r="B924" s="117"/>
      <c r="C924" s="117"/>
      <c r="D924" s="24"/>
      <c r="E924" s="24"/>
      <c r="F924" s="117"/>
      <c r="G924" s="117"/>
      <c r="H924" s="117"/>
      <c r="I924" s="117"/>
      <c r="J924" s="117"/>
      <c r="K924" s="117"/>
      <c r="L924" s="117"/>
      <c r="M924" s="117"/>
      <c r="N924" s="117"/>
      <c r="O924" s="117"/>
      <c r="P924" s="117"/>
      <c r="Q924" s="117"/>
      <c r="R924" s="117"/>
      <c r="S924" s="117"/>
    </row>
    <row r="925" spans="1:19" ht="12.9">
      <c r="A925" s="117"/>
      <c r="B925" s="117"/>
      <c r="C925" s="117"/>
      <c r="D925" s="24"/>
      <c r="E925" s="24"/>
      <c r="F925" s="117"/>
      <c r="G925" s="117"/>
      <c r="H925" s="117"/>
      <c r="I925" s="117"/>
      <c r="J925" s="117"/>
      <c r="K925" s="117"/>
      <c r="L925" s="117"/>
      <c r="M925" s="117"/>
      <c r="N925" s="117"/>
      <c r="O925" s="117"/>
      <c r="P925" s="117"/>
      <c r="Q925" s="117"/>
      <c r="R925" s="117"/>
      <c r="S925" s="117"/>
    </row>
    <row r="926" spans="1:19" ht="12.9">
      <c r="A926" s="117"/>
      <c r="B926" s="117"/>
      <c r="C926" s="117"/>
      <c r="D926" s="24"/>
      <c r="E926" s="24"/>
      <c r="F926" s="117"/>
      <c r="G926" s="117"/>
      <c r="H926" s="117"/>
      <c r="I926" s="117"/>
      <c r="J926" s="117"/>
      <c r="K926" s="117"/>
      <c r="L926" s="117"/>
      <c r="M926" s="117"/>
      <c r="N926" s="117"/>
      <c r="O926" s="117"/>
      <c r="P926" s="117"/>
      <c r="Q926" s="117"/>
      <c r="R926" s="117"/>
      <c r="S926" s="117"/>
    </row>
    <row r="927" spans="1:19" ht="12.9">
      <c r="A927" s="117"/>
      <c r="B927" s="117"/>
      <c r="C927" s="117"/>
      <c r="D927" s="24"/>
      <c r="E927" s="24"/>
      <c r="F927" s="117"/>
      <c r="G927" s="117"/>
      <c r="H927" s="117"/>
      <c r="I927" s="117"/>
      <c r="J927" s="117"/>
      <c r="K927" s="117"/>
      <c r="L927" s="117"/>
      <c r="M927" s="117"/>
      <c r="N927" s="117"/>
      <c r="O927" s="117"/>
      <c r="P927" s="117"/>
      <c r="Q927" s="117"/>
      <c r="R927" s="117"/>
      <c r="S927" s="117"/>
    </row>
    <row r="928" spans="1:19" ht="12.9">
      <c r="A928" s="117"/>
      <c r="B928" s="117"/>
      <c r="C928" s="117"/>
      <c r="D928" s="24"/>
      <c r="E928" s="24"/>
      <c r="F928" s="117"/>
      <c r="G928" s="117"/>
      <c r="H928" s="117"/>
      <c r="I928" s="117"/>
      <c r="J928" s="117"/>
      <c r="K928" s="117"/>
      <c r="L928" s="117"/>
      <c r="M928" s="117"/>
      <c r="N928" s="117"/>
      <c r="O928" s="117"/>
      <c r="P928" s="117"/>
      <c r="Q928" s="117"/>
      <c r="R928" s="117"/>
      <c r="S928" s="117"/>
    </row>
    <row r="929" spans="1:19" ht="12.9">
      <c r="A929" s="117"/>
      <c r="B929" s="117"/>
      <c r="C929" s="117"/>
      <c r="D929" s="24"/>
      <c r="E929" s="24"/>
      <c r="F929" s="117"/>
      <c r="G929" s="117"/>
      <c r="H929" s="117"/>
      <c r="I929" s="117"/>
      <c r="J929" s="117"/>
      <c r="K929" s="117"/>
      <c r="L929" s="117"/>
      <c r="M929" s="117"/>
      <c r="N929" s="117"/>
      <c r="O929" s="117"/>
      <c r="P929" s="117"/>
      <c r="Q929" s="117"/>
      <c r="R929" s="117"/>
      <c r="S929" s="117"/>
    </row>
    <row r="930" spans="1:19" ht="12.9">
      <c r="A930" s="117"/>
      <c r="B930" s="117"/>
      <c r="C930" s="117"/>
      <c r="D930" s="24"/>
      <c r="E930" s="24"/>
      <c r="F930" s="117"/>
      <c r="G930" s="117"/>
      <c r="H930" s="117"/>
      <c r="I930" s="117"/>
      <c r="J930" s="117"/>
      <c r="K930" s="117"/>
      <c r="L930" s="117"/>
      <c r="M930" s="117"/>
      <c r="N930" s="117"/>
      <c r="O930" s="117"/>
      <c r="P930" s="117"/>
      <c r="Q930" s="117"/>
      <c r="R930" s="117"/>
      <c r="S930" s="117"/>
    </row>
    <row r="931" spans="1:19" ht="12.9">
      <c r="A931" s="117"/>
      <c r="B931" s="117"/>
      <c r="C931" s="117"/>
      <c r="D931" s="24"/>
      <c r="E931" s="24"/>
      <c r="F931" s="117"/>
      <c r="G931" s="117"/>
      <c r="H931" s="117"/>
      <c r="I931" s="117"/>
      <c r="J931" s="117"/>
      <c r="K931" s="117"/>
      <c r="L931" s="117"/>
      <c r="M931" s="117"/>
      <c r="N931" s="117"/>
      <c r="O931" s="117"/>
      <c r="P931" s="117"/>
      <c r="Q931" s="117"/>
      <c r="R931" s="117"/>
      <c r="S931" s="117"/>
    </row>
    <row r="932" spans="1:19" ht="12.9">
      <c r="A932" s="117"/>
      <c r="B932" s="117"/>
      <c r="C932" s="117"/>
      <c r="D932" s="24"/>
      <c r="E932" s="24"/>
      <c r="F932" s="117"/>
      <c r="G932" s="117"/>
      <c r="H932" s="117"/>
      <c r="I932" s="117"/>
      <c r="J932" s="117"/>
      <c r="K932" s="117"/>
      <c r="L932" s="117"/>
      <c r="M932" s="117"/>
      <c r="N932" s="117"/>
      <c r="O932" s="117"/>
      <c r="P932" s="117"/>
      <c r="Q932" s="117"/>
      <c r="R932" s="117"/>
      <c r="S932" s="117"/>
    </row>
    <row r="933" spans="1:19" ht="12.9">
      <c r="A933" s="117"/>
      <c r="B933" s="117"/>
      <c r="C933" s="117"/>
      <c r="D933" s="24"/>
      <c r="E933" s="24"/>
      <c r="F933" s="117"/>
      <c r="G933" s="117"/>
      <c r="H933" s="117"/>
      <c r="I933" s="117"/>
      <c r="J933" s="117"/>
      <c r="K933" s="117"/>
      <c r="L933" s="117"/>
      <c r="M933" s="117"/>
      <c r="N933" s="117"/>
      <c r="O933" s="117"/>
      <c r="P933" s="117"/>
      <c r="Q933" s="117"/>
      <c r="R933" s="117"/>
      <c r="S933" s="117"/>
    </row>
    <row r="934" spans="1:19" ht="12.9">
      <c r="A934" s="117"/>
      <c r="B934" s="117"/>
      <c r="C934" s="117"/>
      <c r="D934" s="24"/>
      <c r="E934" s="24"/>
      <c r="F934" s="117"/>
      <c r="G934" s="117"/>
      <c r="H934" s="117"/>
      <c r="I934" s="117"/>
      <c r="J934" s="117"/>
      <c r="K934" s="117"/>
      <c r="L934" s="117"/>
      <c r="M934" s="117"/>
      <c r="N934" s="117"/>
      <c r="O934" s="117"/>
      <c r="P934" s="117"/>
      <c r="Q934" s="117"/>
      <c r="R934" s="117"/>
      <c r="S934" s="117"/>
    </row>
    <row r="935" spans="1:19" ht="12.9">
      <c r="A935" s="117"/>
      <c r="B935" s="117"/>
      <c r="C935" s="117"/>
      <c r="D935" s="24"/>
      <c r="E935" s="24"/>
      <c r="F935" s="117"/>
      <c r="G935" s="117"/>
      <c r="H935" s="117"/>
      <c r="I935" s="117"/>
      <c r="J935" s="117"/>
      <c r="K935" s="117"/>
      <c r="L935" s="117"/>
      <c r="M935" s="117"/>
      <c r="N935" s="117"/>
      <c r="O935" s="117"/>
      <c r="P935" s="117"/>
      <c r="Q935" s="117"/>
      <c r="R935" s="117"/>
      <c r="S935" s="117"/>
    </row>
    <row r="936" spans="1:19" ht="12.9">
      <c r="A936" s="117"/>
      <c r="B936" s="117"/>
      <c r="C936" s="117"/>
      <c r="D936" s="24"/>
      <c r="E936" s="24"/>
      <c r="F936" s="117"/>
      <c r="G936" s="117"/>
      <c r="H936" s="117"/>
      <c r="I936" s="117"/>
      <c r="J936" s="117"/>
      <c r="K936" s="117"/>
      <c r="L936" s="117"/>
      <c r="M936" s="117"/>
      <c r="N936" s="117"/>
      <c r="O936" s="117"/>
      <c r="P936" s="117"/>
      <c r="Q936" s="117"/>
      <c r="R936" s="117"/>
      <c r="S936" s="117"/>
    </row>
    <row r="937" spans="1:19" ht="12.9">
      <c r="A937" s="117"/>
      <c r="B937" s="117"/>
      <c r="C937" s="117"/>
      <c r="D937" s="24"/>
      <c r="E937" s="24"/>
      <c r="F937" s="117"/>
      <c r="G937" s="117"/>
      <c r="H937" s="117"/>
      <c r="I937" s="117"/>
      <c r="J937" s="117"/>
      <c r="K937" s="117"/>
      <c r="L937" s="117"/>
      <c r="M937" s="117"/>
      <c r="N937" s="117"/>
      <c r="O937" s="117"/>
      <c r="P937" s="117"/>
      <c r="Q937" s="117"/>
      <c r="R937" s="117"/>
      <c r="S937" s="117"/>
    </row>
    <row r="938" spans="1:19" ht="12.9">
      <c r="A938" s="117"/>
      <c r="B938" s="117"/>
      <c r="C938" s="117"/>
      <c r="D938" s="24"/>
      <c r="E938" s="24"/>
      <c r="F938" s="117"/>
      <c r="G938" s="117"/>
      <c r="H938" s="117"/>
      <c r="I938" s="117"/>
      <c r="J938" s="117"/>
      <c r="K938" s="117"/>
      <c r="L938" s="117"/>
      <c r="M938" s="117"/>
      <c r="N938" s="117"/>
      <c r="O938" s="117"/>
      <c r="P938" s="117"/>
      <c r="Q938" s="117"/>
      <c r="R938" s="117"/>
      <c r="S938" s="117"/>
    </row>
    <row r="939" spans="1:19" ht="12.9">
      <c r="A939" s="117"/>
      <c r="B939" s="117"/>
      <c r="C939" s="117"/>
      <c r="D939" s="24"/>
      <c r="E939" s="24"/>
      <c r="F939" s="117"/>
      <c r="G939" s="117"/>
      <c r="H939" s="117"/>
      <c r="I939" s="117"/>
      <c r="J939" s="117"/>
      <c r="K939" s="117"/>
      <c r="L939" s="117"/>
      <c r="M939" s="117"/>
      <c r="N939" s="117"/>
      <c r="O939" s="117"/>
      <c r="P939" s="117"/>
      <c r="Q939" s="117"/>
      <c r="R939" s="117"/>
      <c r="S939" s="117"/>
    </row>
    <row r="940" spans="1:19" ht="12.9">
      <c r="A940" s="117"/>
      <c r="B940" s="117"/>
      <c r="C940" s="117"/>
      <c r="D940" s="24"/>
      <c r="E940" s="24"/>
      <c r="F940" s="117"/>
      <c r="G940" s="117"/>
      <c r="H940" s="117"/>
      <c r="I940" s="117"/>
      <c r="J940" s="117"/>
      <c r="K940" s="117"/>
      <c r="L940" s="117"/>
      <c r="M940" s="117"/>
      <c r="N940" s="117"/>
      <c r="O940" s="117"/>
      <c r="P940" s="117"/>
      <c r="Q940" s="117"/>
      <c r="R940" s="117"/>
      <c r="S940" s="117"/>
    </row>
    <row r="941" spans="1:19" ht="12.9">
      <c r="A941" s="117"/>
      <c r="B941" s="117"/>
      <c r="C941" s="117"/>
      <c r="D941" s="24"/>
      <c r="E941" s="24"/>
      <c r="F941" s="117"/>
      <c r="G941" s="117"/>
      <c r="H941" s="117"/>
      <c r="I941" s="117"/>
      <c r="J941" s="117"/>
      <c r="K941" s="117"/>
      <c r="L941" s="117"/>
      <c r="M941" s="117"/>
      <c r="N941" s="117"/>
      <c r="O941" s="117"/>
      <c r="P941" s="117"/>
      <c r="Q941" s="117"/>
      <c r="R941" s="117"/>
      <c r="S941" s="117"/>
    </row>
    <row r="942" spans="1:19" ht="12.9">
      <c r="A942" s="117"/>
      <c r="B942" s="117"/>
      <c r="C942" s="117"/>
      <c r="D942" s="24"/>
      <c r="E942" s="24"/>
      <c r="F942" s="117"/>
      <c r="G942" s="117"/>
      <c r="H942" s="117"/>
      <c r="I942" s="117"/>
      <c r="J942" s="117"/>
      <c r="K942" s="117"/>
      <c r="L942" s="117"/>
      <c r="M942" s="117"/>
      <c r="N942" s="117"/>
      <c r="O942" s="117"/>
      <c r="P942" s="117"/>
      <c r="Q942" s="117"/>
      <c r="R942" s="117"/>
      <c r="S942" s="117"/>
    </row>
    <row r="943" spans="1:19" ht="12.9">
      <c r="A943" s="117"/>
      <c r="B943" s="117"/>
      <c r="C943" s="117"/>
      <c r="D943" s="24"/>
      <c r="E943" s="24"/>
      <c r="F943" s="117"/>
      <c r="G943" s="117"/>
      <c r="H943" s="117"/>
      <c r="I943" s="117"/>
      <c r="J943" s="117"/>
      <c r="K943" s="117"/>
      <c r="L943" s="117"/>
      <c r="M943" s="117"/>
      <c r="N943" s="117"/>
      <c r="O943" s="117"/>
      <c r="P943" s="117"/>
      <c r="Q943" s="117"/>
      <c r="R943" s="117"/>
      <c r="S943" s="117"/>
    </row>
    <row r="944" spans="1:19" ht="12.9">
      <c r="A944" s="117"/>
      <c r="B944" s="117"/>
      <c r="C944" s="117"/>
      <c r="D944" s="24"/>
      <c r="E944" s="24"/>
      <c r="F944" s="117"/>
      <c r="G944" s="117"/>
      <c r="H944" s="117"/>
      <c r="I944" s="117"/>
      <c r="J944" s="117"/>
      <c r="K944" s="117"/>
      <c r="L944" s="117"/>
      <c r="M944" s="117"/>
      <c r="N944" s="117"/>
      <c r="O944" s="117"/>
      <c r="P944" s="117"/>
      <c r="Q944" s="117"/>
      <c r="R944" s="117"/>
      <c r="S944" s="117"/>
    </row>
    <row r="945" spans="1:19" ht="12.9">
      <c r="A945" s="117"/>
      <c r="B945" s="117"/>
      <c r="C945" s="117"/>
      <c r="D945" s="24"/>
      <c r="E945" s="24"/>
      <c r="F945" s="117"/>
      <c r="G945" s="117"/>
      <c r="H945" s="117"/>
      <c r="I945" s="117"/>
      <c r="J945" s="117"/>
      <c r="K945" s="117"/>
      <c r="L945" s="117"/>
      <c r="M945" s="117"/>
      <c r="N945" s="117"/>
      <c r="O945" s="117"/>
      <c r="P945" s="117"/>
      <c r="Q945" s="117"/>
      <c r="R945" s="117"/>
      <c r="S945" s="117"/>
    </row>
    <row r="946" spans="1:19" ht="12.9">
      <c r="A946" s="117"/>
      <c r="B946" s="117"/>
      <c r="C946" s="117"/>
      <c r="D946" s="24"/>
      <c r="E946" s="24"/>
      <c r="F946" s="117"/>
      <c r="G946" s="117"/>
      <c r="H946" s="117"/>
      <c r="I946" s="117"/>
      <c r="J946" s="117"/>
      <c r="K946" s="117"/>
      <c r="L946" s="117"/>
      <c r="M946" s="117"/>
      <c r="N946" s="117"/>
      <c r="O946" s="117"/>
      <c r="P946" s="117"/>
      <c r="Q946" s="117"/>
      <c r="R946" s="117"/>
      <c r="S946" s="117"/>
    </row>
    <row r="947" spans="1:19" ht="12.9">
      <c r="A947" s="117"/>
      <c r="B947" s="117"/>
      <c r="C947" s="117"/>
      <c r="D947" s="24"/>
      <c r="E947" s="24"/>
      <c r="F947" s="117"/>
      <c r="G947" s="117"/>
      <c r="H947" s="117"/>
      <c r="I947" s="117"/>
      <c r="J947" s="117"/>
      <c r="K947" s="117"/>
      <c r="L947" s="117"/>
      <c r="M947" s="117"/>
      <c r="N947" s="117"/>
      <c r="O947" s="117"/>
      <c r="P947" s="117"/>
      <c r="Q947" s="117"/>
      <c r="R947" s="117"/>
      <c r="S947" s="117"/>
    </row>
    <row r="948" spans="1:19" ht="12.9">
      <c r="A948" s="117"/>
      <c r="B948" s="117"/>
      <c r="C948" s="117"/>
      <c r="D948" s="24"/>
      <c r="E948" s="24"/>
      <c r="F948" s="117"/>
      <c r="G948" s="117"/>
      <c r="H948" s="117"/>
      <c r="I948" s="117"/>
      <c r="J948" s="117"/>
      <c r="K948" s="117"/>
      <c r="L948" s="117"/>
      <c r="M948" s="117"/>
      <c r="N948" s="117"/>
      <c r="O948" s="117"/>
      <c r="P948" s="117"/>
      <c r="Q948" s="117"/>
      <c r="R948" s="117"/>
      <c r="S948" s="117"/>
    </row>
    <row r="949" spans="1:19" ht="12.9">
      <c r="A949" s="117"/>
      <c r="B949" s="117"/>
      <c r="C949" s="117"/>
      <c r="D949" s="24"/>
      <c r="E949" s="24"/>
      <c r="F949" s="117"/>
      <c r="G949" s="117"/>
      <c r="H949" s="117"/>
      <c r="I949" s="117"/>
      <c r="J949" s="117"/>
      <c r="K949" s="117"/>
      <c r="L949" s="117"/>
      <c r="M949" s="117"/>
      <c r="N949" s="117"/>
      <c r="O949" s="117"/>
      <c r="P949" s="117"/>
      <c r="Q949" s="117"/>
      <c r="R949" s="117"/>
      <c r="S949" s="117"/>
    </row>
    <row r="950" spans="1:19" ht="12.9">
      <c r="A950" s="117"/>
      <c r="B950" s="117"/>
      <c r="C950" s="117"/>
      <c r="D950" s="24"/>
      <c r="E950" s="24"/>
      <c r="F950" s="117"/>
      <c r="G950" s="117"/>
      <c r="H950" s="117"/>
      <c r="I950" s="117"/>
      <c r="J950" s="117"/>
      <c r="K950" s="117"/>
      <c r="L950" s="117"/>
      <c r="M950" s="117"/>
      <c r="N950" s="117"/>
      <c r="O950" s="117"/>
      <c r="P950" s="117"/>
      <c r="Q950" s="117"/>
      <c r="R950" s="117"/>
      <c r="S950" s="117"/>
    </row>
    <row r="951" spans="1:19" ht="12.9">
      <c r="A951" s="117"/>
      <c r="B951" s="117"/>
      <c r="C951" s="117"/>
      <c r="D951" s="24"/>
      <c r="E951" s="24"/>
      <c r="F951" s="117"/>
      <c r="G951" s="117"/>
      <c r="H951" s="117"/>
      <c r="I951" s="117"/>
      <c r="J951" s="117"/>
      <c r="K951" s="117"/>
      <c r="L951" s="117"/>
      <c r="M951" s="117"/>
      <c r="N951" s="117"/>
      <c r="O951" s="117"/>
      <c r="P951" s="117"/>
      <c r="Q951" s="117"/>
      <c r="R951" s="117"/>
      <c r="S951" s="117"/>
    </row>
    <row r="952" spans="1:19" ht="12.9">
      <c r="A952" s="117"/>
      <c r="B952" s="117"/>
      <c r="C952" s="117"/>
      <c r="D952" s="24"/>
      <c r="E952" s="24"/>
      <c r="F952" s="117"/>
      <c r="G952" s="117"/>
      <c r="H952" s="117"/>
      <c r="I952" s="117"/>
      <c r="J952" s="117"/>
      <c r="K952" s="117"/>
      <c r="L952" s="117"/>
      <c r="M952" s="117"/>
      <c r="N952" s="117"/>
      <c r="O952" s="117"/>
      <c r="P952" s="117"/>
      <c r="Q952" s="117"/>
      <c r="R952" s="117"/>
      <c r="S952" s="117"/>
    </row>
    <row r="953" spans="1:19" ht="12.9">
      <c r="A953" s="117"/>
      <c r="B953" s="117"/>
      <c r="C953" s="117"/>
      <c r="D953" s="24"/>
      <c r="E953" s="24"/>
      <c r="F953" s="117"/>
      <c r="G953" s="117"/>
      <c r="H953" s="117"/>
      <c r="I953" s="117"/>
      <c r="J953" s="117"/>
      <c r="K953" s="117"/>
      <c r="L953" s="117"/>
      <c r="M953" s="117"/>
      <c r="N953" s="117"/>
      <c r="O953" s="117"/>
      <c r="P953" s="117"/>
      <c r="Q953" s="117"/>
      <c r="R953" s="117"/>
      <c r="S953" s="117"/>
    </row>
    <row r="954" spans="1:19" ht="12.9">
      <c r="A954" s="117"/>
      <c r="B954" s="117"/>
      <c r="C954" s="117"/>
      <c r="D954" s="24"/>
      <c r="E954" s="24"/>
      <c r="F954" s="117"/>
      <c r="G954" s="117"/>
      <c r="H954" s="117"/>
      <c r="I954" s="117"/>
      <c r="J954" s="117"/>
      <c r="K954" s="117"/>
      <c r="L954" s="117"/>
      <c r="M954" s="117"/>
      <c r="N954" s="117"/>
      <c r="O954" s="117"/>
      <c r="P954" s="117"/>
      <c r="Q954" s="117"/>
      <c r="R954" s="117"/>
      <c r="S954" s="117"/>
    </row>
    <row r="955" spans="1:19" ht="12.9">
      <c r="A955" s="117"/>
      <c r="B955" s="117"/>
      <c r="C955" s="117"/>
      <c r="D955" s="24"/>
      <c r="E955" s="24"/>
      <c r="F955" s="117"/>
      <c r="G955" s="117"/>
      <c r="H955" s="117"/>
      <c r="I955" s="117"/>
      <c r="J955" s="117"/>
      <c r="K955" s="117"/>
      <c r="L955" s="117"/>
      <c r="M955" s="117"/>
      <c r="N955" s="117"/>
      <c r="O955" s="117"/>
      <c r="P955" s="117"/>
      <c r="Q955" s="117"/>
      <c r="R955" s="117"/>
      <c r="S955" s="117"/>
    </row>
    <row r="956" spans="1:19" ht="12.9">
      <c r="A956" s="117"/>
      <c r="B956" s="117"/>
      <c r="C956" s="117"/>
      <c r="D956" s="24"/>
      <c r="E956" s="24"/>
      <c r="F956" s="117"/>
      <c r="G956" s="117"/>
      <c r="H956" s="117"/>
      <c r="I956" s="117"/>
      <c r="J956" s="117"/>
      <c r="K956" s="117"/>
      <c r="L956" s="117"/>
      <c r="M956" s="117"/>
      <c r="N956" s="117"/>
      <c r="O956" s="117"/>
      <c r="P956" s="117"/>
      <c r="Q956" s="117"/>
      <c r="R956" s="117"/>
      <c r="S956" s="117"/>
    </row>
    <row r="957" spans="1:19" ht="12.9">
      <c r="A957" s="117"/>
      <c r="B957" s="117"/>
      <c r="C957" s="117"/>
      <c r="D957" s="24"/>
      <c r="E957" s="24"/>
      <c r="F957" s="117"/>
      <c r="G957" s="117"/>
      <c r="H957" s="117"/>
      <c r="I957" s="117"/>
      <c r="J957" s="117"/>
      <c r="K957" s="117"/>
      <c r="L957" s="117"/>
      <c r="M957" s="117"/>
      <c r="N957" s="117"/>
      <c r="O957" s="117"/>
      <c r="P957" s="117"/>
      <c r="Q957" s="117"/>
      <c r="R957" s="117"/>
      <c r="S957" s="117"/>
    </row>
    <row r="958" spans="1:19" ht="12.9">
      <c r="A958" s="117"/>
      <c r="B958" s="117"/>
      <c r="C958" s="117"/>
      <c r="D958" s="24"/>
      <c r="E958" s="24"/>
      <c r="F958" s="117"/>
      <c r="G958" s="117"/>
      <c r="H958" s="117"/>
      <c r="I958" s="117"/>
      <c r="J958" s="117"/>
      <c r="K958" s="117"/>
      <c r="L958" s="117"/>
      <c r="M958" s="117"/>
      <c r="N958" s="117"/>
      <c r="O958" s="117"/>
      <c r="P958" s="117"/>
      <c r="Q958" s="117"/>
      <c r="R958" s="117"/>
      <c r="S958" s="117"/>
    </row>
    <row r="959" spans="1:19" ht="12.9">
      <c r="A959" s="117"/>
      <c r="B959" s="117"/>
      <c r="C959" s="117"/>
      <c r="D959" s="24"/>
      <c r="E959" s="24"/>
      <c r="F959" s="117"/>
      <c r="G959" s="117"/>
      <c r="H959" s="117"/>
      <c r="I959" s="117"/>
      <c r="J959" s="117"/>
      <c r="K959" s="117"/>
      <c r="L959" s="117"/>
      <c r="M959" s="117"/>
      <c r="N959" s="117"/>
      <c r="O959" s="117"/>
      <c r="P959" s="117"/>
      <c r="Q959" s="117"/>
      <c r="R959" s="117"/>
      <c r="S959" s="117"/>
    </row>
    <row r="960" spans="1:19" ht="12.9">
      <c r="A960" s="117"/>
      <c r="B960" s="117"/>
      <c r="C960" s="117"/>
      <c r="D960" s="24"/>
      <c r="E960" s="24"/>
      <c r="F960" s="117"/>
      <c r="G960" s="117"/>
      <c r="H960" s="117"/>
      <c r="I960" s="117"/>
      <c r="J960" s="117"/>
      <c r="K960" s="117"/>
      <c r="L960" s="117"/>
      <c r="M960" s="117"/>
      <c r="N960" s="117"/>
      <c r="O960" s="117"/>
      <c r="P960" s="117"/>
      <c r="Q960" s="117"/>
      <c r="R960" s="117"/>
      <c r="S960" s="117"/>
    </row>
    <row r="961" spans="1:19" ht="12.9">
      <c r="A961" s="117"/>
      <c r="B961" s="117"/>
      <c r="C961" s="117"/>
      <c r="D961" s="24"/>
      <c r="E961" s="24"/>
      <c r="F961" s="117"/>
      <c r="G961" s="117"/>
      <c r="H961" s="117"/>
      <c r="I961" s="117"/>
      <c r="J961" s="117"/>
      <c r="K961" s="117"/>
      <c r="L961" s="117"/>
      <c r="M961" s="117"/>
      <c r="N961" s="117"/>
      <c r="O961" s="117"/>
      <c r="P961" s="117"/>
      <c r="Q961" s="117"/>
      <c r="R961" s="117"/>
      <c r="S961" s="117"/>
    </row>
    <row r="962" spans="1:19" ht="12.9">
      <c r="A962" s="117"/>
      <c r="B962" s="117"/>
      <c r="C962" s="117"/>
      <c r="D962" s="24"/>
      <c r="E962" s="24"/>
      <c r="F962" s="117"/>
      <c r="G962" s="117"/>
      <c r="H962" s="117"/>
      <c r="I962" s="117"/>
      <c r="J962" s="117"/>
      <c r="K962" s="117"/>
      <c r="L962" s="117"/>
      <c r="M962" s="117"/>
      <c r="N962" s="117"/>
      <c r="O962" s="117"/>
      <c r="P962" s="117"/>
      <c r="Q962" s="117"/>
      <c r="R962" s="117"/>
      <c r="S962" s="117"/>
    </row>
    <row r="963" spans="1:19" ht="12.9">
      <c r="A963" s="117"/>
      <c r="B963" s="117"/>
      <c r="C963" s="117"/>
      <c r="D963" s="24"/>
      <c r="E963" s="24"/>
      <c r="F963" s="117"/>
      <c r="G963" s="117"/>
      <c r="H963" s="117"/>
      <c r="I963" s="117"/>
      <c r="J963" s="117"/>
      <c r="K963" s="117"/>
      <c r="L963" s="117"/>
      <c r="M963" s="117"/>
      <c r="N963" s="117"/>
      <c r="O963" s="117"/>
      <c r="P963" s="117"/>
      <c r="Q963" s="117"/>
      <c r="R963" s="117"/>
      <c r="S963" s="117"/>
    </row>
    <row r="964" spans="1:19" ht="12.9">
      <c r="A964" s="117"/>
      <c r="B964" s="117"/>
      <c r="C964" s="117"/>
      <c r="D964" s="24"/>
      <c r="E964" s="24"/>
      <c r="F964" s="117"/>
      <c r="G964" s="117"/>
      <c r="H964" s="117"/>
      <c r="I964" s="117"/>
      <c r="J964" s="117"/>
      <c r="K964" s="117"/>
      <c r="L964" s="117"/>
      <c r="M964" s="117"/>
      <c r="N964" s="117"/>
      <c r="O964" s="117"/>
      <c r="P964" s="117"/>
      <c r="Q964" s="117"/>
      <c r="R964" s="117"/>
      <c r="S964" s="117"/>
    </row>
    <row r="965" spans="1:19" ht="12.9">
      <c r="A965" s="117"/>
      <c r="B965" s="117"/>
      <c r="C965" s="117"/>
      <c r="D965" s="24"/>
      <c r="E965" s="24"/>
      <c r="F965" s="117"/>
      <c r="G965" s="117"/>
      <c r="H965" s="117"/>
      <c r="I965" s="117"/>
      <c r="J965" s="117"/>
      <c r="K965" s="117"/>
      <c r="L965" s="117"/>
      <c r="M965" s="117"/>
      <c r="N965" s="117"/>
      <c r="O965" s="117"/>
      <c r="P965" s="117"/>
      <c r="Q965" s="117"/>
      <c r="R965" s="117"/>
      <c r="S965" s="117"/>
    </row>
    <row r="966" spans="1:19" ht="12.9">
      <c r="A966" s="117"/>
      <c r="B966" s="117"/>
      <c r="C966" s="117"/>
      <c r="D966" s="24"/>
      <c r="E966" s="24"/>
      <c r="F966" s="117"/>
      <c r="G966" s="117"/>
      <c r="H966" s="117"/>
      <c r="I966" s="117"/>
      <c r="J966" s="117"/>
      <c r="K966" s="117"/>
      <c r="L966" s="117"/>
      <c r="M966" s="117"/>
      <c r="N966" s="117"/>
      <c r="O966" s="117"/>
      <c r="P966" s="117"/>
      <c r="Q966" s="117"/>
      <c r="R966" s="117"/>
      <c r="S966" s="117"/>
    </row>
    <row r="967" spans="1:19" ht="12.9">
      <c r="A967" s="117"/>
      <c r="B967" s="117"/>
      <c r="C967" s="117"/>
      <c r="D967" s="24"/>
      <c r="E967" s="24"/>
      <c r="F967" s="117"/>
      <c r="G967" s="117"/>
      <c r="H967" s="117"/>
      <c r="I967" s="117"/>
      <c r="J967" s="117"/>
      <c r="K967" s="117"/>
      <c r="L967" s="117"/>
      <c r="M967" s="117"/>
      <c r="N967" s="117"/>
      <c r="O967" s="117"/>
      <c r="P967" s="117"/>
      <c r="Q967" s="117"/>
      <c r="R967" s="117"/>
      <c r="S967" s="117"/>
    </row>
    <row r="968" spans="1:19" ht="12.9">
      <c r="A968" s="117"/>
      <c r="B968" s="117"/>
      <c r="C968" s="117"/>
      <c r="D968" s="24"/>
      <c r="E968" s="24"/>
      <c r="F968" s="117"/>
      <c r="G968" s="117"/>
      <c r="H968" s="117"/>
      <c r="I968" s="117"/>
      <c r="J968" s="117"/>
      <c r="K968" s="117"/>
      <c r="L968" s="117"/>
      <c r="M968" s="117"/>
      <c r="N968" s="117"/>
      <c r="O968" s="117"/>
      <c r="P968" s="117"/>
      <c r="Q968" s="117"/>
      <c r="R968" s="117"/>
      <c r="S968" s="117"/>
    </row>
    <row r="969" spans="1:19" ht="12.9">
      <c r="A969" s="117"/>
      <c r="B969" s="117"/>
      <c r="C969" s="117"/>
      <c r="D969" s="24"/>
      <c r="E969" s="24"/>
      <c r="F969" s="117"/>
      <c r="G969" s="117"/>
      <c r="H969" s="117"/>
      <c r="I969" s="117"/>
      <c r="J969" s="117"/>
      <c r="K969" s="117"/>
      <c r="L969" s="117"/>
      <c r="M969" s="117"/>
      <c r="N969" s="117"/>
      <c r="O969" s="117"/>
      <c r="P969" s="117"/>
      <c r="Q969" s="117"/>
      <c r="R969" s="117"/>
      <c r="S969" s="117"/>
    </row>
    <row r="970" spans="1:19" ht="12.9">
      <c r="A970" s="117"/>
      <c r="B970" s="117"/>
      <c r="C970" s="117"/>
      <c r="D970" s="24"/>
      <c r="E970" s="24"/>
      <c r="F970" s="117"/>
      <c r="G970" s="117"/>
      <c r="H970" s="117"/>
      <c r="I970" s="117"/>
      <c r="J970" s="117"/>
      <c r="K970" s="117"/>
      <c r="L970" s="117"/>
      <c r="M970" s="117"/>
      <c r="N970" s="117"/>
      <c r="O970" s="117"/>
      <c r="P970" s="117"/>
      <c r="Q970" s="117"/>
      <c r="R970" s="117"/>
      <c r="S970" s="117"/>
    </row>
    <row r="971" spans="1:19" ht="12.9">
      <c r="A971" s="117"/>
      <c r="B971" s="117"/>
      <c r="C971" s="117"/>
      <c r="D971" s="24"/>
      <c r="E971" s="24"/>
      <c r="F971" s="117"/>
      <c r="G971" s="117"/>
      <c r="H971" s="117"/>
      <c r="I971" s="117"/>
      <c r="J971" s="117"/>
      <c r="K971" s="117"/>
      <c r="L971" s="117"/>
      <c r="M971" s="117"/>
      <c r="N971" s="117"/>
      <c r="O971" s="117"/>
      <c r="P971" s="117"/>
      <c r="Q971" s="117"/>
      <c r="R971" s="117"/>
      <c r="S971" s="117"/>
    </row>
    <row r="972" spans="1:19" ht="12.9">
      <c r="A972" s="117"/>
      <c r="B972" s="117"/>
      <c r="C972" s="117"/>
      <c r="D972" s="24"/>
      <c r="E972" s="24"/>
      <c r="F972" s="117"/>
      <c r="G972" s="117"/>
      <c r="H972" s="117"/>
      <c r="I972" s="117"/>
      <c r="J972" s="117"/>
      <c r="K972" s="117"/>
      <c r="L972" s="117"/>
      <c r="M972" s="117"/>
      <c r="N972" s="117"/>
      <c r="O972" s="117"/>
      <c r="P972" s="117"/>
      <c r="Q972" s="117"/>
      <c r="R972" s="117"/>
      <c r="S972" s="117"/>
    </row>
    <row r="973" spans="1:19" ht="12.9">
      <c r="A973" s="117"/>
      <c r="B973" s="117"/>
      <c r="C973" s="117"/>
      <c r="D973" s="24"/>
      <c r="E973" s="24"/>
      <c r="F973" s="117"/>
      <c r="G973" s="117"/>
      <c r="H973" s="117"/>
      <c r="I973" s="117"/>
      <c r="J973" s="117"/>
      <c r="K973" s="117"/>
      <c r="L973" s="117"/>
      <c r="M973" s="117"/>
      <c r="N973" s="117"/>
      <c r="O973" s="117"/>
      <c r="P973" s="117"/>
      <c r="Q973" s="117"/>
      <c r="R973" s="117"/>
      <c r="S973" s="117"/>
    </row>
    <row r="974" spans="1:19" ht="12.9">
      <c r="A974" s="117"/>
      <c r="B974" s="117"/>
      <c r="C974" s="117"/>
      <c r="D974" s="24"/>
      <c r="E974" s="24"/>
      <c r="F974" s="117"/>
      <c r="G974" s="117"/>
      <c r="H974" s="117"/>
      <c r="I974" s="117"/>
      <c r="J974" s="117"/>
      <c r="K974" s="117"/>
      <c r="L974" s="117"/>
      <c r="M974" s="117"/>
      <c r="N974" s="117"/>
      <c r="O974" s="117"/>
      <c r="P974" s="117"/>
      <c r="Q974" s="117"/>
      <c r="R974" s="117"/>
      <c r="S974" s="117"/>
    </row>
    <row r="975" spans="1:19" ht="12.9">
      <c r="A975" s="117"/>
      <c r="B975" s="117"/>
      <c r="C975" s="117"/>
      <c r="D975" s="24"/>
      <c r="E975" s="24"/>
      <c r="F975" s="117"/>
      <c r="G975" s="117"/>
      <c r="H975" s="117"/>
      <c r="I975" s="117"/>
      <c r="J975" s="117"/>
      <c r="K975" s="117"/>
      <c r="L975" s="117"/>
      <c r="M975" s="117"/>
      <c r="N975" s="117"/>
      <c r="O975" s="117"/>
      <c r="P975" s="117"/>
      <c r="Q975" s="117"/>
      <c r="R975" s="117"/>
      <c r="S975" s="117"/>
    </row>
    <row r="976" spans="1:19" ht="12.9">
      <c r="A976" s="117"/>
      <c r="B976" s="117"/>
      <c r="C976" s="117"/>
      <c r="D976" s="24"/>
      <c r="E976" s="24"/>
      <c r="F976" s="117"/>
      <c r="G976" s="117"/>
      <c r="H976" s="117"/>
      <c r="I976" s="117"/>
      <c r="J976" s="117"/>
      <c r="K976" s="117"/>
      <c r="L976" s="117"/>
      <c r="M976" s="117"/>
      <c r="N976" s="117"/>
      <c r="O976" s="117"/>
      <c r="P976" s="117"/>
      <c r="Q976" s="117"/>
      <c r="R976" s="117"/>
      <c r="S976" s="117"/>
    </row>
    <row r="977" spans="1:19" ht="12.9">
      <c r="A977" s="117"/>
      <c r="B977" s="117"/>
      <c r="C977" s="117"/>
      <c r="D977" s="24"/>
      <c r="E977" s="24"/>
      <c r="F977" s="117"/>
      <c r="G977" s="117"/>
      <c r="H977" s="117"/>
      <c r="I977" s="117"/>
      <c r="J977" s="117"/>
      <c r="K977" s="117"/>
      <c r="L977" s="117"/>
      <c r="M977" s="117"/>
      <c r="N977" s="117"/>
      <c r="O977" s="117"/>
      <c r="P977" s="117"/>
      <c r="Q977" s="117"/>
      <c r="R977" s="117"/>
      <c r="S977" s="117"/>
    </row>
    <row r="978" spans="1:19" ht="12.9">
      <c r="A978" s="117"/>
      <c r="B978" s="117"/>
      <c r="C978" s="117"/>
      <c r="D978" s="24"/>
      <c r="E978" s="24"/>
      <c r="F978" s="117"/>
      <c r="G978" s="117"/>
      <c r="H978" s="117"/>
      <c r="I978" s="117"/>
      <c r="J978" s="117"/>
      <c r="K978" s="117"/>
      <c r="L978" s="117"/>
      <c r="M978" s="117"/>
      <c r="N978" s="117"/>
      <c r="O978" s="117"/>
      <c r="P978" s="117"/>
      <c r="Q978" s="117"/>
      <c r="R978" s="117"/>
      <c r="S978" s="117"/>
    </row>
    <row r="979" spans="1:19" ht="12.9">
      <c r="A979" s="117"/>
      <c r="B979" s="117"/>
      <c r="C979" s="117"/>
      <c r="D979" s="24"/>
      <c r="E979" s="24"/>
      <c r="F979" s="117"/>
      <c r="G979" s="117"/>
      <c r="H979" s="117"/>
      <c r="I979" s="117"/>
      <c r="J979" s="117"/>
      <c r="K979" s="117"/>
      <c r="L979" s="117"/>
      <c r="M979" s="117"/>
      <c r="N979" s="117"/>
      <c r="O979" s="117"/>
      <c r="P979" s="117"/>
      <c r="Q979" s="117"/>
      <c r="R979" s="117"/>
      <c r="S979" s="117"/>
    </row>
    <row r="980" spans="1:19" ht="12.9">
      <c r="A980" s="117"/>
      <c r="B980" s="117"/>
      <c r="C980" s="117"/>
      <c r="D980" s="24"/>
      <c r="E980" s="24"/>
      <c r="F980" s="117"/>
      <c r="G980" s="117"/>
      <c r="H980" s="117"/>
      <c r="I980" s="117"/>
      <c r="J980" s="117"/>
      <c r="K980" s="117"/>
      <c r="L980" s="117"/>
      <c r="M980" s="117"/>
      <c r="N980" s="117"/>
      <c r="O980" s="117"/>
      <c r="P980" s="117"/>
      <c r="Q980" s="117"/>
      <c r="R980" s="117"/>
      <c r="S980" s="117"/>
    </row>
    <row r="981" spans="1:19" ht="12.9">
      <c r="A981" s="117"/>
      <c r="B981" s="117"/>
      <c r="C981" s="117"/>
      <c r="D981" s="24"/>
      <c r="E981" s="24"/>
      <c r="F981" s="117"/>
      <c r="G981" s="117"/>
      <c r="H981" s="117"/>
      <c r="I981" s="117"/>
      <c r="J981" s="117"/>
      <c r="K981" s="117"/>
      <c r="L981" s="117"/>
      <c r="M981" s="117"/>
      <c r="N981" s="117"/>
      <c r="O981" s="117"/>
      <c r="P981" s="117"/>
      <c r="Q981" s="117"/>
      <c r="R981" s="117"/>
      <c r="S981" s="117"/>
    </row>
    <row r="982" spans="1:19" ht="12.9">
      <c r="A982" s="117"/>
      <c r="B982" s="117"/>
      <c r="C982" s="117"/>
      <c r="D982" s="24"/>
      <c r="E982" s="24"/>
      <c r="F982" s="117"/>
      <c r="G982" s="117"/>
      <c r="H982" s="117"/>
      <c r="I982" s="117"/>
      <c r="J982" s="117"/>
      <c r="K982" s="117"/>
      <c r="L982" s="117"/>
      <c r="M982" s="117"/>
      <c r="N982" s="117"/>
      <c r="O982" s="117"/>
      <c r="P982" s="117"/>
      <c r="Q982" s="117"/>
      <c r="R982" s="117"/>
      <c r="S982" s="117"/>
    </row>
    <row r="983" spans="1:19" ht="12.9">
      <c r="A983" s="117"/>
      <c r="B983" s="117"/>
      <c r="C983" s="117"/>
      <c r="D983" s="24"/>
      <c r="E983" s="24"/>
      <c r="F983" s="117"/>
      <c r="G983" s="117"/>
      <c r="H983" s="117"/>
      <c r="I983" s="117"/>
      <c r="J983" s="117"/>
      <c r="K983" s="117"/>
      <c r="L983" s="117"/>
      <c r="M983" s="117"/>
      <c r="N983" s="117"/>
      <c r="O983" s="117"/>
      <c r="P983" s="117"/>
      <c r="Q983" s="117"/>
      <c r="R983" s="117"/>
      <c r="S983" s="117"/>
    </row>
    <row r="984" spans="1:19" ht="12.9">
      <c r="A984" s="117"/>
      <c r="B984" s="117"/>
      <c r="C984" s="117"/>
      <c r="D984" s="24"/>
      <c r="E984" s="24"/>
      <c r="F984" s="117"/>
      <c r="G984" s="117"/>
      <c r="H984" s="117"/>
      <c r="I984" s="117"/>
      <c r="J984" s="117"/>
      <c r="K984" s="117"/>
      <c r="L984" s="117"/>
      <c r="M984" s="117"/>
      <c r="N984" s="117"/>
      <c r="O984" s="117"/>
      <c r="P984" s="117"/>
      <c r="Q984" s="117"/>
      <c r="R984" s="117"/>
      <c r="S984" s="117"/>
    </row>
    <row r="985" spans="1:19" ht="12.9">
      <c r="A985" s="117"/>
      <c r="B985" s="117"/>
      <c r="C985" s="117"/>
      <c r="D985" s="24"/>
      <c r="E985" s="24"/>
      <c r="F985" s="117"/>
      <c r="G985" s="117"/>
      <c r="H985" s="117"/>
      <c r="I985" s="117"/>
      <c r="J985" s="117"/>
      <c r="K985" s="117"/>
      <c r="L985" s="117"/>
      <c r="M985" s="117"/>
      <c r="N985" s="117"/>
      <c r="O985" s="117"/>
      <c r="P985" s="117"/>
      <c r="Q985" s="117"/>
      <c r="R985" s="117"/>
      <c r="S985" s="117"/>
    </row>
    <row r="986" spans="1:19" ht="12.9">
      <c r="A986" s="117"/>
      <c r="B986" s="117"/>
      <c r="C986" s="117"/>
      <c r="D986" s="24"/>
      <c r="E986" s="24"/>
      <c r="F986" s="117"/>
      <c r="G986" s="117"/>
      <c r="H986" s="117"/>
      <c r="I986" s="117"/>
      <c r="J986" s="117"/>
      <c r="K986" s="117"/>
      <c r="L986" s="117"/>
      <c r="M986" s="117"/>
      <c r="N986" s="117"/>
      <c r="O986" s="117"/>
      <c r="P986" s="117"/>
      <c r="Q986" s="117"/>
      <c r="R986" s="117"/>
      <c r="S986" s="117"/>
    </row>
    <row r="987" spans="1:19" ht="12.9">
      <c r="A987" s="117"/>
      <c r="B987" s="117"/>
      <c r="C987" s="117"/>
      <c r="D987" s="24"/>
      <c r="E987" s="24"/>
      <c r="F987" s="117"/>
      <c r="G987" s="117"/>
      <c r="H987" s="117"/>
      <c r="I987" s="117"/>
      <c r="J987" s="117"/>
      <c r="K987" s="117"/>
      <c r="L987" s="117"/>
      <c r="M987" s="117"/>
      <c r="N987" s="117"/>
      <c r="O987" s="117"/>
      <c r="P987" s="117"/>
      <c r="Q987" s="117"/>
      <c r="R987" s="117"/>
      <c r="S987" s="117"/>
    </row>
    <row r="988" spans="1:19" ht="12.9">
      <c r="A988" s="117"/>
      <c r="B988" s="117"/>
      <c r="C988" s="117"/>
      <c r="D988" s="24"/>
      <c r="E988" s="24"/>
      <c r="F988" s="117"/>
      <c r="G988" s="117"/>
      <c r="H988" s="117"/>
      <c r="I988" s="117"/>
      <c r="J988" s="117"/>
      <c r="K988" s="117"/>
      <c r="L988" s="117"/>
      <c r="M988" s="117"/>
      <c r="N988" s="117"/>
      <c r="O988" s="117"/>
      <c r="P988" s="117"/>
      <c r="Q988" s="117"/>
      <c r="R988" s="117"/>
      <c r="S988" s="117"/>
    </row>
    <row r="989" spans="1:19" ht="12.9">
      <c r="A989" s="117"/>
      <c r="B989" s="117"/>
      <c r="C989" s="117"/>
      <c r="D989" s="24"/>
      <c r="E989" s="24"/>
      <c r="F989" s="117"/>
      <c r="G989" s="117"/>
      <c r="H989" s="117"/>
      <c r="I989" s="117"/>
      <c r="J989" s="117"/>
      <c r="K989" s="117"/>
      <c r="L989" s="117"/>
      <c r="M989" s="117"/>
      <c r="N989" s="117"/>
      <c r="O989" s="117"/>
      <c r="P989" s="117"/>
      <c r="Q989" s="117"/>
      <c r="R989" s="117"/>
      <c r="S989" s="117"/>
    </row>
    <row r="990" spans="1:19" ht="12.9">
      <c r="A990" s="117"/>
      <c r="B990" s="117"/>
      <c r="C990" s="117"/>
      <c r="D990" s="24"/>
      <c r="E990" s="24"/>
      <c r="F990" s="117"/>
      <c r="G990" s="117"/>
      <c r="H990" s="117"/>
      <c r="I990" s="117"/>
      <c r="J990" s="117"/>
      <c r="K990" s="117"/>
      <c r="L990" s="117"/>
      <c r="M990" s="117"/>
      <c r="N990" s="117"/>
      <c r="O990" s="117"/>
      <c r="P990" s="117"/>
      <c r="Q990" s="117"/>
      <c r="R990" s="117"/>
      <c r="S990" s="117"/>
    </row>
    <row r="991" spans="1:19" ht="12.9">
      <c r="A991" s="117"/>
      <c r="B991" s="117"/>
      <c r="C991" s="117"/>
      <c r="D991" s="24"/>
      <c r="E991" s="24"/>
      <c r="F991" s="117"/>
      <c r="G991" s="117"/>
      <c r="H991" s="117"/>
      <c r="I991" s="117"/>
      <c r="J991" s="117"/>
      <c r="K991" s="117"/>
      <c r="L991" s="117"/>
      <c r="M991" s="117"/>
      <c r="N991" s="117"/>
      <c r="O991" s="117"/>
      <c r="P991" s="117"/>
      <c r="Q991" s="117"/>
      <c r="R991" s="117"/>
      <c r="S991" s="117"/>
    </row>
    <row r="992" spans="1:19" ht="12.9">
      <c r="A992" s="117"/>
      <c r="B992" s="117"/>
      <c r="C992" s="117"/>
      <c r="D992" s="24"/>
      <c r="E992" s="24"/>
      <c r="F992" s="117"/>
      <c r="G992" s="117"/>
      <c r="H992" s="117"/>
      <c r="I992" s="117"/>
      <c r="J992" s="117"/>
      <c r="K992" s="117"/>
      <c r="L992" s="117"/>
      <c r="M992" s="117"/>
      <c r="N992" s="117"/>
      <c r="O992" s="117"/>
      <c r="P992" s="117"/>
      <c r="Q992" s="117"/>
      <c r="R992" s="117"/>
      <c r="S992" s="117"/>
    </row>
    <row r="993" spans="1:19" ht="12.9">
      <c r="A993" s="117"/>
      <c r="B993" s="117"/>
      <c r="C993" s="117"/>
      <c r="D993" s="24"/>
      <c r="E993" s="24"/>
      <c r="F993" s="117"/>
      <c r="G993" s="117"/>
      <c r="H993" s="117"/>
      <c r="I993" s="117"/>
      <c r="J993" s="117"/>
      <c r="K993" s="117"/>
      <c r="L993" s="117"/>
      <c r="M993" s="117"/>
      <c r="N993" s="117"/>
      <c r="O993" s="117"/>
      <c r="P993" s="117"/>
      <c r="Q993" s="117"/>
      <c r="R993" s="117"/>
      <c r="S993" s="117"/>
    </row>
    <row r="994" spans="1:19" ht="12.9">
      <c r="A994" s="117"/>
      <c r="B994" s="117"/>
      <c r="C994" s="117"/>
      <c r="D994" s="24"/>
      <c r="E994" s="24"/>
      <c r="F994" s="117"/>
      <c r="G994" s="117"/>
      <c r="H994" s="117"/>
      <c r="I994" s="117"/>
      <c r="J994" s="117"/>
      <c r="K994" s="117"/>
      <c r="L994" s="117"/>
      <c r="M994" s="117"/>
      <c r="N994" s="117"/>
      <c r="O994" s="117"/>
      <c r="P994" s="117"/>
      <c r="Q994" s="117"/>
      <c r="R994" s="117"/>
      <c r="S994" s="117"/>
    </row>
    <row r="995" spans="1:19" ht="12.9">
      <c r="A995" s="117"/>
      <c r="B995" s="117"/>
      <c r="C995" s="117"/>
      <c r="D995" s="24"/>
      <c r="E995" s="24"/>
      <c r="F995" s="117"/>
      <c r="G995" s="117"/>
      <c r="H995" s="117"/>
      <c r="I995" s="117"/>
      <c r="J995" s="117"/>
      <c r="K995" s="117"/>
      <c r="L995" s="117"/>
      <c r="M995" s="117"/>
      <c r="N995" s="117"/>
      <c r="O995" s="117"/>
      <c r="P995" s="117"/>
      <c r="Q995" s="117"/>
      <c r="R995" s="117"/>
      <c r="S995" s="117"/>
    </row>
    <row r="996" spans="1:19" ht="12.9">
      <c r="A996" s="117"/>
      <c r="B996" s="117"/>
      <c r="C996" s="117"/>
      <c r="D996" s="24"/>
      <c r="E996" s="24"/>
      <c r="F996" s="117"/>
      <c r="G996" s="117"/>
      <c r="H996" s="117"/>
      <c r="I996" s="117"/>
      <c r="J996" s="117"/>
      <c r="K996" s="117"/>
      <c r="L996" s="117"/>
      <c r="M996" s="117"/>
      <c r="N996" s="117"/>
      <c r="O996" s="117"/>
      <c r="P996" s="117"/>
      <c r="Q996" s="117"/>
      <c r="R996" s="117"/>
      <c r="S996" s="117"/>
    </row>
    <row r="997" spans="1:19" ht="12.9">
      <c r="A997" s="117"/>
      <c r="B997" s="117"/>
      <c r="C997" s="117"/>
      <c r="D997" s="24"/>
      <c r="E997" s="24"/>
      <c r="F997" s="117"/>
      <c r="G997" s="117"/>
      <c r="H997" s="117"/>
      <c r="I997" s="117"/>
      <c r="J997" s="117"/>
      <c r="K997" s="117"/>
      <c r="L997" s="117"/>
      <c r="M997" s="117"/>
      <c r="N997" s="117"/>
      <c r="O997" s="117"/>
      <c r="P997" s="117"/>
      <c r="Q997" s="117"/>
      <c r="R997" s="117"/>
      <c r="S997" s="117"/>
    </row>
    <row r="998" spans="1:19" ht="12.9">
      <c r="A998" s="117"/>
      <c r="B998" s="117"/>
      <c r="C998" s="117"/>
      <c r="D998" s="24"/>
      <c r="E998" s="24"/>
      <c r="F998" s="117"/>
      <c r="G998" s="117"/>
      <c r="H998" s="117"/>
      <c r="I998" s="117"/>
      <c r="J998" s="117"/>
      <c r="K998" s="117"/>
      <c r="L998" s="117"/>
      <c r="M998" s="117"/>
      <c r="N998" s="117"/>
      <c r="O998" s="117"/>
      <c r="P998" s="117"/>
      <c r="Q998" s="117"/>
      <c r="R998" s="117"/>
      <c r="S998" s="117"/>
    </row>
    <row r="999" spans="1:19" ht="12.9">
      <c r="A999" s="117"/>
      <c r="B999" s="117"/>
      <c r="C999" s="117"/>
      <c r="D999" s="24"/>
      <c r="E999" s="24"/>
      <c r="F999" s="117"/>
      <c r="G999" s="117"/>
      <c r="H999" s="117"/>
      <c r="I999" s="117"/>
      <c r="J999" s="117"/>
      <c r="K999" s="117"/>
      <c r="L999" s="117"/>
      <c r="M999" s="117"/>
      <c r="N999" s="117"/>
      <c r="O999" s="117"/>
      <c r="P999" s="117"/>
      <c r="Q999" s="117"/>
      <c r="R999" s="117"/>
      <c r="S999" s="117"/>
    </row>
    <row r="1000" spans="1:19" ht="12.9">
      <c r="A1000" s="117"/>
      <c r="B1000" s="117"/>
      <c r="C1000" s="117"/>
      <c r="D1000" s="24"/>
      <c r="E1000" s="24"/>
      <c r="F1000" s="117"/>
      <c r="G1000" s="117"/>
      <c r="H1000" s="117"/>
      <c r="I1000" s="117"/>
      <c r="J1000" s="117"/>
      <c r="K1000" s="117"/>
      <c r="L1000" s="117"/>
      <c r="M1000" s="117"/>
      <c r="N1000" s="117"/>
      <c r="O1000" s="117"/>
      <c r="P1000" s="117"/>
      <c r="Q1000" s="117"/>
      <c r="R1000" s="117"/>
      <c r="S1000" s="117"/>
    </row>
    <row r="1001" spans="1:19" ht="12.9">
      <c r="A1001" s="117"/>
      <c r="B1001" s="117"/>
      <c r="C1001" s="117"/>
      <c r="D1001" s="24"/>
      <c r="E1001" s="24"/>
      <c r="F1001" s="117"/>
      <c r="G1001" s="117"/>
      <c r="H1001" s="117"/>
      <c r="I1001" s="117"/>
      <c r="J1001" s="117"/>
      <c r="K1001" s="117"/>
      <c r="L1001" s="117"/>
      <c r="M1001" s="117"/>
      <c r="N1001" s="117"/>
      <c r="O1001" s="117"/>
      <c r="P1001" s="117"/>
      <c r="Q1001" s="117"/>
      <c r="R1001" s="117"/>
      <c r="S1001" s="117"/>
    </row>
    <row r="1002" spans="1:19" ht="12.9">
      <c r="A1002" s="117"/>
      <c r="B1002" s="117"/>
      <c r="C1002" s="117"/>
      <c r="D1002" s="24"/>
      <c r="E1002" s="24"/>
      <c r="F1002" s="117"/>
      <c r="G1002" s="117"/>
      <c r="H1002" s="117"/>
      <c r="I1002" s="117"/>
      <c r="J1002" s="117"/>
      <c r="K1002" s="117"/>
      <c r="L1002" s="117"/>
      <c r="M1002" s="117"/>
      <c r="N1002" s="117"/>
      <c r="O1002" s="117"/>
      <c r="P1002" s="117"/>
      <c r="Q1002" s="117"/>
      <c r="R1002" s="117"/>
      <c r="S1002" s="117"/>
    </row>
    <row r="1003" spans="1:19" ht="12.9">
      <c r="A1003" s="117"/>
      <c r="B1003" s="117"/>
      <c r="C1003" s="117"/>
      <c r="D1003" s="24"/>
      <c r="E1003" s="24"/>
      <c r="F1003" s="117"/>
      <c r="G1003" s="117"/>
      <c r="H1003" s="117"/>
      <c r="I1003" s="117"/>
      <c r="J1003" s="117"/>
      <c r="K1003" s="117"/>
      <c r="L1003" s="117"/>
      <c r="M1003" s="117"/>
      <c r="N1003" s="117"/>
      <c r="O1003" s="117"/>
      <c r="P1003" s="117"/>
      <c r="Q1003" s="117"/>
      <c r="R1003" s="117"/>
      <c r="S1003" s="117"/>
    </row>
    <row r="1004" spans="1:19" ht="12.9">
      <c r="A1004" s="117"/>
      <c r="B1004" s="117"/>
      <c r="C1004" s="117"/>
      <c r="D1004" s="24"/>
      <c r="E1004" s="24"/>
      <c r="F1004" s="117"/>
      <c r="G1004" s="117"/>
      <c r="H1004" s="117"/>
      <c r="I1004" s="117"/>
      <c r="J1004" s="117"/>
      <c r="K1004" s="117"/>
      <c r="L1004" s="117"/>
      <c r="M1004" s="117"/>
      <c r="N1004" s="117"/>
      <c r="O1004" s="117"/>
      <c r="P1004" s="117"/>
      <c r="Q1004" s="117"/>
      <c r="R1004" s="117"/>
      <c r="S1004" s="117"/>
    </row>
    <row r="1005" spans="1:19" ht="12.9">
      <c r="A1005" s="117"/>
      <c r="B1005" s="117"/>
      <c r="C1005" s="117"/>
      <c r="D1005" s="24"/>
      <c r="E1005" s="24"/>
      <c r="F1005" s="117"/>
      <c r="G1005" s="117"/>
      <c r="H1005" s="117"/>
      <c r="I1005" s="117"/>
      <c r="J1005" s="117"/>
      <c r="K1005" s="117"/>
      <c r="L1005" s="117"/>
      <c r="M1005" s="117"/>
      <c r="N1005" s="117"/>
      <c r="O1005" s="117"/>
      <c r="P1005" s="117"/>
      <c r="Q1005" s="117"/>
      <c r="R1005" s="117"/>
      <c r="S1005" s="117"/>
    </row>
    <row r="1006" spans="1:19" ht="12.9">
      <c r="A1006" s="117"/>
      <c r="B1006" s="117"/>
      <c r="C1006" s="117"/>
      <c r="D1006" s="24"/>
      <c r="E1006" s="24"/>
      <c r="F1006" s="117"/>
      <c r="G1006" s="117"/>
      <c r="H1006" s="117"/>
      <c r="I1006" s="117"/>
      <c r="J1006" s="117"/>
      <c r="K1006" s="117"/>
      <c r="L1006" s="117"/>
      <c r="M1006" s="117"/>
      <c r="N1006" s="117"/>
      <c r="O1006" s="117"/>
      <c r="P1006" s="117"/>
      <c r="Q1006" s="117"/>
      <c r="R1006" s="117"/>
      <c r="S1006" s="117"/>
    </row>
    <row r="1007" spans="1:19" ht="12.9">
      <c r="A1007" s="117"/>
      <c r="B1007" s="117"/>
      <c r="C1007" s="117"/>
      <c r="D1007" s="24"/>
      <c r="E1007" s="24"/>
      <c r="F1007" s="117"/>
      <c r="G1007" s="117"/>
      <c r="H1007" s="117"/>
      <c r="I1007" s="117"/>
      <c r="J1007" s="117"/>
      <c r="K1007" s="117"/>
      <c r="L1007" s="117"/>
      <c r="M1007" s="117"/>
      <c r="N1007" s="117"/>
      <c r="O1007" s="117"/>
      <c r="P1007" s="117"/>
      <c r="Q1007" s="117"/>
      <c r="R1007" s="117"/>
      <c r="S1007" s="117"/>
    </row>
    <row r="1008" spans="1:19" ht="12.9">
      <c r="A1008" s="117"/>
      <c r="B1008" s="117"/>
      <c r="C1008" s="117"/>
      <c r="D1008" s="24"/>
      <c r="E1008" s="24"/>
      <c r="F1008" s="117"/>
      <c r="G1008" s="117"/>
      <c r="H1008" s="117"/>
      <c r="I1008" s="117"/>
      <c r="J1008" s="117"/>
      <c r="K1008" s="117"/>
      <c r="L1008" s="117"/>
      <c r="M1008" s="117"/>
      <c r="N1008" s="117"/>
      <c r="O1008" s="117"/>
      <c r="P1008" s="117"/>
      <c r="Q1008" s="117"/>
      <c r="R1008" s="117"/>
      <c r="S1008" s="117"/>
    </row>
    <row r="1009" spans="1:19" ht="12.9">
      <c r="A1009" s="117"/>
      <c r="B1009" s="117"/>
      <c r="C1009" s="117"/>
      <c r="D1009" s="24"/>
      <c r="E1009" s="24"/>
      <c r="F1009" s="117"/>
      <c r="G1009" s="117"/>
      <c r="H1009" s="117"/>
      <c r="I1009" s="117"/>
      <c r="J1009" s="117"/>
      <c r="K1009" s="117"/>
      <c r="L1009" s="117"/>
      <c r="M1009" s="117"/>
      <c r="N1009" s="117"/>
      <c r="O1009" s="117"/>
      <c r="P1009" s="117"/>
      <c r="Q1009" s="117"/>
      <c r="R1009" s="117"/>
      <c r="S1009" s="117"/>
    </row>
    <row r="1010" spans="1:19" ht="12.9">
      <c r="A1010" s="117"/>
      <c r="B1010" s="117"/>
      <c r="C1010" s="117"/>
      <c r="D1010" s="24"/>
      <c r="E1010" s="24"/>
      <c r="F1010" s="117"/>
      <c r="G1010" s="117"/>
      <c r="H1010" s="117"/>
      <c r="I1010" s="117"/>
      <c r="J1010" s="117"/>
      <c r="K1010" s="117"/>
      <c r="L1010" s="117"/>
      <c r="M1010" s="117"/>
      <c r="N1010" s="117"/>
      <c r="O1010" s="117"/>
      <c r="P1010" s="117"/>
      <c r="Q1010" s="117"/>
      <c r="R1010" s="117"/>
      <c r="S1010" s="117"/>
    </row>
    <row r="1011" spans="1:19" ht="12.9">
      <c r="A1011" s="117"/>
      <c r="B1011" s="117"/>
      <c r="C1011" s="117"/>
      <c r="D1011" s="24"/>
      <c r="E1011" s="24"/>
      <c r="F1011" s="117"/>
      <c r="G1011" s="117"/>
      <c r="H1011" s="117"/>
      <c r="I1011" s="117"/>
      <c r="J1011" s="117"/>
      <c r="K1011" s="117"/>
      <c r="L1011" s="117"/>
      <c r="M1011" s="117"/>
      <c r="N1011" s="117"/>
      <c r="O1011" s="117"/>
      <c r="P1011" s="117"/>
      <c r="Q1011" s="117"/>
      <c r="R1011" s="117"/>
      <c r="S1011" s="117"/>
    </row>
    <row r="1012" spans="1:19" ht="12.9">
      <c r="A1012" s="117"/>
      <c r="B1012" s="117"/>
      <c r="C1012" s="117"/>
      <c r="D1012" s="24"/>
      <c r="E1012" s="24"/>
      <c r="F1012" s="117"/>
      <c r="G1012" s="117"/>
      <c r="H1012" s="117"/>
      <c r="I1012" s="117"/>
      <c r="J1012" s="117"/>
      <c r="K1012" s="117"/>
      <c r="L1012" s="117"/>
      <c r="M1012" s="117"/>
      <c r="N1012" s="117"/>
      <c r="O1012" s="117"/>
      <c r="P1012" s="117"/>
      <c r="Q1012" s="117"/>
      <c r="R1012" s="117"/>
      <c r="S1012" s="117"/>
    </row>
    <row r="1013" spans="1:19" ht="12.9">
      <c r="A1013" s="117"/>
      <c r="B1013" s="117"/>
      <c r="C1013" s="117"/>
      <c r="D1013" s="24"/>
      <c r="E1013" s="24"/>
      <c r="F1013" s="117"/>
      <c r="G1013" s="117"/>
      <c r="H1013" s="117"/>
      <c r="I1013" s="117"/>
      <c r="J1013" s="117"/>
      <c r="K1013" s="117"/>
      <c r="L1013" s="117"/>
      <c r="M1013" s="117"/>
      <c r="N1013" s="117"/>
      <c r="O1013" s="117"/>
      <c r="P1013" s="117"/>
      <c r="Q1013" s="117"/>
      <c r="R1013" s="117"/>
      <c r="S1013" s="117"/>
    </row>
    <row r="1014" spans="1:19" ht="12.9">
      <c r="A1014" s="117"/>
      <c r="B1014" s="117"/>
      <c r="C1014" s="117"/>
      <c r="D1014" s="24"/>
      <c r="E1014" s="24"/>
      <c r="F1014" s="117"/>
      <c r="G1014" s="117"/>
      <c r="H1014" s="117"/>
      <c r="I1014" s="117"/>
      <c r="J1014" s="117"/>
      <c r="K1014" s="117"/>
      <c r="L1014" s="117"/>
      <c r="M1014" s="117"/>
      <c r="N1014" s="117"/>
      <c r="O1014" s="117"/>
      <c r="P1014" s="117"/>
      <c r="Q1014" s="117"/>
      <c r="R1014" s="117"/>
      <c r="S1014" s="117"/>
    </row>
    <row r="1015" spans="1:19" ht="12.9">
      <c r="A1015" s="117"/>
      <c r="B1015" s="117"/>
      <c r="C1015" s="117"/>
      <c r="D1015" s="24"/>
      <c r="E1015" s="24"/>
      <c r="F1015" s="117"/>
      <c r="G1015" s="117"/>
      <c r="H1015" s="117"/>
      <c r="I1015" s="117"/>
      <c r="J1015" s="117"/>
      <c r="K1015" s="117"/>
      <c r="L1015" s="117"/>
      <c r="M1015" s="117"/>
      <c r="N1015" s="117"/>
      <c r="O1015" s="117"/>
      <c r="P1015" s="117"/>
      <c r="Q1015" s="117"/>
      <c r="R1015" s="117"/>
      <c r="S1015" s="117"/>
    </row>
    <row r="1016" spans="1:19" ht="12.9">
      <c r="A1016" s="117"/>
      <c r="B1016" s="117"/>
      <c r="C1016" s="117"/>
      <c r="D1016" s="24"/>
      <c r="E1016" s="24"/>
      <c r="F1016" s="117"/>
      <c r="G1016" s="117"/>
      <c r="H1016" s="117"/>
      <c r="I1016" s="117"/>
      <c r="J1016" s="117"/>
      <c r="K1016" s="117"/>
      <c r="L1016" s="117"/>
      <c r="M1016" s="117"/>
      <c r="N1016" s="117"/>
      <c r="O1016" s="117"/>
      <c r="P1016" s="117"/>
      <c r="Q1016" s="117"/>
      <c r="R1016" s="117"/>
      <c r="S1016" s="117"/>
    </row>
    <row r="1017" spans="1:19" ht="12.9">
      <c r="A1017" s="117"/>
      <c r="B1017" s="117"/>
      <c r="C1017" s="117"/>
      <c r="D1017" s="24"/>
      <c r="E1017" s="24"/>
      <c r="F1017" s="117"/>
      <c r="G1017" s="117"/>
      <c r="H1017" s="117"/>
      <c r="I1017" s="117"/>
      <c r="J1017" s="117"/>
      <c r="K1017" s="117"/>
      <c r="L1017" s="117"/>
      <c r="M1017" s="117"/>
      <c r="N1017" s="117"/>
      <c r="O1017" s="117"/>
      <c r="P1017" s="117"/>
      <c r="Q1017" s="117"/>
      <c r="R1017" s="117"/>
      <c r="S1017" s="117"/>
    </row>
    <row r="1018" spans="1:19" ht="12.9">
      <c r="A1018" s="117"/>
      <c r="B1018" s="117"/>
      <c r="C1018" s="117"/>
      <c r="D1018" s="24"/>
      <c r="E1018" s="24"/>
      <c r="F1018" s="117"/>
      <c r="G1018" s="117"/>
      <c r="H1018" s="117"/>
      <c r="I1018" s="117"/>
      <c r="J1018" s="117"/>
      <c r="K1018" s="117"/>
      <c r="L1018" s="117"/>
      <c r="M1018" s="117"/>
      <c r="N1018" s="117"/>
      <c r="O1018" s="117"/>
      <c r="P1018" s="117"/>
      <c r="Q1018" s="117"/>
      <c r="R1018" s="117"/>
      <c r="S1018" s="117"/>
    </row>
    <row r="1019" spans="1:19" ht="12.9">
      <c r="A1019" s="117"/>
      <c r="B1019" s="117"/>
      <c r="C1019" s="117"/>
      <c r="D1019" s="24"/>
      <c r="E1019" s="24"/>
      <c r="F1019" s="117"/>
      <c r="G1019" s="117"/>
      <c r="H1019" s="117"/>
      <c r="I1019" s="117"/>
      <c r="J1019" s="117"/>
      <c r="K1019" s="117"/>
      <c r="L1019" s="117"/>
      <c r="M1019" s="117"/>
      <c r="N1019" s="117"/>
      <c r="O1019" s="117"/>
      <c r="P1019" s="117"/>
      <c r="Q1019" s="117"/>
      <c r="R1019" s="117"/>
      <c r="S1019" s="117"/>
    </row>
    <row r="1020" spans="1:19" ht="12.9">
      <c r="A1020" s="117"/>
      <c r="B1020" s="117"/>
      <c r="C1020" s="117"/>
      <c r="D1020" s="24"/>
      <c r="E1020" s="24"/>
      <c r="F1020" s="117"/>
      <c r="G1020" s="117"/>
      <c r="H1020" s="117"/>
      <c r="I1020" s="117"/>
      <c r="J1020" s="117"/>
      <c r="K1020" s="117"/>
      <c r="L1020" s="117"/>
      <c r="M1020" s="117"/>
      <c r="N1020" s="117"/>
      <c r="O1020" s="117"/>
      <c r="P1020" s="117"/>
      <c r="Q1020" s="117"/>
      <c r="R1020" s="117"/>
      <c r="S1020" s="117"/>
    </row>
    <row r="1021" spans="1:19" ht="12.9">
      <c r="A1021" s="117"/>
      <c r="B1021" s="117"/>
      <c r="C1021" s="117"/>
      <c r="D1021" s="24"/>
      <c r="E1021" s="24"/>
      <c r="F1021" s="117"/>
      <c r="G1021" s="117"/>
      <c r="H1021" s="117"/>
      <c r="I1021" s="117"/>
      <c r="J1021" s="117"/>
      <c r="K1021" s="117"/>
      <c r="L1021" s="117"/>
      <c r="M1021" s="117"/>
      <c r="N1021" s="117"/>
      <c r="O1021" s="117"/>
      <c r="P1021" s="117"/>
      <c r="Q1021" s="117"/>
      <c r="R1021" s="117"/>
      <c r="S1021" s="117"/>
    </row>
    <row r="1022" spans="1:19" ht="12.9">
      <c r="A1022" s="117"/>
      <c r="B1022" s="117"/>
      <c r="C1022" s="117"/>
      <c r="D1022" s="24"/>
      <c r="E1022" s="24"/>
      <c r="F1022" s="117"/>
      <c r="G1022" s="117"/>
      <c r="H1022" s="117"/>
      <c r="I1022" s="117"/>
      <c r="J1022" s="117"/>
      <c r="K1022" s="117"/>
      <c r="L1022" s="117"/>
      <c r="M1022" s="117"/>
      <c r="N1022" s="117"/>
      <c r="O1022" s="117"/>
      <c r="P1022" s="117"/>
      <c r="Q1022" s="117"/>
      <c r="R1022" s="117"/>
      <c r="S1022" s="117"/>
    </row>
    <row r="1023" spans="1:19" ht="12.9">
      <c r="A1023" s="117"/>
      <c r="B1023" s="117"/>
      <c r="C1023" s="117"/>
      <c r="D1023" s="24"/>
      <c r="E1023" s="24"/>
      <c r="F1023" s="117"/>
      <c r="G1023" s="117"/>
      <c r="H1023" s="117"/>
      <c r="I1023" s="117"/>
      <c r="J1023" s="117"/>
      <c r="K1023" s="117"/>
      <c r="L1023" s="117"/>
      <c r="M1023" s="117"/>
      <c r="N1023" s="117"/>
      <c r="O1023" s="117"/>
      <c r="P1023" s="117"/>
      <c r="Q1023" s="117"/>
      <c r="R1023" s="117"/>
      <c r="S1023" s="117"/>
    </row>
    <row r="1024" spans="1:19" ht="12.9">
      <c r="A1024" s="117"/>
      <c r="B1024" s="117"/>
      <c r="C1024" s="117"/>
      <c r="D1024" s="24"/>
      <c r="E1024" s="24"/>
      <c r="F1024" s="117"/>
      <c r="G1024" s="117"/>
      <c r="H1024" s="117"/>
      <c r="I1024" s="117"/>
      <c r="J1024" s="117"/>
      <c r="K1024" s="117"/>
      <c r="L1024" s="117"/>
      <c r="M1024" s="117"/>
      <c r="N1024" s="117"/>
      <c r="O1024" s="117"/>
      <c r="P1024" s="117"/>
      <c r="Q1024" s="117"/>
      <c r="R1024" s="117"/>
      <c r="S1024" s="117"/>
    </row>
    <row r="1025" spans="1:19" ht="12.9">
      <c r="A1025" s="117"/>
      <c r="B1025" s="117"/>
      <c r="C1025" s="117"/>
      <c r="D1025" s="24"/>
      <c r="E1025" s="24"/>
      <c r="F1025" s="117"/>
      <c r="G1025" s="117"/>
      <c r="H1025" s="117"/>
      <c r="I1025" s="117"/>
      <c r="J1025" s="117"/>
      <c r="K1025" s="117"/>
      <c r="L1025" s="117"/>
      <c r="M1025" s="117"/>
      <c r="N1025" s="117"/>
      <c r="O1025" s="117"/>
      <c r="P1025" s="117"/>
      <c r="Q1025" s="117"/>
      <c r="R1025" s="117"/>
      <c r="S1025" s="117"/>
    </row>
    <row r="1026" spans="1:19" ht="12.9">
      <c r="A1026" s="117"/>
      <c r="B1026" s="117"/>
      <c r="C1026" s="117"/>
      <c r="D1026" s="24"/>
      <c r="E1026" s="24"/>
      <c r="F1026" s="117"/>
      <c r="G1026" s="117"/>
      <c r="H1026" s="117"/>
      <c r="I1026" s="117"/>
      <c r="J1026" s="117"/>
      <c r="K1026" s="117"/>
      <c r="L1026" s="117"/>
      <c r="M1026" s="117"/>
      <c r="N1026" s="117"/>
      <c r="O1026" s="117"/>
      <c r="P1026" s="117"/>
      <c r="Q1026" s="117"/>
      <c r="R1026" s="117"/>
      <c r="S1026" s="117"/>
    </row>
    <row r="1027" spans="1:19" ht="12.9">
      <c r="A1027" s="117"/>
      <c r="B1027" s="117"/>
      <c r="C1027" s="117"/>
      <c r="D1027" s="24"/>
      <c r="E1027" s="24"/>
      <c r="F1027" s="117"/>
      <c r="G1027" s="117"/>
      <c r="H1027" s="117"/>
      <c r="I1027" s="117"/>
      <c r="J1027" s="117"/>
      <c r="K1027" s="117"/>
      <c r="L1027" s="117"/>
      <c r="M1027" s="117"/>
      <c r="N1027" s="117"/>
      <c r="O1027" s="117"/>
      <c r="P1027" s="117"/>
      <c r="Q1027" s="117"/>
      <c r="R1027" s="117"/>
      <c r="S1027" s="117"/>
    </row>
    <row r="1028" spans="1:19" ht="12.9">
      <c r="A1028" s="117"/>
      <c r="B1028" s="117"/>
      <c r="C1028" s="117"/>
      <c r="D1028" s="24"/>
      <c r="E1028" s="24"/>
      <c r="F1028" s="117"/>
      <c r="G1028" s="117"/>
      <c r="H1028" s="117"/>
      <c r="I1028" s="117"/>
      <c r="J1028" s="117"/>
      <c r="K1028" s="117"/>
      <c r="L1028" s="117"/>
      <c r="M1028" s="117"/>
      <c r="N1028" s="117"/>
      <c r="O1028" s="117"/>
      <c r="P1028" s="117"/>
      <c r="Q1028" s="117"/>
      <c r="R1028" s="117"/>
      <c r="S1028" s="117"/>
    </row>
    <row r="1029" spans="1:19" ht="12.9">
      <c r="A1029" s="117"/>
      <c r="B1029" s="117"/>
      <c r="C1029" s="117"/>
      <c r="D1029" s="24"/>
      <c r="E1029" s="24"/>
      <c r="F1029" s="117"/>
      <c r="G1029" s="117"/>
      <c r="H1029" s="117"/>
      <c r="I1029" s="117"/>
      <c r="J1029" s="117"/>
      <c r="K1029" s="117"/>
      <c r="L1029" s="117"/>
      <c r="M1029" s="117"/>
      <c r="N1029" s="117"/>
      <c r="O1029" s="117"/>
      <c r="P1029" s="117"/>
      <c r="Q1029" s="117"/>
      <c r="R1029" s="117"/>
      <c r="S1029" s="117"/>
    </row>
    <row r="1030" spans="1:19" ht="12.9">
      <c r="A1030" s="117"/>
      <c r="B1030" s="117"/>
      <c r="C1030" s="117"/>
      <c r="D1030" s="24"/>
      <c r="E1030" s="24"/>
      <c r="F1030" s="117"/>
      <c r="G1030" s="117"/>
      <c r="H1030" s="117"/>
      <c r="I1030" s="117"/>
      <c r="J1030" s="117"/>
      <c r="K1030" s="117"/>
      <c r="L1030" s="117"/>
      <c r="M1030" s="117"/>
      <c r="N1030" s="117"/>
      <c r="O1030" s="117"/>
      <c r="P1030" s="117"/>
      <c r="Q1030" s="117"/>
      <c r="R1030" s="117"/>
      <c r="S1030" s="117"/>
    </row>
    <row r="1031" spans="1:19" ht="12.9">
      <c r="A1031" s="117"/>
      <c r="B1031" s="117"/>
      <c r="C1031" s="117"/>
      <c r="D1031" s="24"/>
      <c r="E1031" s="24"/>
      <c r="F1031" s="117"/>
      <c r="G1031" s="117"/>
      <c r="H1031" s="117"/>
      <c r="I1031" s="117"/>
      <c r="J1031" s="117"/>
      <c r="K1031" s="117"/>
      <c r="L1031" s="117"/>
      <c r="M1031" s="117"/>
      <c r="N1031" s="117"/>
      <c r="O1031" s="117"/>
      <c r="P1031" s="117"/>
      <c r="Q1031" s="117"/>
      <c r="R1031" s="117"/>
      <c r="S1031" s="117"/>
    </row>
    <row r="1032" spans="1:19" ht="12.9">
      <c r="A1032" s="117"/>
      <c r="B1032" s="117"/>
      <c r="C1032" s="117"/>
      <c r="D1032" s="24"/>
      <c r="E1032" s="24"/>
      <c r="F1032" s="117"/>
      <c r="G1032" s="117"/>
      <c r="H1032" s="117"/>
      <c r="I1032" s="117"/>
      <c r="J1032" s="117"/>
      <c r="K1032" s="117"/>
      <c r="L1032" s="117"/>
      <c r="M1032" s="117"/>
      <c r="N1032" s="117"/>
      <c r="O1032" s="117"/>
      <c r="P1032" s="117"/>
      <c r="Q1032" s="117"/>
      <c r="R1032" s="117"/>
      <c r="S1032" s="117"/>
    </row>
    <row r="1033" spans="1:19" ht="12.9">
      <c r="A1033" s="117"/>
      <c r="B1033" s="117"/>
      <c r="C1033" s="117"/>
      <c r="D1033" s="24"/>
      <c r="E1033" s="24"/>
      <c r="F1033" s="117"/>
      <c r="G1033" s="117"/>
      <c r="H1033" s="117"/>
      <c r="I1033" s="117"/>
      <c r="J1033" s="117"/>
      <c r="K1033" s="117"/>
      <c r="L1033" s="117"/>
      <c r="M1033" s="117"/>
      <c r="N1033" s="117"/>
      <c r="O1033" s="117"/>
      <c r="P1033" s="117"/>
      <c r="Q1033" s="117"/>
      <c r="R1033" s="117"/>
      <c r="S1033" s="117"/>
    </row>
    <row r="1034" spans="1:19" ht="12.9">
      <c r="A1034" s="117"/>
      <c r="B1034" s="117"/>
      <c r="C1034" s="117"/>
      <c r="D1034" s="24"/>
      <c r="E1034" s="24"/>
      <c r="F1034" s="117"/>
      <c r="G1034" s="117"/>
      <c r="H1034" s="117"/>
      <c r="I1034" s="117"/>
      <c r="J1034" s="117"/>
      <c r="K1034" s="117"/>
      <c r="L1034" s="117"/>
      <c r="M1034" s="117"/>
      <c r="N1034" s="117"/>
      <c r="O1034" s="117"/>
      <c r="P1034" s="117"/>
      <c r="Q1034" s="117"/>
      <c r="R1034" s="117"/>
      <c r="S1034" s="117"/>
    </row>
    <row r="1035" spans="1:19" ht="12.9">
      <c r="A1035" s="117"/>
      <c r="B1035" s="117"/>
      <c r="C1035" s="117"/>
      <c r="D1035" s="24"/>
      <c r="E1035" s="24"/>
      <c r="F1035" s="117"/>
      <c r="G1035" s="117"/>
      <c r="H1035" s="117"/>
      <c r="I1035" s="117"/>
      <c r="J1035" s="117"/>
      <c r="K1035" s="117"/>
      <c r="L1035" s="117"/>
      <c r="M1035" s="117"/>
      <c r="N1035" s="117"/>
      <c r="O1035" s="117"/>
      <c r="P1035" s="117"/>
      <c r="Q1035" s="117"/>
      <c r="R1035" s="117"/>
      <c r="S1035" s="117"/>
    </row>
    <row r="1036" spans="1:19" ht="12.9">
      <c r="A1036" s="117"/>
      <c r="B1036" s="117"/>
      <c r="C1036" s="117"/>
      <c r="D1036" s="24"/>
      <c r="E1036" s="24"/>
      <c r="F1036" s="117"/>
      <c r="G1036" s="117"/>
      <c r="H1036" s="117"/>
      <c r="I1036" s="117"/>
      <c r="J1036" s="117"/>
      <c r="K1036" s="117"/>
      <c r="L1036" s="117"/>
      <c r="M1036" s="117"/>
      <c r="N1036" s="117"/>
      <c r="O1036" s="117"/>
      <c r="P1036" s="117"/>
      <c r="Q1036" s="117"/>
      <c r="R1036" s="117"/>
      <c r="S1036" s="117"/>
    </row>
    <row r="1037" spans="1:19" ht="12.9">
      <c r="A1037" s="117"/>
      <c r="B1037" s="117"/>
      <c r="C1037" s="117"/>
      <c r="D1037" s="24"/>
      <c r="E1037" s="24"/>
      <c r="F1037" s="117"/>
      <c r="G1037" s="117"/>
      <c r="H1037" s="117"/>
      <c r="I1037" s="117"/>
      <c r="J1037" s="117"/>
      <c r="K1037" s="117"/>
      <c r="L1037" s="117"/>
      <c r="M1037" s="117"/>
      <c r="N1037" s="117"/>
      <c r="O1037" s="117"/>
      <c r="P1037" s="117"/>
      <c r="Q1037" s="117"/>
      <c r="R1037" s="117"/>
      <c r="S1037" s="117"/>
    </row>
    <row r="1038" spans="1:19" ht="12.9">
      <c r="A1038" s="117"/>
      <c r="B1038" s="117"/>
      <c r="C1038" s="117"/>
      <c r="D1038" s="24"/>
      <c r="E1038" s="24"/>
      <c r="F1038" s="117"/>
      <c r="G1038" s="117"/>
      <c r="H1038" s="117"/>
      <c r="I1038" s="117"/>
      <c r="J1038" s="117"/>
      <c r="K1038" s="117"/>
      <c r="L1038" s="117"/>
      <c r="M1038" s="117"/>
      <c r="N1038" s="117"/>
      <c r="O1038" s="117"/>
      <c r="P1038" s="117"/>
      <c r="Q1038" s="117"/>
      <c r="R1038" s="117"/>
      <c r="S1038" s="117"/>
    </row>
    <row r="1039" spans="1:19" ht="12.9">
      <c r="A1039" s="117"/>
      <c r="B1039" s="117"/>
      <c r="C1039" s="117"/>
      <c r="D1039" s="24"/>
      <c r="E1039" s="24"/>
      <c r="F1039" s="117"/>
      <c r="G1039" s="117"/>
      <c r="H1039" s="117"/>
      <c r="I1039" s="117"/>
      <c r="J1039" s="117"/>
      <c r="K1039" s="117"/>
      <c r="L1039" s="117"/>
      <c r="M1039" s="117"/>
      <c r="N1039" s="117"/>
      <c r="O1039" s="117"/>
      <c r="P1039" s="117"/>
      <c r="Q1039" s="117"/>
      <c r="R1039" s="117"/>
      <c r="S1039" s="117"/>
    </row>
    <row r="1040" spans="1:19" ht="12.9">
      <c r="A1040" s="117"/>
      <c r="B1040" s="117"/>
      <c r="C1040" s="117"/>
      <c r="D1040" s="24"/>
      <c r="E1040" s="24"/>
      <c r="F1040" s="117"/>
      <c r="G1040" s="117"/>
      <c r="H1040" s="117"/>
      <c r="I1040" s="117"/>
      <c r="J1040" s="117"/>
      <c r="K1040" s="117"/>
      <c r="L1040" s="117"/>
      <c r="M1040" s="117"/>
      <c r="N1040" s="117"/>
      <c r="O1040" s="117"/>
      <c r="P1040" s="117"/>
      <c r="Q1040" s="117"/>
      <c r="R1040" s="117"/>
      <c r="S1040" s="117"/>
    </row>
    <row r="1041" spans="1:19" ht="12.9">
      <c r="A1041" s="117"/>
      <c r="B1041" s="117"/>
      <c r="C1041" s="117"/>
      <c r="D1041" s="24"/>
      <c r="E1041" s="24"/>
      <c r="F1041" s="117"/>
      <c r="G1041" s="117"/>
      <c r="H1041" s="117"/>
      <c r="I1041" s="117"/>
      <c r="J1041" s="117"/>
      <c r="K1041" s="117"/>
      <c r="L1041" s="117"/>
      <c r="M1041" s="117"/>
      <c r="N1041" s="117"/>
      <c r="O1041" s="117"/>
      <c r="P1041" s="117"/>
      <c r="Q1041" s="117"/>
      <c r="R1041" s="117"/>
      <c r="S1041" s="117"/>
    </row>
    <row r="1042" spans="1:19" ht="12.9">
      <c r="A1042" s="117"/>
      <c r="B1042" s="117"/>
      <c r="C1042" s="117"/>
      <c r="D1042" s="24"/>
      <c r="E1042" s="24"/>
      <c r="F1042" s="117"/>
      <c r="G1042" s="117"/>
      <c r="H1042" s="117"/>
      <c r="I1042" s="117"/>
      <c r="J1042" s="117"/>
      <c r="K1042" s="117"/>
      <c r="L1042" s="117"/>
      <c r="M1042" s="117"/>
      <c r="N1042" s="117"/>
      <c r="O1042" s="117"/>
      <c r="P1042" s="117"/>
      <c r="Q1042" s="117"/>
      <c r="R1042" s="117"/>
      <c r="S1042" s="117"/>
    </row>
    <row r="1043" spans="1:19" ht="12.9">
      <c r="A1043" s="117"/>
      <c r="B1043" s="117"/>
      <c r="C1043" s="117"/>
      <c r="D1043" s="24"/>
      <c r="E1043" s="24"/>
      <c r="F1043" s="117"/>
      <c r="G1043" s="117"/>
      <c r="H1043" s="117"/>
      <c r="I1043" s="117"/>
      <c r="J1043" s="117"/>
      <c r="K1043" s="117"/>
      <c r="L1043" s="117"/>
      <c r="M1043" s="117"/>
      <c r="N1043" s="117"/>
      <c r="O1043" s="117"/>
      <c r="P1043" s="117"/>
      <c r="Q1043" s="117"/>
      <c r="R1043" s="117"/>
      <c r="S1043" s="117"/>
    </row>
    <row r="1044" spans="1:19" ht="12.9">
      <c r="A1044" s="117"/>
      <c r="B1044" s="117"/>
      <c r="C1044" s="117"/>
      <c r="D1044" s="24"/>
      <c r="E1044" s="24"/>
      <c r="F1044" s="117"/>
      <c r="G1044" s="117"/>
      <c r="H1044" s="117"/>
      <c r="I1044" s="117"/>
      <c r="J1044" s="117"/>
      <c r="K1044" s="117"/>
      <c r="L1044" s="117"/>
      <c r="M1044" s="117"/>
      <c r="N1044" s="117"/>
      <c r="O1044" s="117"/>
      <c r="P1044" s="117"/>
      <c r="Q1044" s="117"/>
      <c r="R1044" s="117"/>
      <c r="S1044" s="117"/>
    </row>
    <row r="1045" spans="1:19" ht="12.9">
      <c r="A1045" s="117"/>
      <c r="B1045" s="117"/>
      <c r="C1045" s="117"/>
      <c r="D1045" s="24"/>
      <c r="E1045" s="24"/>
      <c r="F1045" s="117"/>
      <c r="G1045" s="117"/>
      <c r="H1045" s="117"/>
      <c r="I1045" s="117"/>
      <c r="J1045" s="117"/>
      <c r="K1045" s="117"/>
      <c r="L1045" s="117"/>
      <c r="M1045" s="117"/>
      <c r="N1045" s="117"/>
      <c r="O1045" s="117"/>
      <c r="P1045" s="117"/>
      <c r="Q1045" s="117"/>
      <c r="R1045" s="117"/>
      <c r="S1045" s="117"/>
    </row>
    <row r="1046" spans="1:19" ht="12.9">
      <c r="A1046" s="117"/>
      <c r="B1046" s="117"/>
      <c r="C1046" s="117"/>
      <c r="D1046" s="24"/>
      <c r="E1046" s="24"/>
      <c r="F1046" s="117"/>
      <c r="G1046" s="117"/>
      <c r="H1046" s="117"/>
      <c r="I1046" s="117"/>
      <c r="J1046" s="117"/>
      <c r="K1046" s="117"/>
      <c r="L1046" s="117"/>
      <c r="M1046" s="117"/>
      <c r="N1046" s="117"/>
      <c r="O1046" s="117"/>
      <c r="P1046" s="117"/>
      <c r="Q1046" s="117"/>
      <c r="R1046" s="117"/>
      <c r="S1046" s="117"/>
    </row>
    <row r="1047" spans="1:19" ht="12.9">
      <c r="A1047" s="117"/>
      <c r="B1047" s="117"/>
      <c r="C1047" s="117"/>
      <c r="D1047" s="24"/>
      <c r="E1047" s="24"/>
      <c r="F1047" s="117"/>
      <c r="G1047" s="117"/>
      <c r="H1047" s="117"/>
      <c r="I1047" s="117"/>
      <c r="J1047" s="117"/>
      <c r="K1047" s="117"/>
      <c r="L1047" s="117"/>
      <c r="M1047" s="117"/>
      <c r="N1047" s="117"/>
      <c r="O1047" s="117"/>
      <c r="P1047" s="117"/>
      <c r="Q1047" s="117"/>
      <c r="R1047" s="117"/>
      <c r="S1047" s="117"/>
    </row>
    <row r="1048" spans="1:19" ht="12.9">
      <c r="A1048" s="117"/>
      <c r="B1048" s="117"/>
      <c r="C1048" s="117"/>
      <c r="D1048" s="24"/>
      <c r="E1048" s="24"/>
      <c r="F1048" s="117"/>
      <c r="G1048" s="117"/>
      <c r="H1048" s="117"/>
      <c r="I1048" s="117"/>
      <c r="J1048" s="117"/>
      <c r="K1048" s="117"/>
      <c r="L1048" s="117"/>
      <c r="M1048" s="117"/>
      <c r="N1048" s="117"/>
      <c r="O1048" s="117"/>
      <c r="P1048" s="117"/>
      <c r="Q1048" s="117"/>
      <c r="R1048" s="117"/>
      <c r="S1048" s="117"/>
    </row>
    <row r="1049" spans="1:19" ht="12.9">
      <c r="A1049" s="117"/>
      <c r="B1049" s="117"/>
      <c r="C1049" s="117"/>
      <c r="D1049" s="24"/>
      <c r="E1049" s="24"/>
      <c r="F1049" s="117"/>
      <c r="G1049" s="117"/>
      <c r="H1049" s="117"/>
      <c r="I1049" s="117"/>
      <c r="J1049" s="117"/>
      <c r="K1049" s="117"/>
      <c r="L1049" s="117"/>
      <c r="M1049" s="117"/>
      <c r="N1049" s="117"/>
      <c r="O1049" s="117"/>
      <c r="P1049" s="117"/>
      <c r="Q1049" s="117"/>
      <c r="R1049" s="117"/>
      <c r="S1049" s="117"/>
    </row>
    <row r="1050" spans="1:19" ht="12.9">
      <c r="A1050" s="117"/>
      <c r="B1050" s="117"/>
      <c r="C1050" s="117"/>
      <c r="D1050" s="24"/>
      <c r="E1050" s="24"/>
      <c r="F1050" s="117"/>
      <c r="G1050" s="117"/>
      <c r="H1050" s="117"/>
      <c r="I1050" s="117"/>
      <c r="J1050" s="117"/>
      <c r="K1050" s="117"/>
      <c r="L1050" s="117"/>
      <c r="M1050" s="117"/>
      <c r="N1050" s="117"/>
      <c r="O1050" s="117"/>
      <c r="P1050" s="117"/>
      <c r="Q1050" s="117"/>
      <c r="R1050" s="117"/>
      <c r="S1050" s="117"/>
    </row>
    <row r="1051" spans="1:19" ht="12.9">
      <c r="A1051" s="117"/>
      <c r="B1051" s="117"/>
      <c r="C1051" s="117"/>
      <c r="D1051" s="24"/>
      <c r="E1051" s="24"/>
      <c r="F1051" s="117"/>
      <c r="G1051" s="117"/>
      <c r="H1051" s="117"/>
      <c r="I1051" s="117"/>
      <c r="J1051" s="117"/>
      <c r="K1051" s="117"/>
      <c r="L1051" s="117"/>
      <c r="M1051" s="117"/>
      <c r="N1051" s="117"/>
      <c r="O1051" s="117"/>
      <c r="P1051" s="117"/>
      <c r="Q1051" s="117"/>
      <c r="R1051" s="117"/>
      <c r="S1051" s="117"/>
    </row>
    <row r="1052" spans="1:19" ht="12.9">
      <c r="A1052" s="117"/>
      <c r="B1052" s="117"/>
      <c r="C1052" s="117"/>
      <c r="D1052" s="24"/>
      <c r="E1052" s="24"/>
      <c r="F1052" s="117"/>
      <c r="G1052" s="117"/>
      <c r="H1052" s="117"/>
      <c r="I1052" s="117"/>
      <c r="J1052" s="117"/>
      <c r="K1052" s="117"/>
      <c r="L1052" s="117"/>
      <c r="M1052" s="117"/>
      <c r="N1052" s="117"/>
      <c r="O1052" s="117"/>
      <c r="P1052" s="117"/>
      <c r="Q1052" s="117"/>
      <c r="R1052" s="117"/>
      <c r="S1052" s="117"/>
    </row>
    <row r="1053" spans="1:19" ht="12.9">
      <c r="A1053" s="117"/>
      <c r="B1053" s="117"/>
      <c r="C1053" s="117"/>
      <c r="D1053" s="24"/>
      <c r="E1053" s="24"/>
      <c r="F1053" s="117"/>
      <c r="G1053" s="117"/>
      <c r="H1053" s="117"/>
      <c r="I1053" s="117"/>
      <c r="J1053" s="117"/>
      <c r="K1053" s="117"/>
      <c r="L1053" s="117"/>
      <c r="M1053" s="117"/>
      <c r="N1053" s="117"/>
      <c r="O1053" s="117"/>
      <c r="P1053" s="117"/>
      <c r="Q1053" s="117"/>
      <c r="R1053" s="117"/>
      <c r="S1053" s="117"/>
    </row>
    <row r="1054" spans="1:19" ht="12.9">
      <c r="A1054" s="117"/>
      <c r="B1054" s="117"/>
      <c r="C1054" s="117"/>
      <c r="D1054" s="24"/>
      <c r="E1054" s="24"/>
      <c r="F1054" s="117"/>
      <c r="G1054" s="117"/>
      <c r="H1054" s="117"/>
      <c r="I1054" s="117"/>
      <c r="J1054" s="117"/>
      <c r="K1054" s="117"/>
      <c r="L1054" s="117"/>
      <c r="M1054" s="117"/>
      <c r="N1054" s="117"/>
      <c r="O1054" s="117"/>
      <c r="P1054" s="117"/>
      <c r="Q1054" s="117"/>
      <c r="R1054" s="117"/>
      <c r="S1054" s="117"/>
    </row>
    <row r="1055" spans="1:19" ht="12.9">
      <c r="A1055" s="117"/>
      <c r="B1055" s="117"/>
      <c r="C1055" s="117"/>
      <c r="D1055" s="24"/>
      <c r="E1055" s="24"/>
      <c r="F1055" s="117"/>
      <c r="G1055" s="117"/>
      <c r="H1055" s="117"/>
      <c r="I1055" s="117"/>
      <c r="J1055" s="117"/>
      <c r="K1055" s="117"/>
      <c r="L1055" s="117"/>
      <c r="M1055" s="117"/>
      <c r="N1055" s="117"/>
      <c r="O1055" s="117"/>
      <c r="P1055" s="117"/>
      <c r="Q1055" s="117"/>
      <c r="R1055" s="117"/>
      <c r="S1055" s="117"/>
    </row>
    <row r="1056" spans="1:19" ht="12.9">
      <c r="A1056" s="117"/>
      <c r="B1056" s="117"/>
      <c r="C1056" s="117"/>
      <c r="D1056" s="24"/>
      <c r="E1056" s="24"/>
      <c r="F1056" s="117"/>
      <c r="G1056" s="117"/>
      <c r="H1056" s="117"/>
      <c r="I1056" s="117"/>
      <c r="J1056" s="117"/>
      <c r="K1056" s="117"/>
      <c r="L1056" s="117"/>
      <c r="M1056" s="117"/>
      <c r="N1056" s="117"/>
      <c r="O1056" s="117"/>
      <c r="P1056" s="117"/>
      <c r="Q1056" s="117"/>
      <c r="R1056" s="117"/>
      <c r="S1056" s="117"/>
    </row>
    <row r="1057" spans="1:19" ht="12.9">
      <c r="A1057" s="117"/>
      <c r="B1057" s="117"/>
      <c r="C1057" s="117"/>
      <c r="D1057" s="24"/>
      <c r="E1057" s="24"/>
      <c r="F1057" s="117"/>
      <c r="G1057" s="117"/>
      <c r="H1057" s="117"/>
      <c r="I1057" s="117"/>
      <c r="J1057" s="117"/>
      <c r="K1057" s="117"/>
      <c r="L1057" s="117"/>
      <c r="M1057" s="117"/>
      <c r="N1057" s="117"/>
      <c r="O1057" s="117"/>
      <c r="P1057" s="117"/>
      <c r="Q1057" s="117"/>
      <c r="R1057" s="117"/>
      <c r="S1057" s="117"/>
    </row>
    <row r="1058" spans="1:19" ht="12.9">
      <c r="A1058" s="117"/>
      <c r="B1058" s="117"/>
      <c r="C1058" s="117"/>
      <c r="D1058" s="24"/>
      <c r="E1058" s="24"/>
      <c r="F1058" s="117"/>
      <c r="G1058" s="117"/>
      <c r="H1058" s="117"/>
      <c r="I1058" s="117"/>
      <c r="J1058" s="117"/>
      <c r="K1058" s="117"/>
      <c r="L1058" s="117"/>
      <c r="M1058" s="117"/>
      <c r="N1058" s="117"/>
      <c r="O1058" s="117"/>
      <c r="P1058" s="117"/>
      <c r="Q1058" s="117"/>
      <c r="R1058" s="117"/>
      <c r="S1058" s="117"/>
    </row>
    <row r="1059" spans="1:19" ht="12.9">
      <c r="A1059" s="117"/>
      <c r="B1059" s="117"/>
      <c r="C1059" s="117"/>
      <c r="D1059" s="24"/>
      <c r="E1059" s="24"/>
      <c r="F1059" s="117"/>
      <c r="G1059" s="117"/>
      <c r="H1059" s="117"/>
      <c r="I1059" s="117"/>
      <c r="J1059" s="117"/>
      <c r="K1059" s="117"/>
      <c r="L1059" s="117"/>
      <c r="M1059" s="117"/>
      <c r="N1059" s="117"/>
      <c r="O1059" s="117"/>
      <c r="P1059" s="117"/>
      <c r="Q1059" s="117"/>
      <c r="R1059" s="117"/>
      <c r="S1059" s="117"/>
    </row>
    <row r="1060" spans="1:19" ht="12.9">
      <c r="A1060" s="117"/>
      <c r="B1060" s="117"/>
      <c r="C1060" s="117"/>
      <c r="D1060" s="24"/>
      <c r="E1060" s="24"/>
      <c r="F1060" s="117"/>
      <c r="G1060" s="117"/>
      <c r="H1060" s="117"/>
      <c r="I1060" s="117"/>
      <c r="J1060" s="117"/>
      <c r="K1060" s="117"/>
      <c r="L1060" s="117"/>
      <c r="M1060" s="117"/>
      <c r="N1060" s="117"/>
      <c r="O1060" s="117"/>
      <c r="P1060" s="117"/>
      <c r="Q1060" s="117"/>
      <c r="R1060" s="117"/>
      <c r="S1060" s="117"/>
    </row>
    <row r="1061" spans="1:19" ht="12.9">
      <c r="A1061" s="117"/>
      <c r="B1061" s="117"/>
      <c r="C1061" s="117"/>
      <c r="D1061" s="24"/>
      <c r="E1061" s="24"/>
      <c r="F1061" s="117"/>
      <c r="G1061" s="117"/>
      <c r="H1061" s="117"/>
      <c r="I1061" s="117"/>
      <c r="J1061" s="117"/>
      <c r="K1061" s="117"/>
      <c r="L1061" s="117"/>
      <c r="M1061" s="117"/>
      <c r="N1061" s="117"/>
      <c r="O1061" s="117"/>
      <c r="P1061" s="117"/>
      <c r="Q1061" s="117"/>
      <c r="R1061" s="117"/>
      <c r="S1061" s="117"/>
    </row>
    <row r="1062" spans="1:19" ht="12.9">
      <c r="A1062" s="117"/>
      <c r="B1062" s="117"/>
      <c r="C1062" s="117"/>
      <c r="D1062" s="24"/>
      <c r="E1062" s="24"/>
      <c r="F1062" s="117"/>
      <c r="G1062" s="117"/>
      <c r="H1062" s="117"/>
      <c r="I1062" s="117"/>
      <c r="J1062" s="117"/>
      <c r="K1062" s="117"/>
      <c r="L1062" s="117"/>
      <c r="M1062" s="117"/>
      <c r="N1062" s="117"/>
      <c r="O1062" s="117"/>
      <c r="P1062" s="117"/>
      <c r="Q1062" s="117"/>
      <c r="R1062" s="117"/>
      <c r="S1062" s="117"/>
    </row>
    <row r="1063" spans="1:19" ht="12.9">
      <c r="A1063" s="117"/>
      <c r="B1063" s="117"/>
      <c r="C1063" s="117"/>
      <c r="D1063" s="24"/>
      <c r="E1063" s="24"/>
      <c r="F1063" s="117"/>
      <c r="G1063" s="117"/>
      <c r="H1063" s="117"/>
      <c r="I1063" s="117"/>
      <c r="J1063" s="117"/>
      <c r="K1063" s="117"/>
      <c r="L1063" s="117"/>
      <c r="M1063" s="117"/>
      <c r="N1063" s="117"/>
      <c r="O1063" s="117"/>
      <c r="P1063" s="117"/>
      <c r="Q1063" s="117"/>
      <c r="R1063" s="117"/>
      <c r="S1063" s="117"/>
    </row>
    <row r="1064" spans="1:19" ht="12.9">
      <c r="A1064" s="117"/>
      <c r="B1064" s="117"/>
      <c r="C1064" s="117"/>
      <c r="D1064" s="24"/>
      <c r="E1064" s="24"/>
      <c r="F1064" s="117"/>
      <c r="G1064" s="117"/>
      <c r="H1064" s="117"/>
      <c r="I1064" s="117"/>
      <c r="J1064" s="117"/>
      <c r="K1064" s="117"/>
      <c r="L1064" s="117"/>
      <c r="M1064" s="117"/>
      <c r="N1064" s="117"/>
      <c r="O1064" s="117"/>
      <c r="P1064" s="117"/>
      <c r="Q1064" s="117"/>
      <c r="R1064" s="117"/>
      <c r="S1064" s="117"/>
    </row>
    <row r="1065" spans="1:19" ht="12.9">
      <c r="A1065" s="117"/>
      <c r="B1065" s="117"/>
      <c r="C1065" s="117"/>
      <c r="D1065" s="24"/>
      <c r="E1065" s="24"/>
      <c r="F1065" s="117"/>
      <c r="G1065" s="117"/>
      <c r="H1065" s="117"/>
      <c r="I1065" s="117"/>
      <c r="J1065" s="117"/>
      <c r="K1065" s="117"/>
      <c r="L1065" s="117"/>
      <c r="M1065" s="117"/>
      <c r="N1065" s="117"/>
      <c r="O1065" s="117"/>
      <c r="P1065" s="117"/>
      <c r="Q1065" s="117"/>
      <c r="R1065" s="117"/>
      <c r="S1065" s="117"/>
    </row>
    <row r="1066" spans="1:19" ht="12.9">
      <c r="A1066" s="117"/>
      <c r="B1066" s="117"/>
      <c r="C1066" s="117"/>
      <c r="D1066" s="24"/>
      <c r="E1066" s="24"/>
      <c r="F1066" s="117"/>
      <c r="G1066" s="117"/>
      <c r="H1066" s="117"/>
      <c r="I1066" s="117"/>
      <c r="J1066" s="117"/>
      <c r="K1066" s="117"/>
      <c r="L1066" s="117"/>
      <c r="M1066" s="117"/>
      <c r="N1066" s="117"/>
      <c r="O1066" s="117"/>
      <c r="P1066" s="117"/>
      <c r="Q1066" s="117"/>
      <c r="R1066" s="117"/>
      <c r="S1066" s="117"/>
    </row>
    <row r="1067" spans="1:19" ht="12.9">
      <c r="A1067" s="117"/>
      <c r="B1067" s="117"/>
      <c r="C1067" s="117"/>
      <c r="D1067" s="24"/>
      <c r="E1067" s="24"/>
      <c r="F1067" s="117"/>
      <c r="G1067" s="117"/>
      <c r="H1067" s="117"/>
      <c r="I1067" s="117"/>
      <c r="J1067" s="117"/>
      <c r="K1067" s="117"/>
      <c r="L1067" s="117"/>
      <c r="M1067" s="117"/>
      <c r="N1067" s="117"/>
      <c r="O1067" s="117"/>
      <c r="P1067" s="117"/>
      <c r="Q1067" s="117"/>
      <c r="R1067" s="117"/>
      <c r="S1067" s="117"/>
    </row>
    <row r="1068" spans="1:19" ht="12.9">
      <c r="A1068" s="117"/>
      <c r="B1068" s="117"/>
      <c r="C1068" s="117"/>
      <c r="D1068" s="24"/>
      <c r="E1068" s="24"/>
      <c r="F1068" s="117"/>
      <c r="G1068" s="117"/>
      <c r="H1068" s="117"/>
      <c r="I1068" s="117"/>
      <c r="J1068" s="117"/>
      <c r="K1068" s="117"/>
      <c r="L1068" s="117"/>
      <c r="M1068" s="117"/>
      <c r="N1068" s="117"/>
      <c r="O1068" s="117"/>
      <c r="P1068" s="117"/>
      <c r="Q1068" s="117"/>
      <c r="R1068" s="117"/>
      <c r="S1068" s="117"/>
    </row>
    <row r="1069" spans="1:19" ht="12.9">
      <c r="A1069" s="117"/>
      <c r="B1069" s="117"/>
      <c r="C1069" s="117"/>
      <c r="D1069" s="24"/>
      <c r="E1069" s="24"/>
      <c r="F1069" s="117"/>
      <c r="G1069" s="117"/>
      <c r="H1069" s="117"/>
      <c r="I1069" s="117"/>
      <c r="J1069" s="117"/>
      <c r="K1069" s="117"/>
      <c r="L1069" s="117"/>
      <c r="M1069" s="117"/>
      <c r="N1069" s="117"/>
      <c r="O1069" s="117"/>
      <c r="P1069" s="117"/>
      <c r="Q1069" s="117"/>
      <c r="R1069" s="117"/>
      <c r="S1069" s="117"/>
    </row>
    <row r="1070" spans="1:19" ht="12.9">
      <c r="A1070" s="117"/>
      <c r="B1070" s="117"/>
      <c r="C1070" s="117"/>
      <c r="D1070" s="24"/>
      <c r="E1070" s="24"/>
      <c r="F1070" s="117"/>
      <c r="G1070" s="117"/>
      <c r="H1070" s="117"/>
      <c r="I1070" s="117"/>
      <c r="J1070" s="117"/>
      <c r="K1070" s="117"/>
      <c r="L1070" s="117"/>
      <c r="M1070" s="117"/>
      <c r="N1070" s="117"/>
      <c r="O1070" s="117"/>
      <c r="P1070" s="117"/>
      <c r="Q1070" s="117"/>
      <c r="R1070" s="117"/>
      <c r="S1070" s="117"/>
    </row>
    <row r="1071" spans="1:19" ht="12.9">
      <c r="A1071" s="117"/>
      <c r="B1071" s="117"/>
      <c r="C1071" s="117"/>
      <c r="D1071" s="24"/>
      <c r="E1071" s="24"/>
      <c r="F1071" s="117"/>
      <c r="G1071" s="117"/>
      <c r="H1071" s="117"/>
      <c r="I1071" s="117"/>
      <c r="J1071" s="117"/>
      <c r="K1071" s="117"/>
      <c r="L1071" s="117"/>
      <c r="M1071" s="117"/>
      <c r="N1071" s="117"/>
      <c r="O1071" s="117"/>
      <c r="P1071" s="117"/>
      <c r="Q1071" s="117"/>
      <c r="R1071" s="117"/>
      <c r="S1071" s="117"/>
    </row>
    <row r="1072" spans="1:19" ht="12.9">
      <c r="A1072" s="117"/>
      <c r="B1072" s="117"/>
      <c r="C1072" s="117"/>
      <c r="D1072" s="24"/>
      <c r="E1072" s="24"/>
      <c r="F1072" s="117"/>
      <c r="G1072" s="117"/>
      <c r="H1072" s="117"/>
      <c r="I1072" s="117"/>
      <c r="J1072" s="117"/>
      <c r="K1072" s="117"/>
      <c r="L1072" s="117"/>
      <c r="M1072" s="117"/>
      <c r="N1072" s="117"/>
      <c r="O1072" s="117"/>
      <c r="P1072" s="117"/>
      <c r="Q1072" s="117"/>
      <c r="R1072" s="117"/>
      <c r="S1072" s="117"/>
    </row>
    <row r="1073" spans="1:19" ht="12.9">
      <c r="A1073" s="117"/>
      <c r="B1073" s="117"/>
      <c r="C1073" s="117"/>
      <c r="D1073" s="24"/>
      <c r="E1073" s="24"/>
      <c r="F1073" s="117"/>
      <c r="G1073" s="117"/>
      <c r="H1073" s="117"/>
      <c r="I1073" s="117"/>
      <c r="J1073" s="117"/>
      <c r="K1073" s="117"/>
      <c r="L1073" s="117"/>
      <c r="M1073" s="117"/>
      <c r="N1073" s="117"/>
      <c r="O1073" s="117"/>
      <c r="P1073" s="117"/>
      <c r="Q1073" s="117"/>
      <c r="R1073" s="117"/>
      <c r="S1073" s="117"/>
    </row>
    <row r="1074" spans="1:19" ht="12.9">
      <c r="A1074" s="117"/>
      <c r="B1074" s="117"/>
      <c r="C1074" s="117"/>
      <c r="D1074" s="24"/>
      <c r="E1074" s="24"/>
      <c r="F1074" s="117"/>
      <c r="G1074" s="117"/>
      <c r="H1074" s="117"/>
      <c r="I1074" s="117"/>
      <c r="J1074" s="117"/>
      <c r="K1074" s="117"/>
      <c r="L1074" s="117"/>
      <c r="M1074" s="117"/>
      <c r="N1074" s="117"/>
      <c r="O1074" s="117"/>
      <c r="P1074" s="117"/>
      <c r="Q1074" s="117"/>
      <c r="R1074" s="117"/>
      <c r="S1074" s="117"/>
    </row>
    <row r="1075" spans="1:19" ht="12.9">
      <c r="A1075" s="117"/>
      <c r="B1075" s="117"/>
      <c r="C1075" s="117"/>
      <c r="D1075" s="24"/>
      <c r="E1075" s="24"/>
      <c r="F1075" s="117"/>
      <c r="G1075" s="117"/>
      <c r="H1075" s="117"/>
      <c r="I1075" s="117"/>
      <c r="J1075" s="117"/>
      <c r="K1075" s="117"/>
      <c r="L1075" s="117"/>
      <c r="M1075" s="117"/>
      <c r="N1075" s="117"/>
      <c r="O1075" s="117"/>
      <c r="P1075" s="117"/>
      <c r="Q1075" s="117"/>
      <c r="R1075" s="117"/>
      <c r="S1075" s="117"/>
    </row>
    <row r="1076" spans="1:19" ht="12.9">
      <c r="A1076" s="117"/>
      <c r="B1076" s="117"/>
      <c r="C1076" s="117"/>
      <c r="D1076" s="24"/>
      <c r="E1076" s="24"/>
      <c r="F1076" s="117"/>
      <c r="G1076" s="117"/>
      <c r="H1076" s="117"/>
      <c r="I1076" s="117"/>
      <c r="J1076" s="117"/>
      <c r="K1076" s="117"/>
      <c r="L1076" s="117"/>
      <c r="M1076" s="117"/>
      <c r="N1076" s="117"/>
      <c r="O1076" s="117"/>
      <c r="P1076" s="117"/>
      <c r="Q1076" s="117"/>
      <c r="R1076" s="117"/>
      <c r="S1076" s="117"/>
    </row>
    <row r="1077" spans="1:19" ht="12.9">
      <c r="A1077" s="117"/>
      <c r="B1077" s="117"/>
      <c r="C1077" s="117"/>
      <c r="D1077" s="24"/>
      <c r="E1077" s="24"/>
      <c r="F1077" s="117"/>
      <c r="G1077" s="117"/>
      <c r="H1077" s="117"/>
      <c r="I1077" s="117"/>
      <c r="J1077" s="117"/>
      <c r="K1077" s="117"/>
      <c r="L1077" s="117"/>
      <c r="M1077" s="117"/>
      <c r="N1077" s="117"/>
      <c r="O1077" s="117"/>
      <c r="P1077" s="117"/>
      <c r="Q1077" s="117"/>
      <c r="R1077" s="117"/>
      <c r="S1077" s="117"/>
    </row>
    <row r="1078" spans="1:19" ht="12.9">
      <c r="A1078" s="117"/>
      <c r="B1078" s="117"/>
      <c r="C1078" s="117"/>
      <c r="D1078" s="24"/>
      <c r="E1078" s="24"/>
      <c r="F1078" s="117"/>
      <c r="G1078" s="117"/>
      <c r="H1078" s="117"/>
      <c r="I1078" s="117"/>
      <c r="J1078" s="117"/>
      <c r="K1078" s="117"/>
      <c r="L1078" s="117"/>
      <c r="M1078" s="117"/>
      <c r="N1078" s="117"/>
      <c r="O1078" s="117"/>
      <c r="P1078" s="117"/>
      <c r="Q1078" s="117"/>
      <c r="R1078" s="117"/>
      <c r="S1078" s="117"/>
    </row>
    <row r="1079" spans="1:19" ht="12.9">
      <c r="A1079" s="117"/>
      <c r="B1079" s="117"/>
      <c r="C1079" s="117"/>
      <c r="D1079" s="24"/>
      <c r="E1079" s="24"/>
      <c r="F1079" s="117"/>
      <c r="G1079" s="117"/>
      <c r="H1079" s="117"/>
      <c r="I1079" s="117"/>
      <c r="J1079" s="117"/>
      <c r="K1079" s="117"/>
      <c r="L1079" s="117"/>
      <c r="M1079" s="117"/>
      <c r="N1079" s="117"/>
      <c r="O1079" s="117"/>
      <c r="P1079" s="117"/>
      <c r="Q1079" s="117"/>
      <c r="R1079" s="117"/>
      <c r="S1079" s="117"/>
    </row>
    <row r="1080" spans="1:19" ht="12.9">
      <c r="A1080" s="117"/>
      <c r="B1080" s="117"/>
      <c r="C1080" s="117"/>
      <c r="D1080" s="24"/>
      <c r="E1080" s="24"/>
      <c r="F1080" s="117"/>
      <c r="G1080" s="117"/>
      <c r="H1080" s="117"/>
      <c r="I1080" s="117"/>
      <c r="J1080" s="117"/>
      <c r="K1080" s="117"/>
      <c r="L1080" s="117"/>
      <c r="M1080" s="117"/>
      <c r="N1080" s="117"/>
      <c r="O1080" s="117"/>
      <c r="P1080" s="117"/>
      <c r="Q1080" s="117"/>
      <c r="R1080" s="117"/>
      <c r="S1080" s="117"/>
    </row>
    <row r="1081" spans="1:19" ht="12.9">
      <c r="A1081" s="117"/>
      <c r="B1081" s="117"/>
      <c r="C1081" s="117"/>
      <c r="D1081" s="24"/>
      <c r="E1081" s="24"/>
      <c r="F1081" s="117"/>
      <c r="G1081" s="117"/>
      <c r="H1081" s="117"/>
      <c r="I1081" s="117"/>
      <c r="J1081" s="117"/>
      <c r="K1081" s="117"/>
      <c r="L1081" s="117"/>
      <c r="M1081" s="117"/>
      <c r="N1081" s="117"/>
      <c r="O1081" s="117"/>
      <c r="P1081" s="117"/>
      <c r="Q1081" s="117"/>
      <c r="R1081" s="117"/>
      <c r="S1081" s="117"/>
    </row>
    <row r="1082" spans="1:19" ht="12.9">
      <c r="A1082" s="117"/>
      <c r="B1082" s="117"/>
      <c r="C1082" s="117"/>
      <c r="D1082" s="24"/>
      <c r="E1082" s="24"/>
      <c r="F1082" s="117"/>
      <c r="G1082" s="117"/>
      <c r="H1082" s="117"/>
      <c r="I1082" s="117"/>
      <c r="J1082" s="117"/>
      <c r="K1082" s="117"/>
      <c r="L1082" s="117"/>
      <c r="M1082" s="117"/>
      <c r="N1082" s="117"/>
      <c r="O1082" s="117"/>
      <c r="P1082" s="117"/>
      <c r="Q1082" s="117"/>
      <c r="R1082" s="117"/>
      <c r="S1082" s="117"/>
    </row>
    <row r="1083" spans="1:19" ht="12.9">
      <c r="A1083" s="117"/>
      <c r="B1083" s="117"/>
      <c r="C1083" s="117"/>
      <c r="D1083" s="24"/>
      <c r="E1083" s="24"/>
      <c r="F1083" s="117"/>
      <c r="G1083" s="117"/>
      <c r="H1083" s="117"/>
      <c r="I1083" s="117"/>
      <c r="J1083" s="117"/>
      <c r="K1083" s="117"/>
      <c r="L1083" s="117"/>
      <c r="M1083" s="117"/>
      <c r="N1083" s="117"/>
      <c r="O1083" s="117"/>
      <c r="P1083" s="117"/>
      <c r="Q1083" s="117"/>
      <c r="R1083" s="117"/>
      <c r="S1083" s="117"/>
    </row>
    <row r="1084" spans="1:19" ht="12.9">
      <c r="A1084" s="117"/>
      <c r="B1084" s="117"/>
      <c r="C1084" s="117"/>
      <c r="D1084" s="24"/>
      <c r="E1084" s="24"/>
      <c r="F1084" s="117"/>
      <c r="G1084" s="117"/>
      <c r="H1084" s="117"/>
      <c r="I1084" s="117"/>
      <c r="J1084" s="117"/>
      <c r="K1084" s="117"/>
      <c r="L1084" s="117"/>
      <c r="M1084" s="117"/>
      <c r="N1084" s="117"/>
      <c r="O1084" s="117"/>
      <c r="P1084" s="117"/>
      <c r="Q1084" s="117"/>
      <c r="R1084" s="117"/>
      <c r="S1084" s="117"/>
    </row>
    <row r="1085" spans="1:19" ht="12.9">
      <c r="A1085" s="117"/>
      <c r="B1085" s="117"/>
      <c r="C1085" s="117"/>
      <c r="D1085" s="24"/>
      <c r="E1085" s="24"/>
      <c r="F1085" s="117"/>
      <c r="G1085" s="117"/>
      <c r="H1085" s="117"/>
      <c r="I1085" s="117"/>
      <c r="J1085" s="117"/>
      <c r="K1085" s="117"/>
      <c r="L1085" s="117"/>
      <c r="M1085" s="117"/>
      <c r="N1085" s="117"/>
      <c r="O1085" s="117"/>
      <c r="P1085" s="117"/>
      <c r="Q1085" s="117"/>
      <c r="R1085" s="117"/>
      <c r="S1085" s="117"/>
    </row>
    <row r="1086" spans="1:19" ht="12.9">
      <c r="A1086" s="117"/>
      <c r="B1086" s="117"/>
      <c r="C1086" s="117"/>
      <c r="D1086" s="24"/>
      <c r="E1086" s="24"/>
      <c r="F1086" s="117"/>
      <c r="G1086" s="117"/>
      <c r="H1086" s="117"/>
      <c r="I1086" s="117"/>
      <c r="J1086" s="117"/>
      <c r="K1086" s="117"/>
      <c r="L1086" s="117"/>
      <c r="M1086" s="117"/>
      <c r="N1086" s="117"/>
      <c r="O1086" s="117"/>
      <c r="P1086" s="117"/>
      <c r="Q1086" s="117"/>
      <c r="R1086" s="117"/>
      <c r="S1086" s="117"/>
    </row>
    <row r="1087" spans="1:19" ht="12.9">
      <c r="A1087" s="117"/>
      <c r="B1087" s="117"/>
      <c r="C1087" s="117"/>
      <c r="D1087" s="24"/>
      <c r="E1087" s="24"/>
      <c r="F1087" s="117"/>
      <c r="G1087" s="117"/>
      <c r="H1087" s="117"/>
      <c r="I1087" s="117"/>
      <c r="J1087" s="117"/>
      <c r="K1087" s="117"/>
      <c r="L1087" s="117"/>
      <c r="M1087" s="117"/>
      <c r="N1087" s="117"/>
      <c r="O1087" s="117"/>
      <c r="P1087" s="117"/>
      <c r="Q1087" s="117"/>
      <c r="R1087" s="117"/>
      <c r="S1087" s="117"/>
    </row>
    <row r="1088" spans="1:19" ht="12.9">
      <c r="A1088" s="117"/>
      <c r="B1088" s="117"/>
      <c r="C1088" s="117"/>
      <c r="D1088" s="24"/>
      <c r="E1088" s="24"/>
      <c r="F1088" s="117"/>
      <c r="G1088" s="117"/>
      <c r="H1088" s="117"/>
      <c r="I1088" s="117"/>
      <c r="J1088" s="117"/>
      <c r="K1088" s="117"/>
      <c r="L1088" s="117"/>
      <c r="M1088" s="117"/>
      <c r="N1088" s="117"/>
      <c r="O1088" s="117"/>
      <c r="P1088" s="117"/>
      <c r="Q1088" s="117"/>
      <c r="R1088" s="117"/>
      <c r="S1088" s="117"/>
    </row>
    <row r="1089" spans="1:19" ht="12.9">
      <c r="A1089" s="117"/>
      <c r="B1089" s="117"/>
      <c r="C1089" s="117"/>
      <c r="D1089" s="24"/>
      <c r="E1089" s="24"/>
      <c r="F1089" s="117"/>
      <c r="G1089" s="117"/>
      <c r="H1089" s="117"/>
      <c r="I1089" s="117"/>
      <c r="J1089" s="117"/>
      <c r="K1089" s="117"/>
      <c r="L1089" s="117"/>
      <c r="M1089" s="117"/>
      <c r="N1089" s="117"/>
      <c r="O1089" s="117"/>
      <c r="P1089" s="117"/>
      <c r="Q1089" s="117"/>
      <c r="R1089" s="117"/>
      <c r="S1089" s="117"/>
    </row>
    <row r="1090" spans="1:19" ht="12.9">
      <c r="A1090" s="117"/>
      <c r="B1090" s="117"/>
      <c r="C1090" s="117"/>
      <c r="D1090" s="24"/>
      <c r="E1090" s="24"/>
      <c r="F1090" s="117"/>
      <c r="G1090" s="117"/>
      <c r="H1090" s="117"/>
      <c r="I1090" s="117"/>
      <c r="J1090" s="117"/>
      <c r="K1090" s="117"/>
      <c r="L1090" s="117"/>
      <c r="M1090" s="117"/>
      <c r="N1090" s="117"/>
      <c r="O1090" s="117"/>
      <c r="P1090" s="117"/>
      <c r="Q1090" s="117"/>
      <c r="R1090" s="117"/>
      <c r="S1090" s="117"/>
    </row>
    <row r="1091" spans="1:19" ht="12.9">
      <c r="A1091" s="117"/>
      <c r="B1091" s="117"/>
      <c r="C1091" s="117"/>
      <c r="D1091" s="24"/>
      <c r="E1091" s="24"/>
      <c r="F1091" s="117"/>
      <c r="G1091" s="117"/>
      <c r="H1091" s="117"/>
      <c r="I1091" s="117"/>
      <c r="J1091" s="117"/>
      <c r="K1091" s="117"/>
      <c r="L1091" s="117"/>
      <c r="M1091" s="117"/>
      <c r="N1091" s="117"/>
      <c r="O1091" s="117"/>
      <c r="P1091" s="117"/>
      <c r="Q1091" s="117"/>
      <c r="R1091" s="117"/>
      <c r="S1091" s="117"/>
    </row>
    <row r="1092" spans="1:19" ht="12.9">
      <c r="A1092" s="117"/>
      <c r="B1092" s="117"/>
      <c r="C1092" s="117"/>
      <c r="D1092" s="24"/>
      <c r="E1092" s="24"/>
      <c r="F1092" s="117"/>
      <c r="G1092" s="117"/>
      <c r="H1092" s="117"/>
      <c r="I1092" s="117"/>
      <c r="J1092" s="117"/>
      <c r="K1092" s="117"/>
      <c r="L1092" s="117"/>
      <c r="M1092" s="117"/>
      <c r="N1092" s="117"/>
      <c r="O1092" s="117"/>
      <c r="P1092" s="117"/>
      <c r="Q1092" s="117"/>
      <c r="R1092" s="117"/>
      <c r="S1092" s="117"/>
    </row>
    <row r="1093" spans="1:19" ht="12.9">
      <c r="A1093" s="117"/>
      <c r="B1093" s="117"/>
      <c r="C1093" s="117"/>
      <c r="D1093" s="24"/>
      <c r="E1093" s="24"/>
      <c r="F1093" s="117"/>
      <c r="G1093" s="117"/>
      <c r="H1093" s="117"/>
      <c r="I1093" s="117"/>
      <c r="J1093" s="117"/>
      <c r="K1093" s="117"/>
      <c r="L1093" s="117"/>
      <c r="M1093" s="117"/>
      <c r="N1093" s="117"/>
      <c r="O1093" s="117"/>
      <c r="P1093" s="117"/>
      <c r="Q1093" s="117"/>
      <c r="R1093" s="117"/>
      <c r="S1093" s="117"/>
    </row>
    <row r="1094" spans="1:19" ht="12.9">
      <c r="A1094" s="117"/>
      <c r="B1094" s="117"/>
      <c r="C1094" s="117"/>
      <c r="D1094" s="24"/>
      <c r="E1094" s="24"/>
      <c r="F1094" s="117"/>
      <c r="G1094" s="117"/>
      <c r="H1094" s="117"/>
      <c r="I1094" s="117"/>
      <c r="J1094" s="117"/>
      <c r="K1094" s="117"/>
      <c r="L1094" s="117"/>
      <c r="M1094" s="117"/>
      <c r="N1094" s="117"/>
      <c r="O1094" s="117"/>
      <c r="P1094" s="117"/>
      <c r="Q1094" s="117"/>
      <c r="R1094" s="117"/>
      <c r="S1094" s="117"/>
    </row>
    <row r="1095" spans="1:19" ht="12.9">
      <c r="A1095" s="117"/>
      <c r="B1095" s="117"/>
      <c r="C1095" s="117"/>
      <c r="D1095" s="24"/>
      <c r="E1095" s="24"/>
      <c r="F1095" s="117"/>
      <c r="G1095" s="117"/>
      <c r="H1095" s="117"/>
      <c r="I1095" s="117"/>
      <c r="J1095" s="117"/>
      <c r="K1095" s="117"/>
      <c r="L1095" s="117"/>
      <c r="M1095" s="117"/>
      <c r="N1095" s="117"/>
      <c r="O1095" s="117"/>
      <c r="P1095" s="117"/>
      <c r="Q1095" s="117"/>
      <c r="R1095" s="117"/>
      <c r="S1095" s="117"/>
    </row>
    <row r="1096" spans="1:19" ht="12.9">
      <c r="A1096" s="117"/>
      <c r="B1096" s="117"/>
      <c r="C1096" s="117"/>
      <c r="D1096" s="24"/>
      <c r="E1096" s="24"/>
      <c r="F1096" s="117"/>
      <c r="G1096" s="117"/>
      <c r="H1096" s="117"/>
      <c r="I1096" s="117"/>
      <c r="J1096" s="117"/>
      <c r="K1096" s="117"/>
      <c r="L1096" s="117"/>
      <c r="M1096" s="117"/>
      <c r="N1096" s="117"/>
      <c r="O1096" s="117"/>
      <c r="P1096" s="117"/>
      <c r="Q1096" s="117"/>
      <c r="R1096" s="117"/>
      <c r="S1096" s="117"/>
    </row>
    <row r="1097" spans="1:19" ht="12.9">
      <c r="A1097" s="117"/>
      <c r="B1097" s="117"/>
      <c r="C1097" s="117"/>
      <c r="D1097" s="24"/>
      <c r="E1097" s="24"/>
      <c r="F1097" s="117"/>
      <c r="G1097" s="117"/>
      <c r="H1097" s="117"/>
      <c r="I1097" s="117"/>
      <c r="J1097" s="117"/>
      <c r="K1097" s="117"/>
      <c r="L1097" s="117"/>
      <c r="M1097" s="117"/>
      <c r="N1097" s="117"/>
      <c r="O1097" s="117"/>
      <c r="P1097" s="117"/>
      <c r="Q1097" s="117"/>
      <c r="R1097" s="117"/>
      <c r="S1097" s="117"/>
    </row>
    <row r="1098" spans="1:19" ht="12.9">
      <c r="A1098" s="117"/>
      <c r="B1098" s="117"/>
      <c r="C1098" s="117"/>
      <c r="D1098" s="24"/>
      <c r="E1098" s="24"/>
      <c r="F1098" s="117"/>
      <c r="G1098" s="117"/>
      <c r="H1098" s="117"/>
      <c r="I1098" s="117"/>
      <c r="J1098" s="117"/>
      <c r="K1098" s="117"/>
      <c r="L1098" s="117"/>
      <c r="M1098" s="117"/>
      <c r="N1098" s="117"/>
      <c r="O1098" s="117"/>
      <c r="P1098" s="117"/>
      <c r="Q1098" s="117"/>
      <c r="R1098" s="117"/>
      <c r="S1098" s="117"/>
    </row>
    <row r="1099" spans="1:19" ht="12.9">
      <c r="A1099" s="117"/>
      <c r="B1099" s="117"/>
      <c r="C1099" s="117"/>
      <c r="D1099" s="24"/>
      <c r="E1099" s="24"/>
      <c r="F1099" s="117"/>
      <c r="G1099" s="117"/>
      <c r="H1099" s="117"/>
      <c r="I1099" s="117"/>
      <c r="J1099" s="117"/>
      <c r="K1099" s="117"/>
      <c r="L1099" s="117"/>
      <c r="M1099" s="117"/>
      <c r="N1099" s="117"/>
      <c r="O1099" s="117"/>
      <c r="P1099" s="117"/>
      <c r="Q1099" s="117"/>
      <c r="R1099" s="117"/>
      <c r="S1099" s="117"/>
    </row>
    <row r="1100" spans="1:19" ht="12.9">
      <c r="A1100" s="117"/>
      <c r="B1100" s="117"/>
      <c r="C1100" s="117"/>
      <c r="D1100" s="24"/>
      <c r="E1100" s="24"/>
      <c r="F1100" s="117"/>
      <c r="G1100" s="117"/>
      <c r="H1100" s="117"/>
      <c r="I1100" s="117"/>
      <c r="J1100" s="117"/>
      <c r="K1100" s="117"/>
      <c r="L1100" s="117"/>
      <c r="M1100" s="117"/>
      <c r="N1100" s="117"/>
      <c r="O1100" s="117"/>
      <c r="P1100" s="117"/>
      <c r="Q1100" s="117"/>
      <c r="R1100" s="117"/>
      <c r="S1100" s="117"/>
    </row>
    <row r="1101" spans="1:19" ht="12.9">
      <c r="A1101" s="117"/>
      <c r="B1101" s="117"/>
      <c r="C1101" s="117"/>
      <c r="D1101" s="24"/>
      <c r="E1101" s="24"/>
      <c r="F1101" s="117"/>
      <c r="G1101" s="117"/>
      <c r="H1101" s="117"/>
      <c r="I1101" s="117"/>
      <c r="J1101" s="117"/>
      <c r="K1101" s="117"/>
      <c r="L1101" s="117"/>
      <c r="M1101" s="117"/>
      <c r="N1101" s="117"/>
      <c r="O1101" s="117"/>
      <c r="P1101" s="117"/>
      <c r="Q1101" s="117"/>
      <c r="R1101" s="117"/>
      <c r="S1101" s="117"/>
    </row>
    <row r="1102" spans="1:19" ht="12.9">
      <c r="A1102" s="117"/>
      <c r="B1102" s="117"/>
      <c r="C1102" s="117"/>
      <c r="D1102" s="24"/>
      <c r="E1102" s="24"/>
      <c r="F1102" s="117"/>
      <c r="G1102" s="117"/>
      <c r="H1102" s="117"/>
      <c r="I1102" s="117"/>
      <c r="J1102" s="117"/>
      <c r="K1102" s="117"/>
      <c r="L1102" s="117"/>
      <c r="M1102" s="117"/>
      <c r="N1102" s="117"/>
      <c r="O1102" s="117"/>
      <c r="P1102" s="117"/>
      <c r="Q1102" s="117"/>
      <c r="R1102" s="117"/>
      <c r="S1102" s="117"/>
    </row>
    <row r="1103" spans="1:19" ht="12.9">
      <c r="A1103" s="117"/>
      <c r="B1103" s="117"/>
      <c r="C1103" s="117"/>
      <c r="D1103" s="24"/>
      <c r="E1103" s="24"/>
      <c r="F1103" s="117"/>
      <c r="G1103" s="117"/>
      <c r="H1103" s="117"/>
      <c r="I1103" s="117"/>
      <c r="J1103" s="117"/>
      <c r="K1103" s="117"/>
      <c r="L1103" s="117"/>
      <c r="M1103" s="117"/>
      <c r="N1103" s="117"/>
      <c r="O1103" s="117"/>
      <c r="P1103" s="117"/>
      <c r="Q1103" s="117"/>
      <c r="R1103" s="117"/>
      <c r="S1103" s="117"/>
    </row>
    <row r="1104" spans="1:19" ht="12.9">
      <c r="A1104" s="117"/>
      <c r="B1104" s="117"/>
      <c r="C1104" s="117"/>
      <c r="D1104" s="24"/>
      <c r="E1104" s="24"/>
      <c r="F1104" s="117"/>
      <c r="G1104" s="117"/>
      <c r="H1104" s="117"/>
      <c r="I1104" s="117"/>
      <c r="J1104" s="117"/>
      <c r="K1104" s="117"/>
      <c r="L1104" s="117"/>
      <c r="M1104" s="117"/>
      <c r="N1104" s="117"/>
      <c r="O1104" s="117"/>
      <c r="P1104" s="117"/>
      <c r="Q1104" s="117"/>
      <c r="R1104" s="117"/>
      <c r="S1104" s="117"/>
    </row>
    <row r="1105" spans="1:19" ht="12.9">
      <c r="A1105" s="117"/>
      <c r="B1105" s="117"/>
      <c r="C1105" s="117"/>
      <c r="D1105" s="24"/>
      <c r="E1105" s="24"/>
      <c r="F1105" s="117"/>
      <c r="G1105" s="117"/>
      <c r="H1105" s="117"/>
      <c r="I1105" s="117"/>
      <c r="J1105" s="117"/>
      <c r="K1105" s="117"/>
      <c r="L1105" s="117"/>
      <c r="M1105" s="117"/>
      <c r="N1105" s="117"/>
      <c r="O1105" s="117"/>
      <c r="P1105" s="117"/>
      <c r="Q1105" s="117"/>
      <c r="R1105" s="117"/>
      <c r="S1105" s="117"/>
    </row>
    <row r="1106" spans="1:19" ht="12.9">
      <c r="A1106" s="117"/>
      <c r="B1106" s="117"/>
      <c r="C1106" s="117"/>
      <c r="D1106" s="24"/>
      <c r="E1106" s="24"/>
      <c r="F1106" s="117"/>
      <c r="G1106" s="117"/>
      <c r="H1106" s="117"/>
      <c r="I1106" s="117"/>
      <c r="J1106" s="117"/>
      <c r="K1106" s="117"/>
      <c r="L1106" s="117"/>
      <c r="M1106" s="117"/>
      <c r="N1106" s="117"/>
      <c r="O1106" s="117"/>
      <c r="P1106" s="117"/>
      <c r="Q1106" s="117"/>
      <c r="R1106" s="117"/>
      <c r="S1106" s="117"/>
    </row>
    <row r="1107" spans="1:19" ht="12.9">
      <c r="A1107" s="117"/>
      <c r="B1107" s="117"/>
      <c r="C1107" s="117"/>
      <c r="D1107" s="24"/>
      <c r="E1107" s="24"/>
      <c r="F1107" s="117"/>
      <c r="G1107" s="117"/>
      <c r="H1107" s="117"/>
      <c r="I1107" s="117"/>
      <c r="J1107" s="117"/>
      <c r="K1107" s="117"/>
      <c r="L1107" s="117"/>
      <c r="M1107" s="117"/>
      <c r="N1107" s="117"/>
      <c r="O1107" s="117"/>
      <c r="P1107" s="117"/>
      <c r="Q1107" s="117"/>
      <c r="R1107" s="117"/>
      <c r="S1107" s="117"/>
    </row>
    <row r="1108" spans="1:19" ht="12.9">
      <c r="A1108" s="117"/>
      <c r="B1108" s="117"/>
      <c r="C1108" s="117"/>
      <c r="D1108" s="24"/>
      <c r="E1108" s="24"/>
      <c r="F1108" s="117"/>
      <c r="G1108" s="117"/>
      <c r="H1108" s="117"/>
      <c r="I1108" s="117"/>
      <c r="J1108" s="117"/>
      <c r="K1108" s="117"/>
      <c r="L1108" s="117"/>
      <c r="M1108" s="117"/>
      <c r="N1108" s="117"/>
      <c r="O1108" s="117"/>
      <c r="P1108" s="117"/>
      <c r="Q1108" s="117"/>
      <c r="R1108" s="117"/>
      <c r="S1108" s="117"/>
    </row>
    <row r="1109" spans="1:19" ht="12.9">
      <c r="A1109" s="117"/>
      <c r="B1109" s="117"/>
      <c r="C1109" s="117"/>
      <c r="D1109" s="24"/>
      <c r="E1109" s="24"/>
      <c r="F1109" s="117"/>
      <c r="G1109" s="117"/>
      <c r="H1109" s="117"/>
      <c r="I1109" s="117"/>
      <c r="J1109" s="117"/>
      <c r="K1109" s="117"/>
      <c r="L1109" s="117"/>
      <c r="M1109" s="117"/>
      <c r="N1109" s="117"/>
      <c r="O1109" s="117"/>
      <c r="P1109" s="117"/>
      <c r="Q1109" s="117"/>
      <c r="R1109" s="117"/>
      <c r="S1109" s="117"/>
    </row>
    <row r="1110" spans="1:19" ht="12.9">
      <c r="A1110" s="117"/>
      <c r="B1110" s="117"/>
      <c r="C1110" s="117"/>
      <c r="D1110" s="24"/>
      <c r="E1110" s="24"/>
      <c r="F1110" s="117"/>
      <c r="G1110" s="117"/>
      <c r="H1110" s="117"/>
      <c r="I1110" s="117"/>
      <c r="J1110" s="117"/>
      <c r="K1110" s="117"/>
      <c r="L1110" s="117"/>
      <c r="M1110" s="117"/>
      <c r="N1110" s="117"/>
      <c r="O1110" s="117"/>
      <c r="P1110" s="117"/>
      <c r="Q1110" s="117"/>
      <c r="R1110" s="117"/>
      <c r="S1110" s="117"/>
    </row>
    <row r="1111" spans="1:19" ht="12.9">
      <c r="A1111" s="117"/>
      <c r="B1111" s="117"/>
      <c r="C1111" s="117"/>
      <c r="D1111" s="24"/>
      <c r="E1111" s="24"/>
      <c r="F1111" s="117"/>
      <c r="G1111" s="117"/>
      <c r="H1111" s="117"/>
      <c r="I1111" s="117"/>
      <c r="J1111" s="117"/>
      <c r="K1111" s="117"/>
      <c r="L1111" s="117"/>
      <c r="M1111" s="117"/>
      <c r="N1111" s="117"/>
      <c r="O1111" s="117"/>
      <c r="P1111" s="117"/>
      <c r="Q1111" s="117"/>
      <c r="R1111" s="117"/>
      <c r="S1111" s="117"/>
    </row>
    <row r="1112" spans="1:19" ht="12.9">
      <c r="A1112" s="117"/>
      <c r="B1112" s="117"/>
      <c r="C1112" s="117"/>
      <c r="D1112" s="24"/>
      <c r="E1112" s="24"/>
      <c r="F1112" s="117"/>
      <c r="G1112" s="117"/>
      <c r="H1112" s="117"/>
      <c r="I1112" s="117"/>
      <c r="J1112" s="117"/>
      <c r="K1112" s="117"/>
      <c r="L1112" s="117"/>
      <c r="M1112" s="117"/>
      <c r="N1112" s="117"/>
      <c r="O1112" s="117"/>
      <c r="P1112" s="117"/>
      <c r="Q1112" s="117"/>
      <c r="R1112" s="117"/>
      <c r="S1112" s="117"/>
    </row>
    <row r="1113" spans="1:19" ht="12.9">
      <c r="A1113" s="117"/>
      <c r="B1113" s="117"/>
      <c r="C1113" s="117"/>
      <c r="D1113" s="24"/>
      <c r="E1113" s="24"/>
      <c r="F1113" s="117"/>
      <c r="G1113" s="117"/>
      <c r="H1113" s="117"/>
      <c r="I1113" s="117"/>
      <c r="J1113" s="117"/>
      <c r="K1113" s="117"/>
      <c r="L1113" s="117"/>
      <c r="M1113" s="117"/>
      <c r="N1113" s="117"/>
      <c r="O1113" s="117"/>
      <c r="P1113" s="117"/>
      <c r="Q1113" s="117"/>
      <c r="R1113" s="117"/>
      <c r="S1113" s="117"/>
    </row>
    <row r="1114" spans="1:19" ht="12.9">
      <c r="A1114" s="117"/>
      <c r="B1114" s="117"/>
      <c r="C1114" s="117"/>
      <c r="D1114" s="24"/>
      <c r="E1114" s="24"/>
      <c r="F1114" s="117"/>
      <c r="G1114" s="117"/>
      <c r="H1114" s="117"/>
      <c r="I1114" s="117"/>
      <c r="J1114" s="117"/>
      <c r="K1114" s="117"/>
      <c r="L1114" s="117"/>
      <c r="M1114" s="117"/>
      <c r="N1114" s="117"/>
      <c r="O1114" s="117"/>
      <c r="P1114" s="117"/>
      <c r="Q1114" s="117"/>
      <c r="R1114" s="117"/>
      <c r="S1114" s="117"/>
    </row>
    <row r="1115" spans="1:19" ht="12.9">
      <c r="A1115" s="117"/>
      <c r="B1115" s="117"/>
      <c r="C1115" s="117"/>
      <c r="D1115" s="24"/>
      <c r="E1115" s="24"/>
      <c r="F1115" s="117"/>
      <c r="G1115" s="117"/>
      <c r="H1115" s="117"/>
      <c r="I1115" s="117"/>
      <c r="J1115" s="117"/>
      <c r="K1115" s="117"/>
      <c r="L1115" s="117"/>
      <c r="M1115" s="117"/>
      <c r="N1115" s="117"/>
      <c r="O1115" s="117"/>
      <c r="P1115" s="117"/>
      <c r="Q1115" s="117"/>
      <c r="R1115" s="117"/>
      <c r="S1115" s="117"/>
    </row>
    <row r="1116" spans="1:19" ht="12.9">
      <c r="A1116" s="117"/>
      <c r="B1116" s="117"/>
      <c r="C1116" s="117"/>
      <c r="D1116" s="24"/>
      <c r="E1116" s="24"/>
      <c r="F1116" s="117"/>
      <c r="G1116" s="117"/>
      <c r="H1116" s="117"/>
      <c r="I1116" s="117"/>
      <c r="J1116" s="117"/>
      <c r="K1116" s="117"/>
      <c r="L1116" s="117"/>
      <c r="M1116" s="117"/>
      <c r="N1116" s="117"/>
      <c r="O1116" s="117"/>
      <c r="P1116" s="117"/>
      <c r="Q1116" s="117"/>
      <c r="R1116" s="117"/>
      <c r="S1116" s="117"/>
    </row>
    <row r="1117" spans="1:19" ht="12.9">
      <c r="A1117" s="117"/>
      <c r="B1117" s="117"/>
      <c r="C1117" s="117"/>
      <c r="D1117" s="24"/>
      <c r="E1117" s="24"/>
      <c r="F1117" s="117"/>
      <c r="G1117" s="117"/>
      <c r="H1117" s="117"/>
      <c r="I1117" s="117"/>
      <c r="J1117" s="117"/>
      <c r="K1117" s="117"/>
      <c r="L1117" s="117"/>
      <c r="M1117" s="117"/>
      <c r="N1117" s="117"/>
      <c r="O1117" s="117"/>
      <c r="P1117" s="117"/>
      <c r="Q1117" s="117"/>
      <c r="R1117" s="117"/>
      <c r="S1117" s="117"/>
    </row>
    <row r="1118" spans="1:19" ht="12.9">
      <c r="A1118" s="117"/>
      <c r="B1118" s="117"/>
      <c r="C1118" s="117"/>
      <c r="D1118" s="24"/>
      <c r="E1118" s="24"/>
      <c r="F1118" s="117"/>
      <c r="G1118" s="117"/>
      <c r="H1118" s="117"/>
      <c r="I1118" s="117"/>
      <c r="J1118" s="117"/>
      <c r="K1118" s="117"/>
      <c r="L1118" s="117"/>
      <c r="M1118" s="117"/>
      <c r="N1118" s="117"/>
      <c r="O1118" s="117"/>
      <c r="P1118" s="117"/>
      <c r="Q1118" s="117"/>
      <c r="R1118" s="117"/>
      <c r="S1118" s="117"/>
    </row>
    <row r="1119" spans="1:19" ht="12.9">
      <c r="A1119" s="117"/>
      <c r="B1119" s="117"/>
      <c r="C1119" s="117"/>
      <c r="D1119" s="24"/>
      <c r="E1119" s="24"/>
      <c r="F1119" s="117"/>
      <c r="G1119" s="117"/>
      <c r="H1119" s="117"/>
      <c r="I1119" s="117"/>
      <c r="J1119" s="117"/>
      <c r="K1119" s="117"/>
      <c r="L1119" s="117"/>
      <c r="M1119" s="117"/>
      <c r="N1119" s="117"/>
      <c r="O1119" s="117"/>
      <c r="P1119" s="117"/>
      <c r="Q1119" s="117"/>
      <c r="R1119" s="117"/>
      <c r="S1119" s="117"/>
    </row>
    <row r="1120" spans="1:19" ht="12.9">
      <c r="A1120" s="117"/>
      <c r="B1120" s="117"/>
      <c r="C1120" s="117"/>
      <c r="D1120" s="24"/>
      <c r="E1120" s="24"/>
      <c r="F1120" s="117"/>
      <c r="G1120" s="117"/>
      <c r="H1120" s="117"/>
      <c r="I1120" s="117"/>
      <c r="J1120" s="117"/>
      <c r="K1120" s="117"/>
      <c r="L1120" s="117"/>
      <c r="M1120" s="117"/>
      <c r="N1120" s="117"/>
      <c r="O1120" s="117"/>
      <c r="P1120" s="117"/>
      <c r="Q1120" s="117"/>
      <c r="R1120" s="117"/>
      <c r="S1120" s="117"/>
    </row>
    <row r="1121" spans="1:19" ht="12.9">
      <c r="A1121" s="117"/>
      <c r="B1121" s="117"/>
      <c r="C1121" s="117"/>
      <c r="D1121" s="24"/>
      <c r="E1121" s="24"/>
      <c r="F1121" s="117"/>
      <c r="G1121" s="117"/>
      <c r="H1121" s="117"/>
      <c r="I1121" s="117"/>
      <c r="J1121" s="117"/>
      <c r="K1121" s="117"/>
      <c r="L1121" s="117"/>
      <c r="M1121" s="117"/>
      <c r="N1121" s="117"/>
      <c r="O1121" s="117"/>
      <c r="P1121" s="117"/>
      <c r="Q1121" s="117"/>
      <c r="R1121" s="117"/>
      <c r="S1121" s="117"/>
    </row>
    <row r="1122" spans="1:19" ht="12.9">
      <c r="A1122" s="117"/>
      <c r="B1122" s="117"/>
      <c r="C1122" s="117"/>
      <c r="D1122" s="24"/>
      <c r="E1122" s="24"/>
      <c r="F1122" s="117"/>
      <c r="G1122" s="117"/>
      <c r="H1122" s="117"/>
      <c r="I1122" s="117"/>
      <c r="J1122" s="117"/>
      <c r="K1122" s="117"/>
      <c r="L1122" s="117"/>
      <c r="M1122" s="117"/>
      <c r="N1122" s="117"/>
      <c r="O1122" s="117"/>
      <c r="P1122" s="117"/>
      <c r="Q1122" s="117"/>
      <c r="R1122" s="117"/>
      <c r="S1122" s="117"/>
    </row>
    <row r="1123" spans="1:19" ht="12.9">
      <c r="A1123" s="117"/>
      <c r="B1123" s="117"/>
      <c r="C1123" s="117"/>
      <c r="D1123" s="24"/>
      <c r="E1123" s="24"/>
      <c r="F1123" s="117"/>
      <c r="G1123" s="117"/>
      <c r="H1123" s="117"/>
      <c r="I1123" s="117"/>
      <c r="J1123" s="117"/>
      <c r="K1123" s="117"/>
      <c r="L1123" s="117"/>
      <c r="M1123" s="117"/>
      <c r="N1123" s="117"/>
      <c r="O1123" s="117"/>
      <c r="P1123" s="117"/>
      <c r="Q1123" s="117"/>
      <c r="R1123" s="117"/>
      <c r="S1123" s="117"/>
    </row>
    <row r="1124" spans="1:19" ht="12.9">
      <c r="A1124" s="117"/>
      <c r="B1124" s="117"/>
      <c r="C1124" s="117"/>
      <c r="D1124" s="24"/>
      <c r="E1124" s="24"/>
      <c r="F1124" s="117"/>
      <c r="G1124" s="117"/>
      <c r="H1124" s="117"/>
      <c r="I1124" s="117"/>
      <c r="J1124" s="117"/>
      <c r="K1124" s="117"/>
      <c r="L1124" s="117"/>
      <c r="M1124" s="117"/>
      <c r="N1124" s="117"/>
      <c r="O1124" s="117"/>
      <c r="P1124" s="117"/>
      <c r="Q1124" s="117"/>
      <c r="R1124" s="117"/>
      <c r="S1124" s="117"/>
    </row>
    <row r="1125" spans="1:19" ht="12.9">
      <c r="A1125" s="117"/>
      <c r="B1125" s="117"/>
      <c r="C1125" s="117"/>
      <c r="D1125" s="24"/>
      <c r="E1125" s="24"/>
      <c r="F1125" s="117"/>
      <c r="G1125" s="117"/>
      <c r="H1125" s="117"/>
      <c r="I1125" s="117"/>
      <c r="J1125" s="117"/>
      <c r="K1125" s="117"/>
      <c r="L1125" s="117"/>
      <c r="M1125" s="117"/>
      <c r="N1125" s="117"/>
      <c r="O1125" s="117"/>
      <c r="P1125" s="117"/>
      <c r="Q1125" s="117"/>
      <c r="R1125" s="117"/>
      <c r="S1125" s="117"/>
    </row>
    <row r="1126" spans="1:19" ht="12.9">
      <c r="A1126" s="117"/>
      <c r="B1126" s="117"/>
      <c r="C1126" s="117"/>
      <c r="D1126" s="24"/>
      <c r="E1126" s="24"/>
      <c r="F1126" s="117"/>
      <c r="G1126" s="117"/>
      <c r="H1126" s="117"/>
      <c r="I1126" s="117"/>
      <c r="J1126" s="117"/>
      <c r="K1126" s="117"/>
      <c r="L1126" s="117"/>
      <c r="M1126" s="117"/>
      <c r="N1126" s="117"/>
      <c r="O1126" s="117"/>
      <c r="P1126" s="117"/>
      <c r="Q1126" s="117"/>
      <c r="R1126" s="117"/>
      <c r="S1126" s="117"/>
    </row>
    <row r="1127" spans="1:19" ht="12.9">
      <c r="A1127" s="117"/>
      <c r="B1127" s="117"/>
      <c r="C1127" s="117"/>
      <c r="D1127" s="24"/>
      <c r="E1127" s="24"/>
      <c r="F1127" s="117"/>
      <c r="G1127" s="117"/>
      <c r="H1127" s="117"/>
      <c r="I1127" s="117"/>
      <c r="J1127" s="117"/>
      <c r="K1127" s="117"/>
      <c r="L1127" s="117"/>
      <c r="M1127" s="117"/>
      <c r="N1127" s="117"/>
      <c r="O1127" s="117"/>
      <c r="P1127" s="117"/>
      <c r="Q1127" s="117"/>
      <c r="R1127" s="117"/>
      <c r="S1127" s="117"/>
    </row>
    <row r="1128" spans="1:19" ht="12.9">
      <c r="A1128" s="117"/>
      <c r="B1128" s="117"/>
      <c r="C1128" s="117"/>
      <c r="D1128" s="24"/>
      <c r="E1128" s="24"/>
      <c r="F1128" s="117"/>
      <c r="G1128" s="117"/>
      <c r="H1128" s="117"/>
      <c r="I1128" s="117"/>
      <c r="J1128" s="117"/>
      <c r="K1128" s="117"/>
      <c r="L1128" s="117"/>
      <c r="M1128" s="117"/>
      <c r="N1128" s="117"/>
      <c r="O1128" s="117"/>
      <c r="P1128" s="117"/>
      <c r="Q1128" s="117"/>
      <c r="R1128" s="117"/>
      <c r="S1128" s="117"/>
    </row>
    <row r="1129" spans="1:19" ht="12.9">
      <c r="A1129" s="117"/>
      <c r="B1129" s="117"/>
      <c r="C1129" s="117"/>
      <c r="D1129" s="24"/>
      <c r="E1129" s="24"/>
      <c r="F1129" s="117"/>
      <c r="G1129" s="117"/>
      <c r="H1129" s="117"/>
      <c r="I1129" s="117"/>
      <c r="J1129" s="117"/>
      <c r="K1129" s="117"/>
      <c r="L1129" s="117"/>
      <c r="M1129" s="117"/>
      <c r="N1129" s="117"/>
      <c r="O1129" s="117"/>
      <c r="P1129" s="117"/>
      <c r="Q1129" s="117"/>
      <c r="R1129" s="117"/>
      <c r="S1129" s="117"/>
    </row>
    <row r="1130" spans="1:19" ht="12.9">
      <c r="A1130" s="117"/>
      <c r="B1130" s="117"/>
      <c r="C1130" s="117"/>
      <c r="D1130" s="24"/>
      <c r="E1130" s="24"/>
      <c r="F1130" s="117"/>
      <c r="G1130" s="117"/>
      <c r="H1130" s="117"/>
      <c r="I1130" s="117"/>
      <c r="J1130" s="117"/>
      <c r="K1130" s="117"/>
      <c r="L1130" s="117"/>
      <c r="M1130" s="117"/>
      <c r="N1130" s="117"/>
      <c r="O1130" s="117"/>
      <c r="P1130" s="117"/>
      <c r="Q1130" s="117"/>
      <c r="R1130" s="117"/>
      <c r="S1130" s="117"/>
    </row>
    <row r="1131" spans="1:19" ht="12.9">
      <c r="A1131" s="117"/>
      <c r="B1131" s="117"/>
      <c r="C1131" s="117"/>
      <c r="D1131" s="24"/>
      <c r="E1131" s="24"/>
      <c r="F1131" s="117"/>
      <c r="G1131" s="117"/>
      <c r="H1131" s="117"/>
      <c r="I1131" s="117"/>
      <c r="J1131" s="117"/>
      <c r="K1131" s="117"/>
      <c r="L1131" s="117"/>
      <c r="M1131" s="117"/>
      <c r="N1131" s="117"/>
      <c r="O1131" s="117"/>
      <c r="P1131" s="117"/>
      <c r="Q1131" s="117"/>
      <c r="R1131" s="117"/>
      <c r="S1131" s="117"/>
    </row>
    <row r="1132" spans="1:19" ht="12.9">
      <c r="A1132" s="117"/>
      <c r="B1132" s="117"/>
      <c r="C1132" s="117"/>
      <c r="D1132" s="24"/>
      <c r="E1132" s="24"/>
      <c r="F1132" s="117"/>
      <c r="G1132" s="117"/>
      <c r="H1132" s="117"/>
      <c r="I1132" s="117"/>
      <c r="J1132" s="117"/>
      <c r="K1132" s="117"/>
      <c r="L1132" s="117"/>
      <c r="M1132" s="117"/>
      <c r="N1132" s="117"/>
      <c r="O1132" s="117"/>
      <c r="P1132" s="117"/>
      <c r="Q1132" s="117"/>
      <c r="R1132" s="117"/>
      <c r="S1132" s="117"/>
    </row>
    <row r="1133" spans="1:19" ht="12.9">
      <c r="A1133" s="117"/>
      <c r="B1133" s="117"/>
      <c r="C1133" s="117"/>
      <c r="D1133" s="24"/>
      <c r="E1133" s="24"/>
      <c r="F1133" s="117"/>
      <c r="G1133" s="117"/>
      <c r="H1133" s="117"/>
      <c r="I1133" s="117"/>
      <c r="J1133" s="117"/>
      <c r="K1133" s="117"/>
      <c r="L1133" s="117"/>
      <c r="M1133" s="117"/>
      <c r="N1133" s="117"/>
      <c r="O1133" s="117"/>
      <c r="P1133" s="117"/>
      <c r="Q1133" s="117"/>
      <c r="R1133" s="117"/>
      <c r="S1133" s="117"/>
    </row>
    <row r="1134" spans="1:19" ht="12.9">
      <c r="A1134" s="117"/>
      <c r="B1134" s="117"/>
      <c r="C1134" s="117"/>
      <c r="D1134" s="24"/>
      <c r="E1134" s="24"/>
      <c r="F1134" s="117"/>
      <c r="G1134" s="117"/>
      <c r="H1134" s="117"/>
      <c r="I1134" s="117"/>
      <c r="J1134" s="117"/>
      <c r="K1134" s="117"/>
      <c r="L1134" s="117"/>
      <c r="M1134" s="117"/>
      <c r="N1134" s="117"/>
      <c r="O1134" s="117"/>
      <c r="P1134" s="117"/>
      <c r="Q1134" s="117"/>
      <c r="R1134" s="117"/>
      <c r="S1134" s="117"/>
    </row>
    <row r="1135" spans="1:19" ht="12.9">
      <c r="A1135" s="117"/>
      <c r="B1135" s="117"/>
      <c r="C1135" s="117"/>
      <c r="D1135" s="24"/>
      <c r="E1135" s="24"/>
      <c r="F1135" s="117"/>
      <c r="G1135" s="117"/>
      <c r="H1135" s="117"/>
      <c r="I1135" s="117"/>
      <c r="J1135" s="117"/>
      <c r="K1135" s="117"/>
      <c r="L1135" s="117"/>
      <c r="M1135" s="117"/>
      <c r="N1135" s="117"/>
      <c r="O1135" s="117"/>
      <c r="P1135" s="117"/>
      <c r="Q1135" s="117"/>
      <c r="R1135" s="117"/>
      <c r="S1135" s="117"/>
    </row>
    <row r="1136" spans="1:19" ht="12.9">
      <c r="A1136" s="117"/>
      <c r="B1136" s="117"/>
      <c r="C1136" s="117"/>
      <c r="D1136" s="24"/>
      <c r="E1136" s="24"/>
      <c r="F1136" s="117"/>
      <c r="G1136" s="117"/>
      <c r="H1136" s="117"/>
      <c r="I1136" s="117"/>
      <c r="J1136" s="117"/>
      <c r="K1136" s="117"/>
      <c r="L1136" s="117"/>
      <c r="M1136" s="117"/>
      <c r="N1136" s="117"/>
      <c r="O1136" s="117"/>
      <c r="P1136" s="117"/>
      <c r="Q1136" s="117"/>
      <c r="R1136" s="117"/>
      <c r="S1136" s="117"/>
    </row>
    <row r="1137" spans="1:19" ht="12.9">
      <c r="A1137" s="117"/>
      <c r="B1137" s="117"/>
      <c r="C1137" s="117"/>
      <c r="D1137" s="24"/>
      <c r="E1137" s="24"/>
      <c r="F1137" s="117"/>
      <c r="G1137" s="117"/>
      <c r="H1137" s="117"/>
      <c r="I1137" s="117"/>
      <c r="J1137" s="117"/>
      <c r="K1137" s="117"/>
      <c r="L1137" s="117"/>
      <c r="M1137" s="117"/>
      <c r="N1137" s="117"/>
      <c r="O1137" s="117"/>
      <c r="P1137" s="117"/>
      <c r="Q1137" s="117"/>
      <c r="R1137" s="117"/>
      <c r="S1137" s="117"/>
    </row>
    <row r="1138" spans="1:19" ht="12.9">
      <c r="A1138" s="117"/>
      <c r="B1138" s="117"/>
      <c r="C1138" s="117"/>
      <c r="D1138" s="24"/>
      <c r="E1138" s="24"/>
      <c r="F1138" s="117"/>
      <c r="G1138" s="117"/>
      <c r="H1138" s="117"/>
      <c r="I1138" s="117"/>
      <c r="J1138" s="117"/>
      <c r="K1138" s="117"/>
      <c r="L1138" s="117"/>
      <c r="M1138" s="117"/>
      <c r="N1138" s="117"/>
      <c r="O1138" s="117"/>
      <c r="P1138" s="117"/>
      <c r="Q1138" s="117"/>
      <c r="R1138" s="117"/>
      <c r="S1138" s="117"/>
    </row>
    <row r="1139" spans="1:19" ht="12.9">
      <c r="A1139" s="117"/>
      <c r="B1139" s="117"/>
      <c r="C1139" s="117"/>
      <c r="D1139" s="24"/>
      <c r="E1139" s="24"/>
      <c r="F1139" s="117"/>
      <c r="G1139" s="117"/>
      <c r="H1139" s="117"/>
      <c r="I1139" s="117"/>
      <c r="J1139" s="117"/>
      <c r="K1139" s="117"/>
      <c r="L1139" s="117"/>
      <c r="M1139" s="117"/>
      <c r="N1139" s="117"/>
      <c r="O1139" s="117"/>
      <c r="P1139" s="117"/>
      <c r="Q1139" s="117"/>
      <c r="R1139" s="117"/>
      <c r="S1139" s="117"/>
    </row>
    <row r="1140" spans="1:19" ht="12.9">
      <c r="A1140" s="117"/>
      <c r="B1140" s="117"/>
      <c r="C1140" s="117"/>
      <c r="D1140" s="24"/>
      <c r="E1140" s="24"/>
      <c r="F1140" s="117"/>
      <c r="G1140" s="117"/>
      <c r="H1140" s="117"/>
      <c r="I1140" s="117"/>
      <c r="J1140" s="117"/>
      <c r="K1140" s="117"/>
      <c r="L1140" s="117"/>
      <c r="M1140" s="117"/>
      <c r="N1140" s="117"/>
      <c r="O1140" s="117"/>
      <c r="P1140" s="117"/>
      <c r="Q1140" s="117"/>
      <c r="R1140" s="117"/>
      <c r="S1140" s="117"/>
    </row>
    <row r="1141" spans="1:19" ht="12.9">
      <c r="A1141" s="117"/>
      <c r="B1141" s="117"/>
      <c r="C1141" s="117"/>
      <c r="D1141" s="24"/>
      <c r="E1141" s="24"/>
      <c r="F1141" s="117"/>
      <c r="G1141" s="117"/>
      <c r="H1141" s="117"/>
      <c r="I1141" s="117"/>
      <c r="J1141" s="117"/>
      <c r="K1141" s="117"/>
      <c r="L1141" s="117"/>
      <c r="M1141" s="117"/>
      <c r="N1141" s="117"/>
      <c r="O1141" s="117"/>
      <c r="P1141" s="117"/>
      <c r="Q1141" s="117"/>
      <c r="R1141" s="117"/>
      <c r="S1141" s="117"/>
    </row>
    <row r="1142" spans="1:19" ht="12.9">
      <c r="A1142" s="117"/>
      <c r="B1142" s="117"/>
      <c r="C1142" s="117"/>
      <c r="D1142" s="24"/>
      <c r="E1142" s="24"/>
      <c r="F1142" s="117"/>
      <c r="G1142" s="117"/>
      <c r="H1142" s="117"/>
      <c r="I1142" s="117"/>
      <c r="J1142" s="117"/>
      <c r="K1142" s="117"/>
      <c r="L1142" s="117"/>
      <c r="M1142" s="117"/>
      <c r="N1142" s="117"/>
      <c r="O1142" s="117"/>
      <c r="P1142" s="117"/>
      <c r="Q1142" s="117"/>
      <c r="R1142" s="117"/>
      <c r="S1142" s="117"/>
    </row>
    <row r="1143" spans="1:19" ht="12.9">
      <c r="A1143" s="117"/>
      <c r="B1143" s="117"/>
      <c r="C1143" s="117"/>
      <c r="D1143" s="24"/>
      <c r="E1143" s="24"/>
      <c r="F1143" s="117"/>
      <c r="G1143" s="117"/>
      <c r="H1143" s="117"/>
      <c r="I1143" s="117"/>
      <c r="J1143" s="117"/>
      <c r="K1143" s="117"/>
      <c r="L1143" s="117"/>
      <c r="M1143" s="117"/>
      <c r="N1143" s="117"/>
      <c r="O1143" s="117"/>
      <c r="P1143" s="117"/>
      <c r="Q1143" s="117"/>
      <c r="R1143" s="117"/>
      <c r="S1143" s="117"/>
    </row>
    <row r="1144" spans="1:19" ht="12.9">
      <c r="A1144" s="117"/>
      <c r="B1144" s="117"/>
      <c r="C1144" s="117"/>
      <c r="D1144" s="24"/>
      <c r="E1144" s="24"/>
      <c r="F1144" s="117"/>
      <c r="G1144" s="117"/>
      <c r="H1144" s="117"/>
      <c r="I1144" s="117"/>
      <c r="J1144" s="117"/>
      <c r="K1144" s="117"/>
      <c r="L1144" s="117"/>
      <c r="M1144" s="117"/>
      <c r="N1144" s="117"/>
      <c r="O1144" s="117"/>
      <c r="P1144" s="117"/>
      <c r="Q1144" s="117"/>
      <c r="R1144" s="117"/>
      <c r="S1144" s="117"/>
    </row>
    <row r="1145" spans="1:19" ht="12.9">
      <c r="A1145" s="117"/>
      <c r="B1145" s="117"/>
      <c r="C1145" s="117"/>
      <c r="D1145" s="24"/>
      <c r="E1145" s="24"/>
      <c r="F1145" s="117"/>
      <c r="G1145" s="117"/>
      <c r="H1145" s="117"/>
      <c r="I1145" s="117"/>
      <c r="J1145" s="117"/>
      <c r="K1145" s="117"/>
      <c r="L1145" s="117"/>
      <c r="M1145" s="117"/>
      <c r="N1145" s="117"/>
      <c r="O1145" s="117"/>
      <c r="P1145" s="117"/>
      <c r="Q1145" s="117"/>
      <c r="R1145" s="117"/>
      <c r="S1145" s="117"/>
    </row>
    <row r="1146" spans="1:19" ht="12.9">
      <c r="A1146" s="117"/>
      <c r="B1146" s="117"/>
      <c r="C1146" s="117"/>
      <c r="D1146" s="24"/>
      <c r="E1146" s="24"/>
      <c r="F1146" s="117"/>
      <c r="G1146" s="117"/>
      <c r="H1146" s="117"/>
      <c r="I1146" s="117"/>
      <c r="J1146" s="117"/>
      <c r="K1146" s="117"/>
      <c r="L1146" s="117"/>
      <c r="M1146" s="117"/>
      <c r="N1146" s="117"/>
      <c r="O1146" s="117"/>
      <c r="P1146" s="117"/>
      <c r="Q1146" s="117"/>
      <c r="R1146" s="117"/>
      <c r="S1146" s="117"/>
    </row>
    <row r="1147" spans="1:19" ht="12.9">
      <c r="A1147" s="117"/>
      <c r="B1147" s="117"/>
      <c r="C1147" s="117"/>
      <c r="D1147" s="24"/>
      <c r="E1147" s="24"/>
      <c r="F1147" s="117"/>
      <c r="G1147" s="117"/>
      <c r="H1147" s="117"/>
      <c r="I1147" s="117"/>
      <c r="J1147" s="117"/>
      <c r="K1147" s="117"/>
      <c r="L1147" s="117"/>
      <c r="M1147" s="117"/>
      <c r="N1147" s="117"/>
      <c r="O1147" s="117"/>
      <c r="P1147" s="117"/>
      <c r="Q1147" s="117"/>
      <c r="R1147" s="117"/>
      <c r="S1147" s="11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x14:formula1>
            <xm:f>'Self Assessment Total Score'!$C$18:$C$21</xm:f>
          </x14:formula1>
          <xm:sqref>H2:H19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D1133"/>
  <sheetViews>
    <sheetView workbookViewId="0">
      <selection activeCell="H27" sqref="H2:H27"/>
    </sheetView>
  </sheetViews>
  <sheetFormatPr defaultColWidth="14.375" defaultRowHeight="15.8" customHeight="1"/>
  <cols>
    <col min="1" max="1" width="13.625" customWidth="1"/>
    <col min="2" max="2" width="16.25" customWidth="1"/>
    <col min="3" max="3" width="43" customWidth="1"/>
    <col min="4" max="4" width="31.625" customWidth="1"/>
    <col min="5" max="5" width="29.875" customWidth="1"/>
    <col min="6" max="6" width="34.125" customWidth="1"/>
    <col min="7" max="8" width="30.75" customWidth="1"/>
    <col min="9" max="9" width="17.75" customWidth="1"/>
    <col min="10" max="30" width="62.375" customWidth="1"/>
  </cols>
  <sheetData>
    <row r="1" spans="1:30" ht="15.8" customHeight="1">
      <c r="A1" s="23" t="s">
        <v>3442</v>
      </c>
      <c r="B1" s="23" t="s">
        <v>3443</v>
      </c>
      <c r="C1" s="23" t="s">
        <v>3444</v>
      </c>
      <c r="D1" s="23" t="s">
        <v>36</v>
      </c>
      <c r="E1" s="23" t="s">
        <v>39</v>
      </c>
      <c r="F1" s="23" t="s">
        <v>3445</v>
      </c>
      <c r="G1" s="23" t="s">
        <v>3446</v>
      </c>
      <c r="H1" s="135" t="s">
        <v>44</v>
      </c>
      <c r="I1" s="135" t="s">
        <v>46</v>
      </c>
      <c r="J1" s="175"/>
      <c r="K1" s="175"/>
      <c r="L1" s="136"/>
      <c r="M1" s="136"/>
      <c r="N1" s="136"/>
      <c r="O1" s="136"/>
      <c r="P1" s="136"/>
      <c r="Q1" s="136"/>
      <c r="R1" s="16"/>
      <c r="S1" s="16"/>
      <c r="T1" s="16"/>
      <c r="U1" s="16"/>
      <c r="V1" s="16"/>
      <c r="W1" s="16"/>
      <c r="X1" s="16"/>
      <c r="Y1" s="16"/>
      <c r="Z1" s="16"/>
      <c r="AA1" s="16"/>
      <c r="AB1" s="16"/>
      <c r="AC1" s="16"/>
      <c r="AD1" s="16"/>
    </row>
    <row r="2" spans="1:30" ht="15.8" customHeight="1">
      <c r="A2" s="121" t="s">
        <v>7402</v>
      </c>
      <c r="B2" s="121" t="s">
        <v>7403</v>
      </c>
      <c r="C2" s="25" t="s">
        <v>7404</v>
      </c>
      <c r="D2" s="25" t="s">
        <v>7405</v>
      </c>
      <c r="E2" s="25" t="s">
        <v>7406</v>
      </c>
      <c r="F2" s="57" t="str">
        <f t="shared" ref="F2:G2" si="0">HYPERLINK("https://insite.gsa.gov/cdnstatic/insite/OAS_P_18201_Records_Management_Directive_Signed_3-7-2014_Rev_7-25-2018.pdf","OASP 1820.1 Records management policy")</f>
        <v>OASP 1820.1 Records management policy</v>
      </c>
      <c r="G2" s="57" t="str">
        <f t="shared" si="0"/>
        <v>OASP 1820.1 Records management policy</v>
      </c>
      <c r="H2" s="64"/>
      <c r="I2" s="45" t="b">
        <f t="shared" ref="I2:I27" si="1">IF(AND(H2="Meet the requirements traceability “out of the box”"), 10, IF(AND(H2="Can meet the requirements traceability with configuration or through the use of another commercial product “out of the box” or other arrangement as part of the service offering quoted (i.e. at no additional cost)"), 8, IF(AND(H2="Can meet the requirements traceability with customization at additional cost"), 3, IF(AND(H2="Cannot meet the requirements traceability requirement"), 0))))</f>
        <v>0</v>
      </c>
      <c r="J2" s="16"/>
      <c r="K2" s="16"/>
      <c r="L2" s="16"/>
      <c r="M2" s="16"/>
      <c r="N2" s="16"/>
      <c r="O2" s="16"/>
      <c r="P2" s="16"/>
      <c r="Q2" s="16"/>
      <c r="R2" s="16"/>
      <c r="S2" s="16"/>
      <c r="T2" s="16"/>
      <c r="U2" s="16"/>
      <c r="V2" s="16"/>
      <c r="W2" s="16"/>
      <c r="X2" s="16"/>
      <c r="Y2" s="16"/>
      <c r="Z2" s="16"/>
      <c r="AA2" s="16"/>
      <c r="AB2" s="16"/>
      <c r="AC2" s="16"/>
      <c r="AD2" s="16"/>
    </row>
    <row r="3" spans="1:30" ht="15.8" customHeight="1">
      <c r="A3" s="121" t="s">
        <v>7407</v>
      </c>
      <c r="B3" s="121" t="s">
        <v>7403</v>
      </c>
      <c r="C3" s="79" t="s">
        <v>7408</v>
      </c>
      <c r="D3" s="25" t="s">
        <v>7409</v>
      </c>
      <c r="E3" s="25" t="s">
        <v>7410</v>
      </c>
      <c r="F3" s="57" t="str">
        <f>HYPERLINK("https://www.acquisition.gov/content/part-4-administrative-matters#i1122650","FAR 4.703")</f>
        <v>FAR 4.703</v>
      </c>
      <c r="G3" s="57" t="str">
        <f>HYPERLINK("https://www.acquisition.gov/content/part-504-administrative-matters#WCVBGESV","GSAM 504.805 and other agency supplements")</f>
        <v>GSAM 504.805 and other agency supplements</v>
      </c>
      <c r="H3" s="64"/>
      <c r="I3" s="45" t="b">
        <f t="shared" si="1"/>
        <v>0</v>
      </c>
      <c r="J3" s="16"/>
      <c r="K3" s="16"/>
      <c r="L3" s="16"/>
      <c r="M3" s="16"/>
      <c r="N3" s="16"/>
      <c r="O3" s="16"/>
      <c r="P3" s="16"/>
      <c r="Q3" s="16"/>
      <c r="R3" s="16"/>
      <c r="S3" s="16"/>
      <c r="T3" s="16"/>
      <c r="U3" s="16"/>
      <c r="V3" s="16"/>
      <c r="W3" s="16"/>
      <c r="X3" s="16"/>
      <c r="Y3" s="16"/>
      <c r="Z3" s="16"/>
      <c r="AA3" s="16"/>
      <c r="AB3" s="16"/>
      <c r="AC3" s="16"/>
      <c r="AD3" s="16"/>
    </row>
    <row r="4" spans="1:30" ht="15.8" customHeight="1">
      <c r="A4" s="121" t="s">
        <v>7411</v>
      </c>
      <c r="B4" s="121" t="s">
        <v>7403</v>
      </c>
      <c r="C4" s="79" t="s">
        <v>7412</v>
      </c>
      <c r="D4" s="25" t="s">
        <v>7413</v>
      </c>
      <c r="E4" s="25" t="s">
        <v>7414</v>
      </c>
      <c r="F4" s="57" t="str">
        <f>HYPERLINK("https://www.esd.whs.mil/Portals/54/Documents/DD/issuances/dodi/501502p.pdf","DoD Directive 5015.02")</f>
        <v>DoD Directive 5015.02</v>
      </c>
      <c r="G4" s="57" t="str">
        <f t="shared" ref="G4:G27" si="2">HYPERLINK("https://insite.gsa.gov/cdnstatic/insite/OAS_P_18201_Records_Management_Directive_Signed_3-7-2014_Rev_7-25-2018.pdf","OASP 1820.1 Records management policy")</f>
        <v>OASP 1820.1 Records management policy</v>
      </c>
      <c r="H4" s="64"/>
      <c r="I4" s="45" t="b">
        <f t="shared" si="1"/>
        <v>0</v>
      </c>
      <c r="J4" s="16"/>
      <c r="K4" s="16"/>
      <c r="L4" s="16"/>
      <c r="M4" s="16"/>
      <c r="N4" s="16"/>
      <c r="O4" s="16"/>
      <c r="P4" s="16"/>
      <c r="Q4" s="16"/>
      <c r="R4" s="16"/>
      <c r="S4" s="16"/>
      <c r="T4" s="16"/>
      <c r="U4" s="16"/>
      <c r="V4" s="16"/>
      <c r="W4" s="16"/>
      <c r="X4" s="16"/>
      <c r="Y4" s="16"/>
      <c r="Z4" s="16"/>
      <c r="AA4" s="16"/>
      <c r="AB4" s="16"/>
      <c r="AC4" s="16"/>
      <c r="AD4" s="16"/>
    </row>
    <row r="5" spans="1:30" ht="15.8" customHeight="1">
      <c r="A5" s="121" t="s">
        <v>7415</v>
      </c>
      <c r="B5" s="121" t="s">
        <v>7403</v>
      </c>
      <c r="C5" s="79" t="s">
        <v>7416</v>
      </c>
      <c r="D5" s="25" t="s">
        <v>7417</v>
      </c>
      <c r="E5" s="25" t="s">
        <v>7410</v>
      </c>
      <c r="F5" s="57" t="str">
        <f>HYPERLINK("www.esd.whs.mil/Portals/54/Documents/DD/issuances/dodm/501502std.pdf","DoD Directive 5015.02-STD")</f>
        <v>DoD Directive 5015.02-STD</v>
      </c>
      <c r="G5" s="57" t="str">
        <f t="shared" si="2"/>
        <v>OASP 1820.1 Records management policy</v>
      </c>
      <c r="H5" s="64"/>
      <c r="I5" s="45" t="b">
        <f t="shared" si="1"/>
        <v>0</v>
      </c>
      <c r="J5" s="16"/>
      <c r="K5" s="16"/>
      <c r="L5" s="16"/>
      <c r="M5" s="16"/>
      <c r="N5" s="16"/>
      <c r="O5" s="16"/>
      <c r="P5" s="16"/>
      <c r="Q5" s="16"/>
      <c r="R5" s="16"/>
      <c r="S5" s="16"/>
      <c r="T5" s="16"/>
      <c r="U5" s="16"/>
      <c r="V5" s="16"/>
      <c r="W5" s="16"/>
      <c r="X5" s="16"/>
      <c r="Y5" s="16"/>
      <c r="Z5" s="16"/>
      <c r="AA5" s="16"/>
      <c r="AB5" s="16"/>
      <c r="AC5" s="16"/>
      <c r="AD5" s="16"/>
    </row>
    <row r="6" spans="1:30" ht="15.8" customHeight="1">
      <c r="A6" s="121" t="s">
        <v>7418</v>
      </c>
      <c r="B6" s="121" t="s">
        <v>7403</v>
      </c>
      <c r="C6" s="79" t="s">
        <v>7419</v>
      </c>
      <c r="D6" s="25" t="s">
        <v>7420</v>
      </c>
      <c r="E6" s="25" t="s">
        <v>7410</v>
      </c>
      <c r="F6" s="57" t="str">
        <f>HYPERLINK("https://armypubs.army.mil/ProductMaps/PubForm/Details.aspx?PUB_ID=60671","Army Regulation 25-400-2")</f>
        <v>Army Regulation 25-400-2</v>
      </c>
      <c r="G6" s="57" t="str">
        <f t="shared" si="2"/>
        <v>OASP 1820.1 Records management policy</v>
      </c>
      <c r="H6" s="64"/>
      <c r="I6" s="45" t="b">
        <f t="shared" si="1"/>
        <v>0</v>
      </c>
      <c r="J6" s="16"/>
      <c r="K6" s="16"/>
      <c r="L6" s="16"/>
      <c r="M6" s="16"/>
      <c r="N6" s="16"/>
      <c r="O6" s="16"/>
      <c r="P6" s="16"/>
      <c r="Q6" s="16"/>
      <c r="R6" s="16"/>
      <c r="S6" s="16"/>
      <c r="T6" s="16"/>
      <c r="U6" s="16"/>
      <c r="V6" s="16"/>
      <c r="W6" s="16"/>
      <c r="X6" s="16"/>
      <c r="Y6" s="16"/>
      <c r="Z6" s="16"/>
      <c r="AA6" s="16"/>
      <c r="AB6" s="16"/>
      <c r="AC6" s="16"/>
      <c r="AD6" s="16"/>
    </row>
    <row r="7" spans="1:30" ht="15.8" customHeight="1">
      <c r="A7" s="121" t="s">
        <v>7421</v>
      </c>
      <c r="B7" s="121" t="s">
        <v>7403</v>
      </c>
      <c r="C7" s="79" t="s">
        <v>7422</v>
      </c>
      <c r="D7" s="79" t="s">
        <v>7423</v>
      </c>
      <c r="E7" s="25" t="s">
        <v>7410</v>
      </c>
      <c r="F7" s="57" t="str">
        <f t="shared" ref="F7:F27" si="3">HYPERLINK("http://www.archives.gov/records-mgmt/grs.html","National Archives and Records Administration (NARA) General Records Schedule 1.1, Financial Management and Reporting Records.")</f>
        <v>National Archives and Records Administration (NARA) General Records Schedule 1.1, Financial Management and Reporting Records.</v>
      </c>
      <c r="G7" s="57" t="str">
        <f t="shared" si="2"/>
        <v>OASP 1820.1 Records management policy</v>
      </c>
      <c r="H7" s="64"/>
      <c r="I7" s="45" t="b">
        <f t="shared" si="1"/>
        <v>0</v>
      </c>
      <c r="J7" s="16"/>
      <c r="K7" s="16"/>
      <c r="L7" s="16"/>
      <c r="M7" s="16"/>
      <c r="N7" s="16"/>
      <c r="O7" s="16"/>
      <c r="P7" s="16"/>
      <c r="Q7" s="16"/>
      <c r="R7" s="16"/>
      <c r="S7" s="16"/>
      <c r="T7" s="16"/>
      <c r="U7" s="16"/>
      <c r="V7" s="16"/>
      <c r="W7" s="16"/>
      <c r="X7" s="16"/>
      <c r="Y7" s="16"/>
      <c r="Z7" s="16"/>
      <c r="AA7" s="16"/>
      <c r="AB7" s="16"/>
      <c r="AC7" s="16"/>
      <c r="AD7" s="16"/>
    </row>
    <row r="8" spans="1:30" ht="15.8" customHeight="1">
      <c r="A8" s="121" t="s">
        <v>7424</v>
      </c>
      <c r="B8" s="121" t="s">
        <v>7403</v>
      </c>
      <c r="C8" s="79" t="s">
        <v>7425</v>
      </c>
      <c r="D8" s="79" t="s">
        <v>7426</v>
      </c>
      <c r="E8" s="25" t="s">
        <v>7427</v>
      </c>
      <c r="F8" s="57" t="str">
        <f t="shared" si="3"/>
        <v>National Archives and Records Administration (NARA) General Records Schedule 1.1, Financial Management and Reporting Records.</v>
      </c>
      <c r="G8" s="57" t="str">
        <f t="shared" si="2"/>
        <v>OASP 1820.1 Records management policy</v>
      </c>
      <c r="H8" s="64"/>
      <c r="I8" s="45" t="b">
        <f t="shared" si="1"/>
        <v>0</v>
      </c>
      <c r="J8" s="16"/>
      <c r="K8" s="16"/>
      <c r="L8" s="16"/>
      <c r="M8" s="16"/>
      <c r="N8" s="16"/>
      <c r="O8" s="16"/>
      <c r="P8" s="16"/>
      <c r="Q8" s="16"/>
      <c r="R8" s="16"/>
      <c r="S8" s="16"/>
      <c r="T8" s="16"/>
      <c r="U8" s="16"/>
      <c r="V8" s="16"/>
      <c r="W8" s="16"/>
      <c r="X8" s="16"/>
      <c r="Y8" s="16"/>
      <c r="Z8" s="16"/>
      <c r="AA8" s="16"/>
      <c r="AB8" s="16"/>
      <c r="AC8" s="16"/>
      <c r="AD8" s="16"/>
    </row>
    <row r="9" spans="1:30" ht="15.8" customHeight="1">
      <c r="A9" s="121" t="s">
        <v>7428</v>
      </c>
      <c r="B9" s="121" t="s">
        <v>7403</v>
      </c>
      <c r="C9" s="79" t="s">
        <v>7429</v>
      </c>
      <c r="D9" s="25" t="s">
        <v>7430</v>
      </c>
      <c r="E9" s="25" t="s">
        <v>7431</v>
      </c>
      <c r="F9" s="57" t="str">
        <f t="shared" si="3"/>
        <v>National Archives and Records Administration (NARA) General Records Schedule 1.1, Financial Management and Reporting Records.</v>
      </c>
      <c r="G9" s="57" t="str">
        <f t="shared" si="2"/>
        <v>OASP 1820.1 Records management policy</v>
      </c>
      <c r="H9" s="64"/>
      <c r="I9" s="45" t="b">
        <f t="shared" si="1"/>
        <v>0</v>
      </c>
      <c r="J9" s="16"/>
      <c r="K9" s="16"/>
      <c r="L9" s="16"/>
      <c r="M9" s="16"/>
      <c r="N9" s="16"/>
      <c r="O9" s="16"/>
      <c r="P9" s="16"/>
      <c r="Q9" s="16"/>
      <c r="R9" s="16"/>
      <c r="S9" s="16"/>
      <c r="T9" s="16"/>
      <c r="U9" s="16"/>
      <c r="V9" s="16"/>
      <c r="W9" s="16"/>
      <c r="X9" s="16"/>
      <c r="Y9" s="16"/>
      <c r="Z9" s="16"/>
      <c r="AA9" s="16"/>
      <c r="AB9" s="16"/>
      <c r="AC9" s="16"/>
      <c r="AD9" s="16"/>
    </row>
    <row r="10" spans="1:30" ht="15.8" customHeight="1">
      <c r="A10" s="121" t="s">
        <v>7432</v>
      </c>
      <c r="B10" s="121" t="s">
        <v>7403</v>
      </c>
      <c r="C10" s="79" t="s">
        <v>7433</v>
      </c>
      <c r="D10" s="25" t="s">
        <v>7434</v>
      </c>
      <c r="E10" s="25" t="s">
        <v>7435</v>
      </c>
      <c r="F10" s="57" t="str">
        <f t="shared" si="3"/>
        <v>National Archives and Records Administration (NARA) General Records Schedule 1.1, Financial Management and Reporting Records.</v>
      </c>
      <c r="G10" s="57" t="str">
        <f t="shared" si="2"/>
        <v>OASP 1820.1 Records management policy</v>
      </c>
      <c r="H10" s="64"/>
      <c r="I10" s="45" t="b">
        <f t="shared" si="1"/>
        <v>0</v>
      </c>
      <c r="J10" s="16"/>
      <c r="K10" s="16"/>
      <c r="L10" s="16"/>
      <c r="M10" s="16"/>
      <c r="N10" s="16"/>
      <c r="O10" s="16"/>
      <c r="P10" s="16"/>
      <c r="Q10" s="16"/>
      <c r="R10" s="16"/>
      <c r="S10" s="16"/>
      <c r="T10" s="16"/>
      <c r="U10" s="16"/>
      <c r="V10" s="16"/>
      <c r="W10" s="16"/>
      <c r="X10" s="16"/>
      <c r="Y10" s="16"/>
      <c r="Z10" s="16"/>
      <c r="AA10" s="16"/>
      <c r="AB10" s="16"/>
      <c r="AC10" s="16"/>
      <c r="AD10" s="16"/>
    </row>
    <row r="11" spans="1:30" ht="15.8" customHeight="1">
      <c r="A11" s="121" t="s">
        <v>7436</v>
      </c>
      <c r="B11" s="121" t="s">
        <v>7403</v>
      </c>
      <c r="C11" s="79" t="s">
        <v>7437</v>
      </c>
      <c r="D11" s="25" t="s">
        <v>7438</v>
      </c>
      <c r="E11" s="25" t="s">
        <v>7439</v>
      </c>
      <c r="F11" s="57" t="str">
        <f t="shared" si="3"/>
        <v>National Archives and Records Administration (NARA) General Records Schedule 1.1, Financial Management and Reporting Records.</v>
      </c>
      <c r="G11" s="57" t="str">
        <f t="shared" si="2"/>
        <v>OASP 1820.1 Records management policy</v>
      </c>
      <c r="H11" s="64"/>
      <c r="I11" s="45" t="b">
        <f t="shared" si="1"/>
        <v>0</v>
      </c>
      <c r="J11" s="16"/>
      <c r="K11" s="16"/>
      <c r="L11" s="16"/>
      <c r="M11" s="16"/>
      <c r="N11" s="16"/>
      <c r="O11" s="16"/>
      <c r="P11" s="16"/>
      <c r="Q11" s="16"/>
      <c r="R11" s="16"/>
      <c r="S11" s="16"/>
      <c r="T11" s="16"/>
      <c r="U11" s="16"/>
      <c r="V11" s="16"/>
      <c r="W11" s="16"/>
      <c r="X11" s="16"/>
      <c r="Y11" s="16"/>
      <c r="Z11" s="16"/>
      <c r="AA11" s="16"/>
      <c r="AB11" s="16"/>
      <c r="AC11" s="16"/>
      <c r="AD11" s="16"/>
    </row>
    <row r="12" spans="1:30" ht="15.8" customHeight="1">
      <c r="A12" s="121" t="s">
        <v>7440</v>
      </c>
      <c r="B12" s="121" t="s">
        <v>7403</v>
      </c>
      <c r="C12" s="79" t="s">
        <v>7441</v>
      </c>
      <c r="D12" s="25" t="s">
        <v>7442</v>
      </c>
      <c r="E12" s="25" t="s">
        <v>7443</v>
      </c>
      <c r="F12" s="57" t="str">
        <f t="shared" si="3"/>
        <v>National Archives and Records Administration (NARA) General Records Schedule 1.1, Financial Management and Reporting Records.</v>
      </c>
      <c r="G12" s="57" t="str">
        <f t="shared" si="2"/>
        <v>OASP 1820.1 Records management policy</v>
      </c>
      <c r="H12" s="64"/>
      <c r="I12" s="45" t="b">
        <f t="shared" si="1"/>
        <v>0</v>
      </c>
      <c r="J12" s="16"/>
      <c r="K12" s="16"/>
      <c r="L12" s="16"/>
      <c r="M12" s="16"/>
      <c r="N12" s="16"/>
      <c r="O12" s="16"/>
      <c r="P12" s="16"/>
      <c r="Q12" s="16"/>
      <c r="R12" s="16"/>
      <c r="S12" s="16"/>
      <c r="T12" s="16"/>
      <c r="U12" s="16"/>
      <c r="V12" s="16"/>
      <c r="W12" s="16"/>
      <c r="X12" s="16"/>
      <c r="Y12" s="16"/>
      <c r="Z12" s="16"/>
      <c r="AA12" s="16"/>
      <c r="AB12" s="16"/>
      <c r="AC12" s="16"/>
      <c r="AD12" s="16"/>
    </row>
    <row r="13" spans="1:30" ht="15.8" customHeight="1">
      <c r="A13" s="121" t="s">
        <v>7444</v>
      </c>
      <c r="B13" s="121" t="s">
        <v>7403</v>
      </c>
      <c r="C13" s="79" t="s">
        <v>7445</v>
      </c>
      <c r="D13" s="25" t="s">
        <v>7446</v>
      </c>
      <c r="E13" s="25" t="s">
        <v>7447</v>
      </c>
      <c r="F13" s="57" t="str">
        <f t="shared" si="3"/>
        <v>National Archives and Records Administration (NARA) General Records Schedule 1.1, Financial Management and Reporting Records.</v>
      </c>
      <c r="G13" s="57" t="str">
        <f t="shared" si="2"/>
        <v>OASP 1820.1 Records management policy</v>
      </c>
      <c r="H13" s="64"/>
      <c r="I13" s="45" t="b">
        <f t="shared" si="1"/>
        <v>0</v>
      </c>
      <c r="J13" s="16"/>
      <c r="K13" s="16"/>
      <c r="L13" s="16"/>
      <c r="M13" s="16"/>
      <c r="N13" s="16"/>
      <c r="O13" s="16"/>
      <c r="P13" s="16"/>
      <c r="Q13" s="16"/>
      <c r="R13" s="16"/>
      <c r="S13" s="16"/>
      <c r="T13" s="16"/>
      <c r="U13" s="16"/>
      <c r="V13" s="16"/>
      <c r="W13" s="16"/>
      <c r="X13" s="16"/>
      <c r="Y13" s="16"/>
      <c r="Z13" s="16"/>
      <c r="AA13" s="16"/>
      <c r="AB13" s="16"/>
      <c r="AC13" s="16"/>
      <c r="AD13" s="16"/>
    </row>
    <row r="14" spans="1:30" ht="15.8" customHeight="1">
      <c r="A14" s="121" t="s">
        <v>7448</v>
      </c>
      <c r="B14" s="121" t="s">
        <v>7403</v>
      </c>
      <c r="C14" s="79" t="s">
        <v>7449</v>
      </c>
      <c r="D14" s="25" t="s">
        <v>7450</v>
      </c>
      <c r="E14" s="25" t="s">
        <v>7451</v>
      </c>
      <c r="F14" s="57" t="str">
        <f t="shared" si="3"/>
        <v>National Archives and Records Administration (NARA) General Records Schedule 1.1, Financial Management and Reporting Records.</v>
      </c>
      <c r="G14" s="57" t="str">
        <f t="shared" si="2"/>
        <v>OASP 1820.1 Records management policy</v>
      </c>
      <c r="H14" s="64"/>
      <c r="I14" s="45" t="b">
        <f t="shared" si="1"/>
        <v>0</v>
      </c>
      <c r="J14" s="16"/>
      <c r="K14" s="16"/>
      <c r="L14" s="16"/>
      <c r="M14" s="16"/>
      <c r="N14" s="16"/>
      <c r="O14" s="16"/>
      <c r="P14" s="16"/>
      <c r="Q14" s="16"/>
      <c r="R14" s="16"/>
      <c r="S14" s="16"/>
      <c r="T14" s="16"/>
      <c r="U14" s="16"/>
      <c r="V14" s="16"/>
      <c r="W14" s="16"/>
      <c r="X14" s="16"/>
      <c r="Y14" s="16"/>
      <c r="Z14" s="16"/>
      <c r="AA14" s="16"/>
      <c r="AB14" s="16"/>
      <c r="AC14" s="16"/>
      <c r="AD14" s="16"/>
    </row>
    <row r="15" spans="1:30" ht="15.8" customHeight="1">
      <c r="A15" s="121" t="s">
        <v>7452</v>
      </c>
      <c r="B15" s="121" t="s">
        <v>7403</v>
      </c>
      <c r="C15" s="79" t="s">
        <v>7453</v>
      </c>
      <c r="D15" s="25" t="s">
        <v>7454</v>
      </c>
      <c r="E15" s="25" t="s">
        <v>7455</v>
      </c>
      <c r="F15" s="57" t="str">
        <f t="shared" si="3"/>
        <v>National Archives and Records Administration (NARA) General Records Schedule 1.1, Financial Management and Reporting Records.</v>
      </c>
      <c r="G15" s="57" t="str">
        <f t="shared" si="2"/>
        <v>OASP 1820.1 Records management policy</v>
      </c>
      <c r="H15" s="64"/>
      <c r="I15" s="45" t="b">
        <f t="shared" si="1"/>
        <v>0</v>
      </c>
      <c r="J15" s="16"/>
      <c r="K15" s="16"/>
      <c r="L15" s="16"/>
      <c r="M15" s="16"/>
      <c r="N15" s="16"/>
      <c r="O15" s="16"/>
      <c r="P15" s="16"/>
      <c r="Q15" s="16"/>
      <c r="R15" s="16"/>
      <c r="S15" s="16"/>
      <c r="T15" s="16"/>
      <c r="U15" s="16"/>
      <c r="V15" s="16"/>
      <c r="W15" s="16"/>
      <c r="X15" s="16"/>
      <c r="Y15" s="16"/>
      <c r="Z15" s="16"/>
      <c r="AA15" s="16"/>
      <c r="AB15" s="16"/>
      <c r="AC15" s="16"/>
      <c r="AD15" s="16"/>
    </row>
    <row r="16" spans="1:30" ht="15.8" customHeight="1">
      <c r="A16" s="121" t="s">
        <v>7456</v>
      </c>
      <c r="B16" s="121" t="s">
        <v>7403</v>
      </c>
      <c r="C16" s="79" t="s">
        <v>7457</v>
      </c>
      <c r="D16" s="25" t="s">
        <v>7458</v>
      </c>
      <c r="E16" s="25" t="s">
        <v>7459</v>
      </c>
      <c r="F16" s="57" t="str">
        <f t="shared" si="3"/>
        <v>National Archives and Records Administration (NARA) General Records Schedule 1.1, Financial Management and Reporting Records.</v>
      </c>
      <c r="G16" s="57" t="str">
        <f t="shared" si="2"/>
        <v>OASP 1820.1 Records management policy</v>
      </c>
      <c r="H16" s="64"/>
      <c r="I16" s="45" t="b">
        <f t="shared" si="1"/>
        <v>0</v>
      </c>
      <c r="J16" s="16"/>
      <c r="K16" s="16"/>
      <c r="L16" s="16"/>
      <c r="M16" s="16"/>
      <c r="N16" s="16"/>
      <c r="O16" s="16"/>
      <c r="P16" s="16"/>
      <c r="Q16" s="16"/>
      <c r="R16" s="16"/>
      <c r="S16" s="16"/>
      <c r="T16" s="16"/>
      <c r="U16" s="16"/>
      <c r="V16" s="16"/>
      <c r="W16" s="16"/>
      <c r="X16" s="16"/>
      <c r="Y16" s="16"/>
      <c r="Z16" s="16"/>
      <c r="AA16" s="16"/>
      <c r="AB16" s="16"/>
      <c r="AC16" s="16"/>
      <c r="AD16" s="16"/>
    </row>
    <row r="17" spans="1:30" ht="15.8" customHeight="1">
      <c r="A17" s="121" t="s">
        <v>7460</v>
      </c>
      <c r="B17" s="121" t="s">
        <v>7403</v>
      </c>
      <c r="C17" s="79" t="s">
        <v>7461</v>
      </c>
      <c r="D17" s="25" t="s">
        <v>7462</v>
      </c>
      <c r="E17" s="25" t="s">
        <v>7463</v>
      </c>
      <c r="F17" s="57" t="str">
        <f t="shared" si="3"/>
        <v>National Archives and Records Administration (NARA) General Records Schedule 1.1, Financial Management and Reporting Records.</v>
      </c>
      <c r="G17" s="57" t="str">
        <f t="shared" si="2"/>
        <v>OASP 1820.1 Records management policy</v>
      </c>
      <c r="H17" s="64"/>
      <c r="I17" s="45" t="b">
        <f t="shared" si="1"/>
        <v>0</v>
      </c>
      <c r="J17" s="16"/>
      <c r="K17" s="16"/>
      <c r="L17" s="16"/>
      <c r="M17" s="16"/>
      <c r="N17" s="16"/>
      <c r="O17" s="16"/>
      <c r="P17" s="16"/>
      <c r="Q17" s="16"/>
      <c r="R17" s="16"/>
      <c r="S17" s="16"/>
      <c r="T17" s="16"/>
      <c r="U17" s="16"/>
      <c r="V17" s="16"/>
      <c r="W17" s="16"/>
      <c r="X17" s="16"/>
      <c r="Y17" s="16"/>
      <c r="Z17" s="16"/>
      <c r="AA17" s="16"/>
      <c r="AB17" s="16"/>
      <c r="AC17" s="16"/>
      <c r="AD17" s="16"/>
    </row>
    <row r="18" spans="1:30" ht="15.8" customHeight="1">
      <c r="A18" s="121" t="s">
        <v>7464</v>
      </c>
      <c r="B18" s="121" t="s">
        <v>7403</v>
      </c>
      <c r="C18" s="79" t="s">
        <v>7465</v>
      </c>
      <c r="D18" s="25" t="s">
        <v>7466</v>
      </c>
      <c r="E18" s="25" t="s">
        <v>7467</v>
      </c>
      <c r="F18" s="57" t="str">
        <f t="shared" si="3"/>
        <v>National Archives and Records Administration (NARA) General Records Schedule 1.1, Financial Management and Reporting Records.</v>
      </c>
      <c r="G18" s="57" t="str">
        <f t="shared" si="2"/>
        <v>OASP 1820.1 Records management policy</v>
      </c>
      <c r="H18" s="64"/>
      <c r="I18" s="45" t="b">
        <f t="shared" si="1"/>
        <v>0</v>
      </c>
      <c r="J18" s="16"/>
      <c r="K18" s="16"/>
      <c r="L18" s="16"/>
      <c r="M18" s="16"/>
      <c r="N18" s="16"/>
      <c r="O18" s="16"/>
      <c r="P18" s="16"/>
      <c r="Q18" s="16"/>
      <c r="R18" s="16"/>
      <c r="S18" s="16"/>
      <c r="T18" s="16"/>
      <c r="U18" s="16"/>
      <c r="V18" s="16"/>
      <c r="W18" s="16"/>
      <c r="X18" s="16"/>
      <c r="Y18" s="16"/>
      <c r="Z18" s="16"/>
      <c r="AA18" s="16"/>
      <c r="AB18" s="16"/>
      <c r="AC18" s="16"/>
      <c r="AD18" s="16"/>
    </row>
    <row r="19" spans="1:30" ht="15.8" customHeight="1">
      <c r="A19" s="121" t="s">
        <v>7468</v>
      </c>
      <c r="B19" s="121" t="s">
        <v>7403</v>
      </c>
      <c r="C19" s="79" t="s">
        <v>7469</v>
      </c>
      <c r="D19" s="25" t="s">
        <v>7470</v>
      </c>
      <c r="E19" s="25" t="s">
        <v>7471</v>
      </c>
      <c r="F19" s="57" t="str">
        <f t="shared" si="3"/>
        <v>National Archives and Records Administration (NARA) General Records Schedule 1.1, Financial Management and Reporting Records.</v>
      </c>
      <c r="G19" s="57" t="str">
        <f t="shared" si="2"/>
        <v>OASP 1820.1 Records management policy</v>
      </c>
      <c r="H19" s="64"/>
      <c r="I19" s="45" t="b">
        <f t="shared" si="1"/>
        <v>0</v>
      </c>
      <c r="J19" s="16"/>
      <c r="K19" s="16"/>
      <c r="L19" s="16"/>
      <c r="M19" s="16"/>
      <c r="N19" s="16"/>
      <c r="O19" s="16"/>
      <c r="P19" s="16"/>
      <c r="Q19" s="16"/>
      <c r="R19" s="16"/>
      <c r="S19" s="16"/>
      <c r="T19" s="16"/>
      <c r="U19" s="16"/>
      <c r="V19" s="16"/>
      <c r="W19" s="16"/>
      <c r="X19" s="16"/>
      <c r="Y19" s="16"/>
      <c r="Z19" s="16"/>
      <c r="AA19" s="16"/>
      <c r="AB19" s="16"/>
      <c r="AC19" s="16"/>
      <c r="AD19" s="16"/>
    </row>
    <row r="20" spans="1:30" ht="15.8" customHeight="1">
      <c r="A20" s="121" t="s">
        <v>7472</v>
      </c>
      <c r="B20" s="121" t="s">
        <v>7403</v>
      </c>
      <c r="C20" s="79" t="s">
        <v>7473</v>
      </c>
      <c r="D20" s="25" t="s">
        <v>7474</v>
      </c>
      <c r="E20" s="25" t="s">
        <v>7475</v>
      </c>
      <c r="F20" s="57" t="str">
        <f t="shared" si="3"/>
        <v>National Archives and Records Administration (NARA) General Records Schedule 1.1, Financial Management and Reporting Records.</v>
      </c>
      <c r="G20" s="57" t="str">
        <f t="shared" si="2"/>
        <v>OASP 1820.1 Records management policy</v>
      </c>
      <c r="H20" s="64"/>
      <c r="I20" s="45" t="b">
        <f t="shared" si="1"/>
        <v>0</v>
      </c>
      <c r="J20" s="16"/>
      <c r="K20" s="16"/>
      <c r="L20" s="16"/>
      <c r="M20" s="16"/>
      <c r="N20" s="16"/>
      <c r="O20" s="16"/>
      <c r="P20" s="16"/>
      <c r="Q20" s="16"/>
      <c r="R20" s="16"/>
      <c r="S20" s="16"/>
      <c r="T20" s="16"/>
      <c r="U20" s="16"/>
      <c r="V20" s="16"/>
      <c r="W20" s="16"/>
      <c r="X20" s="16"/>
      <c r="Y20" s="16"/>
      <c r="Z20" s="16"/>
      <c r="AA20" s="16"/>
      <c r="AB20" s="16"/>
      <c r="AC20" s="16"/>
      <c r="AD20" s="16"/>
    </row>
    <row r="21" spans="1:30" ht="15.8" customHeight="1">
      <c r="A21" s="121" t="s">
        <v>7476</v>
      </c>
      <c r="B21" s="121" t="s">
        <v>7403</v>
      </c>
      <c r="C21" s="79" t="s">
        <v>7477</v>
      </c>
      <c r="D21" s="25" t="s">
        <v>7478</v>
      </c>
      <c r="E21" s="25" t="s">
        <v>7479</v>
      </c>
      <c r="F21" s="57" t="str">
        <f t="shared" si="3"/>
        <v>National Archives and Records Administration (NARA) General Records Schedule 1.1, Financial Management and Reporting Records.</v>
      </c>
      <c r="G21" s="57" t="str">
        <f t="shared" si="2"/>
        <v>OASP 1820.1 Records management policy</v>
      </c>
      <c r="H21" s="64"/>
      <c r="I21" s="45" t="b">
        <f t="shared" si="1"/>
        <v>0</v>
      </c>
      <c r="J21" s="16"/>
      <c r="K21" s="16"/>
      <c r="L21" s="16"/>
      <c r="M21" s="16"/>
      <c r="N21" s="16"/>
      <c r="O21" s="16"/>
      <c r="P21" s="16"/>
      <c r="Q21" s="16"/>
      <c r="R21" s="16"/>
      <c r="S21" s="16"/>
      <c r="T21" s="16"/>
      <c r="U21" s="16"/>
      <c r="V21" s="16"/>
      <c r="W21" s="16"/>
      <c r="X21" s="16"/>
      <c r="Y21" s="16"/>
      <c r="Z21" s="16"/>
      <c r="AA21" s="16"/>
      <c r="AB21" s="16"/>
      <c r="AC21" s="16"/>
      <c r="AD21" s="16"/>
    </row>
    <row r="22" spans="1:30" ht="15.8" customHeight="1">
      <c r="A22" s="121" t="s">
        <v>7480</v>
      </c>
      <c r="B22" s="121" t="s">
        <v>7403</v>
      </c>
      <c r="C22" s="79" t="s">
        <v>7481</v>
      </c>
      <c r="D22" s="25" t="s">
        <v>7482</v>
      </c>
      <c r="E22" s="25" t="s">
        <v>7483</v>
      </c>
      <c r="F22" s="57" t="str">
        <f t="shared" si="3"/>
        <v>National Archives and Records Administration (NARA) General Records Schedule 1.1, Financial Management and Reporting Records.</v>
      </c>
      <c r="G22" s="57" t="str">
        <f t="shared" si="2"/>
        <v>OASP 1820.1 Records management policy</v>
      </c>
      <c r="H22" s="64"/>
      <c r="I22" s="45" t="b">
        <f t="shared" si="1"/>
        <v>0</v>
      </c>
      <c r="J22" s="16"/>
      <c r="K22" s="16"/>
      <c r="L22" s="16"/>
      <c r="M22" s="16"/>
      <c r="N22" s="16"/>
      <c r="O22" s="16"/>
      <c r="P22" s="16"/>
      <c r="Q22" s="16"/>
      <c r="R22" s="16"/>
      <c r="S22" s="16"/>
      <c r="T22" s="16"/>
      <c r="U22" s="16"/>
      <c r="V22" s="16"/>
      <c r="W22" s="16"/>
      <c r="X22" s="16"/>
      <c r="Y22" s="16"/>
      <c r="Z22" s="16"/>
      <c r="AA22" s="16"/>
      <c r="AB22" s="16"/>
      <c r="AC22" s="16"/>
      <c r="AD22" s="16"/>
    </row>
    <row r="23" spans="1:30" ht="15.8" customHeight="1">
      <c r="A23" s="121" t="s">
        <v>7484</v>
      </c>
      <c r="B23" s="121" t="s">
        <v>7403</v>
      </c>
      <c r="C23" s="79" t="s">
        <v>7485</v>
      </c>
      <c r="D23" s="25" t="s">
        <v>7486</v>
      </c>
      <c r="E23" s="25" t="s">
        <v>7487</v>
      </c>
      <c r="F23" s="57" t="str">
        <f t="shared" si="3"/>
        <v>National Archives and Records Administration (NARA) General Records Schedule 1.1, Financial Management and Reporting Records.</v>
      </c>
      <c r="G23" s="57" t="str">
        <f t="shared" si="2"/>
        <v>OASP 1820.1 Records management policy</v>
      </c>
      <c r="H23" s="64"/>
      <c r="I23" s="45" t="b">
        <f t="shared" si="1"/>
        <v>0</v>
      </c>
      <c r="J23" s="16"/>
      <c r="K23" s="16"/>
      <c r="L23" s="16"/>
      <c r="M23" s="16"/>
      <c r="N23" s="16"/>
      <c r="O23" s="16"/>
      <c r="P23" s="16"/>
      <c r="Q23" s="16"/>
      <c r="R23" s="16"/>
      <c r="S23" s="16"/>
      <c r="T23" s="16"/>
      <c r="U23" s="16"/>
      <c r="V23" s="16"/>
      <c r="W23" s="16"/>
      <c r="X23" s="16"/>
      <c r="Y23" s="16"/>
      <c r="Z23" s="16"/>
      <c r="AA23" s="16"/>
      <c r="AB23" s="16"/>
      <c r="AC23" s="16"/>
      <c r="AD23" s="16"/>
    </row>
    <row r="24" spans="1:30" ht="15.8" customHeight="1">
      <c r="A24" s="121" t="s">
        <v>7488</v>
      </c>
      <c r="B24" s="121" t="s">
        <v>7403</v>
      </c>
      <c r="C24" s="79" t="s">
        <v>7489</v>
      </c>
      <c r="D24" s="25" t="s">
        <v>7490</v>
      </c>
      <c r="E24" s="25" t="s">
        <v>7491</v>
      </c>
      <c r="F24" s="57" t="str">
        <f t="shared" si="3"/>
        <v>National Archives and Records Administration (NARA) General Records Schedule 1.1, Financial Management and Reporting Records.</v>
      </c>
      <c r="G24" s="57" t="str">
        <f t="shared" si="2"/>
        <v>OASP 1820.1 Records management policy</v>
      </c>
      <c r="H24" s="64"/>
      <c r="I24" s="45" t="b">
        <f t="shared" si="1"/>
        <v>0</v>
      </c>
      <c r="J24" s="16"/>
      <c r="K24" s="16"/>
      <c r="L24" s="16"/>
      <c r="M24" s="16"/>
      <c r="N24" s="16"/>
      <c r="O24" s="16"/>
      <c r="P24" s="16"/>
      <c r="Q24" s="16"/>
      <c r="R24" s="16"/>
      <c r="S24" s="16"/>
      <c r="T24" s="16"/>
      <c r="U24" s="16"/>
      <c r="V24" s="16"/>
      <c r="W24" s="16"/>
      <c r="X24" s="16"/>
      <c r="Y24" s="16"/>
      <c r="Z24" s="16"/>
      <c r="AA24" s="16"/>
      <c r="AB24" s="16"/>
      <c r="AC24" s="16"/>
      <c r="AD24" s="16"/>
    </row>
    <row r="25" spans="1:30" ht="15.8" customHeight="1">
      <c r="A25" s="121" t="s">
        <v>7492</v>
      </c>
      <c r="B25" s="121" t="s">
        <v>7403</v>
      </c>
      <c r="C25" s="79" t="s">
        <v>7493</v>
      </c>
      <c r="D25" s="25" t="s">
        <v>7494</v>
      </c>
      <c r="E25" s="25" t="s">
        <v>7495</v>
      </c>
      <c r="F25" s="57" t="str">
        <f t="shared" si="3"/>
        <v>National Archives and Records Administration (NARA) General Records Schedule 1.1, Financial Management and Reporting Records.</v>
      </c>
      <c r="G25" s="57" t="str">
        <f t="shared" si="2"/>
        <v>OASP 1820.1 Records management policy</v>
      </c>
      <c r="H25" s="64"/>
      <c r="I25" s="45" t="b">
        <f t="shared" si="1"/>
        <v>0</v>
      </c>
      <c r="J25" s="16"/>
      <c r="K25" s="16"/>
      <c r="L25" s="16"/>
      <c r="M25" s="16"/>
      <c r="N25" s="16"/>
      <c r="O25" s="16"/>
      <c r="P25" s="16"/>
      <c r="Q25" s="16"/>
      <c r="R25" s="16"/>
      <c r="S25" s="16"/>
      <c r="T25" s="16"/>
      <c r="U25" s="16"/>
      <c r="V25" s="16"/>
      <c r="W25" s="16"/>
      <c r="X25" s="16"/>
      <c r="Y25" s="16"/>
      <c r="Z25" s="16"/>
      <c r="AA25" s="16"/>
      <c r="AB25" s="16"/>
      <c r="AC25" s="16"/>
      <c r="AD25" s="16"/>
    </row>
    <row r="26" spans="1:30" ht="15.8" customHeight="1">
      <c r="A26" s="121" t="s">
        <v>7496</v>
      </c>
      <c r="B26" s="121" t="s">
        <v>7403</v>
      </c>
      <c r="C26" s="79" t="s">
        <v>7497</v>
      </c>
      <c r="D26" s="25" t="s">
        <v>7498</v>
      </c>
      <c r="E26" s="25" t="s">
        <v>7499</v>
      </c>
      <c r="F26" s="57" t="str">
        <f t="shared" si="3"/>
        <v>National Archives and Records Administration (NARA) General Records Schedule 1.1, Financial Management and Reporting Records.</v>
      </c>
      <c r="G26" s="57" t="str">
        <f t="shared" si="2"/>
        <v>OASP 1820.1 Records management policy</v>
      </c>
      <c r="H26" s="64"/>
      <c r="I26" s="45" t="b">
        <f t="shared" si="1"/>
        <v>0</v>
      </c>
      <c r="J26" s="16"/>
      <c r="K26" s="16"/>
      <c r="L26" s="16"/>
      <c r="M26" s="16"/>
      <c r="N26" s="16"/>
      <c r="O26" s="16"/>
      <c r="P26" s="16"/>
      <c r="Q26" s="16"/>
      <c r="R26" s="16"/>
      <c r="S26" s="16"/>
      <c r="T26" s="16"/>
      <c r="U26" s="16"/>
      <c r="V26" s="16"/>
      <c r="W26" s="16"/>
      <c r="X26" s="16"/>
      <c r="Y26" s="16"/>
      <c r="Z26" s="16"/>
      <c r="AA26" s="16"/>
      <c r="AB26" s="16"/>
      <c r="AC26" s="16"/>
      <c r="AD26" s="16"/>
    </row>
    <row r="27" spans="1:30" ht="15.8" customHeight="1">
      <c r="A27" s="121" t="s">
        <v>7500</v>
      </c>
      <c r="B27" s="121" t="s">
        <v>7403</v>
      </c>
      <c r="C27" s="79" t="s">
        <v>7501</v>
      </c>
      <c r="D27" s="25" t="s">
        <v>7502</v>
      </c>
      <c r="E27" s="25" t="s">
        <v>7503</v>
      </c>
      <c r="F27" s="57" t="str">
        <f t="shared" si="3"/>
        <v>National Archives and Records Administration (NARA) General Records Schedule 1.1, Financial Management and Reporting Records.</v>
      </c>
      <c r="G27" s="57" t="str">
        <f t="shared" si="2"/>
        <v>OASP 1820.1 Records management policy</v>
      </c>
      <c r="H27" s="64"/>
      <c r="I27" s="45" t="b">
        <f t="shared" si="1"/>
        <v>0</v>
      </c>
      <c r="J27" s="16"/>
      <c r="K27" s="16"/>
      <c r="L27" s="16"/>
      <c r="M27" s="16"/>
      <c r="N27" s="16"/>
      <c r="O27" s="16"/>
      <c r="P27" s="16"/>
      <c r="Q27" s="16"/>
      <c r="R27" s="16"/>
      <c r="S27" s="16"/>
      <c r="T27" s="16"/>
      <c r="U27" s="16"/>
      <c r="V27" s="16"/>
      <c r="W27" s="16"/>
      <c r="X27" s="16"/>
      <c r="Y27" s="16"/>
      <c r="Z27" s="16"/>
      <c r="AA27" s="16"/>
      <c r="AB27" s="16"/>
      <c r="AC27" s="16"/>
      <c r="AD27" s="16"/>
    </row>
    <row r="28" spans="1:30" ht="15.8" customHeight="1">
      <c r="C28" s="229"/>
      <c r="D28" s="229"/>
      <c r="E28" s="229"/>
    </row>
    <row r="29" spans="1:30" ht="15.8" customHeight="1">
      <c r="A29" s="16"/>
      <c r="B29" s="70"/>
      <c r="C29" s="24"/>
      <c r="D29" s="24"/>
      <c r="E29" s="24"/>
      <c r="F29" s="16"/>
      <c r="G29" s="70"/>
      <c r="H29" s="70"/>
      <c r="I29" s="125">
        <f>SUM(I2:I27)</f>
        <v>0</v>
      </c>
      <c r="J29" s="16"/>
      <c r="K29" s="16"/>
      <c r="L29" s="16"/>
      <c r="M29" s="16"/>
      <c r="N29" s="16"/>
      <c r="O29" s="16"/>
      <c r="P29" s="16"/>
      <c r="Q29" s="16"/>
      <c r="R29" s="16"/>
      <c r="S29" s="16"/>
      <c r="T29" s="16"/>
      <c r="U29" s="16"/>
      <c r="V29" s="16"/>
      <c r="W29" s="16"/>
      <c r="X29" s="16"/>
      <c r="Y29" s="16"/>
      <c r="Z29" s="16"/>
      <c r="AA29" s="16"/>
      <c r="AB29" s="16"/>
      <c r="AC29" s="16"/>
      <c r="AD29" s="16"/>
    </row>
    <row r="30" spans="1:30" ht="15.8" customHeight="1">
      <c r="A30" s="16"/>
      <c r="B30" s="70"/>
      <c r="C30" s="24"/>
      <c r="D30" s="24"/>
      <c r="E30" s="24"/>
      <c r="F30" s="16"/>
      <c r="G30" s="70"/>
      <c r="H30" s="70"/>
      <c r="I30" s="16"/>
      <c r="J30" s="16"/>
      <c r="K30" s="16"/>
      <c r="L30" s="16"/>
      <c r="M30" s="16"/>
      <c r="N30" s="16"/>
      <c r="O30" s="16"/>
      <c r="P30" s="16"/>
      <c r="Q30" s="16"/>
      <c r="R30" s="16"/>
      <c r="S30" s="16"/>
      <c r="T30" s="16"/>
      <c r="U30" s="16"/>
      <c r="V30" s="16"/>
      <c r="W30" s="16"/>
      <c r="X30" s="16"/>
      <c r="Y30" s="16"/>
      <c r="Z30" s="16"/>
      <c r="AA30" s="16"/>
      <c r="AB30" s="16"/>
      <c r="AC30" s="16"/>
      <c r="AD30" s="16"/>
    </row>
    <row r="31" spans="1:30" ht="15.8" customHeight="1">
      <c r="A31" s="16"/>
      <c r="B31" s="70"/>
      <c r="C31" s="24"/>
      <c r="D31" s="24"/>
      <c r="E31" s="24"/>
      <c r="F31" s="16"/>
      <c r="G31" s="70"/>
      <c r="H31" s="70"/>
      <c r="I31" s="16"/>
      <c r="J31" s="16"/>
      <c r="K31" s="16"/>
      <c r="L31" s="16"/>
      <c r="M31" s="16"/>
      <c r="N31" s="16"/>
      <c r="O31" s="16"/>
      <c r="P31" s="16"/>
      <c r="Q31" s="16"/>
      <c r="R31" s="16"/>
      <c r="S31" s="16"/>
      <c r="T31" s="16"/>
      <c r="U31" s="16"/>
      <c r="V31" s="16"/>
      <c r="W31" s="16"/>
      <c r="X31" s="16"/>
      <c r="Y31" s="16"/>
      <c r="Z31" s="16"/>
      <c r="AA31" s="16"/>
      <c r="AB31" s="16"/>
      <c r="AC31" s="16"/>
      <c r="AD31" s="16"/>
    </row>
    <row r="32" spans="1:30" ht="15.8" customHeight="1">
      <c r="A32" s="16"/>
      <c r="B32" s="70"/>
      <c r="C32" s="24"/>
      <c r="D32" s="24"/>
      <c r="E32" s="24"/>
      <c r="F32" s="16"/>
      <c r="G32" s="70"/>
      <c r="H32" s="70"/>
      <c r="I32" s="16"/>
      <c r="J32" s="16"/>
      <c r="K32" s="16"/>
      <c r="L32" s="16"/>
      <c r="M32" s="16"/>
      <c r="N32" s="16"/>
      <c r="O32" s="16"/>
      <c r="P32" s="16"/>
      <c r="Q32" s="16"/>
      <c r="R32" s="16"/>
      <c r="S32" s="16"/>
      <c r="T32" s="16"/>
      <c r="U32" s="16"/>
      <c r="V32" s="16"/>
      <c r="W32" s="16"/>
      <c r="X32" s="16"/>
      <c r="Y32" s="16"/>
      <c r="Z32" s="16"/>
      <c r="AA32" s="16"/>
      <c r="AB32" s="16"/>
      <c r="AC32" s="16"/>
      <c r="AD32" s="16"/>
    </row>
    <row r="33" spans="1:30" ht="15.8" customHeight="1">
      <c r="A33" s="16"/>
      <c r="B33" s="70"/>
      <c r="C33" s="24"/>
      <c r="D33" s="24"/>
      <c r="E33" s="24"/>
      <c r="F33" s="16"/>
      <c r="G33" s="70"/>
      <c r="H33" s="70"/>
      <c r="I33" s="16"/>
      <c r="J33" s="16"/>
      <c r="K33" s="16"/>
      <c r="L33" s="16"/>
      <c r="M33" s="16"/>
      <c r="N33" s="16"/>
      <c r="O33" s="16"/>
      <c r="P33" s="16"/>
      <c r="Q33" s="16"/>
      <c r="R33" s="16"/>
      <c r="S33" s="16"/>
      <c r="T33" s="16"/>
      <c r="U33" s="16"/>
      <c r="V33" s="16"/>
      <c r="W33" s="16"/>
      <c r="X33" s="16"/>
      <c r="Y33" s="16"/>
      <c r="Z33" s="16"/>
      <c r="AA33" s="16"/>
      <c r="AB33" s="16"/>
      <c r="AC33" s="16"/>
      <c r="AD33" s="16"/>
    </row>
    <row r="34" spans="1:30" ht="15.8" customHeight="1">
      <c r="A34" s="16"/>
      <c r="B34" s="70"/>
      <c r="C34" s="24"/>
      <c r="D34" s="24"/>
      <c r="E34" s="24"/>
      <c r="F34" s="16"/>
      <c r="G34" s="70"/>
      <c r="H34" s="70"/>
      <c r="I34" s="16"/>
      <c r="J34" s="16"/>
      <c r="K34" s="16"/>
      <c r="L34" s="16"/>
      <c r="M34" s="16"/>
      <c r="N34" s="16"/>
      <c r="O34" s="16"/>
      <c r="P34" s="16"/>
      <c r="Q34" s="16"/>
      <c r="R34" s="16"/>
      <c r="S34" s="16"/>
      <c r="T34" s="16"/>
      <c r="U34" s="16"/>
      <c r="V34" s="16"/>
      <c r="W34" s="16"/>
      <c r="X34" s="16"/>
      <c r="Y34" s="16"/>
      <c r="Z34" s="16"/>
      <c r="AA34" s="16"/>
      <c r="AB34" s="16"/>
      <c r="AC34" s="16"/>
      <c r="AD34" s="16"/>
    </row>
    <row r="35" spans="1:30" ht="15.8" customHeight="1">
      <c r="A35" s="16"/>
      <c r="B35" s="70"/>
      <c r="C35" s="24"/>
      <c r="D35" s="24"/>
      <c r="E35" s="24"/>
      <c r="F35" s="16"/>
      <c r="G35" s="70"/>
      <c r="H35" s="70"/>
      <c r="I35" s="16"/>
      <c r="J35" s="16"/>
      <c r="K35" s="16"/>
      <c r="L35" s="16"/>
      <c r="M35" s="16"/>
      <c r="N35" s="16"/>
      <c r="O35" s="16"/>
      <c r="P35" s="16"/>
      <c r="Q35" s="16"/>
      <c r="R35" s="16"/>
      <c r="S35" s="16"/>
      <c r="T35" s="16"/>
      <c r="U35" s="16"/>
      <c r="V35" s="16"/>
      <c r="W35" s="16"/>
      <c r="X35" s="16"/>
      <c r="Y35" s="16"/>
      <c r="Z35" s="16"/>
      <c r="AA35" s="16"/>
      <c r="AB35" s="16"/>
      <c r="AC35" s="16"/>
      <c r="AD35" s="16"/>
    </row>
    <row r="36" spans="1:30" ht="12.9">
      <c r="A36" s="16"/>
      <c r="B36" s="70"/>
      <c r="C36" s="24"/>
      <c r="D36" s="24"/>
      <c r="E36" s="24"/>
      <c r="F36" s="16"/>
      <c r="G36" s="70"/>
      <c r="H36" s="70"/>
      <c r="I36" s="16"/>
      <c r="J36" s="16"/>
      <c r="K36" s="16"/>
      <c r="L36" s="16"/>
      <c r="M36" s="16"/>
      <c r="N36" s="16"/>
      <c r="O36" s="16"/>
      <c r="P36" s="16"/>
      <c r="Q36" s="16"/>
      <c r="R36" s="16"/>
      <c r="S36" s="16"/>
      <c r="T36" s="16"/>
      <c r="U36" s="16"/>
      <c r="V36" s="16"/>
      <c r="W36" s="16"/>
      <c r="X36" s="16"/>
      <c r="Y36" s="16"/>
      <c r="Z36" s="16"/>
      <c r="AA36" s="16"/>
      <c r="AB36" s="16"/>
      <c r="AC36" s="16"/>
      <c r="AD36" s="16"/>
    </row>
    <row r="37" spans="1:30" ht="12.9">
      <c r="A37" s="16"/>
      <c r="B37" s="70"/>
      <c r="C37" s="24"/>
      <c r="D37" s="24"/>
      <c r="E37" s="24"/>
      <c r="F37" s="16"/>
      <c r="G37" s="70"/>
      <c r="H37" s="70"/>
      <c r="I37" s="16"/>
      <c r="J37" s="16"/>
      <c r="K37" s="16"/>
      <c r="L37" s="16"/>
      <c r="M37" s="16"/>
      <c r="N37" s="16"/>
      <c r="O37" s="16"/>
      <c r="P37" s="16"/>
      <c r="Q37" s="16"/>
      <c r="R37" s="16"/>
      <c r="S37" s="16"/>
      <c r="T37" s="16"/>
      <c r="U37" s="16"/>
      <c r="V37" s="16"/>
      <c r="W37" s="16"/>
      <c r="X37" s="16"/>
      <c r="Y37" s="16"/>
      <c r="Z37" s="16"/>
      <c r="AA37" s="16"/>
      <c r="AB37" s="16"/>
      <c r="AC37" s="16"/>
      <c r="AD37" s="16"/>
    </row>
    <row r="38" spans="1:30" ht="12.9">
      <c r="A38" s="16"/>
      <c r="B38" s="70"/>
      <c r="C38" s="24"/>
      <c r="D38" s="24"/>
      <c r="E38" s="24"/>
      <c r="F38" s="16"/>
      <c r="G38" s="70"/>
      <c r="H38" s="70"/>
      <c r="I38" s="16"/>
      <c r="J38" s="16"/>
      <c r="K38" s="16"/>
      <c r="L38" s="16"/>
      <c r="M38" s="16"/>
      <c r="N38" s="16"/>
      <c r="O38" s="16"/>
      <c r="P38" s="16"/>
      <c r="Q38" s="16"/>
      <c r="R38" s="16"/>
      <c r="S38" s="16"/>
      <c r="T38" s="16"/>
      <c r="U38" s="16"/>
      <c r="V38" s="16"/>
      <c r="W38" s="16"/>
      <c r="X38" s="16"/>
      <c r="Y38" s="16"/>
      <c r="Z38" s="16"/>
      <c r="AA38" s="16"/>
      <c r="AB38" s="16"/>
      <c r="AC38" s="16"/>
      <c r="AD38" s="16"/>
    </row>
    <row r="39" spans="1:30" ht="12.9">
      <c r="A39" s="16"/>
      <c r="B39" s="70"/>
      <c r="C39" s="24"/>
      <c r="D39" s="24"/>
      <c r="E39" s="24"/>
      <c r="F39" s="16"/>
      <c r="G39" s="70"/>
      <c r="H39" s="70"/>
      <c r="I39" s="16"/>
      <c r="J39" s="16"/>
      <c r="K39" s="16"/>
      <c r="L39" s="16"/>
      <c r="M39" s="16"/>
      <c r="N39" s="16"/>
      <c r="O39" s="16"/>
      <c r="P39" s="16"/>
      <c r="Q39" s="16"/>
      <c r="R39" s="16"/>
      <c r="S39" s="16"/>
      <c r="T39" s="16"/>
      <c r="U39" s="16"/>
      <c r="V39" s="16"/>
      <c r="W39" s="16"/>
      <c r="X39" s="16"/>
      <c r="Y39" s="16"/>
      <c r="Z39" s="16"/>
      <c r="AA39" s="16"/>
      <c r="AB39" s="16"/>
      <c r="AC39" s="16"/>
      <c r="AD39" s="16"/>
    </row>
    <row r="40" spans="1:30" ht="12.9">
      <c r="A40" s="16"/>
      <c r="B40" s="70"/>
      <c r="C40" s="24"/>
      <c r="D40" s="24"/>
      <c r="E40" s="24"/>
      <c r="F40" s="16"/>
      <c r="G40" s="170"/>
      <c r="H40" s="170"/>
      <c r="I40" s="16"/>
      <c r="J40" s="16"/>
      <c r="K40" s="16"/>
      <c r="L40" s="16"/>
      <c r="M40" s="16"/>
      <c r="N40" s="16"/>
      <c r="O40" s="16"/>
      <c r="P40" s="16"/>
      <c r="Q40" s="16"/>
      <c r="R40" s="16"/>
      <c r="S40" s="16"/>
      <c r="T40" s="16"/>
      <c r="U40" s="16"/>
      <c r="V40" s="16"/>
      <c r="W40" s="16"/>
      <c r="X40" s="16"/>
      <c r="Y40" s="16"/>
      <c r="Z40" s="16"/>
      <c r="AA40" s="16"/>
      <c r="AB40" s="16"/>
      <c r="AC40" s="16"/>
      <c r="AD40" s="16"/>
    </row>
    <row r="41" spans="1:30" ht="12.9">
      <c r="A41" s="16"/>
      <c r="B41" s="70"/>
      <c r="C41" s="24"/>
      <c r="D41" s="24"/>
      <c r="E41" s="24"/>
      <c r="F41" s="16"/>
      <c r="G41" s="170"/>
      <c r="H41" s="170"/>
      <c r="I41" s="16"/>
      <c r="J41" s="16"/>
      <c r="K41" s="16"/>
      <c r="L41" s="16"/>
      <c r="M41" s="16"/>
      <c r="N41" s="16"/>
      <c r="O41" s="16"/>
      <c r="P41" s="16"/>
      <c r="Q41" s="16"/>
      <c r="R41" s="16"/>
      <c r="S41" s="16"/>
      <c r="T41" s="16"/>
      <c r="U41" s="16"/>
      <c r="V41" s="16"/>
      <c r="W41" s="16"/>
      <c r="X41" s="16"/>
      <c r="Y41" s="16"/>
      <c r="Z41" s="16"/>
      <c r="AA41" s="16"/>
      <c r="AB41" s="16"/>
      <c r="AC41" s="16"/>
      <c r="AD41" s="16"/>
    </row>
    <row r="42" spans="1:30" ht="12.9">
      <c r="A42" s="16"/>
      <c r="B42" s="70"/>
      <c r="C42" s="24"/>
      <c r="D42" s="24"/>
      <c r="E42" s="24"/>
      <c r="F42" s="16"/>
      <c r="G42" s="24"/>
      <c r="H42" s="24"/>
      <c r="I42" s="16"/>
      <c r="J42" s="16"/>
      <c r="K42" s="16"/>
      <c r="L42" s="16"/>
      <c r="M42" s="16"/>
      <c r="N42" s="16"/>
      <c r="O42" s="16"/>
      <c r="P42" s="16"/>
      <c r="Q42" s="16"/>
      <c r="R42" s="16"/>
      <c r="S42" s="16"/>
      <c r="T42" s="16"/>
      <c r="U42" s="16"/>
      <c r="V42" s="16"/>
      <c r="W42" s="16"/>
      <c r="X42" s="16"/>
      <c r="Y42" s="16"/>
      <c r="Z42" s="16"/>
      <c r="AA42" s="16"/>
      <c r="AB42" s="16"/>
      <c r="AC42" s="16"/>
      <c r="AD42" s="16"/>
    </row>
    <row r="43" spans="1:30" ht="12.9">
      <c r="A43" s="16"/>
      <c r="B43" s="70"/>
      <c r="C43" s="24"/>
      <c r="D43" s="24"/>
      <c r="E43" s="24"/>
      <c r="F43" s="16"/>
      <c r="G43" s="24"/>
      <c r="H43" s="24"/>
      <c r="I43" s="16"/>
      <c r="J43" s="16"/>
      <c r="K43" s="16"/>
      <c r="L43" s="16"/>
      <c r="M43" s="16"/>
      <c r="N43" s="16"/>
      <c r="O43" s="16"/>
      <c r="P43" s="16"/>
      <c r="Q43" s="16"/>
      <c r="R43" s="16"/>
      <c r="S43" s="16"/>
      <c r="T43" s="16"/>
      <c r="U43" s="16"/>
      <c r="V43" s="16"/>
      <c r="W43" s="16"/>
      <c r="X43" s="16"/>
      <c r="Y43" s="16"/>
      <c r="Z43" s="16"/>
      <c r="AA43" s="16"/>
      <c r="AB43" s="16"/>
      <c r="AC43" s="16"/>
      <c r="AD43" s="16"/>
    </row>
    <row r="44" spans="1:30" ht="12.9">
      <c r="A44" s="16"/>
      <c r="B44" s="70"/>
      <c r="C44" s="24"/>
      <c r="D44" s="24"/>
      <c r="E44" s="24"/>
      <c r="F44" s="16"/>
      <c r="G44" s="24"/>
      <c r="H44" s="24"/>
      <c r="I44" s="16"/>
      <c r="J44" s="16"/>
      <c r="K44" s="16"/>
      <c r="L44" s="16"/>
      <c r="M44" s="16"/>
      <c r="N44" s="16"/>
      <c r="O44" s="16"/>
      <c r="P44" s="16"/>
      <c r="Q44" s="16"/>
      <c r="R44" s="16"/>
      <c r="S44" s="16"/>
      <c r="T44" s="16"/>
      <c r="U44" s="16"/>
      <c r="V44" s="16"/>
      <c r="W44" s="16"/>
      <c r="X44" s="16"/>
      <c r="Y44" s="16"/>
      <c r="Z44" s="16"/>
      <c r="AA44" s="16"/>
      <c r="AB44" s="16"/>
      <c r="AC44" s="16"/>
      <c r="AD44" s="16"/>
    </row>
    <row r="45" spans="1:30" ht="12.9">
      <c r="A45" s="16"/>
      <c r="B45" s="70"/>
      <c r="C45" s="24"/>
      <c r="D45" s="24"/>
      <c r="E45" s="24"/>
      <c r="F45" s="16"/>
      <c r="G45" s="24"/>
      <c r="H45" s="24"/>
      <c r="I45" s="16"/>
      <c r="J45" s="16"/>
      <c r="K45" s="16"/>
      <c r="L45" s="16"/>
      <c r="M45" s="16"/>
      <c r="N45" s="16"/>
      <c r="O45" s="16"/>
      <c r="P45" s="16"/>
      <c r="Q45" s="16"/>
      <c r="R45" s="16"/>
      <c r="S45" s="16"/>
      <c r="T45" s="16"/>
      <c r="U45" s="16"/>
      <c r="V45" s="16"/>
      <c r="W45" s="16"/>
      <c r="X45" s="16"/>
      <c r="Y45" s="16"/>
      <c r="Z45" s="16"/>
      <c r="AA45" s="16"/>
      <c r="AB45" s="16"/>
      <c r="AC45" s="16"/>
      <c r="AD45" s="16"/>
    </row>
    <row r="46" spans="1:30" ht="12.9">
      <c r="A46" s="16"/>
      <c r="B46" s="70"/>
      <c r="C46" s="196"/>
      <c r="D46" s="196"/>
      <c r="E46" s="196"/>
      <c r="F46" s="16"/>
      <c r="G46" s="70"/>
      <c r="H46" s="70"/>
      <c r="I46" s="16"/>
      <c r="J46" s="16"/>
      <c r="K46" s="16"/>
      <c r="L46" s="16"/>
      <c r="M46" s="16"/>
      <c r="N46" s="16"/>
      <c r="O46" s="16"/>
      <c r="P46" s="16"/>
      <c r="Q46" s="16"/>
      <c r="R46" s="16"/>
      <c r="S46" s="16"/>
      <c r="T46" s="16"/>
      <c r="U46" s="16"/>
      <c r="V46" s="16"/>
      <c r="W46" s="16"/>
      <c r="X46" s="16"/>
      <c r="Y46" s="16"/>
      <c r="Z46" s="16"/>
      <c r="AA46" s="16"/>
      <c r="AB46" s="16"/>
      <c r="AC46" s="16"/>
      <c r="AD46" s="16"/>
    </row>
    <row r="47" spans="1:30" ht="12.9">
      <c r="A47" s="16"/>
      <c r="B47" s="70"/>
      <c r="C47" s="196"/>
      <c r="D47" s="196"/>
      <c r="E47" s="196"/>
      <c r="F47" s="16"/>
      <c r="G47" s="70"/>
      <c r="H47" s="70"/>
      <c r="I47" s="16"/>
      <c r="J47" s="16"/>
      <c r="K47" s="16"/>
      <c r="L47" s="16"/>
      <c r="M47" s="16"/>
      <c r="N47" s="16"/>
      <c r="O47" s="16"/>
      <c r="P47" s="16"/>
      <c r="Q47" s="16"/>
      <c r="R47" s="16"/>
      <c r="S47" s="16"/>
      <c r="T47" s="16"/>
      <c r="U47" s="16"/>
      <c r="V47" s="16"/>
      <c r="W47" s="16"/>
      <c r="X47" s="16"/>
      <c r="Y47" s="16"/>
      <c r="Z47" s="16"/>
      <c r="AA47" s="16"/>
      <c r="AB47" s="16"/>
      <c r="AC47" s="16"/>
      <c r="AD47" s="16"/>
    </row>
    <row r="48" spans="1:30" ht="12.9">
      <c r="A48" s="16"/>
      <c r="B48" s="70"/>
      <c r="C48" s="196"/>
      <c r="D48" s="196"/>
      <c r="E48" s="196"/>
      <c r="F48" s="16"/>
      <c r="G48" s="70"/>
      <c r="H48" s="70"/>
      <c r="I48" s="16"/>
      <c r="J48" s="16"/>
      <c r="K48" s="16"/>
      <c r="L48" s="16"/>
      <c r="M48" s="16"/>
      <c r="N48" s="16"/>
      <c r="O48" s="16"/>
      <c r="P48" s="16"/>
      <c r="Q48" s="16"/>
      <c r="R48" s="16"/>
      <c r="S48" s="16"/>
      <c r="T48" s="16"/>
      <c r="U48" s="16"/>
      <c r="V48" s="16"/>
      <c r="W48" s="16"/>
      <c r="X48" s="16"/>
      <c r="Y48" s="16"/>
      <c r="Z48" s="16"/>
      <c r="AA48" s="16"/>
      <c r="AB48" s="16"/>
      <c r="AC48" s="16"/>
      <c r="AD48" s="16"/>
    </row>
    <row r="49" spans="1:30" ht="12.9">
      <c r="A49" s="16"/>
      <c r="B49" s="70"/>
      <c r="C49" s="196"/>
      <c r="D49" s="196"/>
      <c r="E49" s="196"/>
      <c r="F49" s="16"/>
      <c r="G49" s="70"/>
      <c r="H49" s="70"/>
      <c r="I49" s="16"/>
      <c r="J49" s="16"/>
      <c r="K49" s="16"/>
      <c r="L49" s="16"/>
      <c r="M49" s="16"/>
      <c r="N49" s="16"/>
      <c r="O49" s="16"/>
      <c r="P49" s="16"/>
      <c r="Q49" s="16"/>
      <c r="R49" s="16"/>
      <c r="S49" s="16"/>
      <c r="T49" s="16"/>
      <c r="U49" s="16"/>
      <c r="V49" s="16"/>
      <c r="W49" s="16"/>
      <c r="X49" s="16"/>
      <c r="Y49" s="16"/>
      <c r="Z49" s="16"/>
      <c r="AA49" s="16"/>
      <c r="AB49" s="16"/>
      <c r="AC49" s="16"/>
      <c r="AD49" s="16"/>
    </row>
    <row r="50" spans="1:30" ht="12.9">
      <c r="A50" s="16"/>
      <c r="B50" s="70"/>
      <c r="C50" s="196"/>
      <c r="D50" s="196"/>
      <c r="E50" s="196"/>
      <c r="F50" s="16"/>
      <c r="G50" s="70"/>
      <c r="H50" s="70"/>
      <c r="I50" s="16"/>
      <c r="J50" s="16"/>
      <c r="K50" s="16"/>
      <c r="L50" s="16"/>
      <c r="M50" s="16"/>
      <c r="N50" s="16"/>
      <c r="O50" s="16"/>
      <c r="P50" s="16"/>
      <c r="Q50" s="16"/>
      <c r="R50" s="16"/>
      <c r="S50" s="16"/>
      <c r="T50" s="16"/>
      <c r="U50" s="16"/>
      <c r="V50" s="16"/>
      <c r="W50" s="16"/>
      <c r="X50" s="16"/>
      <c r="Y50" s="16"/>
      <c r="Z50" s="16"/>
      <c r="AA50" s="16"/>
      <c r="AB50" s="16"/>
      <c r="AC50" s="16"/>
      <c r="AD50" s="16"/>
    </row>
    <row r="51" spans="1:30" ht="12.9">
      <c r="A51" s="16"/>
      <c r="B51" s="70"/>
      <c r="C51" s="196"/>
      <c r="D51" s="196"/>
      <c r="E51" s="196"/>
      <c r="F51" s="16"/>
      <c r="G51" s="174"/>
      <c r="H51" s="174"/>
      <c r="I51" s="16"/>
      <c r="J51" s="16"/>
      <c r="K51" s="16"/>
      <c r="L51" s="16"/>
      <c r="M51" s="16"/>
      <c r="N51" s="16"/>
      <c r="O51" s="16"/>
      <c r="P51" s="16"/>
      <c r="Q51" s="16"/>
      <c r="R51" s="16"/>
      <c r="S51" s="16"/>
      <c r="T51" s="16"/>
      <c r="U51" s="16"/>
      <c r="V51" s="16"/>
      <c r="W51" s="16"/>
      <c r="X51" s="16"/>
      <c r="Y51" s="16"/>
      <c r="Z51" s="16"/>
      <c r="AA51" s="16"/>
      <c r="AB51" s="16"/>
      <c r="AC51" s="16"/>
      <c r="AD51" s="16"/>
    </row>
    <row r="52" spans="1:30" ht="12.9">
      <c r="A52" s="16"/>
      <c r="B52" s="70"/>
      <c r="C52" s="196"/>
      <c r="D52" s="196"/>
      <c r="E52" s="196"/>
      <c r="F52" s="16"/>
      <c r="G52" s="174"/>
      <c r="H52" s="174"/>
      <c r="I52" s="16"/>
      <c r="J52" s="16"/>
      <c r="K52" s="16"/>
      <c r="L52" s="16"/>
      <c r="M52" s="16"/>
      <c r="N52" s="16"/>
      <c r="O52" s="16"/>
      <c r="P52" s="16"/>
      <c r="Q52" s="16"/>
      <c r="R52" s="16"/>
      <c r="S52" s="16"/>
      <c r="T52" s="16"/>
      <c r="U52" s="16"/>
      <c r="V52" s="16"/>
      <c r="W52" s="16"/>
      <c r="X52" s="16"/>
      <c r="Y52" s="16"/>
      <c r="Z52" s="16"/>
      <c r="AA52" s="16"/>
      <c r="AB52" s="16"/>
      <c r="AC52" s="16"/>
      <c r="AD52" s="16"/>
    </row>
    <row r="53" spans="1:30" ht="12.9">
      <c r="A53" s="16"/>
      <c r="B53" s="70"/>
      <c r="C53" s="196"/>
      <c r="D53" s="196"/>
      <c r="E53" s="196"/>
      <c r="F53" s="16"/>
      <c r="G53" s="70"/>
      <c r="H53" s="70"/>
      <c r="I53" s="16"/>
      <c r="J53" s="16"/>
      <c r="K53" s="16"/>
      <c r="L53" s="16"/>
      <c r="M53" s="16"/>
      <c r="N53" s="16"/>
      <c r="O53" s="16"/>
      <c r="P53" s="16"/>
      <c r="Q53" s="16"/>
      <c r="R53" s="16"/>
      <c r="S53" s="16"/>
      <c r="T53" s="16"/>
      <c r="U53" s="16"/>
      <c r="V53" s="16"/>
      <c r="W53" s="16"/>
      <c r="X53" s="16"/>
      <c r="Y53" s="16"/>
      <c r="Z53" s="16"/>
      <c r="AA53" s="16"/>
      <c r="AB53" s="16"/>
      <c r="AC53" s="16"/>
      <c r="AD53" s="16"/>
    </row>
    <row r="54" spans="1:30" ht="12.9">
      <c r="A54" s="16"/>
      <c r="B54" s="70"/>
      <c r="C54" s="196"/>
      <c r="D54" s="196"/>
      <c r="E54" s="196"/>
      <c r="F54" s="16"/>
      <c r="G54" s="70"/>
      <c r="H54" s="70"/>
      <c r="I54" s="16"/>
      <c r="J54" s="16"/>
      <c r="K54" s="16"/>
      <c r="L54" s="16"/>
      <c r="M54" s="16"/>
      <c r="N54" s="16"/>
      <c r="O54" s="16"/>
      <c r="P54" s="16"/>
      <c r="Q54" s="16"/>
      <c r="R54" s="16"/>
      <c r="S54" s="16"/>
      <c r="T54" s="16"/>
      <c r="U54" s="16"/>
      <c r="V54" s="16"/>
      <c r="W54" s="16"/>
      <c r="X54" s="16"/>
      <c r="Y54" s="16"/>
      <c r="Z54" s="16"/>
      <c r="AA54" s="16"/>
      <c r="AB54" s="16"/>
      <c r="AC54" s="16"/>
      <c r="AD54" s="16"/>
    </row>
    <row r="55" spans="1:30" ht="12.9">
      <c r="A55" s="16"/>
      <c r="B55" s="70"/>
      <c r="C55" s="196"/>
      <c r="D55" s="196"/>
      <c r="E55" s="196"/>
      <c r="F55" s="16"/>
      <c r="G55" s="70"/>
      <c r="H55" s="70"/>
      <c r="I55" s="16"/>
      <c r="J55" s="16"/>
      <c r="K55" s="16"/>
      <c r="L55" s="16"/>
      <c r="M55" s="16"/>
      <c r="N55" s="16"/>
      <c r="O55" s="16"/>
      <c r="P55" s="16"/>
      <c r="Q55" s="16"/>
      <c r="R55" s="16"/>
      <c r="S55" s="16"/>
      <c r="T55" s="16"/>
      <c r="U55" s="16"/>
      <c r="V55" s="16"/>
      <c r="W55" s="16"/>
      <c r="X55" s="16"/>
      <c r="Y55" s="16"/>
      <c r="Z55" s="16"/>
      <c r="AA55" s="16"/>
      <c r="AB55" s="16"/>
      <c r="AC55" s="16"/>
      <c r="AD55" s="16"/>
    </row>
    <row r="56" spans="1:30" ht="12.9">
      <c r="A56" s="16"/>
      <c r="B56" s="70"/>
      <c r="C56" s="196"/>
      <c r="D56" s="196"/>
      <c r="E56" s="196"/>
      <c r="F56" s="16"/>
      <c r="G56" s="70"/>
      <c r="H56" s="70"/>
      <c r="I56" s="16"/>
      <c r="J56" s="16"/>
      <c r="K56" s="16"/>
      <c r="L56" s="16"/>
      <c r="M56" s="16"/>
      <c r="N56" s="16"/>
      <c r="O56" s="16"/>
      <c r="P56" s="16"/>
      <c r="Q56" s="16"/>
      <c r="R56" s="16"/>
      <c r="S56" s="16"/>
      <c r="T56" s="16"/>
      <c r="U56" s="16"/>
      <c r="V56" s="16"/>
      <c r="W56" s="16"/>
      <c r="X56" s="16"/>
      <c r="Y56" s="16"/>
      <c r="Z56" s="16"/>
      <c r="AA56" s="16"/>
      <c r="AB56" s="16"/>
      <c r="AC56" s="16"/>
      <c r="AD56" s="16"/>
    </row>
    <row r="57" spans="1:30" ht="12.9">
      <c r="A57" s="16"/>
      <c r="B57" s="70"/>
      <c r="C57" s="196"/>
      <c r="D57" s="196"/>
      <c r="E57" s="196"/>
      <c r="F57" s="16"/>
      <c r="G57" s="70"/>
      <c r="H57" s="70"/>
      <c r="I57" s="16"/>
      <c r="J57" s="16"/>
      <c r="K57" s="16"/>
      <c r="L57" s="16"/>
      <c r="M57" s="16"/>
      <c r="N57" s="16"/>
      <c r="O57" s="16"/>
      <c r="P57" s="16"/>
      <c r="Q57" s="16"/>
      <c r="R57" s="16"/>
      <c r="S57" s="16"/>
      <c r="T57" s="16"/>
      <c r="U57" s="16"/>
      <c r="V57" s="16"/>
      <c r="W57" s="16"/>
      <c r="X57" s="16"/>
      <c r="Y57" s="16"/>
      <c r="Z57" s="16"/>
      <c r="AA57" s="16"/>
      <c r="AB57" s="16"/>
      <c r="AC57" s="16"/>
      <c r="AD57" s="16"/>
    </row>
    <row r="58" spans="1:30" ht="12.9">
      <c r="A58" s="16"/>
      <c r="B58" s="70"/>
      <c r="C58" s="196"/>
      <c r="D58" s="196"/>
      <c r="E58" s="196"/>
      <c r="F58" s="16"/>
      <c r="G58" s="70"/>
      <c r="H58" s="70"/>
      <c r="I58" s="16"/>
      <c r="J58" s="16"/>
      <c r="K58" s="16"/>
      <c r="L58" s="16"/>
      <c r="M58" s="16"/>
      <c r="N58" s="16"/>
      <c r="O58" s="16"/>
      <c r="P58" s="16"/>
      <c r="Q58" s="16"/>
      <c r="R58" s="16"/>
      <c r="S58" s="16"/>
      <c r="T58" s="16"/>
      <c r="U58" s="16"/>
      <c r="V58" s="16"/>
      <c r="W58" s="16"/>
      <c r="X58" s="16"/>
      <c r="Y58" s="16"/>
      <c r="Z58" s="16"/>
      <c r="AA58" s="16"/>
      <c r="AB58" s="16"/>
      <c r="AC58" s="16"/>
      <c r="AD58" s="16"/>
    </row>
    <row r="59" spans="1:30" ht="12.9">
      <c r="A59" s="16"/>
      <c r="B59" s="70"/>
      <c r="C59" s="196"/>
      <c r="D59" s="196"/>
      <c r="E59" s="196"/>
      <c r="F59" s="16"/>
      <c r="G59" s="70"/>
      <c r="H59" s="70"/>
      <c r="I59" s="16"/>
      <c r="J59" s="16"/>
      <c r="K59" s="16"/>
      <c r="L59" s="16"/>
      <c r="M59" s="16"/>
      <c r="N59" s="16"/>
      <c r="O59" s="16"/>
      <c r="P59" s="16"/>
      <c r="Q59" s="16"/>
      <c r="R59" s="16"/>
      <c r="S59" s="16"/>
      <c r="T59" s="16"/>
      <c r="U59" s="16"/>
      <c r="V59" s="16"/>
      <c r="W59" s="16"/>
      <c r="X59" s="16"/>
      <c r="Y59" s="16"/>
      <c r="Z59" s="16"/>
      <c r="AA59" s="16"/>
      <c r="AB59" s="16"/>
      <c r="AC59" s="16"/>
      <c r="AD59" s="16"/>
    </row>
    <row r="60" spans="1:30" ht="12.9">
      <c r="A60" s="16"/>
      <c r="B60" s="70"/>
      <c r="C60" s="196"/>
      <c r="D60" s="196"/>
      <c r="E60" s="196"/>
      <c r="F60" s="16"/>
      <c r="G60" s="70"/>
      <c r="H60" s="70"/>
      <c r="I60" s="16"/>
      <c r="J60" s="16"/>
      <c r="K60" s="16"/>
      <c r="L60" s="16"/>
      <c r="M60" s="16"/>
      <c r="N60" s="16"/>
      <c r="O60" s="16"/>
      <c r="P60" s="16"/>
      <c r="Q60" s="16"/>
      <c r="R60" s="16"/>
      <c r="S60" s="16"/>
      <c r="T60" s="16"/>
      <c r="U60" s="16"/>
      <c r="V60" s="16"/>
      <c r="W60" s="16"/>
      <c r="X60" s="16"/>
      <c r="Y60" s="16"/>
      <c r="Z60" s="16"/>
      <c r="AA60" s="16"/>
      <c r="AB60" s="16"/>
      <c r="AC60" s="16"/>
      <c r="AD60" s="16"/>
    </row>
    <row r="61" spans="1:30" ht="12.9">
      <c r="A61" s="16"/>
      <c r="B61" s="70"/>
      <c r="C61" s="196"/>
      <c r="D61" s="196"/>
      <c r="E61" s="196"/>
      <c r="F61" s="16"/>
      <c r="G61" s="70"/>
      <c r="H61" s="70"/>
      <c r="I61" s="16"/>
      <c r="J61" s="16"/>
      <c r="K61" s="16"/>
      <c r="L61" s="16"/>
      <c r="M61" s="16"/>
      <c r="N61" s="16"/>
      <c r="O61" s="16"/>
      <c r="P61" s="16"/>
      <c r="Q61" s="16"/>
      <c r="R61" s="16"/>
      <c r="S61" s="16"/>
      <c r="T61" s="16"/>
      <c r="U61" s="16"/>
      <c r="V61" s="16"/>
      <c r="W61" s="16"/>
      <c r="X61" s="16"/>
      <c r="Y61" s="16"/>
      <c r="Z61" s="16"/>
      <c r="AA61" s="16"/>
      <c r="AB61" s="16"/>
      <c r="AC61" s="16"/>
      <c r="AD61" s="16"/>
    </row>
    <row r="62" spans="1:30" ht="12.9">
      <c r="A62" s="16"/>
      <c r="B62" s="70"/>
      <c r="C62" s="196"/>
      <c r="D62" s="196"/>
      <c r="E62" s="196"/>
      <c r="F62" s="16"/>
      <c r="G62" s="70"/>
      <c r="H62" s="70"/>
      <c r="I62" s="16"/>
      <c r="J62" s="16"/>
      <c r="K62" s="16"/>
      <c r="L62" s="16"/>
      <c r="M62" s="16"/>
      <c r="N62" s="16"/>
      <c r="O62" s="16"/>
      <c r="P62" s="16"/>
      <c r="Q62" s="16"/>
      <c r="R62" s="16"/>
      <c r="S62" s="16"/>
      <c r="T62" s="16"/>
      <c r="U62" s="16"/>
      <c r="V62" s="16"/>
      <c r="W62" s="16"/>
      <c r="X62" s="16"/>
      <c r="Y62" s="16"/>
      <c r="Z62" s="16"/>
      <c r="AA62" s="16"/>
      <c r="AB62" s="16"/>
      <c r="AC62" s="16"/>
      <c r="AD62" s="16"/>
    </row>
    <row r="63" spans="1:30" ht="12.9">
      <c r="A63" s="16"/>
      <c r="B63" s="70"/>
      <c r="C63" s="196"/>
      <c r="D63" s="196"/>
      <c r="E63" s="196"/>
      <c r="F63" s="16"/>
      <c r="G63" s="70"/>
      <c r="H63" s="70"/>
      <c r="I63" s="16"/>
      <c r="J63" s="16"/>
      <c r="K63" s="16"/>
      <c r="L63" s="16"/>
      <c r="M63" s="16"/>
      <c r="N63" s="16"/>
      <c r="O63" s="16"/>
      <c r="P63" s="16"/>
      <c r="Q63" s="16"/>
      <c r="R63" s="16"/>
      <c r="S63" s="16"/>
      <c r="T63" s="16"/>
      <c r="U63" s="16"/>
      <c r="V63" s="16"/>
      <c r="W63" s="16"/>
      <c r="X63" s="16"/>
      <c r="Y63" s="16"/>
      <c r="Z63" s="16"/>
      <c r="AA63" s="16"/>
      <c r="AB63" s="16"/>
      <c r="AC63" s="16"/>
      <c r="AD63" s="16"/>
    </row>
    <row r="64" spans="1:30" ht="12.9">
      <c r="A64" s="16"/>
      <c r="B64" s="70"/>
      <c r="C64" s="196"/>
      <c r="D64" s="196"/>
      <c r="E64" s="196"/>
      <c r="F64" s="16"/>
      <c r="G64" s="70"/>
      <c r="H64" s="70"/>
      <c r="I64" s="16"/>
      <c r="J64" s="16"/>
      <c r="K64" s="16"/>
      <c r="L64" s="16"/>
      <c r="M64" s="16"/>
      <c r="N64" s="16"/>
      <c r="O64" s="16"/>
      <c r="P64" s="16"/>
      <c r="Q64" s="16"/>
      <c r="R64" s="16"/>
      <c r="S64" s="16"/>
      <c r="T64" s="16"/>
      <c r="U64" s="16"/>
      <c r="V64" s="16"/>
      <c r="W64" s="16"/>
      <c r="X64" s="16"/>
      <c r="Y64" s="16"/>
      <c r="Z64" s="16"/>
      <c r="AA64" s="16"/>
      <c r="AB64" s="16"/>
      <c r="AC64" s="16"/>
      <c r="AD64" s="16"/>
    </row>
    <row r="65" spans="1:30" ht="12.9">
      <c r="A65" s="16"/>
      <c r="B65" s="70"/>
      <c r="C65" s="196"/>
      <c r="D65" s="196"/>
      <c r="E65" s="196"/>
      <c r="F65" s="16"/>
      <c r="G65" s="70"/>
      <c r="H65" s="70"/>
      <c r="I65" s="16"/>
      <c r="J65" s="16"/>
      <c r="K65" s="16"/>
      <c r="L65" s="16"/>
      <c r="M65" s="16"/>
      <c r="N65" s="16"/>
      <c r="O65" s="16"/>
      <c r="P65" s="16"/>
      <c r="Q65" s="16"/>
      <c r="R65" s="16"/>
      <c r="S65" s="16"/>
      <c r="T65" s="16"/>
      <c r="U65" s="16"/>
      <c r="V65" s="16"/>
      <c r="W65" s="16"/>
      <c r="X65" s="16"/>
      <c r="Y65" s="16"/>
      <c r="Z65" s="16"/>
      <c r="AA65" s="16"/>
      <c r="AB65" s="16"/>
      <c r="AC65" s="16"/>
      <c r="AD65" s="16"/>
    </row>
    <row r="66" spans="1:30" ht="12.9">
      <c r="A66" s="16"/>
      <c r="B66" s="70"/>
      <c r="C66" s="196"/>
      <c r="D66" s="196"/>
      <c r="E66" s="196"/>
      <c r="F66" s="16"/>
      <c r="G66" s="70"/>
      <c r="H66" s="70"/>
      <c r="I66" s="16"/>
      <c r="J66" s="16"/>
      <c r="K66" s="16"/>
      <c r="L66" s="16"/>
      <c r="M66" s="16"/>
      <c r="N66" s="16"/>
      <c r="O66" s="16"/>
      <c r="P66" s="16"/>
      <c r="Q66" s="16"/>
      <c r="R66" s="16"/>
      <c r="S66" s="16"/>
      <c r="T66" s="16"/>
      <c r="U66" s="16"/>
      <c r="V66" s="16"/>
      <c r="W66" s="16"/>
      <c r="X66" s="16"/>
      <c r="Y66" s="16"/>
      <c r="Z66" s="16"/>
      <c r="AA66" s="16"/>
      <c r="AB66" s="16"/>
      <c r="AC66" s="16"/>
      <c r="AD66" s="16"/>
    </row>
    <row r="67" spans="1:30" ht="12.9">
      <c r="A67" s="16"/>
      <c r="B67" s="70"/>
      <c r="C67" s="196"/>
      <c r="D67" s="196"/>
      <c r="E67" s="196"/>
      <c r="F67" s="16"/>
      <c r="G67" s="70"/>
      <c r="H67" s="70"/>
      <c r="I67" s="16"/>
      <c r="J67" s="16"/>
      <c r="K67" s="16"/>
      <c r="L67" s="16"/>
      <c r="M67" s="16"/>
      <c r="N67" s="16"/>
      <c r="O67" s="16"/>
      <c r="P67" s="16"/>
      <c r="Q67" s="16"/>
      <c r="R67" s="16"/>
      <c r="S67" s="16"/>
      <c r="T67" s="16"/>
      <c r="U67" s="16"/>
      <c r="V67" s="16"/>
      <c r="W67" s="16"/>
      <c r="X67" s="16"/>
      <c r="Y67" s="16"/>
      <c r="Z67" s="16"/>
      <c r="AA67" s="16"/>
      <c r="AB67" s="16"/>
      <c r="AC67" s="16"/>
      <c r="AD67" s="16"/>
    </row>
    <row r="68" spans="1:30" ht="12.9">
      <c r="A68" s="16"/>
      <c r="B68" s="70"/>
      <c r="C68" s="196"/>
      <c r="D68" s="196"/>
      <c r="E68" s="196"/>
      <c r="F68" s="16"/>
      <c r="G68" s="70"/>
      <c r="H68" s="70"/>
      <c r="I68" s="16"/>
      <c r="J68" s="16"/>
      <c r="K68" s="16"/>
      <c r="L68" s="16"/>
      <c r="M68" s="16"/>
      <c r="N68" s="16"/>
      <c r="O68" s="16"/>
      <c r="P68" s="16"/>
      <c r="Q68" s="16"/>
      <c r="R68" s="16"/>
      <c r="S68" s="16"/>
      <c r="T68" s="16"/>
      <c r="U68" s="16"/>
      <c r="V68" s="16"/>
      <c r="W68" s="16"/>
      <c r="X68" s="16"/>
      <c r="Y68" s="16"/>
      <c r="Z68" s="16"/>
      <c r="AA68" s="16"/>
      <c r="AB68" s="16"/>
      <c r="AC68" s="16"/>
      <c r="AD68" s="16"/>
    </row>
    <row r="69" spans="1:30" ht="12.9">
      <c r="A69" s="16"/>
      <c r="B69" s="70"/>
      <c r="C69" s="196"/>
      <c r="D69" s="196"/>
      <c r="E69" s="196"/>
      <c r="F69" s="16"/>
      <c r="G69" s="70"/>
      <c r="H69" s="70"/>
      <c r="I69" s="16"/>
      <c r="J69" s="16"/>
      <c r="K69" s="16"/>
      <c r="L69" s="16"/>
      <c r="M69" s="16"/>
      <c r="N69" s="16"/>
      <c r="O69" s="16"/>
      <c r="P69" s="16"/>
      <c r="Q69" s="16"/>
      <c r="R69" s="16"/>
      <c r="S69" s="16"/>
      <c r="T69" s="16"/>
      <c r="U69" s="16"/>
      <c r="V69" s="16"/>
      <c r="W69" s="16"/>
      <c r="X69" s="16"/>
      <c r="Y69" s="16"/>
      <c r="Z69" s="16"/>
      <c r="AA69" s="16"/>
      <c r="AB69" s="16"/>
      <c r="AC69" s="16"/>
      <c r="AD69" s="16"/>
    </row>
    <row r="70" spans="1:30" ht="12.9">
      <c r="A70" s="16"/>
      <c r="B70" s="70"/>
      <c r="C70" s="196"/>
      <c r="D70" s="196"/>
      <c r="E70" s="196"/>
      <c r="F70" s="16"/>
      <c r="G70" s="70"/>
      <c r="H70" s="70"/>
      <c r="I70" s="16"/>
      <c r="J70" s="16"/>
      <c r="K70" s="16"/>
      <c r="L70" s="16"/>
      <c r="M70" s="16"/>
      <c r="N70" s="16"/>
      <c r="O70" s="16"/>
      <c r="P70" s="16"/>
      <c r="Q70" s="16"/>
      <c r="R70" s="16"/>
      <c r="S70" s="16"/>
      <c r="T70" s="16"/>
      <c r="U70" s="16"/>
      <c r="V70" s="16"/>
      <c r="W70" s="16"/>
      <c r="X70" s="16"/>
      <c r="Y70" s="16"/>
      <c r="Z70" s="16"/>
      <c r="AA70" s="16"/>
      <c r="AB70" s="16"/>
      <c r="AC70" s="16"/>
      <c r="AD70" s="16"/>
    </row>
    <row r="71" spans="1:30" ht="12.9">
      <c r="A71" s="16"/>
      <c r="B71" s="70"/>
      <c r="C71" s="196"/>
      <c r="D71" s="196"/>
      <c r="E71" s="196"/>
      <c r="F71" s="16"/>
      <c r="G71" s="70"/>
      <c r="H71" s="70"/>
      <c r="I71" s="16"/>
      <c r="J71" s="16"/>
      <c r="K71" s="16"/>
      <c r="L71" s="16"/>
      <c r="M71" s="16"/>
      <c r="N71" s="16"/>
      <c r="O71" s="16"/>
      <c r="P71" s="16"/>
      <c r="Q71" s="16"/>
      <c r="R71" s="16"/>
      <c r="S71" s="16"/>
      <c r="T71" s="16"/>
      <c r="U71" s="16"/>
      <c r="V71" s="16"/>
      <c r="W71" s="16"/>
      <c r="X71" s="16"/>
      <c r="Y71" s="16"/>
      <c r="Z71" s="16"/>
      <c r="AA71" s="16"/>
      <c r="AB71" s="16"/>
      <c r="AC71" s="16"/>
      <c r="AD71" s="16"/>
    </row>
    <row r="72" spans="1:30" ht="12.9">
      <c r="A72" s="16"/>
      <c r="B72" s="70"/>
      <c r="C72" s="196"/>
      <c r="D72" s="196"/>
      <c r="E72" s="196"/>
      <c r="F72" s="16"/>
      <c r="G72" s="70"/>
      <c r="H72" s="70"/>
      <c r="I72" s="16"/>
      <c r="J72" s="16"/>
      <c r="K72" s="16"/>
      <c r="L72" s="16"/>
      <c r="M72" s="16"/>
      <c r="N72" s="16"/>
      <c r="O72" s="16"/>
      <c r="P72" s="16"/>
      <c r="Q72" s="16"/>
      <c r="R72" s="16"/>
      <c r="S72" s="16"/>
      <c r="T72" s="16"/>
      <c r="U72" s="16"/>
      <c r="V72" s="16"/>
      <c r="W72" s="16"/>
      <c r="X72" s="16"/>
      <c r="Y72" s="16"/>
      <c r="Z72" s="16"/>
      <c r="AA72" s="16"/>
      <c r="AB72" s="16"/>
      <c r="AC72" s="16"/>
      <c r="AD72" s="16"/>
    </row>
    <row r="73" spans="1:30" ht="12.9">
      <c r="A73" s="16"/>
      <c r="B73" s="70"/>
      <c r="C73" s="196"/>
      <c r="D73" s="196"/>
      <c r="E73" s="196"/>
      <c r="F73" s="16"/>
      <c r="G73" s="70"/>
      <c r="H73" s="70"/>
      <c r="I73" s="16"/>
      <c r="J73" s="16"/>
      <c r="K73" s="16"/>
      <c r="L73" s="16"/>
      <c r="M73" s="16"/>
      <c r="N73" s="16"/>
      <c r="O73" s="16"/>
      <c r="P73" s="16"/>
      <c r="Q73" s="16"/>
      <c r="R73" s="16"/>
      <c r="S73" s="16"/>
      <c r="T73" s="16"/>
      <c r="U73" s="16"/>
      <c r="V73" s="16"/>
      <c r="W73" s="16"/>
      <c r="X73" s="16"/>
      <c r="Y73" s="16"/>
      <c r="Z73" s="16"/>
      <c r="AA73" s="16"/>
      <c r="AB73" s="16"/>
      <c r="AC73" s="16"/>
      <c r="AD73" s="16"/>
    </row>
    <row r="74" spans="1:30" ht="12.9">
      <c r="A74" s="16"/>
      <c r="B74" s="70"/>
      <c r="C74" s="196"/>
      <c r="D74" s="196"/>
      <c r="E74" s="196"/>
      <c r="F74" s="16"/>
      <c r="G74" s="70"/>
      <c r="H74" s="70"/>
      <c r="I74" s="16"/>
      <c r="J74" s="16"/>
      <c r="K74" s="16"/>
      <c r="L74" s="16"/>
      <c r="M74" s="16"/>
      <c r="N74" s="16"/>
      <c r="O74" s="16"/>
      <c r="P74" s="16"/>
      <c r="Q74" s="16"/>
      <c r="R74" s="16"/>
      <c r="S74" s="16"/>
      <c r="T74" s="16"/>
      <c r="U74" s="16"/>
      <c r="V74" s="16"/>
      <c r="W74" s="16"/>
      <c r="X74" s="16"/>
      <c r="Y74" s="16"/>
      <c r="Z74" s="16"/>
      <c r="AA74" s="16"/>
      <c r="AB74" s="16"/>
      <c r="AC74" s="16"/>
      <c r="AD74" s="16"/>
    </row>
    <row r="75" spans="1:30" ht="12.9">
      <c r="A75" s="16"/>
      <c r="B75" s="70"/>
      <c r="C75" s="196"/>
      <c r="D75" s="196"/>
      <c r="E75" s="196"/>
      <c r="F75" s="16"/>
      <c r="G75" s="70"/>
      <c r="H75" s="70"/>
      <c r="I75" s="16"/>
      <c r="J75" s="16"/>
      <c r="K75" s="16"/>
      <c r="L75" s="16"/>
      <c r="M75" s="16"/>
      <c r="N75" s="16"/>
      <c r="O75" s="16"/>
      <c r="P75" s="16"/>
      <c r="Q75" s="16"/>
      <c r="R75" s="16"/>
      <c r="S75" s="16"/>
      <c r="T75" s="16"/>
      <c r="U75" s="16"/>
      <c r="V75" s="16"/>
      <c r="W75" s="16"/>
      <c r="X75" s="16"/>
      <c r="Y75" s="16"/>
      <c r="Z75" s="16"/>
      <c r="AA75" s="16"/>
      <c r="AB75" s="16"/>
      <c r="AC75" s="16"/>
      <c r="AD75" s="16"/>
    </row>
    <row r="76" spans="1:30" ht="12.9">
      <c r="A76" s="16"/>
      <c r="B76" s="70"/>
      <c r="C76" s="196"/>
      <c r="D76" s="196"/>
      <c r="E76" s="196"/>
      <c r="F76" s="16"/>
      <c r="G76" s="70"/>
      <c r="H76" s="70"/>
      <c r="I76" s="16"/>
      <c r="J76" s="16"/>
      <c r="K76" s="16"/>
      <c r="L76" s="16"/>
      <c r="M76" s="16"/>
      <c r="N76" s="16"/>
      <c r="O76" s="16"/>
      <c r="P76" s="16"/>
      <c r="Q76" s="16"/>
      <c r="R76" s="16"/>
      <c r="S76" s="16"/>
      <c r="T76" s="16"/>
      <c r="U76" s="16"/>
      <c r="V76" s="16"/>
      <c r="W76" s="16"/>
      <c r="X76" s="16"/>
      <c r="Y76" s="16"/>
      <c r="Z76" s="16"/>
      <c r="AA76" s="16"/>
      <c r="AB76" s="16"/>
      <c r="AC76" s="16"/>
      <c r="AD76" s="16"/>
    </row>
    <row r="77" spans="1:30" ht="12.9">
      <c r="A77" s="16"/>
      <c r="B77" s="70"/>
      <c r="C77" s="196"/>
      <c r="D77" s="196"/>
      <c r="E77" s="196"/>
      <c r="F77" s="16"/>
      <c r="G77" s="70"/>
      <c r="H77" s="70"/>
      <c r="I77" s="16"/>
      <c r="J77" s="16"/>
      <c r="K77" s="16"/>
      <c r="L77" s="16"/>
      <c r="M77" s="16"/>
      <c r="N77" s="16"/>
      <c r="O77" s="16"/>
      <c r="P77" s="16"/>
      <c r="Q77" s="16"/>
      <c r="R77" s="16"/>
      <c r="S77" s="16"/>
      <c r="T77" s="16"/>
      <c r="U77" s="16"/>
      <c r="V77" s="16"/>
      <c r="W77" s="16"/>
      <c r="X77" s="16"/>
      <c r="Y77" s="16"/>
      <c r="Z77" s="16"/>
      <c r="AA77" s="16"/>
      <c r="AB77" s="16"/>
      <c r="AC77" s="16"/>
      <c r="AD77" s="16"/>
    </row>
    <row r="78" spans="1:30" ht="12.9">
      <c r="A78" s="16"/>
      <c r="B78" s="70"/>
      <c r="C78" s="196"/>
      <c r="D78" s="196"/>
      <c r="E78" s="196"/>
      <c r="F78" s="16"/>
      <c r="G78" s="70"/>
      <c r="H78" s="70"/>
      <c r="I78" s="16"/>
      <c r="J78" s="16"/>
      <c r="K78" s="16"/>
      <c r="L78" s="16"/>
      <c r="M78" s="16"/>
      <c r="N78" s="16"/>
      <c r="O78" s="16"/>
      <c r="P78" s="16"/>
      <c r="Q78" s="16"/>
      <c r="R78" s="16"/>
      <c r="S78" s="16"/>
      <c r="T78" s="16"/>
      <c r="U78" s="16"/>
      <c r="V78" s="16"/>
      <c r="W78" s="16"/>
      <c r="X78" s="16"/>
      <c r="Y78" s="16"/>
      <c r="Z78" s="16"/>
      <c r="AA78" s="16"/>
      <c r="AB78" s="16"/>
      <c r="AC78" s="16"/>
      <c r="AD78" s="16"/>
    </row>
    <row r="79" spans="1:30" ht="12.9">
      <c r="A79" s="16"/>
      <c r="B79" s="70"/>
      <c r="C79" s="196"/>
      <c r="D79" s="196"/>
      <c r="E79" s="196"/>
      <c r="F79" s="16"/>
      <c r="G79" s="70"/>
      <c r="H79" s="70"/>
      <c r="I79" s="16"/>
      <c r="J79" s="16"/>
      <c r="K79" s="16"/>
      <c r="L79" s="16"/>
      <c r="M79" s="16"/>
      <c r="N79" s="16"/>
      <c r="O79" s="16"/>
      <c r="P79" s="16"/>
      <c r="Q79" s="16"/>
      <c r="R79" s="16"/>
      <c r="S79" s="16"/>
      <c r="T79" s="16"/>
      <c r="U79" s="16"/>
      <c r="V79" s="16"/>
      <c r="W79" s="16"/>
      <c r="X79" s="16"/>
      <c r="Y79" s="16"/>
      <c r="Z79" s="16"/>
      <c r="AA79" s="16"/>
      <c r="AB79" s="16"/>
      <c r="AC79" s="16"/>
      <c r="AD79" s="16"/>
    </row>
    <row r="80" spans="1:30" ht="12.9">
      <c r="A80" s="16"/>
      <c r="B80" s="70"/>
      <c r="C80" s="196"/>
      <c r="D80" s="196"/>
      <c r="E80" s="196"/>
      <c r="F80" s="16"/>
      <c r="G80" s="70"/>
      <c r="H80" s="70"/>
      <c r="I80" s="16"/>
      <c r="J80" s="16"/>
      <c r="K80" s="16"/>
      <c r="L80" s="16"/>
      <c r="M80" s="16"/>
      <c r="N80" s="16"/>
      <c r="O80" s="16"/>
      <c r="P80" s="16"/>
      <c r="Q80" s="16"/>
      <c r="R80" s="16"/>
      <c r="S80" s="16"/>
      <c r="T80" s="16"/>
      <c r="U80" s="16"/>
      <c r="V80" s="16"/>
      <c r="W80" s="16"/>
      <c r="X80" s="16"/>
      <c r="Y80" s="16"/>
      <c r="Z80" s="16"/>
      <c r="AA80" s="16"/>
      <c r="AB80" s="16"/>
      <c r="AC80" s="16"/>
      <c r="AD80" s="16"/>
    </row>
    <row r="81" spans="1:30" ht="12.9">
      <c r="A81" s="16"/>
      <c r="B81" s="70"/>
      <c r="C81" s="196"/>
      <c r="D81" s="196"/>
      <c r="E81" s="196"/>
      <c r="F81" s="16"/>
      <c r="G81" s="70"/>
      <c r="H81" s="70"/>
      <c r="I81" s="16"/>
      <c r="J81" s="16"/>
      <c r="K81" s="16"/>
      <c r="L81" s="16"/>
      <c r="M81" s="16"/>
      <c r="N81" s="16"/>
      <c r="O81" s="16"/>
      <c r="P81" s="16"/>
      <c r="Q81" s="16"/>
      <c r="R81" s="16"/>
      <c r="S81" s="16"/>
      <c r="T81" s="16"/>
      <c r="U81" s="16"/>
      <c r="V81" s="16"/>
      <c r="W81" s="16"/>
      <c r="X81" s="16"/>
      <c r="Y81" s="16"/>
      <c r="Z81" s="16"/>
      <c r="AA81" s="16"/>
      <c r="AB81" s="16"/>
      <c r="AC81" s="16"/>
      <c r="AD81" s="16"/>
    </row>
    <row r="82" spans="1:30" ht="12.9">
      <c r="A82" s="16"/>
      <c r="B82" s="70"/>
      <c r="C82" s="196"/>
      <c r="D82" s="196"/>
      <c r="E82" s="196"/>
      <c r="F82" s="16"/>
      <c r="G82" s="70"/>
      <c r="H82" s="70"/>
      <c r="I82" s="16"/>
      <c r="J82" s="16"/>
      <c r="K82" s="16"/>
      <c r="L82" s="16"/>
      <c r="M82" s="16"/>
      <c r="N82" s="16"/>
      <c r="O82" s="16"/>
      <c r="P82" s="16"/>
      <c r="Q82" s="16"/>
      <c r="R82" s="16"/>
      <c r="S82" s="16"/>
      <c r="T82" s="16"/>
      <c r="U82" s="16"/>
      <c r="V82" s="16"/>
      <c r="W82" s="16"/>
      <c r="X82" s="16"/>
      <c r="Y82" s="16"/>
      <c r="Z82" s="16"/>
      <c r="AA82" s="16"/>
      <c r="AB82" s="16"/>
      <c r="AC82" s="16"/>
      <c r="AD82" s="16"/>
    </row>
    <row r="83" spans="1:30" ht="12.9">
      <c r="A83" s="16"/>
      <c r="B83" s="70"/>
      <c r="C83" s="196"/>
      <c r="D83" s="196"/>
      <c r="E83" s="196"/>
      <c r="F83" s="16"/>
      <c r="G83" s="70"/>
      <c r="H83" s="70"/>
      <c r="I83" s="16"/>
      <c r="J83" s="16"/>
      <c r="K83" s="16"/>
      <c r="L83" s="16"/>
      <c r="M83" s="16"/>
      <c r="N83" s="16"/>
      <c r="O83" s="16"/>
      <c r="P83" s="16"/>
      <c r="Q83" s="16"/>
      <c r="R83" s="16"/>
      <c r="S83" s="16"/>
      <c r="T83" s="16"/>
      <c r="U83" s="16"/>
      <c r="V83" s="16"/>
      <c r="W83" s="16"/>
      <c r="X83" s="16"/>
      <c r="Y83" s="16"/>
      <c r="Z83" s="16"/>
      <c r="AA83" s="16"/>
      <c r="AB83" s="16"/>
      <c r="AC83" s="16"/>
      <c r="AD83" s="16"/>
    </row>
    <row r="84" spans="1:30" ht="12.9">
      <c r="A84" s="16"/>
      <c r="B84" s="70"/>
      <c r="C84" s="196"/>
      <c r="D84" s="196"/>
      <c r="E84" s="196"/>
      <c r="F84" s="16"/>
      <c r="G84" s="70"/>
      <c r="H84" s="70"/>
      <c r="I84" s="16"/>
      <c r="J84" s="16"/>
      <c r="K84" s="16"/>
      <c r="L84" s="16"/>
      <c r="M84" s="16"/>
      <c r="N84" s="16"/>
      <c r="O84" s="16"/>
      <c r="P84" s="16"/>
      <c r="Q84" s="16"/>
      <c r="R84" s="16"/>
      <c r="S84" s="16"/>
      <c r="T84" s="16"/>
      <c r="U84" s="16"/>
      <c r="V84" s="16"/>
      <c r="W84" s="16"/>
      <c r="X84" s="16"/>
      <c r="Y84" s="16"/>
      <c r="Z84" s="16"/>
      <c r="AA84" s="16"/>
      <c r="AB84" s="16"/>
      <c r="AC84" s="16"/>
      <c r="AD84" s="16"/>
    </row>
    <row r="85" spans="1:30" ht="12.9">
      <c r="A85" s="16"/>
      <c r="B85" s="70"/>
      <c r="C85" s="196"/>
      <c r="D85" s="196"/>
      <c r="E85" s="196"/>
      <c r="F85" s="16"/>
      <c r="G85" s="174"/>
      <c r="H85" s="174"/>
      <c r="I85" s="16"/>
      <c r="J85" s="16"/>
      <c r="K85" s="16"/>
      <c r="L85" s="16"/>
      <c r="M85" s="16"/>
      <c r="N85" s="16"/>
      <c r="O85" s="16"/>
      <c r="P85" s="16"/>
      <c r="Q85" s="16"/>
      <c r="R85" s="16"/>
      <c r="S85" s="16"/>
      <c r="T85" s="16"/>
      <c r="U85" s="16"/>
      <c r="V85" s="16"/>
      <c r="W85" s="16"/>
      <c r="X85" s="16"/>
      <c r="Y85" s="16"/>
      <c r="Z85" s="16"/>
      <c r="AA85" s="16"/>
      <c r="AB85" s="16"/>
      <c r="AC85" s="16"/>
      <c r="AD85" s="16"/>
    </row>
    <row r="86" spans="1:30" ht="12.9">
      <c r="A86" s="16"/>
      <c r="B86" s="70"/>
      <c r="C86" s="196"/>
      <c r="D86" s="196"/>
      <c r="E86" s="196"/>
      <c r="F86" s="16"/>
      <c r="G86" s="174"/>
      <c r="H86" s="174"/>
      <c r="I86" s="16"/>
      <c r="J86" s="16"/>
      <c r="K86" s="16"/>
      <c r="L86" s="16"/>
      <c r="M86" s="16"/>
      <c r="N86" s="16"/>
      <c r="O86" s="16"/>
      <c r="P86" s="16"/>
      <c r="Q86" s="16"/>
      <c r="R86" s="16"/>
      <c r="S86" s="16"/>
      <c r="T86" s="16"/>
      <c r="U86" s="16"/>
      <c r="V86" s="16"/>
      <c r="W86" s="16"/>
      <c r="X86" s="16"/>
      <c r="Y86" s="16"/>
      <c r="Z86" s="16"/>
      <c r="AA86" s="16"/>
      <c r="AB86" s="16"/>
      <c r="AC86" s="16"/>
      <c r="AD86" s="16"/>
    </row>
    <row r="87" spans="1:30" ht="12.9">
      <c r="A87" s="16"/>
      <c r="B87" s="70"/>
      <c r="C87" s="196"/>
      <c r="D87" s="196"/>
      <c r="E87" s="196"/>
      <c r="F87" s="16"/>
      <c r="G87" s="174"/>
      <c r="H87" s="174"/>
      <c r="I87" s="16"/>
      <c r="J87" s="16"/>
      <c r="K87" s="16"/>
      <c r="L87" s="16"/>
      <c r="M87" s="16"/>
      <c r="N87" s="16"/>
      <c r="O87" s="16"/>
      <c r="P87" s="16"/>
      <c r="Q87" s="16"/>
      <c r="R87" s="16"/>
      <c r="S87" s="16"/>
      <c r="T87" s="16"/>
      <c r="U87" s="16"/>
      <c r="V87" s="16"/>
      <c r="W87" s="16"/>
      <c r="X87" s="16"/>
      <c r="Y87" s="16"/>
      <c r="Z87" s="16"/>
      <c r="AA87" s="16"/>
      <c r="AB87" s="16"/>
      <c r="AC87" s="16"/>
      <c r="AD87" s="16"/>
    </row>
    <row r="88" spans="1:30" ht="12.9">
      <c r="A88" s="16"/>
      <c r="B88" s="70"/>
      <c r="C88" s="196"/>
      <c r="D88" s="196"/>
      <c r="E88" s="196"/>
      <c r="F88" s="16"/>
      <c r="G88" s="174"/>
      <c r="H88" s="174"/>
      <c r="I88" s="16"/>
      <c r="J88" s="16"/>
      <c r="K88" s="16"/>
      <c r="L88" s="16"/>
      <c r="M88" s="16"/>
      <c r="N88" s="16"/>
      <c r="O88" s="16"/>
      <c r="P88" s="16"/>
      <c r="Q88" s="16"/>
      <c r="R88" s="16"/>
      <c r="S88" s="16"/>
      <c r="T88" s="16"/>
      <c r="U88" s="16"/>
      <c r="V88" s="16"/>
      <c r="W88" s="16"/>
      <c r="X88" s="16"/>
      <c r="Y88" s="16"/>
      <c r="Z88" s="16"/>
      <c r="AA88" s="16"/>
      <c r="AB88" s="16"/>
      <c r="AC88" s="16"/>
      <c r="AD88" s="16"/>
    </row>
    <row r="89" spans="1:30" ht="12.9">
      <c r="A89" s="16"/>
      <c r="B89" s="70"/>
      <c r="C89" s="196"/>
      <c r="D89" s="196"/>
      <c r="E89" s="196"/>
      <c r="F89" s="16"/>
      <c r="G89" s="174"/>
      <c r="H89" s="174"/>
      <c r="I89" s="16"/>
      <c r="J89" s="16"/>
      <c r="K89" s="16"/>
      <c r="L89" s="16"/>
      <c r="M89" s="16"/>
      <c r="N89" s="16"/>
      <c r="O89" s="16"/>
      <c r="P89" s="16"/>
      <c r="Q89" s="16"/>
      <c r="R89" s="16"/>
      <c r="S89" s="16"/>
      <c r="T89" s="16"/>
      <c r="U89" s="16"/>
      <c r="V89" s="16"/>
      <c r="W89" s="16"/>
      <c r="X89" s="16"/>
      <c r="Y89" s="16"/>
      <c r="Z89" s="16"/>
      <c r="AA89" s="16"/>
      <c r="AB89" s="16"/>
      <c r="AC89" s="16"/>
      <c r="AD89" s="16"/>
    </row>
    <row r="90" spans="1:30" ht="12.9">
      <c r="A90" s="16"/>
      <c r="B90" s="70"/>
      <c r="C90" s="196"/>
      <c r="D90" s="196"/>
      <c r="E90" s="196"/>
      <c r="F90" s="16"/>
      <c r="G90" s="174"/>
      <c r="H90" s="174"/>
      <c r="I90" s="16"/>
      <c r="J90" s="16"/>
      <c r="K90" s="16"/>
      <c r="L90" s="16"/>
      <c r="M90" s="16"/>
      <c r="N90" s="16"/>
      <c r="O90" s="16"/>
      <c r="P90" s="16"/>
      <c r="Q90" s="16"/>
      <c r="R90" s="16"/>
      <c r="S90" s="16"/>
      <c r="T90" s="16"/>
      <c r="U90" s="16"/>
      <c r="V90" s="16"/>
      <c r="W90" s="16"/>
      <c r="X90" s="16"/>
      <c r="Y90" s="16"/>
      <c r="Z90" s="16"/>
      <c r="AA90" s="16"/>
      <c r="AB90" s="16"/>
      <c r="AC90" s="16"/>
      <c r="AD90" s="16"/>
    </row>
    <row r="91" spans="1:30" ht="12.9">
      <c r="A91" s="16"/>
      <c r="B91" s="70"/>
      <c r="C91" s="196"/>
      <c r="D91" s="196"/>
      <c r="E91" s="196"/>
      <c r="F91" s="16"/>
      <c r="G91" s="174"/>
      <c r="H91" s="174"/>
      <c r="I91" s="16"/>
      <c r="J91" s="16"/>
      <c r="K91" s="16"/>
      <c r="L91" s="16"/>
      <c r="M91" s="16"/>
      <c r="N91" s="16"/>
      <c r="O91" s="16"/>
      <c r="P91" s="16"/>
      <c r="Q91" s="16"/>
      <c r="R91" s="16"/>
      <c r="S91" s="16"/>
      <c r="T91" s="16"/>
      <c r="U91" s="16"/>
      <c r="V91" s="16"/>
      <c r="W91" s="16"/>
      <c r="X91" s="16"/>
      <c r="Y91" s="16"/>
      <c r="Z91" s="16"/>
      <c r="AA91" s="16"/>
      <c r="AB91" s="16"/>
      <c r="AC91" s="16"/>
      <c r="AD91" s="16"/>
    </row>
    <row r="92" spans="1:30" ht="12.9">
      <c r="A92" s="16"/>
      <c r="B92" s="70"/>
      <c r="C92" s="196"/>
      <c r="D92" s="196"/>
      <c r="E92" s="196"/>
      <c r="F92" s="16"/>
      <c r="G92" s="174"/>
      <c r="H92" s="174"/>
      <c r="I92" s="16"/>
      <c r="J92" s="16"/>
      <c r="K92" s="16"/>
      <c r="L92" s="16"/>
      <c r="M92" s="16"/>
      <c r="N92" s="16"/>
      <c r="O92" s="16"/>
      <c r="P92" s="16"/>
      <c r="Q92" s="16"/>
      <c r="R92" s="16"/>
      <c r="S92" s="16"/>
      <c r="T92" s="16"/>
      <c r="U92" s="16"/>
      <c r="V92" s="16"/>
      <c r="W92" s="16"/>
      <c r="X92" s="16"/>
      <c r="Y92" s="16"/>
      <c r="Z92" s="16"/>
      <c r="AA92" s="16"/>
      <c r="AB92" s="16"/>
      <c r="AC92" s="16"/>
      <c r="AD92" s="16"/>
    </row>
    <row r="93" spans="1:30" ht="12.9">
      <c r="A93" s="16"/>
      <c r="B93" s="70"/>
      <c r="C93" s="196"/>
      <c r="D93" s="196"/>
      <c r="E93" s="196"/>
      <c r="F93" s="16"/>
      <c r="G93" s="174"/>
      <c r="H93" s="174"/>
      <c r="I93" s="16"/>
      <c r="J93" s="16"/>
      <c r="K93" s="16"/>
      <c r="L93" s="16"/>
      <c r="M93" s="16"/>
      <c r="N93" s="16"/>
      <c r="O93" s="16"/>
      <c r="P93" s="16"/>
      <c r="Q93" s="16"/>
      <c r="R93" s="16"/>
      <c r="S93" s="16"/>
      <c r="T93" s="16"/>
      <c r="U93" s="16"/>
      <c r="V93" s="16"/>
      <c r="W93" s="16"/>
      <c r="X93" s="16"/>
      <c r="Y93" s="16"/>
      <c r="Z93" s="16"/>
      <c r="AA93" s="16"/>
      <c r="AB93" s="16"/>
      <c r="AC93" s="16"/>
      <c r="AD93" s="16"/>
    </row>
    <row r="94" spans="1:30" ht="12.9">
      <c r="A94" s="16"/>
      <c r="B94" s="70"/>
      <c r="C94" s="196"/>
      <c r="D94" s="196"/>
      <c r="E94" s="196"/>
      <c r="F94" s="16"/>
      <c r="G94" s="174"/>
      <c r="H94" s="174"/>
      <c r="I94" s="16"/>
      <c r="J94" s="16"/>
      <c r="K94" s="16"/>
      <c r="L94" s="16"/>
      <c r="M94" s="16"/>
      <c r="N94" s="16"/>
      <c r="O94" s="16"/>
      <c r="P94" s="16"/>
      <c r="Q94" s="16"/>
      <c r="R94" s="16"/>
      <c r="S94" s="16"/>
      <c r="T94" s="16"/>
      <c r="U94" s="16"/>
      <c r="V94" s="16"/>
      <c r="W94" s="16"/>
      <c r="X94" s="16"/>
      <c r="Y94" s="16"/>
      <c r="Z94" s="16"/>
      <c r="AA94" s="16"/>
      <c r="AB94" s="16"/>
      <c r="AC94" s="16"/>
      <c r="AD94" s="16"/>
    </row>
    <row r="95" spans="1:30" ht="12.9">
      <c r="A95" s="16"/>
      <c r="B95" s="70"/>
      <c r="C95" s="196"/>
      <c r="D95" s="196"/>
      <c r="E95" s="196"/>
      <c r="F95" s="16"/>
      <c r="G95" s="174"/>
      <c r="H95" s="174"/>
      <c r="I95" s="16"/>
      <c r="J95" s="16"/>
      <c r="K95" s="16"/>
      <c r="L95" s="16"/>
      <c r="M95" s="16"/>
      <c r="N95" s="16"/>
      <c r="O95" s="16"/>
      <c r="P95" s="16"/>
      <c r="Q95" s="16"/>
      <c r="R95" s="16"/>
      <c r="S95" s="16"/>
      <c r="T95" s="16"/>
      <c r="U95" s="16"/>
      <c r="V95" s="16"/>
      <c r="W95" s="16"/>
      <c r="X95" s="16"/>
      <c r="Y95" s="16"/>
      <c r="Z95" s="16"/>
      <c r="AA95" s="16"/>
      <c r="AB95" s="16"/>
      <c r="AC95" s="16"/>
      <c r="AD95" s="16"/>
    </row>
    <row r="96" spans="1:30" ht="12.9">
      <c r="A96" s="16"/>
      <c r="B96" s="70"/>
      <c r="C96" s="196"/>
      <c r="D96" s="196"/>
      <c r="E96" s="196"/>
      <c r="F96" s="16"/>
      <c r="G96" s="174"/>
      <c r="H96" s="174"/>
      <c r="I96" s="16"/>
      <c r="J96" s="16"/>
      <c r="K96" s="16"/>
      <c r="L96" s="16"/>
      <c r="M96" s="16"/>
      <c r="N96" s="16"/>
      <c r="O96" s="16"/>
      <c r="P96" s="16"/>
      <c r="Q96" s="16"/>
      <c r="R96" s="16"/>
      <c r="S96" s="16"/>
      <c r="T96" s="16"/>
      <c r="U96" s="16"/>
      <c r="V96" s="16"/>
      <c r="W96" s="16"/>
      <c r="X96" s="16"/>
      <c r="Y96" s="16"/>
      <c r="Z96" s="16"/>
      <c r="AA96" s="16"/>
      <c r="AB96" s="16"/>
      <c r="AC96" s="16"/>
      <c r="AD96" s="16"/>
    </row>
    <row r="97" spans="1:30" ht="12.9">
      <c r="A97" s="16"/>
      <c r="B97" s="70"/>
      <c r="C97" s="196"/>
      <c r="D97" s="196"/>
      <c r="E97" s="196"/>
      <c r="F97" s="16"/>
      <c r="G97" s="174"/>
      <c r="H97" s="174"/>
      <c r="I97" s="16"/>
      <c r="J97" s="16"/>
      <c r="K97" s="16"/>
      <c r="L97" s="16"/>
      <c r="M97" s="16"/>
      <c r="N97" s="16"/>
      <c r="O97" s="16"/>
      <c r="P97" s="16"/>
      <c r="Q97" s="16"/>
      <c r="R97" s="16"/>
      <c r="S97" s="16"/>
      <c r="T97" s="16"/>
      <c r="U97" s="16"/>
      <c r="V97" s="16"/>
      <c r="W97" s="16"/>
      <c r="X97" s="16"/>
      <c r="Y97" s="16"/>
      <c r="Z97" s="16"/>
      <c r="AA97" s="16"/>
      <c r="AB97" s="16"/>
      <c r="AC97" s="16"/>
      <c r="AD97" s="16"/>
    </row>
    <row r="98" spans="1:30" ht="12.9">
      <c r="A98" s="16"/>
      <c r="B98" s="70"/>
      <c r="C98" s="196"/>
      <c r="D98" s="196"/>
      <c r="E98" s="196"/>
      <c r="F98" s="16"/>
      <c r="G98" s="174"/>
      <c r="H98" s="174"/>
      <c r="I98" s="16"/>
      <c r="J98" s="16"/>
      <c r="K98" s="16"/>
      <c r="L98" s="16"/>
      <c r="M98" s="16"/>
      <c r="N98" s="16"/>
      <c r="O98" s="16"/>
      <c r="P98" s="16"/>
      <c r="Q98" s="16"/>
      <c r="R98" s="16"/>
      <c r="S98" s="16"/>
      <c r="T98" s="16"/>
      <c r="U98" s="16"/>
      <c r="V98" s="16"/>
      <c r="W98" s="16"/>
      <c r="X98" s="16"/>
      <c r="Y98" s="16"/>
      <c r="Z98" s="16"/>
      <c r="AA98" s="16"/>
      <c r="AB98" s="16"/>
      <c r="AC98" s="16"/>
      <c r="AD98" s="16"/>
    </row>
    <row r="99" spans="1:30" ht="12.9">
      <c r="A99" s="16"/>
      <c r="B99" s="70"/>
      <c r="C99" s="196"/>
      <c r="D99" s="196"/>
      <c r="E99" s="196"/>
      <c r="F99" s="16"/>
      <c r="G99" s="174"/>
      <c r="H99" s="174"/>
      <c r="I99" s="16"/>
      <c r="J99" s="16"/>
      <c r="K99" s="16"/>
      <c r="L99" s="16"/>
      <c r="M99" s="16"/>
      <c r="N99" s="16"/>
      <c r="O99" s="16"/>
      <c r="P99" s="16"/>
      <c r="Q99" s="16"/>
      <c r="R99" s="16"/>
      <c r="S99" s="16"/>
      <c r="T99" s="16"/>
      <c r="U99" s="16"/>
      <c r="V99" s="16"/>
      <c r="W99" s="16"/>
      <c r="X99" s="16"/>
      <c r="Y99" s="16"/>
      <c r="Z99" s="16"/>
      <c r="AA99" s="16"/>
      <c r="AB99" s="16"/>
      <c r="AC99" s="16"/>
      <c r="AD99" s="16"/>
    </row>
    <row r="100" spans="1:30" ht="12.9">
      <c r="A100" s="16"/>
      <c r="B100" s="70"/>
      <c r="C100" s="196"/>
      <c r="D100" s="196"/>
      <c r="E100" s="196"/>
      <c r="F100" s="16"/>
      <c r="G100" s="174"/>
      <c r="H100" s="174"/>
      <c r="I100" s="16"/>
      <c r="J100" s="16"/>
      <c r="K100" s="16"/>
      <c r="L100" s="16"/>
      <c r="M100" s="16"/>
      <c r="N100" s="16"/>
      <c r="O100" s="16"/>
      <c r="P100" s="16"/>
      <c r="Q100" s="16"/>
      <c r="R100" s="16"/>
      <c r="S100" s="16"/>
      <c r="T100" s="16"/>
      <c r="U100" s="16"/>
      <c r="V100" s="16"/>
      <c r="W100" s="16"/>
      <c r="X100" s="16"/>
      <c r="Y100" s="16"/>
      <c r="Z100" s="16"/>
      <c r="AA100" s="16"/>
      <c r="AB100" s="16"/>
      <c r="AC100" s="16"/>
      <c r="AD100" s="16"/>
    </row>
    <row r="101" spans="1:30" ht="12.9">
      <c r="A101" s="16"/>
      <c r="B101" s="70"/>
      <c r="C101" s="196"/>
      <c r="D101" s="196"/>
      <c r="E101" s="196"/>
      <c r="F101" s="16"/>
      <c r="G101" s="174"/>
      <c r="H101" s="174"/>
      <c r="I101" s="16"/>
      <c r="J101" s="16"/>
      <c r="K101" s="16"/>
      <c r="L101" s="16"/>
      <c r="M101" s="16"/>
      <c r="N101" s="16"/>
      <c r="O101" s="16"/>
      <c r="P101" s="16"/>
      <c r="Q101" s="16"/>
      <c r="R101" s="16"/>
      <c r="S101" s="16"/>
      <c r="T101" s="16"/>
      <c r="U101" s="16"/>
      <c r="V101" s="16"/>
      <c r="W101" s="16"/>
      <c r="X101" s="16"/>
      <c r="Y101" s="16"/>
      <c r="Z101" s="16"/>
      <c r="AA101" s="16"/>
      <c r="AB101" s="16"/>
      <c r="AC101" s="16"/>
      <c r="AD101" s="16"/>
    </row>
    <row r="102" spans="1:30" ht="12.9">
      <c r="A102" s="16"/>
      <c r="B102" s="70"/>
      <c r="C102" s="196"/>
      <c r="D102" s="196"/>
      <c r="E102" s="196"/>
      <c r="F102" s="16"/>
      <c r="G102" s="174"/>
      <c r="H102" s="174"/>
      <c r="I102" s="16"/>
      <c r="J102" s="16"/>
      <c r="K102" s="16"/>
      <c r="L102" s="16"/>
      <c r="M102" s="16"/>
      <c r="N102" s="16"/>
      <c r="O102" s="16"/>
      <c r="P102" s="16"/>
      <c r="Q102" s="16"/>
      <c r="R102" s="16"/>
      <c r="S102" s="16"/>
      <c r="T102" s="16"/>
      <c r="U102" s="16"/>
      <c r="V102" s="16"/>
      <c r="W102" s="16"/>
      <c r="X102" s="16"/>
      <c r="Y102" s="16"/>
      <c r="Z102" s="16"/>
      <c r="AA102" s="16"/>
      <c r="AB102" s="16"/>
      <c r="AC102" s="16"/>
      <c r="AD102" s="16"/>
    </row>
    <row r="103" spans="1:30" ht="12.9">
      <c r="A103" s="16"/>
      <c r="B103" s="70"/>
      <c r="C103" s="196"/>
      <c r="D103" s="196"/>
      <c r="E103" s="196"/>
      <c r="F103" s="16"/>
      <c r="G103" s="174"/>
      <c r="H103" s="174"/>
      <c r="I103" s="16"/>
      <c r="J103" s="16"/>
      <c r="K103" s="16"/>
      <c r="L103" s="16"/>
      <c r="M103" s="16"/>
      <c r="N103" s="16"/>
      <c r="O103" s="16"/>
      <c r="P103" s="16"/>
      <c r="Q103" s="16"/>
      <c r="R103" s="16"/>
      <c r="S103" s="16"/>
      <c r="T103" s="16"/>
      <c r="U103" s="16"/>
      <c r="V103" s="16"/>
      <c r="W103" s="16"/>
      <c r="X103" s="16"/>
      <c r="Y103" s="16"/>
      <c r="Z103" s="16"/>
      <c r="AA103" s="16"/>
      <c r="AB103" s="16"/>
      <c r="AC103" s="16"/>
      <c r="AD103" s="16"/>
    </row>
    <row r="104" spans="1:30" ht="12.9">
      <c r="A104" s="16"/>
      <c r="B104" s="70"/>
      <c r="C104" s="196"/>
      <c r="D104" s="196"/>
      <c r="E104" s="196"/>
      <c r="F104" s="16"/>
      <c r="G104" s="174"/>
      <c r="H104" s="174"/>
      <c r="I104" s="16"/>
      <c r="J104" s="16"/>
      <c r="K104" s="16"/>
      <c r="L104" s="16"/>
      <c r="M104" s="16"/>
      <c r="N104" s="16"/>
      <c r="O104" s="16"/>
      <c r="P104" s="16"/>
      <c r="Q104" s="16"/>
      <c r="R104" s="16"/>
      <c r="S104" s="16"/>
      <c r="T104" s="16"/>
      <c r="U104" s="16"/>
      <c r="V104" s="16"/>
      <c r="W104" s="16"/>
      <c r="X104" s="16"/>
      <c r="Y104" s="16"/>
      <c r="Z104" s="16"/>
      <c r="AA104" s="16"/>
      <c r="AB104" s="16"/>
      <c r="AC104" s="16"/>
      <c r="AD104" s="16"/>
    </row>
    <row r="105" spans="1:30" ht="12.9">
      <c r="A105" s="16"/>
      <c r="B105" s="70"/>
      <c r="C105" s="196"/>
      <c r="D105" s="196"/>
      <c r="E105" s="196"/>
      <c r="F105" s="16"/>
      <c r="G105" s="174"/>
      <c r="H105" s="174"/>
      <c r="I105" s="16"/>
      <c r="J105" s="16"/>
      <c r="K105" s="16"/>
      <c r="L105" s="16"/>
      <c r="M105" s="16"/>
      <c r="N105" s="16"/>
      <c r="O105" s="16"/>
      <c r="P105" s="16"/>
      <c r="Q105" s="16"/>
      <c r="R105" s="16"/>
      <c r="S105" s="16"/>
      <c r="T105" s="16"/>
      <c r="U105" s="16"/>
      <c r="V105" s="16"/>
      <c r="W105" s="16"/>
      <c r="X105" s="16"/>
      <c r="Y105" s="16"/>
      <c r="Z105" s="16"/>
      <c r="AA105" s="16"/>
      <c r="AB105" s="16"/>
      <c r="AC105" s="16"/>
      <c r="AD105" s="16"/>
    </row>
    <row r="106" spans="1:30" ht="12.9">
      <c r="A106" s="16"/>
      <c r="B106" s="70"/>
      <c r="C106" s="196"/>
      <c r="D106" s="196"/>
      <c r="E106" s="196"/>
      <c r="F106" s="16"/>
      <c r="G106" s="174"/>
      <c r="H106" s="174"/>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2.9">
      <c r="A107" s="16"/>
      <c r="B107" s="70"/>
      <c r="C107" s="196"/>
      <c r="D107" s="196"/>
      <c r="E107" s="196"/>
      <c r="F107" s="16"/>
      <c r="G107" s="174"/>
      <c r="H107" s="174"/>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2.9">
      <c r="A108" s="16"/>
      <c r="B108" s="70"/>
      <c r="C108" s="196"/>
      <c r="D108" s="196"/>
      <c r="E108" s="196"/>
      <c r="F108" s="16"/>
      <c r="G108" s="174"/>
      <c r="H108" s="174"/>
      <c r="I108" s="16"/>
      <c r="J108" s="16"/>
      <c r="K108" s="16"/>
      <c r="L108" s="16"/>
      <c r="M108" s="16"/>
      <c r="N108" s="16"/>
      <c r="O108" s="16"/>
      <c r="P108" s="16"/>
      <c r="Q108" s="16"/>
      <c r="R108" s="16"/>
      <c r="S108" s="16"/>
      <c r="T108" s="16"/>
      <c r="U108" s="16"/>
      <c r="V108" s="16"/>
      <c r="W108" s="16"/>
      <c r="X108" s="16"/>
      <c r="Y108" s="16"/>
      <c r="Z108" s="16"/>
      <c r="AA108" s="16"/>
      <c r="AB108" s="16"/>
      <c r="AC108" s="16"/>
      <c r="AD108" s="16"/>
    </row>
    <row r="109" spans="1:30" ht="12.9">
      <c r="A109" s="16"/>
      <c r="B109" s="70"/>
      <c r="C109" s="196"/>
      <c r="D109" s="196"/>
      <c r="E109" s="196"/>
      <c r="F109" s="16"/>
      <c r="G109" s="174"/>
      <c r="H109" s="174"/>
      <c r="I109" s="16"/>
      <c r="J109" s="16"/>
      <c r="K109" s="16"/>
      <c r="L109" s="16"/>
      <c r="M109" s="16"/>
      <c r="N109" s="16"/>
      <c r="O109" s="16"/>
      <c r="P109" s="16"/>
      <c r="Q109" s="16"/>
      <c r="R109" s="16"/>
      <c r="S109" s="16"/>
      <c r="T109" s="16"/>
      <c r="U109" s="16"/>
      <c r="V109" s="16"/>
      <c r="W109" s="16"/>
      <c r="X109" s="16"/>
      <c r="Y109" s="16"/>
      <c r="Z109" s="16"/>
      <c r="AA109" s="16"/>
      <c r="AB109" s="16"/>
      <c r="AC109" s="16"/>
      <c r="AD109" s="16"/>
    </row>
    <row r="110" spans="1:30" ht="12.9">
      <c r="A110" s="16"/>
      <c r="B110" s="70"/>
      <c r="C110" s="196"/>
      <c r="D110" s="196"/>
      <c r="E110" s="196"/>
      <c r="F110" s="16"/>
      <c r="G110" s="174"/>
      <c r="H110" s="174"/>
      <c r="I110" s="16"/>
      <c r="J110" s="16"/>
      <c r="K110" s="16"/>
      <c r="L110" s="16"/>
      <c r="M110" s="16"/>
      <c r="N110" s="16"/>
      <c r="O110" s="16"/>
      <c r="P110" s="16"/>
      <c r="Q110" s="16"/>
      <c r="R110" s="16"/>
      <c r="S110" s="16"/>
      <c r="T110" s="16"/>
      <c r="U110" s="16"/>
      <c r="V110" s="16"/>
      <c r="W110" s="16"/>
      <c r="X110" s="16"/>
      <c r="Y110" s="16"/>
      <c r="Z110" s="16"/>
      <c r="AA110" s="16"/>
      <c r="AB110" s="16"/>
      <c r="AC110" s="16"/>
      <c r="AD110" s="16"/>
    </row>
    <row r="111" spans="1:30" ht="12.9">
      <c r="A111" s="16"/>
      <c r="B111" s="70"/>
      <c r="C111" s="196"/>
      <c r="D111" s="196"/>
      <c r="E111" s="196"/>
      <c r="F111" s="16"/>
      <c r="G111" s="174"/>
      <c r="H111" s="174"/>
      <c r="I111" s="16"/>
      <c r="J111" s="16"/>
      <c r="K111" s="16"/>
      <c r="L111" s="16"/>
      <c r="M111" s="16"/>
      <c r="N111" s="16"/>
      <c r="O111" s="16"/>
      <c r="P111" s="16"/>
      <c r="Q111" s="16"/>
      <c r="R111" s="16"/>
      <c r="S111" s="16"/>
      <c r="T111" s="16"/>
      <c r="U111" s="16"/>
      <c r="V111" s="16"/>
      <c r="W111" s="16"/>
      <c r="X111" s="16"/>
      <c r="Y111" s="16"/>
      <c r="Z111" s="16"/>
      <c r="AA111" s="16"/>
      <c r="AB111" s="16"/>
      <c r="AC111" s="16"/>
      <c r="AD111" s="16"/>
    </row>
    <row r="112" spans="1:30" ht="12.9">
      <c r="A112" s="16"/>
      <c r="B112" s="70"/>
      <c r="C112" s="196"/>
      <c r="D112" s="196"/>
      <c r="E112" s="196"/>
      <c r="F112" s="16"/>
      <c r="G112" s="174"/>
      <c r="H112" s="174"/>
      <c r="I112" s="16"/>
      <c r="J112" s="16"/>
      <c r="K112" s="16"/>
      <c r="L112" s="16"/>
      <c r="M112" s="16"/>
      <c r="N112" s="16"/>
      <c r="O112" s="16"/>
      <c r="P112" s="16"/>
      <c r="Q112" s="16"/>
      <c r="R112" s="16"/>
      <c r="S112" s="16"/>
      <c r="T112" s="16"/>
      <c r="U112" s="16"/>
      <c r="V112" s="16"/>
      <c r="W112" s="16"/>
      <c r="X112" s="16"/>
      <c r="Y112" s="16"/>
      <c r="Z112" s="16"/>
      <c r="AA112" s="16"/>
      <c r="AB112" s="16"/>
      <c r="AC112" s="16"/>
      <c r="AD112" s="16"/>
    </row>
    <row r="113" spans="1:30" ht="12.9">
      <c r="A113" s="16"/>
      <c r="B113" s="70"/>
      <c r="C113" s="196"/>
      <c r="D113" s="196"/>
      <c r="E113" s="196"/>
      <c r="F113" s="16"/>
      <c r="G113" s="174"/>
      <c r="H113" s="174"/>
      <c r="I113" s="16"/>
      <c r="J113" s="16"/>
      <c r="K113" s="16"/>
      <c r="L113" s="16"/>
      <c r="M113" s="16"/>
      <c r="N113" s="16"/>
      <c r="O113" s="16"/>
      <c r="P113" s="16"/>
      <c r="Q113" s="16"/>
      <c r="R113" s="16"/>
      <c r="S113" s="16"/>
      <c r="T113" s="16"/>
      <c r="U113" s="16"/>
      <c r="V113" s="16"/>
      <c r="W113" s="16"/>
      <c r="X113" s="16"/>
      <c r="Y113" s="16"/>
      <c r="Z113" s="16"/>
      <c r="AA113" s="16"/>
      <c r="AB113" s="16"/>
      <c r="AC113" s="16"/>
      <c r="AD113" s="16"/>
    </row>
    <row r="114" spans="1:30" ht="12.9">
      <c r="A114" s="16"/>
      <c r="B114" s="70"/>
      <c r="C114" s="196"/>
      <c r="D114" s="196"/>
      <c r="E114" s="196"/>
      <c r="F114" s="16"/>
      <c r="G114" s="174"/>
      <c r="H114" s="174"/>
      <c r="I114" s="16"/>
      <c r="J114" s="16"/>
      <c r="K114" s="16"/>
      <c r="L114" s="16"/>
      <c r="M114" s="16"/>
      <c r="N114" s="16"/>
      <c r="O114" s="16"/>
      <c r="P114" s="16"/>
      <c r="Q114" s="16"/>
      <c r="R114" s="16"/>
      <c r="S114" s="16"/>
      <c r="T114" s="16"/>
      <c r="U114" s="16"/>
      <c r="V114" s="16"/>
      <c r="W114" s="16"/>
      <c r="X114" s="16"/>
      <c r="Y114" s="16"/>
      <c r="Z114" s="16"/>
      <c r="AA114" s="16"/>
      <c r="AB114" s="16"/>
      <c r="AC114" s="16"/>
      <c r="AD114" s="16"/>
    </row>
    <row r="115" spans="1:30" ht="12.9">
      <c r="A115" s="16"/>
      <c r="B115" s="70"/>
      <c r="C115" s="196"/>
      <c r="D115" s="196"/>
      <c r="E115" s="196"/>
      <c r="F115" s="16"/>
      <c r="G115" s="174"/>
      <c r="H115" s="174"/>
      <c r="I115" s="16"/>
      <c r="J115" s="16"/>
      <c r="K115" s="16"/>
      <c r="L115" s="16"/>
      <c r="M115" s="16"/>
      <c r="N115" s="16"/>
      <c r="O115" s="16"/>
      <c r="P115" s="16"/>
      <c r="Q115" s="16"/>
      <c r="R115" s="16"/>
      <c r="S115" s="16"/>
      <c r="T115" s="16"/>
      <c r="U115" s="16"/>
      <c r="V115" s="16"/>
      <c r="W115" s="16"/>
      <c r="X115" s="16"/>
      <c r="Y115" s="16"/>
      <c r="Z115" s="16"/>
      <c r="AA115" s="16"/>
      <c r="AB115" s="16"/>
      <c r="AC115" s="16"/>
      <c r="AD115" s="16"/>
    </row>
    <row r="116" spans="1:30" ht="12.9">
      <c r="A116" s="16"/>
      <c r="B116" s="70"/>
      <c r="C116" s="196"/>
      <c r="D116" s="196"/>
      <c r="E116" s="196"/>
      <c r="F116" s="16"/>
      <c r="G116" s="174"/>
      <c r="H116" s="174"/>
      <c r="I116" s="16"/>
      <c r="J116" s="16"/>
      <c r="K116" s="16"/>
      <c r="L116" s="16"/>
      <c r="M116" s="16"/>
      <c r="N116" s="16"/>
      <c r="O116" s="16"/>
      <c r="P116" s="16"/>
      <c r="Q116" s="16"/>
      <c r="R116" s="16"/>
      <c r="S116" s="16"/>
      <c r="T116" s="16"/>
      <c r="U116" s="16"/>
      <c r="V116" s="16"/>
      <c r="W116" s="16"/>
      <c r="X116" s="16"/>
      <c r="Y116" s="16"/>
      <c r="Z116" s="16"/>
      <c r="AA116" s="16"/>
      <c r="AB116" s="16"/>
      <c r="AC116" s="16"/>
      <c r="AD116" s="16"/>
    </row>
    <row r="117" spans="1:30" ht="12.9">
      <c r="A117" s="16"/>
      <c r="B117" s="70"/>
      <c r="C117" s="196"/>
      <c r="D117" s="196"/>
      <c r="E117" s="196"/>
      <c r="F117" s="16"/>
      <c r="G117" s="174"/>
      <c r="H117" s="174"/>
      <c r="I117" s="16"/>
      <c r="J117" s="16"/>
      <c r="K117" s="16"/>
      <c r="L117" s="16"/>
      <c r="M117" s="16"/>
      <c r="N117" s="16"/>
      <c r="O117" s="16"/>
      <c r="P117" s="16"/>
      <c r="Q117" s="16"/>
      <c r="R117" s="16"/>
      <c r="S117" s="16"/>
      <c r="T117" s="16"/>
      <c r="U117" s="16"/>
      <c r="V117" s="16"/>
      <c r="W117" s="16"/>
      <c r="X117" s="16"/>
      <c r="Y117" s="16"/>
      <c r="Z117" s="16"/>
      <c r="AA117" s="16"/>
      <c r="AB117" s="16"/>
      <c r="AC117" s="16"/>
      <c r="AD117" s="16"/>
    </row>
    <row r="118" spans="1:30" ht="12.9">
      <c r="A118" s="16"/>
      <c r="B118" s="70"/>
      <c r="C118" s="196"/>
      <c r="D118" s="196"/>
      <c r="E118" s="196"/>
      <c r="F118" s="16"/>
      <c r="G118" s="174"/>
      <c r="H118" s="174"/>
      <c r="I118" s="16"/>
      <c r="J118" s="16"/>
      <c r="K118" s="16"/>
      <c r="L118" s="16"/>
      <c r="M118" s="16"/>
      <c r="N118" s="16"/>
      <c r="O118" s="16"/>
      <c r="P118" s="16"/>
      <c r="Q118" s="16"/>
      <c r="R118" s="16"/>
      <c r="S118" s="16"/>
      <c r="T118" s="16"/>
      <c r="U118" s="16"/>
      <c r="V118" s="16"/>
      <c r="W118" s="16"/>
      <c r="X118" s="16"/>
      <c r="Y118" s="16"/>
      <c r="Z118" s="16"/>
      <c r="AA118" s="16"/>
      <c r="AB118" s="16"/>
      <c r="AC118" s="16"/>
      <c r="AD118" s="16"/>
    </row>
    <row r="119" spans="1:30" ht="12.9">
      <c r="A119" s="16"/>
      <c r="B119" s="70"/>
      <c r="C119" s="196"/>
      <c r="D119" s="196"/>
      <c r="E119" s="196"/>
      <c r="F119" s="16"/>
      <c r="G119" s="174"/>
      <c r="H119" s="174"/>
      <c r="I119" s="16"/>
      <c r="J119" s="16"/>
      <c r="K119" s="16"/>
      <c r="L119" s="16"/>
      <c r="M119" s="16"/>
      <c r="N119" s="16"/>
      <c r="O119" s="16"/>
      <c r="P119" s="16"/>
      <c r="Q119" s="16"/>
      <c r="R119" s="16"/>
      <c r="S119" s="16"/>
      <c r="T119" s="16"/>
      <c r="U119" s="16"/>
      <c r="V119" s="16"/>
      <c r="W119" s="16"/>
      <c r="X119" s="16"/>
      <c r="Y119" s="16"/>
      <c r="Z119" s="16"/>
      <c r="AA119" s="16"/>
      <c r="AB119" s="16"/>
      <c r="AC119" s="16"/>
      <c r="AD119" s="16"/>
    </row>
    <row r="120" spans="1:30" ht="12.9">
      <c r="A120" s="16"/>
      <c r="B120" s="70"/>
      <c r="C120" s="196"/>
      <c r="D120" s="196"/>
      <c r="E120" s="196"/>
      <c r="F120" s="16"/>
      <c r="G120" s="174"/>
      <c r="H120" s="174"/>
      <c r="I120" s="16"/>
      <c r="J120" s="16"/>
      <c r="K120" s="16"/>
      <c r="L120" s="16"/>
      <c r="M120" s="16"/>
      <c r="N120" s="16"/>
      <c r="O120" s="16"/>
      <c r="P120" s="16"/>
      <c r="Q120" s="16"/>
      <c r="R120" s="16"/>
      <c r="S120" s="16"/>
      <c r="T120" s="16"/>
      <c r="U120" s="16"/>
      <c r="V120" s="16"/>
      <c r="W120" s="16"/>
      <c r="X120" s="16"/>
      <c r="Y120" s="16"/>
      <c r="Z120" s="16"/>
      <c r="AA120" s="16"/>
      <c r="AB120" s="16"/>
      <c r="AC120" s="16"/>
      <c r="AD120" s="16"/>
    </row>
    <row r="121" spans="1:30" ht="12.9">
      <c r="A121" s="16"/>
      <c r="B121" s="70"/>
      <c r="C121" s="196"/>
      <c r="D121" s="196"/>
      <c r="E121" s="196"/>
      <c r="F121" s="16"/>
      <c r="G121" s="174"/>
      <c r="H121" s="174"/>
      <c r="I121" s="16"/>
      <c r="J121" s="16"/>
      <c r="K121" s="16"/>
      <c r="L121" s="16"/>
      <c r="M121" s="16"/>
      <c r="N121" s="16"/>
      <c r="O121" s="16"/>
      <c r="P121" s="16"/>
      <c r="Q121" s="16"/>
      <c r="R121" s="16"/>
      <c r="S121" s="16"/>
      <c r="T121" s="16"/>
      <c r="U121" s="16"/>
      <c r="V121" s="16"/>
      <c r="W121" s="16"/>
      <c r="X121" s="16"/>
      <c r="Y121" s="16"/>
      <c r="Z121" s="16"/>
      <c r="AA121" s="16"/>
      <c r="AB121" s="16"/>
      <c r="AC121" s="16"/>
      <c r="AD121" s="16"/>
    </row>
    <row r="122" spans="1:30" ht="12.9">
      <c r="A122" s="16"/>
      <c r="B122" s="70"/>
      <c r="C122" s="196"/>
      <c r="D122" s="196"/>
      <c r="E122" s="196"/>
      <c r="F122" s="16"/>
      <c r="G122" s="174"/>
      <c r="H122" s="174"/>
      <c r="I122" s="16"/>
      <c r="J122" s="16"/>
      <c r="K122" s="16"/>
      <c r="L122" s="16"/>
      <c r="M122" s="16"/>
      <c r="N122" s="16"/>
      <c r="O122" s="16"/>
      <c r="P122" s="16"/>
      <c r="Q122" s="16"/>
      <c r="R122" s="16"/>
      <c r="S122" s="16"/>
      <c r="T122" s="16"/>
      <c r="U122" s="16"/>
      <c r="V122" s="16"/>
      <c r="W122" s="16"/>
      <c r="X122" s="16"/>
      <c r="Y122" s="16"/>
      <c r="Z122" s="16"/>
      <c r="AA122" s="16"/>
      <c r="AB122" s="16"/>
      <c r="AC122" s="16"/>
      <c r="AD122" s="16"/>
    </row>
    <row r="123" spans="1:30" ht="12.9">
      <c r="A123" s="16"/>
      <c r="B123" s="70"/>
      <c r="C123" s="196"/>
      <c r="D123" s="196"/>
      <c r="E123" s="196"/>
      <c r="F123" s="16"/>
      <c r="G123" s="70"/>
      <c r="H123" s="70"/>
      <c r="I123" s="16"/>
      <c r="J123" s="16"/>
      <c r="K123" s="16"/>
      <c r="L123" s="16"/>
      <c r="M123" s="16"/>
      <c r="N123" s="16"/>
      <c r="O123" s="16"/>
      <c r="P123" s="16"/>
      <c r="Q123" s="16"/>
      <c r="R123" s="16"/>
      <c r="S123" s="16"/>
      <c r="T123" s="16"/>
      <c r="U123" s="16"/>
      <c r="V123" s="16"/>
      <c r="W123" s="16"/>
      <c r="X123" s="16"/>
      <c r="Y123" s="16"/>
      <c r="Z123" s="16"/>
      <c r="AA123" s="16"/>
      <c r="AB123" s="16"/>
      <c r="AC123" s="16"/>
      <c r="AD123" s="16"/>
    </row>
    <row r="124" spans="1:30" ht="12.9">
      <c r="A124" s="16"/>
      <c r="B124" s="70"/>
      <c r="C124" s="196"/>
      <c r="D124" s="196"/>
      <c r="E124" s="196"/>
      <c r="F124" s="16"/>
      <c r="G124" s="70"/>
      <c r="H124" s="70"/>
      <c r="I124" s="16"/>
      <c r="J124" s="16"/>
      <c r="K124" s="16"/>
      <c r="L124" s="16"/>
      <c r="M124" s="16"/>
      <c r="N124" s="16"/>
      <c r="O124" s="16"/>
      <c r="P124" s="16"/>
      <c r="Q124" s="16"/>
      <c r="R124" s="16"/>
      <c r="S124" s="16"/>
      <c r="T124" s="16"/>
      <c r="U124" s="16"/>
      <c r="V124" s="16"/>
      <c r="W124" s="16"/>
      <c r="X124" s="16"/>
      <c r="Y124" s="16"/>
      <c r="Z124" s="16"/>
      <c r="AA124" s="16"/>
      <c r="AB124" s="16"/>
      <c r="AC124" s="16"/>
      <c r="AD124" s="16"/>
    </row>
    <row r="125" spans="1:30" ht="12.9">
      <c r="A125" s="16"/>
      <c r="B125" s="70"/>
      <c r="C125" s="196"/>
      <c r="D125" s="196"/>
      <c r="E125" s="196"/>
      <c r="F125" s="16"/>
      <c r="G125" s="70"/>
      <c r="H125" s="70"/>
      <c r="I125" s="16"/>
      <c r="J125" s="16"/>
      <c r="K125" s="16"/>
      <c r="L125" s="16"/>
      <c r="M125" s="16"/>
      <c r="N125" s="16"/>
      <c r="O125" s="16"/>
      <c r="P125" s="16"/>
      <c r="Q125" s="16"/>
      <c r="R125" s="16"/>
      <c r="S125" s="16"/>
      <c r="T125" s="16"/>
      <c r="U125" s="16"/>
      <c r="V125" s="16"/>
      <c r="W125" s="16"/>
      <c r="X125" s="16"/>
      <c r="Y125" s="16"/>
      <c r="Z125" s="16"/>
      <c r="AA125" s="16"/>
      <c r="AB125" s="16"/>
      <c r="AC125" s="16"/>
      <c r="AD125" s="16"/>
    </row>
    <row r="126" spans="1:30" ht="12.9">
      <c r="A126" s="16"/>
      <c r="B126" s="70"/>
      <c r="C126" s="196"/>
      <c r="D126" s="196"/>
      <c r="E126" s="196"/>
      <c r="F126" s="16"/>
      <c r="G126" s="70"/>
      <c r="H126" s="70"/>
      <c r="I126" s="16"/>
      <c r="J126" s="16"/>
      <c r="K126" s="16"/>
      <c r="L126" s="16"/>
      <c r="M126" s="16"/>
      <c r="N126" s="16"/>
      <c r="O126" s="16"/>
      <c r="P126" s="16"/>
      <c r="Q126" s="16"/>
      <c r="R126" s="16"/>
      <c r="S126" s="16"/>
      <c r="T126" s="16"/>
      <c r="U126" s="16"/>
      <c r="V126" s="16"/>
      <c r="W126" s="16"/>
      <c r="X126" s="16"/>
      <c r="Y126" s="16"/>
      <c r="Z126" s="16"/>
      <c r="AA126" s="16"/>
      <c r="AB126" s="16"/>
      <c r="AC126" s="16"/>
      <c r="AD126" s="16"/>
    </row>
    <row r="127" spans="1:30" ht="12.9">
      <c r="A127" s="16"/>
      <c r="B127" s="70"/>
      <c r="C127" s="196"/>
      <c r="D127" s="196"/>
      <c r="E127" s="196"/>
      <c r="F127" s="16"/>
      <c r="G127" s="70"/>
      <c r="H127" s="70"/>
      <c r="I127" s="16"/>
      <c r="J127" s="16"/>
      <c r="K127" s="16"/>
      <c r="L127" s="16"/>
      <c r="M127" s="16"/>
      <c r="N127" s="16"/>
      <c r="O127" s="16"/>
      <c r="P127" s="16"/>
      <c r="Q127" s="16"/>
      <c r="R127" s="16"/>
      <c r="S127" s="16"/>
      <c r="T127" s="16"/>
      <c r="U127" s="16"/>
      <c r="V127" s="16"/>
      <c r="W127" s="16"/>
      <c r="X127" s="16"/>
      <c r="Y127" s="16"/>
      <c r="Z127" s="16"/>
      <c r="AA127" s="16"/>
      <c r="AB127" s="16"/>
      <c r="AC127" s="16"/>
      <c r="AD127" s="16"/>
    </row>
    <row r="128" spans="1:30" ht="12.9">
      <c r="A128" s="16"/>
      <c r="B128" s="70"/>
      <c r="C128" s="196"/>
      <c r="D128" s="196"/>
      <c r="E128" s="196"/>
      <c r="F128" s="16"/>
      <c r="G128" s="70"/>
      <c r="H128" s="70"/>
      <c r="I128" s="16"/>
      <c r="J128" s="16"/>
      <c r="K128" s="16"/>
      <c r="L128" s="16"/>
      <c r="M128" s="16"/>
      <c r="N128" s="16"/>
      <c r="O128" s="16"/>
      <c r="P128" s="16"/>
      <c r="Q128" s="16"/>
      <c r="R128" s="16"/>
      <c r="S128" s="16"/>
      <c r="T128" s="16"/>
      <c r="U128" s="16"/>
      <c r="V128" s="16"/>
      <c r="W128" s="16"/>
      <c r="X128" s="16"/>
      <c r="Y128" s="16"/>
      <c r="Z128" s="16"/>
      <c r="AA128" s="16"/>
      <c r="AB128" s="16"/>
      <c r="AC128" s="16"/>
      <c r="AD128" s="16"/>
    </row>
    <row r="129" spans="1:30" ht="12.9">
      <c r="A129" s="16"/>
      <c r="B129" s="70"/>
      <c r="C129" s="196"/>
      <c r="D129" s="196"/>
      <c r="E129" s="196"/>
      <c r="F129" s="16"/>
      <c r="G129" s="70"/>
      <c r="H129" s="70"/>
      <c r="I129" s="16"/>
      <c r="J129" s="16"/>
      <c r="K129" s="16"/>
      <c r="L129" s="16"/>
      <c r="M129" s="16"/>
      <c r="N129" s="16"/>
      <c r="O129" s="16"/>
      <c r="P129" s="16"/>
      <c r="Q129" s="16"/>
      <c r="R129" s="16"/>
      <c r="S129" s="16"/>
      <c r="T129" s="16"/>
      <c r="U129" s="16"/>
      <c r="V129" s="16"/>
      <c r="W129" s="16"/>
      <c r="X129" s="16"/>
      <c r="Y129" s="16"/>
      <c r="Z129" s="16"/>
      <c r="AA129" s="16"/>
      <c r="AB129" s="16"/>
      <c r="AC129" s="16"/>
      <c r="AD129" s="16"/>
    </row>
    <row r="130" spans="1:30" ht="12.9">
      <c r="A130" s="16"/>
      <c r="B130" s="70"/>
      <c r="C130" s="196"/>
      <c r="D130" s="196"/>
      <c r="E130" s="196"/>
      <c r="F130" s="16"/>
      <c r="G130" s="70"/>
      <c r="H130" s="70"/>
      <c r="I130" s="16"/>
      <c r="J130" s="16"/>
      <c r="K130" s="16"/>
      <c r="L130" s="16"/>
      <c r="M130" s="16"/>
      <c r="N130" s="16"/>
      <c r="O130" s="16"/>
      <c r="P130" s="16"/>
      <c r="Q130" s="16"/>
      <c r="R130" s="16"/>
      <c r="S130" s="16"/>
      <c r="T130" s="16"/>
      <c r="U130" s="16"/>
      <c r="V130" s="16"/>
      <c r="W130" s="16"/>
      <c r="X130" s="16"/>
      <c r="Y130" s="16"/>
      <c r="Z130" s="16"/>
      <c r="AA130" s="16"/>
      <c r="AB130" s="16"/>
      <c r="AC130" s="16"/>
      <c r="AD130" s="16"/>
    </row>
    <row r="131" spans="1:30" ht="12.9">
      <c r="A131" s="16"/>
      <c r="B131" s="70"/>
      <c r="C131" s="196"/>
      <c r="D131" s="196"/>
      <c r="E131" s="196"/>
      <c r="F131" s="16"/>
      <c r="G131" s="70"/>
      <c r="H131" s="70"/>
      <c r="I131" s="16"/>
      <c r="J131" s="16"/>
      <c r="K131" s="16"/>
      <c r="L131" s="16"/>
      <c r="M131" s="16"/>
      <c r="N131" s="16"/>
      <c r="O131" s="16"/>
      <c r="P131" s="16"/>
      <c r="Q131" s="16"/>
      <c r="R131" s="16"/>
      <c r="S131" s="16"/>
      <c r="T131" s="16"/>
      <c r="U131" s="16"/>
      <c r="V131" s="16"/>
      <c r="W131" s="16"/>
      <c r="X131" s="16"/>
      <c r="Y131" s="16"/>
      <c r="Z131" s="16"/>
      <c r="AA131" s="16"/>
      <c r="AB131" s="16"/>
      <c r="AC131" s="16"/>
      <c r="AD131" s="16"/>
    </row>
    <row r="132" spans="1:30" ht="12.9">
      <c r="A132" s="16"/>
      <c r="B132" s="70"/>
      <c r="C132" s="196"/>
      <c r="D132" s="196"/>
      <c r="E132" s="196"/>
      <c r="F132" s="16"/>
      <c r="G132" s="70"/>
      <c r="H132" s="70"/>
      <c r="I132" s="16"/>
      <c r="J132" s="16"/>
      <c r="K132" s="16"/>
      <c r="L132" s="16"/>
      <c r="M132" s="16"/>
      <c r="N132" s="16"/>
      <c r="O132" s="16"/>
      <c r="P132" s="16"/>
      <c r="Q132" s="16"/>
      <c r="R132" s="16"/>
      <c r="S132" s="16"/>
      <c r="T132" s="16"/>
      <c r="U132" s="16"/>
      <c r="V132" s="16"/>
      <c r="W132" s="16"/>
      <c r="X132" s="16"/>
      <c r="Y132" s="16"/>
      <c r="Z132" s="16"/>
      <c r="AA132" s="16"/>
      <c r="AB132" s="16"/>
      <c r="AC132" s="16"/>
      <c r="AD132" s="16"/>
    </row>
    <row r="133" spans="1:30" ht="12.9">
      <c r="A133" s="16"/>
      <c r="B133" s="70"/>
      <c r="C133" s="196"/>
      <c r="D133" s="196"/>
      <c r="E133" s="196"/>
      <c r="F133" s="16"/>
      <c r="G133" s="70"/>
      <c r="H133" s="70"/>
      <c r="I133" s="16"/>
      <c r="J133" s="16"/>
      <c r="K133" s="16"/>
      <c r="L133" s="16"/>
      <c r="M133" s="16"/>
      <c r="N133" s="16"/>
      <c r="O133" s="16"/>
      <c r="P133" s="16"/>
      <c r="Q133" s="16"/>
      <c r="R133" s="16"/>
      <c r="S133" s="16"/>
      <c r="T133" s="16"/>
      <c r="U133" s="16"/>
      <c r="V133" s="16"/>
      <c r="W133" s="16"/>
      <c r="X133" s="16"/>
      <c r="Y133" s="16"/>
      <c r="Z133" s="16"/>
      <c r="AA133" s="16"/>
      <c r="AB133" s="16"/>
      <c r="AC133" s="16"/>
      <c r="AD133" s="16"/>
    </row>
    <row r="134" spans="1:30" ht="12.9">
      <c r="A134" s="16"/>
      <c r="B134" s="70"/>
      <c r="C134" s="196"/>
      <c r="D134" s="196"/>
      <c r="E134" s="196"/>
      <c r="F134" s="16"/>
      <c r="G134" s="70"/>
      <c r="H134" s="70"/>
      <c r="I134" s="16"/>
      <c r="J134" s="16"/>
      <c r="K134" s="16"/>
      <c r="L134" s="16"/>
      <c r="M134" s="16"/>
      <c r="N134" s="16"/>
      <c r="O134" s="16"/>
      <c r="P134" s="16"/>
      <c r="Q134" s="16"/>
      <c r="R134" s="16"/>
      <c r="S134" s="16"/>
      <c r="T134" s="16"/>
      <c r="U134" s="16"/>
      <c r="V134" s="16"/>
      <c r="W134" s="16"/>
      <c r="X134" s="16"/>
      <c r="Y134" s="16"/>
      <c r="Z134" s="16"/>
      <c r="AA134" s="16"/>
      <c r="AB134" s="16"/>
      <c r="AC134" s="16"/>
      <c r="AD134" s="16"/>
    </row>
    <row r="135" spans="1:30" ht="12.9">
      <c r="A135" s="16"/>
      <c r="B135" s="70"/>
      <c r="C135" s="196"/>
      <c r="D135" s="196"/>
      <c r="E135" s="196"/>
      <c r="F135" s="16"/>
      <c r="G135" s="70"/>
      <c r="H135" s="70"/>
      <c r="I135" s="16"/>
      <c r="J135" s="16"/>
      <c r="K135" s="16"/>
      <c r="L135" s="16"/>
      <c r="M135" s="16"/>
      <c r="N135" s="16"/>
      <c r="O135" s="16"/>
      <c r="P135" s="16"/>
      <c r="Q135" s="16"/>
      <c r="R135" s="16"/>
      <c r="S135" s="16"/>
      <c r="T135" s="16"/>
      <c r="U135" s="16"/>
      <c r="V135" s="16"/>
      <c r="W135" s="16"/>
      <c r="X135" s="16"/>
      <c r="Y135" s="16"/>
      <c r="Z135" s="16"/>
      <c r="AA135" s="16"/>
      <c r="AB135" s="16"/>
      <c r="AC135" s="16"/>
      <c r="AD135" s="16"/>
    </row>
    <row r="136" spans="1:30" ht="12.9">
      <c r="A136" s="16"/>
      <c r="B136" s="70"/>
      <c r="C136" s="196"/>
      <c r="D136" s="196"/>
      <c r="E136" s="196"/>
      <c r="F136" s="16"/>
      <c r="G136" s="70"/>
      <c r="H136" s="70"/>
      <c r="I136" s="16"/>
      <c r="J136" s="16"/>
      <c r="K136" s="16"/>
      <c r="L136" s="16"/>
      <c r="M136" s="16"/>
      <c r="N136" s="16"/>
      <c r="O136" s="16"/>
      <c r="P136" s="16"/>
      <c r="Q136" s="16"/>
      <c r="R136" s="16"/>
      <c r="S136" s="16"/>
      <c r="T136" s="16"/>
      <c r="U136" s="16"/>
      <c r="V136" s="16"/>
      <c r="W136" s="16"/>
      <c r="X136" s="16"/>
      <c r="Y136" s="16"/>
      <c r="Z136" s="16"/>
      <c r="AA136" s="16"/>
      <c r="AB136" s="16"/>
      <c r="AC136" s="16"/>
      <c r="AD136" s="16"/>
    </row>
    <row r="137" spans="1:30" ht="12.9">
      <c r="A137" s="16"/>
      <c r="B137" s="70"/>
      <c r="C137" s="196"/>
      <c r="D137" s="196"/>
      <c r="E137" s="196"/>
      <c r="F137" s="16"/>
      <c r="G137" s="70"/>
      <c r="H137" s="70"/>
      <c r="I137" s="16"/>
      <c r="J137" s="16"/>
      <c r="K137" s="16"/>
      <c r="L137" s="16"/>
      <c r="M137" s="16"/>
      <c r="N137" s="16"/>
      <c r="O137" s="16"/>
      <c r="P137" s="16"/>
      <c r="Q137" s="16"/>
      <c r="R137" s="16"/>
      <c r="S137" s="16"/>
      <c r="T137" s="16"/>
      <c r="U137" s="16"/>
      <c r="V137" s="16"/>
      <c r="W137" s="16"/>
      <c r="X137" s="16"/>
      <c r="Y137" s="16"/>
      <c r="Z137" s="16"/>
      <c r="AA137" s="16"/>
      <c r="AB137" s="16"/>
      <c r="AC137" s="16"/>
      <c r="AD137" s="16"/>
    </row>
    <row r="138" spans="1:30" ht="12.9">
      <c r="A138" s="16"/>
      <c r="B138" s="70"/>
      <c r="C138" s="196"/>
      <c r="D138" s="196"/>
      <c r="E138" s="196"/>
      <c r="F138" s="16"/>
      <c r="G138" s="70"/>
      <c r="H138" s="70"/>
      <c r="I138" s="16"/>
      <c r="J138" s="16"/>
      <c r="K138" s="16"/>
      <c r="L138" s="16"/>
      <c r="M138" s="16"/>
      <c r="N138" s="16"/>
      <c r="O138" s="16"/>
      <c r="P138" s="16"/>
      <c r="Q138" s="16"/>
      <c r="R138" s="16"/>
      <c r="S138" s="16"/>
      <c r="T138" s="16"/>
      <c r="U138" s="16"/>
      <c r="V138" s="16"/>
      <c r="W138" s="16"/>
      <c r="X138" s="16"/>
      <c r="Y138" s="16"/>
      <c r="Z138" s="16"/>
      <c r="AA138" s="16"/>
      <c r="AB138" s="16"/>
      <c r="AC138" s="16"/>
      <c r="AD138" s="16"/>
    </row>
    <row r="139" spans="1:30" ht="12.9">
      <c r="A139" s="16"/>
      <c r="B139" s="70"/>
      <c r="C139" s="196"/>
      <c r="D139" s="196"/>
      <c r="E139" s="196"/>
      <c r="F139" s="16"/>
      <c r="G139" s="70"/>
      <c r="H139" s="70"/>
      <c r="I139" s="16"/>
      <c r="J139" s="16"/>
      <c r="K139" s="16"/>
      <c r="L139" s="16"/>
      <c r="M139" s="16"/>
      <c r="N139" s="16"/>
      <c r="O139" s="16"/>
      <c r="P139" s="16"/>
      <c r="Q139" s="16"/>
      <c r="R139" s="16"/>
      <c r="S139" s="16"/>
      <c r="T139" s="16"/>
      <c r="U139" s="16"/>
      <c r="V139" s="16"/>
      <c r="W139" s="16"/>
      <c r="X139" s="16"/>
      <c r="Y139" s="16"/>
      <c r="Z139" s="16"/>
      <c r="AA139" s="16"/>
      <c r="AB139" s="16"/>
      <c r="AC139" s="16"/>
      <c r="AD139" s="16"/>
    </row>
    <row r="140" spans="1:30" ht="12.9">
      <c r="A140" s="16"/>
      <c r="B140" s="70"/>
      <c r="C140" s="196"/>
      <c r="D140" s="196"/>
      <c r="E140" s="196"/>
      <c r="F140" s="16"/>
      <c r="G140" s="70"/>
      <c r="H140" s="70"/>
      <c r="I140" s="16"/>
      <c r="J140" s="16"/>
      <c r="K140" s="16"/>
      <c r="L140" s="16"/>
      <c r="M140" s="16"/>
      <c r="N140" s="16"/>
      <c r="O140" s="16"/>
      <c r="P140" s="16"/>
      <c r="Q140" s="16"/>
      <c r="R140" s="16"/>
      <c r="S140" s="16"/>
      <c r="T140" s="16"/>
      <c r="U140" s="16"/>
      <c r="V140" s="16"/>
      <c r="W140" s="16"/>
      <c r="X140" s="16"/>
      <c r="Y140" s="16"/>
      <c r="Z140" s="16"/>
      <c r="AA140" s="16"/>
      <c r="AB140" s="16"/>
      <c r="AC140" s="16"/>
      <c r="AD140" s="16"/>
    </row>
    <row r="141" spans="1:30" ht="12.9">
      <c r="A141" s="16"/>
      <c r="B141" s="70"/>
      <c r="C141" s="196"/>
      <c r="D141" s="196"/>
      <c r="E141" s="196"/>
      <c r="F141" s="16"/>
      <c r="G141" s="70"/>
      <c r="H141" s="70"/>
      <c r="I141" s="16"/>
      <c r="J141" s="16"/>
      <c r="K141" s="16"/>
      <c r="L141" s="16"/>
      <c r="M141" s="16"/>
      <c r="N141" s="16"/>
      <c r="O141" s="16"/>
      <c r="P141" s="16"/>
      <c r="Q141" s="16"/>
      <c r="R141" s="16"/>
      <c r="S141" s="16"/>
      <c r="T141" s="16"/>
      <c r="U141" s="16"/>
      <c r="V141" s="16"/>
      <c r="W141" s="16"/>
      <c r="X141" s="16"/>
      <c r="Y141" s="16"/>
      <c r="Z141" s="16"/>
      <c r="AA141" s="16"/>
      <c r="AB141" s="16"/>
      <c r="AC141" s="16"/>
      <c r="AD141" s="16"/>
    </row>
    <row r="142" spans="1:30" ht="12.9">
      <c r="A142" s="16"/>
      <c r="B142" s="70"/>
      <c r="C142" s="196"/>
      <c r="D142" s="196"/>
      <c r="E142" s="196"/>
      <c r="F142" s="16"/>
      <c r="G142" s="24"/>
      <c r="H142" s="24"/>
      <c r="I142" s="16"/>
      <c r="J142" s="16"/>
      <c r="K142" s="16"/>
      <c r="L142" s="16"/>
      <c r="M142" s="16"/>
      <c r="N142" s="16"/>
      <c r="O142" s="16"/>
      <c r="P142" s="16"/>
      <c r="Q142" s="16"/>
      <c r="R142" s="16"/>
      <c r="S142" s="16"/>
      <c r="T142" s="16"/>
      <c r="U142" s="16"/>
      <c r="V142" s="16"/>
      <c r="W142" s="16"/>
      <c r="X142" s="16"/>
      <c r="Y142" s="16"/>
      <c r="Z142" s="16"/>
      <c r="AA142" s="16"/>
      <c r="AB142" s="16"/>
      <c r="AC142" s="16"/>
      <c r="AD142" s="16"/>
    </row>
    <row r="143" spans="1:30" ht="12.9">
      <c r="A143" s="16"/>
      <c r="B143" s="24"/>
      <c r="C143" s="196"/>
      <c r="D143" s="196"/>
      <c r="E143" s="196"/>
      <c r="F143" s="16"/>
      <c r="G143" s="24"/>
      <c r="H143" s="24"/>
      <c r="I143" s="16"/>
      <c r="J143" s="16"/>
      <c r="K143" s="16"/>
      <c r="L143" s="16"/>
      <c r="M143" s="16"/>
      <c r="N143" s="16"/>
      <c r="O143" s="16"/>
      <c r="P143" s="16"/>
      <c r="Q143" s="16"/>
      <c r="R143" s="16"/>
      <c r="S143" s="16"/>
      <c r="T143" s="16"/>
      <c r="U143" s="16"/>
      <c r="V143" s="16"/>
      <c r="W143" s="16"/>
      <c r="X143" s="16"/>
      <c r="Y143" s="16"/>
      <c r="Z143" s="16"/>
      <c r="AA143" s="16"/>
      <c r="AB143" s="16"/>
      <c r="AC143" s="16"/>
      <c r="AD143" s="16"/>
    </row>
    <row r="144" spans="1:30" ht="12.9">
      <c r="A144" s="16"/>
      <c r="B144" s="24"/>
      <c r="C144" s="196"/>
      <c r="D144" s="196"/>
      <c r="E144" s="196"/>
      <c r="F144" s="16"/>
      <c r="G144" s="24"/>
      <c r="H144" s="24"/>
      <c r="I144" s="16"/>
      <c r="J144" s="16"/>
      <c r="K144" s="16"/>
      <c r="L144" s="16"/>
      <c r="M144" s="16"/>
      <c r="N144" s="16"/>
      <c r="O144" s="16"/>
      <c r="P144" s="16"/>
      <c r="Q144" s="16"/>
      <c r="R144" s="16"/>
      <c r="S144" s="16"/>
      <c r="T144" s="16"/>
      <c r="U144" s="16"/>
      <c r="V144" s="16"/>
      <c r="W144" s="16"/>
      <c r="X144" s="16"/>
      <c r="Y144" s="16"/>
      <c r="Z144" s="16"/>
      <c r="AA144" s="16"/>
      <c r="AB144" s="16"/>
      <c r="AC144" s="16"/>
      <c r="AD144" s="16"/>
    </row>
    <row r="145" spans="1:30" ht="12.9">
      <c r="A145" s="16"/>
      <c r="B145" s="24"/>
      <c r="C145" s="196"/>
      <c r="D145" s="196"/>
      <c r="E145" s="196"/>
      <c r="F145" s="16"/>
      <c r="G145" s="24"/>
      <c r="H145" s="24"/>
      <c r="I145" s="16"/>
      <c r="J145" s="16"/>
      <c r="K145" s="16"/>
      <c r="L145" s="16"/>
      <c r="M145" s="16"/>
      <c r="N145" s="16"/>
      <c r="O145" s="16"/>
      <c r="P145" s="16"/>
      <c r="Q145" s="16"/>
      <c r="R145" s="16"/>
      <c r="S145" s="16"/>
      <c r="T145" s="16"/>
      <c r="U145" s="16"/>
      <c r="V145" s="16"/>
      <c r="W145" s="16"/>
      <c r="X145" s="16"/>
      <c r="Y145" s="16"/>
      <c r="Z145" s="16"/>
      <c r="AA145" s="16"/>
      <c r="AB145" s="16"/>
      <c r="AC145" s="16"/>
      <c r="AD145" s="16"/>
    </row>
    <row r="146" spans="1:30" ht="12.9">
      <c r="A146" s="16"/>
      <c r="B146" s="24"/>
      <c r="C146" s="196"/>
      <c r="D146" s="196"/>
      <c r="E146" s="196"/>
      <c r="F146" s="16"/>
      <c r="G146" s="24"/>
      <c r="H146" s="24"/>
      <c r="I146" s="16"/>
      <c r="J146" s="16"/>
      <c r="K146" s="16"/>
      <c r="L146" s="16"/>
      <c r="M146" s="16"/>
      <c r="N146" s="16"/>
      <c r="O146" s="16"/>
      <c r="P146" s="16"/>
      <c r="Q146" s="16"/>
      <c r="R146" s="16"/>
      <c r="S146" s="16"/>
      <c r="T146" s="16"/>
      <c r="U146" s="16"/>
      <c r="V146" s="16"/>
      <c r="W146" s="16"/>
      <c r="X146" s="16"/>
      <c r="Y146" s="16"/>
      <c r="Z146" s="16"/>
      <c r="AA146" s="16"/>
      <c r="AB146" s="16"/>
      <c r="AC146" s="16"/>
      <c r="AD146" s="16"/>
    </row>
    <row r="147" spans="1:30" ht="12.9">
      <c r="A147" s="16"/>
      <c r="B147" s="24"/>
      <c r="C147" s="196"/>
      <c r="D147" s="196"/>
      <c r="E147" s="196"/>
      <c r="F147" s="16"/>
      <c r="G147" s="24"/>
      <c r="H147" s="24"/>
      <c r="I147" s="16"/>
      <c r="J147" s="16"/>
      <c r="K147" s="16"/>
      <c r="L147" s="16"/>
      <c r="M147" s="16"/>
      <c r="N147" s="16"/>
      <c r="O147" s="16"/>
      <c r="P147" s="16"/>
      <c r="Q147" s="16"/>
      <c r="R147" s="16"/>
      <c r="S147" s="16"/>
      <c r="T147" s="16"/>
      <c r="U147" s="16"/>
      <c r="V147" s="16"/>
      <c r="W147" s="16"/>
      <c r="X147" s="16"/>
      <c r="Y147" s="16"/>
      <c r="Z147" s="16"/>
      <c r="AA147" s="16"/>
      <c r="AB147" s="16"/>
      <c r="AC147" s="16"/>
      <c r="AD147" s="16"/>
    </row>
    <row r="148" spans="1:30" ht="12.9">
      <c r="A148" s="16"/>
      <c r="B148" s="24"/>
      <c r="C148" s="196"/>
      <c r="D148" s="196"/>
      <c r="E148" s="196"/>
      <c r="F148" s="16"/>
      <c r="G148" s="24"/>
      <c r="H148" s="24"/>
      <c r="I148" s="16"/>
      <c r="J148" s="16"/>
      <c r="K148" s="16"/>
      <c r="L148" s="16"/>
      <c r="M148" s="16"/>
      <c r="N148" s="16"/>
      <c r="O148" s="16"/>
      <c r="P148" s="16"/>
      <c r="Q148" s="16"/>
      <c r="R148" s="16"/>
      <c r="S148" s="16"/>
      <c r="T148" s="16"/>
      <c r="U148" s="16"/>
      <c r="V148" s="16"/>
      <c r="W148" s="16"/>
      <c r="X148" s="16"/>
      <c r="Y148" s="16"/>
      <c r="Z148" s="16"/>
      <c r="AA148" s="16"/>
      <c r="AB148" s="16"/>
      <c r="AC148" s="16"/>
      <c r="AD148" s="16"/>
    </row>
    <row r="149" spans="1:30" ht="12.9">
      <c r="A149" s="16"/>
      <c r="B149" s="24"/>
      <c r="C149" s="196"/>
      <c r="D149" s="196"/>
      <c r="E149" s="196"/>
      <c r="F149" s="16"/>
      <c r="G149" s="24"/>
      <c r="H149" s="24"/>
      <c r="I149" s="16"/>
      <c r="J149" s="16"/>
      <c r="K149" s="16"/>
      <c r="L149" s="16"/>
      <c r="M149" s="16"/>
      <c r="N149" s="16"/>
      <c r="O149" s="16"/>
      <c r="P149" s="16"/>
      <c r="Q149" s="16"/>
      <c r="R149" s="16"/>
      <c r="S149" s="16"/>
      <c r="T149" s="16"/>
      <c r="U149" s="16"/>
      <c r="V149" s="16"/>
      <c r="W149" s="16"/>
      <c r="X149" s="16"/>
      <c r="Y149" s="16"/>
      <c r="Z149" s="16"/>
      <c r="AA149" s="16"/>
      <c r="AB149" s="16"/>
      <c r="AC149" s="16"/>
      <c r="AD149" s="16"/>
    </row>
    <row r="150" spans="1:30" ht="12.9">
      <c r="A150" s="16"/>
      <c r="B150" s="24"/>
      <c r="C150" s="196"/>
      <c r="D150" s="196"/>
      <c r="E150" s="196"/>
      <c r="F150" s="16"/>
      <c r="G150" s="24"/>
      <c r="H150" s="24"/>
      <c r="I150" s="16"/>
      <c r="J150" s="16"/>
      <c r="K150" s="16"/>
      <c r="L150" s="16"/>
      <c r="M150" s="16"/>
      <c r="N150" s="16"/>
      <c r="O150" s="16"/>
      <c r="P150" s="16"/>
      <c r="Q150" s="16"/>
      <c r="R150" s="16"/>
      <c r="S150" s="16"/>
      <c r="T150" s="16"/>
      <c r="U150" s="16"/>
      <c r="V150" s="16"/>
      <c r="W150" s="16"/>
      <c r="X150" s="16"/>
      <c r="Y150" s="16"/>
      <c r="Z150" s="16"/>
      <c r="AA150" s="16"/>
      <c r="AB150" s="16"/>
      <c r="AC150" s="16"/>
      <c r="AD150" s="16"/>
    </row>
    <row r="151" spans="1:30" ht="12.9">
      <c r="A151" s="16"/>
      <c r="B151" s="24"/>
      <c r="C151" s="196"/>
      <c r="D151" s="196"/>
      <c r="E151" s="196"/>
      <c r="F151" s="16"/>
      <c r="G151" s="24"/>
      <c r="H151" s="24"/>
      <c r="I151" s="16"/>
      <c r="J151" s="16"/>
      <c r="K151" s="16"/>
      <c r="L151" s="16"/>
      <c r="M151" s="16"/>
      <c r="N151" s="16"/>
      <c r="O151" s="16"/>
      <c r="P151" s="16"/>
      <c r="Q151" s="16"/>
      <c r="R151" s="16"/>
      <c r="S151" s="16"/>
      <c r="T151" s="16"/>
      <c r="U151" s="16"/>
      <c r="V151" s="16"/>
      <c r="W151" s="16"/>
      <c r="X151" s="16"/>
      <c r="Y151" s="16"/>
      <c r="Z151" s="16"/>
      <c r="AA151" s="16"/>
      <c r="AB151" s="16"/>
      <c r="AC151" s="16"/>
      <c r="AD151" s="16"/>
    </row>
    <row r="152" spans="1:30" ht="12.9">
      <c r="A152" s="16"/>
      <c r="B152" s="24"/>
      <c r="C152" s="196"/>
      <c r="D152" s="196"/>
      <c r="E152" s="196"/>
      <c r="F152" s="16"/>
      <c r="G152" s="24"/>
      <c r="H152" s="24"/>
      <c r="I152" s="16"/>
      <c r="J152" s="16"/>
      <c r="K152" s="16"/>
      <c r="L152" s="16"/>
      <c r="M152" s="16"/>
      <c r="N152" s="16"/>
      <c r="O152" s="16"/>
      <c r="P152" s="16"/>
      <c r="Q152" s="16"/>
      <c r="R152" s="16"/>
      <c r="S152" s="16"/>
      <c r="T152" s="16"/>
      <c r="U152" s="16"/>
      <c r="V152" s="16"/>
      <c r="W152" s="16"/>
      <c r="X152" s="16"/>
      <c r="Y152" s="16"/>
      <c r="Z152" s="16"/>
      <c r="AA152" s="16"/>
      <c r="AB152" s="16"/>
      <c r="AC152" s="16"/>
      <c r="AD152" s="16"/>
    </row>
    <row r="153" spans="1:30" ht="12.9">
      <c r="A153" s="16"/>
      <c r="B153" s="24"/>
      <c r="C153" s="196"/>
      <c r="D153" s="196"/>
      <c r="E153" s="196"/>
      <c r="F153" s="16"/>
      <c r="G153" s="24"/>
      <c r="H153" s="24"/>
      <c r="I153" s="16"/>
      <c r="J153" s="16"/>
      <c r="K153" s="16"/>
      <c r="L153" s="16"/>
      <c r="M153" s="16"/>
      <c r="N153" s="16"/>
      <c r="O153" s="16"/>
      <c r="P153" s="16"/>
      <c r="Q153" s="16"/>
      <c r="R153" s="16"/>
      <c r="S153" s="16"/>
      <c r="T153" s="16"/>
      <c r="U153" s="16"/>
      <c r="V153" s="16"/>
      <c r="W153" s="16"/>
      <c r="X153" s="16"/>
      <c r="Y153" s="16"/>
      <c r="Z153" s="16"/>
      <c r="AA153" s="16"/>
      <c r="AB153" s="16"/>
      <c r="AC153" s="16"/>
      <c r="AD153" s="16"/>
    </row>
    <row r="154" spans="1:30" ht="12.9">
      <c r="A154" s="16"/>
      <c r="B154" s="24"/>
      <c r="C154" s="196"/>
      <c r="D154" s="196"/>
      <c r="E154" s="196"/>
      <c r="F154" s="16"/>
      <c r="G154" s="24"/>
      <c r="H154" s="24"/>
      <c r="I154" s="16"/>
      <c r="J154" s="16"/>
      <c r="K154" s="16"/>
      <c r="L154" s="16"/>
      <c r="M154" s="16"/>
      <c r="N154" s="16"/>
      <c r="O154" s="16"/>
      <c r="P154" s="16"/>
      <c r="Q154" s="16"/>
      <c r="R154" s="16"/>
      <c r="S154" s="16"/>
      <c r="T154" s="16"/>
      <c r="U154" s="16"/>
      <c r="V154" s="16"/>
      <c r="W154" s="16"/>
      <c r="X154" s="16"/>
      <c r="Y154" s="16"/>
      <c r="Z154" s="16"/>
      <c r="AA154" s="16"/>
      <c r="AB154" s="16"/>
      <c r="AC154" s="16"/>
      <c r="AD154" s="16"/>
    </row>
    <row r="155" spans="1:30" ht="12.9">
      <c r="A155" s="16"/>
      <c r="B155" s="24"/>
      <c r="C155" s="196"/>
      <c r="D155" s="196"/>
      <c r="E155" s="196"/>
      <c r="F155" s="16"/>
      <c r="G155" s="24"/>
      <c r="H155" s="24"/>
      <c r="I155" s="16"/>
      <c r="J155" s="16"/>
      <c r="K155" s="16"/>
      <c r="L155" s="16"/>
      <c r="M155" s="16"/>
      <c r="N155" s="16"/>
      <c r="O155" s="16"/>
      <c r="P155" s="16"/>
      <c r="Q155" s="16"/>
      <c r="R155" s="16"/>
      <c r="S155" s="16"/>
      <c r="T155" s="16"/>
      <c r="U155" s="16"/>
      <c r="V155" s="16"/>
      <c r="W155" s="16"/>
      <c r="X155" s="16"/>
      <c r="Y155" s="16"/>
      <c r="Z155" s="16"/>
      <c r="AA155" s="16"/>
      <c r="AB155" s="16"/>
      <c r="AC155" s="16"/>
      <c r="AD155" s="16"/>
    </row>
    <row r="156" spans="1:30" ht="12.9">
      <c r="A156" s="16"/>
      <c r="B156" s="24"/>
      <c r="C156" s="196"/>
      <c r="D156" s="196"/>
      <c r="E156" s="196"/>
      <c r="F156" s="16"/>
      <c r="G156" s="24"/>
      <c r="H156" s="24"/>
      <c r="I156" s="16"/>
      <c r="J156" s="16"/>
      <c r="K156" s="16"/>
      <c r="L156" s="16"/>
      <c r="M156" s="16"/>
      <c r="N156" s="16"/>
      <c r="O156" s="16"/>
      <c r="P156" s="16"/>
      <c r="Q156" s="16"/>
      <c r="R156" s="16"/>
      <c r="S156" s="16"/>
      <c r="T156" s="16"/>
      <c r="U156" s="16"/>
      <c r="V156" s="16"/>
      <c r="W156" s="16"/>
      <c r="X156" s="16"/>
      <c r="Y156" s="16"/>
      <c r="Z156" s="16"/>
      <c r="AA156" s="16"/>
      <c r="AB156" s="16"/>
      <c r="AC156" s="16"/>
      <c r="AD156" s="16"/>
    </row>
    <row r="157" spans="1:30" ht="12.9">
      <c r="A157" s="16"/>
      <c r="B157" s="24"/>
      <c r="C157" s="196"/>
      <c r="D157" s="196"/>
      <c r="E157" s="196"/>
      <c r="F157" s="16"/>
      <c r="G157" s="24"/>
      <c r="H157" s="24"/>
      <c r="I157" s="16"/>
      <c r="J157" s="16"/>
      <c r="K157" s="16"/>
      <c r="L157" s="16"/>
      <c r="M157" s="16"/>
      <c r="N157" s="16"/>
      <c r="O157" s="16"/>
      <c r="P157" s="16"/>
      <c r="Q157" s="16"/>
      <c r="R157" s="16"/>
      <c r="S157" s="16"/>
      <c r="T157" s="16"/>
      <c r="U157" s="16"/>
      <c r="V157" s="16"/>
      <c r="W157" s="16"/>
      <c r="X157" s="16"/>
      <c r="Y157" s="16"/>
      <c r="Z157" s="16"/>
      <c r="AA157" s="16"/>
      <c r="AB157" s="16"/>
      <c r="AC157" s="16"/>
      <c r="AD157" s="16"/>
    </row>
    <row r="158" spans="1:30" ht="12.9">
      <c r="A158" s="16"/>
      <c r="B158" s="24"/>
      <c r="C158" s="196"/>
      <c r="D158" s="196"/>
      <c r="E158" s="196"/>
      <c r="F158" s="16"/>
      <c r="G158" s="24"/>
      <c r="H158" s="24"/>
      <c r="I158" s="16"/>
      <c r="J158" s="16"/>
      <c r="K158" s="16"/>
      <c r="L158" s="16"/>
      <c r="M158" s="16"/>
      <c r="N158" s="16"/>
      <c r="O158" s="16"/>
      <c r="P158" s="16"/>
      <c r="Q158" s="16"/>
      <c r="R158" s="16"/>
      <c r="S158" s="16"/>
      <c r="T158" s="16"/>
      <c r="U158" s="16"/>
      <c r="V158" s="16"/>
      <c r="W158" s="16"/>
      <c r="X158" s="16"/>
      <c r="Y158" s="16"/>
      <c r="Z158" s="16"/>
      <c r="AA158" s="16"/>
      <c r="AB158" s="16"/>
      <c r="AC158" s="16"/>
      <c r="AD158" s="16"/>
    </row>
    <row r="159" spans="1:30" ht="12.9">
      <c r="A159" s="16"/>
      <c r="B159" s="24"/>
      <c r="C159" s="196"/>
      <c r="D159" s="196"/>
      <c r="E159" s="196"/>
      <c r="F159" s="16"/>
      <c r="G159" s="24"/>
      <c r="H159" s="24"/>
      <c r="I159" s="16"/>
      <c r="J159" s="16"/>
      <c r="K159" s="16"/>
      <c r="L159" s="16"/>
      <c r="M159" s="16"/>
      <c r="N159" s="16"/>
      <c r="O159" s="16"/>
      <c r="P159" s="16"/>
      <c r="Q159" s="16"/>
      <c r="R159" s="16"/>
      <c r="S159" s="16"/>
      <c r="T159" s="16"/>
      <c r="U159" s="16"/>
      <c r="V159" s="16"/>
      <c r="W159" s="16"/>
      <c r="X159" s="16"/>
      <c r="Y159" s="16"/>
      <c r="Z159" s="16"/>
      <c r="AA159" s="16"/>
      <c r="AB159" s="16"/>
      <c r="AC159" s="16"/>
      <c r="AD159" s="16"/>
    </row>
    <row r="160" spans="1:30" ht="12.9">
      <c r="A160" s="16"/>
      <c r="B160" s="24"/>
      <c r="C160" s="196"/>
      <c r="D160" s="196"/>
      <c r="E160" s="196"/>
      <c r="F160" s="16"/>
      <c r="G160" s="24"/>
      <c r="H160" s="24"/>
      <c r="I160" s="16"/>
      <c r="J160" s="16"/>
      <c r="K160" s="16"/>
      <c r="L160" s="16"/>
      <c r="M160" s="16"/>
      <c r="N160" s="16"/>
      <c r="O160" s="16"/>
      <c r="P160" s="16"/>
      <c r="Q160" s="16"/>
      <c r="R160" s="16"/>
      <c r="S160" s="16"/>
      <c r="T160" s="16"/>
      <c r="U160" s="16"/>
      <c r="V160" s="16"/>
      <c r="W160" s="16"/>
      <c r="X160" s="16"/>
      <c r="Y160" s="16"/>
      <c r="Z160" s="16"/>
      <c r="AA160" s="16"/>
      <c r="AB160" s="16"/>
      <c r="AC160" s="16"/>
      <c r="AD160" s="16"/>
    </row>
    <row r="161" spans="1:30" ht="12.9">
      <c r="A161" s="16"/>
      <c r="B161" s="24"/>
      <c r="C161" s="196"/>
      <c r="D161" s="196"/>
      <c r="E161" s="196"/>
      <c r="F161" s="16"/>
      <c r="G161" s="24"/>
      <c r="H161" s="24"/>
      <c r="I161" s="16"/>
      <c r="J161" s="16"/>
      <c r="K161" s="16"/>
      <c r="L161" s="16"/>
      <c r="M161" s="16"/>
      <c r="N161" s="16"/>
      <c r="O161" s="16"/>
      <c r="P161" s="16"/>
      <c r="Q161" s="16"/>
      <c r="R161" s="16"/>
      <c r="S161" s="16"/>
      <c r="T161" s="16"/>
      <c r="U161" s="16"/>
      <c r="V161" s="16"/>
      <c r="W161" s="16"/>
      <c r="X161" s="16"/>
      <c r="Y161" s="16"/>
      <c r="Z161" s="16"/>
      <c r="AA161" s="16"/>
      <c r="AB161" s="16"/>
      <c r="AC161" s="16"/>
      <c r="AD161" s="16"/>
    </row>
    <row r="162" spans="1:30" ht="12.9">
      <c r="A162" s="16"/>
      <c r="B162" s="24"/>
      <c r="C162" s="196"/>
      <c r="D162" s="196"/>
      <c r="E162" s="196"/>
      <c r="F162" s="16"/>
      <c r="G162" s="24"/>
      <c r="H162" s="24"/>
      <c r="I162" s="16"/>
      <c r="J162" s="16"/>
      <c r="K162" s="16"/>
      <c r="L162" s="16"/>
      <c r="M162" s="16"/>
      <c r="N162" s="16"/>
      <c r="O162" s="16"/>
      <c r="P162" s="16"/>
      <c r="Q162" s="16"/>
      <c r="R162" s="16"/>
      <c r="S162" s="16"/>
      <c r="T162" s="16"/>
      <c r="U162" s="16"/>
      <c r="V162" s="16"/>
      <c r="W162" s="16"/>
      <c r="X162" s="16"/>
      <c r="Y162" s="16"/>
      <c r="Z162" s="16"/>
      <c r="AA162" s="16"/>
      <c r="AB162" s="16"/>
      <c r="AC162" s="16"/>
      <c r="AD162" s="16"/>
    </row>
    <row r="163" spans="1:30" ht="12.9">
      <c r="A163" s="16"/>
      <c r="B163" s="24"/>
      <c r="C163" s="196"/>
      <c r="D163" s="196"/>
      <c r="E163" s="196"/>
      <c r="F163" s="16"/>
      <c r="G163" s="24"/>
      <c r="H163" s="24"/>
      <c r="I163" s="16"/>
      <c r="J163" s="16"/>
      <c r="K163" s="16"/>
      <c r="L163" s="16"/>
      <c r="M163" s="16"/>
      <c r="N163" s="16"/>
      <c r="O163" s="16"/>
      <c r="P163" s="16"/>
      <c r="Q163" s="16"/>
      <c r="R163" s="16"/>
      <c r="S163" s="16"/>
      <c r="T163" s="16"/>
      <c r="U163" s="16"/>
      <c r="V163" s="16"/>
      <c r="W163" s="16"/>
      <c r="X163" s="16"/>
      <c r="Y163" s="16"/>
      <c r="Z163" s="16"/>
      <c r="AA163" s="16"/>
      <c r="AB163" s="16"/>
      <c r="AC163" s="16"/>
      <c r="AD163" s="16"/>
    </row>
    <row r="164" spans="1:30" ht="12.9">
      <c r="A164" s="16"/>
      <c r="B164" s="24"/>
      <c r="C164" s="196"/>
      <c r="D164" s="196"/>
      <c r="E164" s="196"/>
      <c r="F164" s="16"/>
      <c r="G164" s="24"/>
      <c r="H164" s="24"/>
      <c r="I164" s="16"/>
      <c r="J164" s="16"/>
      <c r="K164" s="16"/>
      <c r="L164" s="16"/>
      <c r="M164" s="16"/>
      <c r="N164" s="16"/>
      <c r="O164" s="16"/>
      <c r="P164" s="16"/>
      <c r="Q164" s="16"/>
      <c r="R164" s="16"/>
      <c r="S164" s="16"/>
      <c r="T164" s="16"/>
      <c r="U164" s="16"/>
      <c r="V164" s="16"/>
      <c r="W164" s="16"/>
      <c r="X164" s="16"/>
      <c r="Y164" s="16"/>
      <c r="Z164" s="16"/>
      <c r="AA164" s="16"/>
      <c r="AB164" s="16"/>
      <c r="AC164" s="16"/>
      <c r="AD164" s="16"/>
    </row>
    <row r="165" spans="1:30" ht="12.9">
      <c r="A165" s="16"/>
      <c r="B165" s="24"/>
      <c r="C165" s="196"/>
      <c r="D165" s="196"/>
      <c r="E165" s="196"/>
      <c r="F165" s="16"/>
      <c r="G165" s="24"/>
      <c r="H165" s="24"/>
      <c r="I165" s="16"/>
      <c r="J165" s="16"/>
      <c r="K165" s="16"/>
      <c r="L165" s="16"/>
      <c r="M165" s="16"/>
      <c r="N165" s="16"/>
      <c r="O165" s="16"/>
      <c r="P165" s="16"/>
      <c r="Q165" s="16"/>
      <c r="R165" s="16"/>
      <c r="S165" s="16"/>
      <c r="T165" s="16"/>
      <c r="U165" s="16"/>
      <c r="V165" s="16"/>
      <c r="W165" s="16"/>
      <c r="X165" s="16"/>
      <c r="Y165" s="16"/>
      <c r="Z165" s="16"/>
      <c r="AA165" s="16"/>
      <c r="AB165" s="16"/>
      <c r="AC165" s="16"/>
      <c r="AD165" s="16"/>
    </row>
    <row r="166" spans="1:30" ht="12.9">
      <c r="A166" s="16"/>
      <c r="B166" s="24"/>
      <c r="C166" s="196"/>
      <c r="D166" s="196"/>
      <c r="E166" s="196"/>
      <c r="F166" s="16"/>
      <c r="G166" s="24"/>
      <c r="H166" s="24"/>
      <c r="I166" s="16"/>
      <c r="J166" s="16"/>
      <c r="K166" s="16"/>
      <c r="L166" s="16"/>
      <c r="M166" s="16"/>
      <c r="N166" s="16"/>
      <c r="O166" s="16"/>
      <c r="P166" s="16"/>
      <c r="Q166" s="16"/>
      <c r="R166" s="16"/>
      <c r="S166" s="16"/>
      <c r="T166" s="16"/>
      <c r="U166" s="16"/>
      <c r="V166" s="16"/>
      <c r="W166" s="16"/>
      <c r="X166" s="16"/>
      <c r="Y166" s="16"/>
      <c r="Z166" s="16"/>
      <c r="AA166" s="16"/>
      <c r="AB166" s="16"/>
      <c r="AC166" s="16"/>
      <c r="AD166" s="16"/>
    </row>
    <row r="167" spans="1:30" ht="12.9">
      <c r="A167" s="16"/>
      <c r="B167" s="24"/>
      <c r="C167" s="196"/>
      <c r="D167" s="196"/>
      <c r="E167" s="196"/>
      <c r="F167" s="16"/>
      <c r="G167" s="24"/>
      <c r="H167" s="24"/>
      <c r="I167" s="16"/>
      <c r="J167" s="16"/>
      <c r="K167" s="16"/>
      <c r="L167" s="16"/>
      <c r="M167" s="16"/>
      <c r="N167" s="16"/>
      <c r="O167" s="16"/>
      <c r="P167" s="16"/>
      <c r="Q167" s="16"/>
      <c r="R167" s="16"/>
      <c r="S167" s="16"/>
      <c r="T167" s="16"/>
      <c r="U167" s="16"/>
      <c r="V167" s="16"/>
      <c r="W167" s="16"/>
      <c r="X167" s="16"/>
      <c r="Y167" s="16"/>
      <c r="Z167" s="16"/>
      <c r="AA167" s="16"/>
      <c r="AB167" s="16"/>
      <c r="AC167" s="16"/>
      <c r="AD167" s="16"/>
    </row>
    <row r="168" spans="1:30" ht="12.9">
      <c r="A168" s="16"/>
      <c r="B168" s="24"/>
      <c r="C168" s="196"/>
      <c r="D168" s="196"/>
      <c r="E168" s="196"/>
      <c r="F168" s="16"/>
      <c r="G168" s="24"/>
      <c r="H168" s="24"/>
      <c r="I168" s="16"/>
      <c r="J168" s="16"/>
      <c r="K168" s="16"/>
      <c r="L168" s="16"/>
      <c r="M168" s="16"/>
      <c r="N168" s="16"/>
      <c r="O168" s="16"/>
      <c r="P168" s="16"/>
      <c r="Q168" s="16"/>
      <c r="R168" s="16"/>
      <c r="S168" s="16"/>
      <c r="T168" s="16"/>
      <c r="U168" s="16"/>
      <c r="V168" s="16"/>
      <c r="W168" s="16"/>
      <c r="X168" s="16"/>
      <c r="Y168" s="16"/>
      <c r="Z168" s="16"/>
      <c r="AA168" s="16"/>
      <c r="AB168" s="16"/>
      <c r="AC168" s="16"/>
      <c r="AD168" s="16"/>
    </row>
    <row r="169" spans="1:30" ht="12.9">
      <c r="A169" s="16"/>
      <c r="B169" s="24"/>
      <c r="C169" s="196"/>
      <c r="D169" s="196"/>
      <c r="E169" s="196"/>
      <c r="F169" s="16"/>
      <c r="G169" s="24"/>
      <c r="H169" s="24"/>
      <c r="I169" s="16"/>
      <c r="J169" s="16"/>
      <c r="K169" s="16"/>
      <c r="L169" s="16"/>
      <c r="M169" s="16"/>
      <c r="N169" s="16"/>
      <c r="O169" s="16"/>
      <c r="P169" s="16"/>
      <c r="Q169" s="16"/>
      <c r="R169" s="16"/>
      <c r="S169" s="16"/>
      <c r="T169" s="16"/>
      <c r="U169" s="16"/>
      <c r="V169" s="16"/>
      <c r="W169" s="16"/>
      <c r="X169" s="16"/>
      <c r="Y169" s="16"/>
      <c r="Z169" s="16"/>
      <c r="AA169" s="16"/>
      <c r="AB169" s="16"/>
      <c r="AC169" s="16"/>
      <c r="AD169" s="16"/>
    </row>
    <row r="170" spans="1:30" ht="12.9">
      <c r="A170" s="16"/>
      <c r="B170" s="24"/>
      <c r="C170" s="196"/>
      <c r="D170" s="196"/>
      <c r="E170" s="196"/>
      <c r="F170" s="16"/>
      <c r="G170" s="24"/>
      <c r="H170" s="24"/>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2.9">
      <c r="A171" s="16"/>
      <c r="B171" s="24"/>
      <c r="C171" s="196"/>
      <c r="D171" s="196"/>
      <c r="E171" s="196"/>
      <c r="F171" s="16"/>
      <c r="G171" s="24"/>
      <c r="H171" s="24"/>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2.9">
      <c r="A172" s="16"/>
      <c r="B172" s="24"/>
      <c r="C172" s="196"/>
      <c r="D172" s="196"/>
      <c r="E172" s="196"/>
      <c r="F172" s="16"/>
      <c r="G172" s="24"/>
      <c r="H172" s="24"/>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2.9">
      <c r="A173" s="16"/>
      <c r="B173" s="24"/>
      <c r="C173" s="196"/>
      <c r="D173" s="196"/>
      <c r="E173" s="196"/>
      <c r="F173" s="16"/>
      <c r="G173" s="24"/>
      <c r="H173" s="24"/>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2.9">
      <c r="A174" s="16"/>
      <c r="B174" s="24"/>
      <c r="C174" s="196"/>
      <c r="D174" s="196"/>
      <c r="E174" s="196"/>
      <c r="F174" s="16"/>
      <c r="G174" s="24"/>
      <c r="H174" s="24"/>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2.9">
      <c r="A175" s="16"/>
      <c r="B175" s="24"/>
      <c r="C175" s="196"/>
      <c r="D175" s="196"/>
      <c r="E175" s="196"/>
      <c r="F175" s="16"/>
      <c r="G175" s="24"/>
      <c r="H175" s="24"/>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2.9">
      <c r="A176" s="16"/>
      <c r="B176" s="24"/>
      <c r="C176" s="196"/>
      <c r="D176" s="196"/>
      <c r="E176" s="196"/>
      <c r="F176" s="16"/>
      <c r="G176" s="24"/>
      <c r="H176" s="24"/>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2.9">
      <c r="A177" s="16"/>
      <c r="B177" s="24"/>
      <c r="C177" s="196"/>
      <c r="D177" s="196"/>
      <c r="E177" s="196"/>
      <c r="F177" s="16"/>
      <c r="G177" s="24"/>
      <c r="H177" s="24"/>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2.9">
      <c r="A178" s="16"/>
      <c r="B178" s="24"/>
      <c r="C178" s="196"/>
      <c r="D178" s="196"/>
      <c r="E178" s="196"/>
      <c r="F178" s="16"/>
      <c r="G178" s="24"/>
      <c r="H178" s="24"/>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2.9">
      <c r="A179" s="16"/>
      <c r="B179" s="24"/>
      <c r="C179" s="196"/>
      <c r="D179" s="196"/>
      <c r="E179" s="196"/>
      <c r="F179" s="16"/>
      <c r="G179" s="24"/>
      <c r="H179" s="24"/>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2.9">
      <c r="A180" s="16"/>
      <c r="B180" s="24"/>
      <c r="C180" s="196"/>
      <c r="D180" s="196"/>
      <c r="E180" s="196"/>
      <c r="F180" s="16"/>
      <c r="G180" s="24"/>
      <c r="H180" s="24"/>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2.9">
      <c r="A181" s="16"/>
      <c r="B181" s="24"/>
      <c r="C181" s="196"/>
      <c r="D181" s="196"/>
      <c r="E181" s="196"/>
      <c r="F181" s="16"/>
      <c r="G181" s="24"/>
      <c r="H181" s="24"/>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2.9">
      <c r="A182" s="16"/>
      <c r="B182" s="24"/>
      <c r="C182" s="196"/>
      <c r="D182" s="196"/>
      <c r="E182" s="196"/>
      <c r="F182" s="16"/>
      <c r="G182" s="24"/>
      <c r="H182" s="24"/>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2.9">
      <c r="A183" s="16"/>
      <c r="B183" s="24"/>
      <c r="C183" s="196"/>
      <c r="D183" s="196"/>
      <c r="E183" s="196"/>
      <c r="F183" s="16"/>
      <c r="G183" s="24"/>
      <c r="H183" s="24"/>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2.9">
      <c r="A184" s="16"/>
      <c r="B184" s="24"/>
      <c r="C184" s="196"/>
      <c r="D184" s="196"/>
      <c r="E184" s="196"/>
      <c r="F184" s="16"/>
      <c r="G184" s="24"/>
      <c r="H184" s="24"/>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2.9">
      <c r="A185" s="16"/>
      <c r="B185" s="24"/>
      <c r="C185" s="196"/>
      <c r="D185" s="196"/>
      <c r="E185" s="196"/>
      <c r="F185" s="16"/>
      <c r="G185" s="24"/>
      <c r="H185" s="24"/>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2.9">
      <c r="A186" s="16"/>
      <c r="B186" s="24"/>
      <c r="C186" s="196"/>
      <c r="D186" s="196"/>
      <c r="E186" s="196"/>
      <c r="F186" s="16"/>
      <c r="G186" s="24"/>
      <c r="H186" s="24"/>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2.9">
      <c r="A187" s="16"/>
      <c r="B187" s="24"/>
      <c r="C187" s="196"/>
      <c r="D187" s="196"/>
      <c r="E187" s="196"/>
      <c r="F187" s="16"/>
      <c r="G187" s="24"/>
      <c r="H187" s="24"/>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2.9">
      <c r="A188" s="16"/>
      <c r="B188" s="24"/>
      <c r="C188" s="196"/>
      <c r="D188" s="196"/>
      <c r="E188" s="196"/>
      <c r="F188" s="16"/>
      <c r="G188" s="24"/>
      <c r="H188" s="24"/>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2.9">
      <c r="A189" s="16"/>
      <c r="B189" s="24"/>
      <c r="C189" s="196"/>
      <c r="D189" s="196"/>
      <c r="E189" s="196"/>
      <c r="F189" s="16"/>
      <c r="G189" s="24"/>
      <c r="H189" s="24"/>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2.9">
      <c r="A190" s="16"/>
      <c r="B190" s="24"/>
      <c r="C190" s="196"/>
      <c r="D190" s="196"/>
      <c r="E190" s="196"/>
      <c r="F190" s="16"/>
      <c r="G190" s="24"/>
      <c r="H190" s="24"/>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2.9">
      <c r="A191" s="16"/>
      <c r="B191" s="24"/>
      <c r="C191" s="196"/>
      <c r="D191" s="196"/>
      <c r="E191" s="196"/>
      <c r="F191" s="16"/>
      <c r="G191" s="24"/>
      <c r="H191" s="24"/>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2.9">
      <c r="A192" s="16"/>
      <c r="B192" s="24"/>
      <c r="C192" s="196"/>
      <c r="D192" s="196"/>
      <c r="E192" s="196"/>
      <c r="F192" s="16"/>
      <c r="G192" s="24"/>
      <c r="H192" s="24"/>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2.9">
      <c r="A193" s="16"/>
      <c r="B193" s="24"/>
      <c r="C193" s="196"/>
      <c r="D193" s="196"/>
      <c r="E193" s="196"/>
      <c r="F193" s="16"/>
      <c r="G193" s="24"/>
      <c r="H193" s="24"/>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2.9">
      <c r="A194" s="16"/>
      <c r="B194" s="24"/>
      <c r="C194" s="196"/>
      <c r="D194" s="196"/>
      <c r="E194" s="196"/>
      <c r="F194" s="16"/>
      <c r="G194" s="24"/>
      <c r="H194" s="24"/>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2.9">
      <c r="A195" s="16"/>
      <c r="B195" s="24"/>
      <c r="C195" s="196"/>
      <c r="D195" s="196"/>
      <c r="E195" s="196"/>
      <c r="F195" s="16"/>
      <c r="G195" s="24"/>
      <c r="H195" s="24"/>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2.9">
      <c r="A196" s="16"/>
      <c r="B196" s="24"/>
      <c r="C196" s="196"/>
      <c r="D196" s="196"/>
      <c r="E196" s="196"/>
      <c r="F196" s="16"/>
      <c r="G196" s="24"/>
      <c r="H196" s="24"/>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2.9">
      <c r="A197" s="16"/>
      <c r="B197" s="24"/>
      <c r="C197" s="196"/>
      <c r="D197" s="196"/>
      <c r="E197" s="196"/>
      <c r="F197" s="16"/>
      <c r="G197" s="24"/>
      <c r="H197" s="24"/>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2.9">
      <c r="A198" s="16"/>
      <c r="B198" s="24"/>
      <c r="C198" s="196"/>
      <c r="D198" s="196"/>
      <c r="E198" s="196"/>
      <c r="F198" s="16"/>
      <c r="G198" s="24"/>
      <c r="H198" s="24"/>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2.9">
      <c r="A199" s="16"/>
      <c r="B199" s="24"/>
      <c r="C199" s="196"/>
      <c r="D199" s="196"/>
      <c r="E199" s="196"/>
      <c r="F199" s="16"/>
      <c r="G199" s="24"/>
      <c r="H199" s="24"/>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2.9">
      <c r="A200" s="16"/>
      <c r="B200" s="24"/>
      <c r="C200" s="196"/>
      <c r="D200" s="196"/>
      <c r="E200" s="196"/>
      <c r="F200" s="16"/>
      <c r="G200" s="24"/>
      <c r="H200" s="24"/>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2.9">
      <c r="A201" s="16"/>
      <c r="B201" s="24"/>
      <c r="C201" s="196"/>
      <c r="D201" s="196"/>
      <c r="E201" s="196"/>
      <c r="F201" s="16"/>
      <c r="G201" s="24"/>
      <c r="H201" s="24"/>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2.9">
      <c r="A202" s="16"/>
      <c r="B202" s="24"/>
      <c r="C202" s="196"/>
      <c r="D202" s="196"/>
      <c r="E202" s="196"/>
      <c r="F202" s="16"/>
      <c r="G202" s="24"/>
      <c r="H202" s="24"/>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2.9">
      <c r="A203" s="16"/>
      <c r="B203" s="24"/>
      <c r="C203" s="196"/>
      <c r="D203" s="196"/>
      <c r="E203" s="196"/>
      <c r="F203" s="16"/>
      <c r="G203" s="24"/>
      <c r="H203" s="24"/>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2.9">
      <c r="A204" s="16"/>
      <c r="B204" s="24"/>
      <c r="C204" s="196"/>
      <c r="D204" s="196"/>
      <c r="E204" s="196"/>
      <c r="F204" s="16"/>
      <c r="G204" s="24"/>
      <c r="H204" s="24"/>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2.9">
      <c r="A205" s="16"/>
      <c r="B205" s="24"/>
      <c r="C205" s="196"/>
      <c r="D205" s="196"/>
      <c r="E205" s="196"/>
      <c r="F205" s="16"/>
      <c r="G205" s="24"/>
      <c r="H205" s="24"/>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2.9">
      <c r="A206" s="16"/>
      <c r="B206" s="24"/>
      <c r="C206" s="196"/>
      <c r="D206" s="196"/>
      <c r="E206" s="196"/>
      <c r="F206" s="16"/>
      <c r="G206" s="24"/>
      <c r="H206" s="24"/>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2.9">
      <c r="A207" s="16"/>
      <c r="B207" s="24"/>
      <c r="C207" s="196"/>
      <c r="D207" s="196"/>
      <c r="E207" s="196"/>
      <c r="F207" s="16"/>
      <c r="G207" s="24"/>
      <c r="H207" s="24"/>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2.9">
      <c r="A208" s="16"/>
      <c r="B208" s="24"/>
      <c r="C208" s="196"/>
      <c r="D208" s="196"/>
      <c r="E208" s="196"/>
      <c r="F208" s="16"/>
      <c r="G208" s="24"/>
      <c r="H208" s="24"/>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2.9">
      <c r="A209" s="16"/>
      <c r="B209" s="24"/>
      <c r="C209" s="196"/>
      <c r="D209" s="196"/>
      <c r="E209" s="196"/>
      <c r="F209" s="16"/>
      <c r="G209" s="24"/>
      <c r="H209" s="24"/>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2.9">
      <c r="A210" s="16"/>
      <c r="B210" s="24"/>
      <c r="C210" s="196"/>
      <c r="D210" s="196"/>
      <c r="E210" s="196"/>
      <c r="F210" s="16"/>
      <c r="G210" s="24"/>
      <c r="H210" s="24"/>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2.9">
      <c r="A211" s="16"/>
      <c r="B211" s="24"/>
      <c r="C211" s="196"/>
      <c r="D211" s="196"/>
      <c r="E211" s="196"/>
      <c r="F211" s="16"/>
      <c r="G211" s="24"/>
      <c r="H211" s="24"/>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2.9">
      <c r="A212" s="16"/>
      <c r="B212" s="24"/>
      <c r="C212" s="196"/>
      <c r="D212" s="196"/>
      <c r="E212" s="196"/>
      <c r="F212" s="16"/>
      <c r="G212" s="24"/>
      <c r="H212" s="24"/>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2.9">
      <c r="A213" s="16"/>
      <c r="B213" s="24"/>
      <c r="C213" s="196"/>
      <c r="D213" s="196"/>
      <c r="E213" s="196"/>
      <c r="F213" s="16"/>
      <c r="G213" s="24"/>
      <c r="H213" s="24"/>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2.9">
      <c r="A214" s="16"/>
      <c r="B214" s="24"/>
      <c r="C214" s="196"/>
      <c r="D214" s="196"/>
      <c r="E214" s="196"/>
      <c r="F214" s="16"/>
      <c r="G214" s="24"/>
      <c r="H214" s="24"/>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2.9">
      <c r="A215" s="16"/>
      <c r="B215" s="24"/>
      <c r="C215" s="196"/>
      <c r="D215" s="196"/>
      <c r="E215" s="196"/>
      <c r="F215" s="16"/>
      <c r="G215" s="24"/>
      <c r="H215" s="24"/>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2.9">
      <c r="A216" s="16"/>
      <c r="B216" s="24"/>
      <c r="C216" s="196"/>
      <c r="D216" s="196"/>
      <c r="E216" s="196"/>
      <c r="F216" s="16"/>
      <c r="G216" s="24"/>
      <c r="H216" s="24"/>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2.9">
      <c r="A217" s="16"/>
      <c r="B217" s="24"/>
      <c r="C217" s="196"/>
      <c r="D217" s="196"/>
      <c r="E217" s="196"/>
      <c r="F217" s="16"/>
      <c r="G217" s="24"/>
      <c r="H217" s="24"/>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2.9">
      <c r="A218" s="16"/>
      <c r="B218" s="24"/>
      <c r="C218" s="196"/>
      <c r="D218" s="196"/>
      <c r="E218" s="196"/>
      <c r="F218" s="16"/>
      <c r="G218" s="24"/>
      <c r="H218" s="24"/>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2.9">
      <c r="A219" s="16"/>
      <c r="B219" s="24"/>
      <c r="C219" s="196"/>
      <c r="D219" s="196"/>
      <c r="E219" s="196"/>
      <c r="F219" s="16"/>
      <c r="G219" s="24"/>
      <c r="H219" s="24"/>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2.9">
      <c r="A220" s="16"/>
      <c r="B220" s="24"/>
      <c r="C220" s="196"/>
      <c r="D220" s="196"/>
      <c r="E220" s="196"/>
      <c r="F220" s="16"/>
      <c r="G220" s="24"/>
      <c r="H220" s="24"/>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2.9">
      <c r="A221" s="16"/>
      <c r="B221" s="24"/>
      <c r="C221" s="196"/>
      <c r="D221" s="196"/>
      <c r="E221" s="196"/>
      <c r="F221" s="16"/>
      <c r="G221" s="24"/>
      <c r="H221" s="24"/>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2.9">
      <c r="A222" s="16"/>
      <c r="B222" s="24"/>
      <c r="C222" s="196"/>
      <c r="D222" s="196"/>
      <c r="E222" s="196"/>
      <c r="F222" s="16"/>
      <c r="G222" s="24"/>
      <c r="H222" s="24"/>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2.9">
      <c r="A223" s="16"/>
      <c r="B223" s="24"/>
      <c r="C223" s="196"/>
      <c r="D223" s="196"/>
      <c r="E223" s="196"/>
      <c r="F223" s="16"/>
      <c r="G223" s="24"/>
      <c r="H223" s="24"/>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2.9">
      <c r="A224" s="16"/>
      <c r="B224" s="24"/>
      <c r="C224" s="196"/>
      <c r="D224" s="196"/>
      <c r="E224" s="196"/>
      <c r="F224" s="16"/>
      <c r="G224" s="24"/>
      <c r="H224" s="24"/>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2.9">
      <c r="A225" s="16"/>
      <c r="B225" s="24"/>
      <c r="C225" s="196"/>
      <c r="D225" s="196"/>
      <c r="E225" s="196"/>
      <c r="F225" s="16"/>
      <c r="G225" s="24"/>
      <c r="H225" s="24"/>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2.9">
      <c r="A226" s="16"/>
      <c r="B226" s="24"/>
      <c r="C226" s="196"/>
      <c r="D226" s="196"/>
      <c r="E226" s="196"/>
      <c r="F226" s="16"/>
      <c r="G226" s="24"/>
      <c r="H226" s="24"/>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2.9">
      <c r="A227" s="16"/>
      <c r="B227" s="24"/>
      <c r="C227" s="196"/>
      <c r="D227" s="196"/>
      <c r="E227" s="196"/>
      <c r="F227" s="16"/>
      <c r="G227" s="24"/>
      <c r="H227" s="24"/>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2.9">
      <c r="A228" s="16"/>
      <c r="B228" s="24"/>
      <c r="C228" s="196"/>
      <c r="D228" s="196"/>
      <c r="E228" s="196"/>
      <c r="F228" s="16"/>
      <c r="G228" s="24"/>
      <c r="H228" s="24"/>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2.9">
      <c r="A229" s="16"/>
      <c r="B229" s="24"/>
      <c r="C229" s="196"/>
      <c r="D229" s="196"/>
      <c r="E229" s="196"/>
      <c r="F229" s="16"/>
      <c r="G229" s="24"/>
      <c r="H229" s="24"/>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2.9">
      <c r="A230" s="16"/>
      <c r="B230" s="24"/>
      <c r="C230" s="196"/>
      <c r="D230" s="196"/>
      <c r="E230" s="196"/>
      <c r="F230" s="16"/>
      <c r="G230" s="24"/>
      <c r="H230" s="24"/>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2.9">
      <c r="A231" s="16"/>
      <c r="B231" s="24"/>
      <c r="C231" s="196"/>
      <c r="D231" s="196"/>
      <c r="E231" s="196"/>
      <c r="F231" s="16"/>
      <c r="G231" s="24"/>
      <c r="H231" s="24"/>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2.9">
      <c r="A232" s="16"/>
      <c r="B232" s="24"/>
      <c r="C232" s="196"/>
      <c r="D232" s="196"/>
      <c r="E232" s="196"/>
      <c r="F232" s="16"/>
      <c r="G232" s="24"/>
      <c r="H232" s="24"/>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2.9">
      <c r="A233" s="16"/>
      <c r="B233" s="24"/>
      <c r="C233" s="196"/>
      <c r="D233" s="196"/>
      <c r="E233" s="196"/>
      <c r="F233" s="16"/>
      <c r="G233" s="24"/>
      <c r="H233" s="24"/>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2.9">
      <c r="A234" s="16"/>
      <c r="B234" s="24"/>
      <c r="C234" s="196"/>
      <c r="D234" s="196"/>
      <c r="E234" s="196"/>
      <c r="F234" s="16"/>
      <c r="G234" s="24"/>
      <c r="H234" s="24"/>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2.9">
      <c r="A235" s="16"/>
      <c r="B235" s="24"/>
      <c r="C235" s="196"/>
      <c r="D235" s="196"/>
      <c r="E235" s="196"/>
      <c r="F235" s="16"/>
      <c r="G235" s="24"/>
      <c r="H235" s="24"/>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2.9">
      <c r="A236" s="16"/>
      <c r="B236" s="24"/>
      <c r="C236" s="196"/>
      <c r="D236" s="196"/>
      <c r="E236" s="196"/>
      <c r="F236" s="16"/>
      <c r="G236" s="24"/>
      <c r="H236" s="24"/>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2.9">
      <c r="A237" s="16"/>
      <c r="B237" s="24"/>
      <c r="C237" s="196"/>
      <c r="D237" s="196"/>
      <c r="E237" s="196"/>
      <c r="F237" s="16"/>
      <c r="G237" s="24"/>
      <c r="H237" s="24"/>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2.9">
      <c r="A238" s="16"/>
      <c r="B238" s="24"/>
      <c r="C238" s="196"/>
      <c r="D238" s="196"/>
      <c r="E238" s="196"/>
      <c r="F238" s="16"/>
      <c r="G238" s="24"/>
      <c r="H238" s="24"/>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2.9">
      <c r="A239" s="16"/>
      <c r="B239" s="24"/>
      <c r="C239" s="196"/>
      <c r="D239" s="196"/>
      <c r="E239" s="196"/>
      <c r="F239" s="16"/>
      <c r="G239" s="24"/>
      <c r="H239" s="24"/>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2.9">
      <c r="A240" s="16"/>
      <c r="B240" s="24"/>
      <c r="C240" s="196"/>
      <c r="D240" s="196"/>
      <c r="E240" s="196"/>
      <c r="F240" s="16"/>
      <c r="G240" s="24"/>
      <c r="H240" s="24"/>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2.9">
      <c r="A241" s="16"/>
      <c r="B241" s="24"/>
      <c r="C241" s="196"/>
      <c r="D241" s="196"/>
      <c r="E241" s="196"/>
      <c r="F241" s="16"/>
      <c r="G241" s="24"/>
      <c r="H241" s="24"/>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2.9">
      <c r="A242" s="16"/>
      <c r="B242" s="24"/>
      <c r="C242" s="196"/>
      <c r="D242" s="196"/>
      <c r="E242" s="196"/>
      <c r="F242" s="16"/>
      <c r="G242" s="24"/>
      <c r="H242" s="24"/>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2.9">
      <c r="A243" s="16"/>
      <c r="B243" s="24"/>
      <c r="C243" s="196"/>
      <c r="D243" s="196"/>
      <c r="E243" s="196"/>
      <c r="F243" s="16"/>
      <c r="G243" s="24"/>
      <c r="H243" s="24"/>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2.9">
      <c r="A244" s="16"/>
      <c r="B244" s="24"/>
      <c r="C244" s="196"/>
      <c r="D244" s="196"/>
      <c r="E244" s="196"/>
      <c r="F244" s="16"/>
      <c r="G244" s="24"/>
      <c r="H244" s="24"/>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2.9">
      <c r="A245" s="16"/>
      <c r="B245" s="24"/>
      <c r="C245" s="196"/>
      <c r="D245" s="196"/>
      <c r="E245" s="196"/>
      <c r="F245" s="16"/>
      <c r="G245" s="24"/>
      <c r="H245" s="24"/>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2.9">
      <c r="A246" s="16"/>
      <c r="B246" s="24"/>
      <c r="C246" s="196"/>
      <c r="D246" s="196"/>
      <c r="E246" s="196"/>
      <c r="F246" s="16"/>
      <c r="G246" s="24"/>
      <c r="H246" s="24"/>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2.9">
      <c r="A247" s="16"/>
      <c r="B247" s="24"/>
      <c r="C247" s="196"/>
      <c r="D247" s="196"/>
      <c r="E247" s="196"/>
      <c r="F247" s="16"/>
      <c r="G247" s="24"/>
      <c r="H247" s="24"/>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2.9">
      <c r="A248" s="16"/>
      <c r="B248" s="24"/>
      <c r="C248" s="196"/>
      <c r="D248" s="196"/>
      <c r="E248" s="196"/>
      <c r="F248" s="16"/>
      <c r="G248" s="24"/>
      <c r="H248" s="24"/>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2.9">
      <c r="A249" s="16"/>
      <c r="B249" s="24"/>
      <c r="C249" s="196"/>
      <c r="D249" s="196"/>
      <c r="E249" s="196"/>
      <c r="F249" s="16"/>
      <c r="G249" s="24"/>
      <c r="H249" s="24"/>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2.9">
      <c r="A250" s="16"/>
      <c r="B250" s="24"/>
      <c r="C250" s="196"/>
      <c r="D250" s="196"/>
      <c r="E250" s="196"/>
      <c r="F250" s="16"/>
      <c r="G250" s="24"/>
      <c r="H250" s="24"/>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2.9">
      <c r="A251" s="16"/>
      <c r="B251" s="24"/>
      <c r="C251" s="196"/>
      <c r="D251" s="196"/>
      <c r="E251" s="196"/>
      <c r="F251" s="16"/>
      <c r="G251" s="24"/>
      <c r="H251" s="24"/>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2.9">
      <c r="A252" s="16"/>
      <c r="B252" s="24"/>
      <c r="C252" s="196"/>
      <c r="D252" s="196"/>
      <c r="E252" s="196"/>
      <c r="F252" s="16"/>
      <c r="G252" s="24"/>
      <c r="H252" s="24"/>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2.9">
      <c r="A253" s="16"/>
      <c r="B253" s="24"/>
      <c r="C253" s="196"/>
      <c r="D253" s="196"/>
      <c r="E253" s="196"/>
      <c r="F253" s="16"/>
      <c r="G253" s="24"/>
      <c r="H253" s="24"/>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2.9">
      <c r="A254" s="16"/>
      <c r="B254" s="24"/>
      <c r="C254" s="196"/>
      <c r="D254" s="196"/>
      <c r="E254" s="196"/>
      <c r="F254" s="16"/>
      <c r="G254" s="24"/>
      <c r="H254" s="24"/>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2.9">
      <c r="A255" s="16"/>
      <c r="B255" s="24"/>
      <c r="C255" s="196"/>
      <c r="D255" s="196"/>
      <c r="E255" s="196"/>
      <c r="F255" s="16"/>
      <c r="G255" s="24"/>
      <c r="H255" s="24"/>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2.9">
      <c r="A256" s="16"/>
      <c r="B256" s="24"/>
      <c r="C256" s="196"/>
      <c r="D256" s="196"/>
      <c r="E256" s="196"/>
      <c r="F256" s="16"/>
      <c r="G256" s="24"/>
      <c r="H256" s="24"/>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2.9">
      <c r="A257" s="16"/>
      <c r="B257" s="24"/>
      <c r="C257" s="196"/>
      <c r="D257" s="196"/>
      <c r="E257" s="196"/>
      <c r="F257" s="16"/>
      <c r="G257" s="24"/>
      <c r="H257" s="24"/>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2.9">
      <c r="A258" s="16"/>
      <c r="B258" s="24"/>
      <c r="C258" s="196"/>
      <c r="D258" s="196"/>
      <c r="E258" s="196"/>
      <c r="F258" s="16"/>
      <c r="G258" s="24"/>
      <c r="H258" s="24"/>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2.9">
      <c r="A259" s="16"/>
      <c r="B259" s="24"/>
      <c r="C259" s="196"/>
      <c r="D259" s="196"/>
      <c r="E259" s="196"/>
      <c r="F259" s="16"/>
      <c r="G259" s="24"/>
      <c r="H259" s="24"/>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2.9">
      <c r="A260" s="16"/>
      <c r="B260" s="24"/>
      <c r="C260" s="196"/>
      <c r="D260" s="196"/>
      <c r="E260" s="196"/>
      <c r="F260" s="16"/>
      <c r="G260" s="24"/>
      <c r="H260" s="24"/>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2.9">
      <c r="A261" s="16"/>
      <c r="B261" s="24"/>
      <c r="C261" s="196"/>
      <c r="D261" s="196"/>
      <c r="E261" s="196"/>
      <c r="F261" s="16"/>
      <c r="G261" s="24"/>
      <c r="H261" s="24"/>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2.9">
      <c r="A262" s="16"/>
      <c r="B262" s="24"/>
      <c r="C262" s="196"/>
      <c r="D262" s="196"/>
      <c r="E262" s="196"/>
      <c r="F262" s="16"/>
      <c r="G262" s="24"/>
      <c r="H262" s="24"/>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2.9">
      <c r="A263" s="16"/>
      <c r="B263" s="24"/>
      <c r="C263" s="196"/>
      <c r="D263" s="196"/>
      <c r="E263" s="196"/>
      <c r="F263" s="16"/>
      <c r="G263" s="24"/>
      <c r="H263" s="24"/>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2.9">
      <c r="A264" s="16"/>
      <c r="B264" s="24"/>
      <c r="C264" s="196"/>
      <c r="D264" s="196"/>
      <c r="E264" s="196"/>
      <c r="F264" s="16"/>
      <c r="G264" s="24"/>
      <c r="H264" s="24"/>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2.9">
      <c r="A265" s="16"/>
      <c r="B265" s="24"/>
      <c r="C265" s="196"/>
      <c r="D265" s="196"/>
      <c r="E265" s="196"/>
      <c r="F265" s="16"/>
      <c r="G265" s="24"/>
      <c r="H265" s="24"/>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2.9">
      <c r="A266" s="16"/>
      <c r="B266" s="24"/>
      <c r="C266" s="196"/>
      <c r="D266" s="196"/>
      <c r="E266" s="196"/>
      <c r="F266" s="16"/>
      <c r="G266" s="24"/>
      <c r="H266" s="24"/>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2.9">
      <c r="A267" s="16"/>
      <c r="B267" s="24"/>
      <c r="C267" s="196"/>
      <c r="D267" s="196"/>
      <c r="E267" s="196"/>
      <c r="F267" s="16"/>
      <c r="G267" s="24"/>
      <c r="H267" s="24"/>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2.9">
      <c r="A268" s="16"/>
      <c r="B268" s="24"/>
      <c r="C268" s="196"/>
      <c r="D268" s="196"/>
      <c r="E268" s="196"/>
      <c r="F268" s="16"/>
      <c r="G268" s="24"/>
      <c r="H268" s="24"/>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2.9">
      <c r="A269" s="16"/>
      <c r="B269" s="24"/>
      <c r="C269" s="196"/>
      <c r="D269" s="196"/>
      <c r="E269" s="196"/>
      <c r="F269" s="16"/>
      <c r="G269" s="24"/>
      <c r="H269" s="24"/>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2.9">
      <c r="A270" s="16"/>
      <c r="B270" s="24"/>
      <c r="C270" s="196"/>
      <c r="D270" s="196"/>
      <c r="E270" s="196"/>
      <c r="F270" s="16"/>
      <c r="G270" s="24"/>
      <c r="H270" s="24"/>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2.9">
      <c r="A271" s="16"/>
      <c r="B271" s="24"/>
      <c r="C271" s="196"/>
      <c r="D271" s="196"/>
      <c r="E271" s="196"/>
      <c r="F271" s="16"/>
      <c r="G271" s="24"/>
      <c r="H271" s="24"/>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2.9">
      <c r="A272" s="16"/>
      <c r="B272" s="24"/>
      <c r="C272" s="196"/>
      <c r="D272" s="196"/>
      <c r="E272" s="196"/>
      <c r="F272" s="16"/>
      <c r="G272" s="24"/>
      <c r="H272" s="24"/>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2.9">
      <c r="A273" s="16"/>
      <c r="B273" s="24"/>
      <c r="C273" s="196"/>
      <c r="D273" s="196"/>
      <c r="E273" s="196"/>
      <c r="F273" s="16"/>
      <c r="G273" s="24"/>
      <c r="H273" s="24"/>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2.9">
      <c r="A274" s="16"/>
      <c r="B274" s="24"/>
      <c r="C274" s="196"/>
      <c r="D274" s="196"/>
      <c r="E274" s="196"/>
      <c r="F274" s="16"/>
      <c r="G274" s="24"/>
      <c r="H274" s="24"/>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2.9">
      <c r="A275" s="16"/>
      <c r="B275" s="24"/>
      <c r="C275" s="196"/>
      <c r="D275" s="196"/>
      <c r="E275" s="196"/>
      <c r="F275" s="16"/>
      <c r="G275" s="24"/>
      <c r="H275" s="24"/>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2.9">
      <c r="A276" s="16"/>
      <c r="B276" s="24"/>
      <c r="C276" s="196"/>
      <c r="D276" s="196"/>
      <c r="E276" s="196"/>
      <c r="F276" s="16"/>
      <c r="G276" s="24"/>
      <c r="H276" s="24"/>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2.9">
      <c r="A277" s="16"/>
      <c r="B277" s="24"/>
      <c r="C277" s="196"/>
      <c r="D277" s="196"/>
      <c r="E277" s="196"/>
      <c r="F277" s="16"/>
      <c r="G277" s="24"/>
      <c r="H277" s="24"/>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2.9">
      <c r="A278" s="16"/>
      <c r="B278" s="24"/>
      <c r="C278" s="196"/>
      <c r="D278" s="196"/>
      <c r="E278" s="196"/>
      <c r="F278" s="16"/>
      <c r="G278" s="24"/>
      <c r="H278" s="24"/>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2.9">
      <c r="A279" s="16"/>
      <c r="B279" s="24"/>
      <c r="C279" s="196"/>
      <c r="D279" s="196"/>
      <c r="E279" s="196"/>
      <c r="F279" s="16"/>
      <c r="G279" s="24"/>
      <c r="H279" s="24"/>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2.9">
      <c r="A280" s="16"/>
      <c r="B280" s="24"/>
      <c r="C280" s="196"/>
      <c r="D280" s="196"/>
      <c r="E280" s="196"/>
      <c r="F280" s="16"/>
      <c r="G280" s="24"/>
      <c r="H280" s="24"/>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2.9">
      <c r="A281" s="16"/>
      <c r="B281" s="24"/>
      <c r="C281" s="196"/>
      <c r="D281" s="196"/>
      <c r="E281" s="196"/>
      <c r="F281" s="16"/>
      <c r="G281" s="24"/>
      <c r="H281" s="24"/>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2.9">
      <c r="A282" s="16"/>
      <c r="B282" s="24"/>
      <c r="C282" s="196"/>
      <c r="D282" s="196"/>
      <c r="E282" s="196"/>
      <c r="F282" s="16"/>
      <c r="G282" s="24"/>
      <c r="H282" s="24"/>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2.9">
      <c r="A283" s="16"/>
      <c r="B283" s="24"/>
      <c r="C283" s="196"/>
      <c r="D283" s="196"/>
      <c r="E283" s="196"/>
      <c r="F283" s="16"/>
      <c r="G283" s="24"/>
      <c r="H283" s="24"/>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2.9">
      <c r="A284" s="16"/>
      <c r="B284" s="24"/>
      <c r="C284" s="196"/>
      <c r="D284" s="196"/>
      <c r="E284" s="196"/>
      <c r="F284" s="16"/>
      <c r="G284" s="24"/>
      <c r="H284" s="24"/>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2.9">
      <c r="A285" s="16"/>
      <c r="B285" s="24"/>
      <c r="C285" s="196"/>
      <c r="D285" s="196"/>
      <c r="E285" s="196"/>
      <c r="F285" s="16"/>
      <c r="G285" s="24"/>
      <c r="H285" s="24"/>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2.9">
      <c r="A286" s="16"/>
      <c r="B286" s="24"/>
      <c r="C286" s="196"/>
      <c r="D286" s="196"/>
      <c r="E286" s="196"/>
      <c r="F286" s="16"/>
      <c r="G286" s="24"/>
      <c r="H286" s="24"/>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2.9">
      <c r="A287" s="16"/>
      <c r="B287" s="24"/>
      <c r="C287" s="196"/>
      <c r="D287" s="196"/>
      <c r="E287" s="196"/>
      <c r="F287" s="16"/>
      <c r="G287" s="24"/>
      <c r="H287" s="24"/>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2.9">
      <c r="A288" s="16"/>
      <c r="B288" s="24"/>
      <c r="C288" s="196"/>
      <c r="D288" s="196"/>
      <c r="E288" s="196"/>
      <c r="F288" s="16"/>
      <c r="G288" s="24"/>
      <c r="H288" s="24"/>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2.9">
      <c r="A289" s="16"/>
      <c r="B289" s="24"/>
      <c r="C289" s="196"/>
      <c r="D289" s="196"/>
      <c r="E289" s="196"/>
      <c r="F289" s="16"/>
      <c r="G289" s="24"/>
      <c r="H289" s="24"/>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2.9">
      <c r="A290" s="16"/>
      <c r="B290" s="24"/>
      <c r="C290" s="196"/>
      <c r="D290" s="196"/>
      <c r="E290" s="196"/>
      <c r="F290" s="16"/>
      <c r="G290" s="24"/>
      <c r="H290" s="24"/>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2.9">
      <c r="A291" s="16"/>
      <c r="B291" s="24"/>
      <c r="C291" s="196"/>
      <c r="D291" s="196"/>
      <c r="E291" s="196"/>
      <c r="F291" s="16"/>
      <c r="G291" s="24"/>
      <c r="H291" s="24"/>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2.9">
      <c r="A292" s="16"/>
      <c r="B292" s="24"/>
      <c r="C292" s="196"/>
      <c r="D292" s="196"/>
      <c r="E292" s="196"/>
      <c r="F292" s="16"/>
      <c r="G292" s="24"/>
      <c r="H292" s="24"/>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2.9">
      <c r="A293" s="16"/>
      <c r="B293" s="24"/>
      <c r="C293" s="196"/>
      <c r="D293" s="196"/>
      <c r="E293" s="196"/>
      <c r="F293" s="16"/>
      <c r="G293" s="24"/>
      <c r="H293" s="24"/>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2.9">
      <c r="A294" s="16"/>
      <c r="B294" s="24"/>
      <c r="C294" s="196"/>
      <c r="D294" s="196"/>
      <c r="E294" s="196"/>
      <c r="F294" s="16"/>
      <c r="G294" s="24"/>
      <c r="H294" s="24"/>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2.9">
      <c r="A295" s="16"/>
      <c r="B295" s="24"/>
      <c r="C295" s="196"/>
      <c r="D295" s="196"/>
      <c r="E295" s="196"/>
      <c r="F295" s="16"/>
      <c r="G295" s="24"/>
      <c r="H295" s="24"/>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2.9">
      <c r="A296" s="16"/>
      <c r="B296" s="24"/>
      <c r="C296" s="196"/>
      <c r="D296" s="196"/>
      <c r="E296" s="196"/>
      <c r="F296" s="16"/>
      <c r="G296" s="24"/>
      <c r="H296" s="24"/>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2.9">
      <c r="A297" s="16"/>
      <c r="B297" s="24"/>
      <c r="C297" s="196"/>
      <c r="D297" s="196"/>
      <c r="E297" s="196"/>
      <c r="F297" s="16"/>
      <c r="G297" s="24"/>
      <c r="H297" s="24"/>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2.9">
      <c r="A298" s="16"/>
      <c r="B298" s="24"/>
      <c r="C298" s="196"/>
      <c r="D298" s="196"/>
      <c r="E298" s="196"/>
      <c r="F298" s="16"/>
      <c r="G298" s="24"/>
      <c r="H298" s="24"/>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2.9">
      <c r="A299" s="16"/>
      <c r="B299" s="24"/>
      <c r="C299" s="196"/>
      <c r="D299" s="196"/>
      <c r="E299" s="196"/>
      <c r="F299" s="16"/>
      <c r="G299" s="24"/>
      <c r="H299" s="24"/>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2.9">
      <c r="A300" s="16"/>
      <c r="B300" s="24"/>
      <c r="C300" s="196"/>
      <c r="D300" s="196"/>
      <c r="E300" s="196"/>
      <c r="F300" s="16"/>
      <c r="G300" s="24"/>
      <c r="H300" s="24"/>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2.9">
      <c r="A301" s="16"/>
      <c r="B301" s="24"/>
      <c r="C301" s="196"/>
      <c r="D301" s="196"/>
      <c r="E301" s="196"/>
      <c r="F301" s="16"/>
      <c r="G301" s="24"/>
      <c r="H301" s="24"/>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2.9">
      <c r="A302" s="16"/>
      <c r="B302" s="24"/>
      <c r="C302" s="196"/>
      <c r="D302" s="196"/>
      <c r="E302" s="196"/>
      <c r="F302" s="16"/>
      <c r="G302" s="24"/>
      <c r="H302" s="24"/>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2.9">
      <c r="A303" s="16"/>
      <c r="B303" s="24"/>
      <c r="C303" s="196"/>
      <c r="D303" s="196"/>
      <c r="E303" s="196"/>
      <c r="F303" s="16"/>
      <c r="G303" s="24"/>
      <c r="H303" s="24"/>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2.9">
      <c r="A304" s="16"/>
      <c r="B304" s="24"/>
      <c r="C304" s="196"/>
      <c r="D304" s="196"/>
      <c r="E304" s="196"/>
      <c r="F304" s="16"/>
      <c r="G304" s="24"/>
      <c r="H304" s="24"/>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2.9">
      <c r="A305" s="16"/>
      <c r="B305" s="24"/>
      <c r="C305" s="196"/>
      <c r="D305" s="196"/>
      <c r="E305" s="196"/>
      <c r="F305" s="16"/>
      <c r="G305" s="24"/>
      <c r="H305" s="24"/>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2.9">
      <c r="A306" s="16"/>
      <c r="B306" s="24"/>
      <c r="C306" s="196"/>
      <c r="D306" s="196"/>
      <c r="E306" s="196"/>
      <c r="F306" s="16"/>
      <c r="G306" s="24"/>
      <c r="H306" s="24"/>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2.9">
      <c r="A307" s="16"/>
      <c r="B307" s="24"/>
      <c r="C307" s="196"/>
      <c r="D307" s="196"/>
      <c r="E307" s="196"/>
      <c r="F307" s="16"/>
      <c r="G307" s="24"/>
      <c r="H307" s="24"/>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ht="12.9">
      <c r="A308" s="16"/>
      <c r="B308" s="24"/>
      <c r="C308" s="196"/>
      <c r="D308" s="196"/>
      <c r="E308" s="196"/>
      <c r="F308" s="16"/>
      <c r="G308" s="24"/>
      <c r="H308" s="24"/>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ht="12.9">
      <c r="A309" s="16"/>
      <c r="B309" s="24"/>
      <c r="C309" s="196"/>
      <c r="D309" s="196"/>
      <c r="E309" s="196"/>
      <c r="F309" s="16"/>
      <c r="G309" s="24"/>
      <c r="H309" s="24"/>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ht="12.9">
      <c r="A310" s="16"/>
      <c r="B310" s="24"/>
      <c r="C310" s="196"/>
      <c r="D310" s="196"/>
      <c r="E310" s="196"/>
      <c r="F310" s="16"/>
      <c r="G310" s="24"/>
      <c r="H310" s="24"/>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ht="12.9">
      <c r="A311" s="16"/>
      <c r="B311" s="24"/>
      <c r="C311" s="196"/>
      <c r="D311" s="196"/>
      <c r="E311" s="196"/>
      <c r="F311" s="16"/>
      <c r="G311" s="24"/>
      <c r="H311" s="24"/>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ht="12.9">
      <c r="A312" s="16"/>
      <c r="B312" s="24"/>
      <c r="C312" s="196"/>
      <c r="D312" s="196"/>
      <c r="E312" s="196"/>
      <c r="F312" s="16"/>
      <c r="G312" s="24"/>
      <c r="H312" s="24"/>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ht="12.9">
      <c r="A313" s="16"/>
      <c r="B313" s="24"/>
      <c r="C313" s="196"/>
      <c r="D313" s="196"/>
      <c r="E313" s="196"/>
      <c r="F313" s="16"/>
      <c r="G313" s="24"/>
      <c r="H313" s="24"/>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ht="12.9">
      <c r="A314" s="16"/>
      <c r="B314" s="24"/>
      <c r="C314" s="196"/>
      <c r="D314" s="196"/>
      <c r="E314" s="196"/>
      <c r="F314" s="16"/>
      <c r="G314" s="24"/>
      <c r="H314" s="24"/>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ht="12.9">
      <c r="A315" s="16"/>
      <c r="B315" s="24"/>
      <c r="C315" s="196"/>
      <c r="D315" s="196"/>
      <c r="E315" s="196"/>
      <c r="F315" s="16"/>
      <c r="G315" s="24"/>
      <c r="H315" s="24"/>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ht="12.9">
      <c r="A316" s="16"/>
      <c r="B316" s="24"/>
      <c r="C316" s="196"/>
      <c r="D316" s="196"/>
      <c r="E316" s="196"/>
      <c r="F316" s="16"/>
      <c r="G316" s="24"/>
      <c r="H316" s="24"/>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ht="12.9">
      <c r="A317" s="16"/>
      <c r="B317" s="24"/>
      <c r="C317" s="196"/>
      <c r="D317" s="196"/>
      <c r="E317" s="196"/>
      <c r="F317" s="16"/>
      <c r="G317" s="24"/>
      <c r="H317" s="24"/>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ht="12.9">
      <c r="A318" s="16"/>
      <c r="B318" s="24"/>
      <c r="C318" s="196"/>
      <c r="D318" s="196"/>
      <c r="E318" s="196"/>
      <c r="F318" s="16"/>
      <c r="G318" s="24"/>
      <c r="H318" s="24"/>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1:30" ht="12.9">
      <c r="A319" s="16"/>
      <c r="B319" s="24"/>
      <c r="C319" s="196"/>
      <c r="D319" s="196"/>
      <c r="E319" s="196"/>
      <c r="F319" s="16"/>
      <c r="G319" s="24"/>
      <c r="H319" s="24"/>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1:30" ht="12.9">
      <c r="A320" s="16"/>
      <c r="B320" s="24"/>
      <c r="C320" s="196"/>
      <c r="D320" s="196"/>
      <c r="E320" s="196"/>
      <c r="F320" s="16"/>
      <c r="G320" s="24"/>
      <c r="H320" s="24"/>
      <c r="I320" s="16"/>
      <c r="J320" s="16"/>
      <c r="K320" s="16"/>
      <c r="L320" s="16"/>
      <c r="M320" s="16"/>
      <c r="N320" s="16"/>
      <c r="O320" s="16"/>
      <c r="P320" s="16"/>
      <c r="Q320" s="16"/>
      <c r="R320" s="16"/>
      <c r="S320" s="16"/>
      <c r="T320" s="16"/>
      <c r="U320" s="16"/>
      <c r="V320" s="16"/>
      <c r="W320" s="16"/>
      <c r="X320" s="16"/>
      <c r="Y320" s="16"/>
      <c r="Z320" s="16"/>
      <c r="AA320" s="16"/>
      <c r="AB320" s="16"/>
      <c r="AC320" s="16"/>
      <c r="AD320" s="16"/>
    </row>
    <row r="321" spans="1:30" ht="12.9">
      <c r="A321" s="16"/>
      <c r="B321" s="24"/>
      <c r="C321" s="196"/>
      <c r="D321" s="196"/>
      <c r="E321" s="196"/>
      <c r="F321" s="16"/>
      <c r="G321" s="24"/>
      <c r="H321" s="24"/>
      <c r="I321" s="16"/>
      <c r="J321" s="16"/>
      <c r="K321" s="16"/>
      <c r="L321" s="16"/>
      <c r="M321" s="16"/>
      <c r="N321" s="16"/>
      <c r="O321" s="16"/>
      <c r="P321" s="16"/>
      <c r="Q321" s="16"/>
      <c r="R321" s="16"/>
      <c r="S321" s="16"/>
      <c r="T321" s="16"/>
      <c r="U321" s="16"/>
      <c r="V321" s="16"/>
      <c r="W321" s="16"/>
      <c r="X321" s="16"/>
      <c r="Y321" s="16"/>
      <c r="Z321" s="16"/>
      <c r="AA321" s="16"/>
      <c r="AB321" s="16"/>
      <c r="AC321" s="16"/>
      <c r="AD321" s="16"/>
    </row>
    <row r="322" spans="1:30" ht="12.9">
      <c r="A322" s="16"/>
      <c r="B322" s="24"/>
      <c r="C322" s="196"/>
      <c r="D322" s="196"/>
      <c r="E322" s="196"/>
      <c r="F322" s="16"/>
      <c r="G322" s="24"/>
      <c r="H322" s="24"/>
      <c r="I322" s="16"/>
      <c r="J322" s="16"/>
      <c r="K322" s="16"/>
      <c r="L322" s="16"/>
      <c r="M322" s="16"/>
      <c r="N322" s="16"/>
      <c r="O322" s="16"/>
      <c r="P322" s="16"/>
      <c r="Q322" s="16"/>
      <c r="R322" s="16"/>
      <c r="S322" s="16"/>
      <c r="T322" s="16"/>
      <c r="U322" s="16"/>
      <c r="V322" s="16"/>
      <c r="W322" s="16"/>
      <c r="X322" s="16"/>
      <c r="Y322" s="16"/>
      <c r="Z322" s="16"/>
      <c r="AA322" s="16"/>
      <c r="AB322" s="16"/>
      <c r="AC322" s="16"/>
      <c r="AD322" s="16"/>
    </row>
    <row r="323" spans="1:30" ht="12.9">
      <c r="A323" s="16"/>
      <c r="B323" s="24"/>
      <c r="C323" s="196"/>
      <c r="D323" s="196"/>
      <c r="E323" s="196"/>
      <c r="F323" s="16"/>
      <c r="G323" s="24"/>
      <c r="H323" s="24"/>
      <c r="I323" s="16"/>
      <c r="J323" s="16"/>
      <c r="K323" s="16"/>
      <c r="L323" s="16"/>
      <c r="M323" s="16"/>
      <c r="N323" s="16"/>
      <c r="O323" s="16"/>
      <c r="P323" s="16"/>
      <c r="Q323" s="16"/>
      <c r="R323" s="16"/>
      <c r="S323" s="16"/>
      <c r="T323" s="16"/>
      <c r="U323" s="16"/>
      <c r="V323" s="16"/>
      <c r="W323" s="16"/>
      <c r="X323" s="16"/>
      <c r="Y323" s="16"/>
      <c r="Z323" s="16"/>
      <c r="AA323" s="16"/>
      <c r="AB323" s="16"/>
      <c r="AC323" s="16"/>
      <c r="AD323" s="16"/>
    </row>
    <row r="324" spans="1:30" ht="12.9">
      <c r="A324" s="16"/>
      <c r="B324" s="24"/>
      <c r="C324" s="196"/>
      <c r="D324" s="196"/>
      <c r="E324" s="196"/>
      <c r="F324" s="16"/>
      <c r="G324" s="24"/>
      <c r="H324" s="24"/>
      <c r="I324" s="16"/>
      <c r="J324" s="16"/>
      <c r="K324" s="16"/>
      <c r="L324" s="16"/>
      <c r="M324" s="16"/>
      <c r="N324" s="16"/>
      <c r="O324" s="16"/>
      <c r="P324" s="16"/>
      <c r="Q324" s="16"/>
      <c r="R324" s="16"/>
      <c r="S324" s="16"/>
      <c r="T324" s="16"/>
      <c r="U324" s="16"/>
      <c r="V324" s="16"/>
      <c r="W324" s="16"/>
      <c r="X324" s="16"/>
      <c r="Y324" s="16"/>
      <c r="Z324" s="16"/>
      <c r="AA324" s="16"/>
      <c r="AB324" s="16"/>
      <c r="AC324" s="16"/>
      <c r="AD324" s="16"/>
    </row>
    <row r="325" spans="1:30" ht="12.9">
      <c r="A325" s="16"/>
      <c r="B325" s="24"/>
      <c r="C325" s="196"/>
      <c r="D325" s="196"/>
      <c r="E325" s="196"/>
      <c r="F325" s="16"/>
      <c r="G325" s="24"/>
      <c r="H325" s="24"/>
      <c r="I325" s="16"/>
      <c r="J325" s="16"/>
      <c r="K325" s="16"/>
      <c r="L325" s="16"/>
      <c r="M325" s="16"/>
      <c r="N325" s="16"/>
      <c r="O325" s="16"/>
      <c r="P325" s="16"/>
      <c r="Q325" s="16"/>
      <c r="R325" s="16"/>
      <c r="S325" s="16"/>
      <c r="T325" s="16"/>
      <c r="U325" s="16"/>
      <c r="V325" s="16"/>
      <c r="W325" s="16"/>
      <c r="X325" s="16"/>
      <c r="Y325" s="16"/>
      <c r="Z325" s="16"/>
      <c r="AA325" s="16"/>
      <c r="AB325" s="16"/>
      <c r="AC325" s="16"/>
      <c r="AD325" s="16"/>
    </row>
    <row r="326" spans="1:30" ht="12.9">
      <c r="A326" s="16"/>
      <c r="B326" s="24"/>
      <c r="C326" s="196"/>
      <c r="D326" s="196"/>
      <c r="E326" s="196"/>
      <c r="F326" s="16"/>
      <c r="G326" s="24"/>
      <c r="H326" s="24"/>
      <c r="I326" s="16"/>
      <c r="J326" s="16"/>
      <c r="K326" s="16"/>
      <c r="L326" s="16"/>
      <c r="M326" s="16"/>
      <c r="N326" s="16"/>
      <c r="O326" s="16"/>
      <c r="P326" s="16"/>
      <c r="Q326" s="16"/>
      <c r="R326" s="16"/>
      <c r="S326" s="16"/>
      <c r="T326" s="16"/>
      <c r="U326" s="16"/>
      <c r="V326" s="16"/>
      <c r="W326" s="16"/>
      <c r="X326" s="16"/>
      <c r="Y326" s="16"/>
      <c r="Z326" s="16"/>
      <c r="AA326" s="16"/>
      <c r="AB326" s="16"/>
      <c r="AC326" s="16"/>
      <c r="AD326" s="16"/>
    </row>
    <row r="327" spans="1:30" ht="12.9">
      <c r="A327" s="16"/>
      <c r="B327" s="24"/>
      <c r="C327" s="196"/>
      <c r="D327" s="196"/>
      <c r="E327" s="196"/>
      <c r="F327" s="16"/>
      <c r="G327" s="24"/>
      <c r="H327" s="24"/>
      <c r="I327" s="16"/>
      <c r="J327" s="16"/>
      <c r="K327" s="16"/>
      <c r="L327" s="16"/>
      <c r="M327" s="16"/>
      <c r="N327" s="16"/>
      <c r="O327" s="16"/>
      <c r="P327" s="16"/>
      <c r="Q327" s="16"/>
      <c r="R327" s="16"/>
      <c r="S327" s="16"/>
      <c r="T327" s="16"/>
      <c r="U327" s="16"/>
      <c r="V327" s="16"/>
      <c r="W327" s="16"/>
      <c r="X327" s="16"/>
      <c r="Y327" s="16"/>
      <c r="Z327" s="16"/>
      <c r="AA327" s="16"/>
      <c r="AB327" s="16"/>
      <c r="AC327" s="16"/>
      <c r="AD327" s="16"/>
    </row>
    <row r="328" spans="1:30" ht="12.9">
      <c r="A328" s="16"/>
      <c r="B328" s="24"/>
      <c r="C328" s="196"/>
      <c r="D328" s="196"/>
      <c r="E328" s="196"/>
      <c r="F328" s="16"/>
      <c r="G328" s="24"/>
      <c r="H328" s="24"/>
      <c r="I328" s="16"/>
      <c r="J328" s="16"/>
      <c r="K328" s="16"/>
      <c r="L328" s="16"/>
      <c r="M328" s="16"/>
      <c r="N328" s="16"/>
      <c r="O328" s="16"/>
      <c r="P328" s="16"/>
      <c r="Q328" s="16"/>
      <c r="R328" s="16"/>
      <c r="S328" s="16"/>
      <c r="T328" s="16"/>
      <c r="U328" s="16"/>
      <c r="V328" s="16"/>
      <c r="W328" s="16"/>
      <c r="X328" s="16"/>
      <c r="Y328" s="16"/>
      <c r="Z328" s="16"/>
      <c r="AA328" s="16"/>
      <c r="AB328" s="16"/>
      <c r="AC328" s="16"/>
      <c r="AD328" s="16"/>
    </row>
    <row r="329" spans="1:30" ht="12.9">
      <c r="A329" s="16"/>
      <c r="B329" s="24"/>
      <c r="C329" s="196"/>
      <c r="D329" s="196"/>
      <c r="E329" s="196"/>
      <c r="F329" s="16"/>
      <c r="G329" s="24"/>
      <c r="H329" s="24"/>
      <c r="I329" s="16"/>
      <c r="J329" s="16"/>
      <c r="K329" s="16"/>
      <c r="L329" s="16"/>
      <c r="M329" s="16"/>
      <c r="N329" s="16"/>
      <c r="O329" s="16"/>
      <c r="P329" s="16"/>
      <c r="Q329" s="16"/>
      <c r="R329" s="16"/>
      <c r="S329" s="16"/>
      <c r="T329" s="16"/>
      <c r="U329" s="16"/>
      <c r="V329" s="16"/>
      <c r="W329" s="16"/>
      <c r="X329" s="16"/>
      <c r="Y329" s="16"/>
      <c r="Z329" s="16"/>
      <c r="AA329" s="16"/>
      <c r="AB329" s="16"/>
      <c r="AC329" s="16"/>
      <c r="AD329" s="16"/>
    </row>
    <row r="330" spans="1:30" ht="12.9">
      <c r="A330" s="16"/>
      <c r="B330" s="24"/>
      <c r="C330" s="196"/>
      <c r="D330" s="196"/>
      <c r="E330" s="196"/>
      <c r="F330" s="16"/>
      <c r="G330" s="24"/>
      <c r="H330" s="24"/>
      <c r="I330" s="16"/>
      <c r="J330" s="16"/>
      <c r="K330" s="16"/>
      <c r="L330" s="16"/>
      <c r="M330" s="16"/>
      <c r="N330" s="16"/>
      <c r="O330" s="16"/>
      <c r="P330" s="16"/>
      <c r="Q330" s="16"/>
      <c r="R330" s="16"/>
      <c r="S330" s="16"/>
      <c r="T330" s="16"/>
      <c r="U330" s="16"/>
      <c r="V330" s="16"/>
      <c r="W330" s="16"/>
      <c r="X330" s="16"/>
      <c r="Y330" s="16"/>
      <c r="Z330" s="16"/>
      <c r="AA330" s="16"/>
      <c r="AB330" s="16"/>
      <c r="AC330" s="16"/>
      <c r="AD330" s="16"/>
    </row>
    <row r="331" spans="1:30" ht="12.9">
      <c r="A331" s="16"/>
      <c r="B331" s="24"/>
      <c r="C331" s="196"/>
      <c r="D331" s="196"/>
      <c r="E331" s="196"/>
      <c r="F331" s="16"/>
      <c r="G331" s="24"/>
      <c r="H331" s="24"/>
      <c r="I331" s="16"/>
      <c r="J331" s="16"/>
      <c r="K331" s="16"/>
      <c r="L331" s="16"/>
      <c r="M331" s="16"/>
      <c r="N331" s="16"/>
      <c r="O331" s="16"/>
      <c r="P331" s="16"/>
      <c r="Q331" s="16"/>
      <c r="R331" s="16"/>
      <c r="S331" s="16"/>
      <c r="T331" s="16"/>
      <c r="U331" s="16"/>
      <c r="V331" s="16"/>
      <c r="W331" s="16"/>
      <c r="X331" s="16"/>
      <c r="Y331" s="16"/>
      <c r="Z331" s="16"/>
      <c r="AA331" s="16"/>
      <c r="AB331" s="16"/>
      <c r="AC331" s="16"/>
      <c r="AD331" s="16"/>
    </row>
    <row r="332" spans="1:30" ht="12.9">
      <c r="A332" s="16"/>
      <c r="B332" s="24"/>
      <c r="C332" s="196"/>
      <c r="D332" s="196"/>
      <c r="E332" s="196"/>
      <c r="F332" s="16"/>
      <c r="G332" s="24"/>
      <c r="H332" s="24"/>
      <c r="I332" s="16"/>
      <c r="J332" s="16"/>
      <c r="K332" s="16"/>
      <c r="L332" s="16"/>
      <c r="M332" s="16"/>
      <c r="N332" s="16"/>
      <c r="O332" s="16"/>
      <c r="P332" s="16"/>
      <c r="Q332" s="16"/>
      <c r="R332" s="16"/>
      <c r="S332" s="16"/>
      <c r="T332" s="16"/>
      <c r="U332" s="16"/>
      <c r="V332" s="16"/>
      <c r="W332" s="16"/>
      <c r="X332" s="16"/>
      <c r="Y332" s="16"/>
      <c r="Z332" s="16"/>
      <c r="AA332" s="16"/>
      <c r="AB332" s="16"/>
      <c r="AC332" s="16"/>
      <c r="AD332" s="16"/>
    </row>
    <row r="333" spans="1:30" ht="12.9">
      <c r="A333" s="16"/>
      <c r="B333" s="24"/>
      <c r="C333" s="196"/>
      <c r="D333" s="196"/>
      <c r="E333" s="196"/>
      <c r="F333" s="16"/>
      <c r="G333" s="24"/>
      <c r="H333" s="24"/>
      <c r="I333" s="16"/>
      <c r="J333" s="16"/>
      <c r="K333" s="16"/>
      <c r="L333" s="16"/>
      <c r="M333" s="16"/>
      <c r="N333" s="16"/>
      <c r="O333" s="16"/>
      <c r="P333" s="16"/>
      <c r="Q333" s="16"/>
      <c r="R333" s="16"/>
      <c r="S333" s="16"/>
      <c r="T333" s="16"/>
      <c r="U333" s="16"/>
      <c r="V333" s="16"/>
      <c r="W333" s="16"/>
      <c r="X333" s="16"/>
      <c r="Y333" s="16"/>
      <c r="Z333" s="16"/>
      <c r="AA333" s="16"/>
      <c r="AB333" s="16"/>
      <c r="AC333" s="16"/>
      <c r="AD333" s="16"/>
    </row>
    <row r="334" spans="1:30" ht="12.9">
      <c r="A334" s="16"/>
      <c r="B334" s="24"/>
      <c r="C334" s="196"/>
      <c r="D334" s="196"/>
      <c r="E334" s="196"/>
      <c r="F334" s="16"/>
      <c r="G334" s="24"/>
      <c r="H334" s="24"/>
      <c r="I334" s="16"/>
      <c r="J334" s="16"/>
      <c r="K334" s="16"/>
      <c r="L334" s="16"/>
      <c r="M334" s="16"/>
      <c r="N334" s="16"/>
      <c r="O334" s="16"/>
      <c r="P334" s="16"/>
      <c r="Q334" s="16"/>
      <c r="R334" s="16"/>
      <c r="S334" s="16"/>
      <c r="T334" s="16"/>
      <c r="U334" s="16"/>
      <c r="V334" s="16"/>
      <c r="W334" s="16"/>
      <c r="X334" s="16"/>
      <c r="Y334" s="16"/>
      <c r="Z334" s="16"/>
      <c r="AA334" s="16"/>
      <c r="AB334" s="16"/>
      <c r="AC334" s="16"/>
      <c r="AD334" s="16"/>
    </row>
    <row r="335" spans="1:30" ht="12.9">
      <c r="A335" s="16"/>
      <c r="B335" s="24"/>
      <c r="C335" s="196"/>
      <c r="D335" s="196"/>
      <c r="E335" s="196"/>
      <c r="F335" s="16"/>
      <c r="G335" s="24"/>
      <c r="H335" s="24"/>
      <c r="I335" s="16"/>
      <c r="J335" s="16"/>
      <c r="K335" s="16"/>
      <c r="L335" s="16"/>
      <c r="M335" s="16"/>
      <c r="N335" s="16"/>
      <c r="O335" s="16"/>
      <c r="P335" s="16"/>
      <c r="Q335" s="16"/>
      <c r="R335" s="16"/>
      <c r="S335" s="16"/>
      <c r="T335" s="16"/>
      <c r="U335" s="16"/>
      <c r="V335" s="16"/>
      <c r="W335" s="16"/>
      <c r="X335" s="16"/>
      <c r="Y335" s="16"/>
      <c r="Z335" s="16"/>
      <c r="AA335" s="16"/>
      <c r="AB335" s="16"/>
      <c r="AC335" s="16"/>
      <c r="AD335" s="16"/>
    </row>
    <row r="336" spans="1:30" ht="12.9">
      <c r="A336" s="16"/>
      <c r="B336" s="24"/>
      <c r="C336" s="196"/>
      <c r="D336" s="196"/>
      <c r="E336" s="196"/>
      <c r="F336" s="16"/>
      <c r="G336" s="24"/>
      <c r="H336" s="24"/>
      <c r="I336" s="16"/>
      <c r="J336" s="16"/>
      <c r="K336" s="16"/>
      <c r="L336" s="16"/>
      <c r="M336" s="16"/>
      <c r="N336" s="16"/>
      <c r="O336" s="16"/>
      <c r="P336" s="16"/>
      <c r="Q336" s="16"/>
      <c r="R336" s="16"/>
      <c r="S336" s="16"/>
      <c r="T336" s="16"/>
      <c r="U336" s="16"/>
      <c r="V336" s="16"/>
      <c r="W336" s="16"/>
      <c r="X336" s="16"/>
      <c r="Y336" s="16"/>
      <c r="Z336" s="16"/>
      <c r="AA336" s="16"/>
      <c r="AB336" s="16"/>
      <c r="AC336" s="16"/>
      <c r="AD336" s="16"/>
    </row>
    <row r="337" spans="1:30" ht="12.9">
      <c r="A337" s="16"/>
      <c r="B337" s="24"/>
      <c r="C337" s="196"/>
      <c r="D337" s="196"/>
      <c r="E337" s="196"/>
      <c r="F337" s="16"/>
      <c r="G337" s="24"/>
      <c r="H337" s="24"/>
      <c r="I337" s="16"/>
      <c r="J337" s="16"/>
      <c r="K337" s="16"/>
      <c r="L337" s="16"/>
      <c r="M337" s="16"/>
      <c r="N337" s="16"/>
      <c r="O337" s="16"/>
      <c r="P337" s="16"/>
      <c r="Q337" s="16"/>
      <c r="R337" s="16"/>
      <c r="S337" s="16"/>
      <c r="T337" s="16"/>
      <c r="U337" s="16"/>
      <c r="V337" s="16"/>
      <c r="W337" s="16"/>
      <c r="X337" s="16"/>
      <c r="Y337" s="16"/>
      <c r="Z337" s="16"/>
      <c r="AA337" s="16"/>
      <c r="AB337" s="16"/>
      <c r="AC337" s="16"/>
      <c r="AD337" s="16"/>
    </row>
    <row r="338" spans="1:30" ht="12.9">
      <c r="A338" s="16"/>
      <c r="B338" s="24"/>
      <c r="C338" s="196"/>
      <c r="D338" s="196"/>
      <c r="E338" s="196"/>
      <c r="F338" s="16"/>
      <c r="G338" s="24"/>
      <c r="H338" s="24"/>
      <c r="I338" s="16"/>
      <c r="J338" s="16"/>
      <c r="K338" s="16"/>
      <c r="L338" s="16"/>
      <c r="M338" s="16"/>
      <c r="N338" s="16"/>
      <c r="O338" s="16"/>
      <c r="P338" s="16"/>
      <c r="Q338" s="16"/>
      <c r="R338" s="16"/>
      <c r="S338" s="16"/>
      <c r="T338" s="16"/>
      <c r="U338" s="16"/>
      <c r="V338" s="16"/>
      <c r="W338" s="16"/>
      <c r="X338" s="16"/>
      <c r="Y338" s="16"/>
      <c r="Z338" s="16"/>
      <c r="AA338" s="16"/>
      <c r="AB338" s="16"/>
      <c r="AC338" s="16"/>
      <c r="AD338" s="16"/>
    </row>
    <row r="339" spans="1:30" ht="12.9">
      <c r="A339" s="16"/>
      <c r="B339" s="24"/>
      <c r="C339" s="196"/>
      <c r="D339" s="196"/>
      <c r="E339" s="196"/>
      <c r="F339" s="16"/>
      <c r="G339" s="24"/>
      <c r="H339" s="24"/>
      <c r="I339" s="16"/>
      <c r="J339" s="16"/>
      <c r="K339" s="16"/>
      <c r="L339" s="16"/>
      <c r="M339" s="16"/>
      <c r="N339" s="16"/>
      <c r="O339" s="16"/>
      <c r="P339" s="16"/>
      <c r="Q339" s="16"/>
      <c r="R339" s="16"/>
      <c r="S339" s="16"/>
      <c r="T339" s="16"/>
      <c r="U339" s="16"/>
      <c r="V339" s="16"/>
      <c r="W339" s="16"/>
      <c r="X339" s="16"/>
      <c r="Y339" s="16"/>
      <c r="Z339" s="16"/>
      <c r="AA339" s="16"/>
      <c r="AB339" s="16"/>
      <c r="AC339" s="16"/>
      <c r="AD339" s="16"/>
    </row>
    <row r="340" spans="1:30" ht="12.9">
      <c r="A340" s="16"/>
      <c r="B340" s="24"/>
      <c r="C340" s="196"/>
      <c r="D340" s="196"/>
      <c r="E340" s="196"/>
      <c r="F340" s="16"/>
      <c r="G340" s="24"/>
      <c r="H340" s="24"/>
      <c r="I340" s="16"/>
      <c r="J340" s="16"/>
      <c r="K340" s="16"/>
      <c r="L340" s="16"/>
      <c r="M340" s="16"/>
      <c r="N340" s="16"/>
      <c r="O340" s="16"/>
      <c r="P340" s="16"/>
      <c r="Q340" s="16"/>
      <c r="R340" s="16"/>
      <c r="S340" s="16"/>
      <c r="T340" s="16"/>
      <c r="U340" s="16"/>
      <c r="V340" s="16"/>
      <c r="W340" s="16"/>
      <c r="X340" s="16"/>
      <c r="Y340" s="16"/>
      <c r="Z340" s="16"/>
      <c r="AA340" s="16"/>
      <c r="AB340" s="16"/>
      <c r="AC340" s="16"/>
      <c r="AD340" s="16"/>
    </row>
    <row r="341" spans="1:30" ht="12.9">
      <c r="A341" s="16"/>
      <c r="B341" s="24"/>
      <c r="C341" s="196"/>
      <c r="D341" s="196"/>
      <c r="E341" s="196"/>
      <c r="F341" s="16"/>
      <c r="G341" s="24"/>
      <c r="H341" s="24"/>
      <c r="I341" s="16"/>
      <c r="J341" s="16"/>
      <c r="K341" s="16"/>
      <c r="L341" s="16"/>
      <c r="M341" s="16"/>
      <c r="N341" s="16"/>
      <c r="O341" s="16"/>
      <c r="P341" s="16"/>
      <c r="Q341" s="16"/>
      <c r="R341" s="16"/>
      <c r="S341" s="16"/>
      <c r="T341" s="16"/>
      <c r="U341" s="16"/>
      <c r="V341" s="16"/>
      <c r="W341" s="16"/>
      <c r="X341" s="16"/>
      <c r="Y341" s="16"/>
      <c r="Z341" s="16"/>
      <c r="AA341" s="16"/>
      <c r="AB341" s="16"/>
      <c r="AC341" s="16"/>
      <c r="AD341" s="16"/>
    </row>
    <row r="342" spans="1:30" ht="12.9">
      <c r="A342" s="16"/>
      <c r="B342" s="24"/>
      <c r="C342" s="196"/>
      <c r="D342" s="196"/>
      <c r="E342" s="196"/>
      <c r="F342" s="16"/>
      <c r="G342" s="24"/>
      <c r="H342" s="24"/>
      <c r="I342" s="16"/>
      <c r="J342" s="16"/>
      <c r="K342" s="16"/>
      <c r="L342" s="16"/>
      <c r="M342" s="16"/>
      <c r="N342" s="16"/>
      <c r="O342" s="16"/>
      <c r="P342" s="16"/>
      <c r="Q342" s="16"/>
      <c r="R342" s="16"/>
      <c r="S342" s="16"/>
      <c r="T342" s="16"/>
      <c r="U342" s="16"/>
      <c r="V342" s="16"/>
      <c r="W342" s="16"/>
      <c r="X342" s="16"/>
      <c r="Y342" s="16"/>
      <c r="Z342" s="16"/>
      <c r="AA342" s="16"/>
      <c r="AB342" s="16"/>
      <c r="AC342" s="16"/>
      <c r="AD342" s="16"/>
    </row>
    <row r="343" spans="1:30" ht="12.9">
      <c r="A343" s="16"/>
      <c r="B343" s="24"/>
      <c r="C343" s="196"/>
      <c r="D343" s="196"/>
      <c r="E343" s="196"/>
      <c r="F343" s="16"/>
      <c r="G343" s="24"/>
      <c r="H343" s="24"/>
      <c r="I343" s="16"/>
      <c r="J343" s="16"/>
      <c r="K343" s="16"/>
      <c r="L343" s="16"/>
      <c r="M343" s="16"/>
      <c r="N343" s="16"/>
      <c r="O343" s="16"/>
      <c r="P343" s="16"/>
      <c r="Q343" s="16"/>
      <c r="R343" s="16"/>
      <c r="S343" s="16"/>
      <c r="T343" s="16"/>
      <c r="U343" s="16"/>
      <c r="V343" s="16"/>
      <c r="W343" s="16"/>
      <c r="X343" s="16"/>
      <c r="Y343" s="16"/>
      <c r="Z343" s="16"/>
      <c r="AA343" s="16"/>
      <c r="AB343" s="16"/>
      <c r="AC343" s="16"/>
      <c r="AD343" s="16"/>
    </row>
    <row r="344" spans="1:30" ht="12.9">
      <c r="A344" s="16"/>
      <c r="B344" s="24"/>
      <c r="C344" s="196"/>
      <c r="D344" s="196"/>
      <c r="E344" s="196"/>
      <c r="F344" s="16"/>
      <c r="G344" s="24"/>
      <c r="H344" s="24"/>
      <c r="I344" s="16"/>
      <c r="J344" s="16"/>
      <c r="K344" s="16"/>
      <c r="L344" s="16"/>
      <c r="M344" s="16"/>
      <c r="N344" s="16"/>
      <c r="O344" s="16"/>
      <c r="P344" s="16"/>
      <c r="Q344" s="16"/>
      <c r="R344" s="16"/>
      <c r="S344" s="16"/>
      <c r="T344" s="16"/>
      <c r="U344" s="16"/>
      <c r="V344" s="16"/>
      <c r="W344" s="16"/>
      <c r="X344" s="16"/>
      <c r="Y344" s="16"/>
      <c r="Z344" s="16"/>
      <c r="AA344" s="16"/>
      <c r="AB344" s="16"/>
      <c r="AC344" s="16"/>
      <c r="AD344" s="16"/>
    </row>
    <row r="345" spans="1:30" ht="12.9">
      <c r="A345" s="16"/>
      <c r="B345" s="24"/>
      <c r="C345" s="196"/>
      <c r="D345" s="196"/>
      <c r="E345" s="196"/>
      <c r="F345" s="16"/>
      <c r="G345" s="24"/>
      <c r="H345" s="24"/>
      <c r="I345" s="16"/>
      <c r="J345" s="16"/>
      <c r="K345" s="16"/>
      <c r="L345" s="16"/>
      <c r="M345" s="16"/>
      <c r="N345" s="16"/>
      <c r="O345" s="16"/>
      <c r="P345" s="16"/>
      <c r="Q345" s="16"/>
      <c r="R345" s="16"/>
      <c r="S345" s="16"/>
      <c r="T345" s="16"/>
      <c r="U345" s="16"/>
      <c r="V345" s="16"/>
      <c r="W345" s="16"/>
      <c r="X345" s="16"/>
      <c r="Y345" s="16"/>
      <c r="Z345" s="16"/>
      <c r="AA345" s="16"/>
      <c r="AB345" s="16"/>
      <c r="AC345" s="16"/>
      <c r="AD345" s="16"/>
    </row>
    <row r="346" spans="1:30" ht="12.9">
      <c r="A346" s="16"/>
      <c r="B346" s="24"/>
      <c r="C346" s="196"/>
      <c r="D346" s="196"/>
      <c r="E346" s="196"/>
      <c r="F346" s="16"/>
      <c r="G346" s="24"/>
      <c r="H346" s="24"/>
      <c r="I346" s="16"/>
      <c r="J346" s="16"/>
      <c r="K346" s="16"/>
      <c r="L346" s="16"/>
      <c r="M346" s="16"/>
      <c r="N346" s="16"/>
      <c r="O346" s="16"/>
      <c r="P346" s="16"/>
      <c r="Q346" s="16"/>
      <c r="R346" s="16"/>
      <c r="S346" s="16"/>
      <c r="T346" s="16"/>
      <c r="U346" s="16"/>
      <c r="V346" s="16"/>
      <c r="W346" s="16"/>
      <c r="X346" s="16"/>
      <c r="Y346" s="16"/>
      <c r="Z346" s="16"/>
      <c r="AA346" s="16"/>
      <c r="AB346" s="16"/>
      <c r="AC346" s="16"/>
      <c r="AD346" s="16"/>
    </row>
    <row r="347" spans="1:30" ht="12.9">
      <c r="A347" s="16"/>
      <c r="B347" s="24"/>
      <c r="C347" s="196"/>
      <c r="D347" s="196"/>
      <c r="E347" s="196"/>
      <c r="F347" s="16"/>
      <c r="G347" s="24"/>
      <c r="H347" s="24"/>
      <c r="I347" s="16"/>
      <c r="J347" s="16"/>
      <c r="K347" s="16"/>
      <c r="L347" s="16"/>
      <c r="M347" s="16"/>
      <c r="N347" s="16"/>
      <c r="O347" s="16"/>
      <c r="P347" s="16"/>
      <c r="Q347" s="16"/>
      <c r="R347" s="16"/>
      <c r="S347" s="16"/>
      <c r="T347" s="16"/>
      <c r="U347" s="16"/>
      <c r="V347" s="16"/>
      <c r="W347" s="16"/>
      <c r="X347" s="16"/>
      <c r="Y347" s="16"/>
      <c r="Z347" s="16"/>
      <c r="AA347" s="16"/>
      <c r="AB347" s="16"/>
      <c r="AC347" s="16"/>
      <c r="AD347" s="16"/>
    </row>
    <row r="348" spans="1:30" ht="12.9">
      <c r="A348" s="16"/>
      <c r="B348" s="24"/>
      <c r="C348" s="196"/>
      <c r="D348" s="196"/>
      <c r="E348" s="196"/>
      <c r="F348" s="16"/>
      <c r="G348" s="24"/>
      <c r="H348" s="24"/>
      <c r="I348" s="16"/>
      <c r="J348" s="16"/>
      <c r="K348" s="16"/>
      <c r="L348" s="16"/>
      <c r="M348" s="16"/>
      <c r="N348" s="16"/>
      <c r="O348" s="16"/>
      <c r="P348" s="16"/>
      <c r="Q348" s="16"/>
      <c r="R348" s="16"/>
      <c r="S348" s="16"/>
      <c r="T348" s="16"/>
      <c r="U348" s="16"/>
      <c r="V348" s="16"/>
      <c r="W348" s="16"/>
      <c r="X348" s="16"/>
      <c r="Y348" s="16"/>
      <c r="Z348" s="16"/>
      <c r="AA348" s="16"/>
      <c r="AB348" s="16"/>
      <c r="AC348" s="16"/>
      <c r="AD348" s="16"/>
    </row>
    <row r="349" spans="1:30" ht="12.9">
      <c r="A349" s="16"/>
      <c r="B349" s="24"/>
      <c r="C349" s="196"/>
      <c r="D349" s="196"/>
      <c r="E349" s="196"/>
      <c r="F349" s="16"/>
      <c r="G349" s="24"/>
      <c r="H349" s="24"/>
      <c r="I349" s="16"/>
      <c r="J349" s="16"/>
      <c r="K349" s="16"/>
      <c r="L349" s="16"/>
      <c r="M349" s="16"/>
      <c r="N349" s="16"/>
      <c r="O349" s="16"/>
      <c r="P349" s="16"/>
      <c r="Q349" s="16"/>
      <c r="R349" s="16"/>
      <c r="S349" s="16"/>
      <c r="T349" s="16"/>
      <c r="U349" s="16"/>
      <c r="V349" s="16"/>
      <c r="W349" s="16"/>
      <c r="X349" s="16"/>
      <c r="Y349" s="16"/>
      <c r="Z349" s="16"/>
      <c r="AA349" s="16"/>
      <c r="AB349" s="16"/>
      <c r="AC349" s="16"/>
      <c r="AD349" s="16"/>
    </row>
    <row r="350" spans="1:30" ht="12.9">
      <c r="A350" s="16"/>
      <c r="B350" s="24"/>
      <c r="C350" s="196"/>
      <c r="D350" s="196"/>
      <c r="E350" s="196"/>
      <c r="F350" s="16"/>
      <c r="G350" s="24"/>
      <c r="H350" s="24"/>
      <c r="I350" s="16"/>
      <c r="J350" s="16"/>
      <c r="K350" s="16"/>
      <c r="L350" s="16"/>
      <c r="M350" s="16"/>
      <c r="N350" s="16"/>
      <c r="O350" s="16"/>
      <c r="P350" s="16"/>
      <c r="Q350" s="16"/>
      <c r="R350" s="16"/>
      <c r="S350" s="16"/>
      <c r="T350" s="16"/>
      <c r="U350" s="16"/>
      <c r="V350" s="16"/>
      <c r="W350" s="16"/>
      <c r="X350" s="16"/>
      <c r="Y350" s="16"/>
      <c r="Z350" s="16"/>
      <c r="AA350" s="16"/>
      <c r="AB350" s="16"/>
      <c r="AC350" s="16"/>
      <c r="AD350" s="16"/>
    </row>
    <row r="351" spans="1:30" ht="12.9">
      <c r="A351" s="16"/>
      <c r="B351" s="24"/>
      <c r="C351" s="196"/>
      <c r="D351" s="196"/>
      <c r="E351" s="196"/>
      <c r="F351" s="16"/>
      <c r="G351" s="24"/>
      <c r="H351" s="24"/>
      <c r="I351" s="16"/>
      <c r="J351" s="16"/>
      <c r="K351" s="16"/>
      <c r="L351" s="16"/>
      <c r="M351" s="16"/>
      <c r="N351" s="16"/>
      <c r="O351" s="16"/>
      <c r="P351" s="16"/>
      <c r="Q351" s="16"/>
      <c r="R351" s="16"/>
      <c r="S351" s="16"/>
      <c r="T351" s="16"/>
      <c r="U351" s="16"/>
      <c r="V351" s="16"/>
      <c r="W351" s="16"/>
      <c r="X351" s="16"/>
      <c r="Y351" s="16"/>
      <c r="Z351" s="16"/>
      <c r="AA351" s="16"/>
      <c r="AB351" s="16"/>
      <c r="AC351" s="16"/>
      <c r="AD351" s="16"/>
    </row>
    <row r="352" spans="1:30" ht="12.9">
      <c r="A352" s="16"/>
      <c r="B352" s="24"/>
      <c r="C352" s="196"/>
      <c r="D352" s="196"/>
      <c r="E352" s="196"/>
      <c r="F352" s="16"/>
      <c r="G352" s="24"/>
      <c r="H352" s="24"/>
      <c r="I352" s="16"/>
      <c r="J352" s="16"/>
      <c r="K352" s="16"/>
      <c r="L352" s="16"/>
      <c r="M352" s="16"/>
      <c r="N352" s="16"/>
      <c r="O352" s="16"/>
      <c r="P352" s="16"/>
      <c r="Q352" s="16"/>
      <c r="R352" s="16"/>
      <c r="S352" s="16"/>
      <c r="T352" s="16"/>
      <c r="U352" s="16"/>
      <c r="V352" s="16"/>
      <c r="W352" s="16"/>
      <c r="X352" s="16"/>
      <c r="Y352" s="16"/>
      <c r="Z352" s="16"/>
      <c r="AA352" s="16"/>
      <c r="AB352" s="16"/>
      <c r="AC352" s="16"/>
      <c r="AD352" s="16"/>
    </row>
    <row r="353" spans="1:30" ht="12.9">
      <c r="A353" s="16"/>
      <c r="B353" s="24"/>
      <c r="C353" s="196"/>
      <c r="D353" s="196"/>
      <c r="E353" s="196"/>
      <c r="F353" s="16"/>
      <c r="G353" s="24"/>
      <c r="H353" s="24"/>
      <c r="I353" s="16"/>
      <c r="J353" s="16"/>
      <c r="K353" s="16"/>
      <c r="L353" s="16"/>
      <c r="M353" s="16"/>
      <c r="N353" s="16"/>
      <c r="O353" s="16"/>
      <c r="P353" s="16"/>
      <c r="Q353" s="16"/>
      <c r="R353" s="16"/>
      <c r="S353" s="16"/>
      <c r="T353" s="16"/>
      <c r="U353" s="16"/>
      <c r="V353" s="16"/>
      <c r="W353" s="16"/>
      <c r="X353" s="16"/>
      <c r="Y353" s="16"/>
      <c r="Z353" s="16"/>
      <c r="AA353" s="16"/>
      <c r="AB353" s="16"/>
      <c r="AC353" s="16"/>
      <c r="AD353" s="16"/>
    </row>
    <row r="354" spans="1:30" ht="12.9">
      <c r="A354" s="16"/>
      <c r="B354" s="24"/>
      <c r="C354" s="196"/>
      <c r="D354" s="196"/>
      <c r="E354" s="196"/>
      <c r="F354" s="16"/>
      <c r="G354" s="24"/>
      <c r="H354" s="24"/>
      <c r="I354" s="16"/>
      <c r="J354" s="16"/>
      <c r="K354" s="16"/>
      <c r="L354" s="16"/>
      <c r="M354" s="16"/>
      <c r="N354" s="16"/>
      <c r="O354" s="16"/>
      <c r="P354" s="16"/>
      <c r="Q354" s="16"/>
      <c r="R354" s="16"/>
      <c r="S354" s="16"/>
      <c r="T354" s="16"/>
      <c r="U354" s="16"/>
      <c r="V354" s="16"/>
      <c r="W354" s="16"/>
      <c r="X354" s="16"/>
      <c r="Y354" s="16"/>
      <c r="Z354" s="16"/>
      <c r="AA354" s="16"/>
      <c r="AB354" s="16"/>
      <c r="AC354" s="16"/>
      <c r="AD354" s="16"/>
    </row>
    <row r="355" spans="1:30" ht="12.9">
      <c r="A355" s="16"/>
      <c r="B355" s="24"/>
      <c r="C355" s="196"/>
      <c r="D355" s="196"/>
      <c r="E355" s="196"/>
      <c r="F355" s="16"/>
      <c r="G355" s="24"/>
      <c r="H355" s="24"/>
      <c r="I355" s="16"/>
      <c r="J355" s="16"/>
      <c r="K355" s="16"/>
      <c r="L355" s="16"/>
      <c r="M355" s="16"/>
      <c r="N355" s="16"/>
      <c r="O355" s="16"/>
      <c r="P355" s="16"/>
      <c r="Q355" s="16"/>
      <c r="R355" s="16"/>
      <c r="S355" s="16"/>
      <c r="T355" s="16"/>
      <c r="U355" s="16"/>
      <c r="V355" s="16"/>
      <c r="W355" s="16"/>
      <c r="X355" s="16"/>
      <c r="Y355" s="16"/>
      <c r="Z355" s="16"/>
      <c r="AA355" s="16"/>
      <c r="AB355" s="16"/>
      <c r="AC355" s="16"/>
      <c r="AD355" s="16"/>
    </row>
    <row r="356" spans="1:30" ht="12.9">
      <c r="A356" s="16"/>
      <c r="B356" s="24"/>
      <c r="C356" s="196"/>
      <c r="D356" s="196"/>
      <c r="E356" s="196"/>
      <c r="F356" s="16"/>
      <c r="G356" s="24"/>
      <c r="H356" s="24"/>
      <c r="I356" s="16"/>
      <c r="J356" s="16"/>
      <c r="K356" s="16"/>
      <c r="L356" s="16"/>
      <c r="M356" s="16"/>
      <c r="N356" s="16"/>
      <c r="O356" s="16"/>
      <c r="P356" s="16"/>
      <c r="Q356" s="16"/>
      <c r="R356" s="16"/>
      <c r="S356" s="16"/>
      <c r="T356" s="16"/>
      <c r="U356" s="16"/>
      <c r="V356" s="16"/>
      <c r="W356" s="16"/>
      <c r="X356" s="16"/>
      <c r="Y356" s="16"/>
      <c r="Z356" s="16"/>
      <c r="AA356" s="16"/>
      <c r="AB356" s="16"/>
      <c r="AC356" s="16"/>
      <c r="AD356" s="16"/>
    </row>
    <row r="357" spans="1:30" ht="12.9">
      <c r="A357" s="16"/>
      <c r="B357" s="24"/>
      <c r="C357" s="196"/>
      <c r="D357" s="196"/>
      <c r="E357" s="196"/>
      <c r="F357" s="16"/>
      <c r="G357" s="24"/>
      <c r="H357" s="24"/>
      <c r="I357" s="16"/>
      <c r="J357" s="16"/>
      <c r="K357" s="16"/>
      <c r="L357" s="16"/>
      <c r="M357" s="16"/>
      <c r="N357" s="16"/>
      <c r="O357" s="16"/>
      <c r="P357" s="16"/>
      <c r="Q357" s="16"/>
      <c r="R357" s="16"/>
      <c r="S357" s="16"/>
      <c r="T357" s="16"/>
      <c r="U357" s="16"/>
      <c r="V357" s="16"/>
      <c r="W357" s="16"/>
      <c r="X357" s="16"/>
      <c r="Y357" s="16"/>
      <c r="Z357" s="16"/>
      <c r="AA357" s="16"/>
      <c r="AB357" s="16"/>
      <c r="AC357" s="16"/>
      <c r="AD357" s="16"/>
    </row>
    <row r="358" spans="1:30" ht="12.9">
      <c r="A358" s="16"/>
      <c r="B358" s="24"/>
      <c r="C358" s="196"/>
      <c r="D358" s="196"/>
      <c r="E358" s="196"/>
      <c r="F358" s="16"/>
      <c r="G358" s="24"/>
      <c r="H358" s="24"/>
      <c r="I358" s="16"/>
      <c r="J358" s="16"/>
      <c r="K358" s="16"/>
      <c r="L358" s="16"/>
      <c r="M358" s="16"/>
      <c r="N358" s="16"/>
      <c r="O358" s="16"/>
      <c r="P358" s="16"/>
      <c r="Q358" s="16"/>
      <c r="R358" s="16"/>
      <c r="S358" s="16"/>
      <c r="T358" s="16"/>
      <c r="U358" s="16"/>
      <c r="V358" s="16"/>
      <c r="W358" s="16"/>
      <c r="X358" s="16"/>
      <c r="Y358" s="16"/>
      <c r="Z358" s="16"/>
      <c r="AA358" s="16"/>
      <c r="AB358" s="16"/>
      <c r="AC358" s="16"/>
      <c r="AD358" s="16"/>
    </row>
    <row r="359" spans="1:30" ht="12.9">
      <c r="A359" s="16"/>
      <c r="B359" s="24"/>
      <c r="C359" s="196"/>
      <c r="D359" s="196"/>
      <c r="E359" s="196"/>
      <c r="F359" s="16"/>
      <c r="G359" s="24"/>
      <c r="H359" s="24"/>
      <c r="I359" s="16"/>
      <c r="J359" s="16"/>
      <c r="K359" s="16"/>
      <c r="L359" s="16"/>
      <c r="M359" s="16"/>
      <c r="N359" s="16"/>
      <c r="O359" s="16"/>
      <c r="P359" s="16"/>
      <c r="Q359" s="16"/>
      <c r="R359" s="16"/>
      <c r="S359" s="16"/>
      <c r="T359" s="16"/>
      <c r="U359" s="16"/>
      <c r="V359" s="16"/>
      <c r="W359" s="16"/>
      <c r="X359" s="16"/>
      <c r="Y359" s="16"/>
      <c r="Z359" s="16"/>
      <c r="AA359" s="16"/>
      <c r="AB359" s="16"/>
      <c r="AC359" s="16"/>
      <c r="AD359" s="16"/>
    </row>
    <row r="360" spans="1:30" ht="12.9">
      <c r="A360" s="16"/>
      <c r="B360" s="24"/>
      <c r="C360" s="196"/>
      <c r="D360" s="196"/>
      <c r="E360" s="196"/>
      <c r="F360" s="16"/>
      <c r="G360" s="24"/>
      <c r="H360" s="24"/>
      <c r="I360" s="16"/>
      <c r="J360" s="16"/>
      <c r="K360" s="16"/>
      <c r="L360" s="16"/>
      <c r="M360" s="16"/>
      <c r="N360" s="16"/>
      <c r="O360" s="16"/>
      <c r="P360" s="16"/>
      <c r="Q360" s="16"/>
      <c r="R360" s="16"/>
      <c r="S360" s="16"/>
      <c r="T360" s="16"/>
      <c r="U360" s="16"/>
      <c r="V360" s="16"/>
      <c r="W360" s="16"/>
      <c r="X360" s="16"/>
      <c r="Y360" s="16"/>
      <c r="Z360" s="16"/>
      <c r="AA360" s="16"/>
      <c r="AB360" s="16"/>
      <c r="AC360" s="16"/>
      <c r="AD360" s="16"/>
    </row>
    <row r="361" spans="1:30" ht="12.9">
      <c r="A361" s="16"/>
      <c r="B361" s="24"/>
      <c r="C361" s="196"/>
      <c r="D361" s="196"/>
      <c r="E361" s="196"/>
      <c r="F361" s="16"/>
      <c r="G361" s="24"/>
      <c r="H361" s="24"/>
      <c r="I361" s="16"/>
      <c r="J361" s="16"/>
      <c r="K361" s="16"/>
      <c r="L361" s="16"/>
      <c r="M361" s="16"/>
      <c r="N361" s="16"/>
      <c r="O361" s="16"/>
      <c r="P361" s="16"/>
      <c r="Q361" s="16"/>
      <c r="R361" s="16"/>
      <c r="S361" s="16"/>
      <c r="T361" s="16"/>
      <c r="U361" s="16"/>
      <c r="V361" s="16"/>
      <c r="W361" s="16"/>
      <c r="X361" s="16"/>
      <c r="Y361" s="16"/>
      <c r="Z361" s="16"/>
      <c r="AA361" s="16"/>
      <c r="AB361" s="16"/>
      <c r="AC361" s="16"/>
      <c r="AD361" s="16"/>
    </row>
    <row r="362" spans="1:30" ht="12.9">
      <c r="A362" s="16"/>
      <c r="B362" s="24"/>
      <c r="C362" s="196"/>
      <c r="D362" s="196"/>
      <c r="E362" s="196"/>
      <c r="F362" s="16"/>
      <c r="G362" s="24"/>
      <c r="H362" s="24"/>
      <c r="I362" s="16"/>
      <c r="J362" s="16"/>
      <c r="K362" s="16"/>
      <c r="L362" s="16"/>
      <c r="M362" s="16"/>
      <c r="N362" s="16"/>
      <c r="O362" s="16"/>
      <c r="P362" s="16"/>
      <c r="Q362" s="16"/>
      <c r="R362" s="16"/>
      <c r="S362" s="16"/>
      <c r="T362" s="16"/>
      <c r="U362" s="16"/>
      <c r="V362" s="16"/>
      <c r="W362" s="16"/>
      <c r="X362" s="16"/>
      <c r="Y362" s="16"/>
      <c r="Z362" s="16"/>
      <c r="AA362" s="16"/>
      <c r="AB362" s="16"/>
      <c r="AC362" s="16"/>
      <c r="AD362" s="16"/>
    </row>
    <row r="363" spans="1:30" ht="12.9">
      <c r="A363" s="16"/>
      <c r="B363" s="24"/>
      <c r="C363" s="196"/>
      <c r="D363" s="196"/>
      <c r="E363" s="196"/>
      <c r="F363" s="16"/>
      <c r="G363" s="24"/>
      <c r="H363" s="24"/>
      <c r="I363" s="16"/>
      <c r="J363" s="16"/>
      <c r="K363" s="16"/>
      <c r="L363" s="16"/>
      <c r="M363" s="16"/>
      <c r="N363" s="16"/>
      <c r="O363" s="16"/>
      <c r="P363" s="16"/>
      <c r="Q363" s="16"/>
      <c r="R363" s="16"/>
      <c r="S363" s="16"/>
      <c r="T363" s="16"/>
      <c r="U363" s="16"/>
      <c r="V363" s="16"/>
      <c r="W363" s="16"/>
      <c r="X363" s="16"/>
      <c r="Y363" s="16"/>
      <c r="Z363" s="16"/>
      <c r="AA363" s="16"/>
      <c r="AB363" s="16"/>
      <c r="AC363" s="16"/>
      <c r="AD363" s="16"/>
    </row>
    <row r="364" spans="1:30" ht="12.9">
      <c r="A364" s="16"/>
      <c r="B364" s="24"/>
      <c r="C364" s="196"/>
      <c r="D364" s="196"/>
      <c r="E364" s="196"/>
      <c r="F364" s="16"/>
      <c r="G364" s="24"/>
      <c r="H364" s="24"/>
      <c r="I364" s="16"/>
      <c r="J364" s="16"/>
      <c r="K364" s="16"/>
      <c r="L364" s="16"/>
      <c r="M364" s="16"/>
      <c r="N364" s="16"/>
      <c r="O364" s="16"/>
      <c r="P364" s="16"/>
      <c r="Q364" s="16"/>
      <c r="R364" s="16"/>
      <c r="S364" s="16"/>
      <c r="T364" s="16"/>
      <c r="U364" s="16"/>
      <c r="V364" s="16"/>
      <c r="W364" s="16"/>
      <c r="X364" s="16"/>
      <c r="Y364" s="16"/>
      <c r="Z364" s="16"/>
      <c r="AA364" s="16"/>
      <c r="AB364" s="16"/>
      <c r="AC364" s="16"/>
      <c r="AD364" s="16"/>
    </row>
    <row r="365" spans="1:30" ht="12.9">
      <c r="A365" s="16"/>
      <c r="B365" s="24"/>
      <c r="C365" s="196"/>
      <c r="D365" s="196"/>
      <c r="E365" s="196"/>
      <c r="F365" s="16"/>
      <c r="G365" s="24"/>
      <c r="H365" s="24"/>
      <c r="I365" s="16"/>
      <c r="J365" s="16"/>
      <c r="K365" s="16"/>
      <c r="L365" s="16"/>
      <c r="M365" s="16"/>
      <c r="N365" s="16"/>
      <c r="O365" s="16"/>
      <c r="P365" s="16"/>
      <c r="Q365" s="16"/>
      <c r="R365" s="16"/>
      <c r="S365" s="16"/>
      <c r="T365" s="16"/>
      <c r="U365" s="16"/>
      <c r="V365" s="16"/>
      <c r="W365" s="16"/>
      <c r="X365" s="16"/>
      <c r="Y365" s="16"/>
      <c r="Z365" s="16"/>
      <c r="AA365" s="16"/>
      <c r="AB365" s="16"/>
      <c r="AC365" s="16"/>
      <c r="AD365" s="16"/>
    </row>
    <row r="366" spans="1:30" ht="12.9">
      <c r="A366" s="16"/>
      <c r="B366" s="24"/>
      <c r="C366" s="196"/>
      <c r="D366" s="196"/>
      <c r="E366" s="196"/>
      <c r="F366" s="16"/>
      <c r="G366" s="24"/>
      <c r="H366" s="24"/>
      <c r="I366" s="16"/>
      <c r="J366" s="16"/>
      <c r="K366" s="16"/>
      <c r="L366" s="16"/>
      <c r="M366" s="16"/>
      <c r="N366" s="16"/>
      <c r="O366" s="16"/>
      <c r="P366" s="16"/>
      <c r="Q366" s="16"/>
      <c r="R366" s="16"/>
      <c r="S366" s="16"/>
      <c r="T366" s="16"/>
      <c r="U366" s="16"/>
      <c r="V366" s="16"/>
      <c r="W366" s="16"/>
      <c r="X366" s="16"/>
      <c r="Y366" s="16"/>
      <c r="Z366" s="16"/>
      <c r="AA366" s="16"/>
      <c r="AB366" s="16"/>
      <c r="AC366" s="16"/>
      <c r="AD366" s="16"/>
    </row>
    <row r="367" spans="1:30" ht="12.9">
      <c r="A367" s="16"/>
      <c r="B367" s="24"/>
      <c r="C367" s="196"/>
      <c r="D367" s="196"/>
      <c r="E367" s="196"/>
      <c r="F367" s="16"/>
      <c r="G367" s="24"/>
      <c r="H367" s="24"/>
      <c r="I367" s="16"/>
      <c r="J367" s="16"/>
      <c r="K367" s="16"/>
      <c r="L367" s="16"/>
      <c r="M367" s="16"/>
      <c r="N367" s="16"/>
      <c r="O367" s="16"/>
      <c r="P367" s="16"/>
      <c r="Q367" s="16"/>
      <c r="R367" s="16"/>
      <c r="S367" s="16"/>
      <c r="T367" s="16"/>
      <c r="U367" s="16"/>
      <c r="V367" s="16"/>
      <c r="W367" s="16"/>
      <c r="X367" s="16"/>
      <c r="Y367" s="16"/>
      <c r="Z367" s="16"/>
      <c r="AA367" s="16"/>
      <c r="AB367" s="16"/>
      <c r="AC367" s="16"/>
      <c r="AD367" s="16"/>
    </row>
    <row r="368" spans="1:30" ht="12.9">
      <c r="A368" s="16"/>
      <c r="B368" s="24"/>
      <c r="C368" s="196"/>
      <c r="D368" s="196"/>
      <c r="E368" s="196"/>
      <c r="F368" s="16"/>
      <c r="G368" s="24"/>
      <c r="H368" s="24"/>
      <c r="I368" s="16"/>
      <c r="J368" s="16"/>
      <c r="K368" s="16"/>
      <c r="L368" s="16"/>
      <c r="M368" s="16"/>
      <c r="N368" s="16"/>
      <c r="O368" s="16"/>
      <c r="P368" s="16"/>
      <c r="Q368" s="16"/>
      <c r="R368" s="16"/>
      <c r="S368" s="16"/>
      <c r="T368" s="16"/>
      <c r="U368" s="16"/>
      <c r="V368" s="16"/>
      <c r="W368" s="16"/>
      <c r="X368" s="16"/>
      <c r="Y368" s="16"/>
      <c r="Z368" s="16"/>
      <c r="AA368" s="16"/>
      <c r="AB368" s="16"/>
      <c r="AC368" s="16"/>
      <c r="AD368" s="16"/>
    </row>
    <row r="369" spans="1:30" ht="12.9">
      <c r="A369" s="16"/>
      <c r="B369" s="24"/>
      <c r="C369" s="196"/>
      <c r="D369" s="196"/>
      <c r="E369" s="196"/>
      <c r="F369" s="16"/>
      <c r="G369" s="24"/>
      <c r="H369" s="24"/>
      <c r="I369" s="16"/>
      <c r="J369" s="16"/>
      <c r="K369" s="16"/>
      <c r="L369" s="16"/>
      <c r="M369" s="16"/>
      <c r="N369" s="16"/>
      <c r="O369" s="16"/>
      <c r="P369" s="16"/>
      <c r="Q369" s="16"/>
      <c r="R369" s="16"/>
      <c r="S369" s="16"/>
      <c r="T369" s="16"/>
      <c r="U369" s="16"/>
      <c r="V369" s="16"/>
      <c r="W369" s="16"/>
      <c r="X369" s="16"/>
      <c r="Y369" s="16"/>
      <c r="Z369" s="16"/>
      <c r="AA369" s="16"/>
      <c r="AB369" s="16"/>
      <c r="AC369" s="16"/>
      <c r="AD369" s="16"/>
    </row>
    <row r="370" spans="1:30" ht="12.9">
      <c r="A370" s="16"/>
      <c r="B370" s="24"/>
      <c r="C370" s="196"/>
      <c r="D370" s="196"/>
      <c r="E370" s="196"/>
      <c r="F370" s="16"/>
      <c r="G370" s="24"/>
      <c r="H370" s="24"/>
      <c r="I370" s="16"/>
      <c r="J370" s="16"/>
      <c r="K370" s="16"/>
      <c r="L370" s="16"/>
      <c r="M370" s="16"/>
      <c r="N370" s="16"/>
      <c r="O370" s="16"/>
      <c r="P370" s="16"/>
      <c r="Q370" s="16"/>
      <c r="R370" s="16"/>
      <c r="S370" s="16"/>
      <c r="T370" s="16"/>
      <c r="U370" s="16"/>
      <c r="V370" s="16"/>
      <c r="W370" s="16"/>
      <c r="X370" s="16"/>
      <c r="Y370" s="16"/>
      <c r="Z370" s="16"/>
      <c r="AA370" s="16"/>
      <c r="AB370" s="16"/>
      <c r="AC370" s="16"/>
      <c r="AD370" s="16"/>
    </row>
    <row r="371" spans="1:30" ht="12.9">
      <c r="A371" s="16"/>
      <c r="B371" s="24"/>
      <c r="C371" s="196"/>
      <c r="D371" s="196"/>
      <c r="E371" s="196"/>
      <c r="F371" s="16"/>
      <c r="G371" s="24"/>
      <c r="H371" s="24"/>
      <c r="I371" s="16"/>
      <c r="J371" s="16"/>
      <c r="K371" s="16"/>
      <c r="L371" s="16"/>
      <c r="M371" s="16"/>
      <c r="N371" s="16"/>
      <c r="O371" s="16"/>
      <c r="P371" s="16"/>
      <c r="Q371" s="16"/>
      <c r="R371" s="16"/>
      <c r="S371" s="16"/>
      <c r="T371" s="16"/>
      <c r="U371" s="16"/>
      <c r="V371" s="16"/>
      <c r="W371" s="16"/>
      <c r="X371" s="16"/>
      <c r="Y371" s="16"/>
      <c r="Z371" s="16"/>
      <c r="AA371" s="16"/>
      <c r="AB371" s="16"/>
      <c r="AC371" s="16"/>
      <c r="AD371" s="16"/>
    </row>
    <row r="372" spans="1:30" ht="12.9">
      <c r="A372" s="16"/>
      <c r="B372" s="24"/>
      <c r="C372" s="196"/>
      <c r="D372" s="196"/>
      <c r="E372" s="196"/>
      <c r="F372" s="16"/>
      <c r="G372" s="24"/>
      <c r="H372" s="24"/>
      <c r="I372" s="16"/>
      <c r="J372" s="16"/>
      <c r="K372" s="16"/>
      <c r="L372" s="16"/>
      <c r="M372" s="16"/>
      <c r="N372" s="16"/>
      <c r="O372" s="16"/>
      <c r="P372" s="16"/>
      <c r="Q372" s="16"/>
      <c r="R372" s="16"/>
      <c r="S372" s="16"/>
      <c r="T372" s="16"/>
      <c r="U372" s="16"/>
      <c r="V372" s="16"/>
      <c r="W372" s="16"/>
      <c r="X372" s="16"/>
      <c r="Y372" s="16"/>
      <c r="Z372" s="16"/>
      <c r="AA372" s="16"/>
      <c r="AB372" s="16"/>
      <c r="AC372" s="16"/>
      <c r="AD372" s="16"/>
    </row>
    <row r="373" spans="1:30" ht="12.9">
      <c r="A373" s="16"/>
      <c r="B373" s="24"/>
      <c r="C373" s="196"/>
      <c r="D373" s="196"/>
      <c r="E373" s="196"/>
      <c r="F373" s="16"/>
      <c r="G373" s="24"/>
      <c r="H373" s="24"/>
      <c r="I373" s="16"/>
      <c r="J373" s="16"/>
      <c r="K373" s="16"/>
      <c r="L373" s="16"/>
      <c r="M373" s="16"/>
      <c r="N373" s="16"/>
      <c r="O373" s="16"/>
      <c r="P373" s="16"/>
      <c r="Q373" s="16"/>
      <c r="R373" s="16"/>
      <c r="S373" s="16"/>
      <c r="T373" s="16"/>
      <c r="U373" s="16"/>
      <c r="V373" s="16"/>
      <c r="W373" s="16"/>
      <c r="X373" s="16"/>
      <c r="Y373" s="16"/>
      <c r="Z373" s="16"/>
      <c r="AA373" s="16"/>
      <c r="AB373" s="16"/>
      <c r="AC373" s="16"/>
      <c r="AD373" s="16"/>
    </row>
    <row r="374" spans="1:30" ht="12.9">
      <c r="A374" s="16"/>
      <c r="B374" s="24"/>
      <c r="C374" s="196"/>
      <c r="D374" s="196"/>
      <c r="E374" s="196"/>
      <c r="F374" s="16"/>
      <c r="G374" s="24"/>
      <c r="H374" s="24"/>
      <c r="I374" s="16"/>
      <c r="J374" s="16"/>
      <c r="K374" s="16"/>
      <c r="L374" s="16"/>
      <c r="M374" s="16"/>
      <c r="N374" s="16"/>
      <c r="O374" s="16"/>
      <c r="P374" s="16"/>
      <c r="Q374" s="16"/>
      <c r="R374" s="16"/>
      <c r="S374" s="16"/>
      <c r="T374" s="16"/>
      <c r="U374" s="16"/>
      <c r="V374" s="16"/>
      <c r="W374" s="16"/>
      <c r="X374" s="16"/>
      <c r="Y374" s="16"/>
      <c r="Z374" s="16"/>
      <c r="AA374" s="16"/>
      <c r="AB374" s="16"/>
      <c r="AC374" s="16"/>
      <c r="AD374" s="16"/>
    </row>
    <row r="375" spans="1:30" ht="12.9">
      <c r="A375" s="16"/>
      <c r="B375" s="24"/>
      <c r="C375" s="196"/>
      <c r="D375" s="196"/>
      <c r="E375" s="196"/>
      <c r="F375" s="16"/>
      <c r="G375" s="24"/>
      <c r="H375" s="24"/>
      <c r="I375" s="16"/>
      <c r="J375" s="16"/>
      <c r="K375" s="16"/>
      <c r="L375" s="16"/>
      <c r="M375" s="16"/>
      <c r="N375" s="16"/>
      <c r="O375" s="16"/>
      <c r="P375" s="16"/>
      <c r="Q375" s="16"/>
      <c r="R375" s="16"/>
      <c r="S375" s="16"/>
      <c r="T375" s="16"/>
      <c r="U375" s="16"/>
      <c r="V375" s="16"/>
      <c r="W375" s="16"/>
      <c r="X375" s="16"/>
      <c r="Y375" s="16"/>
      <c r="Z375" s="16"/>
      <c r="AA375" s="16"/>
      <c r="AB375" s="16"/>
      <c r="AC375" s="16"/>
      <c r="AD375" s="16"/>
    </row>
    <row r="376" spans="1:30" ht="12.9">
      <c r="A376" s="16"/>
      <c r="B376" s="24"/>
      <c r="C376" s="196"/>
      <c r="D376" s="196"/>
      <c r="E376" s="196"/>
      <c r="F376" s="16"/>
      <c r="G376" s="24"/>
      <c r="H376" s="24"/>
      <c r="I376" s="16"/>
      <c r="J376" s="16"/>
      <c r="K376" s="16"/>
      <c r="L376" s="16"/>
      <c r="M376" s="16"/>
      <c r="N376" s="16"/>
      <c r="O376" s="16"/>
      <c r="P376" s="16"/>
      <c r="Q376" s="16"/>
      <c r="R376" s="16"/>
      <c r="S376" s="16"/>
      <c r="T376" s="16"/>
      <c r="U376" s="16"/>
      <c r="V376" s="16"/>
      <c r="W376" s="16"/>
      <c r="X376" s="16"/>
      <c r="Y376" s="16"/>
      <c r="Z376" s="16"/>
      <c r="AA376" s="16"/>
      <c r="AB376" s="16"/>
      <c r="AC376" s="16"/>
      <c r="AD376" s="16"/>
    </row>
    <row r="377" spans="1:30" ht="12.9">
      <c r="A377" s="16"/>
      <c r="B377" s="24"/>
      <c r="C377" s="196"/>
      <c r="D377" s="196"/>
      <c r="E377" s="196"/>
      <c r="F377" s="16"/>
      <c r="G377" s="24"/>
      <c r="H377" s="24"/>
      <c r="I377" s="16"/>
      <c r="J377" s="16"/>
      <c r="K377" s="16"/>
      <c r="L377" s="16"/>
      <c r="M377" s="16"/>
      <c r="N377" s="16"/>
      <c r="O377" s="16"/>
      <c r="P377" s="16"/>
      <c r="Q377" s="16"/>
      <c r="R377" s="16"/>
      <c r="S377" s="16"/>
      <c r="T377" s="16"/>
      <c r="U377" s="16"/>
      <c r="V377" s="16"/>
      <c r="W377" s="16"/>
      <c r="X377" s="16"/>
      <c r="Y377" s="16"/>
      <c r="Z377" s="16"/>
      <c r="AA377" s="16"/>
      <c r="AB377" s="16"/>
      <c r="AC377" s="16"/>
      <c r="AD377" s="16"/>
    </row>
    <row r="378" spans="1:30" ht="12.9">
      <c r="A378" s="16"/>
      <c r="B378" s="24"/>
      <c r="C378" s="196"/>
      <c r="D378" s="196"/>
      <c r="E378" s="196"/>
      <c r="F378" s="16"/>
      <c r="G378" s="24"/>
      <c r="H378" s="24"/>
      <c r="I378" s="16"/>
      <c r="J378" s="16"/>
      <c r="K378" s="16"/>
      <c r="L378" s="16"/>
      <c r="M378" s="16"/>
      <c r="N378" s="16"/>
      <c r="O378" s="16"/>
      <c r="P378" s="16"/>
      <c r="Q378" s="16"/>
      <c r="R378" s="16"/>
      <c r="S378" s="16"/>
      <c r="T378" s="16"/>
      <c r="U378" s="16"/>
      <c r="V378" s="16"/>
      <c r="W378" s="16"/>
      <c r="X378" s="16"/>
      <c r="Y378" s="16"/>
      <c r="Z378" s="16"/>
      <c r="AA378" s="16"/>
      <c r="AB378" s="16"/>
      <c r="AC378" s="16"/>
      <c r="AD378" s="16"/>
    </row>
    <row r="379" spans="1:30" ht="12.9">
      <c r="A379" s="16"/>
      <c r="B379" s="24"/>
      <c r="C379" s="196"/>
      <c r="D379" s="196"/>
      <c r="E379" s="196"/>
      <c r="F379" s="16"/>
      <c r="G379" s="24"/>
      <c r="H379" s="24"/>
      <c r="I379" s="16"/>
      <c r="J379" s="16"/>
      <c r="K379" s="16"/>
      <c r="L379" s="16"/>
      <c r="M379" s="16"/>
      <c r="N379" s="16"/>
      <c r="O379" s="16"/>
      <c r="P379" s="16"/>
      <c r="Q379" s="16"/>
      <c r="R379" s="16"/>
      <c r="S379" s="16"/>
      <c r="T379" s="16"/>
      <c r="U379" s="16"/>
      <c r="V379" s="16"/>
      <c r="W379" s="16"/>
      <c r="X379" s="16"/>
      <c r="Y379" s="16"/>
      <c r="Z379" s="16"/>
      <c r="AA379" s="16"/>
      <c r="AB379" s="16"/>
      <c r="AC379" s="16"/>
      <c r="AD379" s="16"/>
    </row>
    <row r="380" spans="1:30" ht="12.9">
      <c r="A380" s="16"/>
      <c r="B380" s="24"/>
      <c r="C380" s="196"/>
      <c r="D380" s="196"/>
      <c r="E380" s="196"/>
      <c r="F380" s="16"/>
      <c r="G380" s="24"/>
      <c r="H380" s="24"/>
      <c r="I380" s="16"/>
      <c r="J380" s="16"/>
      <c r="K380" s="16"/>
      <c r="L380" s="16"/>
      <c r="M380" s="16"/>
      <c r="N380" s="16"/>
      <c r="O380" s="16"/>
      <c r="P380" s="16"/>
      <c r="Q380" s="16"/>
      <c r="R380" s="16"/>
      <c r="S380" s="16"/>
      <c r="T380" s="16"/>
      <c r="U380" s="16"/>
      <c r="V380" s="16"/>
      <c r="W380" s="16"/>
      <c r="X380" s="16"/>
      <c r="Y380" s="16"/>
      <c r="Z380" s="16"/>
      <c r="AA380" s="16"/>
      <c r="AB380" s="16"/>
      <c r="AC380" s="16"/>
      <c r="AD380" s="16"/>
    </row>
    <row r="381" spans="1:30" ht="12.9">
      <c r="A381" s="16"/>
      <c r="B381" s="24"/>
      <c r="C381" s="196"/>
      <c r="D381" s="196"/>
      <c r="E381" s="196"/>
      <c r="F381" s="16"/>
      <c r="G381" s="24"/>
      <c r="H381" s="24"/>
      <c r="I381" s="16"/>
      <c r="J381" s="16"/>
      <c r="K381" s="16"/>
      <c r="L381" s="16"/>
      <c r="M381" s="16"/>
      <c r="N381" s="16"/>
      <c r="O381" s="16"/>
      <c r="P381" s="16"/>
      <c r="Q381" s="16"/>
      <c r="R381" s="16"/>
      <c r="S381" s="16"/>
      <c r="T381" s="16"/>
      <c r="U381" s="16"/>
      <c r="V381" s="16"/>
      <c r="W381" s="16"/>
      <c r="X381" s="16"/>
      <c r="Y381" s="16"/>
      <c r="Z381" s="16"/>
      <c r="AA381" s="16"/>
      <c r="AB381" s="16"/>
      <c r="AC381" s="16"/>
      <c r="AD381" s="16"/>
    </row>
    <row r="382" spans="1:30" ht="12.9">
      <c r="A382" s="16"/>
      <c r="B382" s="24"/>
      <c r="C382" s="196"/>
      <c r="D382" s="196"/>
      <c r="E382" s="196"/>
      <c r="F382" s="16"/>
      <c r="G382" s="24"/>
      <c r="H382" s="24"/>
      <c r="I382" s="16"/>
      <c r="J382" s="16"/>
      <c r="K382" s="16"/>
      <c r="L382" s="16"/>
      <c r="M382" s="16"/>
      <c r="N382" s="16"/>
      <c r="O382" s="16"/>
      <c r="P382" s="16"/>
      <c r="Q382" s="16"/>
      <c r="R382" s="16"/>
      <c r="S382" s="16"/>
      <c r="T382" s="16"/>
      <c r="U382" s="16"/>
      <c r="V382" s="16"/>
      <c r="W382" s="16"/>
      <c r="X382" s="16"/>
      <c r="Y382" s="16"/>
      <c r="Z382" s="16"/>
      <c r="AA382" s="16"/>
      <c r="AB382" s="16"/>
      <c r="AC382" s="16"/>
      <c r="AD382" s="16"/>
    </row>
    <row r="383" spans="1:30" ht="12.9">
      <c r="A383" s="16"/>
      <c r="B383" s="24"/>
      <c r="C383" s="196"/>
      <c r="D383" s="196"/>
      <c r="E383" s="196"/>
      <c r="F383" s="16"/>
      <c r="G383" s="24"/>
      <c r="H383" s="24"/>
      <c r="I383" s="16"/>
      <c r="J383" s="16"/>
      <c r="K383" s="16"/>
      <c r="L383" s="16"/>
      <c r="M383" s="16"/>
      <c r="N383" s="16"/>
      <c r="O383" s="16"/>
      <c r="P383" s="16"/>
      <c r="Q383" s="16"/>
      <c r="R383" s="16"/>
      <c r="S383" s="16"/>
      <c r="T383" s="16"/>
      <c r="U383" s="16"/>
      <c r="V383" s="16"/>
      <c r="W383" s="16"/>
      <c r="X383" s="16"/>
      <c r="Y383" s="16"/>
      <c r="Z383" s="16"/>
      <c r="AA383" s="16"/>
      <c r="AB383" s="16"/>
      <c r="AC383" s="16"/>
      <c r="AD383" s="16"/>
    </row>
    <row r="384" spans="1:30" ht="12.9">
      <c r="A384" s="16"/>
      <c r="B384" s="24"/>
      <c r="C384" s="196"/>
      <c r="D384" s="196"/>
      <c r="E384" s="196"/>
      <c r="F384" s="16"/>
      <c r="G384" s="24"/>
      <c r="H384" s="24"/>
      <c r="I384" s="16"/>
      <c r="J384" s="16"/>
      <c r="K384" s="16"/>
      <c r="L384" s="16"/>
      <c r="M384" s="16"/>
      <c r="N384" s="16"/>
      <c r="O384" s="16"/>
      <c r="P384" s="16"/>
      <c r="Q384" s="16"/>
      <c r="R384" s="16"/>
      <c r="S384" s="16"/>
      <c r="T384" s="16"/>
      <c r="U384" s="16"/>
      <c r="V384" s="16"/>
      <c r="W384" s="16"/>
      <c r="X384" s="16"/>
      <c r="Y384" s="16"/>
      <c r="Z384" s="16"/>
      <c r="AA384" s="16"/>
      <c r="AB384" s="16"/>
      <c r="AC384" s="16"/>
      <c r="AD384" s="16"/>
    </row>
    <row r="385" spans="1:30" ht="12.9">
      <c r="A385" s="16"/>
      <c r="B385" s="24"/>
      <c r="C385" s="196"/>
      <c r="D385" s="196"/>
      <c r="E385" s="196"/>
      <c r="F385" s="16"/>
      <c r="G385" s="24"/>
      <c r="H385" s="24"/>
      <c r="I385" s="16"/>
      <c r="J385" s="16"/>
      <c r="K385" s="16"/>
      <c r="L385" s="16"/>
      <c r="M385" s="16"/>
      <c r="N385" s="16"/>
      <c r="O385" s="16"/>
      <c r="P385" s="16"/>
      <c r="Q385" s="16"/>
      <c r="R385" s="16"/>
      <c r="S385" s="16"/>
      <c r="T385" s="16"/>
      <c r="U385" s="16"/>
      <c r="V385" s="16"/>
      <c r="W385" s="16"/>
      <c r="X385" s="16"/>
      <c r="Y385" s="16"/>
      <c r="Z385" s="16"/>
      <c r="AA385" s="16"/>
      <c r="AB385" s="16"/>
      <c r="AC385" s="16"/>
      <c r="AD385" s="16"/>
    </row>
    <row r="386" spans="1:30" ht="12.9">
      <c r="A386" s="16"/>
      <c r="B386" s="24"/>
      <c r="C386" s="196"/>
      <c r="D386" s="196"/>
      <c r="E386" s="196"/>
      <c r="F386" s="16"/>
      <c r="G386" s="24"/>
      <c r="H386" s="24"/>
      <c r="I386" s="16"/>
      <c r="J386" s="16"/>
      <c r="K386" s="16"/>
      <c r="L386" s="16"/>
      <c r="M386" s="16"/>
      <c r="N386" s="16"/>
      <c r="O386" s="16"/>
      <c r="P386" s="16"/>
      <c r="Q386" s="16"/>
      <c r="R386" s="16"/>
      <c r="S386" s="16"/>
      <c r="T386" s="16"/>
      <c r="U386" s="16"/>
      <c r="V386" s="16"/>
      <c r="W386" s="16"/>
      <c r="X386" s="16"/>
      <c r="Y386" s="16"/>
      <c r="Z386" s="16"/>
      <c r="AA386" s="16"/>
      <c r="AB386" s="16"/>
      <c r="AC386" s="16"/>
      <c r="AD386" s="16"/>
    </row>
    <row r="387" spans="1:30" ht="12.9">
      <c r="A387" s="16"/>
      <c r="B387" s="24"/>
      <c r="C387" s="196"/>
      <c r="D387" s="196"/>
      <c r="E387" s="196"/>
      <c r="F387" s="16"/>
      <c r="G387" s="24"/>
      <c r="H387" s="24"/>
      <c r="I387" s="16"/>
      <c r="J387" s="16"/>
      <c r="K387" s="16"/>
      <c r="L387" s="16"/>
      <c r="M387" s="16"/>
      <c r="N387" s="16"/>
      <c r="O387" s="16"/>
      <c r="P387" s="16"/>
      <c r="Q387" s="16"/>
      <c r="R387" s="16"/>
      <c r="S387" s="16"/>
      <c r="T387" s="16"/>
      <c r="U387" s="16"/>
      <c r="V387" s="16"/>
      <c r="W387" s="16"/>
      <c r="X387" s="16"/>
      <c r="Y387" s="16"/>
      <c r="Z387" s="16"/>
      <c r="AA387" s="16"/>
      <c r="AB387" s="16"/>
      <c r="AC387" s="16"/>
      <c r="AD387" s="16"/>
    </row>
    <row r="388" spans="1:30" ht="12.9">
      <c r="A388" s="16"/>
      <c r="B388" s="24"/>
      <c r="C388" s="196"/>
      <c r="D388" s="196"/>
      <c r="E388" s="196"/>
      <c r="F388" s="16"/>
      <c r="G388" s="24"/>
      <c r="H388" s="24"/>
      <c r="I388" s="16"/>
      <c r="J388" s="16"/>
      <c r="K388" s="16"/>
      <c r="L388" s="16"/>
      <c r="M388" s="16"/>
      <c r="N388" s="16"/>
      <c r="O388" s="16"/>
      <c r="P388" s="16"/>
      <c r="Q388" s="16"/>
      <c r="R388" s="16"/>
      <c r="S388" s="16"/>
      <c r="T388" s="16"/>
      <c r="U388" s="16"/>
      <c r="V388" s="16"/>
      <c r="W388" s="16"/>
      <c r="X388" s="16"/>
      <c r="Y388" s="16"/>
      <c r="Z388" s="16"/>
      <c r="AA388" s="16"/>
      <c r="AB388" s="16"/>
      <c r="AC388" s="16"/>
      <c r="AD388" s="16"/>
    </row>
    <row r="389" spans="1:30" ht="12.9">
      <c r="A389" s="16"/>
      <c r="B389" s="24"/>
      <c r="C389" s="196"/>
      <c r="D389" s="196"/>
      <c r="E389" s="196"/>
      <c r="F389" s="16"/>
      <c r="G389" s="24"/>
      <c r="H389" s="24"/>
      <c r="I389" s="16"/>
      <c r="J389" s="16"/>
      <c r="K389" s="16"/>
      <c r="L389" s="16"/>
      <c r="M389" s="16"/>
      <c r="N389" s="16"/>
      <c r="O389" s="16"/>
      <c r="P389" s="16"/>
      <c r="Q389" s="16"/>
      <c r="R389" s="16"/>
      <c r="S389" s="16"/>
      <c r="T389" s="16"/>
      <c r="U389" s="16"/>
      <c r="V389" s="16"/>
      <c r="W389" s="16"/>
      <c r="X389" s="16"/>
      <c r="Y389" s="16"/>
      <c r="Z389" s="16"/>
      <c r="AA389" s="16"/>
      <c r="AB389" s="16"/>
      <c r="AC389" s="16"/>
      <c r="AD389" s="16"/>
    </row>
    <row r="390" spans="1:30" ht="12.9">
      <c r="A390" s="16"/>
      <c r="B390" s="24"/>
      <c r="C390" s="196"/>
      <c r="D390" s="196"/>
      <c r="E390" s="196"/>
      <c r="F390" s="16"/>
      <c r="G390" s="24"/>
      <c r="H390" s="24"/>
      <c r="I390" s="16"/>
      <c r="J390" s="16"/>
      <c r="K390" s="16"/>
      <c r="L390" s="16"/>
      <c r="M390" s="16"/>
      <c r="N390" s="16"/>
      <c r="O390" s="16"/>
      <c r="P390" s="16"/>
      <c r="Q390" s="16"/>
      <c r="R390" s="16"/>
      <c r="S390" s="16"/>
      <c r="T390" s="16"/>
      <c r="U390" s="16"/>
      <c r="V390" s="16"/>
      <c r="W390" s="16"/>
      <c r="X390" s="16"/>
      <c r="Y390" s="16"/>
      <c r="Z390" s="16"/>
      <c r="AA390" s="16"/>
      <c r="AB390" s="16"/>
      <c r="AC390" s="16"/>
      <c r="AD390" s="16"/>
    </row>
    <row r="391" spans="1:30" ht="12.9">
      <c r="A391" s="16"/>
      <c r="B391" s="24"/>
      <c r="C391" s="196"/>
      <c r="D391" s="196"/>
      <c r="E391" s="196"/>
      <c r="F391" s="16"/>
      <c r="G391" s="24"/>
      <c r="H391" s="24"/>
      <c r="I391" s="16"/>
      <c r="J391" s="16"/>
      <c r="K391" s="16"/>
      <c r="L391" s="16"/>
      <c r="M391" s="16"/>
      <c r="N391" s="16"/>
      <c r="O391" s="16"/>
      <c r="P391" s="16"/>
      <c r="Q391" s="16"/>
      <c r="R391" s="16"/>
      <c r="S391" s="16"/>
      <c r="T391" s="16"/>
      <c r="U391" s="16"/>
      <c r="V391" s="16"/>
      <c r="W391" s="16"/>
      <c r="X391" s="16"/>
      <c r="Y391" s="16"/>
      <c r="Z391" s="16"/>
      <c r="AA391" s="16"/>
      <c r="AB391" s="16"/>
      <c r="AC391" s="16"/>
      <c r="AD391" s="16"/>
    </row>
    <row r="392" spans="1:30" ht="12.9">
      <c r="A392" s="16"/>
      <c r="B392" s="24"/>
      <c r="C392" s="196"/>
      <c r="D392" s="196"/>
      <c r="E392" s="196"/>
      <c r="F392" s="16"/>
      <c r="G392" s="24"/>
      <c r="H392" s="24"/>
      <c r="I392" s="16"/>
      <c r="J392" s="16"/>
      <c r="K392" s="16"/>
      <c r="L392" s="16"/>
      <c r="M392" s="16"/>
      <c r="N392" s="16"/>
      <c r="O392" s="16"/>
      <c r="P392" s="16"/>
      <c r="Q392" s="16"/>
      <c r="R392" s="16"/>
      <c r="S392" s="16"/>
      <c r="T392" s="16"/>
      <c r="U392" s="16"/>
      <c r="V392" s="16"/>
      <c r="W392" s="16"/>
      <c r="X392" s="16"/>
      <c r="Y392" s="16"/>
      <c r="Z392" s="16"/>
      <c r="AA392" s="16"/>
      <c r="AB392" s="16"/>
      <c r="AC392" s="16"/>
      <c r="AD392" s="16"/>
    </row>
    <row r="393" spans="1:30" ht="12.9">
      <c r="A393" s="16"/>
      <c r="B393" s="24"/>
      <c r="C393" s="196"/>
      <c r="D393" s="196"/>
      <c r="E393" s="196"/>
      <c r="F393" s="16"/>
      <c r="G393" s="24"/>
      <c r="H393" s="24"/>
      <c r="I393" s="16"/>
      <c r="J393" s="16"/>
      <c r="K393" s="16"/>
      <c r="L393" s="16"/>
      <c r="M393" s="16"/>
      <c r="N393" s="16"/>
      <c r="O393" s="16"/>
      <c r="P393" s="16"/>
      <c r="Q393" s="16"/>
      <c r="R393" s="16"/>
      <c r="S393" s="16"/>
      <c r="T393" s="16"/>
      <c r="U393" s="16"/>
      <c r="V393" s="16"/>
      <c r="W393" s="16"/>
      <c r="X393" s="16"/>
      <c r="Y393" s="16"/>
      <c r="Z393" s="16"/>
      <c r="AA393" s="16"/>
      <c r="AB393" s="16"/>
      <c r="AC393" s="16"/>
      <c r="AD393" s="16"/>
    </row>
    <row r="394" spans="1:30" ht="12.9">
      <c r="A394" s="16"/>
      <c r="B394" s="24"/>
      <c r="C394" s="196"/>
      <c r="D394" s="196"/>
      <c r="E394" s="196"/>
      <c r="F394" s="16"/>
      <c r="G394" s="24"/>
      <c r="H394" s="24"/>
      <c r="I394" s="16"/>
      <c r="J394" s="16"/>
      <c r="K394" s="16"/>
      <c r="L394" s="16"/>
      <c r="M394" s="16"/>
      <c r="N394" s="16"/>
      <c r="O394" s="16"/>
      <c r="P394" s="16"/>
      <c r="Q394" s="16"/>
      <c r="R394" s="16"/>
      <c r="S394" s="16"/>
      <c r="T394" s="16"/>
      <c r="U394" s="16"/>
      <c r="V394" s="16"/>
      <c r="W394" s="16"/>
      <c r="X394" s="16"/>
      <c r="Y394" s="16"/>
      <c r="Z394" s="16"/>
      <c r="AA394" s="16"/>
      <c r="AB394" s="16"/>
      <c r="AC394" s="16"/>
      <c r="AD394" s="16"/>
    </row>
    <row r="395" spans="1:30" ht="12.9">
      <c r="A395" s="16"/>
      <c r="B395" s="24"/>
      <c r="C395" s="196"/>
      <c r="D395" s="196"/>
      <c r="E395" s="196"/>
      <c r="F395" s="16"/>
      <c r="G395" s="24"/>
      <c r="H395" s="24"/>
      <c r="I395" s="16"/>
      <c r="J395" s="16"/>
      <c r="K395" s="16"/>
      <c r="L395" s="16"/>
      <c r="M395" s="16"/>
      <c r="N395" s="16"/>
      <c r="O395" s="16"/>
      <c r="P395" s="16"/>
      <c r="Q395" s="16"/>
      <c r="R395" s="16"/>
      <c r="S395" s="16"/>
      <c r="T395" s="16"/>
      <c r="U395" s="16"/>
      <c r="V395" s="16"/>
      <c r="W395" s="16"/>
      <c r="X395" s="16"/>
      <c r="Y395" s="16"/>
      <c r="Z395" s="16"/>
      <c r="AA395" s="16"/>
      <c r="AB395" s="16"/>
      <c r="AC395" s="16"/>
      <c r="AD395" s="16"/>
    </row>
    <row r="396" spans="1:30" ht="12.9">
      <c r="A396" s="16"/>
      <c r="B396" s="24"/>
      <c r="C396" s="196"/>
      <c r="D396" s="196"/>
      <c r="E396" s="196"/>
      <c r="F396" s="16"/>
      <c r="G396" s="24"/>
      <c r="H396" s="24"/>
      <c r="I396" s="16"/>
      <c r="J396" s="16"/>
      <c r="K396" s="16"/>
      <c r="L396" s="16"/>
      <c r="M396" s="16"/>
      <c r="N396" s="16"/>
      <c r="O396" s="16"/>
      <c r="P396" s="16"/>
      <c r="Q396" s="16"/>
      <c r="R396" s="16"/>
      <c r="S396" s="16"/>
      <c r="T396" s="16"/>
      <c r="U396" s="16"/>
      <c r="V396" s="16"/>
      <c r="W396" s="16"/>
      <c r="X396" s="16"/>
      <c r="Y396" s="16"/>
      <c r="Z396" s="16"/>
      <c r="AA396" s="16"/>
      <c r="AB396" s="16"/>
      <c r="AC396" s="16"/>
      <c r="AD396" s="16"/>
    </row>
    <row r="397" spans="1:30" ht="12.9">
      <c r="A397" s="16"/>
      <c r="B397" s="24"/>
      <c r="C397" s="196"/>
      <c r="D397" s="196"/>
      <c r="E397" s="196"/>
      <c r="F397" s="16"/>
      <c r="G397" s="24"/>
      <c r="H397" s="24"/>
      <c r="I397" s="16"/>
      <c r="J397" s="16"/>
      <c r="K397" s="16"/>
      <c r="L397" s="16"/>
      <c r="M397" s="16"/>
      <c r="N397" s="16"/>
      <c r="O397" s="16"/>
      <c r="P397" s="16"/>
      <c r="Q397" s="16"/>
      <c r="R397" s="16"/>
      <c r="S397" s="16"/>
      <c r="T397" s="16"/>
      <c r="U397" s="16"/>
      <c r="V397" s="16"/>
      <c r="W397" s="16"/>
      <c r="X397" s="16"/>
      <c r="Y397" s="16"/>
      <c r="Z397" s="16"/>
      <c r="AA397" s="16"/>
      <c r="AB397" s="16"/>
      <c r="AC397" s="16"/>
      <c r="AD397" s="16"/>
    </row>
    <row r="398" spans="1:30" ht="12.9">
      <c r="A398" s="16"/>
      <c r="B398" s="24"/>
      <c r="C398" s="196"/>
      <c r="D398" s="196"/>
      <c r="E398" s="196"/>
      <c r="F398" s="16"/>
      <c r="G398" s="24"/>
      <c r="H398" s="24"/>
      <c r="I398" s="16"/>
      <c r="J398" s="16"/>
      <c r="K398" s="16"/>
      <c r="L398" s="16"/>
      <c r="M398" s="16"/>
      <c r="N398" s="16"/>
      <c r="O398" s="16"/>
      <c r="P398" s="16"/>
      <c r="Q398" s="16"/>
      <c r="R398" s="16"/>
      <c r="S398" s="16"/>
      <c r="T398" s="16"/>
      <c r="U398" s="16"/>
      <c r="V398" s="16"/>
      <c r="W398" s="16"/>
      <c r="X398" s="16"/>
      <c r="Y398" s="16"/>
      <c r="Z398" s="16"/>
      <c r="AA398" s="16"/>
      <c r="AB398" s="16"/>
      <c r="AC398" s="16"/>
      <c r="AD398" s="16"/>
    </row>
    <row r="399" spans="1:30" ht="12.9">
      <c r="A399" s="16"/>
      <c r="B399" s="24"/>
      <c r="C399" s="196"/>
      <c r="D399" s="196"/>
      <c r="E399" s="196"/>
      <c r="F399" s="16"/>
      <c r="G399" s="24"/>
      <c r="H399" s="24"/>
      <c r="I399" s="16"/>
      <c r="J399" s="16"/>
      <c r="K399" s="16"/>
      <c r="L399" s="16"/>
      <c r="M399" s="16"/>
      <c r="N399" s="16"/>
      <c r="O399" s="16"/>
      <c r="P399" s="16"/>
      <c r="Q399" s="16"/>
      <c r="R399" s="16"/>
      <c r="S399" s="16"/>
      <c r="T399" s="16"/>
      <c r="U399" s="16"/>
      <c r="V399" s="16"/>
      <c r="W399" s="16"/>
      <c r="X399" s="16"/>
      <c r="Y399" s="16"/>
      <c r="Z399" s="16"/>
      <c r="AA399" s="16"/>
      <c r="AB399" s="16"/>
      <c r="AC399" s="16"/>
      <c r="AD399" s="16"/>
    </row>
    <row r="400" spans="1:30" ht="12.9">
      <c r="A400" s="16"/>
      <c r="B400" s="24"/>
      <c r="C400" s="196"/>
      <c r="D400" s="196"/>
      <c r="E400" s="196"/>
      <c r="F400" s="16"/>
      <c r="G400" s="24"/>
      <c r="H400" s="24"/>
      <c r="I400" s="16"/>
      <c r="J400" s="16"/>
      <c r="K400" s="16"/>
      <c r="L400" s="16"/>
      <c r="M400" s="16"/>
      <c r="N400" s="16"/>
      <c r="O400" s="16"/>
      <c r="P400" s="16"/>
      <c r="Q400" s="16"/>
      <c r="R400" s="16"/>
      <c r="S400" s="16"/>
      <c r="T400" s="16"/>
      <c r="U400" s="16"/>
      <c r="V400" s="16"/>
      <c r="W400" s="16"/>
      <c r="X400" s="16"/>
      <c r="Y400" s="16"/>
      <c r="Z400" s="16"/>
      <c r="AA400" s="16"/>
      <c r="AB400" s="16"/>
      <c r="AC400" s="16"/>
      <c r="AD400" s="16"/>
    </row>
    <row r="401" spans="1:30" ht="12.9">
      <c r="A401" s="16"/>
      <c r="B401" s="24"/>
      <c r="C401" s="196"/>
      <c r="D401" s="196"/>
      <c r="E401" s="196"/>
      <c r="F401" s="16"/>
      <c r="G401" s="24"/>
      <c r="H401" s="24"/>
      <c r="I401" s="16"/>
      <c r="J401" s="16"/>
      <c r="K401" s="16"/>
      <c r="L401" s="16"/>
      <c r="M401" s="16"/>
      <c r="N401" s="16"/>
      <c r="O401" s="16"/>
      <c r="P401" s="16"/>
      <c r="Q401" s="16"/>
      <c r="R401" s="16"/>
      <c r="S401" s="16"/>
      <c r="T401" s="16"/>
      <c r="U401" s="16"/>
      <c r="V401" s="16"/>
      <c r="W401" s="16"/>
      <c r="X401" s="16"/>
      <c r="Y401" s="16"/>
      <c r="Z401" s="16"/>
      <c r="AA401" s="16"/>
      <c r="AB401" s="16"/>
      <c r="AC401" s="16"/>
      <c r="AD401" s="16"/>
    </row>
    <row r="402" spans="1:30" ht="12.9">
      <c r="A402" s="16"/>
      <c r="B402" s="24"/>
      <c r="C402" s="196"/>
      <c r="D402" s="196"/>
      <c r="E402" s="196"/>
      <c r="F402" s="16"/>
      <c r="G402" s="24"/>
      <c r="H402" s="24"/>
      <c r="I402" s="16"/>
      <c r="J402" s="16"/>
      <c r="K402" s="16"/>
      <c r="L402" s="16"/>
      <c r="M402" s="16"/>
      <c r="N402" s="16"/>
      <c r="O402" s="16"/>
      <c r="P402" s="16"/>
      <c r="Q402" s="16"/>
      <c r="R402" s="16"/>
      <c r="S402" s="16"/>
      <c r="T402" s="16"/>
      <c r="U402" s="16"/>
      <c r="V402" s="16"/>
      <c r="W402" s="16"/>
      <c r="X402" s="16"/>
      <c r="Y402" s="16"/>
      <c r="Z402" s="16"/>
      <c r="AA402" s="16"/>
      <c r="AB402" s="16"/>
      <c r="AC402" s="16"/>
      <c r="AD402" s="16"/>
    </row>
    <row r="403" spans="1:30" ht="12.9">
      <c r="A403" s="16"/>
      <c r="B403" s="24"/>
      <c r="C403" s="196"/>
      <c r="D403" s="196"/>
      <c r="E403" s="196"/>
      <c r="F403" s="16"/>
      <c r="G403" s="24"/>
      <c r="H403" s="24"/>
      <c r="I403" s="16"/>
      <c r="J403" s="16"/>
      <c r="K403" s="16"/>
      <c r="L403" s="16"/>
      <c r="M403" s="16"/>
      <c r="N403" s="16"/>
      <c r="O403" s="16"/>
      <c r="P403" s="16"/>
      <c r="Q403" s="16"/>
      <c r="R403" s="16"/>
      <c r="S403" s="16"/>
      <c r="T403" s="16"/>
      <c r="U403" s="16"/>
      <c r="V403" s="16"/>
      <c r="W403" s="16"/>
      <c r="X403" s="16"/>
      <c r="Y403" s="16"/>
      <c r="Z403" s="16"/>
      <c r="AA403" s="16"/>
      <c r="AB403" s="16"/>
      <c r="AC403" s="16"/>
      <c r="AD403" s="16"/>
    </row>
    <row r="404" spans="1:30" ht="12.9">
      <c r="A404" s="16"/>
      <c r="B404" s="24"/>
      <c r="C404" s="196"/>
      <c r="D404" s="196"/>
      <c r="E404" s="196"/>
      <c r="F404" s="16"/>
      <c r="G404" s="24"/>
      <c r="H404" s="24"/>
      <c r="I404" s="16"/>
      <c r="J404" s="16"/>
      <c r="K404" s="16"/>
      <c r="L404" s="16"/>
      <c r="M404" s="16"/>
      <c r="N404" s="16"/>
      <c r="O404" s="16"/>
      <c r="P404" s="16"/>
      <c r="Q404" s="16"/>
      <c r="R404" s="16"/>
      <c r="S404" s="16"/>
      <c r="T404" s="16"/>
      <c r="U404" s="16"/>
      <c r="V404" s="16"/>
      <c r="W404" s="16"/>
      <c r="X404" s="16"/>
      <c r="Y404" s="16"/>
      <c r="Z404" s="16"/>
      <c r="AA404" s="16"/>
      <c r="AB404" s="16"/>
      <c r="AC404" s="16"/>
      <c r="AD404" s="16"/>
    </row>
    <row r="405" spans="1:30" ht="12.9">
      <c r="A405" s="16"/>
      <c r="B405" s="24"/>
      <c r="C405" s="196"/>
      <c r="D405" s="196"/>
      <c r="E405" s="196"/>
      <c r="F405" s="16"/>
      <c r="G405" s="24"/>
      <c r="H405" s="24"/>
      <c r="I405" s="16"/>
      <c r="J405" s="16"/>
      <c r="K405" s="16"/>
      <c r="L405" s="16"/>
      <c r="M405" s="16"/>
      <c r="N405" s="16"/>
      <c r="O405" s="16"/>
      <c r="P405" s="16"/>
      <c r="Q405" s="16"/>
      <c r="R405" s="16"/>
      <c r="S405" s="16"/>
      <c r="T405" s="16"/>
      <c r="U405" s="16"/>
      <c r="V405" s="16"/>
      <c r="W405" s="16"/>
      <c r="X405" s="16"/>
      <c r="Y405" s="16"/>
      <c r="Z405" s="16"/>
      <c r="AA405" s="16"/>
      <c r="AB405" s="16"/>
      <c r="AC405" s="16"/>
      <c r="AD405" s="16"/>
    </row>
    <row r="406" spans="1:30" ht="12.9">
      <c r="A406" s="16"/>
      <c r="B406" s="24"/>
      <c r="C406" s="196"/>
      <c r="D406" s="196"/>
      <c r="E406" s="196"/>
      <c r="F406" s="16"/>
      <c r="G406" s="24"/>
      <c r="H406" s="24"/>
      <c r="I406" s="16"/>
      <c r="J406" s="16"/>
      <c r="K406" s="16"/>
      <c r="L406" s="16"/>
      <c r="M406" s="16"/>
      <c r="N406" s="16"/>
      <c r="O406" s="16"/>
      <c r="P406" s="16"/>
      <c r="Q406" s="16"/>
      <c r="R406" s="16"/>
      <c r="S406" s="16"/>
      <c r="T406" s="16"/>
      <c r="U406" s="16"/>
      <c r="V406" s="16"/>
      <c r="W406" s="16"/>
      <c r="X406" s="16"/>
      <c r="Y406" s="16"/>
      <c r="Z406" s="16"/>
      <c r="AA406" s="16"/>
      <c r="AB406" s="16"/>
      <c r="AC406" s="16"/>
      <c r="AD406" s="16"/>
    </row>
    <row r="407" spans="1:30" ht="12.9">
      <c r="A407" s="16"/>
      <c r="B407" s="24"/>
      <c r="C407" s="196"/>
      <c r="D407" s="196"/>
      <c r="E407" s="196"/>
      <c r="F407" s="16"/>
      <c r="G407" s="24"/>
      <c r="H407" s="24"/>
      <c r="I407" s="16"/>
      <c r="J407" s="16"/>
      <c r="K407" s="16"/>
      <c r="L407" s="16"/>
      <c r="M407" s="16"/>
      <c r="N407" s="16"/>
      <c r="O407" s="16"/>
      <c r="P407" s="16"/>
      <c r="Q407" s="16"/>
      <c r="R407" s="16"/>
      <c r="S407" s="16"/>
      <c r="T407" s="16"/>
      <c r="U407" s="16"/>
      <c r="V407" s="16"/>
      <c r="W407" s="16"/>
      <c r="X407" s="16"/>
      <c r="Y407" s="16"/>
      <c r="Z407" s="16"/>
      <c r="AA407" s="16"/>
      <c r="AB407" s="16"/>
      <c r="AC407" s="16"/>
      <c r="AD407" s="16"/>
    </row>
    <row r="408" spans="1:30" ht="12.9">
      <c r="A408" s="16"/>
      <c r="B408" s="24"/>
      <c r="C408" s="196"/>
      <c r="D408" s="196"/>
      <c r="E408" s="196"/>
      <c r="F408" s="16"/>
      <c r="G408" s="24"/>
      <c r="H408" s="24"/>
      <c r="I408" s="16"/>
      <c r="J408" s="16"/>
      <c r="K408" s="16"/>
      <c r="L408" s="16"/>
      <c r="M408" s="16"/>
      <c r="N408" s="16"/>
      <c r="O408" s="16"/>
      <c r="P408" s="16"/>
      <c r="Q408" s="16"/>
      <c r="R408" s="16"/>
      <c r="S408" s="16"/>
      <c r="T408" s="16"/>
      <c r="U408" s="16"/>
      <c r="V408" s="16"/>
      <c r="W408" s="16"/>
      <c r="X408" s="16"/>
      <c r="Y408" s="16"/>
      <c r="Z408" s="16"/>
      <c r="AA408" s="16"/>
      <c r="AB408" s="16"/>
      <c r="AC408" s="16"/>
      <c r="AD408" s="16"/>
    </row>
    <row r="409" spans="1:30" ht="12.9">
      <c r="A409" s="16"/>
      <c r="B409" s="24"/>
      <c r="C409" s="196"/>
      <c r="D409" s="196"/>
      <c r="E409" s="196"/>
      <c r="F409" s="16"/>
      <c r="G409" s="24"/>
      <c r="H409" s="24"/>
      <c r="I409" s="16"/>
      <c r="J409" s="16"/>
      <c r="K409" s="16"/>
      <c r="L409" s="16"/>
      <c r="M409" s="16"/>
      <c r="N409" s="16"/>
      <c r="O409" s="16"/>
      <c r="P409" s="16"/>
      <c r="Q409" s="16"/>
      <c r="R409" s="16"/>
      <c r="S409" s="16"/>
      <c r="T409" s="16"/>
      <c r="U409" s="16"/>
      <c r="V409" s="16"/>
      <c r="W409" s="16"/>
      <c r="X409" s="16"/>
      <c r="Y409" s="16"/>
      <c r="Z409" s="16"/>
      <c r="AA409" s="16"/>
      <c r="AB409" s="16"/>
      <c r="AC409" s="16"/>
      <c r="AD409" s="16"/>
    </row>
    <row r="410" spans="1:30" ht="12.9">
      <c r="A410" s="16"/>
      <c r="B410" s="24"/>
      <c r="C410" s="196"/>
      <c r="D410" s="196"/>
      <c r="E410" s="196"/>
      <c r="F410" s="16"/>
      <c r="G410" s="24"/>
      <c r="H410" s="24"/>
      <c r="I410" s="16"/>
      <c r="J410" s="16"/>
      <c r="K410" s="16"/>
      <c r="L410" s="16"/>
      <c r="M410" s="16"/>
      <c r="N410" s="16"/>
      <c r="O410" s="16"/>
      <c r="P410" s="16"/>
      <c r="Q410" s="16"/>
      <c r="R410" s="16"/>
      <c r="S410" s="16"/>
      <c r="T410" s="16"/>
      <c r="U410" s="16"/>
      <c r="V410" s="16"/>
      <c r="W410" s="16"/>
      <c r="X410" s="16"/>
      <c r="Y410" s="16"/>
      <c r="Z410" s="16"/>
      <c r="AA410" s="16"/>
      <c r="AB410" s="16"/>
      <c r="AC410" s="16"/>
      <c r="AD410" s="16"/>
    </row>
    <row r="411" spans="1:30" ht="12.9">
      <c r="A411" s="16"/>
      <c r="B411" s="24"/>
      <c r="C411" s="196"/>
      <c r="D411" s="196"/>
      <c r="E411" s="196"/>
      <c r="F411" s="16"/>
      <c r="G411" s="24"/>
      <c r="H411" s="24"/>
      <c r="I411" s="16"/>
      <c r="J411" s="16"/>
      <c r="K411" s="16"/>
      <c r="L411" s="16"/>
      <c r="M411" s="16"/>
      <c r="N411" s="16"/>
      <c r="O411" s="16"/>
      <c r="P411" s="16"/>
      <c r="Q411" s="16"/>
      <c r="R411" s="16"/>
      <c r="S411" s="16"/>
      <c r="T411" s="16"/>
      <c r="U411" s="16"/>
      <c r="V411" s="16"/>
      <c r="W411" s="16"/>
      <c r="X411" s="16"/>
      <c r="Y411" s="16"/>
      <c r="Z411" s="16"/>
      <c r="AA411" s="16"/>
      <c r="AB411" s="16"/>
      <c r="AC411" s="16"/>
      <c r="AD411" s="16"/>
    </row>
    <row r="412" spans="1:30" ht="12.9">
      <c r="A412" s="16"/>
      <c r="B412" s="24"/>
      <c r="C412" s="196"/>
      <c r="D412" s="196"/>
      <c r="E412" s="196"/>
      <c r="F412" s="16"/>
      <c r="G412" s="24"/>
      <c r="H412" s="24"/>
      <c r="I412" s="16"/>
      <c r="J412" s="16"/>
      <c r="K412" s="16"/>
      <c r="L412" s="16"/>
      <c r="M412" s="16"/>
      <c r="N412" s="16"/>
      <c r="O412" s="16"/>
      <c r="P412" s="16"/>
      <c r="Q412" s="16"/>
      <c r="R412" s="16"/>
      <c r="S412" s="16"/>
      <c r="T412" s="16"/>
      <c r="U412" s="16"/>
      <c r="V412" s="16"/>
      <c r="W412" s="16"/>
      <c r="X412" s="16"/>
      <c r="Y412" s="16"/>
      <c r="Z412" s="16"/>
      <c r="AA412" s="16"/>
      <c r="AB412" s="16"/>
      <c r="AC412" s="16"/>
      <c r="AD412" s="16"/>
    </row>
    <row r="413" spans="1:30" ht="12.9">
      <c r="A413" s="16"/>
      <c r="B413" s="24"/>
      <c r="C413" s="196"/>
      <c r="D413" s="196"/>
      <c r="E413" s="196"/>
      <c r="F413" s="16"/>
      <c r="G413" s="24"/>
      <c r="H413" s="24"/>
      <c r="I413" s="16"/>
      <c r="J413" s="16"/>
      <c r="K413" s="16"/>
      <c r="L413" s="16"/>
      <c r="M413" s="16"/>
      <c r="N413" s="16"/>
      <c r="O413" s="16"/>
      <c r="P413" s="16"/>
      <c r="Q413" s="16"/>
      <c r="R413" s="16"/>
      <c r="S413" s="16"/>
      <c r="T413" s="16"/>
      <c r="U413" s="16"/>
      <c r="V413" s="16"/>
      <c r="W413" s="16"/>
      <c r="X413" s="16"/>
      <c r="Y413" s="16"/>
      <c r="Z413" s="16"/>
      <c r="AA413" s="16"/>
      <c r="AB413" s="16"/>
      <c r="AC413" s="16"/>
      <c r="AD413" s="16"/>
    </row>
    <row r="414" spans="1:30" ht="12.9">
      <c r="A414" s="16"/>
      <c r="B414" s="24"/>
      <c r="C414" s="196"/>
      <c r="D414" s="196"/>
      <c r="E414" s="196"/>
      <c r="F414" s="16"/>
      <c r="G414" s="24"/>
      <c r="H414" s="24"/>
      <c r="I414" s="16"/>
      <c r="J414" s="16"/>
      <c r="K414" s="16"/>
      <c r="L414" s="16"/>
      <c r="M414" s="16"/>
      <c r="N414" s="16"/>
      <c r="O414" s="16"/>
      <c r="P414" s="16"/>
      <c r="Q414" s="16"/>
      <c r="R414" s="16"/>
      <c r="S414" s="16"/>
      <c r="T414" s="16"/>
      <c r="U414" s="16"/>
      <c r="V414" s="16"/>
      <c r="W414" s="16"/>
      <c r="X414" s="16"/>
      <c r="Y414" s="16"/>
      <c r="Z414" s="16"/>
      <c r="AA414" s="16"/>
      <c r="AB414" s="16"/>
      <c r="AC414" s="16"/>
      <c r="AD414" s="16"/>
    </row>
    <row r="415" spans="1:30" ht="12.9">
      <c r="A415" s="16"/>
      <c r="B415" s="24"/>
      <c r="C415" s="196"/>
      <c r="D415" s="196"/>
      <c r="E415" s="196"/>
      <c r="F415" s="16"/>
      <c r="G415" s="24"/>
      <c r="H415" s="24"/>
      <c r="I415" s="16"/>
      <c r="J415" s="16"/>
      <c r="K415" s="16"/>
      <c r="L415" s="16"/>
      <c r="M415" s="16"/>
      <c r="N415" s="16"/>
      <c r="O415" s="16"/>
      <c r="P415" s="16"/>
      <c r="Q415" s="16"/>
      <c r="R415" s="16"/>
      <c r="S415" s="16"/>
      <c r="T415" s="16"/>
      <c r="U415" s="16"/>
      <c r="V415" s="16"/>
      <c r="W415" s="16"/>
      <c r="X415" s="16"/>
      <c r="Y415" s="16"/>
      <c r="Z415" s="16"/>
      <c r="AA415" s="16"/>
      <c r="AB415" s="16"/>
      <c r="AC415" s="16"/>
      <c r="AD415" s="16"/>
    </row>
    <row r="416" spans="1:30" ht="12.9">
      <c r="A416" s="16"/>
      <c r="B416" s="24"/>
      <c r="C416" s="196"/>
      <c r="D416" s="196"/>
      <c r="E416" s="196"/>
      <c r="F416" s="16"/>
      <c r="G416" s="24"/>
      <c r="H416" s="24"/>
      <c r="I416" s="16"/>
      <c r="J416" s="16"/>
      <c r="K416" s="16"/>
      <c r="L416" s="16"/>
      <c r="M416" s="16"/>
      <c r="N416" s="16"/>
      <c r="O416" s="16"/>
      <c r="P416" s="16"/>
      <c r="Q416" s="16"/>
      <c r="R416" s="16"/>
      <c r="S416" s="16"/>
      <c r="T416" s="16"/>
      <c r="U416" s="16"/>
      <c r="V416" s="16"/>
      <c r="W416" s="16"/>
      <c r="X416" s="16"/>
      <c r="Y416" s="16"/>
      <c r="Z416" s="16"/>
      <c r="AA416" s="16"/>
      <c r="AB416" s="16"/>
      <c r="AC416" s="16"/>
      <c r="AD416" s="16"/>
    </row>
    <row r="417" spans="1:30" ht="12.9">
      <c r="A417" s="16"/>
      <c r="B417" s="24"/>
      <c r="C417" s="196"/>
      <c r="D417" s="196"/>
      <c r="E417" s="196"/>
      <c r="F417" s="16"/>
      <c r="G417" s="24"/>
      <c r="H417" s="24"/>
      <c r="I417" s="16"/>
      <c r="J417" s="16"/>
      <c r="K417" s="16"/>
      <c r="L417" s="16"/>
      <c r="M417" s="16"/>
      <c r="N417" s="16"/>
      <c r="O417" s="16"/>
      <c r="P417" s="16"/>
      <c r="Q417" s="16"/>
      <c r="R417" s="16"/>
      <c r="S417" s="16"/>
      <c r="T417" s="16"/>
      <c r="U417" s="16"/>
      <c r="V417" s="16"/>
      <c r="W417" s="16"/>
      <c r="X417" s="16"/>
      <c r="Y417" s="16"/>
      <c r="Z417" s="16"/>
      <c r="AA417" s="16"/>
      <c r="AB417" s="16"/>
      <c r="AC417" s="16"/>
      <c r="AD417" s="16"/>
    </row>
    <row r="418" spans="1:30" ht="12.9">
      <c r="A418" s="16"/>
      <c r="B418" s="24"/>
      <c r="C418" s="196"/>
      <c r="D418" s="196"/>
      <c r="E418" s="196"/>
      <c r="F418" s="16"/>
      <c r="G418" s="24"/>
      <c r="H418" s="24"/>
      <c r="I418" s="16"/>
      <c r="J418" s="16"/>
      <c r="K418" s="16"/>
      <c r="L418" s="16"/>
      <c r="M418" s="16"/>
      <c r="N418" s="16"/>
      <c r="O418" s="16"/>
      <c r="P418" s="16"/>
      <c r="Q418" s="16"/>
      <c r="R418" s="16"/>
      <c r="S418" s="16"/>
      <c r="T418" s="16"/>
      <c r="U418" s="16"/>
      <c r="V418" s="16"/>
      <c r="W418" s="16"/>
      <c r="X418" s="16"/>
      <c r="Y418" s="16"/>
      <c r="Z418" s="16"/>
      <c r="AA418" s="16"/>
      <c r="AB418" s="16"/>
      <c r="AC418" s="16"/>
      <c r="AD418" s="16"/>
    </row>
    <row r="419" spans="1:30" ht="12.9">
      <c r="A419" s="16"/>
      <c r="B419" s="24"/>
      <c r="C419" s="196"/>
      <c r="D419" s="196"/>
      <c r="E419" s="196"/>
      <c r="F419" s="16"/>
      <c r="G419" s="24"/>
      <c r="H419" s="24"/>
      <c r="I419" s="16"/>
      <c r="J419" s="16"/>
      <c r="K419" s="16"/>
      <c r="L419" s="16"/>
      <c r="M419" s="16"/>
      <c r="N419" s="16"/>
      <c r="O419" s="16"/>
      <c r="P419" s="16"/>
      <c r="Q419" s="16"/>
      <c r="R419" s="16"/>
      <c r="S419" s="16"/>
      <c r="T419" s="16"/>
      <c r="U419" s="16"/>
      <c r="V419" s="16"/>
      <c r="W419" s="16"/>
      <c r="X419" s="16"/>
      <c r="Y419" s="16"/>
      <c r="Z419" s="16"/>
      <c r="AA419" s="16"/>
      <c r="AB419" s="16"/>
      <c r="AC419" s="16"/>
      <c r="AD419" s="16"/>
    </row>
    <row r="420" spans="1:30" ht="12.9">
      <c r="A420" s="16"/>
      <c r="B420" s="24"/>
      <c r="C420" s="196"/>
      <c r="D420" s="196"/>
      <c r="E420" s="196"/>
      <c r="F420" s="16"/>
      <c r="G420" s="24"/>
      <c r="H420" s="24"/>
      <c r="I420" s="16"/>
      <c r="J420" s="16"/>
      <c r="K420" s="16"/>
      <c r="L420" s="16"/>
      <c r="M420" s="16"/>
      <c r="N420" s="16"/>
      <c r="O420" s="16"/>
      <c r="P420" s="16"/>
      <c r="Q420" s="16"/>
      <c r="R420" s="16"/>
      <c r="S420" s="16"/>
      <c r="T420" s="16"/>
      <c r="U420" s="16"/>
      <c r="V420" s="16"/>
      <c r="W420" s="16"/>
      <c r="X420" s="16"/>
      <c r="Y420" s="16"/>
      <c r="Z420" s="16"/>
      <c r="AA420" s="16"/>
      <c r="AB420" s="16"/>
      <c r="AC420" s="16"/>
      <c r="AD420" s="16"/>
    </row>
    <row r="421" spans="1:30" ht="12.9">
      <c r="A421" s="16"/>
      <c r="B421" s="24"/>
      <c r="C421" s="196"/>
      <c r="D421" s="196"/>
      <c r="E421" s="196"/>
      <c r="F421" s="16"/>
      <c r="G421" s="24"/>
      <c r="H421" s="24"/>
      <c r="I421" s="16"/>
      <c r="J421" s="16"/>
      <c r="K421" s="16"/>
      <c r="L421" s="16"/>
      <c r="M421" s="16"/>
      <c r="N421" s="16"/>
      <c r="O421" s="16"/>
      <c r="P421" s="16"/>
      <c r="Q421" s="16"/>
      <c r="R421" s="16"/>
      <c r="S421" s="16"/>
      <c r="T421" s="16"/>
      <c r="U421" s="16"/>
      <c r="V421" s="16"/>
      <c r="W421" s="16"/>
      <c r="X421" s="16"/>
      <c r="Y421" s="16"/>
      <c r="Z421" s="16"/>
      <c r="AA421" s="16"/>
      <c r="AB421" s="16"/>
      <c r="AC421" s="16"/>
      <c r="AD421" s="16"/>
    </row>
    <row r="422" spans="1:30" ht="12.9">
      <c r="A422" s="16"/>
      <c r="B422" s="24"/>
      <c r="C422" s="196"/>
      <c r="D422" s="196"/>
      <c r="E422" s="196"/>
      <c r="F422" s="16"/>
      <c r="G422" s="24"/>
      <c r="H422" s="24"/>
      <c r="I422" s="16"/>
      <c r="J422" s="16"/>
      <c r="K422" s="16"/>
      <c r="L422" s="16"/>
      <c r="M422" s="16"/>
      <c r="N422" s="16"/>
      <c r="O422" s="16"/>
      <c r="P422" s="16"/>
      <c r="Q422" s="16"/>
      <c r="R422" s="16"/>
      <c r="S422" s="16"/>
      <c r="T422" s="16"/>
      <c r="U422" s="16"/>
      <c r="V422" s="16"/>
      <c r="W422" s="16"/>
      <c r="X422" s="16"/>
      <c r="Y422" s="16"/>
      <c r="Z422" s="16"/>
      <c r="AA422" s="16"/>
      <c r="AB422" s="16"/>
      <c r="AC422" s="16"/>
      <c r="AD422" s="16"/>
    </row>
    <row r="423" spans="1:30" ht="12.9">
      <c r="A423" s="16"/>
      <c r="B423" s="24"/>
      <c r="C423" s="196"/>
      <c r="D423" s="196"/>
      <c r="E423" s="196"/>
      <c r="F423" s="16"/>
      <c r="G423" s="24"/>
      <c r="H423" s="24"/>
      <c r="I423" s="16"/>
      <c r="J423" s="16"/>
      <c r="K423" s="16"/>
      <c r="L423" s="16"/>
      <c r="M423" s="16"/>
      <c r="N423" s="16"/>
      <c r="O423" s="16"/>
      <c r="P423" s="16"/>
      <c r="Q423" s="16"/>
      <c r="R423" s="16"/>
      <c r="S423" s="16"/>
      <c r="T423" s="16"/>
      <c r="U423" s="16"/>
      <c r="V423" s="16"/>
      <c r="W423" s="16"/>
      <c r="X423" s="16"/>
      <c r="Y423" s="16"/>
      <c r="Z423" s="16"/>
      <c r="AA423" s="16"/>
      <c r="AB423" s="16"/>
      <c r="AC423" s="16"/>
      <c r="AD423" s="16"/>
    </row>
    <row r="424" spans="1:30" ht="12.9">
      <c r="A424" s="16"/>
      <c r="B424" s="24"/>
      <c r="C424" s="196"/>
      <c r="D424" s="196"/>
      <c r="E424" s="196"/>
      <c r="F424" s="16"/>
      <c r="G424" s="24"/>
      <c r="H424" s="24"/>
      <c r="I424" s="16"/>
      <c r="J424" s="16"/>
      <c r="K424" s="16"/>
      <c r="L424" s="16"/>
      <c r="M424" s="16"/>
      <c r="N424" s="16"/>
      <c r="O424" s="16"/>
      <c r="P424" s="16"/>
      <c r="Q424" s="16"/>
      <c r="R424" s="16"/>
      <c r="S424" s="16"/>
      <c r="T424" s="16"/>
      <c r="U424" s="16"/>
      <c r="V424" s="16"/>
      <c r="W424" s="16"/>
      <c r="X424" s="16"/>
      <c r="Y424" s="16"/>
      <c r="Z424" s="16"/>
      <c r="AA424" s="16"/>
      <c r="AB424" s="16"/>
      <c r="AC424" s="16"/>
      <c r="AD424" s="16"/>
    </row>
    <row r="425" spans="1:30" ht="12.9">
      <c r="A425" s="16"/>
      <c r="B425" s="24"/>
      <c r="C425" s="196"/>
      <c r="D425" s="196"/>
      <c r="E425" s="196"/>
      <c r="F425" s="16"/>
      <c r="G425" s="24"/>
      <c r="H425" s="24"/>
      <c r="I425" s="16"/>
      <c r="J425" s="16"/>
      <c r="K425" s="16"/>
      <c r="L425" s="16"/>
      <c r="M425" s="16"/>
      <c r="N425" s="16"/>
      <c r="O425" s="16"/>
      <c r="P425" s="16"/>
      <c r="Q425" s="16"/>
      <c r="R425" s="16"/>
      <c r="S425" s="16"/>
      <c r="T425" s="16"/>
      <c r="U425" s="16"/>
      <c r="V425" s="16"/>
      <c r="W425" s="16"/>
      <c r="X425" s="16"/>
      <c r="Y425" s="16"/>
      <c r="Z425" s="16"/>
      <c r="AA425" s="16"/>
      <c r="AB425" s="16"/>
      <c r="AC425" s="16"/>
      <c r="AD425" s="16"/>
    </row>
    <row r="426" spans="1:30" ht="12.9">
      <c r="A426" s="16"/>
      <c r="B426" s="24"/>
      <c r="C426" s="196"/>
      <c r="D426" s="196"/>
      <c r="E426" s="196"/>
      <c r="F426" s="16"/>
      <c r="G426" s="24"/>
      <c r="H426" s="24"/>
      <c r="I426" s="16"/>
      <c r="J426" s="16"/>
      <c r="K426" s="16"/>
      <c r="L426" s="16"/>
      <c r="M426" s="16"/>
      <c r="N426" s="16"/>
      <c r="O426" s="16"/>
      <c r="P426" s="16"/>
      <c r="Q426" s="16"/>
      <c r="R426" s="16"/>
      <c r="S426" s="16"/>
      <c r="T426" s="16"/>
      <c r="U426" s="16"/>
      <c r="V426" s="16"/>
      <c r="W426" s="16"/>
      <c r="X426" s="16"/>
      <c r="Y426" s="16"/>
      <c r="Z426" s="16"/>
      <c r="AA426" s="16"/>
      <c r="AB426" s="16"/>
      <c r="AC426" s="16"/>
      <c r="AD426" s="16"/>
    </row>
    <row r="427" spans="1:30" ht="12.9">
      <c r="A427" s="16"/>
      <c r="B427" s="24"/>
      <c r="C427" s="196"/>
      <c r="D427" s="196"/>
      <c r="E427" s="196"/>
      <c r="F427" s="16"/>
      <c r="G427" s="24"/>
      <c r="H427" s="24"/>
      <c r="I427" s="16"/>
      <c r="J427" s="16"/>
      <c r="K427" s="16"/>
      <c r="L427" s="16"/>
      <c r="M427" s="16"/>
      <c r="N427" s="16"/>
      <c r="O427" s="16"/>
      <c r="P427" s="16"/>
      <c r="Q427" s="16"/>
      <c r="R427" s="16"/>
      <c r="S427" s="16"/>
      <c r="T427" s="16"/>
      <c r="U427" s="16"/>
      <c r="V427" s="16"/>
      <c r="W427" s="16"/>
      <c r="X427" s="16"/>
      <c r="Y427" s="16"/>
      <c r="Z427" s="16"/>
      <c r="AA427" s="16"/>
      <c r="AB427" s="16"/>
      <c r="AC427" s="16"/>
      <c r="AD427" s="16"/>
    </row>
    <row r="428" spans="1:30" ht="12.9">
      <c r="A428" s="16"/>
      <c r="B428" s="24"/>
      <c r="C428" s="196"/>
      <c r="D428" s="196"/>
      <c r="E428" s="196"/>
      <c r="F428" s="16"/>
      <c r="G428" s="24"/>
      <c r="H428" s="24"/>
      <c r="I428" s="16"/>
      <c r="J428" s="16"/>
      <c r="K428" s="16"/>
      <c r="L428" s="16"/>
      <c r="M428" s="16"/>
      <c r="N428" s="16"/>
      <c r="O428" s="16"/>
      <c r="P428" s="16"/>
      <c r="Q428" s="16"/>
      <c r="R428" s="16"/>
      <c r="S428" s="16"/>
      <c r="T428" s="16"/>
      <c r="U428" s="16"/>
      <c r="V428" s="16"/>
      <c r="W428" s="16"/>
      <c r="X428" s="16"/>
      <c r="Y428" s="16"/>
      <c r="Z428" s="16"/>
      <c r="AA428" s="16"/>
      <c r="AB428" s="16"/>
      <c r="AC428" s="16"/>
      <c r="AD428" s="16"/>
    </row>
    <row r="429" spans="1:30" ht="12.9">
      <c r="A429" s="16"/>
      <c r="B429" s="24"/>
      <c r="C429" s="196"/>
      <c r="D429" s="196"/>
      <c r="E429" s="196"/>
      <c r="F429" s="16"/>
      <c r="G429" s="24"/>
      <c r="H429" s="24"/>
      <c r="I429" s="16"/>
      <c r="J429" s="16"/>
      <c r="K429" s="16"/>
      <c r="L429" s="16"/>
      <c r="M429" s="16"/>
      <c r="N429" s="16"/>
      <c r="O429" s="16"/>
      <c r="P429" s="16"/>
      <c r="Q429" s="16"/>
      <c r="R429" s="16"/>
      <c r="S429" s="16"/>
      <c r="T429" s="16"/>
      <c r="U429" s="16"/>
      <c r="V429" s="16"/>
      <c r="W429" s="16"/>
      <c r="X429" s="16"/>
      <c r="Y429" s="16"/>
      <c r="Z429" s="16"/>
      <c r="AA429" s="16"/>
      <c r="AB429" s="16"/>
      <c r="AC429" s="16"/>
      <c r="AD429" s="16"/>
    </row>
    <row r="430" spans="1:30" ht="12.9">
      <c r="A430" s="16"/>
      <c r="B430" s="24"/>
      <c r="C430" s="196"/>
      <c r="D430" s="196"/>
      <c r="E430" s="196"/>
      <c r="F430" s="16"/>
      <c r="G430" s="24"/>
      <c r="H430" s="24"/>
      <c r="I430" s="16"/>
      <c r="J430" s="16"/>
      <c r="K430" s="16"/>
      <c r="L430" s="16"/>
      <c r="M430" s="16"/>
      <c r="N430" s="16"/>
      <c r="O430" s="16"/>
      <c r="P430" s="16"/>
      <c r="Q430" s="16"/>
      <c r="R430" s="16"/>
      <c r="S430" s="16"/>
      <c r="T430" s="16"/>
      <c r="U430" s="16"/>
      <c r="V430" s="16"/>
      <c r="W430" s="16"/>
      <c r="X430" s="16"/>
      <c r="Y430" s="16"/>
      <c r="Z430" s="16"/>
      <c r="AA430" s="16"/>
      <c r="AB430" s="16"/>
      <c r="AC430" s="16"/>
      <c r="AD430" s="16"/>
    </row>
    <row r="431" spans="1:30" ht="12.9">
      <c r="A431" s="16"/>
      <c r="B431" s="24"/>
      <c r="C431" s="196"/>
      <c r="D431" s="196"/>
      <c r="E431" s="196"/>
      <c r="F431" s="16"/>
      <c r="G431" s="24"/>
      <c r="H431" s="24"/>
      <c r="I431" s="16"/>
      <c r="J431" s="16"/>
      <c r="K431" s="16"/>
      <c r="L431" s="16"/>
      <c r="M431" s="16"/>
      <c r="N431" s="16"/>
      <c r="O431" s="16"/>
      <c r="P431" s="16"/>
      <c r="Q431" s="16"/>
      <c r="R431" s="16"/>
      <c r="S431" s="16"/>
      <c r="T431" s="16"/>
      <c r="U431" s="16"/>
      <c r="V431" s="16"/>
      <c r="W431" s="16"/>
      <c r="X431" s="16"/>
      <c r="Y431" s="16"/>
      <c r="Z431" s="16"/>
      <c r="AA431" s="16"/>
      <c r="AB431" s="16"/>
      <c r="AC431" s="16"/>
      <c r="AD431" s="16"/>
    </row>
    <row r="432" spans="1:30" ht="12.9">
      <c r="A432" s="16"/>
      <c r="B432" s="24"/>
      <c r="C432" s="196"/>
      <c r="D432" s="196"/>
      <c r="E432" s="196"/>
      <c r="F432" s="16"/>
      <c r="G432" s="24"/>
      <c r="H432" s="24"/>
      <c r="I432" s="16"/>
      <c r="J432" s="16"/>
      <c r="K432" s="16"/>
      <c r="L432" s="16"/>
      <c r="M432" s="16"/>
      <c r="N432" s="16"/>
      <c r="O432" s="16"/>
      <c r="P432" s="16"/>
      <c r="Q432" s="16"/>
      <c r="R432" s="16"/>
      <c r="S432" s="16"/>
      <c r="T432" s="16"/>
      <c r="U432" s="16"/>
      <c r="V432" s="16"/>
      <c r="W432" s="16"/>
      <c r="X432" s="16"/>
      <c r="Y432" s="16"/>
      <c r="Z432" s="16"/>
      <c r="AA432" s="16"/>
      <c r="AB432" s="16"/>
      <c r="AC432" s="16"/>
      <c r="AD432" s="16"/>
    </row>
    <row r="433" spans="1:30" ht="12.9">
      <c r="A433" s="16"/>
      <c r="B433" s="24"/>
      <c r="C433" s="196"/>
      <c r="D433" s="196"/>
      <c r="E433" s="196"/>
      <c r="F433" s="16"/>
      <c r="G433" s="24"/>
      <c r="H433" s="24"/>
      <c r="I433" s="16"/>
      <c r="J433" s="16"/>
      <c r="K433" s="16"/>
      <c r="L433" s="16"/>
      <c r="M433" s="16"/>
      <c r="N433" s="16"/>
      <c r="O433" s="16"/>
      <c r="P433" s="16"/>
      <c r="Q433" s="16"/>
      <c r="R433" s="16"/>
      <c r="S433" s="16"/>
      <c r="T433" s="16"/>
      <c r="U433" s="16"/>
      <c r="V433" s="16"/>
      <c r="W433" s="16"/>
      <c r="X433" s="16"/>
      <c r="Y433" s="16"/>
      <c r="Z433" s="16"/>
      <c r="AA433" s="16"/>
      <c r="AB433" s="16"/>
      <c r="AC433" s="16"/>
      <c r="AD433" s="16"/>
    </row>
    <row r="434" spans="1:30" ht="12.9">
      <c r="A434" s="16"/>
      <c r="B434" s="24"/>
      <c r="C434" s="196"/>
      <c r="D434" s="196"/>
      <c r="E434" s="196"/>
      <c r="F434" s="16"/>
      <c r="G434" s="24"/>
      <c r="H434" s="24"/>
      <c r="I434" s="16"/>
      <c r="J434" s="16"/>
      <c r="K434" s="16"/>
      <c r="L434" s="16"/>
      <c r="M434" s="16"/>
      <c r="N434" s="16"/>
      <c r="O434" s="16"/>
      <c r="P434" s="16"/>
      <c r="Q434" s="16"/>
      <c r="R434" s="16"/>
      <c r="S434" s="16"/>
      <c r="T434" s="16"/>
      <c r="U434" s="16"/>
      <c r="V434" s="16"/>
      <c r="W434" s="16"/>
      <c r="X434" s="16"/>
      <c r="Y434" s="16"/>
      <c r="Z434" s="16"/>
      <c r="AA434" s="16"/>
      <c r="AB434" s="16"/>
      <c r="AC434" s="16"/>
      <c r="AD434" s="16"/>
    </row>
    <row r="435" spans="1:30" ht="12.9">
      <c r="A435" s="16"/>
      <c r="B435" s="24"/>
      <c r="C435" s="196"/>
      <c r="D435" s="196"/>
      <c r="E435" s="196"/>
      <c r="F435" s="16"/>
      <c r="G435" s="24"/>
      <c r="H435" s="24"/>
      <c r="I435" s="16"/>
      <c r="J435" s="16"/>
      <c r="K435" s="16"/>
      <c r="L435" s="16"/>
      <c r="M435" s="16"/>
      <c r="N435" s="16"/>
      <c r="O435" s="16"/>
      <c r="P435" s="16"/>
      <c r="Q435" s="16"/>
      <c r="R435" s="16"/>
      <c r="S435" s="16"/>
      <c r="T435" s="16"/>
      <c r="U435" s="16"/>
      <c r="V435" s="16"/>
      <c r="W435" s="16"/>
      <c r="X435" s="16"/>
      <c r="Y435" s="16"/>
      <c r="Z435" s="16"/>
      <c r="AA435" s="16"/>
      <c r="AB435" s="16"/>
      <c r="AC435" s="16"/>
      <c r="AD435" s="16"/>
    </row>
    <row r="436" spans="1:30" ht="12.9">
      <c r="A436" s="16"/>
      <c r="B436" s="24"/>
      <c r="C436" s="196"/>
      <c r="D436" s="196"/>
      <c r="E436" s="196"/>
      <c r="F436" s="16"/>
      <c r="G436" s="24"/>
      <c r="H436" s="24"/>
      <c r="I436" s="16"/>
      <c r="J436" s="16"/>
      <c r="K436" s="16"/>
      <c r="L436" s="16"/>
      <c r="M436" s="16"/>
      <c r="N436" s="16"/>
      <c r="O436" s="16"/>
      <c r="P436" s="16"/>
      <c r="Q436" s="16"/>
      <c r="R436" s="16"/>
      <c r="S436" s="16"/>
      <c r="T436" s="16"/>
      <c r="U436" s="16"/>
      <c r="V436" s="16"/>
      <c r="W436" s="16"/>
      <c r="X436" s="16"/>
      <c r="Y436" s="16"/>
      <c r="Z436" s="16"/>
      <c r="AA436" s="16"/>
      <c r="AB436" s="16"/>
      <c r="AC436" s="16"/>
      <c r="AD436" s="16"/>
    </row>
    <row r="437" spans="1:30" ht="12.9">
      <c r="A437" s="16"/>
      <c r="B437" s="24"/>
      <c r="C437" s="196"/>
      <c r="D437" s="196"/>
      <c r="E437" s="196"/>
      <c r="F437" s="16"/>
      <c r="G437" s="24"/>
      <c r="H437" s="24"/>
      <c r="I437" s="16"/>
      <c r="J437" s="16"/>
      <c r="K437" s="16"/>
      <c r="L437" s="16"/>
      <c r="M437" s="16"/>
      <c r="N437" s="16"/>
      <c r="O437" s="16"/>
      <c r="P437" s="16"/>
      <c r="Q437" s="16"/>
      <c r="R437" s="16"/>
      <c r="S437" s="16"/>
      <c r="T437" s="16"/>
      <c r="U437" s="16"/>
      <c r="V437" s="16"/>
      <c r="W437" s="16"/>
      <c r="X437" s="16"/>
      <c r="Y437" s="16"/>
      <c r="Z437" s="16"/>
      <c r="AA437" s="16"/>
      <c r="AB437" s="16"/>
      <c r="AC437" s="16"/>
      <c r="AD437" s="16"/>
    </row>
    <row r="438" spans="1:30" ht="12.9">
      <c r="A438" s="16"/>
      <c r="B438" s="24"/>
      <c r="C438" s="196"/>
      <c r="D438" s="196"/>
      <c r="E438" s="196"/>
      <c r="F438" s="16"/>
      <c r="G438" s="24"/>
      <c r="H438" s="24"/>
      <c r="I438" s="16"/>
      <c r="J438" s="16"/>
      <c r="K438" s="16"/>
      <c r="L438" s="16"/>
      <c r="M438" s="16"/>
      <c r="N438" s="16"/>
      <c r="O438" s="16"/>
      <c r="P438" s="16"/>
      <c r="Q438" s="16"/>
      <c r="R438" s="16"/>
      <c r="S438" s="16"/>
      <c r="T438" s="16"/>
      <c r="U438" s="16"/>
      <c r="V438" s="16"/>
      <c r="W438" s="16"/>
      <c r="X438" s="16"/>
      <c r="Y438" s="16"/>
      <c r="Z438" s="16"/>
      <c r="AA438" s="16"/>
      <c r="AB438" s="16"/>
      <c r="AC438" s="16"/>
      <c r="AD438" s="16"/>
    </row>
    <row r="439" spans="1:30" ht="12.9">
      <c r="A439" s="16"/>
      <c r="B439" s="24"/>
      <c r="C439" s="196"/>
      <c r="D439" s="196"/>
      <c r="E439" s="196"/>
      <c r="F439" s="16"/>
      <c r="G439" s="24"/>
      <c r="H439" s="24"/>
      <c r="I439" s="16"/>
      <c r="J439" s="16"/>
      <c r="K439" s="16"/>
      <c r="L439" s="16"/>
      <c r="M439" s="16"/>
      <c r="N439" s="16"/>
      <c r="O439" s="16"/>
      <c r="P439" s="16"/>
      <c r="Q439" s="16"/>
      <c r="R439" s="16"/>
      <c r="S439" s="16"/>
      <c r="T439" s="16"/>
      <c r="U439" s="16"/>
      <c r="V439" s="16"/>
      <c r="W439" s="16"/>
      <c r="X439" s="16"/>
      <c r="Y439" s="16"/>
      <c r="Z439" s="16"/>
      <c r="AA439" s="16"/>
      <c r="AB439" s="16"/>
      <c r="AC439" s="16"/>
      <c r="AD439" s="16"/>
    </row>
    <row r="440" spans="1:30" ht="12.9">
      <c r="A440" s="16"/>
      <c r="B440" s="24"/>
      <c r="C440" s="196"/>
      <c r="D440" s="196"/>
      <c r="E440" s="196"/>
      <c r="F440" s="16"/>
      <c r="G440" s="24"/>
      <c r="H440" s="24"/>
      <c r="I440" s="16"/>
      <c r="J440" s="16"/>
      <c r="K440" s="16"/>
      <c r="L440" s="16"/>
      <c r="M440" s="16"/>
      <c r="N440" s="16"/>
      <c r="O440" s="16"/>
      <c r="P440" s="16"/>
      <c r="Q440" s="16"/>
      <c r="R440" s="16"/>
      <c r="S440" s="16"/>
      <c r="T440" s="16"/>
      <c r="U440" s="16"/>
      <c r="V440" s="16"/>
      <c r="W440" s="16"/>
      <c r="X440" s="16"/>
      <c r="Y440" s="16"/>
      <c r="Z440" s="16"/>
      <c r="AA440" s="16"/>
      <c r="AB440" s="16"/>
      <c r="AC440" s="16"/>
      <c r="AD440" s="16"/>
    </row>
    <row r="441" spans="1:30" ht="12.9">
      <c r="A441" s="16"/>
      <c r="B441" s="24"/>
      <c r="C441" s="196"/>
      <c r="D441" s="196"/>
      <c r="E441" s="196"/>
      <c r="F441" s="16"/>
      <c r="G441" s="24"/>
      <c r="H441" s="24"/>
      <c r="I441" s="16"/>
      <c r="J441" s="16"/>
      <c r="K441" s="16"/>
      <c r="L441" s="16"/>
      <c r="M441" s="16"/>
      <c r="N441" s="16"/>
      <c r="O441" s="16"/>
      <c r="P441" s="16"/>
      <c r="Q441" s="16"/>
      <c r="R441" s="16"/>
      <c r="S441" s="16"/>
      <c r="T441" s="16"/>
      <c r="U441" s="16"/>
      <c r="V441" s="16"/>
      <c r="W441" s="16"/>
      <c r="X441" s="16"/>
      <c r="Y441" s="16"/>
      <c r="Z441" s="16"/>
      <c r="AA441" s="16"/>
      <c r="AB441" s="16"/>
      <c r="AC441" s="16"/>
      <c r="AD441" s="16"/>
    </row>
    <row r="442" spans="1:30" ht="12.9">
      <c r="A442" s="16"/>
      <c r="B442" s="24"/>
      <c r="C442" s="196"/>
      <c r="D442" s="196"/>
      <c r="E442" s="196"/>
      <c r="F442" s="16"/>
      <c r="G442" s="24"/>
      <c r="H442" s="24"/>
      <c r="I442" s="16"/>
      <c r="J442" s="16"/>
      <c r="K442" s="16"/>
      <c r="L442" s="16"/>
      <c r="M442" s="16"/>
      <c r="N442" s="16"/>
      <c r="O442" s="16"/>
      <c r="P442" s="16"/>
      <c r="Q442" s="16"/>
      <c r="R442" s="16"/>
      <c r="S442" s="16"/>
      <c r="T442" s="16"/>
      <c r="U442" s="16"/>
      <c r="V442" s="16"/>
      <c r="W442" s="16"/>
      <c r="X442" s="16"/>
      <c r="Y442" s="16"/>
      <c r="Z442" s="16"/>
      <c r="AA442" s="16"/>
      <c r="AB442" s="16"/>
      <c r="AC442" s="16"/>
      <c r="AD442" s="16"/>
    </row>
    <row r="443" spans="1:30" ht="12.9">
      <c r="A443" s="16"/>
      <c r="B443" s="24"/>
      <c r="C443" s="196"/>
      <c r="D443" s="196"/>
      <c r="E443" s="196"/>
      <c r="F443" s="16"/>
      <c r="G443" s="24"/>
      <c r="H443" s="24"/>
      <c r="I443" s="16"/>
      <c r="J443" s="16"/>
      <c r="K443" s="16"/>
      <c r="L443" s="16"/>
      <c r="M443" s="16"/>
      <c r="N443" s="16"/>
      <c r="O443" s="16"/>
      <c r="P443" s="16"/>
      <c r="Q443" s="16"/>
      <c r="R443" s="16"/>
      <c r="S443" s="16"/>
      <c r="T443" s="16"/>
      <c r="U443" s="16"/>
      <c r="V443" s="16"/>
      <c r="W443" s="16"/>
      <c r="X443" s="16"/>
      <c r="Y443" s="16"/>
      <c r="Z443" s="16"/>
      <c r="AA443" s="16"/>
      <c r="AB443" s="16"/>
      <c r="AC443" s="16"/>
      <c r="AD443" s="16"/>
    </row>
    <row r="444" spans="1:30" ht="12.9">
      <c r="A444" s="16"/>
      <c r="B444" s="24"/>
      <c r="C444" s="196"/>
      <c r="D444" s="196"/>
      <c r="E444" s="196"/>
      <c r="F444" s="16"/>
      <c r="G444" s="24"/>
      <c r="H444" s="24"/>
      <c r="I444" s="16"/>
      <c r="J444" s="16"/>
      <c r="K444" s="16"/>
      <c r="L444" s="16"/>
      <c r="M444" s="16"/>
      <c r="N444" s="16"/>
      <c r="O444" s="16"/>
      <c r="P444" s="16"/>
      <c r="Q444" s="16"/>
      <c r="R444" s="16"/>
      <c r="S444" s="16"/>
      <c r="T444" s="16"/>
      <c r="U444" s="16"/>
      <c r="V444" s="16"/>
      <c r="W444" s="16"/>
      <c r="X444" s="16"/>
      <c r="Y444" s="16"/>
      <c r="Z444" s="16"/>
      <c r="AA444" s="16"/>
      <c r="AB444" s="16"/>
      <c r="AC444" s="16"/>
      <c r="AD444" s="16"/>
    </row>
    <row r="445" spans="1:30" ht="12.9">
      <c r="A445" s="16"/>
      <c r="B445" s="24"/>
      <c r="C445" s="196"/>
      <c r="D445" s="196"/>
      <c r="E445" s="196"/>
      <c r="F445" s="16"/>
      <c r="G445" s="24"/>
      <c r="H445" s="24"/>
      <c r="I445" s="16"/>
      <c r="J445" s="16"/>
      <c r="K445" s="16"/>
      <c r="L445" s="16"/>
      <c r="M445" s="16"/>
      <c r="N445" s="16"/>
      <c r="O445" s="16"/>
      <c r="P445" s="16"/>
      <c r="Q445" s="16"/>
      <c r="R445" s="16"/>
      <c r="S445" s="16"/>
      <c r="T445" s="16"/>
      <c r="U445" s="16"/>
      <c r="V445" s="16"/>
      <c r="W445" s="16"/>
      <c r="X445" s="16"/>
      <c r="Y445" s="16"/>
      <c r="Z445" s="16"/>
      <c r="AA445" s="16"/>
      <c r="AB445" s="16"/>
      <c r="AC445" s="16"/>
      <c r="AD445" s="16"/>
    </row>
    <row r="446" spans="1:30" ht="12.9">
      <c r="A446" s="16"/>
      <c r="B446" s="24"/>
      <c r="C446" s="196"/>
      <c r="D446" s="196"/>
      <c r="E446" s="196"/>
      <c r="F446" s="16"/>
      <c r="G446" s="24"/>
      <c r="H446" s="24"/>
      <c r="I446" s="16"/>
      <c r="J446" s="16"/>
      <c r="K446" s="16"/>
      <c r="L446" s="16"/>
      <c r="M446" s="16"/>
      <c r="N446" s="16"/>
      <c r="O446" s="16"/>
      <c r="P446" s="16"/>
      <c r="Q446" s="16"/>
      <c r="R446" s="16"/>
      <c r="S446" s="16"/>
      <c r="T446" s="16"/>
      <c r="U446" s="16"/>
      <c r="V446" s="16"/>
      <c r="W446" s="16"/>
      <c r="X446" s="16"/>
      <c r="Y446" s="16"/>
      <c r="Z446" s="16"/>
      <c r="AA446" s="16"/>
      <c r="AB446" s="16"/>
      <c r="AC446" s="16"/>
      <c r="AD446" s="16"/>
    </row>
    <row r="447" spans="1:30" ht="12.9">
      <c r="A447" s="16"/>
      <c r="B447" s="24"/>
      <c r="C447" s="196"/>
      <c r="D447" s="196"/>
      <c r="E447" s="196"/>
      <c r="F447" s="16"/>
      <c r="G447" s="24"/>
      <c r="H447" s="24"/>
      <c r="I447" s="16"/>
      <c r="J447" s="16"/>
      <c r="K447" s="16"/>
      <c r="L447" s="16"/>
      <c r="M447" s="16"/>
      <c r="N447" s="16"/>
      <c r="O447" s="16"/>
      <c r="P447" s="16"/>
      <c r="Q447" s="16"/>
      <c r="R447" s="16"/>
      <c r="S447" s="16"/>
      <c r="T447" s="16"/>
      <c r="U447" s="16"/>
      <c r="V447" s="16"/>
      <c r="W447" s="16"/>
      <c r="X447" s="16"/>
      <c r="Y447" s="16"/>
      <c r="Z447" s="16"/>
      <c r="AA447" s="16"/>
      <c r="AB447" s="16"/>
      <c r="AC447" s="16"/>
      <c r="AD447" s="16"/>
    </row>
    <row r="448" spans="1:30" ht="12.9">
      <c r="A448" s="16"/>
      <c r="B448" s="24"/>
      <c r="C448" s="196"/>
      <c r="D448" s="196"/>
      <c r="E448" s="196"/>
      <c r="F448" s="16"/>
      <c r="G448" s="24"/>
      <c r="H448" s="24"/>
      <c r="I448" s="16"/>
      <c r="J448" s="16"/>
      <c r="K448" s="16"/>
      <c r="L448" s="16"/>
      <c r="M448" s="16"/>
      <c r="N448" s="16"/>
      <c r="O448" s="16"/>
      <c r="P448" s="16"/>
      <c r="Q448" s="16"/>
      <c r="R448" s="16"/>
      <c r="S448" s="16"/>
      <c r="T448" s="16"/>
      <c r="U448" s="16"/>
      <c r="V448" s="16"/>
      <c r="W448" s="16"/>
      <c r="X448" s="16"/>
      <c r="Y448" s="16"/>
      <c r="Z448" s="16"/>
      <c r="AA448" s="16"/>
      <c r="AB448" s="16"/>
      <c r="AC448" s="16"/>
      <c r="AD448" s="16"/>
    </row>
    <row r="449" spans="1:30" ht="12.9">
      <c r="A449" s="16"/>
      <c r="B449" s="24"/>
      <c r="C449" s="196"/>
      <c r="D449" s="196"/>
      <c r="E449" s="196"/>
      <c r="F449" s="16"/>
      <c r="G449" s="24"/>
      <c r="H449" s="24"/>
      <c r="I449" s="16"/>
      <c r="J449" s="16"/>
      <c r="K449" s="16"/>
      <c r="L449" s="16"/>
      <c r="M449" s="16"/>
      <c r="N449" s="16"/>
      <c r="O449" s="16"/>
      <c r="P449" s="16"/>
      <c r="Q449" s="16"/>
      <c r="R449" s="16"/>
      <c r="S449" s="16"/>
      <c r="T449" s="16"/>
      <c r="U449" s="16"/>
      <c r="V449" s="16"/>
      <c r="W449" s="16"/>
      <c r="X449" s="16"/>
      <c r="Y449" s="16"/>
      <c r="Z449" s="16"/>
      <c r="AA449" s="16"/>
      <c r="AB449" s="16"/>
      <c r="AC449" s="16"/>
      <c r="AD449" s="16"/>
    </row>
    <row r="450" spans="1:30" ht="12.9">
      <c r="A450" s="16"/>
      <c r="B450" s="24"/>
      <c r="C450" s="196"/>
      <c r="D450" s="196"/>
      <c r="E450" s="196"/>
      <c r="F450" s="16"/>
      <c r="G450" s="24"/>
      <c r="H450" s="24"/>
      <c r="I450" s="16"/>
      <c r="J450" s="16"/>
      <c r="K450" s="16"/>
      <c r="L450" s="16"/>
      <c r="M450" s="16"/>
      <c r="N450" s="16"/>
      <c r="O450" s="16"/>
      <c r="P450" s="16"/>
      <c r="Q450" s="16"/>
      <c r="R450" s="16"/>
      <c r="S450" s="16"/>
      <c r="T450" s="16"/>
      <c r="U450" s="16"/>
      <c r="V450" s="16"/>
      <c r="W450" s="16"/>
      <c r="X450" s="16"/>
      <c r="Y450" s="16"/>
      <c r="Z450" s="16"/>
      <c r="AA450" s="16"/>
      <c r="AB450" s="16"/>
      <c r="AC450" s="16"/>
      <c r="AD450" s="16"/>
    </row>
    <row r="451" spans="1:30" ht="12.9">
      <c r="A451" s="16"/>
      <c r="B451" s="24"/>
      <c r="C451" s="196"/>
      <c r="D451" s="196"/>
      <c r="E451" s="196"/>
      <c r="F451" s="16"/>
      <c r="G451" s="24"/>
      <c r="H451" s="24"/>
      <c r="I451" s="16"/>
      <c r="J451" s="16"/>
      <c r="K451" s="16"/>
      <c r="L451" s="16"/>
      <c r="M451" s="16"/>
      <c r="N451" s="16"/>
      <c r="O451" s="16"/>
      <c r="P451" s="16"/>
      <c r="Q451" s="16"/>
      <c r="R451" s="16"/>
      <c r="S451" s="16"/>
      <c r="T451" s="16"/>
      <c r="U451" s="16"/>
      <c r="V451" s="16"/>
      <c r="W451" s="16"/>
      <c r="X451" s="16"/>
      <c r="Y451" s="16"/>
      <c r="Z451" s="16"/>
      <c r="AA451" s="16"/>
      <c r="AB451" s="16"/>
      <c r="AC451" s="16"/>
      <c r="AD451" s="16"/>
    </row>
    <row r="452" spans="1:30" ht="12.9">
      <c r="A452" s="16"/>
      <c r="B452" s="24"/>
      <c r="C452" s="196"/>
      <c r="D452" s="196"/>
      <c r="E452" s="196"/>
      <c r="F452" s="16"/>
      <c r="G452" s="24"/>
      <c r="H452" s="24"/>
      <c r="I452" s="16"/>
      <c r="J452" s="16"/>
      <c r="K452" s="16"/>
      <c r="L452" s="16"/>
      <c r="M452" s="16"/>
      <c r="N452" s="16"/>
      <c r="O452" s="16"/>
      <c r="P452" s="16"/>
      <c r="Q452" s="16"/>
      <c r="R452" s="16"/>
      <c r="S452" s="16"/>
      <c r="T452" s="16"/>
      <c r="U452" s="16"/>
      <c r="V452" s="16"/>
      <c r="W452" s="16"/>
      <c r="X452" s="16"/>
      <c r="Y452" s="16"/>
      <c r="Z452" s="16"/>
      <c r="AA452" s="16"/>
      <c r="AB452" s="16"/>
      <c r="AC452" s="16"/>
      <c r="AD452" s="16"/>
    </row>
    <row r="453" spans="1:30" ht="12.9">
      <c r="A453" s="16"/>
      <c r="B453" s="24"/>
      <c r="C453" s="196"/>
      <c r="D453" s="196"/>
      <c r="E453" s="196"/>
      <c r="F453" s="16"/>
      <c r="G453" s="24"/>
      <c r="H453" s="24"/>
      <c r="I453" s="16"/>
      <c r="J453" s="16"/>
      <c r="K453" s="16"/>
      <c r="L453" s="16"/>
      <c r="M453" s="16"/>
      <c r="N453" s="16"/>
      <c r="O453" s="16"/>
      <c r="P453" s="16"/>
      <c r="Q453" s="16"/>
      <c r="R453" s="16"/>
      <c r="S453" s="16"/>
      <c r="T453" s="16"/>
      <c r="U453" s="16"/>
      <c r="V453" s="16"/>
      <c r="W453" s="16"/>
      <c r="X453" s="16"/>
      <c r="Y453" s="16"/>
      <c r="Z453" s="16"/>
      <c r="AA453" s="16"/>
      <c r="AB453" s="16"/>
      <c r="AC453" s="16"/>
      <c r="AD453" s="16"/>
    </row>
    <row r="454" spans="1:30" ht="12.9">
      <c r="A454" s="16"/>
      <c r="B454" s="24"/>
      <c r="C454" s="196"/>
      <c r="D454" s="196"/>
      <c r="E454" s="196"/>
      <c r="F454" s="16"/>
      <c r="G454" s="24"/>
      <c r="H454" s="24"/>
      <c r="I454" s="16"/>
      <c r="J454" s="16"/>
      <c r="K454" s="16"/>
      <c r="L454" s="16"/>
      <c r="M454" s="16"/>
      <c r="N454" s="16"/>
      <c r="O454" s="16"/>
      <c r="P454" s="16"/>
      <c r="Q454" s="16"/>
      <c r="R454" s="16"/>
      <c r="S454" s="16"/>
      <c r="T454" s="16"/>
      <c r="U454" s="16"/>
      <c r="V454" s="16"/>
      <c r="W454" s="16"/>
      <c r="X454" s="16"/>
      <c r="Y454" s="16"/>
      <c r="Z454" s="16"/>
      <c r="AA454" s="16"/>
      <c r="AB454" s="16"/>
      <c r="AC454" s="16"/>
      <c r="AD454" s="16"/>
    </row>
    <row r="455" spans="1:30" ht="12.9">
      <c r="A455" s="16"/>
      <c r="B455" s="24"/>
      <c r="C455" s="196"/>
      <c r="D455" s="196"/>
      <c r="E455" s="196"/>
      <c r="F455" s="16"/>
      <c r="G455" s="24"/>
      <c r="H455" s="24"/>
      <c r="I455" s="16"/>
      <c r="J455" s="16"/>
      <c r="K455" s="16"/>
      <c r="L455" s="16"/>
      <c r="M455" s="16"/>
      <c r="N455" s="16"/>
      <c r="O455" s="16"/>
      <c r="P455" s="16"/>
      <c r="Q455" s="16"/>
      <c r="R455" s="16"/>
      <c r="S455" s="16"/>
      <c r="T455" s="16"/>
      <c r="U455" s="16"/>
      <c r="V455" s="16"/>
      <c r="W455" s="16"/>
      <c r="X455" s="16"/>
      <c r="Y455" s="16"/>
      <c r="Z455" s="16"/>
      <c r="AA455" s="16"/>
      <c r="AB455" s="16"/>
      <c r="AC455" s="16"/>
      <c r="AD455" s="16"/>
    </row>
    <row r="456" spans="1:30" ht="12.9">
      <c r="A456" s="16"/>
      <c r="B456" s="24"/>
      <c r="C456" s="196"/>
      <c r="D456" s="196"/>
      <c r="E456" s="196"/>
      <c r="F456" s="16"/>
      <c r="G456" s="24"/>
      <c r="H456" s="24"/>
      <c r="I456" s="16"/>
      <c r="J456" s="16"/>
      <c r="K456" s="16"/>
      <c r="L456" s="16"/>
      <c r="M456" s="16"/>
      <c r="N456" s="16"/>
      <c r="O456" s="16"/>
      <c r="P456" s="16"/>
      <c r="Q456" s="16"/>
      <c r="R456" s="16"/>
      <c r="S456" s="16"/>
      <c r="T456" s="16"/>
      <c r="U456" s="16"/>
      <c r="V456" s="16"/>
      <c r="W456" s="16"/>
      <c r="X456" s="16"/>
      <c r="Y456" s="16"/>
      <c r="Z456" s="16"/>
      <c r="AA456" s="16"/>
      <c r="AB456" s="16"/>
      <c r="AC456" s="16"/>
      <c r="AD456" s="16"/>
    </row>
    <row r="457" spans="1:30" ht="12.9">
      <c r="A457" s="16"/>
      <c r="B457" s="24"/>
      <c r="C457" s="196"/>
      <c r="D457" s="196"/>
      <c r="E457" s="196"/>
      <c r="F457" s="16"/>
      <c r="G457" s="24"/>
      <c r="H457" s="24"/>
      <c r="I457" s="16"/>
      <c r="J457" s="16"/>
      <c r="K457" s="16"/>
      <c r="L457" s="16"/>
      <c r="M457" s="16"/>
      <c r="N457" s="16"/>
      <c r="O457" s="16"/>
      <c r="P457" s="16"/>
      <c r="Q457" s="16"/>
      <c r="R457" s="16"/>
      <c r="S457" s="16"/>
      <c r="T457" s="16"/>
      <c r="U457" s="16"/>
      <c r="V457" s="16"/>
      <c r="W457" s="16"/>
      <c r="X457" s="16"/>
      <c r="Y457" s="16"/>
      <c r="Z457" s="16"/>
      <c r="AA457" s="16"/>
      <c r="AB457" s="16"/>
      <c r="AC457" s="16"/>
      <c r="AD457" s="16"/>
    </row>
    <row r="458" spans="1:30" ht="12.9">
      <c r="A458" s="16"/>
      <c r="B458" s="24"/>
      <c r="C458" s="196"/>
      <c r="D458" s="196"/>
      <c r="E458" s="196"/>
      <c r="F458" s="16"/>
      <c r="G458" s="24"/>
      <c r="H458" s="24"/>
      <c r="I458" s="16"/>
      <c r="J458" s="16"/>
      <c r="K458" s="16"/>
      <c r="L458" s="16"/>
      <c r="M458" s="16"/>
      <c r="N458" s="16"/>
      <c r="O458" s="16"/>
      <c r="P458" s="16"/>
      <c r="Q458" s="16"/>
      <c r="R458" s="16"/>
      <c r="S458" s="16"/>
      <c r="T458" s="16"/>
      <c r="U458" s="16"/>
      <c r="V458" s="16"/>
      <c r="W458" s="16"/>
      <c r="X458" s="16"/>
      <c r="Y458" s="16"/>
      <c r="Z458" s="16"/>
      <c r="AA458" s="16"/>
      <c r="AB458" s="16"/>
      <c r="AC458" s="16"/>
      <c r="AD458" s="16"/>
    </row>
    <row r="459" spans="1:30" ht="12.9">
      <c r="A459" s="16"/>
      <c r="B459" s="24"/>
      <c r="C459" s="196"/>
      <c r="D459" s="196"/>
      <c r="E459" s="196"/>
      <c r="F459" s="16"/>
      <c r="G459" s="24"/>
      <c r="H459" s="24"/>
      <c r="I459" s="16"/>
      <c r="J459" s="16"/>
      <c r="K459" s="16"/>
      <c r="L459" s="16"/>
      <c r="M459" s="16"/>
      <c r="N459" s="16"/>
      <c r="O459" s="16"/>
      <c r="P459" s="16"/>
      <c r="Q459" s="16"/>
      <c r="R459" s="16"/>
      <c r="S459" s="16"/>
      <c r="T459" s="16"/>
      <c r="U459" s="16"/>
      <c r="V459" s="16"/>
      <c r="W459" s="16"/>
      <c r="X459" s="16"/>
      <c r="Y459" s="16"/>
      <c r="Z459" s="16"/>
      <c r="AA459" s="16"/>
      <c r="AB459" s="16"/>
      <c r="AC459" s="16"/>
      <c r="AD459" s="16"/>
    </row>
    <row r="460" spans="1:30" ht="12.9">
      <c r="A460" s="16"/>
      <c r="B460" s="24"/>
      <c r="C460" s="196"/>
      <c r="D460" s="196"/>
      <c r="E460" s="196"/>
      <c r="F460" s="16"/>
      <c r="G460" s="24"/>
      <c r="H460" s="24"/>
      <c r="I460" s="16"/>
      <c r="J460" s="16"/>
      <c r="K460" s="16"/>
      <c r="L460" s="16"/>
      <c r="M460" s="16"/>
      <c r="N460" s="16"/>
      <c r="O460" s="16"/>
      <c r="P460" s="16"/>
      <c r="Q460" s="16"/>
      <c r="R460" s="16"/>
      <c r="S460" s="16"/>
      <c r="T460" s="16"/>
      <c r="U460" s="16"/>
      <c r="V460" s="16"/>
      <c r="W460" s="16"/>
      <c r="X460" s="16"/>
      <c r="Y460" s="16"/>
      <c r="Z460" s="16"/>
      <c r="AA460" s="16"/>
      <c r="AB460" s="16"/>
      <c r="AC460" s="16"/>
      <c r="AD460" s="16"/>
    </row>
    <row r="461" spans="1:30" ht="12.9">
      <c r="A461" s="16"/>
      <c r="B461" s="24"/>
      <c r="C461" s="196"/>
      <c r="D461" s="196"/>
      <c r="E461" s="196"/>
      <c r="F461" s="16"/>
      <c r="G461" s="24"/>
      <c r="H461" s="24"/>
      <c r="I461" s="16"/>
      <c r="J461" s="16"/>
      <c r="K461" s="16"/>
      <c r="L461" s="16"/>
      <c r="M461" s="16"/>
      <c r="N461" s="16"/>
      <c r="O461" s="16"/>
      <c r="P461" s="16"/>
      <c r="Q461" s="16"/>
      <c r="R461" s="16"/>
      <c r="S461" s="16"/>
      <c r="T461" s="16"/>
      <c r="U461" s="16"/>
      <c r="V461" s="16"/>
      <c r="W461" s="16"/>
      <c r="X461" s="16"/>
      <c r="Y461" s="16"/>
      <c r="Z461" s="16"/>
      <c r="AA461" s="16"/>
      <c r="AB461" s="16"/>
      <c r="AC461" s="16"/>
      <c r="AD461" s="16"/>
    </row>
    <row r="462" spans="1:30" ht="12.9">
      <c r="A462" s="16"/>
      <c r="B462" s="24"/>
      <c r="C462" s="196"/>
      <c r="D462" s="196"/>
      <c r="E462" s="196"/>
      <c r="F462" s="16"/>
      <c r="G462" s="24"/>
      <c r="H462" s="24"/>
      <c r="I462" s="16"/>
      <c r="J462" s="16"/>
      <c r="K462" s="16"/>
      <c r="L462" s="16"/>
      <c r="M462" s="16"/>
      <c r="N462" s="16"/>
      <c r="O462" s="16"/>
      <c r="P462" s="16"/>
      <c r="Q462" s="16"/>
      <c r="R462" s="16"/>
      <c r="S462" s="16"/>
      <c r="T462" s="16"/>
      <c r="U462" s="16"/>
      <c r="V462" s="16"/>
      <c r="W462" s="16"/>
      <c r="X462" s="16"/>
      <c r="Y462" s="16"/>
      <c r="Z462" s="16"/>
      <c r="AA462" s="16"/>
      <c r="AB462" s="16"/>
      <c r="AC462" s="16"/>
      <c r="AD462" s="16"/>
    </row>
    <row r="463" spans="1:30" ht="12.9">
      <c r="A463" s="16"/>
      <c r="B463" s="24"/>
      <c r="C463" s="196"/>
      <c r="D463" s="196"/>
      <c r="E463" s="196"/>
      <c r="F463" s="16"/>
      <c r="G463" s="24"/>
      <c r="H463" s="24"/>
      <c r="I463" s="16"/>
      <c r="J463" s="16"/>
      <c r="K463" s="16"/>
      <c r="L463" s="16"/>
      <c r="M463" s="16"/>
      <c r="N463" s="16"/>
      <c r="O463" s="16"/>
      <c r="P463" s="16"/>
      <c r="Q463" s="16"/>
      <c r="R463" s="16"/>
      <c r="S463" s="16"/>
      <c r="T463" s="16"/>
      <c r="U463" s="16"/>
      <c r="V463" s="16"/>
      <c r="W463" s="16"/>
      <c r="X463" s="16"/>
      <c r="Y463" s="16"/>
      <c r="Z463" s="16"/>
      <c r="AA463" s="16"/>
      <c r="AB463" s="16"/>
      <c r="AC463" s="16"/>
      <c r="AD463" s="16"/>
    </row>
    <row r="464" spans="1:30" ht="12.9">
      <c r="A464" s="16"/>
      <c r="B464" s="24"/>
      <c r="C464" s="196"/>
      <c r="D464" s="196"/>
      <c r="E464" s="196"/>
      <c r="F464" s="16"/>
      <c r="G464" s="24"/>
      <c r="H464" s="24"/>
      <c r="I464" s="16"/>
      <c r="J464" s="16"/>
      <c r="K464" s="16"/>
      <c r="L464" s="16"/>
      <c r="M464" s="16"/>
      <c r="N464" s="16"/>
      <c r="O464" s="16"/>
      <c r="P464" s="16"/>
      <c r="Q464" s="16"/>
      <c r="R464" s="16"/>
      <c r="S464" s="16"/>
      <c r="T464" s="16"/>
      <c r="U464" s="16"/>
      <c r="V464" s="16"/>
      <c r="W464" s="16"/>
      <c r="X464" s="16"/>
      <c r="Y464" s="16"/>
      <c r="Z464" s="16"/>
      <c r="AA464" s="16"/>
      <c r="AB464" s="16"/>
      <c r="AC464" s="16"/>
      <c r="AD464" s="16"/>
    </row>
    <row r="465" spans="1:30" ht="12.9">
      <c r="A465" s="16"/>
      <c r="B465" s="24"/>
      <c r="C465" s="196"/>
      <c r="D465" s="196"/>
      <c r="E465" s="196"/>
      <c r="F465" s="16"/>
      <c r="G465" s="24"/>
      <c r="H465" s="24"/>
      <c r="I465" s="16"/>
      <c r="J465" s="16"/>
      <c r="K465" s="16"/>
      <c r="L465" s="16"/>
      <c r="M465" s="16"/>
      <c r="N465" s="16"/>
      <c r="O465" s="16"/>
      <c r="P465" s="16"/>
      <c r="Q465" s="16"/>
      <c r="R465" s="16"/>
      <c r="S465" s="16"/>
      <c r="T465" s="16"/>
      <c r="U465" s="16"/>
      <c r="V465" s="16"/>
      <c r="W465" s="16"/>
      <c r="X465" s="16"/>
      <c r="Y465" s="16"/>
      <c r="Z465" s="16"/>
      <c r="AA465" s="16"/>
      <c r="AB465" s="16"/>
      <c r="AC465" s="16"/>
      <c r="AD465" s="16"/>
    </row>
    <row r="466" spans="1:30" ht="12.9">
      <c r="A466" s="16"/>
      <c r="B466" s="24"/>
      <c r="C466" s="196"/>
      <c r="D466" s="196"/>
      <c r="E466" s="196"/>
      <c r="F466" s="16"/>
      <c r="G466" s="24"/>
      <c r="H466" s="24"/>
      <c r="I466" s="16"/>
      <c r="J466" s="16"/>
      <c r="K466" s="16"/>
      <c r="L466" s="16"/>
      <c r="M466" s="16"/>
      <c r="N466" s="16"/>
      <c r="O466" s="16"/>
      <c r="P466" s="16"/>
      <c r="Q466" s="16"/>
      <c r="R466" s="16"/>
      <c r="S466" s="16"/>
      <c r="T466" s="16"/>
      <c r="U466" s="16"/>
      <c r="V466" s="16"/>
      <c r="W466" s="16"/>
      <c r="X466" s="16"/>
      <c r="Y466" s="16"/>
      <c r="Z466" s="16"/>
      <c r="AA466" s="16"/>
      <c r="AB466" s="16"/>
      <c r="AC466" s="16"/>
      <c r="AD466" s="16"/>
    </row>
    <row r="467" spans="1:30" ht="12.9">
      <c r="A467" s="16"/>
      <c r="B467" s="24"/>
      <c r="C467" s="196"/>
      <c r="D467" s="196"/>
      <c r="E467" s="196"/>
      <c r="F467" s="16"/>
      <c r="G467" s="24"/>
      <c r="H467" s="24"/>
      <c r="I467" s="16"/>
      <c r="J467" s="16"/>
      <c r="K467" s="16"/>
      <c r="L467" s="16"/>
      <c r="M467" s="16"/>
      <c r="N467" s="16"/>
      <c r="O467" s="16"/>
      <c r="P467" s="16"/>
      <c r="Q467" s="16"/>
      <c r="R467" s="16"/>
      <c r="S467" s="16"/>
      <c r="T467" s="16"/>
      <c r="U467" s="16"/>
      <c r="V467" s="16"/>
      <c r="W467" s="16"/>
      <c r="X467" s="16"/>
      <c r="Y467" s="16"/>
      <c r="Z467" s="16"/>
      <c r="AA467" s="16"/>
      <c r="AB467" s="16"/>
      <c r="AC467" s="16"/>
      <c r="AD467" s="16"/>
    </row>
    <row r="468" spans="1:30" ht="12.9">
      <c r="A468" s="16"/>
      <c r="B468" s="24"/>
      <c r="C468" s="196"/>
      <c r="D468" s="196"/>
      <c r="E468" s="196"/>
      <c r="F468" s="16"/>
      <c r="G468" s="24"/>
      <c r="H468" s="24"/>
      <c r="I468" s="16"/>
      <c r="J468" s="16"/>
      <c r="K468" s="16"/>
      <c r="L468" s="16"/>
      <c r="M468" s="16"/>
      <c r="N468" s="16"/>
      <c r="O468" s="16"/>
      <c r="P468" s="16"/>
      <c r="Q468" s="16"/>
      <c r="R468" s="16"/>
      <c r="S468" s="16"/>
      <c r="T468" s="16"/>
      <c r="U468" s="16"/>
      <c r="V468" s="16"/>
      <c r="W468" s="16"/>
      <c r="X468" s="16"/>
      <c r="Y468" s="16"/>
      <c r="Z468" s="16"/>
      <c r="AA468" s="16"/>
      <c r="AB468" s="16"/>
      <c r="AC468" s="16"/>
      <c r="AD468" s="16"/>
    </row>
    <row r="469" spans="1:30" ht="12.9">
      <c r="A469" s="16"/>
      <c r="B469" s="24"/>
      <c r="C469" s="196"/>
      <c r="D469" s="196"/>
      <c r="E469" s="196"/>
      <c r="F469" s="16"/>
      <c r="G469" s="24"/>
      <c r="H469" s="24"/>
      <c r="I469" s="16"/>
      <c r="J469" s="16"/>
      <c r="K469" s="16"/>
      <c r="L469" s="16"/>
      <c r="M469" s="16"/>
      <c r="N469" s="16"/>
      <c r="O469" s="16"/>
      <c r="P469" s="16"/>
      <c r="Q469" s="16"/>
      <c r="R469" s="16"/>
      <c r="S469" s="16"/>
      <c r="T469" s="16"/>
      <c r="U469" s="16"/>
      <c r="V469" s="16"/>
      <c r="W469" s="16"/>
      <c r="X469" s="16"/>
      <c r="Y469" s="16"/>
      <c r="Z469" s="16"/>
      <c r="AA469" s="16"/>
      <c r="AB469" s="16"/>
      <c r="AC469" s="16"/>
      <c r="AD469" s="16"/>
    </row>
    <row r="470" spans="1:30" ht="12.9">
      <c r="A470" s="16"/>
      <c r="B470" s="24"/>
      <c r="C470" s="196"/>
      <c r="D470" s="196"/>
      <c r="E470" s="196"/>
      <c r="F470" s="16"/>
      <c r="G470" s="24"/>
      <c r="H470" s="24"/>
      <c r="I470" s="16"/>
      <c r="J470" s="16"/>
      <c r="K470" s="16"/>
      <c r="L470" s="16"/>
      <c r="M470" s="16"/>
      <c r="N470" s="16"/>
      <c r="O470" s="16"/>
      <c r="P470" s="16"/>
      <c r="Q470" s="16"/>
      <c r="R470" s="16"/>
      <c r="S470" s="16"/>
      <c r="T470" s="16"/>
      <c r="U470" s="16"/>
      <c r="V470" s="16"/>
      <c r="W470" s="16"/>
      <c r="X470" s="16"/>
      <c r="Y470" s="16"/>
      <c r="Z470" s="16"/>
      <c r="AA470" s="16"/>
      <c r="AB470" s="16"/>
      <c r="AC470" s="16"/>
      <c r="AD470" s="16"/>
    </row>
    <row r="471" spans="1:30" ht="12.9">
      <c r="A471" s="16"/>
      <c r="B471" s="24"/>
      <c r="C471" s="196"/>
      <c r="D471" s="196"/>
      <c r="E471" s="196"/>
      <c r="F471" s="16"/>
      <c r="G471" s="24"/>
      <c r="H471" s="24"/>
      <c r="I471" s="16"/>
      <c r="J471" s="16"/>
      <c r="K471" s="16"/>
      <c r="L471" s="16"/>
      <c r="M471" s="16"/>
      <c r="N471" s="16"/>
      <c r="O471" s="16"/>
      <c r="P471" s="16"/>
      <c r="Q471" s="16"/>
      <c r="R471" s="16"/>
      <c r="S471" s="16"/>
      <c r="T471" s="16"/>
      <c r="U471" s="16"/>
      <c r="V471" s="16"/>
      <c r="W471" s="16"/>
      <c r="X471" s="16"/>
      <c r="Y471" s="16"/>
      <c r="Z471" s="16"/>
      <c r="AA471" s="16"/>
      <c r="AB471" s="16"/>
      <c r="AC471" s="16"/>
      <c r="AD471" s="16"/>
    </row>
    <row r="472" spans="1:30" ht="12.9">
      <c r="A472" s="16"/>
      <c r="B472" s="24"/>
      <c r="C472" s="196"/>
      <c r="D472" s="196"/>
      <c r="E472" s="196"/>
      <c r="F472" s="16"/>
      <c r="G472" s="24"/>
      <c r="H472" s="24"/>
      <c r="I472" s="16"/>
      <c r="J472" s="16"/>
      <c r="K472" s="16"/>
      <c r="L472" s="16"/>
      <c r="M472" s="16"/>
      <c r="N472" s="16"/>
      <c r="O472" s="16"/>
      <c r="P472" s="16"/>
      <c r="Q472" s="16"/>
      <c r="R472" s="16"/>
      <c r="S472" s="16"/>
      <c r="T472" s="16"/>
      <c r="U472" s="16"/>
      <c r="V472" s="16"/>
      <c r="W472" s="16"/>
      <c r="X472" s="16"/>
      <c r="Y472" s="16"/>
      <c r="Z472" s="16"/>
      <c r="AA472" s="16"/>
      <c r="AB472" s="16"/>
      <c r="AC472" s="16"/>
      <c r="AD472" s="16"/>
    </row>
    <row r="473" spans="1:30" ht="12.9">
      <c r="A473" s="16"/>
      <c r="B473" s="24"/>
      <c r="C473" s="196"/>
      <c r="D473" s="196"/>
      <c r="E473" s="196"/>
      <c r="F473" s="16"/>
      <c r="G473" s="24"/>
      <c r="H473" s="24"/>
      <c r="I473" s="16"/>
      <c r="J473" s="16"/>
      <c r="K473" s="16"/>
      <c r="L473" s="16"/>
      <c r="M473" s="16"/>
      <c r="N473" s="16"/>
      <c r="O473" s="16"/>
      <c r="P473" s="16"/>
      <c r="Q473" s="16"/>
      <c r="R473" s="16"/>
      <c r="S473" s="16"/>
      <c r="T473" s="16"/>
      <c r="U473" s="16"/>
      <c r="V473" s="16"/>
      <c r="W473" s="16"/>
      <c r="X473" s="16"/>
      <c r="Y473" s="16"/>
      <c r="Z473" s="16"/>
      <c r="AA473" s="16"/>
      <c r="AB473" s="16"/>
      <c r="AC473" s="16"/>
      <c r="AD473" s="16"/>
    </row>
    <row r="474" spans="1:30" ht="12.9">
      <c r="A474" s="16"/>
      <c r="B474" s="24"/>
      <c r="C474" s="196"/>
      <c r="D474" s="196"/>
      <c r="E474" s="196"/>
      <c r="F474" s="16"/>
      <c r="G474" s="24"/>
      <c r="H474" s="24"/>
      <c r="I474" s="16"/>
      <c r="J474" s="16"/>
      <c r="K474" s="16"/>
      <c r="L474" s="16"/>
      <c r="M474" s="16"/>
      <c r="N474" s="16"/>
      <c r="O474" s="16"/>
      <c r="P474" s="16"/>
      <c r="Q474" s="16"/>
      <c r="R474" s="16"/>
      <c r="S474" s="16"/>
      <c r="T474" s="16"/>
      <c r="U474" s="16"/>
      <c r="V474" s="16"/>
      <c r="W474" s="16"/>
      <c r="X474" s="16"/>
      <c r="Y474" s="16"/>
      <c r="Z474" s="16"/>
      <c r="AA474" s="16"/>
      <c r="AB474" s="16"/>
      <c r="AC474" s="16"/>
      <c r="AD474" s="16"/>
    </row>
    <row r="475" spans="1:30" ht="12.9">
      <c r="A475" s="16"/>
      <c r="B475" s="24"/>
      <c r="C475" s="196"/>
      <c r="D475" s="196"/>
      <c r="E475" s="196"/>
      <c r="F475" s="16"/>
      <c r="G475" s="24"/>
      <c r="H475" s="24"/>
      <c r="I475" s="16"/>
      <c r="J475" s="16"/>
      <c r="K475" s="16"/>
      <c r="L475" s="16"/>
      <c r="M475" s="16"/>
      <c r="N475" s="16"/>
      <c r="O475" s="16"/>
      <c r="P475" s="16"/>
      <c r="Q475" s="16"/>
      <c r="R475" s="16"/>
      <c r="S475" s="16"/>
      <c r="T475" s="16"/>
      <c r="U475" s="16"/>
      <c r="V475" s="16"/>
      <c r="W475" s="16"/>
      <c r="X475" s="16"/>
      <c r="Y475" s="16"/>
      <c r="Z475" s="16"/>
      <c r="AA475" s="16"/>
      <c r="AB475" s="16"/>
      <c r="AC475" s="16"/>
      <c r="AD475" s="16"/>
    </row>
    <row r="476" spans="1:30" ht="12.9">
      <c r="A476" s="16"/>
      <c r="B476" s="24"/>
      <c r="C476" s="196"/>
      <c r="D476" s="196"/>
      <c r="E476" s="196"/>
      <c r="F476" s="16"/>
      <c r="G476" s="24"/>
      <c r="H476" s="24"/>
      <c r="I476" s="16"/>
      <c r="J476" s="16"/>
      <c r="K476" s="16"/>
      <c r="L476" s="16"/>
      <c r="M476" s="16"/>
      <c r="N476" s="16"/>
      <c r="O476" s="16"/>
      <c r="P476" s="16"/>
      <c r="Q476" s="16"/>
      <c r="R476" s="16"/>
      <c r="S476" s="16"/>
      <c r="T476" s="16"/>
      <c r="U476" s="16"/>
      <c r="V476" s="16"/>
      <c r="W476" s="16"/>
      <c r="X476" s="16"/>
      <c r="Y476" s="16"/>
      <c r="Z476" s="16"/>
      <c r="AA476" s="16"/>
      <c r="AB476" s="16"/>
      <c r="AC476" s="16"/>
      <c r="AD476" s="16"/>
    </row>
    <row r="477" spans="1:30" ht="12.9">
      <c r="A477" s="16"/>
      <c r="B477" s="24"/>
      <c r="C477" s="196"/>
      <c r="D477" s="196"/>
      <c r="E477" s="196"/>
      <c r="F477" s="16"/>
      <c r="G477" s="24"/>
      <c r="H477" s="24"/>
      <c r="I477" s="16"/>
      <c r="J477" s="16"/>
      <c r="K477" s="16"/>
      <c r="L477" s="16"/>
      <c r="M477" s="16"/>
      <c r="N477" s="16"/>
      <c r="O477" s="16"/>
      <c r="P477" s="16"/>
      <c r="Q477" s="16"/>
      <c r="R477" s="16"/>
      <c r="S477" s="16"/>
      <c r="T477" s="16"/>
      <c r="U477" s="16"/>
      <c r="V477" s="16"/>
      <c r="W477" s="16"/>
      <c r="X477" s="16"/>
      <c r="Y477" s="16"/>
      <c r="Z477" s="16"/>
      <c r="AA477" s="16"/>
      <c r="AB477" s="16"/>
      <c r="AC477" s="16"/>
      <c r="AD477" s="16"/>
    </row>
    <row r="478" spans="1:30" ht="12.9">
      <c r="A478" s="16"/>
      <c r="B478" s="24"/>
      <c r="C478" s="196"/>
      <c r="D478" s="196"/>
      <c r="E478" s="196"/>
      <c r="F478" s="16"/>
      <c r="G478" s="24"/>
      <c r="H478" s="24"/>
      <c r="I478" s="16"/>
      <c r="J478" s="16"/>
      <c r="K478" s="16"/>
      <c r="L478" s="16"/>
      <c r="M478" s="16"/>
      <c r="N478" s="16"/>
      <c r="O478" s="16"/>
      <c r="P478" s="16"/>
      <c r="Q478" s="16"/>
      <c r="R478" s="16"/>
      <c r="S478" s="16"/>
      <c r="T478" s="16"/>
      <c r="U478" s="16"/>
      <c r="V478" s="16"/>
      <c r="W478" s="16"/>
      <c r="X478" s="16"/>
      <c r="Y478" s="16"/>
      <c r="Z478" s="16"/>
      <c r="AA478" s="16"/>
      <c r="AB478" s="16"/>
      <c r="AC478" s="16"/>
      <c r="AD478" s="16"/>
    </row>
    <row r="479" spans="1:30" ht="12.9">
      <c r="A479" s="16"/>
      <c r="B479" s="24"/>
      <c r="C479" s="196"/>
      <c r="D479" s="196"/>
      <c r="E479" s="196"/>
      <c r="F479" s="16"/>
      <c r="G479" s="24"/>
      <c r="H479" s="24"/>
      <c r="I479" s="16"/>
      <c r="J479" s="16"/>
      <c r="K479" s="16"/>
      <c r="L479" s="16"/>
      <c r="M479" s="16"/>
      <c r="N479" s="16"/>
      <c r="O479" s="16"/>
      <c r="P479" s="16"/>
      <c r="Q479" s="16"/>
      <c r="R479" s="16"/>
      <c r="S479" s="16"/>
      <c r="T479" s="16"/>
      <c r="U479" s="16"/>
      <c r="V479" s="16"/>
      <c r="W479" s="16"/>
      <c r="X479" s="16"/>
      <c r="Y479" s="16"/>
      <c r="Z479" s="16"/>
      <c r="AA479" s="16"/>
      <c r="AB479" s="16"/>
      <c r="AC479" s="16"/>
      <c r="AD479" s="16"/>
    </row>
    <row r="480" spans="1:30" ht="12.9">
      <c r="A480" s="16"/>
      <c r="B480" s="24"/>
      <c r="C480" s="196"/>
      <c r="D480" s="196"/>
      <c r="E480" s="196"/>
      <c r="F480" s="16"/>
      <c r="G480" s="24"/>
      <c r="H480" s="24"/>
      <c r="I480" s="16"/>
      <c r="J480" s="16"/>
      <c r="K480" s="16"/>
      <c r="L480" s="16"/>
      <c r="M480" s="16"/>
      <c r="N480" s="16"/>
      <c r="O480" s="16"/>
      <c r="P480" s="16"/>
      <c r="Q480" s="16"/>
      <c r="R480" s="16"/>
      <c r="S480" s="16"/>
      <c r="T480" s="16"/>
      <c r="U480" s="16"/>
      <c r="V480" s="16"/>
      <c r="W480" s="16"/>
      <c r="X480" s="16"/>
      <c r="Y480" s="16"/>
      <c r="Z480" s="16"/>
      <c r="AA480" s="16"/>
      <c r="AB480" s="16"/>
      <c r="AC480" s="16"/>
      <c r="AD480" s="16"/>
    </row>
    <row r="481" spans="1:30" ht="12.9">
      <c r="A481" s="16"/>
      <c r="B481" s="24"/>
      <c r="C481" s="196"/>
      <c r="D481" s="196"/>
      <c r="E481" s="196"/>
      <c r="F481" s="16"/>
      <c r="G481" s="24"/>
      <c r="H481" s="24"/>
      <c r="I481" s="16"/>
      <c r="J481" s="16"/>
      <c r="K481" s="16"/>
      <c r="L481" s="16"/>
      <c r="M481" s="16"/>
      <c r="N481" s="16"/>
      <c r="O481" s="16"/>
      <c r="P481" s="16"/>
      <c r="Q481" s="16"/>
      <c r="R481" s="16"/>
      <c r="S481" s="16"/>
      <c r="T481" s="16"/>
      <c r="U481" s="16"/>
      <c r="V481" s="16"/>
      <c r="W481" s="16"/>
      <c r="X481" s="16"/>
      <c r="Y481" s="16"/>
      <c r="Z481" s="16"/>
      <c r="AA481" s="16"/>
      <c r="AB481" s="16"/>
      <c r="AC481" s="16"/>
      <c r="AD481" s="16"/>
    </row>
    <row r="482" spans="1:30" ht="12.9">
      <c r="A482" s="16"/>
      <c r="B482" s="24"/>
      <c r="C482" s="196"/>
      <c r="D482" s="196"/>
      <c r="E482" s="196"/>
      <c r="F482" s="16"/>
      <c r="G482" s="24"/>
      <c r="H482" s="24"/>
      <c r="I482" s="16"/>
      <c r="J482" s="16"/>
      <c r="K482" s="16"/>
      <c r="L482" s="16"/>
      <c r="M482" s="16"/>
      <c r="N482" s="16"/>
      <c r="O482" s="16"/>
      <c r="P482" s="16"/>
      <c r="Q482" s="16"/>
      <c r="R482" s="16"/>
      <c r="S482" s="16"/>
      <c r="T482" s="16"/>
      <c r="U482" s="16"/>
      <c r="V482" s="16"/>
      <c r="W482" s="16"/>
      <c r="X482" s="16"/>
      <c r="Y482" s="16"/>
      <c r="Z482" s="16"/>
      <c r="AA482" s="16"/>
      <c r="AB482" s="16"/>
      <c r="AC482" s="16"/>
      <c r="AD482" s="16"/>
    </row>
    <row r="483" spans="1:30" ht="12.9">
      <c r="A483" s="16"/>
      <c r="B483" s="24"/>
      <c r="C483" s="196"/>
      <c r="D483" s="196"/>
      <c r="E483" s="196"/>
      <c r="F483" s="16"/>
      <c r="G483" s="24"/>
      <c r="H483" s="24"/>
      <c r="I483" s="16"/>
      <c r="J483" s="16"/>
      <c r="K483" s="16"/>
      <c r="L483" s="16"/>
      <c r="M483" s="16"/>
      <c r="N483" s="16"/>
      <c r="O483" s="16"/>
      <c r="P483" s="16"/>
      <c r="Q483" s="16"/>
      <c r="R483" s="16"/>
      <c r="S483" s="16"/>
      <c r="T483" s="16"/>
      <c r="U483" s="16"/>
      <c r="V483" s="16"/>
      <c r="W483" s="16"/>
      <c r="X483" s="16"/>
      <c r="Y483" s="16"/>
      <c r="Z483" s="16"/>
      <c r="AA483" s="16"/>
      <c r="AB483" s="16"/>
      <c r="AC483" s="16"/>
      <c r="AD483" s="16"/>
    </row>
    <row r="484" spans="1:30" ht="12.9">
      <c r="A484" s="16"/>
      <c r="B484" s="24"/>
      <c r="C484" s="196"/>
      <c r="D484" s="196"/>
      <c r="E484" s="196"/>
      <c r="F484" s="16"/>
      <c r="G484" s="24"/>
      <c r="H484" s="24"/>
      <c r="I484" s="16"/>
      <c r="J484" s="16"/>
      <c r="K484" s="16"/>
      <c r="L484" s="16"/>
      <c r="M484" s="16"/>
      <c r="N484" s="16"/>
      <c r="O484" s="16"/>
      <c r="P484" s="16"/>
      <c r="Q484" s="16"/>
      <c r="R484" s="16"/>
      <c r="S484" s="16"/>
      <c r="T484" s="16"/>
      <c r="U484" s="16"/>
      <c r="V484" s="16"/>
      <c r="W484" s="16"/>
      <c r="X484" s="16"/>
      <c r="Y484" s="16"/>
      <c r="Z484" s="16"/>
      <c r="AA484" s="16"/>
      <c r="AB484" s="16"/>
      <c r="AC484" s="16"/>
      <c r="AD484" s="16"/>
    </row>
    <row r="485" spans="1:30" ht="12.9">
      <c r="A485" s="16"/>
      <c r="B485" s="24"/>
      <c r="C485" s="196"/>
      <c r="D485" s="196"/>
      <c r="E485" s="196"/>
      <c r="F485" s="16"/>
      <c r="G485" s="24"/>
      <c r="H485" s="24"/>
      <c r="I485" s="16"/>
      <c r="J485" s="16"/>
      <c r="K485" s="16"/>
      <c r="L485" s="16"/>
      <c r="M485" s="16"/>
      <c r="N485" s="16"/>
      <c r="O485" s="16"/>
      <c r="P485" s="16"/>
      <c r="Q485" s="16"/>
      <c r="R485" s="16"/>
      <c r="S485" s="16"/>
      <c r="T485" s="16"/>
      <c r="U485" s="16"/>
      <c r="V485" s="16"/>
      <c r="W485" s="16"/>
      <c r="X485" s="16"/>
      <c r="Y485" s="16"/>
      <c r="Z485" s="16"/>
      <c r="AA485" s="16"/>
      <c r="AB485" s="16"/>
      <c r="AC485" s="16"/>
      <c r="AD485" s="16"/>
    </row>
    <row r="486" spans="1:30" ht="12.9">
      <c r="A486" s="16"/>
      <c r="B486" s="24"/>
      <c r="C486" s="196"/>
      <c r="D486" s="196"/>
      <c r="E486" s="196"/>
      <c r="F486" s="16"/>
      <c r="G486" s="24"/>
      <c r="H486" s="24"/>
      <c r="I486" s="16"/>
      <c r="J486" s="16"/>
      <c r="K486" s="16"/>
      <c r="L486" s="16"/>
      <c r="M486" s="16"/>
      <c r="N486" s="16"/>
      <c r="O486" s="16"/>
      <c r="P486" s="16"/>
      <c r="Q486" s="16"/>
      <c r="R486" s="16"/>
      <c r="S486" s="16"/>
      <c r="T486" s="16"/>
      <c r="U486" s="16"/>
      <c r="V486" s="16"/>
      <c r="W486" s="16"/>
      <c r="X486" s="16"/>
      <c r="Y486" s="16"/>
      <c r="Z486" s="16"/>
      <c r="AA486" s="16"/>
      <c r="AB486" s="16"/>
      <c r="AC486" s="16"/>
      <c r="AD486" s="16"/>
    </row>
    <row r="487" spans="1:30" ht="12.9">
      <c r="A487" s="16"/>
      <c r="B487" s="24"/>
      <c r="C487" s="196"/>
      <c r="D487" s="196"/>
      <c r="E487" s="196"/>
      <c r="F487" s="16"/>
      <c r="G487" s="24"/>
      <c r="H487" s="24"/>
      <c r="I487" s="16"/>
      <c r="J487" s="16"/>
      <c r="K487" s="16"/>
      <c r="L487" s="16"/>
      <c r="M487" s="16"/>
      <c r="N487" s="16"/>
      <c r="O487" s="16"/>
      <c r="P487" s="16"/>
      <c r="Q487" s="16"/>
      <c r="R487" s="16"/>
      <c r="S487" s="16"/>
      <c r="T487" s="16"/>
      <c r="U487" s="16"/>
      <c r="V487" s="16"/>
      <c r="W487" s="16"/>
      <c r="X487" s="16"/>
      <c r="Y487" s="16"/>
      <c r="Z487" s="16"/>
      <c r="AA487" s="16"/>
      <c r="AB487" s="16"/>
      <c r="AC487" s="16"/>
      <c r="AD487" s="16"/>
    </row>
    <row r="488" spans="1:30" ht="12.9">
      <c r="A488" s="16"/>
      <c r="B488" s="24"/>
      <c r="C488" s="196"/>
      <c r="D488" s="196"/>
      <c r="E488" s="196"/>
      <c r="F488" s="16"/>
      <c r="G488" s="24"/>
      <c r="H488" s="24"/>
      <c r="I488" s="16"/>
      <c r="J488" s="16"/>
      <c r="K488" s="16"/>
      <c r="L488" s="16"/>
      <c r="M488" s="16"/>
      <c r="N488" s="16"/>
      <c r="O488" s="16"/>
      <c r="P488" s="16"/>
      <c r="Q488" s="16"/>
      <c r="R488" s="16"/>
      <c r="S488" s="16"/>
      <c r="T488" s="16"/>
      <c r="U488" s="16"/>
      <c r="V488" s="16"/>
      <c r="W488" s="16"/>
      <c r="X488" s="16"/>
      <c r="Y488" s="16"/>
      <c r="Z488" s="16"/>
      <c r="AA488" s="16"/>
      <c r="AB488" s="16"/>
      <c r="AC488" s="16"/>
      <c r="AD488" s="16"/>
    </row>
    <row r="489" spans="1:30" ht="12.9">
      <c r="A489" s="16"/>
      <c r="B489" s="24"/>
      <c r="C489" s="196"/>
      <c r="D489" s="196"/>
      <c r="E489" s="196"/>
      <c r="F489" s="16"/>
      <c r="G489" s="24"/>
      <c r="H489" s="24"/>
      <c r="I489" s="16"/>
      <c r="J489" s="16"/>
      <c r="K489" s="16"/>
      <c r="L489" s="16"/>
      <c r="M489" s="16"/>
      <c r="N489" s="16"/>
      <c r="O489" s="16"/>
      <c r="P489" s="16"/>
      <c r="Q489" s="16"/>
      <c r="R489" s="16"/>
      <c r="S489" s="16"/>
      <c r="T489" s="16"/>
      <c r="U489" s="16"/>
      <c r="V489" s="16"/>
      <c r="W489" s="16"/>
      <c r="X489" s="16"/>
      <c r="Y489" s="16"/>
      <c r="Z489" s="16"/>
      <c r="AA489" s="16"/>
      <c r="AB489" s="16"/>
      <c r="AC489" s="16"/>
      <c r="AD489" s="16"/>
    </row>
    <row r="490" spans="1:30" ht="12.9">
      <c r="A490" s="16"/>
      <c r="B490" s="24"/>
      <c r="C490" s="196"/>
      <c r="D490" s="196"/>
      <c r="E490" s="196"/>
      <c r="F490" s="16"/>
      <c r="G490" s="24"/>
      <c r="H490" s="24"/>
      <c r="I490" s="16"/>
      <c r="J490" s="16"/>
      <c r="K490" s="16"/>
      <c r="L490" s="16"/>
      <c r="M490" s="16"/>
      <c r="N490" s="16"/>
      <c r="O490" s="16"/>
      <c r="P490" s="16"/>
      <c r="Q490" s="16"/>
      <c r="R490" s="16"/>
      <c r="S490" s="16"/>
      <c r="T490" s="16"/>
      <c r="U490" s="16"/>
      <c r="V490" s="16"/>
      <c r="W490" s="16"/>
      <c r="X490" s="16"/>
      <c r="Y490" s="16"/>
      <c r="Z490" s="16"/>
      <c r="AA490" s="16"/>
      <c r="AB490" s="16"/>
      <c r="AC490" s="16"/>
      <c r="AD490" s="16"/>
    </row>
    <row r="491" spans="1:30" ht="12.9">
      <c r="A491" s="16"/>
      <c r="B491" s="24"/>
      <c r="C491" s="196"/>
      <c r="D491" s="196"/>
      <c r="E491" s="196"/>
      <c r="F491" s="16"/>
      <c r="G491" s="24"/>
      <c r="H491" s="24"/>
      <c r="I491" s="16"/>
      <c r="J491" s="16"/>
      <c r="K491" s="16"/>
      <c r="L491" s="16"/>
      <c r="M491" s="16"/>
      <c r="N491" s="16"/>
      <c r="O491" s="16"/>
      <c r="P491" s="16"/>
      <c r="Q491" s="16"/>
      <c r="R491" s="16"/>
      <c r="S491" s="16"/>
      <c r="T491" s="16"/>
      <c r="U491" s="16"/>
      <c r="V491" s="16"/>
      <c r="W491" s="16"/>
      <c r="X491" s="16"/>
      <c r="Y491" s="16"/>
      <c r="Z491" s="16"/>
      <c r="AA491" s="16"/>
      <c r="AB491" s="16"/>
      <c r="AC491" s="16"/>
      <c r="AD491" s="16"/>
    </row>
    <row r="492" spans="1:30" ht="12.9">
      <c r="A492" s="16"/>
      <c r="B492" s="24"/>
      <c r="C492" s="196"/>
      <c r="D492" s="196"/>
      <c r="E492" s="196"/>
      <c r="F492" s="16"/>
      <c r="G492" s="24"/>
      <c r="H492" s="24"/>
      <c r="I492" s="16"/>
      <c r="J492" s="16"/>
      <c r="K492" s="16"/>
      <c r="L492" s="16"/>
      <c r="M492" s="16"/>
      <c r="N492" s="16"/>
      <c r="O492" s="16"/>
      <c r="P492" s="16"/>
      <c r="Q492" s="16"/>
      <c r="R492" s="16"/>
      <c r="S492" s="16"/>
      <c r="T492" s="16"/>
      <c r="U492" s="16"/>
      <c r="V492" s="16"/>
      <c r="W492" s="16"/>
      <c r="X492" s="16"/>
      <c r="Y492" s="16"/>
      <c r="Z492" s="16"/>
      <c r="AA492" s="16"/>
      <c r="AB492" s="16"/>
      <c r="AC492" s="16"/>
      <c r="AD492" s="16"/>
    </row>
    <row r="493" spans="1:30" ht="12.9">
      <c r="A493" s="16"/>
      <c r="B493" s="24"/>
      <c r="C493" s="196"/>
      <c r="D493" s="196"/>
      <c r="E493" s="196"/>
      <c r="F493" s="16"/>
      <c r="G493" s="24"/>
      <c r="H493" s="24"/>
      <c r="I493" s="16"/>
      <c r="J493" s="16"/>
      <c r="K493" s="16"/>
      <c r="L493" s="16"/>
      <c r="M493" s="16"/>
      <c r="N493" s="16"/>
      <c r="O493" s="16"/>
      <c r="P493" s="16"/>
      <c r="Q493" s="16"/>
      <c r="R493" s="16"/>
      <c r="S493" s="16"/>
      <c r="T493" s="16"/>
      <c r="U493" s="16"/>
      <c r="V493" s="16"/>
      <c r="W493" s="16"/>
      <c r="X493" s="16"/>
      <c r="Y493" s="16"/>
      <c r="Z493" s="16"/>
      <c r="AA493" s="16"/>
      <c r="AB493" s="16"/>
      <c r="AC493" s="16"/>
      <c r="AD493" s="16"/>
    </row>
    <row r="494" spans="1:30" ht="12.9">
      <c r="A494" s="16"/>
      <c r="B494" s="24"/>
      <c r="C494" s="196"/>
      <c r="D494" s="196"/>
      <c r="E494" s="196"/>
      <c r="F494" s="16"/>
      <c r="G494" s="24"/>
      <c r="H494" s="24"/>
      <c r="I494" s="16"/>
      <c r="J494" s="16"/>
      <c r="K494" s="16"/>
      <c r="L494" s="16"/>
      <c r="M494" s="16"/>
      <c r="N494" s="16"/>
      <c r="O494" s="16"/>
      <c r="P494" s="16"/>
      <c r="Q494" s="16"/>
      <c r="R494" s="16"/>
      <c r="S494" s="16"/>
      <c r="T494" s="16"/>
      <c r="U494" s="16"/>
      <c r="V494" s="16"/>
      <c r="W494" s="16"/>
      <c r="X494" s="16"/>
      <c r="Y494" s="16"/>
      <c r="Z494" s="16"/>
      <c r="AA494" s="16"/>
      <c r="AB494" s="16"/>
      <c r="AC494" s="16"/>
      <c r="AD494" s="16"/>
    </row>
    <row r="495" spans="1:30" ht="12.9">
      <c r="A495" s="16"/>
      <c r="B495" s="24"/>
      <c r="C495" s="196"/>
      <c r="D495" s="196"/>
      <c r="E495" s="196"/>
      <c r="F495" s="16"/>
      <c r="G495" s="24"/>
      <c r="H495" s="24"/>
      <c r="I495" s="16"/>
      <c r="J495" s="16"/>
      <c r="K495" s="16"/>
      <c r="L495" s="16"/>
      <c r="M495" s="16"/>
      <c r="N495" s="16"/>
      <c r="O495" s="16"/>
      <c r="P495" s="16"/>
      <c r="Q495" s="16"/>
      <c r="R495" s="16"/>
      <c r="S495" s="16"/>
      <c r="T495" s="16"/>
      <c r="U495" s="16"/>
      <c r="V495" s="16"/>
      <c r="W495" s="16"/>
      <c r="X495" s="16"/>
      <c r="Y495" s="16"/>
      <c r="Z495" s="16"/>
      <c r="AA495" s="16"/>
      <c r="AB495" s="16"/>
      <c r="AC495" s="16"/>
      <c r="AD495" s="16"/>
    </row>
    <row r="496" spans="1:30" ht="12.9">
      <c r="A496" s="16"/>
      <c r="B496" s="24"/>
      <c r="C496" s="196"/>
      <c r="D496" s="196"/>
      <c r="E496" s="196"/>
      <c r="F496" s="16"/>
      <c r="G496" s="24"/>
      <c r="H496" s="24"/>
      <c r="I496" s="16"/>
      <c r="J496" s="16"/>
      <c r="K496" s="16"/>
      <c r="L496" s="16"/>
      <c r="M496" s="16"/>
      <c r="N496" s="16"/>
      <c r="O496" s="16"/>
      <c r="P496" s="16"/>
      <c r="Q496" s="16"/>
      <c r="R496" s="16"/>
      <c r="S496" s="16"/>
      <c r="T496" s="16"/>
      <c r="U496" s="16"/>
      <c r="V496" s="16"/>
      <c r="W496" s="16"/>
      <c r="X496" s="16"/>
      <c r="Y496" s="16"/>
      <c r="Z496" s="16"/>
      <c r="AA496" s="16"/>
      <c r="AB496" s="16"/>
      <c r="AC496" s="16"/>
      <c r="AD496" s="16"/>
    </row>
    <row r="497" spans="1:30" ht="12.9">
      <c r="A497" s="16"/>
      <c r="B497" s="24"/>
      <c r="C497" s="196"/>
      <c r="D497" s="196"/>
      <c r="E497" s="196"/>
      <c r="F497" s="16"/>
      <c r="G497" s="24"/>
      <c r="H497" s="24"/>
      <c r="I497" s="16"/>
      <c r="J497" s="16"/>
      <c r="K497" s="16"/>
      <c r="L497" s="16"/>
      <c r="M497" s="16"/>
      <c r="N497" s="16"/>
      <c r="O497" s="16"/>
      <c r="P497" s="16"/>
      <c r="Q497" s="16"/>
      <c r="R497" s="16"/>
      <c r="S497" s="16"/>
      <c r="T497" s="16"/>
      <c r="U497" s="16"/>
      <c r="V497" s="16"/>
      <c r="W497" s="16"/>
      <c r="X497" s="16"/>
      <c r="Y497" s="16"/>
      <c r="Z497" s="16"/>
      <c r="AA497" s="16"/>
      <c r="AB497" s="16"/>
      <c r="AC497" s="16"/>
      <c r="AD497" s="16"/>
    </row>
    <row r="498" spans="1:30" ht="12.9">
      <c r="A498" s="16"/>
      <c r="B498" s="24"/>
      <c r="C498" s="196"/>
      <c r="D498" s="196"/>
      <c r="E498" s="196"/>
      <c r="F498" s="16"/>
      <c r="G498" s="24"/>
      <c r="H498" s="24"/>
      <c r="I498" s="16"/>
      <c r="J498" s="16"/>
      <c r="K498" s="16"/>
      <c r="L498" s="16"/>
      <c r="M498" s="16"/>
      <c r="N498" s="16"/>
      <c r="O498" s="16"/>
      <c r="P498" s="16"/>
      <c r="Q498" s="16"/>
      <c r="R498" s="16"/>
      <c r="S498" s="16"/>
      <c r="T498" s="16"/>
      <c r="U498" s="16"/>
      <c r="V498" s="16"/>
      <c r="W498" s="16"/>
      <c r="X498" s="16"/>
      <c r="Y498" s="16"/>
      <c r="Z498" s="16"/>
      <c r="AA498" s="16"/>
      <c r="AB498" s="16"/>
      <c r="AC498" s="16"/>
      <c r="AD498" s="16"/>
    </row>
    <row r="499" spans="1:30" ht="12.9">
      <c r="A499" s="16"/>
      <c r="B499" s="24"/>
      <c r="C499" s="196"/>
      <c r="D499" s="196"/>
      <c r="E499" s="196"/>
      <c r="F499" s="16"/>
      <c r="G499" s="24"/>
      <c r="H499" s="24"/>
      <c r="I499" s="16"/>
      <c r="J499" s="16"/>
      <c r="K499" s="16"/>
      <c r="L499" s="16"/>
      <c r="M499" s="16"/>
      <c r="N499" s="16"/>
      <c r="O499" s="16"/>
      <c r="P499" s="16"/>
      <c r="Q499" s="16"/>
      <c r="R499" s="16"/>
      <c r="S499" s="16"/>
      <c r="T499" s="16"/>
      <c r="U499" s="16"/>
      <c r="V499" s="16"/>
      <c r="W499" s="16"/>
      <c r="X499" s="16"/>
      <c r="Y499" s="16"/>
      <c r="Z499" s="16"/>
      <c r="AA499" s="16"/>
      <c r="AB499" s="16"/>
      <c r="AC499" s="16"/>
      <c r="AD499" s="16"/>
    </row>
    <row r="500" spans="1:30" ht="12.9">
      <c r="A500" s="16"/>
      <c r="B500" s="24"/>
      <c r="C500" s="196"/>
      <c r="D500" s="196"/>
      <c r="E500" s="196"/>
      <c r="F500" s="16"/>
      <c r="G500" s="24"/>
      <c r="H500" s="24"/>
      <c r="I500" s="16"/>
      <c r="J500" s="16"/>
      <c r="K500" s="16"/>
      <c r="L500" s="16"/>
      <c r="M500" s="16"/>
      <c r="N500" s="16"/>
      <c r="O500" s="16"/>
      <c r="P500" s="16"/>
      <c r="Q500" s="16"/>
      <c r="R500" s="16"/>
      <c r="S500" s="16"/>
      <c r="T500" s="16"/>
      <c r="U500" s="16"/>
      <c r="V500" s="16"/>
      <c r="W500" s="16"/>
      <c r="X500" s="16"/>
      <c r="Y500" s="16"/>
      <c r="Z500" s="16"/>
      <c r="AA500" s="16"/>
      <c r="AB500" s="16"/>
      <c r="AC500" s="16"/>
      <c r="AD500" s="16"/>
    </row>
    <row r="501" spans="1:30" ht="12.9">
      <c r="A501" s="16"/>
      <c r="B501" s="24"/>
      <c r="C501" s="196"/>
      <c r="D501" s="196"/>
      <c r="E501" s="196"/>
      <c r="F501" s="16"/>
      <c r="G501" s="24"/>
      <c r="H501" s="24"/>
      <c r="I501" s="16"/>
      <c r="J501" s="16"/>
      <c r="K501" s="16"/>
      <c r="L501" s="16"/>
      <c r="M501" s="16"/>
      <c r="N501" s="16"/>
      <c r="O501" s="16"/>
      <c r="P501" s="16"/>
      <c r="Q501" s="16"/>
      <c r="R501" s="16"/>
      <c r="S501" s="16"/>
      <c r="T501" s="16"/>
      <c r="U501" s="16"/>
      <c r="V501" s="16"/>
      <c r="W501" s="16"/>
      <c r="X501" s="16"/>
      <c r="Y501" s="16"/>
      <c r="Z501" s="16"/>
      <c r="AA501" s="16"/>
      <c r="AB501" s="16"/>
      <c r="AC501" s="16"/>
      <c r="AD501" s="16"/>
    </row>
    <row r="502" spans="1:30" ht="12.9">
      <c r="A502" s="16"/>
      <c r="B502" s="24"/>
      <c r="C502" s="196"/>
      <c r="D502" s="196"/>
      <c r="E502" s="196"/>
      <c r="F502" s="16"/>
      <c r="G502" s="24"/>
      <c r="H502" s="24"/>
      <c r="I502" s="16"/>
      <c r="J502" s="16"/>
      <c r="K502" s="16"/>
      <c r="L502" s="16"/>
      <c r="M502" s="16"/>
      <c r="N502" s="16"/>
      <c r="O502" s="16"/>
      <c r="P502" s="16"/>
      <c r="Q502" s="16"/>
      <c r="R502" s="16"/>
      <c r="S502" s="16"/>
      <c r="T502" s="16"/>
      <c r="U502" s="16"/>
      <c r="V502" s="16"/>
      <c r="W502" s="16"/>
      <c r="X502" s="16"/>
      <c r="Y502" s="16"/>
      <c r="Z502" s="16"/>
      <c r="AA502" s="16"/>
      <c r="AB502" s="16"/>
      <c r="AC502" s="16"/>
      <c r="AD502" s="16"/>
    </row>
    <row r="503" spans="1:30" ht="12.9">
      <c r="A503" s="16"/>
      <c r="B503" s="24"/>
      <c r="C503" s="196"/>
      <c r="D503" s="196"/>
      <c r="E503" s="196"/>
      <c r="F503" s="16"/>
      <c r="G503" s="24"/>
      <c r="H503" s="24"/>
      <c r="I503" s="16"/>
      <c r="J503" s="16"/>
      <c r="K503" s="16"/>
      <c r="L503" s="16"/>
      <c r="M503" s="16"/>
      <c r="N503" s="16"/>
      <c r="O503" s="16"/>
      <c r="P503" s="16"/>
      <c r="Q503" s="16"/>
      <c r="R503" s="16"/>
      <c r="S503" s="16"/>
      <c r="T503" s="16"/>
      <c r="U503" s="16"/>
      <c r="V503" s="16"/>
      <c r="W503" s="16"/>
      <c r="X503" s="16"/>
      <c r="Y503" s="16"/>
      <c r="Z503" s="16"/>
      <c r="AA503" s="16"/>
      <c r="AB503" s="16"/>
      <c r="AC503" s="16"/>
      <c r="AD503" s="16"/>
    </row>
    <row r="504" spans="1:30" ht="12.9">
      <c r="A504" s="16"/>
      <c r="B504" s="24"/>
      <c r="C504" s="196"/>
      <c r="D504" s="196"/>
      <c r="E504" s="196"/>
      <c r="F504" s="16"/>
      <c r="G504" s="24"/>
      <c r="H504" s="24"/>
      <c r="I504" s="16"/>
      <c r="J504" s="16"/>
      <c r="K504" s="16"/>
      <c r="L504" s="16"/>
      <c r="M504" s="16"/>
      <c r="N504" s="16"/>
      <c r="O504" s="16"/>
      <c r="P504" s="16"/>
      <c r="Q504" s="16"/>
      <c r="R504" s="16"/>
      <c r="S504" s="16"/>
      <c r="T504" s="16"/>
      <c r="U504" s="16"/>
      <c r="V504" s="16"/>
      <c r="W504" s="16"/>
      <c r="X504" s="16"/>
      <c r="Y504" s="16"/>
      <c r="Z504" s="16"/>
      <c r="AA504" s="16"/>
      <c r="AB504" s="16"/>
      <c r="AC504" s="16"/>
      <c r="AD504" s="16"/>
    </row>
    <row r="505" spans="1:30" ht="12.9">
      <c r="A505" s="16"/>
      <c r="B505" s="24"/>
      <c r="C505" s="196"/>
      <c r="D505" s="196"/>
      <c r="E505" s="196"/>
      <c r="F505" s="16"/>
      <c r="G505" s="24"/>
      <c r="H505" s="24"/>
      <c r="I505" s="16"/>
      <c r="J505" s="16"/>
      <c r="K505" s="16"/>
      <c r="L505" s="16"/>
      <c r="M505" s="16"/>
      <c r="N505" s="16"/>
      <c r="O505" s="16"/>
      <c r="P505" s="16"/>
      <c r="Q505" s="16"/>
      <c r="R505" s="16"/>
      <c r="S505" s="16"/>
      <c r="T505" s="16"/>
      <c r="U505" s="16"/>
      <c r="V505" s="16"/>
      <c r="W505" s="16"/>
      <c r="X505" s="16"/>
      <c r="Y505" s="16"/>
      <c r="Z505" s="16"/>
      <c r="AA505" s="16"/>
      <c r="AB505" s="16"/>
      <c r="AC505" s="16"/>
      <c r="AD505" s="16"/>
    </row>
    <row r="506" spans="1:30" ht="12.9">
      <c r="A506" s="16"/>
      <c r="B506" s="24"/>
      <c r="C506" s="196"/>
      <c r="D506" s="196"/>
      <c r="E506" s="196"/>
      <c r="F506" s="16"/>
      <c r="G506" s="24"/>
      <c r="H506" s="24"/>
      <c r="I506" s="16"/>
      <c r="J506" s="16"/>
      <c r="K506" s="16"/>
      <c r="L506" s="16"/>
      <c r="M506" s="16"/>
      <c r="N506" s="16"/>
      <c r="O506" s="16"/>
      <c r="P506" s="16"/>
      <c r="Q506" s="16"/>
      <c r="R506" s="16"/>
      <c r="S506" s="16"/>
      <c r="T506" s="16"/>
      <c r="U506" s="16"/>
      <c r="V506" s="16"/>
      <c r="W506" s="16"/>
      <c r="X506" s="16"/>
      <c r="Y506" s="16"/>
      <c r="Z506" s="16"/>
      <c r="AA506" s="16"/>
      <c r="AB506" s="16"/>
      <c r="AC506" s="16"/>
      <c r="AD506" s="16"/>
    </row>
    <row r="507" spans="1:30" ht="12.9">
      <c r="A507" s="16"/>
      <c r="B507" s="24"/>
      <c r="C507" s="196"/>
      <c r="D507" s="196"/>
      <c r="E507" s="196"/>
      <c r="F507" s="16"/>
      <c r="G507" s="24"/>
      <c r="H507" s="24"/>
      <c r="I507" s="16"/>
      <c r="J507" s="16"/>
      <c r="K507" s="16"/>
      <c r="L507" s="16"/>
      <c r="M507" s="16"/>
      <c r="N507" s="16"/>
      <c r="O507" s="16"/>
      <c r="P507" s="16"/>
      <c r="Q507" s="16"/>
      <c r="R507" s="16"/>
      <c r="S507" s="16"/>
      <c r="T507" s="16"/>
      <c r="U507" s="16"/>
      <c r="V507" s="16"/>
      <c r="W507" s="16"/>
      <c r="X507" s="16"/>
      <c r="Y507" s="16"/>
      <c r="Z507" s="16"/>
      <c r="AA507" s="16"/>
      <c r="AB507" s="16"/>
      <c r="AC507" s="16"/>
      <c r="AD507" s="16"/>
    </row>
    <row r="508" spans="1:30" ht="12.9">
      <c r="A508" s="16"/>
      <c r="B508" s="24"/>
      <c r="C508" s="196"/>
      <c r="D508" s="196"/>
      <c r="E508" s="196"/>
      <c r="F508" s="16"/>
      <c r="G508" s="24"/>
      <c r="H508" s="24"/>
      <c r="I508" s="16"/>
      <c r="J508" s="16"/>
      <c r="K508" s="16"/>
      <c r="L508" s="16"/>
      <c r="M508" s="16"/>
      <c r="N508" s="16"/>
      <c r="O508" s="16"/>
      <c r="P508" s="16"/>
      <c r="Q508" s="16"/>
      <c r="R508" s="16"/>
      <c r="S508" s="16"/>
      <c r="T508" s="16"/>
      <c r="U508" s="16"/>
      <c r="V508" s="16"/>
      <c r="W508" s="16"/>
      <c r="X508" s="16"/>
      <c r="Y508" s="16"/>
      <c r="Z508" s="16"/>
      <c r="AA508" s="16"/>
      <c r="AB508" s="16"/>
      <c r="AC508" s="16"/>
      <c r="AD508" s="16"/>
    </row>
    <row r="509" spans="1:30" ht="12.9">
      <c r="A509" s="16"/>
      <c r="B509" s="24"/>
      <c r="C509" s="196"/>
      <c r="D509" s="196"/>
      <c r="E509" s="196"/>
      <c r="F509" s="16"/>
      <c r="G509" s="24"/>
      <c r="H509" s="24"/>
      <c r="I509" s="16"/>
      <c r="J509" s="16"/>
      <c r="K509" s="16"/>
      <c r="L509" s="16"/>
      <c r="M509" s="16"/>
      <c r="N509" s="16"/>
      <c r="O509" s="16"/>
      <c r="P509" s="16"/>
      <c r="Q509" s="16"/>
      <c r="R509" s="16"/>
      <c r="S509" s="16"/>
      <c r="T509" s="16"/>
      <c r="U509" s="16"/>
      <c r="V509" s="16"/>
      <c r="W509" s="16"/>
      <c r="X509" s="16"/>
      <c r="Y509" s="16"/>
      <c r="Z509" s="16"/>
      <c r="AA509" s="16"/>
      <c r="AB509" s="16"/>
      <c r="AC509" s="16"/>
      <c r="AD509" s="16"/>
    </row>
    <row r="510" spans="1:30" ht="12.9">
      <c r="A510" s="16"/>
      <c r="B510" s="24"/>
      <c r="C510" s="196"/>
      <c r="D510" s="196"/>
      <c r="E510" s="196"/>
      <c r="F510" s="16"/>
      <c r="G510" s="24"/>
      <c r="H510" s="24"/>
      <c r="I510" s="16"/>
      <c r="J510" s="16"/>
      <c r="K510" s="16"/>
      <c r="L510" s="16"/>
      <c r="M510" s="16"/>
      <c r="N510" s="16"/>
      <c r="O510" s="16"/>
      <c r="P510" s="16"/>
      <c r="Q510" s="16"/>
      <c r="R510" s="16"/>
      <c r="S510" s="16"/>
      <c r="T510" s="16"/>
      <c r="U510" s="16"/>
      <c r="V510" s="16"/>
      <c r="W510" s="16"/>
      <c r="X510" s="16"/>
      <c r="Y510" s="16"/>
      <c r="Z510" s="16"/>
      <c r="AA510" s="16"/>
      <c r="AB510" s="16"/>
      <c r="AC510" s="16"/>
      <c r="AD510" s="16"/>
    </row>
    <row r="511" spans="1:30" ht="12.9">
      <c r="A511" s="16"/>
      <c r="B511" s="24"/>
      <c r="C511" s="196"/>
      <c r="D511" s="196"/>
      <c r="E511" s="196"/>
      <c r="F511" s="16"/>
      <c r="G511" s="24"/>
      <c r="H511" s="24"/>
      <c r="I511" s="16"/>
      <c r="J511" s="16"/>
      <c r="K511" s="16"/>
      <c r="L511" s="16"/>
      <c r="M511" s="16"/>
      <c r="N511" s="16"/>
      <c r="O511" s="16"/>
      <c r="P511" s="16"/>
      <c r="Q511" s="16"/>
      <c r="R511" s="16"/>
      <c r="S511" s="16"/>
      <c r="T511" s="16"/>
      <c r="U511" s="16"/>
      <c r="V511" s="16"/>
      <c r="W511" s="16"/>
      <c r="X511" s="16"/>
      <c r="Y511" s="16"/>
      <c r="Z511" s="16"/>
      <c r="AA511" s="16"/>
      <c r="AB511" s="16"/>
      <c r="AC511" s="16"/>
      <c r="AD511" s="16"/>
    </row>
    <row r="512" spans="1:30" ht="12.9">
      <c r="A512" s="16"/>
      <c r="B512" s="24"/>
      <c r="C512" s="196"/>
      <c r="D512" s="196"/>
      <c r="E512" s="196"/>
      <c r="F512" s="16"/>
      <c r="G512" s="24"/>
      <c r="H512" s="24"/>
      <c r="I512" s="16"/>
      <c r="J512" s="16"/>
      <c r="K512" s="16"/>
      <c r="L512" s="16"/>
      <c r="M512" s="16"/>
      <c r="N512" s="16"/>
      <c r="O512" s="16"/>
      <c r="P512" s="16"/>
      <c r="Q512" s="16"/>
      <c r="R512" s="16"/>
      <c r="S512" s="16"/>
      <c r="T512" s="16"/>
      <c r="U512" s="16"/>
      <c r="V512" s="16"/>
      <c r="W512" s="16"/>
      <c r="X512" s="16"/>
      <c r="Y512" s="16"/>
      <c r="Z512" s="16"/>
      <c r="AA512" s="16"/>
      <c r="AB512" s="16"/>
      <c r="AC512" s="16"/>
      <c r="AD512" s="16"/>
    </row>
    <row r="513" spans="1:30" ht="12.9">
      <c r="A513" s="16"/>
      <c r="B513" s="24"/>
      <c r="C513" s="196"/>
      <c r="D513" s="196"/>
      <c r="E513" s="196"/>
      <c r="F513" s="16"/>
      <c r="G513" s="24"/>
      <c r="H513" s="24"/>
      <c r="I513" s="16"/>
      <c r="J513" s="16"/>
      <c r="K513" s="16"/>
      <c r="L513" s="16"/>
      <c r="M513" s="16"/>
      <c r="N513" s="16"/>
      <c r="O513" s="16"/>
      <c r="P513" s="16"/>
      <c r="Q513" s="16"/>
      <c r="R513" s="16"/>
      <c r="S513" s="16"/>
      <c r="T513" s="16"/>
      <c r="U513" s="16"/>
      <c r="V513" s="16"/>
      <c r="W513" s="16"/>
      <c r="X513" s="16"/>
      <c r="Y513" s="16"/>
      <c r="Z513" s="16"/>
      <c r="AA513" s="16"/>
      <c r="AB513" s="16"/>
      <c r="AC513" s="16"/>
      <c r="AD513" s="16"/>
    </row>
    <row r="514" spans="1:30" ht="12.9">
      <c r="A514" s="16"/>
      <c r="B514" s="24"/>
      <c r="C514" s="196"/>
      <c r="D514" s="196"/>
      <c r="E514" s="196"/>
      <c r="F514" s="16"/>
      <c r="G514" s="24"/>
      <c r="H514" s="24"/>
      <c r="I514" s="16"/>
      <c r="J514" s="16"/>
      <c r="K514" s="16"/>
      <c r="L514" s="16"/>
      <c r="M514" s="16"/>
      <c r="N514" s="16"/>
      <c r="O514" s="16"/>
      <c r="P514" s="16"/>
      <c r="Q514" s="16"/>
      <c r="R514" s="16"/>
      <c r="S514" s="16"/>
      <c r="T514" s="16"/>
      <c r="U514" s="16"/>
      <c r="V514" s="16"/>
      <c r="W514" s="16"/>
      <c r="X514" s="16"/>
      <c r="Y514" s="16"/>
      <c r="Z514" s="16"/>
      <c r="AA514" s="16"/>
      <c r="AB514" s="16"/>
      <c r="AC514" s="16"/>
      <c r="AD514" s="16"/>
    </row>
    <row r="515" spans="1:30" ht="12.9">
      <c r="A515" s="16"/>
      <c r="B515" s="24"/>
      <c r="C515" s="196"/>
      <c r="D515" s="196"/>
      <c r="E515" s="196"/>
      <c r="F515" s="16"/>
      <c r="G515" s="24"/>
      <c r="H515" s="24"/>
      <c r="I515" s="16"/>
      <c r="J515" s="16"/>
      <c r="K515" s="16"/>
      <c r="L515" s="16"/>
      <c r="M515" s="16"/>
      <c r="N515" s="16"/>
      <c r="O515" s="16"/>
      <c r="P515" s="16"/>
      <c r="Q515" s="16"/>
      <c r="R515" s="16"/>
      <c r="S515" s="16"/>
      <c r="T515" s="16"/>
      <c r="U515" s="16"/>
      <c r="V515" s="16"/>
      <c r="W515" s="16"/>
      <c r="X515" s="16"/>
      <c r="Y515" s="16"/>
      <c r="Z515" s="16"/>
      <c r="AA515" s="16"/>
      <c r="AB515" s="16"/>
      <c r="AC515" s="16"/>
      <c r="AD515" s="16"/>
    </row>
    <row r="516" spans="1:30" ht="12.9">
      <c r="A516" s="16"/>
      <c r="B516" s="24"/>
      <c r="C516" s="196"/>
      <c r="D516" s="196"/>
      <c r="E516" s="196"/>
      <c r="F516" s="16"/>
      <c r="G516" s="24"/>
      <c r="H516" s="24"/>
      <c r="I516" s="16"/>
      <c r="J516" s="16"/>
      <c r="K516" s="16"/>
      <c r="L516" s="16"/>
      <c r="M516" s="16"/>
      <c r="N516" s="16"/>
      <c r="O516" s="16"/>
      <c r="P516" s="16"/>
      <c r="Q516" s="16"/>
      <c r="R516" s="16"/>
      <c r="S516" s="16"/>
      <c r="T516" s="16"/>
      <c r="U516" s="16"/>
      <c r="V516" s="16"/>
      <c r="W516" s="16"/>
      <c r="X516" s="16"/>
      <c r="Y516" s="16"/>
      <c r="Z516" s="16"/>
      <c r="AA516" s="16"/>
      <c r="AB516" s="16"/>
      <c r="AC516" s="16"/>
      <c r="AD516" s="16"/>
    </row>
    <row r="517" spans="1:30" ht="12.9">
      <c r="A517" s="16"/>
      <c r="B517" s="24"/>
      <c r="C517" s="196"/>
      <c r="D517" s="196"/>
      <c r="E517" s="196"/>
      <c r="F517" s="16"/>
      <c r="G517" s="24"/>
      <c r="H517" s="24"/>
      <c r="I517" s="16"/>
      <c r="J517" s="16"/>
      <c r="K517" s="16"/>
      <c r="L517" s="16"/>
      <c r="M517" s="16"/>
      <c r="N517" s="16"/>
      <c r="O517" s="16"/>
      <c r="P517" s="16"/>
      <c r="Q517" s="16"/>
      <c r="R517" s="16"/>
      <c r="S517" s="16"/>
      <c r="T517" s="16"/>
      <c r="U517" s="16"/>
      <c r="V517" s="16"/>
      <c r="W517" s="16"/>
      <c r="X517" s="16"/>
      <c r="Y517" s="16"/>
      <c r="Z517" s="16"/>
      <c r="AA517" s="16"/>
      <c r="AB517" s="16"/>
      <c r="AC517" s="16"/>
      <c r="AD517" s="16"/>
    </row>
    <row r="518" spans="1:30" ht="12.9">
      <c r="A518" s="16"/>
      <c r="B518" s="24"/>
      <c r="C518" s="196"/>
      <c r="D518" s="196"/>
      <c r="E518" s="196"/>
      <c r="F518" s="16"/>
      <c r="G518" s="24"/>
      <c r="H518" s="24"/>
      <c r="I518" s="16"/>
      <c r="J518" s="16"/>
      <c r="K518" s="16"/>
      <c r="L518" s="16"/>
      <c r="M518" s="16"/>
      <c r="N518" s="16"/>
      <c r="O518" s="16"/>
      <c r="P518" s="16"/>
      <c r="Q518" s="16"/>
      <c r="R518" s="16"/>
      <c r="S518" s="16"/>
      <c r="T518" s="16"/>
      <c r="U518" s="16"/>
      <c r="V518" s="16"/>
      <c r="W518" s="16"/>
      <c r="X518" s="16"/>
      <c r="Y518" s="16"/>
      <c r="Z518" s="16"/>
      <c r="AA518" s="16"/>
      <c r="AB518" s="16"/>
      <c r="AC518" s="16"/>
      <c r="AD518" s="16"/>
    </row>
    <row r="519" spans="1:30" ht="12.9">
      <c r="A519" s="16"/>
      <c r="B519" s="24"/>
      <c r="C519" s="196"/>
      <c r="D519" s="196"/>
      <c r="E519" s="196"/>
      <c r="F519" s="16"/>
      <c r="G519" s="24"/>
      <c r="H519" s="24"/>
      <c r="I519" s="16"/>
      <c r="J519" s="16"/>
      <c r="K519" s="16"/>
      <c r="L519" s="16"/>
      <c r="M519" s="16"/>
      <c r="N519" s="16"/>
      <c r="O519" s="16"/>
      <c r="P519" s="16"/>
      <c r="Q519" s="16"/>
      <c r="R519" s="16"/>
      <c r="S519" s="16"/>
      <c r="T519" s="16"/>
      <c r="U519" s="16"/>
      <c r="V519" s="16"/>
      <c r="W519" s="16"/>
      <c r="X519" s="16"/>
      <c r="Y519" s="16"/>
      <c r="Z519" s="16"/>
      <c r="AA519" s="16"/>
      <c r="AB519" s="16"/>
      <c r="AC519" s="16"/>
      <c r="AD519" s="16"/>
    </row>
    <row r="520" spans="1:30" ht="12.9">
      <c r="A520" s="16"/>
      <c r="B520" s="24"/>
      <c r="C520" s="196"/>
      <c r="D520" s="196"/>
      <c r="E520" s="196"/>
      <c r="F520" s="16"/>
      <c r="G520" s="24"/>
      <c r="H520" s="24"/>
      <c r="I520" s="16"/>
      <c r="J520" s="16"/>
      <c r="K520" s="16"/>
      <c r="L520" s="16"/>
      <c r="M520" s="16"/>
      <c r="N520" s="16"/>
      <c r="O520" s="16"/>
      <c r="P520" s="16"/>
      <c r="Q520" s="16"/>
      <c r="R520" s="16"/>
      <c r="S520" s="16"/>
      <c r="T520" s="16"/>
      <c r="U520" s="16"/>
      <c r="V520" s="16"/>
      <c r="W520" s="16"/>
      <c r="X520" s="16"/>
      <c r="Y520" s="16"/>
      <c r="Z520" s="16"/>
      <c r="AA520" s="16"/>
      <c r="AB520" s="16"/>
      <c r="AC520" s="16"/>
      <c r="AD520" s="16"/>
    </row>
    <row r="521" spans="1:30" ht="12.9">
      <c r="A521" s="16"/>
      <c r="B521" s="24"/>
      <c r="C521" s="196"/>
      <c r="D521" s="196"/>
      <c r="E521" s="196"/>
      <c r="F521" s="16"/>
      <c r="G521" s="24"/>
      <c r="H521" s="24"/>
      <c r="I521" s="16"/>
      <c r="J521" s="16"/>
      <c r="K521" s="16"/>
      <c r="L521" s="16"/>
      <c r="M521" s="16"/>
      <c r="N521" s="16"/>
      <c r="O521" s="16"/>
      <c r="P521" s="16"/>
      <c r="Q521" s="16"/>
      <c r="R521" s="16"/>
      <c r="S521" s="16"/>
      <c r="T521" s="16"/>
      <c r="U521" s="16"/>
      <c r="V521" s="16"/>
      <c r="W521" s="16"/>
      <c r="X521" s="16"/>
      <c r="Y521" s="16"/>
      <c r="Z521" s="16"/>
      <c r="AA521" s="16"/>
      <c r="AB521" s="16"/>
      <c r="AC521" s="16"/>
      <c r="AD521" s="16"/>
    </row>
    <row r="522" spans="1:30" ht="12.9">
      <c r="A522" s="16"/>
      <c r="B522" s="24"/>
      <c r="C522" s="196"/>
      <c r="D522" s="196"/>
      <c r="E522" s="196"/>
      <c r="F522" s="16"/>
      <c r="G522" s="24"/>
      <c r="H522" s="24"/>
      <c r="I522" s="16"/>
      <c r="J522" s="16"/>
      <c r="K522" s="16"/>
      <c r="L522" s="16"/>
      <c r="M522" s="16"/>
      <c r="N522" s="16"/>
      <c r="O522" s="16"/>
      <c r="P522" s="16"/>
      <c r="Q522" s="16"/>
      <c r="R522" s="16"/>
      <c r="S522" s="16"/>
      <c r="T522" s="16"/>
      <c r="U522" s="16"/>
      <c r="V522" s="16"/>
      <c r="W522" s="16"/>
      <c r="X522" s="16"/>
      <c r="Y522" s="16"/>
      <c r="Z522" s="16"/>
      <c r="AA522" s="16"/>
      <c r="AB522" s="16"/>
      <c r="AC522" s="16"/>
      <c r="AD522" s="16"/>
    </row>
    <row r="523" spans="1:30" ht="12.9">
      <c r="A523" s="16"/>
      <c r="B523" s="24"/>
      <c r="C523" s="196"/>
      <c r="D523" s="196"/>
      <c r="E523" s="196"/>
      <c r="F523" s="16"/>
      <c r="G523" s="24"/>
      <c r="H523" s="24"/>
      <c r="I523" s="16"/>
      <c r="J523" s="16"/>
      <c r="K523" s="16"/>
      <c r="L523" s="16"/>
      <c r="M523" s="16"/>
      <c r="N523" s="16"/>
      <c r="O523" s="16"/>
      <c r="P523" s="16"/>
      <c r="Q523" s="16"/>
      <c r="R523" s="16"/>
      <c r="S523" s="16"/>
      <c r="T523" s="16"/>
      <c r="U523" s="16"/>
      <c r="V523" s="16"/>
      <c r="W523" s="16"/>
      <c r="X523" s="16"/>
      <c r="Y523" s="16"/>
      <c r="Z523" s="16"/>
      <c r="AA523" s="16"/>
      <c r="AB523" s="16"/>
      <c r="AC523" s="16"/>
      <c r="AD523" s="16"/>
    </row>
    <row r="524" spans="1:30" ht="12.9">
      <c r="A524" s="16"/>
      <c r="B524" s="24"/>
      <c r="C524" s="196"/>
      <c r="D524" s="196"/>
      <c r="E524" s="196"/>
      <c r="F524" s="16"/>
      <c r="G524" s="24"/>
      <c r="H524" s="24"/>
      <c r="I524" s="16"/>
      <c r="J524" s="16"/>
      <c r="K524" s="16"/>
      <c r="L524" s="16"/>
      <c r="M524" s="16"/>
      <c r="N524" s="16"/>
      <c r="O524" s="16"/>
      <c r="P524" s="16"/>
      <c r="Q524" s="16"/>
      <c r="R524" s="16"/>
      <c r="S524" s="16"/>
      <c r="T524" s="16"/>
      <c r="U524" s="16"/>
      <c r="V524" s="16"/>
      <c r="W524" s="16"/>
      <c r="X524" s="16"/>
      <c r="Y524" s="16"/>
      <c r="Z524" s="16"/>
      <c r="AA524" s="16"/>
      <c r="AB524" s="16"/>
      <c r="AC524" s="16"/>
      <c r="AD524" s="16"/>
    </row>
    <row r="525" spans="1:30" ht="12.9">
      <c r="A525" s="16"/>
      <c r="B525" s="24"/>
      <c r="C525" s="196"/>
      <c r="D525" s="196"/>
      <c r="E525" s="196"/>
      <c r="F525" s="16"/>
      <c r="G525" s="24"/>
      <c r="H525" s="24"/>
      <c r="I525" s="16"/>
      <c r="J525" s="16"/>
      <c r="K525" s="16"/>
      <c r="L525" s="16"/>
      <c r="M525" s="16"/>
      <c r="N525" s="16"/>
      <c r="O525" s="16"/>
      <c r="P525" s="16"/>
      <c r="Q525" s="16"/>
      <c r="R525" s="16"/>
      <c r="S525" s="16"/>
      <c r="T525" s="16"/>
      <c r="U525" s="16"/>
      <c r="V525" s="16"/>
      <c r="W525" s="16"/>
      <c r="X525" s="16"/>
      <c r="Y525" s="16"/>
      <c r="Z525" s="16"/>
      <c r="AA525" s="16"/>
      <c r="AB525" s="16"/>
      <c r="AC525" s="16"/>
      <c r="AD525" s="16"/>
    </row>
    <row r="526" spans="1:30" ht="12.9">
      <c r="A526" s="16"/>
      <c r="B526" s="24"/>
      <c r="C526" s="196"/>
      <c r="D526" s="196"/>
      <c r="E526" s="196"/>
      <c r="F526" s="16"/>
      <c r="G526" s="24"/>
      <c r="H526" s="24"/>
      <c r="I526" s="16"/>
      <c r="J526" s="16"/>
      <c r="K526" s="16"/>
      <c r="L526" s="16"/>
      <c r="M526" s="16"/>
      <c r="N526" s="16"/>
      <c r="O526" s="16"/>
      <c r="P526" s="16"/>
      <c r="Q526" s="16"/>
      <c r="R526" s="16"/>
      <c r="S526" s="16"/>
      <c r="T526" s="16"/>
      <c r="U526" s="16"/>
      <c r="V526" s="16"/>
      <c r="W526" s="16"/>
      <c r="X526" s="16"/>
      <c r="Y526" s="16"/>
      <c r="Z526" s="16"/>
      <c r="AA526" s="16"/>
      <c r="AB526" s="16"/>
      <c r="AC526" s="16"/>
      <c r="AD526" s="16"/>
    </row>
    <row r="527" spans="1:30" ht="12.9">
      <c r="A527" s="16"/>
      <c r="B527" s="24"/>
      <c r="C527" s="196"/>
      <c r="D527" s="196"/>
      <c r="E527" s="196"/>
      <c r="F527" s="16"/>
      <c r="G527" s="24"/>
      <c r="H527" s="24"/>
      <c r="I527" s="16"/>
      <c r="J527" s="16"/>
      <c r="K527" s="16"/>
      <c r="L527" s="16"/>
      <c r="M527" s="16"/>
      <c r="N527" s="16"/>
      <c r="O527" s="16"/>
      <c r="P527" s="16"/>
      <c r="Q527" s="16"/>
      <c r="R527" s="16"/>
      <c r="S527" s="16"/>
      <c r="T527" s="16"/>
      <c r="U527" s="16"/>
      <c r="V527" s="16"/>
      <c r="W527" s="16"/>
      <c r="X527" s="16"/>
      <c r="Y527" s="16"/>
      <c r="Z527" s="16"/>
      <c r="AA527" s="16"/>
      <c r="AB527" s="16"/>
      <c r="AC527" s="16"/>
      <c r="AD527" s="16"/>
    </row>
    <row r="528" spans="1:30" ht="12.9">
      <c r="A528" s="16"/>
      <c r="B528" s="24"/>
      <c r="C528" s="196"/>
      <c r="D528" s="196"/>
      <c r="E528" s="196"/>
      <c r="F528" s="16"/>
      <c r="G528" s="24"/>
      <c r="H528" s="24"/>
      <c r="I528" s="16"/>
      <c r="J528" s="16"/>
      <c r="K528" s="16"/>
      <c r="L528" s="16"/>
      <c r="M528" s="16"/>
      <c r="N528" s="16"/>
      <c r="O528" s="16"/>
      <c r="P528" s="16"/>
      <c r="Q528" s="16"/>
      <c r="R528" s="16"/>
      <c r="S528" s="16"/>
      <c r="T528" s="16"/>
      <c r="U528" s="16"/>
      <c r="V528" s="16"/>
      <c r="W528" s="16"/>
      <c r="X528" s="16"/>
      <c r="Y528" s="16"/>
      <c r="Z528" s="16"/>
      <c r="AA528" s="16"/>
      <c r="AB528" s="16"/>
      <c r="AC528" s="16"/>
      <c r="AD528" s="16"/>
    </row>
    <row r="529" spans="1:30" ht="12.9">
      <c r="A529" s="16"/>
      <c r="B529" s="24"/>
      <c r="C529" s="196"/>
      <c r="D529" s="196"/>
      <c r="E529" s="196"/>
      <c r="F529" s="16"/>
      <c r="G529" s="24"/>
      <c r="H529" s="24"/>
      <c r="I529" s="16"/>
      <c r="J529" s="16"/>
      <c r="K529" s="16"/>
      <c r="L529" s="16"/>
      <c r="M529" s="16"/>
      <c r="N529" s="16"/>
      <c r="O529" s="16"/>
      <c r="P529" s="16"/>
      <c r="Q529" s="16"/>
      <c r="R529" s="16"/>
      <c r="S529" s="16"/>
      <c r="T529" s="16"/>
      <c r="U529" s="16"/>
      <c r="V529" s="16"/>
      <c r="W529" s="16"/>
      <c r="X529" s="16"/>
      <c r="Y529" s="16"/>
      <c r="Z529" s="16"/>
      <c r="AA529" s="16"/>
      <c r="AB529" s="16"/>
      <c r="AC529" s="16"/>
      <c r="AD529" s="16"/>
    </row>
    <row r="530" spans="1:30" ht="12.9">
      <c r="A530" s="16"/>
      <c r="B530" s="24"/>
      <c r="C530" s="196"/>
      <c r="D530" s="196"/>
      <c r="E530" s="196"/>
      <c r="F530" s="16"/>
      <c r="G530" s="24"/>
      <c r="H530" s="24"/>
      <c r="I530" s="16"/>
      <c r="J530" s="16"/>
      <c r="K530" s="16"/>
      <c r="L530" s="16"/>
      <c r="M530" s="16"/>
      <c r="N530" s="16"/>
      <c r="O530" s="16"/>
      <c r="P530" s="16"/>
      <c r="Q530" s="16"/>
      <c r="R530" s="16"/>
      <c r="S530" s="16"/>
      <c r="T530" s="16"/>
      <c r="U530" s="16"/>
      <c r="V530" s="16"/>
      <c r="W530" s="16"/>
      <c r="X530" s="16"/>
      <c r="Y530" s="16"/>
      <c r="Z530" s="16"/>
      <c r="AA530" s="16"/>
      <c r="AB530" s="16"/>
      <c r="AC530" s="16"/>
      <c r="AD530" s="16"/>
    </row>
    <row r="531" spans="1:30" ht="12.9">
      <c r="A531" s="16"/>
      <c r="B531" s="24"/>
      <c r="C531" s="196"/>
      <c r="D531" s="196"/>
      <c r="E531" s="196"/>
      <c r="F531" s="16"/>
      <c r="G531" s="24"/>
      <c r="H531" s="24"/>
      <c r="I531" s="16"/>
      <c r="J531" s="16"/>
      <c r="K531" s="16"/>
      <c r="L531" s="16"/>
      <c r="M531" s="16"/>
      <c r="N531" s="16"/>
      <c r="O531" s="16"/>
      <c r="P531" s="16"/>
      <c r="Q531" s="16"/>
      <c r="R531" s="16"/>
      <c r="S531" s="16"/>
      <c r="T531" s="16"/>
      <c r="U531" s="16"/>
      <c r="V531" s="16"/>
      <c r="W531" s="16"/>
      <c r="X531" s="16"/>
      <c r="Y531" s="16"/>
      <c r="Z531" s="16"/>
      <c r="AA531" s="16"/>
      <c r="AB531" s="16"/>
      <c r="AC531" s="16"/>
      <c r="AD531" s="16"/>
    </row>
    <row r="532" spans="1:30" ht="12.9">
      <c r="A532" s="16"/>
      <c r="B532" s="24"/>
      <c r="C532" s="196"/>
      <c r="D532" s="196"/>
      <c r="E532" s="196"/>
      <c r="F532" s="16"/>
      <c r="G532" s="24"/>
      <c r="H532" s="24"/>
      <c r="I532" s="16"/>
      <c r="J532" s="16"/>
      <c r="K532" s="16"/>
      <c r="L532" s="16"/>
      <c r="M532" s="16"/>
      <c r="N532" s="16"/>
      <c r="O532" s="16"/>
      <c r="P532" s="16"/>
      <c r="Q532" s="16"/>
      <c r="R532" s="16"/>
      <c r="S532" s="16"/>
      <c r="T532" s="16"/>
      <c r="U532" s="16"/>
      <c r="V532" s="16"/>
      <c r="W532" s="16"/>
      <c r="X532" s="16"/>
      <c r="Y532" s="16"/>
      <c r="Z532" s="16"/>
      <c r="AA532" s="16"/>
      <c r="AB532" s="16"/>
      <c r="AC532" s="16"/>
      <c r="AD532" s="16"/>
    </row>
    <row r="533" spans="1:30" ht="12.9">
      <c r="A533" s="16"/>
      <c r="B533" s="24"/>
      <c r="C533" s="196"/>
      <c r="D533" s="196"/>
      <c r="E533" s="196"/>
      <c r="F533" s="16"/>
      <c r="G533" s="24"/>
      <c r="H533" s="24"/>
      <c r="I533" s="16"/>
      <c r="J533" s="16"/>
      <c r="K533" s="16"/>
      <c r="L533" s="16"/>
      <c r="M533" s="16"/>
      <c r="N533" s="16"/>
      <c r="O533" s="16"/>
      <c r="P533" s="16"/>
      <c r="Q533" s="16"/>
      <c r="R533" s="16"/>
      <c r="S533" s="16"/>
      <c r="T533" s="16"/>
      <c r="U533" s="16"/>
      <c r="V533" s="16"/>
      <c r="W533" s="16"/>
      <c r="X533" s="16"/>
      <c r="Y533" s="16"/>
      <c r="Z533" s="16"/>
      <c r="AA533" s="16"/>
      <c r="AB533" s="16"/>
      <c r="AC533" s="16"/>
      <c r="AD533" s="16"/>
    </row>
    <row r="534" spans="1:30" ht="12.9">
      <c r="A534" s="16"/>
      <c r="B534" s="24"/>
      <c r="C534" s="196"/>
      <c r="D534" s="196"/>
      <c r="E534" s="196"/>
      <c r="F534" s="16"/>
      <c r="G534" s="24"/>
      <c r="H534" s="24"/>
      <c r="I534" s="16"/>
      <c r="J534" s="16"/>
      <c r="K534" s="16"/>
      <c r="L534" s="16"/>
      <c r="M534" s="16"/>
      <c r="N534" s="16"/>
      <c r="O534" s="16"/>
      <c r="P534" s="16"/>
      <c r="Q534" s="16"/>
      <c r="R534" s="16"/>
      <c r="S534" s="16"/>
      <c r="T534" s="16"/>
      <c r="U534" s="16"/>
      <c r="V534" s="16"/>
      <c r="W534" s="16"/>
      <c r="X534" s="16"/>
      <c r="Y534" s="16"/>
      <c r="Z534" s="16"/>
      <c r="AA534" s="16"/>
      <c r="AB534" s="16"/>
      <c r="AC534" s="16"/>
      <c r="AD534" s="16"/>
    </row>
    <row r="535" spans="1:30" ht="12.9">
      <c r="A535" s="16"/>
      <c r="B535" s="24"/>
      <c r="C535" s="196"/>
      <c r="D535" s="196"/>
      <c r="E535" s="196"/>
      <c r="F535" s="16"/>
      <c r="G535" s="24"/>
      <c r="H535" s="24"/>
      <c r="I535" s="16"/>
      <c r="J535" s="16"/>
      <c r="K535" s="16"/>
      <c r="L535" s="16"/>
      <c r="M535" s="16"/>
      <c r="N535" s="16"/>
      <c r="O535" s="16"/>
      <c r="P535" s="16"/>
      <c r="Q535" s="16"/>
      <c r="R535" s="16"/>
      <c r="S535" s="16"/>
      <c r="T535" s="16"/>
      <c r="U535" s="16"/>
      <c r="V535" s="16"/>
      <c r="W535" s="16"/>
      <c r="X535" s="16"/>
      <c r="Y535" s="16"/>
      <c r="Z535" s="16"/>
      <c r="AA535" s="16"/>
      <c r="AB535" s="16"/>
      <c r="AC535" s="16"/>
      <c r="AD535" s="16"/>
    </row>
    <row r="536" spans="1:30" ht="12.9">
      <c r="A536" s="16"/>
      <c r="B536" s="24"/>
      <c r="C536" s="196"/>
      <c r="D536" s="196"/>
      <c r="E536" s="196"/>
      <c r="F536" s="16"/>
      <c r="G536" s="24"/>
      <c r="H536" s="24"/>
      <c r="I536" s="16"/>
      <c r="J536" s="16"/>
      <c r="K536" s="16"/>
      <c r="L536" s="16"/>
      <c r="M536" s="16"/>
      <c r="N536" s="16"/>
      <c r="O536" s="16"/>
      <c r="P536" s="16"/>
      <c r="Q536" s="16"/>
      <c r="R536" s="16"/>
      <c r="S536" s="16"/>
      <c r="T536" s="16"/>
      <c r="U536" s="16"/>
      <c r="V536" s="16"/>
      <c r="W536" s="16"/>
      <c r="X536" s="16"/>
      <c r="Y536" s="16"/>
      <c r="Z536" s="16"/>
      <c r="AA536" s="16"/>
      <c r="AB536" s="16"/>
      <c r="AC536" s="16"/>
      <c r="AD536" s="16"/>
    </row>
    <row r="537" spans="1:30" ht="12.9">
      <c r="A537" s="16"/>
      <c r="B537" s="24"/>
      <c r="C537" s="196"/>
      <c r="D537" s="196"/>
      <c r="E537" s="196"/>
      <c r="F537" s="16"/>
      <c r="G537" s="24"/>
      <c r="H537" s="24"/>
      <c r="I537" s="16"/>
      <c r="J537" s="16"/>
      <c r="K537" s="16"/>
      <c r="L537" s="16"/>
      <c r="M537" s="16"/>
      <c r="N537" s="16"/>
      <c r="O537" s="16"/>
      <c r="P537" s="16"/>
      <c r="Q537" s="16"/>
      <c r="R537" s="16"/>
      <c r="S537" s="16"/>
      <c r="T537" s="16"/>
      <c r="U537" s="16"/>
      <c r="V537" s="16"/>
      <c r="W537" s="16"/>
      <c r="X537" s="16"/>
      <c r="Y537" s="16"/>
      <c r="Z537" s="16"/>
      <c r="AA537" s="16"/>
      <c r="AB537" s="16"/>
      <c r="AC537" s="16"/>
      <c r="AD537" s="16"/>
    </row>
    <row r="538" spans="1:30" ht="12.9">
      <c r="A538" s="16"/>
      <c r="B538" s="24"/>
      <c r="C538" s="196"/>
      <c r="D538" s="196"/>
      <c r="E538" s="196"/>
      <c r="F538" s="16"/>
      <c r="G538" s="24"/>
      <c r="H538" s="24"/>
      <c r="I538" s="16"/>
      <c r="J538" s="16"/>
      <c r="K538" s="16"/>
      <c r="L538" s="16"/>
      <c r="M538" s="16"/>
      <c r="N538" s="16"/>
      <c r="O538" s="16"/>
      <c r="P538" s="16"/>
      <c r="Q538" s="16"/>
      <c r="R538" s="16"/>
      <c r="S538" s="16"/>
      <c r="T538" s="16"/>
      <c r="U538" s="16"/>
      <c r="V538" s="16"/>
      <c r="W538" s="16"/>
      <c r="X538" s="16"/>
      <c r="Y538" s="16"/>
      <c r="Z538" s="16"/>
      <c r="AA538" s="16"/>
      <c r="AB538" s="16"/>
      <c r="AC538" s="16"/>
      <c r="AD538" s="16"/>
    </row>
    <row r="539" spans="1:30" ht="12.9">
      <c r="A539" s="16"/>
      <c r="B539" s="24"/>
      <c r="C539" s="196"/>
      <c r="D539" s="196"/>
      <c r="E539" s="196"/>
      <c r="F539" s="16"/>
      <c r="G539" s="24"/>
      <c r="H539" s="24"/>
      <c r="I539" s="16"/>
      <c r="J539" s="16"/>
      <c r="K539" s="16"/>
      <c r="L539" s="16"/>
      <c r="M539" s="16"/>
      <c r="N539" s="16"/>
      <c r="O539" s="16"/>
      <c r="P539" s="16"/>
      <c r="Q539" s="16"/>
      <c r="R539" s="16"/>
      <c r="S539" s="16"/>
      <c r="T539" s="16"/>
      <c r="U539" s="16"/>
      <c r="V539" s="16"/>
      <c r="W539" s="16"/>
      <c r="X539" s="16"/>
      <c r="Y539" s="16"/>
      <c r="Z539" s="16"/>
      <c r="AA539" s="16"/>
      <c r="AB539" s="16"/>
      <c r="AC539" s="16"/>
      <c r="AD539" s="16"/>
    </row>
    <row r="540" spans="1:30" ht="12.9">
      <c r="A540" s="16"/>
      <c r="B540" s="24"/>
      <c r="C540" s="196"/>
      <c r="D540" s="196"/>
      <c r="E540" s="196"/>
      <c r="F540" s="16"/>
      <c r="G540" s="24"/>
      <c r="H540" s="24"/>
      <c r="I540" s="16"/>
      <c r="J540" s="16"/>
      <c r="K540" s="16"/>
      <c r="L540" s="16"/>
      <c r="M540" s="16"/>
      <c r="N540" s="16"/>
      <c r="O540" s="16"/>
      <c r="P540" s="16"/>
      <c r="Q540" s="16"/>
      <c r="R540" s="16"/>
      <c r="S540" s="16"/>
      <c r="T540" s="16"/>
      <c r="U540" s="16"/>
      <c r="V540" s="16"/>
      <c r="W540" s="16"/>
      <c r="X540" s="16"/>
      <c r="Y540" s="16"/>
      <c r="Z540" s="16"/>
      <c r="AA540" s="16"/>
      <c r="AB540" s="16"/>
      <c r="AC540" s="16"/>
      <c r="AD540" s="16"/>
    </row>
    <row r="541" spans="1:30" ht="12.9">
      <c r="A541" s="16"/>
      <c r="B541" s="24"/>
      <c r="C541" s="196"/>
      <c r="D541" s="196"/>
      <c r="E541" s="196"/>
      <c r="F541" s="16"/>
      <c r="G541" s="24"/>
      <c r="H541" s="24"/>
      <c r="I541" s="16"/>
      <c r="J541" s="16"/>
      <c r="K541" s="16"/>
      <c r="L541" s="16"/>
      <c r="M541" s="16"/>
      <c r="N541" s="16"/>
      <c r="O541" s="16"/>
      <c r="P541" s="16"/>
      <c r="Q541" s="16"/>
      <c r="R541" s="16"/>
      <c r="S541" s="16"/>
      <c r="T541" s="16"/>
      <c r="U541" s="16"/>
      <c r="V541" s="16"/>
      <c r="W541" s="16"/>
      <c r="X541" s="16"/>
      <c r="Y541" s="16"/>
      <c r="Z541" s="16"/>
      <c r="AA541" s="16"/>
      <c r="AB541" s="16"/>
      <c r="AC541" s="16"/>
      <c r="AD541" s="16"/>
    </row>
    <row r="542" spans="1:30" ht="12.9">
      <c r="A542" s="16"/>
      <c r="B542" s="24"/>
      <c r="C542" s="196"/>
      <c r="D542" s="196"/>
      <c r="E542" s="196"/>
      <c r="F542" s="16"/>
      <c r="G542" s="24"/>
      <c r="H542" s="24"/>
      <c r="I542" s="16"/>
      <c r="J542" s="16"/>
      <c r="K542" s="16"/>
      <c r="L542" s="16"/>
      <c r="M542" s="16"/>
      <c r="N542" s="16"/>
      <c r="O542" s="16"/>
      <c r="P542" s="16"/>
      <c r="Q542" s="16"/>
      <c r="R542" s="16"/>
      <c r="S542" s="16"/>
      <c r="T542" s="16"/>
      <c r="U542" s="16"/>
      <c r="V542" s="16"/>
      <c r="W542" s="16"/>
      <c r="X542" s="16"/>
      <c r="Y542" s="16"/>
      <c r="Z542" s="16"/>
      <c r="AA542" s="16"/>
      <c r="AB542" s="16"/>
      <c r="AC542" s="16"/>
      <c r="AD542" s="16"/>
    </row>
    <row r="543" spans="1:30" ht="12.9">
      <c r="A543" s="16"/>
      <c r="B543" s="24"/>
      <c r="C543" s="196"/>
      <c r="D543" s="196"/>
      <c r="E543" s="196"/>
      <c r="F543" s="16"/>
      <c r="G543" s="24"/>
      <c r="H543" s="24"/>
      <c r="I543" s="16"/>
      <c r="J543" s="16"/>
      <c r="K543" s="16"/>
      <c r="L543" s="16"/>
      <c r="M543" s="16"/>
      <c r="N543" s="16"/>
      <c r="O543" s="16"/>
      <c r="P543" s="16"/>
      <c r="Q543" s="16"/>
      <c r="R543" s="16"/>
      <c r="S543" s="16"/>
      <c r="T543" s="16"/>
      <c r="U543" s="16"/>
      <c r="V543" s="16"/>
      <c r="W543" s="16"/>
      <c r="X543" s="16"/>
      <c r="Y543" s="16"/>
      <c r="Z543" s="16"/>
      <c r="AA543" s="16"/>
      <c r="AB543" s="16"/>
      <c r="AC543" s="16"/>
      <c r="AD543" s="16"/>
    </row>
    <row r="544" spans="1:30" ht="12.9">
      <c r="A544" s="16"/>
      <c r="B544" s="24"/>
      <c r="C544" s="196"/>
      <c r="D544" s="196"/>
      <c r="E544" s="196"/>
      <c r="F544" s="16"/>
      <c r="G544" s="24"/>
      <c r="H544" s="24"/>
      <c r="I544" s="16"/>
      <c r="J544" s="16"/>
      <c r="K544" s="16"/>
      <c r="L544" s="16"/>
      <c r="M544" s="16"/>
      <c r="N544" s="16"/>
      <c r="O544" s="16"/>
      <c r="P544" s="16"/>
      <c r="Q544" s="16"/>
      <c r="R544" s="16"/>
      <c r="S544" s="16"/>
      <c r="T544" s="16"/>
      <c r="U544" s="16"/>
      <c r="V544" s="16"/>
      <c r="W544" s="16"/>
      <c r="X544" s="16"/>
      <c r="Y544" s="16"/>
      <c r="Z544" s="16"/>
      <c r="AA544" s="16"/>
      <c r="AB544" s="16"/>
      <c r="AC544" s="16"/>
      <c r="AD544" s="16"/>
    </row>
    <row r="545" spans="1:30" ht="12.9">
      <c r="A545" s="16"/>
      <c r="B545" s="24"/>
      <c r="C545" s="196"/>
      <c r="D545" s="196"/>
      <c r="E545" s="196"/>
      <c r="F545" s="16"/>
      <c r="G545" s="24"/>
      <c r="H545" s="24"/>
      <c r="I545" s="16"/>
      <c r="J545" s="16"/>
      <c r="K545" s="16"/>
      <c r="L545" s="16"/>
      <c r="M545" s="16"/>
      <c r="N545" s="16"/>
      <c r="O545" s="16"/>
      <c r="P545" s="16"/>
      <c r="Q545" s="16"/>
      <c r="R545" s="16"/>
      <c r="S545" s="16"/>
      <c r="T545" s="16"/>
      <c r="U545" s="16"/>
      <c r="V545" s="16"/>
      <c r="W545" s="16"/>
      <c r="X545" s="16"/>
      <c r="Y545" s="16"/>
      <c r="Z545" s="16"/>
      <c r="AA545" s="16"/>
      <c r="AB545" s="16"/>
      <c r="AC545" s="16"/>
      <c r="AD545" s="16"/>
    </row>
    <row r="546" spans="1:30" ht="12.9">
      <c r="A546" s="16"/>
      <c r="B546" s="24"/>
      <c r="C546" s="196"/>
      <c r="D546" s="196"/>
      <c r="E546" s="196"/>
      <c r="F546" s="16"/>
      <c r="G546" s="24"/>
      <c r="H546" s="24"/>
      <c r="I546" s="16"/>
      <c r="J546" s="16"/>
      <c r="K546" s="16"/>
      <c r="L546" s="16"/>
      <c r="M546" s="16"/>
      <c r="N546" s="16"/>
      <c r="O546" s="16"/>
      <c r="P546" s="16"/>
      <c r="Q546" s="16"/>
      <c r="R546" s="16"/>
      <c r="S546" s="16"/>
      <c r="T546" s="16"/>
      <c r="U546" s="16"/>
      <c r="V546" s="16"/>
      <c r="W546" s="16"/>
      <c r="X546" s="16"/>
      <c r="Y546" s="16"/>
      <c r="Z546" s="16"/>
      <c r="AA546" s="16"/>
      <c r="AB546" s="16"/>
      <c r="AC546" s="16"/>
      <c r="AD546" s="16"/>
    </row>
    <row r="547" spans="1:30" ht="12.9">
      <c r="A547" s="16"/>
      <c r="B547" s="24"/>
      <c r="C547" s="196"/>
      <c r="D547" s="196"/>
      <c r="E547" s="196"/>
      <c r="F547" s="16"/>
      <c r="G547" s="24"/>
      <c r="H547" s="24"/>
      <c r="I547" s="16"/>
      <c r="J547" s="16"/>
      <c r="K547" s="16"/>
      <c r="L547" s="16"/>
      <c r="M547" s="16"/>
      <c r="N547" s="16"/>
      <c r="O547" s="16"/>
      <c r="P547" s="16"/>
      <c r="Q547" s="16"/>
      <c r="R547" s="16"/>
      <c r="S547" s="16"/>
      <c r="T547" s="16"/>
      <c r="U547" s="16"/>
      <c r="V547" s="16"/>
      <c r="W547" s="16"/>
      <c r="X547" s="16"/>
      <c r="Y547" s="16"/>
      <c r="Z547" s="16"/>
      <c r="AA547" s="16"/>
      <c r="AB547" s="16"/>
      <c r="AC547" s="16"/>
      <c r="AD547" s="16"/>
    </row>
    <row r="548" spans="1:30" ht="12.9">
      <c r="A548" s="16"/>
      <c r="B548" s="24"/>
      <c r="C548" s="196"/>
      <c r="D548" s="196"/>
      <c r="E548" s="196"/>
      <c r="F548" s="16"/>
      <c r="G548" s="24"/>
      <c r="H548" s="24"/>
      <c r="I548" s="16"/>
      <c r="J548" s="16"/>
      <c r="K548" s="16"/>
      <c r="L548" s="16"/>
      <c r="M548" s="16"/>
      <c r="N548" s="16"/>
      <c r="O548" s="16"/>
      <c r="P548" s="16"/>
      <c r="Q548" s="16"/>
      <c r="R548" s="16"/>
      <c r="S548" s="16"/>
      <c r="T548" s="16"/>
      <c r="U548" s="16"/>
      <c r="V548" s="16"/>
      <c r="W548" s="16"/>
      <c r="X548" s="16"/>
      <c r="Y548" s="16"/>
      <c r="Z548" s="16"/>
      <c r="AA548" s="16"/>
      <c r="AB548" s="16"/>
      <c r="AC548" s="16"/>
      <c r="AD548" s="16"/>
    </row>
    <row r="549" spans="1:30" ht="12.9">
      <c r="A549" s="16"/>
      <c r="B549" s="24"/>
      <c r="C549" s="196"/>
      <c r="D549" s="196"/>
      <c r="E549" s="196"/>
      <c r="F549" s="16"/>
      <c r="G549" s="24"/>
      <c r="H549" s="24"/>
      <c r="I549" s="16"/>
      <c r="J549" s="16"/>
      <c r="K549" s="16"/>
      <c r="L549" s="16"/>
      <c r="M549" s="16"/>
      <c r="N549" s="16"/>
      <c r="O549" s="16"/>
      <c r="P549" s="16"/>
      <c r="Q549" s="16"/>
      <c r="R549" s="16"/>
      <c r="S549" s="16"/>
      <c r="T549" s="16"/>
      <c r="U549" s="16"/>
      <c r="V549" s="16"/>
      <c r="W549" s="16"/>
      <c r="X549" s="16"/>
      <c r="Y549" s="16"/>
      <c r="Z549" s="16"/>
      <c r="AA549" s="16"/>
      <c r="AB549" s="16"/>
      <c r="AC549" s="16"/>
      <c r="AD549" s="16"/>
    </row>
    <row r="550" spans="1:30" ht="12.9">
      <c r="A550" s="16"/>
      <c r="B550" s="24"/>
      <c r="C550" s="196"/>
      <c r="D550" s="196"/>
      <c r="E550" s="196"/>
      <c r="F550" s="16"/>
      <c r="G550" s="24"/>
      <c r="H550" s="24"/>
      <c r="I550" s="16"/>
      <c r="J550" s="16"/>
      <c r="K550" s="16"/>
      <c r="L550" s="16"/>
      <c r="M550" s="16"/>
      <c r="N550" s="16"/>
      <c r="O550" s="16"/>
      <c r="P550" s="16"/>
      <c r="Q550" s="16"/>
      <c r="R550" s="16"/>
      <c r="S550" s="16"/>
      <c r="T550" s="16"/>
      <c r="U550" s="16"/>
      <c r="V550" s="16"/>
      <c r="W550" s="16"/>
      <c r="X550" s="16"/>
      <c r="Y550" s="16"/>
      <c r="Z550" s="16"/>
      <c r="AA550" s="16"/>
      <c r="AB550" s="16"/>
      <c r="AC550" s="16"/>
      <c r="AD550" s="16"/>
    </row>
    <row r="551" spans="1:30" ht="12.9">
      <c r="A551" s="16"/>
      <c r="B551" s="24"/>
      <c r="C551" s="196"/>
      <c r="D551" s="196"/>
      <c r="E551" s="196"/>
      <c r="F551" s="16"/>
      <c r="G551" s="24"/>
      <c r="H551" s="24"/>
      <c r="I551" s="16"/>
      <c r="J551" s="16"/>
      <c r="K551" s="16"/>
      <c r="L551" s="16"/>
      <c r="M551" s="16"/>
      <c r="N551" s="16"/>
      <c r="O551" s="16"/>
      <c r="P551" s="16"/>
      <c r="Q551" s="16"/>
      <c r="R551" s="16"/>
      <c r="S551" s="16"/>
      <c r="T551" s="16"/>
      <c r="U551" s="16"/>
      <c r="V551" s="16"/>
      <c r="W551" s="16"/>
      <c r="X551" s="16"/>
      <c r="Y551" s="16"/>
      <c r="Z551" s="16"/>
      <c r="AA551" s="16"/>
      <c r="AB551" s="16"/>
      <c r="AC551" s="16"/>
      <c r="AD551" s="16"/>
    </row>
    <row r="552" spans="1:30" ht="12.9">
      <c r="A552" s="16"/>
      <c r="B552" s="24"/>
      <c r="C552" s="196"/>
      <c r="D552" s="196"/>
      <c r="E552" s="196"/>
      <c r="F552" s="16"/>
      <c r="G552" s="24"/>
      <c r="H552" s="24"/>
      <c r="I552" s="16"/>
      <c r="J552" s="16"/>
      <c r="K552" s="16"/>
      <c r="L552" s="16"/>
      <c r="M552" s="16"/>
      <c r="N552" s="16"/>
      <c r="O552" s="16"/>
      <c r="P552" s="16"/>
      <c r="Q552" s="16"/>
      <c r="R552" s="16"/>
      <c r="S552" s="16"/>
      <c r="T552" s="16"/>
      <c r="U552" s="16"/>
      <c r="V552" s="16"/>
      <c r="W552" s="16"/>
      <c r="X552" s="16"/>
      <c r="Y552" s="16"/>
      <c r="Z552" s="16"/>
      <c r="AA552" s="16"/>
      <c r="AB552" s="16"/>
      <c r="AC552" s="16"/>
      <c r="AD552" s="16"/>
    </row>
    <row r="553" spans="1:30" ht="12.9">
      <c r="A553" s="16"/>
      <c r="B553" s="24"/>
      <c r="C553" s="196"/>
      <c r="D553" s="196"/>
      <c r="E553" s="196"/>
      <c r="F553" s="16"/>
      <c r="G553" s="24"/>
      <c r="H553" s="24"/>
      <c r="I553" s="16"/>
      <c r="J553" s="16"/>
      <c r="K553" s="16"/>
      <c r="L553" s="16"/>
      <c r="M553" s="16"/>
      <c r="N553" s="16"/>
      <c r="O553" s="16"/>
      <c r="P553" s="16"/>
      <c r="Q553" s="16"/>
      <c r="R553" s="16"/>
      <c r="S553" s="16"/>
      <c r="T553" s="16"/>
      <c r="U553" s="16"/>
      <c r="V553" s="16"/>
      <c r="W553" s="16"/>
      <c r="X553" s="16"/>
      <c r="Y553" s="16"/>
      <c r="Z553" s="16"/>
      <c r="AA553" s="16"/>
      <c r="AB553" s="16"/>
      <c r="AC553" s="16"/>
      <c r="AD553" s="16"/>
    </row>
    <row r="554" spans="1:30" ht="12.9">
      <c r="A554" s="16"/>
      <c r="B554" s="24"/>
      <c r="C554" s="196"/>
      <c r="D554" s="196"/>
      <c r="E554" s="196"/>
      <c r="F554" s="16"/>
      <c r="G554" s="24"/>
      <c r="H554" s="24"/>
      <c r="I554" s="16"/>
      <c r="J554" s="16"/>
      <c r="K554" s="16"/>
      <c r="L554" s="16"/>
      <c r="M554" s="16"/>
      <c r="N554" s="16"/>
      <c r="O554" s="16"/>
      <c r="P554" s="16"/>
      <c r="Q554" s="16"/>
      <c r="R554" s="16"/>
      <c r="S554" s="16"/>
      <c r="T554" s="16"/>
      <c r="U554" s="16"/>
      <c r="V554" s="16"/>
      <c r="W554" s="16"/>
      <c r="X554" s="16"/>
      <c r="Y554" s="16"/>
      <c r="Z554" s="16"/>
      <c r="AA554" s="16"/>
      <c r="AB554" s="16"/>
      <c r="AC554" s="16"/>
      <c r="AD554" s="16"/>
    </row>
    <row r="555" spans="1:30" ht="12.9">
      <c r="A555" s="16"/>
      <c r="B555" s="24"/>
      <c r="C555" s="196"/>
      <c r="D555" s="196"/>
      <c r="E555" s="196"/>
      <c r="F555" s="16"/>
      <c r="G555" s="24"/>
      <c r="H555" s="24"/>
      <c r="I555" s="16"/>
      <c r="J555" s="16"/>
      <c r="K555" s="16"/>
      <c r="L555" s="16"/>
      <c r="M555" s="16"/>
      <c r="N555" s="16"/>
      <c r="O555" s="16"/>
      <c r="P555" s="16"/>
      <c r="Q555" s="16"/>
      <c r="R555" s="16"/>
      <c r="S555" s="16"/>
      <c r="T555" s="16"/>
      <c r="U555" s="16"/>
      <c r="V555" s="16"/>
      <c r="W555" s="16"/>
      <c r="X555" s="16"/>
      <c r="Y555" s="16"/>
      <c r="Z555" s="16"/>
      <c r="AA555" s="16"/>
      <c r="AB555" s="16"/>
      <c r="AC555" s="16"/>
      <c r="AD555" s="16"/>
    </row>
    <row r="556" spans="1:30" ht="12.9">
      <c r="A556" s="16"/>
      <c r="B556" s="24"/>
      <c r="C556" s="196"/>
      <c r="D556" s="196"/>
      <c r="E556" s="196"/>
      <c r="F556" s="16"/>
      <c r="G556" s="24"/>
      <c r="H556" s="24"/>
      <c r="I556" s="16"/>
      <c r="J556" s="16"/>
      <c r="K556" s="16"/>
      <c r="L556" s="16"/>
      <c r="M556" s="16"/>
      <c r="N556" s="16"/>
      <c r="O556" s="16"/>
      <c r="P556" s="16"/>
      <c r="Q556" s="16"/>
      <c r="R556" s="16"/>
      <c r="S556" s="16"/>
      <c r="T556" s="16"/>
      <c r="U556" s="16"/>
      <c r="V556" s="16"/>
      <c r="W556" s="16"/>
      <c r="X556" s="16"/>
      <c r="Y556" s="16"/>
      <c r="Z556" s="16"/>
      <c r="AA556" s="16"/>
      <c r="AB556" s="16"/>
      <c r="AC556" s="16"/>
      <c r="AD556" s="16"/>
    </row>
    <row r="557" spans="1:30" ht="12.9">
      <c r="A557" s="16"/>
      <c r="B557" s="24"/>
      <c r="C557" s="196"/>
      <c r="D557" s="196"/>
      <c r="E557" s="196"/>
      <c r="F557" s="16"/>
      <c r="G557" s="24"/>
      <c r="H557" s="24"/>
      <c r="I557" s="16"/>
      <c r="J557" s="16"/>
      <c r="K557" s="16"/>
      <c r="L557" s="16"/>
      <c r="M557" s="16"/>
      <c r="N557" s="16"/>
      <c r="O557" s="16"/>
      <c r="P557" s="16"/>
      <c r="Q557" s="16"/>
      <c r="R557" s="16"/>
      <c r="S557" s="16"/>
      <c r="T557" s="16"/>
      <c r="U557" s="16"/>
      <c r="V557" s="16"/>
      <c r="W557" s="16"/>
      <c r="X557" s="16"/>
      <c r="Y557" s="16"/>
      <c r="Z557" s="16"/>
      <c r="AA557" s="16"/>
      <c r="AB557" s="16"/>
      <c r="AC557" s="16"/>
      <c r="AD557" s="16"/>
    </row>
    <row r="558" spans="1:30" ht="12.9">
      <c r="A558" s="16"/>
      <c r="B558" s="24"/>
      <c r="C558" s="196"/>
      <c r="D558" s="196"/>
      <c r="E558" s="196"/>
      <c r="F558" s="16"/>
      <c r="G558" s="24"/>
      <c r="H558" s="24"/>
      <c r="I558" s="16"/>
      <c r="J558" s="16"/>
      <c r="K558" s="16"/>
      <c r="L558" s="16"/>
      <c r="M558" s="16"/>
      <c r="N558" s="16"/>
      <c r="O558" s="16"/>
      <c r="P558" s="16"/>
      <c r="Q558" s="16"/>
      <c r="R558" s="16"/>
      <c r="S558" s="16"/>
      <c r="T558" s="16"/>
      <c r="U558" s="16"/>
      <c r="V558" s="16"/>
      <c r="W558" s="16"/>
      <c r="X558" s="16"/>
      <c r="Y558" s="16"/>
      <c r="Z558" s="16"/>
      <c r="AA558" s="16"/>
      <c r="AB558" s="16"/>
      <c r="AC558" s="16"/>
      <c r="AD558" s="16"/>
    </row>
    <row r="559" spans="1:30" ht="12.9">
      <c r="A559" s="16"/>
      <c r="B559" s="24"/>
      <c r="C559" s="196"/>
      <c r="D559" s="196"/>
      <c r="E559" s="196"/>
      <c r="F559" s="16"/>
      <c r="G559" s="24"/>
      <c r="H559" s="24"/>
      <c r="I559" s="16"/>
      <c r="J559" s="16"/>
      <c r="K559" s="16"/>
      <c r="L559" s="16"/>
      <c r="M559" s="16"/>
      <c r="N559" s="16"/>
      <c r="O559" s="16"/>
      <c r="P559" s="16"/>
      <c r="Q559" s="16"/>
      <c r="R559" s="16"/>
      <c r="S559" s="16"/>
      <c r="T559" s="16"/>
      <c r="U559" s="16"/>
      <c r="V559" s="16"/>
      <c r="W559" s="16"/>
      <c r="X559" s="16"/>
      <c r="Y559" s="16"/>
      <c r="Z559" s="16"/>
      <c r="AA559" s="16"/>
      <c r="AB559" s="16"/>
      <c r="AC559" s="16"/>
      <c r="AD559" s="16"/>
    </row>
    <row r="560" spans="1:30" ht="12.9">
      <c r="A560" s="16"/>
      <c r="B560" s="24"/>
      <c r="C560" s="196"/>
      <c r="D560" s="196"/>
      <c r="E560" s="196"/>
      <c r="F560" s="16"/>
      <c r="G560" s="24"/>
      <c r="H560" s="24"/>
      <c r="I560" s="16"/>
      <c r="J560" s="16"/>
      <c r="K560" s="16"/>
      <c r="L560" s="16"/>
      <c r="M560" s="16"/>
      <c r="N560" s="16"/>
      <c r="O560" s="16"/>
      <c r="P560" s="16"/>
      <c r="Q560" s="16"/>
      <c r="R560" s="16"/>
      <c r="S560" s="16"/>
      <c r="T560" s="16"/>
      <c r="U560" s="16"/>
      <c r="V560" s="16"/>
      <c r="W560" s="16"/>
      <c r="X560" s="16"/>
      <c r="Y560" s="16"/>
      <c r="Z560" s="16"/>
      <c r="AA560" s="16"/>
      <c r="AB560" s="16"/>
      <c r="AC560" s="16"/>
      <c r="AD560" s="16"/>
    </row>
    <row r="561" spans="1:30" ht="12.9">
      <c r="A561" s="16"/>
      <c r="B561" s="24"/>
      <c r="C561" s="196"/>
      <c r="D561" s="196"/>
      <c r="E561" s="196"/>
      <c r="F561" s="16"/>
      <c r="G561" s="24"/>
      <c r="H561" s="24"/>
      <c r="I561" s="16"/>
      <c r="J561" s="16"/>
      <c r="K561" s="16"/>
      <c r="L561" s="16"/>
      <c r="M561" s="16"/>
      <c r="N561" s="16"/>
      <c r="O561" s="16"/>
      <c r="P561" s="16"/>
      <c r="Q561" s="16"/>
      <c r="R561" s="16"/>
      <c r="S561" s="16"/>
      <c r="T561" s="16"/>
      <c r="U561" s="16"/>
      <c r="V561" s="16"/>
      <c r="W561" s="16"/>
      <c r="X561" s="16"/>
      <c r="Y561" s="16"/>
      <c r="Z561" s="16"/>
      <c r="AA561" s="16"/>
      <c r="AB561" s="16"/>
      <c r="AC561" s="16"/>
      <c r="AD561" s="16"/>
    </row>
    <row r="562" spans="1:30" ht="12.9">
      <c r="A562" s="16"/>
      <c r="B562" s="24"/>
      <c r="C562" s="196"/>
      <c r="D562" s="196"/>
      <c r="E562" s="196"/>
      <c r="F562" s="16"/>
      <c r="G562" s="24"/>
      <c r="H562" s="24"/>
      <c r="I562" s="16"/>
      <c r="J562" s="16"/>
      <c r="K562" s="16"/>
      <c r="L562" s="16"/>
      <c r="M562" s="16"/>
      <c r="N562" s="16"/>
      <c r="O562" s="16"/>
      <c r="P562" s="16"/>
      <c r="Q562" s="16"/>
      <c r="R562" s="16"/>
      <c r="S562" s="16"/>
      <c r="T562" s="16"/>
      <c r="U562" s="16"/>
      <c r="V562" s="16"/>
      <c r="W562" s="16"/>
      <c r="X562" s="16"/>
      <c r="Y562" s="16"/>
      <c r="Z562" s="16"/>
      <c r="AA562" s="16"/>
      <c r="AB562" s="16"/>
      <c r="AC562" s="16"/>
      <c r="AD562" s="16"/>
    </row>
    <row r="563" spans="1:30" ht="12.9">
      <c r="A563" s="16"/>
      <c r="B563" s="24"/>
      <c r="C563" s="196"/>
      <c r="D563" s="196"/>
      <c r="E563" s="196"/>
      <c r="F563" s="16"/>
      <c r="G563" s="24"/>
      <c r="H563" s="24"/>
      <c r="I563" s="16"/>
      <c r="J563" s="16"/>
      <c r="K563" s="16"/>
      <c r="L563" s="16"/>
      <c r="M563" s="16"/>
      <c r="N563" s="16"/>
      <c r="O563" s="16"/>
      <c r="P563" s="16"/>
      <c r="Q563" s="16"/>
      <c r="R563" s="16"/>
      <c r="S563" s="16"/>
      <c r="T563" s="16"/>
      <c r="U563" s="16"/>
      <c r="V563" s="16"/>
      <c r="W563" s="16"/>
      <c r="X563" s="16"/>
      <c r="Y563" s="16"/>
      <c r="Z563" s="16"/>
      <c r="AA563" s="16"/>
      <c r="AB563" s="16"/>
      <c r="AC563" s="16"/>
      <c r="AD563" s="16"/>
    </row>
    <row r="564" spans="1:30" ht="12.9">
      <c r="A564" s="16"/>
      <c r="B564" s="24"/>
      <c r="C564" s="196"/>
      <c r="D564" s="196"/>
      <c r="E564" s="196"/>
      <c r="F564" s="16"/>
      <c r="G564" s="24"/>
      <c r="H564" s="24"/>
      <c r="I564" s="16"/>
      <c r="J564" s="16"/>
      <c r="K564" s="16"/>
      <c r="L564" s="16"/>
      <c r="M564" s="16"/>
      <c r="N564" s="16"/>
      <c r="O564" s="16"/>
      <c r="P564" s="16"/>
      <c r="Q564" s="16"/>
      <c r="R564" s="16"/>
      <c r="S564" s="16"/>
      <c r="T564" s="16"/>
      <c r="U564" s="16"/>
      <c r="V564" s="16"/>
      <c r="W564" s="16"/>
      <c r="X564" s="16"/>
      <c r="Y564" s="16"/>
      <c r="Z564" s="16"/>
      <c r="AA564" s="16"/>
      <c r="AB564" s="16"/>
      <c r="AC564" s="16"/>
      <c r="AD564" s="16"/>
    </row>
    <row r="565" spans="1:30" ht="12.9">
      <c r="A565" s="16"/>
      <c r="B565" s="24"/>
      <c r="C565" s="196"/>
      <c r="D565" s="196"/>
      <c r="E565" s="196"/>
      <c r="F565" s="16"/>
      <c r="G565" s="24"/>
      <c r="H565" s="24"/>
      <c r="I565" s="16"/>
      <c r="J565" s="16"/>
      <c r="K565" s="16"/>
      <c r="L565" s="16"/>
      <c r="M565" s="16"/>
      <c r="N565" s="16"/>
      <c r="O565" s="16"/>
      <c r="P565" s="16"/>
      <c r="Q565" s="16"/>
      <c r="R565" s="16"/>
      <c r="S565" s="16"/>
      <c r="T565" s="16"/>
      <c r="U565" s="16"/>
      <c r="V565" s="16"/>
      <c r="W565" s="16"/>
      <c r="X565" s="16"/>
      <c r="Y565" s="16"/>
      <c r="Z565" s="16"/>
      <c r="AA565" s="16"/>
      <c r="AB565" s="16"/>
      <c r="AC565" s="16"/>
      <c r="AD565" s="16"/>
    </row>
    <row r="566" spans="1:30" ht="12.9">
      <c r="A566" s="16"/>
      <c r="B566" s="24"/>
      <c r="C566" s="196"/>
      <c r="D566" s="196"/>
      <c r="E566" s="196"/>
      <c r="F566" s="16"/>
      <c r="G566" s="24"/>
      <c r="H566" s="24"/>
      <c r="I566" s="16"/>
      <c r="J566" s="16"/>
      <c r="K566" s="16"/>
      <c r="L566" s="16"/>
      <c r="M566" s="16"/>
      <c r="N566" s="16"/>
      <c r="O566" s="16"/>
      <c r="P566" s="16"/>
      <c r="Q566" s="16"/>
      <c r="R566" s="16"/>
      <c r="S566" s="16"/>
      <c r="T566" s="16"/>
      <c r="U566" s="16"/>
      <c r="V566" s="16"/>
      <c r="W566" s="16"/>
      <c r="X566" s="16"/>
      <c r="Y566" s="16"/>
      <c r="Z566" s="16"/>
      <c r="AA566" s="16"/>
      <c r="AB566" s="16"/>
      <c r="AC566" s="16"/>
      <c r="AD566" s="16"/>
    </row>
    <row r="567" spans="1:30" ht="12.9">
      <c r="A567" s="16"/>
      <c r="B567" s="24"/>
      <c r="C567" s="196"/>
      <c r="D567" s="196"/>
      <c r="E567" s="196"/>
      <c r="F567" s="16"/>
      <c r="G567" s="24"/>
      <c r="H567" s="24"/>
      <c r="I567" s="16"/>
      <c r="J567" s="16"/>
      <c r="K567" s="16"/>
      <c r="L567" s="16"/>
      <c r="M567" s="16"/>
      <c r="N567" s="16"/>
      <c r="O567" s="16"/>
      <c r="P567" s="16"/>
      <c r="Q567" s="16"/>
      <c r="R567" s="16"/>
      <c r="S567" s="16"/>
      <c r="T567" s="16"/>
      <c r="U567" s="16"/>
      <c r="V567" s="16"/>
      <c r="W567" s="16"/>
      <c r="X567" s="16"/>
      <c r="Y567" s="16"/>
      <c r="Z567" s="16"/>
      <c r="AA567" s="16"/>
      <c r="AB567" s="16"/>
      <c r="AC567" s="16"/>
      <c r="AD567" s="16"/>
    </row>
    <row r="568" spans="1:30" ht="12.9">
      <c r="A568" s="16"/>
      <c r="B568" s="24"/>
      <c r="C568" s="196"/>
      <c r="D568" s="196"/>
      <c r="E568" s="196"/>
      <c r="F568" s="16"/>
      <c r="G568" s="24"/>
      <c r="H568" s="24"/>
      <c r="I568" s="16"/>
      <c r="J568" s="16"/>
      <c r="K568" s="16"/>
      <c r="L568" s="16"/>
      <c r="M568" s="16"/>
      <c r="N568" s="16"/>
      <c r="O568" s="16"/>
      <c r="P568" s="16"/>
      <c r="Q568" s="16"/>
      <c r="R568" s="16"/>
      <c r="S568" s="16"/>
      <c r="T568" s="16"/>
      <c r="U568" s="16"/>
      <c r="V568" s="16"/>
      <c r="W568" s="16"/>
      <c r="X568" s="16"/>
      <c r="Y568" s="16"/>
      <c r="Z568" s="16"/>
      <c r="AA568" s="16"/>
      <c r="AB568" s="16"/>
      <c r="AC568" s="16"/>
      <c r="AD568" s="16"/>
    </row>
    <row r="569" spans="1:30" ht="12.9">
      <c r="A569" s="16"/>
      <c r="B569" s="24"/>
      <c r="C569" s="196"/>
      <c r="D569" s="196"/>
      <c r="E569" s="196"/>
      <c r="F569" s="16"/>
      <c r="G569" s="24"/>
      <c r="H569" s="24"/>
      <c r="I569" s="16"/>
      <c r="J569" s="16"/>
      <c r="K569" s="16"/>
      <c r="L569" s="16"/>
      <c r="M569" s="16"/>
      <c r="N569" s="16"/>
      <c r="O569" s="16"/>
      <c r="P569" s="16"/>
      <c r="Q569" s="16"/>
      <c r="R569" s="16"/>
      <c r="S569" s="16"/>
      <c r="T569" s="16"/>
      <c r="U569" s="16"/>
      <c r="V569" s="16"/>
      <c r="W569" s="16"/>
      <c r="X569" s="16"/>
      <c r="Y569" s="16"/>
      <c r="Z569" s="16"/>
      <c r="AA569" s="16"/>
      <c r="AB569" s="16"/>
      <c r="AC569" s="16"/>
      <c r="AD569" s="16"/>
    </row>
    <row r="570" spans="1:30" ht="12.9">
      <c r="A570" s="16"/>
      <c r="B570" s="24"/>
      <c r="C570" s="196"/>
      <c r="D570" s="196"/>
      <c r="E570" s="196"/>
      <c r="F570" s="16"/>
      <c r="G570" s="24"/>
      <c r="H570" s="24"/>
      <c r="I570" s="16"/>
      <c r="J570" s="16"/>
      <c r="K570" s="16"/>
      <c r="L570" s="16"/>
      <c r="M570" s="16"/>
      <c r="N570" s="16"/>
      <c r="O570" s="16"/>
      <c r="P570" s="16"/>
      <c r="Q570" s="16"/>
      <c r="R570" s="16"/>
      <c r="S570" s="16"/>
      <c r="T570" s="16"/>
      <c r="U570" s="16"/>
      <c r="V570" s="16"/>
      <c r="W570" s="16"/>
      <c r="X570" s="16"/>
      <c r="Y570" s="16"/>
      <c r="Z570" s="16"/>
      <c r="AA570" s="16"/>
      <c r="AB570" s="16"/>
      <c r="AC570" s="16"/>
      <c r="AD570" s="16"/>
    </row>
    <row r="571" spans="1:30" ht="12.9">
      <c r="A571" s="16"/>
      <c r="B571" s="24"/>
      <c r="C571" s="196"/>
      <c r="D571" s="196"/>
      <c r="E571" s="196"/>
      <c r="F571" s="16"/>
      <c r="G571" s="24"/>
      <c r="H571" s="24"/>
      <c r="I571" s="16"/>
      <c r="J571" s="16"/>
      <c r="K571" s="16"/>
      <c r="L571" s="16"/>
      <c r="M571" s="16"/>
      <c r="N571" s="16"/>
      <c r="O571" s="16"/>
      <c r="P571" s="16"/>
      <c r="Q571" s="16"/>
      <c r="R571" s="16"/>
      <c r="S571" s="16"/>
      <c r="T571" s="16"/>
      <c r="U571" s="16"/>
      <c r="V571" s="16"/>
      <c r="W571" s="16"/>
      <c r="X571" s="16"/>
      <c r="Y571" s="16"/>
      <c r="Z571" s="16"/>
      <c r="AA571" s="16"/>
      <c r="AB571" s="16"/>
      <c r="AC571" s="16"/>
      <c r="AD571" s="16"/>
    </row>
    <row r="572" spans="1:30" ht="12.9">
      <c r="A572" s="16"/>
      <c r="B572" s="24"/>
      <c r="C572" s="196"/>
      <c r="D572" s="196"/>
      <c r="E572" s="196"/>
      <c r="F572" s="16"/>
      <c r="G572" s="24"/>
      <c r="H572" s="24"/>
      <c r="I572" s="16"/>
      <c r="J572" s="16"/>
      <c r="K572" s="16"/>
      <c r="L572" s="16"/>
      <c r="M572" s="16"/>
      <c r="N572" s="16"/>
      <c r="O572" s="16"/>
      <c r="P572" s="16"/>
      <c r="Q572" s="16"/>
      <c r="R572" s="16"/>
      <c r="S572" s="16"/>
      <c r="T572" s="16"/>
      <c r="U572" s="16"/>
      <c r="V572" s="16"/>
      <c r="W572" s="16"/>
      <c r="X572" s="16"/>
      <c r="Y572" s="16"/>
      <c r="Z572" s="16"/>
      <c r="AA572" s="16"/>
      <c r="AB572" s="16"/>
      <c r="AC572" s="16"/>
      <c r="AD572" s="16"/>
    </row>
    <row r="573" spans="1:30" ht="12.9">
      <c r="A573" s="16"/>
      <c r="B573" s="24"/>
      <c r="C573" s="196"/>
      <c r="D573" s="196"/>
      <c r="E573" s="196"/>
      <c r="F573" s="16"/>
      <c r="G573" s="24"/>
      <c r="H573" s="24"/>
      <c r="I573" s="16"/>
      <c r="J573" s="16"/>
      <c r="K573" s="16"/>
      <c r="L573" s="16"/>
      <c r="M573" s="16"/>
      <c r="N573" s="16"/>
      <c r="O573" s="16"/>
      <c r="P573" s="16"/>
      <c r="Q573" s="16"/>
      <c r="R573" s="16"/>
      <c r="S573" s="16"/>
      <c r="T573" s="16"/>
      <c r="U573" s="16"/>
      <c r="V573" s="16"/>
      <c r="W573" s="16"/>
      <c r="X573" s="16"/>
      <c r="Y573" s="16"/>
      <c r="Z573" s="16"/>
      <c r="AA573" s="16"/>
      <c r="AB573" s="16"/>
      <c r="AC573" s="16"/>
      <c r="AD573" s="16"/>
    </row>
    <row r="574" spans="1:30" ht="12.9">
      <c r="A574" s="16"/>
      <c r="B574" s="24"/>
      <c r="C574" s="196"/>
      <c r="D574" s="196"/>
      <c r="E574" s="196"/>
      <c r="F574" s="16"/>
      <c r="G574" s="24"/>
      <c r="H574" s="24"/>
      <c r="I574" s="16"/>
      <c r="J574" s="16"/>
      <c r="K574" s="16"/>
      <c r="L574" s="16"/>
      <c r="M574" s="16"/>
      <c r="N574" s="16"/>
      <c r="O574" s="16"/>
      <c r="P574" s="16"/>
      <c r="Q574" s="16"/>
      <c r="R574" s="16"/>
      <c r="S574" s="16"/>
      <c r="T574" s="16"/>
      <c r="U574" s="16"/>
      <c r="V574" s="16"/>
      <c r="W574" s="16"/>
      <c r="X574" s="16"/>
      <c r="Y574" s="16"/>
      <c r="Z574" s="16"/>
      <c r="AA574" s="16"/>
      <c r="AB574" s="16"/>
      <c r="AC574" s="16"/>
      <c r="AD574" s="16"/>
    </row>
    <row r="575" spans="1:30" ht="12.9">
      <c r="A575" s="16"/>
      <c r="B575" s="24"/>
      <c r="C575" s="196"/>
      <c r="D575" s="196"/>
      <c r="E575" s="196"/>
      <c r="F575" s="16"/>
      <c r="G575" s="24"/>
      <c r="H575" s="24"/>
      <c r="I575" s="16"/>
      <c r="J575" s="16"/>
      <c r="K575" s="16"/>
      <c r="L575" s="16"/>
      <c r="M575" s="16"/>
      <c r="N575" s="16"/>
      <c r="O575" s="16"/>
      <c r="P575" s="16"/>
      <c r="Q575" s="16"/>
      <c r="R575" s="16"/>
      <c r="S575" s="16"/>
      <c r="T575" s="16"/>
      <c r="U575" s="16"/>
      <c r="V575" s="16"/>
      <c r="W575" s="16"/>
      <c r="X575" s="16"/>
      <c r="Y575" s="16"/>
      <c r="Z575" s="16"/>
      <c r="AA575" s="16"/>
      <c r="AB575" s="16"/>
      <c r="AC575" s="16"/>
      <c r="AD575" s="16"/>
    </row>
    <row r="576" spans="1:30" ht="12.9">
      <c r="A576" s="16"/>
      <c r="B576" s="24"/>
      <c r="C576" s="196"/>
      <c r="D576" s="196"/>
      <c r="E576" s="196"/>
      <c r="F576" s="16"/>
      <c r="G576" s="24"/>
      <c r="H576" s="24"/>
      <c r="I576" s="16"/>
      <c r="J576" s="16"/>
      <c r="K576" s="16"/>
      <c r="L576" s="16"/>
      <c r="M576" s="16"/>
      <c r="N576" s="16"/>
      <c r="O576" s="16"/>
      <c r="P576" s="16"/>
      <c r="Q576" s="16"/>
      <c r="R576" s="16"/>
      <c r="S576" s="16"/>
      <c r="T576" s="16"/>
      <c r="U576" s="16"/>
      <c r="V576" s="16"/>
      <c r="W576" s="16"/>
      <c r="X576" s="16"/>
      <c r="Y576" s="16"/>
      <c r="Z576" s="16"/>
      <c r="AA576" s="16"/>
      <c r="AB576" s="16"/>
      <c r="AC576" s="16"/>
      <c r="AD576" s="16"/>
    </row>
    <row r="577" spans="1:30" ht="12.9">
      <c r="A577" s="16"/>
      <c r="B577" s="24"/>
      <c r="C577" s="196"/>
      <c r="D577" s="196"/>
      <c r="E577" s="196"/>
      <c r="F577" s="16"/>
      <c r="G577" s="24"/>
      <c r="H577" s="24"/>
      <c r="I577" s="16"/>
      <c r="J577" s="16"/>
      <c r="K577" s="16"/>
      <c r="L577" s="16"/>
      <c r="M577" s="16"/>
      <c r="N577" s="16"/>
      <c r="O577" s="16"/>
      <c r="P577" s="16"/>
      <c r="Q577" s="16"/>
      <c r="R577" s="16"/>
      <c r="S577" s="16"/>
      <c r="T577" s="16"/>
      <c r="U577" s="16"/>
      <c r="V577" s="16"/>
      <c r="W577" s="16"/>
      <c r="X577" s="16"/>
      <c r="Y577" s="16"/>
      <c r="Z577" s="16"/>
      <c r="AA577" s="16"/>
      <c r="AB577" s="16"/>
      <c r="AC577" s="16"/>
      <c r="AD577" s="16"/>
    </row>
    <row r="578" spans="1:30" ht="12.9">
      <c r="A578" s="16"/>
      <c r="B578" s="24"/>
      <c r="C578" s="196"/>
      <c r="D578" s="196"/>
      <c r="E578" s="196"/>
      <c r="F578" s="16"/>
      <c r="G578" s="24"/>
      <c r="H578" s="24"/>
      <c r="I578" s="16"/>
      <c r="J578" s="16"/>
      <c r="K578" s="16"/>
      <c r="L578" s="16"/>
      <c r="M578" s="16"/>
      <c r="N578" s="16"/>
      <c r="O578" s="16"/>
      <c r="P578" s="16"/>
      <c r="Q578" s="16"/>
      <c r="R578" s="16"/>
      <c r="S578" s="16"/>
      <c r="T578" s="16"/>
      <c r="U578" s="16"/>
      <c r="V578" s="16"/>
      <c r="W578" s="16"/>
      <c r="X578" s="16"/>
      <c r="Y578" s="16"/>
      <c r="Z578" s="16"/>
      <c r="AA578" s="16"/>
      <c r="AB578" s="16"/>
      <c r="AC578" s="16"/>
      <c r="AD578" s="16"/>
    </row>
    <row r="579" spans="1:30" ht="12.9">
      <c r="A579" s="16"/>
      <c r="B579" s="24"/>
      <c r="C579" s="196"/>
      <c r="D579" s="196"/>
      <c r="E579" s="196"/>
      <c r="F579" s="16"/>
      <c r="G579" s="24"/>
      <c r="H579" s="24"/>
      <c r="I579" s="16"/>
      <c r="J579" s="16"/>
      <c r="K579" s="16"/>
      <c r="L579" s="16"/>
      <c r="M579" s="16"/>
      <c r="N579" s="16"/>
      <c r="O579" s="16"/>
      <c r="P579" s="16"/>
      <c r="Q579" s="16"/>
      <c r="R579" s="16"/>
      <c r="S579" s="16"/>
      <c r="T579" s="16"/>
      <c r="U579" s="16"/>
      <c r="V579" s="16"/>
      <c r="W579" s="16"/>
      <c r="X579" s="16"/>
      <c r="Y579" s="16"/>
      <c r="Z579" s="16"/>
      <c r="AA579" s="16"/>
      <c r="AB579" s="16"/>
      <c r="AC579" s="16"/>
      <c r="AD579" s="16"/>
    </row>
    <row r="580" spans="1:30" ht="12.9">
      <c r="A580" s="16"/>
      <c r="B580" s="24"/>
      <c r="C580" s="196"/>
      <c r="D580" s="196"/>
      <c r="E580" s="196"/>
      <c r="F580" s="16"/>
      <c r="G580" s="24"/>
      <c r="H580" s="24"/>
      <c r="I580" s="16"/>
      <c r="J580" s="16"/>
      <c r="K580" s="16"/>
      <c r="L580" s="16"/>
      <c r="M580" s="16"/>
      <c r="N580" s="16"/>
      <c r="O580" s="16"/>
      <c r="P580" s="16"/>
      <c r="Q580" s="16"/>
      <c r="R580" s="16"/>
      <c r="S580" s="16"/>
      <c r="T580" s="16"/>
      <c r="U580" s="16"/>
      <c r="V580" s="16"/>
      <c r="W580" s="16"/>
      <c r="X580" s="16"/>
      <c r="Y580" s="16"/>
      <c r="Z580" s="16"/>
      <c r="AA580" s="16"/>
      <c r="AB580" s="16"/>
      <c r="AC580" s="16"/>
      <c r="AD580" s="16"/>
    </row>
    <row r="581" spans="1:30" ht="12.9">
      <c r="A581" s="16"/>
      <c r="B581" s="24"/>
      <c r="C581" s="196"/>
      <c r="D581" s="196"/>
      <c r="E581" s="196"/>
      <c r="F581" s="16"/>
      <c r="G581" s="24"/>
      <c r="H581" s="24"/>
      <c r="I581" s="16"/>
      <c r="J581" s="16"/>
      <c r="K581" s="16"/>
      <c r="L581" s="16"/>
      <c r="M581" s="16"/>
      <c r="N581" s="16"/>
      <c r="O581" s="16"/>
      <c r="P581" s="16"/>
      <c r="Q581" s="16"/>
      <c r="R581" s="16"/>
      <c r="S581" s="16"/>
      <c r="T581" s="16"/>
      <c r="U581" s="16"/>
      <c r="V581" s="16"/>
      <c r="W581" s="16"/>
      <c r="X581" s="16"/>
      <c r="Y581" s="16"/>
      <c r="Z581" s="16"/>
      <c r="AA581" s="16"/>
      <c r="AB581" s="16"/>
      <c r="AC581" s="16"/>
      <c r="AD581" s="16"/>
    </row>
    <row r="582" spans="1:30" ht="12.9">
      <c r="A582" s="16"/>
      <c r="B582" s="24"/>
      <c r="C582" s="196"/>
      <c r="D582" s="196"/>
      <c r="E582" s="196"/>
      <c r="F582" s="16"/>
      <c r="G582" s="24"/>
      <c r="H582" s="24"/>
      <c r="I582" s="16"/>
      <c r="J582" s="16"/>
      <c r="K582" s="16"/>
      <c r="L582" s="16"/>
      <c r="M582" s="16"/>
      <c r="N582" s="16"/>
      <c r="O582" s="16"/>
      <c r="P582" s="16"/>
      <c r="Q582" s="16"/>
      <c r="R582" s="16"/>
      <c r="S582" s="16"/>
      <c r="T582" s="16"/>
      <c r="U582" s="16"/>
      <c r="V582" s="16"/>
      <c r="W582" s="16"/>
      <c r="X582" s="16"/>
      <c r="Y582" s="16"/>
      <c r="Z582" s="16"/>
      <c r="AA582" s="16"/>
      <c r="AB582" s="16"/>
      <c r="AC582" s="16"/>
      <c r="AD582" s="16"/>
    </row>
    <row r="583" spans="1:30" ht="12.9">
      <c r="A583" s="16"/>
      <c r="B583" s="24"/>
      <c r="C583" s="196"/>
      <c r="D583" s="196"/>
      <c r="E583" s="196"/>
      <c r="F583" s="16"/>
      <c r="G583" s="24"/>
      <c r="H583" s="24"/>
      <c r="I583" s="16"/>
      <c r="J583" s="16"/>
      <c r="K583" s="16"/>
      <c r="L583" s="16"/>
      <c r="M583" s="16"/>
      <c r="N583" s="16"/>
      <c r="O583" s="16"/>
      <c r="P583" s="16"/>
      <c r="Q583" s="16"/>
      <c r="R583" s="16"/>
      <c r="S583" s="16"/>
      <c r="T583" s="16"/>
      <c r="U583" s="16"/>
      <c r="V583" s="16"/>
      <c r="W583" s="16"/>
      <c r="X583" s="16"/>
      <c r="Y583" s="16"/>
      <c r="Z583" s="16"/>
      <c r="AA583" s="16"/>
      <c r="AB583" s="16"/>
      <c r="AC583" s="16"/>
      <c r="AD583" s="16"/>
    </row>
    <row r="584" spans="1:30" ht="12.9">
      <c r="A584" s="16"/>
      <c r="B584" s="24"/>
      <c r="C584" s="196"/>
      <c r="D584" s="196"/>
      <c r="E584" s="196"/>
      <c r="F584" s="16"/>
      <c r="G584" s="24"/>
      <c r="H584" s="24"/>
      <c r="I584" s="16"/>
      <c r="J584" s="16"/>
      <c r="K584" s="16"/>
      <c r="L584" s="16"/>
      <c r="M584" s="16"/>
      <c r="N584" s="16"/>
      <c r="O584" s="16"/>
      <c r="P584" s="16"/>
      <c r="Q584" s="16"/>
      <c r="R584" s="16"/>
      <c r="S584" s="16"/>
      <c r="T584" s="16"/>
      <c r="U584" s="16"/>
      <c r="V584" s="16"/>
      <c r="W584" s="16"/>
      <c r="X584" s="16"/>
      <c r="Y584" s="16"/>
      <c r="Z584" s="16"/>
      <c r="AA584" s="16"/>
      <c r="AB584" s="16"/>
      <c r="AC584" s="16"/>
      <c r="AD584" s="16"/>
    </row>
    <row r="585" spans="1:30" ht="12.9">
      <c r="A585" s="16"/>
      <c r="B585" s="24"/>
      <c r="C585" s="196"/>
      <c r="D585" s="196"/>
      <c r="E585" s="196"/>
      <c r="F585" s="16"/>
      <c r="G585" s="24"/>
      <c r="H585" s="24"/>
      <c r="I585" s="16"/>
      <c r="J585" s="16"/>
      <c r="K585" s="16"/>
      <c r="L585" s="16"/>
      <c r="M585" s="16"/>
      <c r="N585" s="16"/>
      <c r="O585" s="16"/>
      <c r="P585" s="16"/>
      <c r="Q585" s="16"/>
      <c r="R585" s="16"/>
      <c r="S585" s="16"/>
      <c r="T585" s="16"/>
      <c r="U585" s="16"/>
      <c r="V585" s="16"/>
      <c r="W585" s="16"/>
      <c r="X585" s="16"/>
      <c r="Y585" s="16"/>
      <c r="Z585" s="16"/>
      <c r="AA585" s="16"/>
      <c r="AB585" s="16"/>
      <c r="AC585" s="16"/>
      <c r="AD585" s="16"/>
    </row>
    <row r="586" spans="1:30" ht="12.9">
      <c r="A586" s="16"/>
      <c r="B586" s="24"/>
      <c r="C586" s="196"/>
      <c r="D586" s="196"/>
      <c r="E586" s="196"/>
      <c r="F586" s="16"/>
      <c r="G586" s="24"/>
      <c r="H586" s="24"/>
      <c r="I586" s="16"/>
      <c r="J586" s="16"/>
      <c r="K586" s="16"/>
      <c r="L586" s="16"/>
      <c r="M586" s="16"/>
      <c r="N586" s="16"/>
      <c r="O586" s="16"/>
      <c r="P586" s="16"/>
      <c r="Q586" s="16"/>
      <c r="R586" s="16"/>
      <c r="S586" s="16"/>
      <c r="T586" s="16"/>
      <c r="U586" s="16"/>
      <c r="V586" s="16"/>
      <c r="W586" s="16"/>
      <c r="X586" s="16"/>
      <c r="Y586" s="16"/>
      <c r="Z586" s="16"/>
      <c r="AA586" s="16"/>
      <c r="AB586" s="16"/>
      <c r="AC586" s="16"/>
      <c r="AD586" s="16"/>
    </row>
    <row r="587" spans="1:30" ht="12.9">
      <c r="A587" s="16"/>
      <c r="B587" s="24"/>
      <c r="C587" s="196"/>
      <c r="D587" s="196"/>
      <c r="E587" s="196"/>
      <c r="F587" s="16"/>
      <c r="G587" s="24"/>
      <c r="H587" s="24"/>
      <c r="I587" s="16"/>
      <c r="J587" s="16"/>
      <c r="K587" s="16"/>
      <c r="L587" s="16"/>
      <c r="M587" s="16"/>
      <c r="N587" s="16"/>
      <c r="O587" s="16"/>
      <c r="P587" s="16"/>
      <c r="Q587" s="16"/>
      <c r="R587" s="16"/>
      <c r="S587" s="16"/>
      <c r="T587" s="16"/>
      <c r="U587" s="16"/>
      <c r="V587" s="16"/>
      <c r="W587" s="16"/>
      <c r="X587" s="16"/>
      <c r="Y587" s="16"/>
      <c r="Z587" s="16"/>
      <c r="AA587" s="16"/>
      <c r="AB587" s="16"/>
      <c r="AC587" s="16"/>
      <c r="AD587" s="16"/>
    </row>
    <row r="588" spans="1:30" ht="12.9">
      <c r="A588" s="16"/>
      <c r="B588" s="24"/>
      <c r="C588" s="196"/>
      <c r="D588" s="196"/>
      <c r="E588" s="196"/>
      <c r="F588" s="16"/>
      <c r="G588" s="24"/>
      <c r="H588" s="24"/>
      <c r="I588" s="16"/>
      <c r="J588" s="16"/>
      <c r="K588" s="16"/>
      <c r="L588" s="16"/>
      <c r="M588" s="16"/>
      <c r="N588" s="16"/>
      <c r="O588" s="16"/>
      <c r="P588" s="16"/>
      <c r="Q588" s="16"/>
      <c r="R588" s="16"/>
      <c r="S588" s="16"/>
      <c r="T588" s="16"/>
      <c r="U588" s="16"/>
      <c r="V588" s="16"/>
      <c r="W588" s="16"/>
      <c r="X588" s="16"/>
      <c r="Y588" s="16"/>
      <c r="Z588" s="16"/>
      <c r="AA588" s="16"/>
      <c r="AB588" s="16"/>
      <c r="AC588" s="16"/>
      <c r="AD588" s="16"/>
    </row>
    <row r="589" spans="1:30" ht="12.9">
      <c r="A589" s="16"/>
      <c r="B589" s="24"/>
      <c r="C589" s="196"/>
      <c r="D589" s="196"/>
      <c r="E589" s="196"/>
      <c r="F589" s="16"/>
      <c r="G589" s="24"/>
      <c r="H589" s="24"/>
      <c r="I589" s="16"/>
      <c r="J589" s="16"/>
      <c r="K589" s="16"/>
      <c r="L589" s="16"/>
      <c r="M589" s="16"/>
      <c r="N589" s="16"/>
      <c r="O589" s="16"/>
      <c r="P589" s="16"/>
      <c r="Q589" s="16"/>
      <c r="R589" s="16"/>
      <c r="S589" s="16"/>
      <c r="T589" s="16"/>
      <c r="U589" s="16"/>
      <c r="V589" s="16"/>
      <c r="W589" s="16"/>
      <c r="X589" s="16"/>
      <c r="Y589" s="16"/>
      <c r="Z589" s="16"/>
      <c r="AA589" s="16"/>
      <c r="AB589" s="16"/>
      <c r="AC589" s="16"/>
      <c r="AD589" s="16"/>
    </row>
    <row r="590" spans="1:30" ht="12.9">
      <c r="A590" s="16"/>
      <c r="B590" s="24"/>
      <c r="C590" s="196"/>
      <c r="D590" s="196"/>
      <c r="E590" s="196"/>
      <c r="F590" s="16"/>
      <c r="G590" s="24"/>
      <c r="H590" s="24"/>
      <c r="I590" s="16"/>
      <c r="J590" s="16"/>
      <c r="K590" s="16"/>
      <c r="L590" s="16"/>
      <c r="M590" s="16"/>
      <c r="N590" s="16"/>
      <c r="O590" s="16"/>
      <c r="P590" s="16"/>
      <c r="Q590" s="16"/>
      <c r="R590" s="16"/>
      <c r="S590" s="16"/>
      <c r="T590" s="16"/>
      <c r="U590" s="16"/>
      <c r="V590" s="16"/>
      <c r="W590" s="16"/>
      <c r="X590" s="16"/>
      <c r="Y590" s="16"/>
      <c r="Z590" s="16"/>
      <c r="AA590" s="16"/>
      <c r="AB590" s="16"/>
      <c r="AC590" s="16"/>
      <c r="AD590" s="16"/>
    </row>
    <row r="591" spans="1:30" ht="12.9">
      <c r="A591" s="16"/>
      <c r="B591" s="24"/>
      <c r="C591" s="196"/>
      <c r="D591" s="196"/>
      <c r="E591" s="196"/>
      <c r="F591" s="16"/>
      <c r="G591" s="24"/>
      <c r="H591" s="24"/>
      <c r="I591" s="16"/>
      <c r="J591" s="16"/>
      <c r="K591" s="16"/>
      <c r="L591" s="16"/>
      <c r="M591" s="16"/>
      <c r="N591" s="16"/>
      <c r="O591" s="16"/>
      <c r="P591" s="16"/>
      <c r="Q591" s="16"/>
      <c r="R591" s="16"/>
      <c r="S591" s="16"/>
      <c r="T591" s="16"/>
      <c r="U591" s="16"/>
      <c r="V591" s="16"/>
      <c r="W591" s="16"/>
      <c r="X591" s="16"/>
      <c r="Y591" s="16"/>
      <c r="Z591" s="16"/>
      <c r="AA591" s="16"/>
      <c r="AB591" s="16"/>
      <c r="AC591" s="16"/>
      <c r="AD591" s="16"/>
    </row>
    <row r="592" spans="1:30" ht="12.9">
      <c r="A592" s="16"/>
      <c r="B592" s="24"/>
      <c r="C592" s="196"/>
      <c r="D592" s="196"/>
      <c r="E592" s="196"/>
      <c r="F592" s="16"/>
      <c r="G592" s="24"/>
      <c r="H592" s="24"/>
      <c r="I592" s="16"/>
      <c r="J592" s="16"/>
      <c r="K592" s="16"/>
      <c r="L592" s="16"/>
      <c r="M592" s="16"/>
      <c r="N592" s="16"/>
      <c r="O592" s="16"/>
      <c r="P592" s="16"/>
      <c r="Q592" s="16"/>
      <c r="R592" s="16"/>
      <c r="S592" s="16"/>
      <c r="T592" s="16"/>
      <c r="U592" s="16"/>
      <c r="V592" s="16"/>
      <c r="W592" s="16"/>
      <c r="X592" s="16"/>
      <c r="Y592" s="16"/>
      <c r="Z592" s="16"/>
      <c r="AA592" s="16"/>
      <c r="AB592" s="16"/>
      <c r="AC592" s="16"/>
      <c r="AD592" s="16"/>
    </row>
    <row r="593" spans="1:30" ht="12.9">
      <c r="A593" s="16"/>
      <c r="B593" s="24"/>
      <c r="C593" s="196"/>
      <c r="D593" s="196"/>
      <c r="E593" s="196"/>
      <c r="F593" s="16"/>
      <c r="G593" s="24"/>
      <c r="H593" s="24"/>
      <c r="I593" s="16"/>
      <c r="J593" s="16"/>
      <c r="K593" s="16"/>
      <c r="L593" s="16"/>
      <c r="M593" s="16"/>
      <c r="N593" s="16"/>
      <c r="O593" s="16"/>
      <c r="P593" s="16"/>
      <c r="Q593" s="16"/>
      <c r="R593" s="16"/>
      <c r="S593" s="16"/>
      <c r="T593" s="16"/>
      <c r="U593" s="16"/>
      <c r="V593" s="16"/>
      <c r="W593" s="16"/>
      <c r="X593" s="16"/>
      <c r="Y593" s="16"/>
      <c r="Z593" s="16"/>
      <c r="AA593" s="16"/>
      <c r="AB593" s="16"/>
      <c r="AC593" s="16"/>
      <c r="AD593" s="16"/>
    </row>
    <row r="594" spans="1:30" ht="12.9">
      <c r="A594" s="16"/>
      <c r="B594" s="24"/>
      <c r="C594" s="196"/>
      <c r="D594" s="196"/>
      <c r="E594" s="196"/>
      <c r="F594" s="16"/>
      <c r="G594" s="24"/>
      <c r="H594" s="24"/>
      <c r="I594" s="16"/>
      <c r="J594" s="16"/>
      <c r="K594" s="16"/>
      <c r="L594" s="16"/>
      <c r="M594" s="16"/>
      <c r="N594" s="16"/>
      <c r="O594" s="16"/>
      <c r="P594" s="16"/>
      <c r="Q594" s="16"/>
      <c r="R594" s="16"/>
      <c r="S594" s="16"/>
      <c r="T594" s="16"/>
      <c r="U594" s="16"/>
      <c r="V594" s="16"/>
      <c r="W594" s="16"/>
      <c r="X594" s="16"/>
      <c r="Y594" s="16"/>
      <c r="Z594" s="16"/>
      <c r="AA594" s="16"/>
      <c r="AB594" s="16"/>
      <c r="AC594" s="16"/>
      <c r="AD594" s="16"/>
    </row>
    <row r="595" spans="1:30" ht="12.9">
      <c r="A595" s="16"/>
      <c r="B595" s="24"/>
      <c r="C595" s="196"/>
      <c r="D595" s="196"/>
      <c r="E595" s="196"/>
      <c r="F595" s="16"/>
      <c r="G595" s="24"/>
      <c r="H595" s="24"/>
      <c r="I595" s="16"/>
      <c r="J595" s="16"/>
      <c r="K595" s="16"/>
      <c r="L595" s="16"/>
      <c r="M595" s="16"/>
      <c r="N595" s="16"/>
      <c r="O595" s="16"/>
      <c r="P595" s="16"/>
      <c r="Q595" s="16"/>
      <c r="R595" s="16"/>
      <c r="S595" s="16"/>
      <c r="T595" s="16"/>
      <c r="U595" s="16"/>
      <c r="V595" s="16"/>
      <c r="W595" s="16"/>
      <c r="X595" s="16"/>
      <c r="Y595" s="16"/>
      <c r="Z595" s="16"/>
      <c r="AA595" s="16"/>
      <c r="AB595" s="16"/>
      <c r="AC595" s="16"/>
      <c r="AD595" s="16"/>
    </row>
    <row r="596" spans="1:30" ht="12.9">
      <c r="A596" s="16"/>
      <c r="B596" s="24"/>
      <c r="C596" s="196"/>
      <c r="D596" s="196"/>
      <c r="E596" s="196"/>
      <c r="F596" s="16"/>
      <c r="G596" s="24"/>
      <c r="H596" s="24"/>
      <c r="I596" s="16"/>
      <c r="J596" s="16"/>
      <c r="K596" s="16"/>
      <c r="L596" s="16"/>
      <c r="M596" s="16"/>
      <c r="N596" s="16"/>
      <c r="O596" s="16"/>
      <c r="P596" s="16"/>
      <c r="Q596" s="16"/>
      <c r="R596" s="16"/>
      <c r="S596" s="16"/>
      <c r="T596" s="16"/>
      <c r="U596" s="16"/>
      <c r="V596" s="16"/>
      <c r="W596" s="16"/>
      <c r="X596" s="16"/>
      <c r="Y596" s="16"/>
      <c r="Z596" s="16"/>
      <c r="AA596" s="16"/>
      <c r="AB596" s="16"/>
      <c r="AC596" s="16"/>
      <c r="AD596" s="16"/>
    </row>
    <row r="597" spans="1:30" ht="12.9">
      <c r="A597" s="16"/>
      <c r="B597" s="24"/>
      <c r="C597" s="196"/>
      <c r="D597" s="196"/>
      <c r="E597" s="196"/>
      <c r="F597" s="16"/>
      <c r="G597" s="24"/>
      <c r="H597" s="24"/>
      <c r="I597" s="16"/>
      <c r="J597" s="16"/>
      <c r="K597" s="16"/>
      <c r="L597" s="16"/>
      <c r="M597" s="16"/>
      <c r="N597" s="16"/>
      <c r="O597" s="16"/>
      <c r="P597" s="16"/>
      <c r="Q597" s="16"/>
      <c r="R597" s="16"/>
      <c r="S597" s="16"/>
      <c r="T597" s="16"/>
      <c r="U597" s="16"/>
      <c r="V597" s="16"/>
      <c r="W597" s="16"/>
      <c r="X597" s="16"/>
      <c r="Y597" s="16"/>
      <c r="Z597" s="16"/>
      <c r="AA597" s="16"/>
      <c r="AB597" s="16"/>
      <c r="AC597" s="16"/>
      <c r="AD597" s="16"/>
    </row>
    <row r="598" spans="1:30" ht="12.9">
      <c r="A598" s="16"/>
      <c r="B598" s="24"/>
      <c r="C598" s="196"/>
      <c r="D598" s="196"/>
      <c r="E598" s="196"/>
      <c r="F598" s="16"/>
      <c r="G598" s="24"/>
      <c r="H598" s="24"/>
      <c r="I598" s="16"/>
      <c r="J598" s="16"/>
      <c r="K598" s="16"/>
      <c r="L598" s="16"/>
      <c r="M598" s="16"/>
      <c r="N598" s="16"/>
      <c r="O598" s="16"/>
      <c r="P598" s="16"/>
      <c r="Q598" s="16"/>
      <c r="R598" s="16"/>
      <c r="S598" s="16"/>
      <c r="T598" s="16"/>
      <c r="U598" s="16"/>
      <c r="V598" s="16"/>
      <c r="W598" s="16"/>
      <c r="X598" s="16"/>
      <c r="Y598" s="16"/>
      <c r="Z598" s="16"/>
      <c r="AA598" s="16"/>
      <c r="AB598" s="16"/>
      <c r="AC598" s="16"/>
      <c r="AD598" s="16"/>
    </row>
    <row r="599" spans="1:30" ht="12.9">
      <c r="A599" s="16"/>
      <c r="B599" s="24"/>
      <c r="C599" s="196"/>
      <c r="D599" s="196"/>
      <c r="E599" s="196"/>
      <c r="F599" s="16"/>
      <c r="G599" s="24"/>
      <c r="H599" s="24"/>
      <c r="I599" s="16"/>
      <c r="J599" s="16"/>
      <c r="K599" s="16"/>
      <c r="L599" s="16"/>
      <c r="M599" s="16"/>
      <c r="N599" s="16"/>
      <c r="O599" s="16"/>
      <c r="P599" s="16"/>
      <c r="Q599" s="16"/>
      <c r="R599" s="16"/>
      <c r="S599" s="16"/>
      <c r="T599" s="16"/>
      <c r="U599" s="16"/>
      <c r="V599" s="16"/>
      <c r="W599" s="16"/>
      <c r="X599" s="16"/>
      <c r="Y599" s="16"/>
      <c r="Z599" s="16"/>
      <c r="AA599" s="16"/>
      <c r="AB599" s="16"/>
      <c r="AC599" s="16"/>
      <c r="AD599" s="16"/>
    </row>
    <row r="600" spans="1:30" ht="12.9">
      <c r="A600" s="16"/>
      <c r="B600" s="24"/>
      <c r="C600" s="196"/>
      <c r="D600" s="196"/>
      <c r="E600" s="196"/>
      <c r="F600" s="16"/>
      <c r="G600" s="24"/>
      <c r="H600" s="24"/>
      <c r="I600" s="16"/>
      <c r="J600" s="16"/>
      <c r="K600" s="16"/>
      <c r="L600" s="16"/>
      <c r="M600" s="16"/>
      <c r="N600" s="16"/>
      <c r="O600" s="16"/>
      <c r="P600" s="16"/>
      <c r="Q600" s="16"/>
      <c r="R600" s="16"/>
      <c r="S600" s="16"/>
      <c r="T600" s="16"/>
      <c r="U600" s="16"/>
      <c r="V600" s="16"/>
      <c r="W600" s="16"/>
      <c r="X600" s="16"/>
      <c r="Y600" s="16"/>
      <c r="Z600" s="16"/>
      <c r="AA600" s="16"/>
      <c r="AB600" s="16"/>
      <c r="AC600" s="16"/>
      <c r="AD600" s="16"/>
    </row>
    <row r="601" spans="1:30" ht="12.9">
      <c r="A601" s="16"/>
      <c r="B601" s="24"/>
      <c r="C601" s="196"/>
      <c r="D601" s="196"/>
      <c r="E601" s="196"/>
      <c r="F601" s="16"/>
      <c r="G601" s="24"/>
      <c r="H601" s="24"/>
      <c r="I601" s="16"/>
      <c r="J601" s="16"/>
      <c r="K601" s="16"/>
      <c r="L601" s="16"/>
      <c r="M601" s="16"/>
      <c r="N601" s="16"/>
      <c r="O601" s="16"/>
      <c r="P601" s="16"/>
      <c r="Q601" s="16"/>
      <c r="R601" s="16"/>
      <c r="S601" s="16"/>
      <c r="T601" s="16"/>
      <c r="U601" s="16"/>
      <c r="V601" s="16"/>
      <c r="W601" s="16"/>
      <c r="X601" s="16"/>
      <c r="Y601" s="16"/>
      <c r="Z601" s="16"/>
      <c r="AA601" s="16"/>
      <c r="AB601" s="16"/>
      <c r="AC601" s="16"/>
      <c r="AD601" s="16"/>
    </row>
    <row r="602" spans="1:30" ht="12.9">
      <c r="A602" s="16"/>
      <c r="B602" s="24"/>
      <c r="C602" s="196"/>
      <c r="D602" s="196"/>
      <c r="E602" s="196"/>
      <c r="F602" s="16"/>
      <c r="G602" s="24"/>
      <c r="H602" s="24"/>
      <c r="I602" s="16"/>
      <c r="J602" s="16"/>
      <c r="K602" s="16"/>
      <c r="L602" s="16"/>
      <c r="M602" s="16"/>
      <c r="N602" s="16"/>
      <c r="O602" s="16"/>
      <c r="P602" s="16"/>
      <c r="Q602" s="16"/>
      <c r="R602" s="16"/>
      <c r="S602" s="16"/>
      <c r="T602" s="16"/>
      <c r="U602" s="16"/>
      <c r="V602" s="16"/>
      <c r="W602" s="16"/>
      <c r="X602" s="16"/>
      <c r="Y602" s="16"/>
      <c r="Z602" s="16"/>
      <c r="AA602" s="16"/>
      <c r="AB602" s="16"/>
      <c r="AC602" s="16"/>
      <c r="AD602" s="16"/>
    </row>
    <row r="603" spans="1:30" ht="12.9">
      <c r="A603" s="16"/>
      <c r="B603" s="24"/>
      <c r="C603" s="196"/>
      <c r="D603" s="196"/>
      <c r="E603" s="196"/>
      <c r="F603" s="16"/>
      <c r="G603" s="24"/>
      <c r="H603" s="24"/>
      <c r="I603" s="16"/>
      <c r="J603" s="16"/>
      <c r="K603" s="16"/>
      <c r="L603" s="16"/>
      <c r="M603" s="16"/>
      <c r="N603" s="16"/>
      <c r="O603" s="16"/>
      <c r="P603" s="16"/>
      <c r="Q603" s="16"/>
      <c r="R603" s="16"/>
      <c r="S603" s="16"/>
      <c r="T603" s="16"/>
      <c r="U603" s="16"/>
      <c r="V603" s="16"/>
      <c r="W603" s="16"/>
      <c r="X603" s="16"/>
      <c r="Y603" s="16"/>
      <c r="Z603" s="16"/>
      <c r="AA603" s="16"/>
      <c r="AB603" s="16"/>
      <c r="AC603" s="16"/>
      <c r="AD603" s="16"/>
    </row>
    <row r="604" spans="1:30" ht="12.9">
      <c r="A604" s="16"/>
      <c r="B604" s="24"/>
      <c r="C604" s="196"/>
      <c r="D604" s="196"/>
      <c r="E604" s="196"/>
      <c r="F604" s="16"/>
      <c r="G604" s="24"/>
      <c r="H604" s="24"/>
      <c r="I604" s="16"/>
      <c r="J604" s="16"/>
      <c r="K604" s="16"/>
      <c r="L604" s="16"/>
      <c r="M604" s="16"/>
      <c r="N604" s="16"/>
      <c r="O604" s="16"/>
      <c r="P604" s="16"/>
      <c r="Q604" s="16"/>
      <c r="R604" s="16"/>
      <c r="S604" s="16"/>
      <c r="T604" s="16"/>
      <c r="U604" s="16"/>
      <c r="V604" s="16"/>
      <c r="W604" s="16"/>
      <c r="X604" s="16"/>
      <c r="Y604" s="16"/>
      <c r="Z604" s="16"/>
      <c r="AA604" s="16"/>
      <c r="AB604" s="16"/>
      <c r="AC604" s="16"/>
      <c r="AD604" s="16"/>
    </row>
    <row r="605" spans="1:30" ht="12.9">
      <c r="A605" s="16"/>
      <c r="B605" s="24"/>
      <c r="C605" s="196"/>
      <c r="D605" s="196"/>
      <c r="E605" s="196"/>
      <c r="F605" s="16"/>
      <c r="G605" s="24"/>
      <c r="H605" s="24"/>
      <c r="I605" s="16"/>
      <c r="J605" s="16"/>
      <c r="K605" s="16"/>
      <c r="L605" s="16"/>
      <c r="M605" s="16"/>
      <c r="N605" s="16"/>
      <c r="O605" s="16"/>
      <c r="P605" s="16"/>
      <c r="Q605" s="16"/>
      <c r="R605" s="16"/>
      <c r="S605" s="16"/>
      <c r="T605" s="16"/>
      <c r="U605" s="16"/>
      <c r="V605" s="16"/>
      <c r="W605" s="16"/>
      <c r="X605" s="16"/>
      <c r="Y605" s="16"/>
      <c r="Z605" s="16"/>
      <c r="AA605" s="16"/>
      <c r="AB605" s="16"/>
      <c r="AC605" s="16"/>
      <c r="AD605" s="16"/>
    </row>
    <row r="606" spans="1:30" ht="12.9">
      <c r="A606" s="16"/>
      <c r="B606" s="24"/>
      <c r="C606" s="196"/>
      <c r="D606" s="196"/>
      <c r="E606" s="196"/>
      <c r="F606" s="16"/>
      <c r="G606" s="24"/>
      <c r="H606" s="24"/>
      <c r="I606" s="16"/>
      <c r="J606" s="16"/>
      <c r="K606" s="16"/>
      <c r="L606" s="16"/>
      <c r="M606" s="16"/>
      <c r="N606" s="16"/>
      <c r="O606" s="16"/>
      <c r="P606" s="16"/>
      <c r="Q606" s="16"/>
      <c r="R606" s="16"/>
      <c r="S606" s="16"/>
      <c r="T606" s="16"/>
      <c r="U606" s="16"/>
      <c r="V606" s="16"/>
      <c r="W606" s="16"/>
      <c r="X606" s="16"/>
      <c r="Y606" s="16"/>
      <c r="Z606" s="16"/>
      <c r="AA606" s="16"/>
      <c r="AB606" s="16"/>
      <c r="AC606" s="16"/>
      <c r="AD606" s="16"/>
    </row>
    <row r="607" spans="1:30" ht="12.9">
      <c r="A607" s="16"/>
      <c r="B607" s="24"/>
      <c r="C607" s="196"/>
      <c r="D607" s="196"/>
      <c r="E607" s="196"/>
      <c r="F607" s="16"/>
      <c r="G607" s="24"/>
      <c r="H607" s="24"/>
      <c r="I607" s="16"/>
      <c r="J607" s="16"/>
      <c r="K607" s="16"/>
      <c r="L607" s="16"/>
      <c r="M607" s="16"/>
      <c r="N607" s="16"/>
      <c r="O607" s="16"/>
      <c r="P607" s="16"/>
      <c r="Q607" s="16"/>
      <c r="R607" s="16"/>
      <c r="S607" s="16"/>
      <c r="T607" s="16"/>
      <c r="U607" s="16"/>
      <c r="V607" s="16"/>
      <c r="W607" s="16"/>
      <c r="X607" s="16"/>
      <c r="Y607" s="16"/>
      <c r="Z607" s="16"/>
      <c r="AA607" s="16"/>
      <c r="AB607" s="16"/>
      <c r="AC607" s="16"/>
      <c r="AD607" s="16"/>
    </row>
    <row r="608" spans="1:30" ht="12.9">
      <c r="A608" s="16"/>
      <c r="B608" s="24"/>
      <c r="C608" s="196"/>
      <c r="D608" s="196"/>
      <c r="E608" s="196"/>
      <c r="F608" s="16"/>
      <c r="G608" s="24"/>
      <c r="H608" s="24"/>
      <c r="I608" s="16"/>
      <c r="J608" s="16"/>
      <c r="K608" s="16"/>
      <c r="L608" s="16"/>
      <c r="M608" s="16"/>
      <c r="N608" s="16"/>
      <c r="O608" s="16"/>
      <c r="P608" s="16"/>
      <c r="Q608" s="16"/>
      <c r="R608" s="16"/>
      <c r="S608" s="16"/>
      <c r="T608" s="16"/>
      <c r="U608" s="16"/>
      <c r="V608" s="16"/>
      <c r="W608" s="16"/>
      <c r="X608" s="16"/>
      <c r="Y608" s="16"/>
      <c r="Z608" s="16"/>
      <c r="AA608" s="16"/>
      <c r="AB608" s="16"/>
      <c r="AC608" s="16"/>
      <c r="AD608" s="16"/>
    </row>
    <row r="609" spans="1:30" ht="12.9">
      <c r="A609" s="16"/>
      <c r="B609" s="24"/>
      <c r="C609" s="196"/>
      <c r="D609" s="196"/>
      <c r="E609" s="196"/>
      <c r="F609" s="16"/>
      <c r="G609" s="24"/>
      <c r="H609" s="24"/>
      <c r="I609" s="16"/>
      <c r="J609" s="16"/>
      <c r="K609" s="16"/>
      <c r="L609" s="16"/>
      <c r="M609" s="16"/>
      <c r="N609" s="16"/>
      <c r="O609" s="16"/>
      <c r="P609" s="16"/>
      <c r="Q609" s="16"/>
      <c r="R609" s="16"/>
      <c r="S609" s="16"/>
      <c r="T609" s="16"/>
      <c r="U609" s="16"/>
      <c r="V609" s="16"/>
      <c r="W609" s="16"/>
      <c r="X609" s="16"/>
      <c r="Y609" s="16"/>
      <c r="Z609" s="16"/>
      <c r="AA609" s="16"/>
      <c r="AB609" s="16"/>
      <c r="AC609" s="16"/>
      <c r="AD609" s="16"/>
    </row>
    <row r="610" spans="1:30" ht="12.9">
      <c r="A610" s="16"/>
      <c r="B610" s="24"/>
      <c r="C610" s="196"/>
      <c r="D610" s="196"/>
      <c r="E610" s="196"/>
      <c r="F610" s="16"/>
      <c r="G610" s="24"/>
      <c r="H610" s="24"/>
      <c r="I610" s="16"/>
      <c r="J610" s="16"/>
      <c r="K610" s="16"/>
      <c r="L610" s="16"/>
      <c r="M610" s="16"/>
      <c r="N610" s="16"/>
      <c r="O610" s="16"/>
      <c r="P610" s="16"/>
      <c r="Q610" s="16"/>
      <c r="R610" s="16"/>
      <c r="S610" s="16"/>
      <c r="T610" s="16"/>
      <c r="U610" s="16"/>
      <c r="V610" s="16"/>
      <c r="W610" s="16"/>
      <c r="X610" s="16"/>
      <c r="Y610" s="16"/>
      <c r="Z610" s="16"/>
      <c r="AA610" s="16"/>
      <c r="AB610" s="16"/>
      <c r="AC610" s="16"/>
      <c r="AD610" s="16"/>
    </row>
    <row r="611" spans="1:30" ht="12.9">
      <c r="A611" s="16"/>
      <c r="B611" s="24"/>
      <c r="C611" s="196"/>
      <c r="D611" s="196"/>
      <c r="E611" s="196"/>
      <c r="F611" s="16"/>
      <c r="G611" s="24"/>
      <c r="H611" s="24"/>
      <c r="I611" s="16"/>
      <c r="J611" s="16"/>
      <c r="K611" s="16"/>
      <c r="L611" s="16"/>
      <c r="M611" s="16"/>
      <c r="N611" s="16"/>
      <c r="O611" s="16"/>
      <c r="P611" s="16"/>
      <c r="Q611" s="16"/>
      <c r="R611" s="16"/>
      <c r="S611" s="16"/>
      <c r="T611" s="16"/>
      <c r="U611" s="16"/>
      <c r="V611" s="16"/>
      <c r="W611" s="16"/>
      <c r="X611" s="16"/>
      <c r="Y611" s="16"/>
      <c r="Z611" s="16"/>
      <c r="AA611" s="16"/>
      <c r="AB611" s="16"/>
      <c r="AC611" s="16"/>
      <c r="AD611" s="16"/>
    </row>
    <row r="612" spans="1:30" ht="12.9">
      <c r="A612" s="16"/>
      <c r="B612" s="24"/>
      <c r="C612" s="196"/>
      <c r="D612" s="196"/>
      <c r="E612" s="196"/>
      <c r="F612" s="16"/>
      <c r="G612" s="24"/>
      <c r="H612" s="24"/>
      <c r="I612" s="16"/>
      <c r="J612" s="16"/>
      <c r="K612" s="16"/>
      <c r="L612" s="16"/>
      <c r="M612" s="16"/>
      <c r="N612" s="16"/>
      <c r="O612" s="16"/>
      <c r="P612" s="16"/>
      <c r="Q612" s="16"/>
      <c r="R612" s="16"/>
      <c r="S612" s="16"/>
      <c r="T612" s="16"/>
      <c r="U612" s="16"/>
      <c r="V612" s="16"/>
      <c r="W612" s="16"/>
      <c r="X612" s="16"/>
      <c r="Y612" s="16"/>
      <c r="Z612" s="16"/>
      <c r="AA612" s="16"/>
      <c r="AB612" s="16"/>
      <c r="AC612" s="16"/>
      <c r="AD612" s="16"/>
    </row>
    <row r="613" spans="1:30" ht="12.9">
      <c r="A613" s="16"/>
      <c r="B613" s="24"/>
      <c r="C613" s="196"/>
      <c r="D613" s="196"/>
      <c r="E613" s="196"/>
      <c r="F613" s="16"/>
      <c r="G613" s="24"/>
      <c r="H613" s="24"/>
      <c r="I613" s="16"/>
      <c r="J613" s="16"/>
      <c r="K613" s="16"/>
      <c r="L613" s="16"/>
      <c r="M613" s="16"/>
      <c r="N613" s="16"/>
      <c r="O613" s="16"/>
      <c r="P613" s="16"/>
      <c r="Q613" s="16"/>
      <c r="R613" s="16"/>
      <c r="S613" s="16"/>
      <c r="T613" s="16"/>
      <c r="U613" s="16"/>
      <c r="V613" s="16"/>
      <c r="W613" s="16"/>
      <c r="X613" s="16"/>
      <c r="Y613" s="16"/>
      <c r="Z613" s="16"/>
      <c r="AA613" s="16"/>
      <c r="AB613" s="16"/>
      <c r="AC613" s="16"/>
      <c r="AD613" s="16"/>
    </row>
    <row r="614" spans="1:30" ht="12.9">
      <c r="A614" s="16"/>
      <c r="B614" s="24"/>
      <c r="C614" s="196"/>
      <c r="D614" s="196"/>
      <c r="E614" s="196"/>
      <c r="F614" s="16"/>
      <c r="G614" s="24"/>
      <c r="H614" s="24"/>
      <c r="I614" s="16"/>
      <c r="J614" s="16"/>
      <c r="K614" s="16"/>
      <c r="L614" s="16"/>
      <c r="M614" s="16"/>
      <c r="N614" s="16"/>
      <c r="O614" s="16"/>
      <c r="P614" s="16"/>
      <c r="Q614" s="16"/>
      <c r="R614" s="16"/>
      <c r="S614" s="16"/>
      <c r="T614" s="16"/>
      <c r="U614" s="16"/>
      <c r="V614" s="16"/>
      <c r="W614" s="16"/>
      <c r="X614" s="16"/>
      <c r="Y614" s="16"/>
      <c r="Z614" s="16"/>
      <c r="AA614" s="16"/>
      <c r="AB614" s="16"/>
      <c r="AC614" s="16"/>
      <c r="AD614" s="16"/>
    </row>
    <row r="615" spans="1:30" ht="12.9">
      <c r="A615" s="16"/>
      <c r="B615" s="24"/>
      <c r="C615" s="196"/>
      <c r="D615" s="196"/>
      <c r="E615" s="196"/>
      <c r="F615" s="16"/>
      <c r="G615" s="24"/>
      <c r="H615" s="24"/>
      <c r="I615" s="16"/>
      <c r="J615" s="16"/>
      <c r="K615" s="16"/>
      <c r="L615" s="16"/>
      <c r="M615" s="16"/>
      <c r="N615" s="16"/>
      <c r="O615" s="16"/>
      <c r="P615" s="16"/>
      <c r="Q615" s="16"/>
      <c r="R615" s="16"/>
      <c r="S615" s="16"/>
      <c r="T615" s="16"/>
      <c r="U615" s="16"/>
      <c r="V615" s="16"/>
      <c r="W615" s="16"/>
      <c r="X615" s="16"/>
      <c r="Y615" s="16"/>
      <c r="Z615" s="16"/>
      <c r="AA615" s="16"/>
      <c r="AB615" s="16"/>
      <c r="AC615" s="16"/>
      <c r="AD615" s="16"/>
    </row>
    <row r="616" spans="1:30" ht="12.9">
      <c r="A616" s="16"/>
      <c r="B616" s="24"/>
      <c r="C616" s="196"/>
      <c r="D616" s="196"/>
      <c r="E616" s="196"/>
      <c r="F616" s="16"/>
      <c r="G616" s="24"/>
      <c r="H616" s="24"/>
      <c r="I616" s="16"/>
      <c r="J616" s="16"/>
      <c r="K616" s="16"/>
      <c r="L616" s="16"/>
      <c r="M616" s="16"/>
      <c r="N616" s="16"/>
      <c r="O616" s="16"/>
      <c r="P616" s="16"/>
      <c r="Q616" s="16"/>
      <c r="R616" s="16"/>
      <c r="S616" s="16"/>
      <c r="T616" s="16"/>
      <c r="U616" s="16"/>
      <c r="V616" s="16"/>
      <c r="W616" s="16"/>
      <c r="X616" s="16"/>
      <c r="Y616" s="16"/>
      <c r="Z616" s="16"/>
      <c r="AA616" s="16"/>
      <c r="AB616" s="16"/>
      <c r="AC616" s="16"/>
      <c r="AD616" s="16"/>
    </row>
    <row r="617" spans="1:30" ht="12.9">
      <c r="A617" s="16"/>
      <c r="B617" s="24"/>
      <c r="C617" s="196"/>
      <c r="D617" s="196"/>
      <c r="E617" s="196"/>
      <c r="F617" s="16"/>
      <c r="G617" s="24"/>
      <c r="H617" s="24"/>
      <c r="I617" s="16"/>
      <c r="J617" s="16"/>
      <c r="K617" s="16"/>
      <c r="L617" s="16"/>
      <c r="M617" s="16"/>
      <c r="N617" s="16"/>
      <c r="O617" s="16"/>
      <c r="P617" s="16"/>
      <c r="Q617" s="16"/>
      <c r="R617" s="16"/>
      <c r="S617" s="16"/>
      <c r="T617" s="16"/>
      <c r="U617" s="16"/>
      <c r="V617" s="16"/>
      <c r="W617" s="16"/>
      <c r="X617" s="16"/>
      <c r="Y617" s="16"/>
      <c r="Z617" s="16"/>
      <c r="AA617" s="16"/>
      <c r="AB617" s="16"/>
      <c r="AC617" s="16"/>
      <c r="AD617" s="16"/>
    </row>
    <row r="618" spans="1:30" ht="12.9">
      <c r="A618" s="16"/>
      <c r="B618" s="24"/>
      <c r="C618" s="196"/>
      <c r="D618" s="196"/>
      <c r="E618" s="196"/>
      <c r="F618" s="16"/>
      <c r="G618" s="24"/>
      <c r="H618" s="24"/>
      <c r="I618" s="16"/>
      <c r="J618" s="16"/>
      <c r="K618" s="16"/>
      <c r="L618" s="16"/>
      <c r="M618" s="16"/>
      <c r="N618" s="16"/>
      <c r="O618" s="16"/>
      <c r="P618" s="16"/>
      <c r="Q618" s="16"/>
      <c r="R618" s="16"/>
      <c r="S618" s="16"/>
      <c r="T618" s="16"/>
      <c r="U618" s="16"/>
      <c r="V618" s="16"/>
      <c r="W618" s="16"/>
      <c r="X618" s="16"/>
      <c r="Y618" s="16"/>
      <c r="Z618" s="16"/>
      <c r="AA618" s="16"/>
      <c r="AB618" s="16"/>
      <c r="AC618" s="16"/>
      <c r="AD618" s="16"/>
    </row>
    <row r="619" spans="1:30" ht="12.9">
      <c r="A619" s="16"/>
      <c r="B619" s="24"/>
      <c r="C619" s="196"/>
      <c r="D619" s="196"/>
      <c r="E619" s="196"/>
      <c r="F619" s="16"/>
      <c r="G619" s="24"/>
      <c r="H619" s="24"/>
      <c r="I619" s="16"/>
      <c r="J619" s="16"/>
      <c r="K619" s="16"/>
      <c r="L619" s="16"/>
      <c r="M619" s="16"/>
      <c r="N619" s="16"/>
      <c r="O619" s="16"/>
      <c r="P619" s="16"/>
      <c r="Q619" s="16"/>
      <c r="R619" s="16"/>
      <c r="S619" s="16"/>
      <c r="T619" s="16"/>
      <c r="U619" s="16"/>
      <c r="V619" s="16"/>
      <c r="W619" s="16"/>
      <c r="X619" s="16"/>
      <c r="Y619" s="16"/>
      <c r="Z619" s="16"/>
      <c r="AA619" s="16"/>
      <c r="AB619" s="16"/>
      <c r="AC619" s="16"/>
      <c r="AD619" s="16"/>
    </row>
    <row r="620" spans="1:30" ht="12.9">
      <c r="A620" s="16"/>
      <c r="B620" s="24"/>
      <c r="C620" s="196"/>
      <c r="D620" s="196"/>
      <c r="E620" s="196"/>
      <c r="F620" s="16"/>
      <c r="G620" s="24"/>
      <c r="H620" s="24"/>
      <c r="I620" s="16"/>
      <c r="J620" s="16"/>
      <c r="K620" s="16"/>
      <c r="L620" s="16"/>
      <c r="M620" s="16"/>
      <c r="N620" s="16"/>
      <c r="O620" s="16"/>
      <c r="P620" s="16"/>
      <c r="Q620" s="16"/>
      <c r="R620" s="16"/>
      <c r="S620" s="16"/>
      <c r="T620" s="16"/>
      <c r="U620" s="16"/>
      <c r="V620" s="16"/>
      <c r="W620" s="16"/>
      <c r="X620" s="16"/>
      <c r="Y620" s="16"/>
      <c r="Z620" s="16"/>
      <c r="AA620" s="16"/>
      <c r="AB620" s="16"/>
      <c r="AC620" s="16"/>
      <c r="AD620" s="16"/>
    </row>
    <row r="621" spans="1:30" ht="12.9">
      <c r="A621" s="16"/>
      <c r="B621" s="24"/>
      <c r="C621" s="196"/>
      <c r="D621" s="196"/>
      <c r="E621" s="196"/>
      <c r="F621" s="16"/>
      <c r="G621" s="24"/>
      <c r="H621" s="24"/>
      <c r="I621" s="16"/>
      <c r="J621" s="16"/>
      <c r="K621" s="16"/>
      <c r="L621" s="16"/>
      <c r="M621" s="16"/>
      <c r="N621" s="16"/>
      <c r="O621" s="16"/>
      <c r="P621" s="16"/>
      <c r="Q621" s="16"/>
      <c r="R621" s="16"/>
      <c r="S621" s="16"/>
      <c r="T621" s="16"/>
      <c r="U621" s="16"/>
      <c r="V621" s="16"/>
      <c r="W621" s="16"/>
      <c r="X621" s="16"/>
      <c r="Y621" s="16"/>
      <c r="Z621" s="16"/>
      <c r="AA621" s="16"/>
      <c r="AB621" s="16"/>
      <c r="AC621" s="16"/>
      <c r="AD621" s="16"/>
    </row>
    <row r="622" spans="1:30" ht="12.9">
      <c r="A622" s="16"/>
      <c r="B622" s="24"/>
      <c r="C622" s="196"/>
      <c r="D622" s="196"/>
      <c r="E622" s="196"/>
      <c r="F622" s="16"/>
      <c r="G622" s="24"/>
      <c r="H622" s="24"/>
      <c r="I622" s="16"/>
      <c r="J622" s="16"/>
      <c r="K622" s="16"/>
      <c r="L622" s="16"/>
      <c r="M622" s="16"/>
      <c r="N622" s="16"/>
      <c r="O622" s="16"/>
      <c r="P622" s="16"/>
      <c r="Q622" s="16"/>
      <c r="R622" s="16"/>
      <c r="S622" s="16"/>
      <c r="T622" s="16"/>
      <c r="U622" s="16"/>
      <c r="V622" s="16"/>
      <c r="W622" s="16"/>
      <c r="X622" s="16"/>
      <c r="Y622" s="16"/>
      <c r="Z622" s="16"/>
      <c r="AA622" s="16"/>
      <c r="AB622" s="16"/>
      <c r="AC622" s="16"/>
      <c r="AD622" s="16"/>
    </row>
    <row r="623" spans="1:30" ht="12.9">
      <c r="A623" s="16"/>
      <c r="B623" s="24"/>
      <c r="C623" s="196"/>
      <c r="D623" s="196"/>
      <c r="E623" s="196"/>
      <c r="F623" s="16"/>
      <c r="G623" s="24"/>
      <c r="H623" s="24"/>
      <c r="I623" s="16"/>
      <c r="J623" s="16"/>
      <c r="K623" s="16"/>
      <c r="L623" s="16"/>
      <c r="M623" s="16"/>
      <c r="N623" s="16"/>
      <c r="O623" s="16"/>
      <c r="P623" s="16"/>
      <c r="Q623" s="16"/>
      <c r="R623" s="16"/>
      <c r="S623" s="16"/>
      <c r="T623" s="16"/>
      <c r="U623" s="16"/>
      <c r="V623" s="16"/>
      <c r="W623" s="16"/>
      <c r="X623" s="16"/>
      <c r="Y623" s="16"/>
      <c r="Z623" s="16"/>
      <c r="AA623" s="16"/>
      <c r="AB623" s="16"/>
      <c r="AC623" s="16"/>
      <c r="AD623" s="16"/>
    </row>
    <row r="624" spans="1:30" ht="12.9">
      <c r="A624" s="16"/>
      <c r="B624" s="24"/>
      <c r="C624" s="196"/>
      <c r="D624" s="196"/>
      <c r="E624" s="196"/>
      <c r="F624" s="16"/>
      <c r="G624" s="24"/>
      <c r="H624" s="24"/>
      <c r="I624" s="16"/>
      <c r="J624" s="16"/>
      <c r="K624" s="16"/>
      <c r="L624" s="16"/>
      <c r="M624" s="16"/>
      <c r="N624" s="16"/>
      <c r="O624" s="16"/>
      <c r="P624" s="16"/>
      <c r="Q624" s="16"/>
      <c r="R624" s="16"/>
      <c r="S624" s="16"/>
      <c r="T624" s="16"/>
      <c r="U624" s="16"/>
      <c r="V624" s="16"/>
      <c r="W624" s="16"/>
      <c r="X624" s="16"/>
      <c r="Y624" s="16"/>
      <c r="Z624" s="16"/>
      <c r="AA624" s="16"/>
      <c r="AB624" s="16"/>
      <c r="AC624" s="16"/>
      <c r="AD624" s="16"/>
    </row>
    <row r="625" spans="1:30" ht="12.9">
      <c r="A625" s="16"/>
      <c r="B625" s="24"/>
      <c r="C625" s="196"/>
      <c r="D625" s="196"/>
      <c r="E625" s="196"/>
      <c r="F625" s="16"/>
      <c r="G625" s="24"/>
      <c r="H625" s="24"/>
      <c r="I625" s="16"/>
      <c r="J625" s="16"/>
      <c r="K625" s="16"/>
      <c r="L625" s="16"/>
      <c r="M625" s="16"/>
      <c r="N625" s="16"/>
      <c r="O625" s="16"/>
      <c r="P625" s="16"/>
      <c r="Q625" s="16"/>
      <c r="R625" s="16"/>
      <c r="S625" s="16"/>
      <c r="T625" s="16"/>
      <c r="U625" s="16"/>
      <c r="V625" s="16"/>
      <c r="W625" s="16"/>
      <c r="X625" s="16"/>
      <c r="Y625" s="16"/>
      <c r="Z625" s="16"/>
      <c r="AA625" s="16"/>
      <c r="AB625" s="16"/>
      <c r="AC625" s="16"/>
      <c r="AD625" s="16"/>
    </row>
    <row r="626" spans="1:30" ht="12.9">
      <c r="A626" s="16"/>
      <c r="B626" s="24"/>
      <c r="C626" s="196"/>
      <c r="D626" s="196"/>
      <c r="E626" s="196"/>
      <c r="F626" s="16"/>
      <c r="G626" s="24"/>
      <c r="H626" s="24"/>
      <c r="I626" s="16"/>
      <c r="J626" s="16"/>
      <c r="K626" s="16"/>
      <c r="L626" s="16"/>
      <c r="M626" s="16"/>
      <c r="N626" s="16"/>
      <c r="O626" s="16"/>
      <c r="P626" s="16"/>
      <c r="Q626" s="16"/>
      <c r="R626" s="16"/>
      <c r="S626" s="16"/>
      <c r="T626" s="16"/>
      <c r="U626" s="16"/>
      <c r="V626" s="16"/>
      <c r="W626" s="16"/>
      <c r="X626" s="16"/>
      <c r="Y626" s="16"/>
      <c r="Z626" s="16"/>
      <c r="AA626" s="16"/>
      <c r="AB626" s="16"/>
      <c r="AC626" s="16"/>
      <c r="AD626" s="16"/>
    </row>
    <row r="627" spans="1:30" ht="12.9">
      <c r="A627" s="16"/>
      <c r="B627" s="24"/>
      <c r="C627" s="196"/>
      <c r="D627" s="196"/>
      <c r="E627" s="196"/>
      <c r="F627" s="16"/>
      <c r="G627" s="24"/>
      <c r="H627" s="24"/>
      <c r="I627" s="16"/>
      <c r="J627" s="16"/>
      <c r="K627" s="16"/>
      <c r="L627" s="16"/>
      <c r="M627" s="16"/>
      <c r="N627" s="16"/>
      <c r="O627" s="16"/>
      <c r="P627" s="16"/>
      <c r="Q627" s="16"/>
      <c r="R627" s="16"/>
      <c r="S627" s="16"/>
      <c r="T627" s="16"/>
      <c r="U627" s="16"/>
      <c r="V627" s="16"/>
      <c r="W627" s="16"/>
      <c r="X627" s="16"/>
      <c r="Y627" s="16"/>
      <c r="Z627" s="16"/>
      <c r="AA627" s="16"/>
      <c r="AB627" s="16"/>
      <c r="AC627" s="16"/>
      <c r="AD627" s="16"/>
    </row>
    <row r="628" spans="1:30" ht="12.9">
      <c r="A628" s="16"/>
      <c r="B628" s="24"/>
      <c r="C628" s="196"/>
      <c r="D628" s="196"/>
      <c r="E628" s="196"/>
      <c r="F628" s="16"/>
      <c r="G628" s="24"/>
      <c r="H628" s="24"/>
      <c r="I628" s="16"/>
      <c r="J628" s="16"/>
      <c r="K628" s="16"/>
      <c r="L628" s="16"/>
      <c r="M628" s="16"/>
      <c r="N628" s="16"/>
      <c r="O628" s="16"/>
      <c r="P628" s="16"/>
      <c r="Q628" s="16"/>
      <c r="R628" s="16"/>
      <c r="S628" s="16"/>
      <c r="T628" s="16"/>
      <c r="U628" s="16"/>
      <c r="V628" s="16"/>
      <c r="W628" s="16"/>
      <c r="X628" s="16"/>
      <c r="Y628" s="16"/>
      <c r="Z628" s="16"/>
      <c r="AA628" s="16"/>
      <c r="AB628" s="16"/>
      <c r="AC628" s="16"/>
      <c r="AD628" s="16"/>
    </row>
    <row r="629" spans="1:30" ht="12.9">
      <c r="A629" s="16"/>
      <c r="B629" s="24"/>
      <c r="C629" s="196"/>
      <c r="D629" s="196"/>
      <c r="E629" s="196"/>
      <c r="F629" s="16"/>
      <c r="G629" s="24"/>
      <c r="H629" s="24"/>
      <c r="I629" s="16"/>
      <c r="J629" s="16"/>
      <c r="K629" s="16"/>
      <c r="L629" s="16"/>
      <c r="M629" s="16"/>
      <c r="N629" s="16"/>
      <c r="O629" s="16"/>
      <c r="P629" s="16"/>
      <c r="Q629" s="16"/>
      <c r="R629" s="16"/>
      <c r="S629" s="16"/>
      <c r="T629" s="16"/>
      <c r="U629" s="16"/>
      <c r="V629" s="16"/>
      <c r="W629" s="16"/>
      <c r="X629" s="16"/>
      <c r="Y629" s="16"/>
      <c r="Z629" s="16"/>
      <c r="AA629" s="16"/>
      <c r="AB629" s="16"/>
      <c r="AC629" s="16"/>
      <c r="AD629" s="16"/>
    </row>
    <row r="630" spans="1:30" ht="12.9">
      <c r="A630" s="16"/>
      <c r="B630" s="24"/>
      <c r="C630" s="196"/>
      <c r="D630" s="196"/>
      <c r="E630" s="196"/>
      <c r="F630" s="16"/>
      <c r="G630" s="24"/>
      <c r="H630" s="24"/>
      <c r="I630" s="16"/>
      <c r="J630" s="16"/>
      <c r="K630" s="16"/>
      <c r="L630" s="16"/>
      <c r="M630" s="16"/>
      <c r="N630" s="16"/>
      <c r="O630" s="16"/>
      <c r="P630" s="16"/>
      <c r="Q630" s="16"/>
      <c r="R630" s="16"/>
      <c r="S630" s="16"/>
      <c r="T630" s="16"/>
      <c r="U630" s="16"/>
      <c r="V630" s="16"/>
      <c r="W630" s="16"/>
      <c r="X630" s="16"/>
      <c r="Y630" s="16"/>
      <c r="Z630" s="16"/>
      <c r="AA630" s="16"/>
      <c r="AB630" s="16"/>
      <c r="AC630" s="16"/>
      <c r="AD630" s="16"/>
    </row>
    <row r="631" spans="1:30" ht="12.9">
      <c r="A631" s="16"/>
      <c r="B631" s="24"/>
      <c r="C631" s="196"/>
      <c r="D631" s="196"/>
      <c r="E631" s="196"/>
      <c r="F631" s="16"/>
      <c r="G631" s="24"/>
      <c r="H631" s="24"/>
      <c r="I631" s="16"/>
      <c r="J631" s="16"/>
      <c r="K631" s="16"/>
      <c r="L631" s="16"/>
      <c r="M631" s="16"/>
      <c r="N631" s="16"/>
      <c r="O631" s="16"/>
      <c r="P631" s="16"/>
      <c r="Q631" s="16"/>
      <c r="R631" s="16"/>
      <c r="S631" s="16"/>
      <c r="T631" s="16"/>
      <c r="U631" s="16"/>
      <c r="V631" s="16"/>
      <c r="W631" s="16"/>
      <c r="X631" s="16"/>
      <c r="Y631" s="16"/>
      <c r="Z631" s="16"/>
      <c r="AA631" s="16"/>
      <c r="AB631" s="16"/>
      <c r="AC631" s="16"/>
      <c r="AD631" s="16"/>
    </row>
    <row r="632" spans="1:30" ht="12.9">
      <c r="A632" s="16"/>
      <c r="B632" s="24"/>
      <c r="C632" s="196"/>
      <c r="D632" s="196"/>
      <c r="E632" s="196"/>
      <c r="F632" s="16"/>
      <c r="G632" s="24"/>
      <c r="H632" s="24"/>
      <c r="I632" s="16"/>
      <c r="J632" s="16"/>
      <c r="K632" s="16"/>
      <c r="L632" s="16"/>
      <c r="M632" s="16"/>
      <c r="N632" s="16"/>
      <c r="O632" s="16"/>
      <c r="P632" s="16"/>
      <c r="Q632" s="16"/>
      <c r="R632" s="16"/>
      <c r="S632" s="16"/>
      <c r="T632" s="16"/>
      <c r="U632" s="16"/>
      <c r="V632" s="16"/>
      <c r="W632" s="16"/>
      <c r="X632" s="16"/>
      <c r="Y632" s="16"/>
      <c r="Z632" s="16"/>
      <c r="AA632" s="16"/>
      <c r="AB632" s="16"/>
      <c r="AC632" s="16"/>
      <c r="AD632" s="16"/>
    </row>
    <row r="633" spans="1:30" ht="12.9">
      <c r="A633" s="16"/>
      <c r="B633" s="24"/>
      <c r="C633" s="196"/>
      <c r="D633" s="196"/>
      <c r="E633" s="196"/>
      <c r="F633" s="16"/>
      <c r="G633" s="24"/>
      <c r="H633" s="24"/>
      <c r="I633" s="16"/>
      <c r="J633" s="16"/>
      <c r="K633" s="16"/>
      <c r="L633" s="16"/>
      <c r="M633" s="16"/>
      <c r="N633" s="16"/>
      <c r="O633" s="16"/>
      <c r="P633" s="16"/>
      <c r="Q633" s="16"/>
      <c r="R633" s="16"/>
      <c r="S633" s="16"/>
      <c r="T633" s="16"/>
      <c r="U633" s="16"/>
      <c r="V633" s="16"/>
      <c r="W633" s="16"/>
      <c r="X633" s="16"/>
      <c r="Y633" s="16"/>
      <c r="Z633" s="16"/>
      <c r="AA633" s="16"/>
      <c r="AB633" s="16"/>
      <c r="AC633" s="16"/>
      <c r="AD633" s="16"/>
    </row>
    <row r="634" spans="1:30" ht="12.9">
      <c r="A634" s="16"/>
      <c r="B634" s="24"/>
      <c r="C634" s="196"/>
      <c r="D634" s="196"/>
      <c r="E634" s="196"/>
      <c r="F634" s="16"/>
      <c r="G634" s="24"/>
      <c r="H634" s="24"/>
      <c r="I634" s="16"/>
      <c r="J634" s="16"/>
      <c r="K634" s="16"/>
      <c r="L634" s="16"/>
      <c r="M634" s="16"/>
      <c r="N634" s="16"/>
      <c r="O634" s="16"/>
      <c r="P634" s="16"/>
      <c r="Q634" s="16"/>
      <c r="R634" s="16"/>
      <c r="S634" s="16"/>
      <c r="T634" s="16"/>
      <c r="U634" s="16"/>
      <c r="V634" s="16"/>
      <c r="W634" s="16"/>
      <c r="X634" s="16"/>
      <c r="Y634" s="16"/>
      <c r="Z634" s="16"/>
      <c r="AA634" s="16"/>
      <c r="AB634" s="16"/>
      <c r="AC634" s="16"/>
      <c r="AD634" s="16"/>
    </row>
    <row r="635" spans="1:30" ht="12.9">
      <c r="A635" s="16"/>
      <c r="B635" s="24"/>
      <c r="C635" s="196"/>
      <c r="D635" s="196"/>
      <c r="E635" s="196"/>
      <c r="F635" s="16"/>
      <c r="G635" s="24"/>
      <c r="H635" s="24"/>
      <c r="I635" s="16"/>
      <c r="J635" s="16"/>
      <c r="K635" s="16"/>
      <c r="L635" s="16"/>
      <c r="M635" s="16"/>
      <c r="N635" s="16"/>
      <c r="O635" s="16"/>
      <c r="P635" s="16"/>
      <c r="Q635" s="16"/>
      <c r="R635" s="16"/>
      <c r="S635" s="16"/>
      <c r="T635" s="16"/>
      <c r="U635" s="16"/>
      <c r="V635" s="16"/>
      <c r="W635" s="16"/>
      <c r="X635" s="16"/>
      <c r="Y635" s="16"/>
      <c r="Z635" s="16"/>
      <c r="AA635" s="16"/>
      <c r="AB635" s="16"/>
      <c r="AC635" s="16"/>
      <c r="AD635" s="16"/>
    </row>
    <row r="636" spans="1:30" ht="12.9">
      <c r="A636" s="16"/>
      <c r="B636" s="24"/>
      <c r="C636" s="196"/>
      <c r="D636" s="196"/>
      <c r="E636" s="196"/>
      <c r="F636" s="16"/>
      <c r="G636" s="24"/>
      <c r="H636" s="24"/>
      <c r="I636" s="16"/>
      <c r="J636" s="16"/>
      <c r="K636" s="16"/>
      <c r="L636" s="16"/>
      <c r="M636" s="16"/>
      <c r="N636" s="16"/>
      <c r="O636" s="16"/>
      <c r="P636" s="16"/>
      <c r="Q636" s="16"/>
      <c r="R636" s="16"/>
      <c r="S636" s="16"/>
      <c r="T636" s="16"/>
      <c r="U636" s="16"/>
      <c r="V636" s="16"/>
      <c r="W636" s="16"/>
      <c r="X636" s="16"/>
      <c r="Y636" s="16"/>
      <c r="Z636" s="16"/>
      <c r="AA636" s="16"/>
      <c r="AB636" s="16"/>
      <c r="AC636" s="16"/>
      <c r="AD636" s="16"/>
    </row>
    <row r="637" spans="1:30" ht="12.9">
      <c r="A637" s="16"/>
      <c r="B637" s="24"/>
      <c r="C637" s="196"/>
      <c r="D637" s="196"/>
      <c r="E637" s="196"/>
      <c r="F637" s="16"/>
      <c r="G637" s="24"/>
      <c r="H637" s="24"/>
      <c r="I637" s="16"/>
      <c r="J637" s="16"/>
      <c r="K637" s="16"/>
      <c r="L637" s="16"/>
      <c r="M637" s="16"/>
      <c r="N637" s="16"/>
      <c r="O637" s="16"/>
      <c r="P637" s="16"/>
      <c r="Q637" s="16"/>
      <c r="R637" s="16"/>
      <c r="S637" s="16"/>
      <c r="T637" s="16"/>
      <c r="U637" s="16"/>
      <c r="V637" s="16"/>
      <c r="W637" s="16"/>
      <c r="X637" s="16"/>
      <c r="Y637" s="16"/>
      <c r="Z637" s="16"/>
      <c r="AA637" s="16"/>
      <c r="AB637" s="16"/>
      <c r="AC637" s="16"/>
      <c r="AD637" s="16"/>
    </row>
    <row r="638" spans="1:30" ht="12.9">
      <c r="A638" s="16"/>
      <c r="B638" s="24"/>
      <c r="C638" s="196"/>
      <c r="D638" s="196"/>
      <c r="E638" s="196"/>
      <c r="F638" s="16"/>
      <c r="G638" s="24"/>
      <c r="H638" s="24"/>
      <c r="I638" s="16"/>
      <c r="J638" s="16"/>
      <c r="K638" s="16"/>
      <c r="L638" s="16"/>
      <c r="M638" s="16"/>
      <c r="N638" s="16"/>
      <c r="O638" s="16"/>
      <c r="P638" s="16"/>
      <c r="Q638" s="16"/>
      <c r="R638" s="16"/>
      <c r="S638" s="16"/>
      <c r="T638" s="16"/>
      <c r="U638" s="16"/>
      <c r="V638" s="16"/>
      <c r="W638" s="16"/>
      <c r="X638" s="16"/>
      <c r="Y638" s="16"/>
      <c r="Z638" s="16"/>
      <c r="AA638" s="16"/>
      <c r="AB638" s="16"/>
      <c r="AC638" s="16"/>
      <c r="AD638" s="16"/>
    </row>
    <row r="639" spans="1:30" ht="12.9">
      <c r="A639" s="16"/>
      <c r="B639" s="24"/>
      <c r="C639" s="196"/>
      <c r="D639" s="196"/>
      <c r="E639" s="196"/>
      <c r="F639" s="16"/>
      <c r="G639" s="24"/>
      <c r="H639" s="24"/>
      <c r="I639" s="16"/>
      <c r="J639" s="16"/>
      <c r="K639" s="16"/>
      <c r="L639" s="16"/>
      <c r="M639" s="16"/>
      <c r="N639" s="16"/>
      <c r="O639" s="16"/>
      <c r="P639" s="16"/>
      <c r="Q639" s="16"/>
      <c r="R639" s="16"/>
      <c r="S639" s="16"/>
      <c r="T639" s="16"/>
      <c r="U639" s="16"/>
      <c r="V639" s="16"/>
      <c r="W639" s="16"/>
      <c r="X639" s="16"/>
      <c r="Y639" s="16"/>
      <c r="Z639" s="16"/>
      <c r="AA639" s="16"/>
      <c r="AB639" s="16"/>
      <c r="AC639" s="16"/>
      <c r="AD639" s="16"/>
    </row>
    <row r="640" spans="1:30" ht="12.9">
      <c r="A640" s="16"/>
      <c r="B640" s="24"/>
      <c r="C640" s="196"/>
      <c r="D640" s="196"/>
      <c r="E640" s="196"/>
      <c r="F640" s="16"/>
      <c r="G640" s="24"/>
      <c r="H640" s="24"/>
      <c r="I640" s="16"/>
      <c r="J640" s="16"/>
      <c r="K640" s="16"/>
      <c r="L640" s="16"/>
      <c r="M640" s="16"/>
      <c r="N640" s="16"/>
      <c r="O640" s="16"/>
      <c r="P640" s="16"/>
      <c r="Q640" s="16"/>
      <c r="R640" s="16"/>
      <c r="S640" s="16"/>
      <c r="T640" s="16"/>
      <c r="U640" s="16"/>
      <c r="V640" s="16"/>
      <c r="W640" s="16"/>
      <c r="X640" s="16"/>
      <c r="Y640" s="16"/>
      <c r="Z640" s="16"/>
      <c r="AA640" s="16"/>
      <c r="AB640" s="16"/>
      <c r="AC640" s="16"/>
      <c r="AD640" s="16"/>
    </row>
    <row r="641" spans="1:30" ht="12.9">
      <c r="A641" s="16"/>
      <c r="B641" s="24"/>
      <c r="C641" s="196"/>
      <c r="D641" s="196"/>
      <c r="E641" s="196"/>
      <c r="F641" s="16"/>
      <c r="G641" s="24"/>
      <c r="H641" s="24"/>
      <c r="I641" s="16"/>
      <c r="J641" s="16"/>
      <c r="K641" s="16"/>
      <c r="L641" s="16"/>
      <c r="M641" s="16"/>
      <c r="N641" s="16"/>
      <c r="O641" s="16"/>
      <c r="P641" s="16"/>
      <c r="Q641" s="16"/>
      <c r="R641" s="16"/>
      <c r="S641" s="16"/>
      <c r="T641" s="16"/>
      <c r="U641" s="16"/>
      <c r="V641" s="16"/>
      <c r="W641" s="16"/>
      <c r="X641" s="16"/>
      <c r="Y641" s="16"/>
      <c r="Z641" s="16"/>
      <c r="AA641" s="16"/>
      <c r="AB641" s="16"/>
      <c r="AC641" s="16"/>
      <c r="AD641" s="16"/>
    </row>
    <row r="642" spans="1:30" ht="12.9">
      <c r="A642" s="16"/>
      <c r="B642" s="24"/>
      <c r="C642" s="196"/>
      <c r="D642" s="196"/>
      <c r="E642" s="196"/>
      <c r="F642" s="16"/>
      <c r="G642" s="24"/>
      <c r="H642" s="24"/>
      <c r="I642" s="16"/>
      <c r="J642" s="16"/>
      <c r="K642" s="16"/>
      <c r="L642" s="16"/>
      <c r="M642" s="16"/>
      <c r="N642" s="16"/>
      <c r="O642" s="16"/>
      <c r="P642" s="16"/>
      <c r="Q642" s="16"/>
      <c r="R642" s="16"/>
      <c r="S642" s="16"/>
      <c r="T642" s="16"/>
      <c r="U642" s="16"/>
      <c r="V642" s="16"/>
      <c r="W642" s="16"/>
      <c r="X642" s="16"/>
      <c r="Y642" s="16"/>
      <c r="Z642" s="16"/>
      <c r="AA642" s="16"/>
      <c r="AB642" s="16"/>
      <c r="AC642" s="16"/>
      <c r="AD642" s="16"/>
    </row>
    <row r="643" spans="1:30" ht="12.9">
      <c r="A643" s="16"/>
      <c r="B643" s="24"/>
      <c r="C643" s="196"/>
      <c r="D643" s="196"/>
      <c r="E643" s="196"/>
      <c r="F643" s="16"/>
      <c r="G643" s="24"/>
      <c r="H643" s="24"/>
      <c r="I643" s="16"/>
      <c r="J643" s="16"/>
      <c r="K643" s="16"/>
      <c r="L643" s="16"/>
      <c r="M643" s="16"/>
      <c r="N643" s="16"/>
      <c r="O643" s="16"/>
      <c r="P643" s="16"/>
      <c r="Q643" s="16"/>
      <c r="R643" s="16"/>
      <c r="S643" s="16"/>
      <c r="T643" s="16"/>
      <c r="U643" s="16"/>
      <c r="V643" s="16"/>
      <c r="W643" s="16"/>
      <c r="X643" s="16"/>
      <c r="Y643" s="16"/>
      <c r="Z643" s="16"/>
      <c r="AA643" s="16"/>
      <c r="AB643" s="16"/>
      <c r="AC643" s="16"/>
      <c r="AD643" s="16"/>
    </row>
    <row r="644" spans="1:30" ht="12.9">
      <c r="A644" s="16"/>
      <c r="B644" s="24"/>
      <c r="C644" s="196"/>
      <c r="D644" s="196"/>
      <c r="E644" s="196"/>
      <c r="F644" s="16"/>
      <c r="G644" s="24"/>
      <c r="H644" s="24"/>
      <c r="I644" s="16"/>
      <c r="J644" s="16"/>
      <c r="K644" s="16"/>
      <c r="L644" s="16"/>
      <c r="M644" s="16"/>
      <c r="N644" s="16"/>
      <c r="O644" s="16"/>
      <c r="P644" s="16"/>
      <c r="Q644" s="16"/>
      <c r="R644" s="16"/>
      <c r="S644" s="16"/>
      <c r="T644" s="16"/>
      <c r="U644" s="16"/>
      <c r="V644" s="16"/>
      <c r="W644" s="16"/>
      <c r="X644" s="16"/>
      <c r="Y644" s="16"/>
      <c r="Z644" s="16"/>
      <c r="AA644" s="16"/>
      <c r="AB644" s="16"/>
      <c r="AC644" s="16"/>
      <c r="AD644" s="16"/>
    </row>
    <row r="645" spans="1:30" ht="12.9">
      <c r="A645" s="16"/>
      <c r="B645" s="24"/>
      <c r="C645" s="196"/>
      <c r="D645" s="196"/>
      <c r="E645" s="196"/>
      <c r="F645" s="16"/>
      <c r="G645" s="24"/>
      <c r="H645" s="24"/>
      <c r="I645" s="16"/>
      <c r="J645" s="16"/>
      <c r="K645" s="16"/>
      <c r="L645" s="16"/>
      <c r="M645" s="16"/>
      <c r="N645" s="16"/>
      <c r="O645" s="16"/>
      <c r="P645" s="16"/>
      <c r="Q645" s="16"/>
      <c r="R645" s="16"/>
      <c r="S645" s="16"/>
      <c r="T645" s="16"/>
      <c r="U645" s="16"/>
      <c r="V645" s="16"/>
      <c r="W645" s="16"/>
      <c r="X645" s="16"/>
      <c r="Y645" s="16"/>
      <c r="Z645" s="16"/>
      <c r="AA645" s="16"/>
      <c r="AB645" s="16"/>
      <c r="AC645" s="16"/>
      <c r="AD645" s="16"/>
    </row>
    <row r="646" spans="1:30" ht="12.9">
      <c r="A646" s="16"/>
      <c r="B646" s="24"/>
      <c r="C646" s="196"/>
      <c r="D646" s="196"/>
      <c r="E646" s="196"/>
      <c r="F646" s="16"/>
      <c r="G646" s="24"/>
      <c r="H646" s="24"/>
      <c r="I646" s="16"/>
      <c r="J646" s="16"/>
      <c r="K646" s="16"/>
      <c r="L646" s="16"/>
      <c r="M646" s="16"/>
      <c r="N646" s="16"/>
      <c r="O646" s="16"/>
      <c r="P646" s="16"/>
      <c r="Q646" s="16"/>
      <c r="R646" s="16"/>
      <c r="S646" s="16"/>
      <c r="T646" s="16"/>
      <c r="U646" s="16"/>
      <c r="V646" s="16"/>
      <c r="W646" s="16"/>
      <c r="X646" s="16"/>
      <c r="Y646" s="16"/>
      <c r="Z646" s="16"/>
      <c r="AA646" s="16"/>
      <c r="AB646" s="16"/>
      <c r="AC646" s="16"/>
      <c r="AD646" s="16"/>
    </row>
    <row r="647" spans="1:30" ht="12.9">
      <c r="A647" s="16"/>
      <c r="B647" s="24"/>
      <c r="C647" s="196"/>
      <c r="D647" s="196"/>
      <c r="E647" s="196"/>
      <c r="F647" s="16"/>
      <c r="G647" s="24"/>
      <c r="H647" s="24"/>
      <c r="I647" s="16"/>
      <c r="J647" s="16"/>
      <c r="K647" s="16"/>
      <c r="L647" s="16"/>
      <c r="M647" s="16"/>
      <c r="N647" s="16"/>
      <c r="O647" s="16"/>
      <c r="P647" s="16"/>
      <c r="Q647" s="16"/>
      <c r="R647" s="16"/>
      <c r="S647" s="16"/>
      <c r="T647" s="16"/>
      <c r="U647" s="16"/>
      <c r="V647" s="16"/>
      <c r="W647" s="16"/>
      <c r="X647" s="16"/>
      <c r="Y647" s="16"/>
      <c r="Z647" s="16"/>
      <c r="AA647" s="16"/>
      <c r="AB647" s="16"/>
      <c r="AC647" s="16"/>
      <c r="AD647" s="16"/>
    </row>
    <row r="648" spans="1:30" ht="12.9">
      <c r="A648" s="16"/>
      <c r="B648" s="24"/>
      <c r="C648" s="196"/>
      <c r="D648" s="196"/>
      <c r="E648" s="196"/>
      <c r="F648" s="16"/>
      <c r="G648" s="24"/>
      <c r="H648" s="24"/>
      <c r="I648" s="16"/>
      <c r="J648" s="16"/>
      <c r="K648" s="16"/>
      <c r="L648" s="16"/>
      <c r="M648" s="16"/>
      <c r="N648" s="16"/>
      <c r="O648" s="16"/>
      <c r="P648" s="16"/>
      <c r="Q648" s="16"/>
      <c r="R648" s="16"/>
      <c r="S648" s="16"/>
      <c r="T648" s="16"/>
      <c r="U648" s="16"/>
      <c r="V648" s="16"/>
      <c r="W648" s="16"/>
      <c r="X648" s="16"/>
      <c r="Y648" s="16"/>
      <c r="Z648" s="16"/>
      <c r="AA648" s="16"/>
      <c r="AB648" s="16"/>
      <c r="AC648" s="16"/>
      <c r="AD648" s="16"/>
    </row>
    <row r="649" spans="1:30" ht="12.9">
      <c r="A649" s="16"/>
      <c r="B649" s="24"/>
      <c r="C649" s="196"/>
      <c r="D649" s="196"/>
      <c r="E649" s="196"/>
      <c r="F649" s="16"/>
      <c r="G649" s="24"/>
      <c r="H649" s="24"/>
      <c r="I649" s="16"/>
      <c r="J649" s="16"/>
      <c r="K649" s="16"/>
      <c r="L649" s="16"/>
      <c r="M649" s="16"/>
      <c r="N649" s="16"/>
      <c r="O649" s="16"/>
      <c r="P649" s="16"/>
      <c r="Q649" s="16"/>
      <c r="R649" s="16"/>
      <c r="S649" s="16"/>
      <c r="T649" s="16"/>
      <c r="U649" s="16"/>
      <c r="V649" s="16"/>
      <c r="W649" s="16"/>
      <c r="X649" s="16"/>
      <c r="Y649" s="16"/>
      <c r="Z649" s="16"/>
      <c r="AA649" s="16"/>
      <c r="AB649" s="16"/>
      <c r="AC649" s="16"/>
      <c r="AD649" s="16"/>
    </row>
    <row r="650" spans="1:30" ht="12.9">
      <c r="A650" s="16"/>
      <c r="B650" s="24"/>
      <c r="C650" s="196"/>
      <c r="D650" s="196"/>
      <c r="E650" s="196"/>
      <c r="F650" s="16"/>
      <c r="G650" s="24"/>
      <c r="H650" s="24"/>
      <c r="I650" s="16"/>
      <c r="J650" s="16"/>
      <c r="K650" s="16"/>
      <c r="L650" s="16"/>
      <c r="M650" s="16"/>
      <c r="N650" s="16"/>
      <c r="O650" s="16"/>
      <c r="P650" s="16"/>
      <c r="Q650" s="16"/>
      <c r="R650" s="16"/>
      <c r="S650" s="16"/>
      <c r="T650" s="16"/>
      <c r="U650" s="16"/>
      <c r="V650" s="16"/>
      <c r="W650" s="16"/>
      <c r="X650" s="16"/>
      <c r="Y650" s="16"/>
      <c r="Z650" s="16"/>
      <c r="AA650" s="16"/>
      <c r="AB650" s="16"/>
      <c r="AC650" s="16"/>
      <c r="AD650" s="16"/>
    </row>
    <row r="651" spans="1:30" ht="12.9">
      <c r="A651" s="16"/>
      <c r="B651" s="24"/>
      <c r="C651" s="196"/>
      <c r="D651" s="196"/>
      <c r="E651" s="196"/>
      <c r="F651" s="16"/>
      <c r="G651" s="24"/>
      <c r="H651" s="24"/>
      <c r="I651" s="16"/>
      <c r="J651" s="16"/>
      <c r="K651" s="16"/>
      <c r="L651" s="16"/>
      <c r="M651" s="16"/>
      <c r="N651" s="16"/>
      <c r="O651" s="16"/>
      <c r="P651" s="16"/>
      <c r="Q651" s="16"/>
      <c r="R651" s="16"/>
      <c r="S651" s="16"/>
      <c r="T651" s="16"/>
      <c r="U651" s="16"/>
      <c r="V651" s="16"/>
      <c r="W651" s="16"/>
      <c r="X651" s="16"/>
      <c r="Y651" s="16"/>
      <c r="Z651" s="16"/>
      <c r="AA651" s="16"/>
      <c r="AB651" s="16"/>
      <c r="AC651" s="16"/>
      <c r="AD651" s="16"/>
    </row>
    <row r="652" spans="1:30" ht="12.9">
      <c r="A652" s="16"/>
      <c r="B652" s="24"/>
      <c r="C652" s="196"/>
      <c r="D652" s="196"/>
      <c r="E652" s="196"/>
      <c r="F652" s="16"/>
      <c r="G652" s="24"/>
      <c r="H652" s="24"/>
      <c r="I652" s="16"/>
      <c r="J652" s="16"/>
      <c r="K652" s="16"/>
      <c r="L652" s="16"/>
      <c r="M652" s="16"/>
      <c r="N652" s="16"/>
      <c r="O652" s="16"/>
      <c r="P652" s="16"/>
      <c r="Q652" s="16"/>
      <c r="R652" s="16"/>
      <c r="S652" s="16"/>
      <c r="T652" s="16"/>
      <c r="U652" s="16"/>
      <c r="V652" s="16"/>
      <c r="W652" s="16"/>
      <c r="X652" s="16"/>
      <c r="Y652" s="16"/>
      <c r="Z652" s="16"/>
      <c r="AA652" s="16"/>
      <c r="AB652" s="16"/>
      <c r="AC652" s="16"/>
      <c r="AD652" s="16"/>
    </row>
    <row r="653" spans="1:30" ht="12.9">
      <c r="A653" s="16"/>
      <c r="B653" s="24"/>
      <c r="C653" s="196"/>
      <c r="D653" s="196"/>
      <c r="E653" s="196"/>
      <c r="F653" s="16"/>
      <c r="G653" s="24"/>
      <c r="H653" s="24"/>
      <c r="I653" s="16"/>
      <c r="J653" s="16"/>
      <c r="K653" s="16"/>
      <c r="L653" s="16"/>
      <c r="M653" s="16"/>
      <c r="N653" s="16"/>
      <c r="O653" s="16"/>
      <c r="P653" s="16"/>
      <c r="Q653" s="16"/>
      <c r="R653" s="16"/>
      <c r="S653" s="16"/>
      <c r="T653" s="16"/>
      <c r="U653" s="16"/>
      <c r="V653" s="16"/>
      <c r="W653" s="16"/>
      <c r="X653" s="16"/>
      <c r="Y653" s="16"/>
      <c r="Z653" s="16"/>
      <c r="AA653" s="16"/>
      <c r="AB653" s="16"/>
      <c r="AC653" s="16"/>
      <c r="AD653" s="16"/>
    </row>
    <row r="654" spans="1:30" ht="12.9">
      <c r="A654" s="16"/>
      <c r="B654" s="24"/>
      <c r="C654" s="196"/>
      <c r="D654" s="196"/>
      <c r="E654" s="196"/>
      <c r="F654" s="16"/>
      <c r="G654" s="24"/>
      <c r="H654" s="24"/>
      <c r="I654" s="16"/>
      <c r="J654" s="16"/>
      <c r="K654" s="16"/>
      <c r="L654" s="16"/>
      <c r="M654" s="16"/>
      <c r="N654" s="16"/>
      <c r="O654" s="16"/>
      <c r="P654" s="16"/>
      <c r="Q654" s="16"/>
      <c r="R654" s="16"/>
      <c r="S654" s="16"/>
      <c r="T654" s="16"/>
      <c r="U654" s="16"/>
      <c r="V654" s="16"/>
      <c r="W654" s="16"/>
      <c r="X654" s="16"/>
      <c r="Y654" s="16"/>
      <c r="Z654" s="16"/>
      <c r="AA654" s="16"/>
      <c r="AB654" s="16"/>
      <c r="AC654" s="16"/>
      <c r="AD654" s="16"/>
    </row>
    <row r="655" spans="1:30" ht="12.9">
      <c r="A655" s="16"/>
      <c r="B655" s="24"/>
      <c r="C655" s="196"/>
      <c r="D655" s="196"/>
      <c r="E655" s="196"/>
      <c r="F655" s="16"/>
      <c r="G655" s="24"/>
      <c r="H655" s="24"/>
      <c r="I655" s="16"/>
      <c r="J655" s="16"/>
      <c r="K655" s="16"/>
      <c r="L655" s="16"/>
      <c r="M655" s="16"/>
      <c r="N655" s="16"/>
      <c r="O655" s="16"/>
      <c r="P655" s="16"/>
      <c r="Q655" s="16"/>
      <c r="R655" s="16"/>
      <c r="S655" s="16"/>
      <c r="T655" s="16"/>
      <c r="U655" s="16"/>
      <c r="V655" s="16"/>
      <c r="W655" s="16"/>
      <c r="X655" s="16"/>
      <c r="Y655" s="16"/>
      <c r="Z655" s="16"/>
      <c r="AA655" s="16"/>
      <c r="AB655" s="16"/>
      <c r="AC655" s="16"/>
      <c r="AD655" s="16"/>
    </row>
    <row r="656" spans="1:30" ht="12.9">
      <c r="A656" s="16"/>
      <c r="B656" s="24"/>
      <c r="C656" s="196"/>
      <c r="D656" s="196"/>
      <c r="E656" s="196"/>
      <c r="F656" s="16"/>
      <c r="G656" s="24"/>
      <c r="H656" s="24"/>
      <c r="I656" s="16"/>
      <c r="J656" s="16"/>
      <c r="K656" s="16"/>
      <c r="L656" s="16"/>
      <c r="M656" s="16"/>
      <c r="N656" s="16"/>
      <c r="O656" s="16"/>
      <c r="P656" s="16"/>
      <c r="Q656" s="16"/>
      <c r="R656" s="16"/>
      <c r="S656" s="16"/>
      <c r="T656" s="16"/>
      <c r="U656" s="16"/>
      <c r="V656" s="16"/>
      <c r="W656" s="16"/>
      <c r="X656" s="16"/>
      <c r="Y656" s="16"/>
      <c r="Z656" s="16"/>
      <c r="AA656" s="16"/>
      <c r="AB656" s="16"/>
      <c r="AC656" s="16"/>
      <c r="AD656" s="16"/>
    </row>
    <row r="657" spans="1:30" ht="12.9">
      <c r="A657" s="16"/>
      <c r="B657" s="24"/>
      <c r="C657" s="196"/>
      <c r="D657" s="196"/>
      <c r="E657" s="196"/>
      <c r="F657" s="16"/>
      <c r="G657" s="24"/>
      <c r="H657" s="24"/>
      <c r="I657" s="16"/>
      <c r="J657" s="16"/>
      <c r="K657" s="16"/>
      <c r="L657" s="16"/>
      <c r="M657" s="16"/>
      <c r="N657" s="16"/>
      <c r="O657" s="16"/>
      <c r="P657" s="16"/>
      <c r="Q657" s="16"/>
      <c r="R657" s="16"/>
      <c r="S657" s="16"/>
      <c r="T657" s="16"/>
      <c r="U657" s="16"/>
      <c r="V657" s="16"/>
      <c r="W657" s="16"/>
      <c r="X657" s="16"/>
      <c r="Y657" s="16"/>
      <c r="Z657" s="16"/>
      <c r="AA657" s="16"/>
      <c r="AB657" s="16"/>
      <c r="AC657" s="16"/>
      <c r="AD657" s="16"/>
    </row>
    <row r="658" spans="1:30" ht="12.9">
      <c r="A658" s="16"/>
      <c r="B658" s="24"/>
      <c r="C658" s="196"/>
      <c r="D658" s="196"/>
      <c r="E658" s="196"/>
      <c r="F658" s="16"/>
      <c r="G658" s="24"/>
      <c r="H658" s="24"/>
      <c r="I658" s="16"/>
      <c r="J658" s="16"/>
      <c r="K658" s="16"/>
      <c r="L658" s="16"/>
      <c r="M658" s="16"/>
      <c r="N658" s="16"/>
      <c r="O658" s="16"/>
      <c r="P658" s="16"/>
      <c r="Q658" s="16"/>
      <c r="R658" s="16"/>
      <c r="S658" s="16"/>
      <c r="T658" s="16"/>
      <c r="U658" s="16"/>
      <c r="V658" s="16"/>
      <c r="W658" s="16"/>
      <c r="X658" s="16"/>
      <c r="Y658" s="16"/>
      <c r="Z658" s="16"/>
      <c r="AA658" s="16"/>
      <c r="AB658" s="16"/>
      <c r="AC658" s="16"/>
      <c r="AD658" s="16"/>
    </row>
    <row r="659" spans="1:30" ht="12.9">
      <c r="A659" s="16"/>
      <c r="B659" s="24"/>
      <c r="C659" s="196"/>
      <c r="D659" s="196"/>
      <c r="E659" s="196"/>
      <c r="F659" s="16"/>
      <c r="G659" s="24"/>
      <c r="H659" s="24"/>
      <c r="I659" s="16"/>
      <c r="J659" s="16"/>
      <c r="K659" s="16"/>
      <c r="L659" s="16"/>
      <c r="M659" s="16"/>
      <c r="N659" s="16"/>
      <c r="O659" s="16"/>
      <c r="P659" s="16"/>
      <c r="Q659" s="16"/>
      <c r="R659" s="16"/>
      <c r="S659" s="16"/>
      <c r="T659" s="16"/>
      <c r="U659" s="16"/>
      <c r="V659" s="16"/>
      <c r="W659" s="16"/>
      <c r="X659" s="16"/>
      <c r="Y659" s="16"/>
      <c r="Z659" s="16"/>
      <c r="AA659" s="16"/>
      <c r="AB659" s="16"/>
      <c r="AC659" s="16"/>
      <c r="AD659" s="16"/>
    </row>
    <row r="660" spans="1:30" ht="12.9">
      <c r="A660" s="16"/>
      <c r="B660" s="24"/>
      <c r="C660" s="196"/>
      <c r="D660" s="196"/>
      <c r="E660" s="196"/>
      <c r="F660" s="16"/>
      <c r="G660" s="24"/>
      <c r="H660" s="24"/>
      <c r="I660" s="16"/>
      <c r="J660" s="16"/>
      <c r="K660" s="16"/>
      <c r="L660" s="16"/>
      <c r="M660" s="16"/>
      <c r="N660" s="16"/>
      <c r="O660" s="16"/>
      <c r="P660" s="16"/>
      <c r="Q660" s="16"/>
      <c r="R660" s="16"/>
      <c r="S660" s="16"/>
      <c r="T660" s="16"/>
      <c r="U660" s="16"/>
      <c r="V660" s="16"/>
      <c r="W660" s="16"/>
      <c r="X660" s="16"/>
      <c r="Y660" s="16"/>
      <c r="Z660" s="16"/>
      <c r="AA660" s="16"/>
      <c r="AB660" s="16"/>
      <c r="AC660" s="16"/>
      <c r="AD660" s="16"/>
    </row>
    <row r="661" spans="1:30" ht="12.9">
      <c r="A661" s="16"/>
      <c r="B661" s="24"/>
      <c r="C661" s="196"/>
      <c r="D661" s="196"/>
      <c r="E661" s="196"/>
      <c r="F661" s="16"/>
      <c r="G661" s="24"/>
      <c r="H661" s="24"/>
      <c r="I661" s="16"/>
      <c r="J661" s="16"/>
      <c r="K661" s="16"/>
      <c r="L661" s="16"/>
      <c r="M661" s="16"/>
      <c r="N661" s="16"/>
      <c r="O661" s="16"/>
      <c r="P661" s="16"/>
      <c r="Q661" s="16"/>
      <c r="R661" s="16"/>
      <c r="S661" s="16"/>
      <c r="T661" s="16"/>
      <c r="U661" s="16"/>
      <c r="V661" s="16"/>
      <c r="W661" s="16"/>
      <c r="X661" s="16"/>
      <c r="Y661" s="16"/>
      <c r="Z661" s="16"/>
      <c r="AA661" s="16"/>
      <c r="AB661" s="16"/>
      <c r="AC661" s="16"/>
      <c r="AD661" s="16"/>
    </row>
    <row r="662" spans="1:30" ht="12.9">
      <c r="A662" s="16"/>
      <c r="B662" s="24"/>
      <c r="C662" s="196"/>
      <c r="D662" s="196"/>
      <c r="E662" s="196"/>
      <c r="F662" s="16"/>
      <c r="G662" s="24"/>
      <c r="H662" s="24"/>
      <c r="I662" s="16"/>
      <c r="J662" s="16"/>
      <c r="K662" s="16"/>
      <c r="L662" s="16"/>
      <c r="M662" s="16"/>
      <c r="N662" s="16"/>
      <c r="O662" s="16"/>
      <c r="P662" s="16"/>
      <c r="Q662" s="16"/>
      <c r="R662" s="16"/>
      <c r="S662" s="16"/>
      <c r="T662" s="16"/>
      <c r="U662" s="16"/>
      <c r="V662" s="16"/>
      <c r="W662" s="16"/>
      <c r="X662" s="16"/>
      <c r="Y662" s="16"/>
      <c r="Z662" s="16"/>
      <c r="AA662" s="16"/>
      <c r="AB662" s="16"/>
      <c r="AC662" s="16"/>
      <c r="AD662" s="16"/>
    </row>
    <row r="663" spans="1:30" ht="12.9">
      <c r="A663" s="16"/>
      <c r="B663" s="24"/>
      <c r="C663" s="196"/>
      <c r="D663" s="196"/>
      <c r="E663" s="196"/>
      <c r="F663" s="16"/>
      <c r="G663" s="24"/>
      <c r="H663" s="24"/>
      <c r="I663" s="16"/>
      <c r="J663" s="16"/>
      <c r="K663" s="16"/>
      <c r="L663" s="16"/>
      <c r="M663" s="16"/>
      <c r="N663" s="16"/>
      <c r="O663" s="16"/>
      <c r="P663" s="16"/>
      <c r="Q663" s="16"/>
      <c r="R663" s="16"/>
      <c r="S663" s="16"/>
      <c r="T663" s="16"/>
      <c r="U663" s="16"/>
      <c r="V663" s="16"/>
      <c r="W663" s="16"/>
      <c r="X663" s="16"/>
      <c r="Y663" s="16"/>
      <c r="Z663" s="16"/>
      <c r="AA663" s="16"/>
      <c r="AB663" s="16"/>
      <c r="AC663" s="16"/>
      <c r="AD663" s="16"/>
    </row>
    <row r="664" spans="1:30" ht="12.9">
      <c r="A664" s="16"/>
      <c r="B664" s="24"/>
      <c r="C664" s="196"/>
      <c r="D664" s="196"/>
      <c r="E664" s="196"/>
      <c r="F664" s="16"/>
      <c r="G664" s="24"/>
      <c r="H664" s="24"/>
      <c r="I664" s="16"/>
      <c r="J664" s="16"/>
      <c r="K664" s="16"/>
      <c r="L664" s="16"/>
      <c r="M664" s="16"/>
      <c r="N664" s="16"/>
      <c r="O664" s="16"/>
      <c r="P664" s="16"/>
      <c r="Q664" s="16"/>
      <c r="R664" s="16"/>
      <c r="S664" s="16"/>
      <c r="T664" s="16"/>
      <c r="U664" s="16"/>
      <c r="V664" s="16"/>
      <c r="W664" s="16"/>
      <c r="X664" s="16"/>
      <c r="Y664" s="16"/>
      <c r="Z664" s="16"/>
      <c r="AA664" s="16"/>
      <c r="AB664" s="16"/>
      <c r="AC664" s="16"/>
      <c r="AD664" s="16"/>
    </row>
    <row r="665" spans="1:30" ht="12.9">
      <c r="A665" s="16"/>
      <c r="B665" s="24"/>
      <c r="C665" s="196"/>
      <c r="D665" s="196"/>
      <c r="E665" s="196"/>
      <c r="F665" s="16"/>
      <c r="G665" s="24"/>
      <c r="H665" s="24"/>
      <c r="I665" s="16"/>
      <c r="J665" s="16"/>
      <c r="K665" s="16"/>
      <c r="L665" s="16"/>
      <c r="M665" s="16"/>
      <c r="N665" s="16"/>
      <c r="O665" s="16"/>
      <c r="P665" s="16"/>
      <c r="Q665" s="16"/>
      <c r="R665" s="16"/>
      <c r="S665" s="16"/>
      <c r="T665" s="16"/>
      <c r="U665" s="16"/>
      <c r="V665" s="16"/>
      <c r="W665" s="16"/>
      <c r="X665" s="16"/>
      <c r="Y665" s="16"/>
      <c r="Z665" s="16"/>
      <c r="AA665" s="16"/>
      <c r="AB665" s="16"/>
      <c r="AC665" s="16"/>
      <c r="AD665" s="16"/>
    </row>
    <row r="666" spans="1:30" ht="12.9">
      <c r="A666" s="16"/>
      <c r="B666" s="24"/>
      <c r="C666" s="196"/>
      <c r="D666" s="196"/>
      <c r="E666" s="196"/>
      <c r="F666" s="16"/>
      <c r="G666" s="24"/>
      <c r="H666" s="24"/>
      <c r="I666" s="16"/>
      <c r="J666" s="16"/>
      <c r="K666" s="16"/>
      <c r="L666" s="16"/>
      <c r="M666" s="16"/>
      <c r="N666" s="16"/>
      <c r="O666" s="16"/>
      <c r="P666" s="16"/>
      <c r="Q666" s="16"/>
      <c r="R666" s="16"/>
      <c r="S666" s="16"/>
      <c r="T666" s="16"/>
      <c r="U666" s="16"/>
      <c r="V666" s="16"/>
      <c r="W666" s="16"/>
      <c r="X666" s="16"/>
      <c r="Y666" s="16"/>
      <c r="Z666" s="16"/>
      <c r="AA666" s="16"/>
      <c r="AB666" s="16"/>
      <c r="AC666" s="16"/>
      <c r="AD666" s="16"/>
    </row>
    <row r="667" spans="1:30" ht="12.9">
      <c r="A667" s="16"/>
      <c r="B667" s="24"/>
      <c r="C667" s="196"/>
      <c r="D667" s="196"/>
      <c r="E667" s="196"/>
      <c r="F667" s="16"/>
      <c r="G667" s="24"/>
      <c r="H667" s="24"/>
      <c r="I667" s="16"/>
      <c r="J667" s="16"/>
      <c r="K667" s="16"/>
      <c r="L667" s="16"/>
      <c r="M667" s="16"/>
      <c r="N667" s="16"/>
      <c r="O667" s="16"/>
      <c r="P667" s="16"/>
      <c r="Q667" s="16"/>
      <c r="R667" s="16"/>
      <c r="S667" s="16"/>
      <c r="T667" s="16"/>
      <c r="U667" s="16"/>
      <c r="V667" s="16"/>
      <c r="W667" s="16"/>
      <c r="X667" s="16"/>
      <c r="Y667" s="16"/>
      <c r="Z667" s="16"/>
      <c r="AA667" s="16"/>
      <c r="AB667" s="16"/>
      <c r="AC667" s="16"/>
      <c r="AD667" s="16"/>
    </row>
    <row r="668" spans="1:30" ht="12.9">
      <c r="A668" s="16"/>
      <c r="B668" s="24"/>
      <c r="C668" s="196"/>
      <c r="D668" s="196"/>
      <c r="E668" s="196"/>
      <c r="F668" s="16"/>
      <c r="G668" s="24"/>
      <c r="H668" s="24"/>
      <c r="I668" s="16"/>
      <c r="J668" s="16"/>
      <c r="K668" s="16"/>
      <c r="L668" s="16"/>
      <c r="M668" s="16"/>
      <c r="N668" s="16"/>
      <c r="O668" s="16"/>
      <c r="P668" s="16"/>
      <c r="Q668" s="16"/>
      <c r="R668" s="16"/>
      <c r="S668" s="16"/>
      <c r="T668" s="16"/>
      <c r="U668" s="16"/>
      <c r="V668" s="16"/>
      <c r="W668" s="16"/>
      <c r="X668" s="16"/>
      <c r="Y668" s="16"/>
      <c r="Z668" s="16"/>
      <c r="AA668" s="16"/>
      <c r="AB668" s="16"/>
      <c r="AC668" s="16"/>
      <c r="AD668" s="16"/>
    </row>
    <row r="669" spans="1:30" ht="12.9">
      <c r="A669" s="16"/>
      <c r="B669" s="24"/>
      <c r="C669" s="196"/>
      <c r="D669" s="196"/>
      <c r="E669" s="196"/>
      <c r="F669" s="16"/>
      <c r="G669" s="24"/>
      <c r="H669" s="24"/>
      <c r="I669" s="16"/>
      <c r="J669" s="16"/>
      <c r="K669" s="16"/>
      <c r="L669" s="16"/>
      <c r="M669" s="16"/>
      <c r="N669" s="16"/>
      <c r="O669" s="16"/>
      <c r="P669" s="16"/>
      <c r="Q669" s="16"/>
      <c r="R669" s="16"/>
      <c r="S669" s="16"/>
      <c r="T669" s="16"/>
      <c r="U669" s="16"/>
      <c r="V669" s="16"/>
      <c r="W669" s="16"/>
      <c r="X669" s="16"/>
      <c r="Y669" s="16"/>
      <c r="Z669" s="16"/>
      <c r="AA669" s="16"/>
      <c r="AB669" s="16"/>
      <c r="AC669" s="16"/>
      <c r="AD669" s="16"/>
    </row>
    <row r="670" spans="1:30" ht="12.9">
      <c r="A670" s="16"/>
      <c r="B670" s="24"/>
      <c r="C670" s="196"/>
      <c r="D670" s="196"/>
      <c r="E670" s="196"/>
      <c r="F670" s="16"/>
      <c r="G670" s="24"/>
      <c r="H670" s="24"/>
      <c r="I670" s="16"/>
      <c r="J670" s="16"/>
      <c r="K670" s="16"/>
      <c r="L670" s="16"/>
      <c r="M670" s="16"/>
      <c r="N670" s="16"/>
      <c r="O670" s="16"/>
      <c r="P670" s="16"/>
      <c r="Q670" s="16"/>
      <c r="R670" s="16"/>
      <c r="S670" s="16"/>
      <c r="T670" s="16"/>
      <c r="U670" s="16"/>
      <c r="V670" s="16"/>
      <c r="W670" s="16"/>
      <c r="X670" s="16"/>
      <c r="Y670" s="16"/>
      <c r="Z670" s="16"/>
      <c r="AA670" s="16"/>
      <c r="AB670" s="16"/>
      <c r="AC670" s="16"/>
      <c r="AD670" s="16"/>
    </row>
    <row r="671" spans="1:30" ht="12.9">
      <c r="A671" s="16"/>
      <c r="B671" s="24"/>
      <c r="C671" s="196"/>
      <c r="D671" s="196"/>
      <c r="E671" s="196"/>
      <c r="F671" s="16"/>
      <c r="G671" s="24"/>
      <c r="H671" s="24"/>
      <c r="I671" s="16"/>
      <c r="J671" s="16"/>
      <c r="K671" s="16"/>
      <c r="L671" s="16"/>
      <c r="M671" s="16"/>
      <c r="N671" s="16"/>
      <c r="O671" s="16"/>
      <c r="P671" s="16"/>
      <c r="Q671" s="16"/>
      <c r="R671" s="16"/>
      <c r="S671" s="16"/>
      <c r="T671" s="16"/>
      <c r="U671" s="16"/>
      <c r="V671" s="16"/>
      <c r="W671" s="16"/>
      <c r="X671" s="16"/>
      <c r="Y671" s="16"/>
      <c r="Z671" s="16"/>
      <c r="AA671" s="16"/>
      <c r="AB671" s="16"/>
      <c r="AC671" s="16"/>
      <c r="AD671" s="16"/>
    </row>
    <row r="672" spans="1:30" ht="12.9">
      <c r="A672" s="16"/>
      <c r="B672" s="24"/>
      <c r="C672" s="196"/>
      <c r="D672" s="196"/>
      <c r="E672" s="196"/>
      <c r="F672" s="16"/>
      <c r="G672" s="24"/>
      <c r="H672" s="24"/>
      <c r="I672" s="16"/>
      <c r="J672" s="16"/>
      <c r="K672" s="16"/>
      <c r="L672" s="16"/>
      <c r="M672" s="16"/>
      <c r="N672" s="16"/>
      <c r="O672" s="16"/>
      <c r="P672" s="16"/>
      <c r="Q672" s="16"/>
      <c r="R672" s="16"/>
      <c r="S672" s="16"/>
      <c r="T672" s="16"/>
      <c r="U672" s="16"/>
      <c r="V672" s="16"/>
      <c r="W672" s="16"/>
      <c r="X672" s="16"/>
      <c r="Y672" s="16"/>
      <c r="Z672" s="16"/>
      <c r="AA672" s="16"/>
      <c r="AB672" s="16"/>
      <c r="AC672" s="16"/>
      <c r="AD672" s="16"/>
    </row>
    <row r="673" spans="1:30" ht="12.9">
      <c r="A673" s="16"/>
      <c r="B673" s="24"/>
      <c r="C673" s="196"/>
      <c r="D673" s="196"/>
      <c r="E673" s="196"/>
      <c r="F673" s="16"/>
      <c r="G673" s="24"/>
      <c r="H673" s="24"/>
      <c r="I673" s="16"/>
      <c r="J673" s="16"/>
      <c r="K673" s="16"/>
      <c r="L673" s="16"/>
      <c r="M673" s="16"/>
      <c r="N673" s="16"/>
      <c r="O673" s="16"/>
      <c r="P673" s="16"/>
      <c r="Q673" s="16"/>
      <c r="R673" s="16"/>
      <c r="S673" s="16"/>
      <c r="T673" s="16"/>
      <c r="U673" s="16"/>
      <c r="V673" s="16"/>
      <c r="W673" s="16"/>
      <c r="X673" s="16"/>
      <c r="Y673" s="16"/>
      <c r="Z673" s="16"/>
      <c r="AA673" s="16"/>
      <c r="AB673" s="16"/>
      <c r="AC673" s="16"/>
      <c r="AD673" s="16"/>
    </row>
    <row r="674" spans="1:30" ht="12.9">
      <c r="A674" s="16"/>
      <c r="B674" s="24"/>
      <c r="C674" s="196"/>
      <c r="D674" s="196"/>
      <c r="E674" s="196"/>
      <c r="F674" s="16"/>
      <c r="G674" s="24"/>
      <c r="H674" s="24"/>
      <c r="I674" s="16"/>
      <c r="J674" s="16"/>
      <c r="K674" s="16"/>
      <c r="L674" s="16"/>
      <c r="M674" s="16"/>
      <c r="N674" s="16"/>
      <c r="O674" s="16"/>
      <c r="P674" s="16"/>
      <c r="Q674" s="16"/>
      <c r="R674" s="16"/>
      <c r="S674" s="16"/>
      <c r="T674" s="16"/>
      <c r="U674" s="16"/>
      <c r="V674" s="16"/>
      <c r="W674" s="16"/>
      <c r="X674" s="16"/>
      <c r="Y674" s="16"/>
      <c r="Z674" s="16"/>
      <c r="AA674" s="16"/>
      <c r="AB674" s="16"/>
      <c r="AC674" s="16"/>
      <c r="AD674" s="16"/>
    </row>
    <row r="675" spans="1:30" ht="12.9">
      <c r="A675" s="16"/>
      <c r="B675" s="24"/>
      <c r="C675" s="196"/>
      <c r="D675" s="196"/>
      <c r="E675" s="196"/>
      <c r="F675" s="16"/>
      <c r="G675" s="24"/>
      <c r="H675" s="24"/>
      <c r="I675" s="16"/>
      <c r="J675" s="16"/>
      <c r="K675" s="16"/>
      <c r="L675" s="16"/>
      <c r="M675" s="16"/>
      <c r="N675" s="16"/>
      <c r="O675" s="16"/>
      <c r="P675" s="16"/>
      <c r="Q675" s="16"/>
      <c r="R675" s="16"/>
      <c r="S675" s="16"/>
      <c r="T675" s="16"/>
      <c r="U675" s="16"/>
      <c r="V675" s="16"/>
      <c r="W675" s="16"/>
      <c r="X675" s="16"/>
      <c r="Y675" s="16"/>
      <c r="Z675" s="16"/>
      <c r="AA675" s="16"/>
      <c r="AB675" s="16"/>
      <c r="AC675" s="16"/>
      <c r="AD675" s="16"/>
    </row>
    <row r="676" spans="1:30" ht="12.9">
      <c r="A676" s="16"/>
      <c r="B676" s="24"/>
      <c r="C676" s="196"/>
      <c r="D676" s="196"/>
      <c r="E676" s="196"/>
      <c r="F676" s="16"/>
      <c r="G676" s="24"/>
      <c r="H676" s="24"/>
      <c r="I676" s="16"/>
      <c r="J676" s="16"/>
      <c r="K676" s="16"/>
      <c r="L676" s="16"/>
      <c r="M676" s="16"/>
      <c r="N676" s="16"/>
      <c r="O676" s="16"/>
      <c r="P676" s="16"/>
      <c r="Q676" s="16"/>
      <c r="R676" s="16"/>
      <c r="S676" s="16"/>
      <c r="T676" s="16"/>
      <c r="U676" s="16"/>
      <c r="V676" s="16"/>
      <c r="W676" s="16"/>
      <c r="X676" s="16"/>
      <c r="Y676" s="16"/>
      <c r="Z676" s="16"/>
      <c r="AA676" s="16"/>
      <c r="AB676" s="16"/>
      <c r="AC676" s="16"/>
      <c r="AD676" s="16"/>
    </row>
    <row r="677" spans="1:30" ht="12.9">
      <c r="A677" s="16"/>
      <c r="B677" s="24"/>
      <c r="C677" s="196"/>
      <c r="D677" s="196"/>
      <c r="E677" s="196"/>
      <c r="F677" s="16"/>
      <c r="G677" s="24"/>
      <c r="H677" s="24"/>
      <c r="I677" s="16"/>
      <c r="J677" s="16"/>
      <c r="K677" s="16"/>
      <c r="L677" s="16"/>
      <c r="M677" s="16"/>
      <c r="N677" s="16"/>
      <c r="O677" s="16"/>
      <c r="P677" s="16"/>
      <c r="Q677" s="16"/>
      <c r="R677" s="16"/>
      <c r="S677" s="16"/>
      <c r="T677" s="16"/>
      <c r="U677" s="16"/>
      <c r="V677" s="16"/>
      <c r="W677" s="16"/>
      <c r="X677" s="16"/>
      <c r="Y677" s="16"/>
      <c r="Z677" s="16"/>
      <c r="AA677" s="16"/>
      <c r="AB677" s="16"/>
      <c r="AC677" s="16"/>
      <c r="AD677" s="16"/>
    </row>
    <row r="678" spans="1:30" ht="12.9">
      <c r="A678" s="16"/>
      <c r="B678" s="24"/>
      <c r="C678" s="196"/>
      <c r="D678" s="196"/>
      <c r="E678" s="196"/>
      <c r="F678" s="16"/>
      <c r="G678" s="24"/>
      <c r="H678" s="24"/>
      <c r="I678" s="16"/>
      <c r="J678" s="16"/>
      <c r="K678" s="16"/>
      <c r="L678" s="16"/>
      <c r="M678" s="16"/>
      <c r="N678" s="16"/>
      <c r="O678" s="16"/>
      <c r="P678" s="16"/>
      <c r="Q678" s="16"/>
      <c r="R678" s="16"/>
      <c r="S678" s="16"/>
      <c r="T678" s="16"/>
      <c r="U678" s="16"/>
      <c r="V678" s="16"/>
      <c r="W678" s="16"/>
      <c r="X678" s="16"/>
      <c r="Y678" s="16"/>
      <c r="Z678" s="16"/>
      <c r="AA678" s="16"/>
      <c r="AB678" s="16"/>
      <c r="AC678" s="16"/>
      <c r="AD678" s="16"/>
    </row>
    <row r="679" spans="1:30" ht="12.9">
      <c r="A679" s="16"/>
      <c r="B679" s="24"/>
      <c r="C679" s="196"/>
      <c r="D679" s="196"/>
      <c r="E679" s="196"/>
      <c r="F679" s="16"/>
      <c r="G679" s="24"/>
      <c r="H679" s="24"/>
      <c r="I679" s="16"/>
      <c r="J679" s="16"/>
      <c r="K679" s="16"/>
      <c r="L679" s="16"/>
      <c r="M679" s="16"/>
      <c r="N679" s="16"/>
      <c r="O679" s="16"/>
      <c r="P679" s="16"/>
      <c r="Q679" s="16"/>
      <c r="R679" s="16"/>
      <c r="S679" s="16"/>
      <c r="T679" s="16"/>
      <c r="U679" s="16"/>
      <c r="V679" s="16"/>
      <c r="W679" s="16"/>
      <c r="X679" s="16"/>
      <c r="Y679" s="16"/>
      <c r="Z679" s="16"/>
      <c r="AA679" s="16"/>
      <c r="AB679" s="16"/>
      <c r="AC679" s="16"/>
      <c r="AD679" s="16"/>
    </row>
    <row r="680" spans="1:30" ht="12.9">
      <c r="A680" s="16"/>
      <c r="B680" s="24"/>
      <c r="C680" s="196"/>
      <c r="D680" s="196"/>
      <c r="E680" s="196"/>
      <c r="F680" s="16"/>
      <c r="G680" s="24"/>
      <c r="H680" s="24"/>
      <c r="I680" s="16"/>
      <c r="J680" s="16"/>
      <c r="K680" s="16"/>
      <c r="L680" s="16"/>
      <c r="M680" s="16"/>
      <c r="N680" s="16"/>
      <c r="O680" s="16"/>
      <c r="P680" s="16"/>
      <c r="Q680" s="16"/>
      <c r="R680" s="16"/>
      <c r="S680" s="16"/>
      <c r="T680" s="16"/>
      <c r="U680" s="16"/>
      <c r="V680" s="16"/>
      <c r="W680" s="16"/>
      <c r="X680" s="16"/>
      <c r="Y680" s="16"/>
      <c r="Z680" s="16"/>
      <c r="AA680" s="16"/>
      <c r="AB680" s="16"/>
      <c r="AC680" s="16"/>
      <c r="AD680" s="16"/>
    </row>
    <row r="681" spans="1:30" ht="12.9">
      <c r="A681" s="16"/>
      <c r="B681" s="24"/>
      <c r="C681" s="196"/>
      <c r="D681" s="196"/>
      <c r="E681" s="196"/>
      <c r="F681" s="16"/>
      <c r="G681" s="24"/>
      <c r="H681" s="24"/>
      <c r="I681" s="16"/>
      <c r="J681" s="16"/>
      <c r="K681" s="16"/>
      <c r="L681" s="16"/>
      <c r="M681" s="16"/>
      <c r="N681" s="16"/>
      <c r="O681" s="16"/>
      <c r="P681" s="16"/>
      <c r="Q681" s="16"/>
      <c r="R681" s="16"/>
      <c r="S681" s="16"/>
      <c r="T681" s="16"/>
      <c r="U681" s="16"/>
      <c r="V681" s="16"/>
      <c r="W681" s="16"/>
      <c r="X681" s="16"/>
      <c r="Y681" s="16"/>
      <c r="Z681" s="16"/>
      <c r="AA681" s="16"/>
      <c r="AB681" s="16"/>
      <c r="AC681" s="16"/>
      <c r="AD681" s="16"/>
    </row>
    <row r="682" spans="1:30" ht="12.9">
      <c r="A682" s="16"/>
      <c r="B682" s="24"/>
      <c r="C682" s="196"/>
      <c r="D682" s="196"/>
      <c r="E682" s="196"/>
      <c r="F682" s="16"/>
      <c r="G682" s="24"/>
      <c r="H682" s="24"/>
      <c r="I682" s="16"/>
      <c r="J682" s="16"/>
      <c r="K682" s="16"/>
      <c r="L682" s="16"/>
      <c r="M682" s="16"/>
      <c r="N682" s="16"/>
      <c r="O682" s="16"/>
      <c r="P682" s="16"/>
      <c r="Q682" s="16"/>
      <c r="R682" s="16"/>
      <c r="S682" s="16"/>
      <c r="T682" s="16"/>
      <c r="U682" s="16"/>
      <c r="V682" s="16"/>
      <c r="W682" s="16"/>
      <c r="X682" s="16"/>
      <c r="Y682" s="16"/>
      <c r="Z682" s="16"/>
      <c r="AA682" s="16"/>
      <c r="AB682" s="16"/>
      <c r="AC682" s="16"/>
      <c r="AD682" s="16"/>
    </row>
    <row r="683" spans="1:30" ht="12.9">
      <c r="A683" s="16"/>
      <c r="B683" s="24"/>
      <c r="C683" s="196"/>
      <c r="D683" s="196"/>
      <c r="E683" s="196"/>
      <c r="F683" s="16"/>
      <c r="G683" s="24"/>
      <c r="H683" s="24"/>
      <c r="I683" s="16"/>
      <c r="J683" s="16"/>
      <c r="K683" s="16"/>
      <c r="L683" s="16"/>
      <c r="M683" s="16"/>
      <c r="N683" s="16"/>
      <c r="O683" s="16"/>
      <c r="P683" s="16"/>
      <c r="Q683" s="16"/>
      <c r="R683" s="16"/>
      <c r="S683" s="16"/>
      <c r="T683" s="16"/>
      <c r="U683" s="16"/>
      <c r="V683" s="16"/>
      <c r="W683" s="16"/>
      <c r="X683" s="16"/>
      <c r="Y683" s="16"/>
      <c r="Z683" s="16"/>
      <c r="AA683" s="16"/>
      <c r="AB683" s="16"/>
      <c r="AC683" s="16"/>
      <c r="AD683" s="16"/>
    </row>
    <row r="684" spans="1:30" ht="12.9">
      <c r="A684" s="16"/>
      <c r="B684" s="24"/>
      <c r="C684" s="196"/>
      <c r="D684" s="196"/>
      <c r="E684" s="196"/>
      <c r="F684" s="16"/>
      <c r="G684" s="24"/>
      <c r="H684" s="24"/>
      <c r="I684" s="16"/>
      <c r="J684" s="16"/>
      <c r="K684" s="16"/>
      <c r="L684" s="16"/>
      <c r="M684" s="16"/>
      <c r="N684" s="16"/>
      <c r="O684" s="16"/>
      <c r="P684" s="16"/>
      <c r="Q684" s="16"/>
      <c r="R684" s="16"/>
      <c r="S684" s="16"/>
      <c r="T684" s="16"/>
      <c r="U684" s="16"/>
      <c r="V684" s="16"/>
      <c r="W684" s="16"/>
      <c r="X684" s="16"/>
      <c r="Y684" s="16"/>
      <c r="Z684" s="16"/>
      <c r="AA684" s="16"/>
      <c r="AB684" s="16"/>
      <c r="AC684" s="16"/>
      <c r="AD684" s="16"/>
    </row>
    <row r="685" spans="1:30" ht="12.9">
      <c r="A685" s="16"/>
      <c r="B685" s="24"/>
      <c r="C685" s="196"/>
      <c r="D685" s="196"/>
      <c r="E685" s="196"/>
      <c r="F685" s="16"/>
      <c r="G685" s="24"/>
      <c r="H685" s="24"/>
      <c r="I685" s="16"/>
      <c r="J685" s="16"/>
      <c r="K685" s="16"/>
      <c r="L685" s="16"/>
      <c r="M685" s="16"/>
      <c r="N685" s="16"/>
      <c r="O685" s="16"/>
      <c r="P685" s="16"/>
      <c r="Q685" s="16"/>
      <c r="R685" s="16"/>
      <c r="S685" s="16"/>
      <c r="T685" s="16"/>
      <c r="U685" s="16"/>
      <c r="V685" s="16"/>
      <c r="W685" s="16"/>
      <c r="X685" s="16"/>
      <c r="Y685" s="16"/>
      <c r="Z685" s="16"/>
      <c r="AA685" s="16"/>
      <c r="AB685" s="16"/>
      <c r="AC685" s="16"/>
      <c r="AD685" s="16"/>
    </row>
    <row r="686" spans="1:30" ht="12.9">
      <c r="A686" s="16"/>
      <c r="B686" s="24"/>
      <c r="C686" s="196"/>
      <c r="D686" s="196"/>
      <c r="E686" s="196"/>
      <c r="F686" s="16"/>
      <c r="G686" s="24"/>
      <c r="H686" s="24"/>
      <c r="I686" s="16"/>
      <c r="J686" s="16"/>
      <c r="K686" s="16"/>
      <c r="L686" s="16"/>
      <c r="M686" s="16"/>
      <c r="N686" s="16"/>
      <c r="O686" s="16"/>
      <c r="P686" s="16"/>
      <c r="Q686" s="16"/>
      <c r="R686" s="16"/>
      <c r="S686" s="16"/>
      <c r="T686" s="16"/>
      <c r="U686" s="16"/>
      <c r="V686" s="16"/>
      <c r="W686" s="16"/>
      <c r="X686" s="16"/>
      <c r="Y686" s="16"/>
      <c r="Z686" s="16"/>
      <c r="AA686" s="16"/>
      <c r="AB686" s="16"/>
      <c r="AC686" s="16"/>
      <c r="AD686" s="16"/>
    </row>
    <row r="687" spans="1:30" ht="12.9">
      <c r="A687" s="16"/>
      <c r="B687" s="24"/>
      <c r="C687" s="196"/>
      <c r="D687" s="196"/>
      <c r="E687" s="196"/>
      <c r="F687" s="16"/>
      <c r="G687" s="24"/>
      <c r="H687" s="24"/>
      <c r="I687" s="16"/>
      <c r="J687" s="16"/>
      <c r="K687" s="16"/>
      <c r="L687" s="16"/>
      <c r="M687" s="16"/>
      <c r="N687" s="16"/>
      <c r="O687" s="16"/>
      <c r="P687" s="16"/>
      <c r="Q687" s="16"/>
      <c r="R687" s="16"/>
      <c r="S687" s="16"/>
      <c r="T687" s="16"/>
      <c r="U687" s="16"/>
      <c r="V687" s="16"/>
      <c r="W687" s="16"/>
      <c r="X687" s="16"/>
      <c r="Y687" s="16"/>
      <c r="Z687" s="16"/>
      <c r="AA687" s="16"/>
      <c r="AB687" s="16"/>
      <c r="AC687" s="16"/>
      <c r="AD687" s="16"/>
    </row>
    <row r="688" spans="1:30" ht="12.9">
      <c r="A688" s="16"/>
      <c r="B688" s="24"/>
      <c r="C688" s="196"/>
      <c r="D688" s="196"/>
      <c r="E688" s="196"/>
      <c r="F688" s="16"/>
      <c r="G688" s="24"/>
      <c r="H688" s="24"/>
      <c r="I688" s="16"/>
      <c r="J688" s="16"/>
      <c r="K688" s="16"/>
      <c r="L688" s="16"/>
      <c r="M688" s="16"/>
      <c r="N688" s="16"/>
      <c r="O688" s="16"/>
      <c r="P688" s="16"/>
      <c r="Q688" s="16"/>
      <c r="R688" s="16"/>
      <c r="S688" s="16"/>
      <c r="T688" s="16"/>
      <c r="U688" s="16"/>
      <c r="V688" s="16"/>
      <c r="W688" s="16"/>
      <c r="X688" s="16"/>
      <c r="Y688" s="16"/>
      <c r="Z688" s="16"/>
      <c r="AA688" s="16"/>
      <c r="AB688" s="16"/>
      <c r="AC688" s="16"/>
      <c r="AD688" s="16"/>
    </row>
    <row r="689" spans="1:30" ht="12.9">
      <c r="A689" s="16"/>
      <c r="B689" s="24"/>
      <c r="C689" s="196"/>
      <c r="D689" s="196"/>
      <c r="E689" s="196"/>
      <c r="F689" s="16"/>
      <c r="G689" s="24"/>
      <c r="H689" s="24"/>
      <c r="I689" s="16"/>
      <c r="J689" s="16"/>
      <c r="K689" s="16"/>
      <c r="L689" s="16"/>
      <c r="M689" s="16"/>
      <c r="N689" s="16"/>
      <c r="O689" s="16"/>
      <c r="P689" s="16"/>
      <c r="Q689" s="16"/>
      <c r="R689" s="16"/>
      <c r="S689" s="16"/>
      <c r="T689" s="16"/>
      <c r="U689" s="16"/>
      <c r="V689" s="16"/>
      <c r="W689" s="16"/>
      <c r="X689" s="16"/>
      <c r="Y689" s="16"/>
      <c r="Z689" s="16"/>
      <c r="AA689" s="16"/>
      <c r="AB689" s="16"/>
      <c r="AC689" s="16"/>
      <c r="AD689" s="16"/>
    </row>
    <row r="690" spans="1:30" ht="12.9">
      <c r="A690" s="16"/>
      <c r="B690" s="24"/>
      <c r="C690" s="196"/>
      <c r="D690" s="196"/>
      <c r="E690" s="196"/>
      <c r="F690" s="16"/>
      <c r="G690" s="24"/>
      <c r="H690" s="24"/>
      <c r="I690" s="16"/>
      <c r="J690" s="16"/>
      <c r="K690" s="16"/>
      <c r="L690" s="16"/>
      <c r="M690" s="16"/>
      <c r="N690" s="16"/>
      <c r="O690" s="16"/>
      <c r="P690" s="16"/>
      <c r="Q690" s="16"/>
      <c r="R690" s="16"/>
      <c r="S690" s="16"/>
      <c r="T690" s="16"/>
      <c r="U690" s="16"/>
      <c r="V690" s="16"/>
      <c r="W690" s="16"/>
      <c r="X690" s="16"/>
      <c r="Y690" s="16"/>
      <c r="Z690" s="16"/>
      <c r="AA690" s="16"/>
      <c r="AB690" s="16"/>
      <c r="AC690" s="16"/>
      <c r="AD690" s="16"/>
    </row>
    <row r="691" spans="1:30" ht="12.9">
      <c r="A691" s="16"/>
      <c r="B691" s="24"/>
      <c r="C691" s="196"/>
      <c r="D691" s="196"/>
      <c r="E691" s="196"/>
      <c r="F691" s="16"/>
      <c r="G691" s="24"/>
      <c r="H691" s="24"/>
      <c r="I691" s="16"/>
      <c r="J691" s="16"/>
      <c r="K691" s="16"/>
      <c r="L691" s="16"/>
      <c r="M691" s="16"/>
      <c r="N691" s="16"/>
      <c r="O691" s="16"/>
      <c r="P691" s="16"/>
      <c r="Q691" s="16"/>
      <c r="R691" s="16"/>
      <c r="S691" s="16"/>
      <c r="T691" s="16"/>
      <c r="U691" s="16"/>
      <c r="V691" s="16"/>
      <c r="W691" s="16"/>
      <c r="X691" s="16"/>
      <c r="Y691" s="16"/>
      <c r="Z691" s="16"/>
      <c r="AA691" s="16"/>
      <c r="AB691" s="16"/>
      <c r="AC691" s="16"/>
      <c r="AD691" s="16"/>
    </row>
    <row r="692" spans="1:30" ht="12.9">
      <c r="A692" s="16"/>
      <c r="B692" s="24"/>
      <c r="C692" s="196"/>
      <c r="D692" s="196"/>
      <c r="E692" s="196"/>
      <c r="F692" s="16"/>
      <c r="G692" s="24"/>
      <c r="H692" s="24"/>
      <c r="I692" s="16"/>
      <c r="J692" s="16"/>
      <c r="K692" s="16"/>
      <c r="L692" s="16"/>
      <c r="M692" s="16"/>
      <c r="N692" s="16"/>
      <c r="O692" s="16"/>
      <c r="P692" s="16"/>
      <c r="Q692" s="16"/>
      <c r="R692" s="16"/>
      <c r="S692" s="16"/>
      <c r="T692" s="16"/>
      <c r="U692" s="16"/>
      <c r="V692" s="16"/>
      <c r="W692" s="16"/>
      <c r="X692" s="16"/>
      <c r="Y692" s="16"/>
      <c r="Z692" s="16"/>
      <c r="AA692" s="16"/>
      <c r="AB692" s="16"/>
      <c r="AC692" s="16"/>
      <c r="AD692" s="16"/>
    </row>
    <row r="693" spans="1:30" ht="12.9">
      <c r="A693" s="16"/>
      <c r="B693" s="24"/>
      <c r="C693" s="196"/>
      <c r="D693" s="196"/>
      <c r="E693" s="196"/>
      <c r="F693" s="16"/>
      <c r="G693" s="24"/>
      <c r="H693" s="24"/>
      <c r="I693" s="16"/>
      <c r="J693" s="16"/>
      <c r="K693" s="16"/>
      <c r="L693" s="16"/>
      <c r="M693" s="16"/>
      <c r="N693" s="16"/>
      <c r="O693" s="16"/>
      <c r="P693" s="16"/>
      <c r="Q693" s="16"/>
      <c r="R693" s="16"/>
      <c r="S693" s="16"/>
      <c r="T693" s="16"/>
      <c r="U693" s="16"/>
      <c r="V693" s="16"/>
      <c r="W693" s="16"/>
      <c r="X693" s="16"/>
      <c r="Y693" s="16"/>
      <c r="Z693" s="16"/>
      <c r="AA693" s="16"/>
      <c r="AB693" s="16"/>
      <c r="AC693" s="16"/>
      <c r="AD693" s="16"/>
    </row>
    <row r="694" spans="1:30" ht="12.9">
      <c r="A694" s="16"/>
      <c r="B694" s="24"/>
      <c r="C694" s="196"/>
      <c r="D694" s="196"/>
      <c r="E694" s="196"/>
      <c r="F694" s="16"/>
      <c r="G694" s="24"/>
      <c r="H694" s="24"/>
      <c r="I694" s="16"/>
      <c r="J694" s="16"/>
      <c r="K694" s="16"/>
      <c r="L694" s="16"/>
      <c r="M694" s="16"/>
      <c r="N694" s="16"/>
      <c r="O694" s="16"/>
      <c r="P694" s="16"/>
      <c r="Q694" s="16"/>
      <c r="R694" s="16"/>
      <c r="S694" s="16"/>
      <c r="T694" s="16"/>
      <c r="U694" s="16"/>
      <c r="V694" s="16"/>
      <c r="W694" s="16"/>
      <c r="X694" s="16"/>
      <c r="Y694" s="16"/>
      <c r="Z694" s="16"/>
      <c r="AA694" s="16"/>
      <c r="AB694" s="16"/>
      <c r="AC694" s="16"/>
      <c r="AD694" s="16"/>
    </row>
    <row r="695" spans="1:30" ht="12.9">
      <c r="A695" s="16"/>
      <c r="B695" s="24"/>
      <c r="C695" s="196"/>
      <c r="D695" s="196"/>
      <c r="E695" s="196"/>
      <c r="F695" s="16"/>
      <c r="G695" s="24"/>
      <c r="H695" s="24"/>
      <c r="I695" s="16"/>
      <c r="J695" s="16"/>
      <c r="K695" s="16"/>
      <c r="L695" s="16"/>
      <c r="M695" s="16"/>
      <c r="N695" s="16"/>
      <c r="O695" s="16"/>
      <c r="P695" s="16"/>
      <c r="Q695" s="16"/>
      <c r="R695" s="16"/>
      <c r="S695" s="16"/>
      <c r="T695" s="16"/>
      <c r="U695" s="16"/>
      <c r="V695" s="16"/>
      <c r="W695" s="16"/>
      <c r="X695" s="16"/>
      <c r="Y695" s="16"/>
      <c r="Z695" s="16"/>
      <c r="AA695" s="16"/>
      <c r="AB695" s="16"/>
      <c r="AC695" s="16"/>
      <c r="AD695" s="16"/>
    </row>
    <row r="696" spans="1:30" ht="12.9">
      <c r="A696" s="16"/>
      <c r="B696" s="24"/>
      <c r="C696" s="196"/>
      <c r="D696" s="196"/>
      <c r="E696" s="196"/>
      <c r="F696" s="16"/>
      <c r="G696" s="24"/>
      <c r="H696" s="24"/>
      <c r="I696" s="16"/>
      <c r="J696" s="16"/>
      <c r="K696" s="16"/>
      <c r="L696" s="16"/>
      <c r="M696" s="16"/>
      <c r="N696" s="16"/>
      <c r="O696" s="16"/>
      <c r="P696" s="16"/>
      <c r="Q696" s="16"/>
      <c r="R696" s="16"/>
      <c r="S696" s="16"/>
      <c r="T696" s="16"/>
      <c r="U696" s="16"/>
      <c r="V696" s="16"/>
      <c r="W696" s="16"/>
      <c r="X696" s="16"/>
      <c r="Y696" s="16"/>
      <c r="Z696" s="16"/>
      <c r="AA696" s="16"/>
      <c r="AB696" s="16"/>
      <c r="AC696" s="16"/>
      <c r="AD696" s="16"/>
    </row>
    <row r="697" spans="1:30" ht="12.9">
      <c r="A697" s="16"/>
      <c r="B697" s="24"/>
      <c r="C697" s="196"/>
      <c r="D697" s="196"/>
      <c r="E697" s="196"/>
      <c r="F697" s="16"/>
      <c r="G697" s="24"/>
      <c r="H697" s="24"/>
      <c r="I697" s="16"/>
      <c r="J697" s="16"/>
      <c r="K697" s="16"/>
      <c r="L697" s="16"/>
      <c r="M697" s="16"/>
      <c r="N697" s="16"/>
      <c r="O697" s="16"/>
      <c r="P697" s="16"/>
      <c r="Q697" s="16"/>
      <c r="R697" s="16"/>
      <c r="S697" s="16"/>
      <c r="T697" s="16"/>
      <c r="U697" s="16"/>
      <c r="V697" s="16"/>
      <c r="W697" s="16"/>
      <c r="X697" s="16"/>
      <c r="Y697" s="16"/>
      <c r="Z697" s="16"/>
      <c r="AA697" s="16"/>
      <c r="AB697" s="16"/>
      <c r="AC697" s="16"/>
      <c r="AD697" s="16"/>
    </row>
    <row r="698" spans="1:30" ht="12.9">
      <c r="A698" s="16"/>
      <c r="B698" s="24"/>
      <c r="C698" s="196"/>
      <c r="D698" s="196"/>
      <c r="E698" s="196"/>
      <c r="F698" s="16"/>
      <c r="G698" s="24"/>
      <c r="H698" s="24"/>
      <c r="I698" s="16"/>
      <c r="J698" s="16"/>
      <c r="K698" s="16"/>
      <c r="L698" s="16"/>
      <c r="M698" s="16"/>
      <c r="N698" s="16"/>
      <c r="O698" s="16"/>
      <c r="P698" s="16"/>
      <c r="Q698" s="16"/>
      <c r="R698" s="16"/>
      <c r="S698" s="16"/>
      <c r="T698" s="16"/>
      <c r="U698" s="16"/>
      <c r="V698" s="16"/>
      <c r="W698" s="16"/>
      <c r="X698" s="16"/>
      <c r="Y698" s="16"/>
      <c r="Z698" s="16"/>
      <c r="AA698" s="16"/>
      <c r="AB698" s="16"/>
      <c r="AC698" s="16"/>
      <c r="AD698" s="16"/>
    </row>
    <row r="699" spans="1:30" ht="12.9">
      <c r="A699" s="16"/>
      <c r="B699" s="24"/>
      <c r="C699" s="196"/>
      <c r="D699" s="196"/>
      <c r="E699" s="196"/>
      <c r="F699" s="16"/>
      <c r="G699" s="24"/>
      <c r="H699" s="24"/>
      <c r="I699" s="16"/>
      <c r="J699" s="16"/>
      <c r="K699" s="16"/>
      <c r="L699" s="16"/>
      <c r="M699" s="16"/>
      <c r="N699" s="16"/>
      <c r="O699" s="16"/>
      <c r="P699" s="16"/>
      <c r="Q699" s="16"/>
      <c r="R699" s="16"/>
      <c r="S699" s="16"/>
      <c r="T699" s="16"/>
      <c r="U699" s="16"/>
      <c r="V699" s="16"/>
      <c r="W699" s="16"/>
      <c r="X699" s="16"/>
      <c r="Y699" s="16"/>
      <c r="Z699" s="16"/>
      <c r="AA699" s="16"/>
      <c r="AB699" s="16"/>
      <c r="AC699" s="16"/>
      <c r="AD699" s="16"/>
    </row>
    <row r="700" spans="1:30" ht="12.9">
      <c r="A700" s="16"/>
      <c r="B700" s="24"/>
      <c r="C700" s="196"/>
      <c r="D700" s="196"/>
      <c r="E700" s="196"/>
      <c r="F700" s="16"/>
      <c r="G700" s="24"/>
      <c r="H700" s="24"/>
      <c r="I700" s="16"/>
      <c r="J700" s="16"/>
      <c r="K700" s="16"/>
      <c r="L700" s="16"/>
      <c r="M700" s="16"/>
      <c r="N700" s="16"/>
      <c r="O700" s="16"/>
      <c r="P700" s="16"/>
      <c r="Q700" s="16"/>
      <c r="R700" s="16"/>
      <c r="S700" s="16"/>
      <c r="T700" s="16"/>
      <c r="U700" s="16"/>
      <c r="V700" s="16"/>
      <c r="W700" s="16"/>
      <c r="X700" s="16"/>
      <c r="Y700" s="16"/>
      <c r="Z700" s="16"/>
      <c r="AA700" s="16"/>
      <c r="AB700" s="16"/>
      <c r="AC700" s="16"/>
      <c r="AD700" s="16"/>
    </row>
    <row r="701" spans="1:30" ht="12.9">
      <c r="A701" s="16"/>
      <c r="B701" s="24"/>
      <c r="C701" s="196"/>
      <c r="D701" s="196"/>
      <c r="E701" s="196"/>
      <c r="F701" s="16"/>
      <c r="G701" s="24"/>
      <c r="H701" s="24"/>
      <c r="I701" s="16"/>
      <c r="J701" s="16"/>
      <c r="K701" s="16"/>
      <c r="L701" s="16"/>
      <c r="M701" s="16"/>
      <c r="N701" s="16"/>
      <c r="O701" s="16"/>
      <c r="P701" s="16"/>
      <c r="Q701" s="16"/>
      <c r="R701" s="16"/>
      <c r="S701" s="16"/>
      <c r="T701" s="16"/>
      <c r="U701" s="16"/>
      <c r="V701" s="16"/>
      <c r="W701" s="16"/>
      <c r="X701" s="16"/>
      <c r="Y701" s="16"/>
      <c r="Z701" s="16"/>
      <c r="AA701" s="16"/>
      <c r="AB701" s="16"/>
      <c r="AC701" s="16"/>
      <c r="AD701" s="16"/>
    </row>
    <row r="702" spans="1:30" ht="12.9">
      <c r="A702" s="16"/>
      <c r="B702" s="24"/>
      <c r="C702" s="196"/>
      <c r="D702" s="196"/>
      <c r="E702" s="196"/>
      <c r="F702" s="16"/>
      <c r="G702" s="24"/>
      <c r="H702" s="24"/>
      <c r="I702" s="16"/>
      <c r="J702" s="16"/>
      <c r="K702" s="16"/>
      <c r="L702" s="16"/>
      <c r="M702" s="16"/>
      <c r="N702" s="16"/>
      <c r="O702" s="16"/>
      <c r="P702" s="16"/>
      <c r="Q702" s="16"/>
      <c r="R702" s="16"/>
      <c r="S702" s="16"/>
      <c r="T702" s="16"/>
      <c r="U702" s="16"/>
      <c r="V702" s="16"/>
      <c r="W702" s="16"/>
      <c r="X702" s="16"/>
      <c r="Y702" s="16"/>
      <c r="Z702" s="16"/>
      <c r="AA702" s="16"/>
      <c r="AB702" s="16"/>
      <c r="AC702" s="16"/>
      <c r="AD702" s="16"/>
    </row>
    <row r="703" spans="1:30" ht="12.9">
      <c r="A703" s="16"/>
      <c r="B703" s="24"/>
      <c r="C703" s="196"/>
      <c r="D703" s="196"/>
      <c r="E703" s="196"/>
      <c r="F703" s="16"/>
      <c r="G703" s="24"/>
      <c r="H703" s="24"/>
      <c r="I703" s="16"/>
      <c r="J703" s="16"/>
      <c r="K703" s="16"/>
      <c r="L703" s="16"/>
      <c r="M703" s="16"/>
      <c r="N703" s="16"/>
      <c r="O703" s="16"/>
      <c r="P703" s="16"/>
      <c r="Q703" s="16"/>
      <c r="R703" s="16"/>
      <c r="S703" s="16"/>
      <c r="T703" s="16"/>
      <c r="U703" s="16"/>
      <c r="V703" s="16"/>
      <c r="W703" s="16"/>
      <c r="X703" s="16"/>
      <c r="Y703" s="16"/>
      <c r="Z703" s="16"/>
      <c r="AA703" s="16"/>
      <c r="AB703" s="16"/>
      <c r="AC703" s="16"/>
      <c r="AD703" s="16"/>
    </row>
    <row r="704" spans="1:30" ht="12.9">
      <c r="A704" s="16"/>
      <c r="B704" s="24"/>
      <c r="C704" s="196"/>
      <c r="D704" s="196"/>
      <c r="E704" s="196"/>
      <c r="F704" s="16"/>
      <c r="G704" s="24"/>
      <c r="H704" s="24"/>
      <c r="I704" s="16"/>
      <c r="J704" s="16"/>
      <c r="K704" s="16"/>
      <c r="L704" s="16"/>
      <c r="M704" s="16"/>
      <c r="N704" s="16"/>
      <c r="O704" s="16"/>
      <c r="P704" s="16"/>
      <c r="Q704" s="16"/>
      <c r="R704" s="16"/>
      <c r="S704" s="16"/>
      <c r="T704" s="16"/>
      <c r="U704" s="16"/>
      <c r="V704" s="16"/>
      <c r="W704" s="16"/>
      <c r="X704" s="16"/>
      <c r="Y704" s="16"/>
      <c r="Z704" s="16"/>
      <c r="AA704" s="16"/>
      <c r="AB704" s="16"/>
      <c r="AC704" s="16"/>
      <c r="AD704" s="16"/>
    </row>
    <row r="705" spans="1:30" ht="12.9">
      <c r="A705" s="16"/>
      <c r="B705" s="24"/>
      <c r="C705" s="196"/>
      <c r="D705" s="196"/>
      <c r="E705" s="196"/>
      <c r="F705" s="16"/>
      <c r="G705" s="24"/>
      <c r="H705" s="24"/>
      <c r="I705" s="16"/>
      <c r="J705" s="16"/>
      <c r="K705" s="16"/>
      <c r="L705" s="16"/>
      <c r="M705" s="16"/>
      <c r="N705" s="16"/>
      <c r="O705" s="16"/>
      <c r="P705" s="16"/>
      <c r="Q705" s="16"/>
      <c r="R705" s="16"/>
      <c r="S705" s="16"/>
      <c r="T705" s="16"/>
      <c r="U705" s="16"/>
      <c r="V705" s="16"/>
      <c r="W705" s="16"/>
      <c r="X705" s="16"/>
      <c r="Y705" s="16"/>
      <c r="Z705" s="16"/>
      <c r="AA705" s="16"/>
      <c r="AB705" s="16"/>
      <c r="AC705" s="16"/>
      <c r="AD705" s="16"/>
    </row>
    <row r="706" spans="1:30" ht="12.9">
      <c r="A706" s="16"/>
      <c r="B706" s="24"/>
      <c r="C706" s="196"/>
      <c r="D706" s="196"/>
      <c r="E706" s="196"/>
      <c r="F706" s="16"/>
      <c r="G706" s="24"/>
      <c r="H706" s="24"/>
      <c r="I706" s="16"/>
      <c r="J706" s="16"/>
      <c r="K706" s="16"/>
      <c r="L706" s="16"/>
      <c r="M706" s="16"/>
      <c r="N706" s="16"/>
      <c r="O706" s="16"/>
      <c r="P706" s="16"/>
      <c r="Q706" s="16"/>
      <c r="R706" s="16"/>
      <c r="S706" s="16"/>
      <c r="T706" s="16"/>
      <c r="U706" s="16"/>
      <c r="V706" s="16"/>
      <c r="W706" s="16"/>
      <c r="X706" s="16"/>
      <c r="Y706" s="16"/>
      <c r="Z706" s="16"/>
      <c r="AA706" s="16"/>
      <c r="AB706" s="16"/>
      <c r="AC706" s="16"/>
      <c r="AD706" s="16"/>
    </row>
    <row r="707" spans="1:30" ht="12.9">
      <c r="A707" s="16"/>
      <c r="B707" s="24"/>
      <c r="C707" s="196"/>
      <c r="D707" s="196"/>
      <c r="E707" s="196"/>
      <c r="F707" s="16"/>
      <c r="G707" s="24"/>
      <c r="H707" s="24"/>
      <c r="I707" s="16"/>
      <c r="J707" s="16"/>
      <c r="K707" s="16"/>
      <c r="L707" s="16"/>
      <c r="M707" s="16"/>
      <c r="N707" s="16"/>
      <c r="O707" s="16"/>
      <c r="P707" s="16"/>
      <c r="Q707" s="16"/>
      <c r="R707" s="16"/>
      <c r="S707" s="16"/>
      <c r="T707" s="16"/>
      <c r="U707" s="16"/>
      <c r="V707" s="16"/>
      <c r="W707" s="16"/>
      <c r="X707" s="16"/>
      <c r="Y707" s="16"/>
      <c r="Z707" s="16"/>
      <c r="AA707" s="16"/>
      <c r="AB707" s="16"/>
      <c r="AC707" s="16"/>
      <c r="AD707" s="16"/>
    </row>
    <row r="708" spans="1:30" ht="12.9">
      <c r="A708" s="16"/>
      <c r="B708" s="24"/>
      <c r="C708" s="196"/>
      <c r="D708" s="196"/>
      <c r="E708" s="196"/>
      <c r="F708" s="16"/>
      <c r="G708" s="24"/>
      <c r="H708" s="24"/>
      <c r="I708" s="16"/>
      <c r="J708" s="16"/>
      <c r="K708" s="16"/>
      <c r="L708" s="16"/>
      <c r="M708" s="16"/>
      <c r="N708" s="16"/>
      <c r="O708" s="16"/>
      <c r="P708" s="16"/>
      <c r="Q708" s="16"/>
      <c r="R708" s="16"/>
      <c r="S708" s="16"/>
      <c r="T708" s="16"/>
      <c r="U708" s="16"/>
      <c r="V708" s="16"/>
      <c r="W708" s="16"/>
      <c r="X708" s="16"/>
      <c r="Y708" s="16"/>
      <c r="Z708" s="16"/>
      <c r="AA708" s="16"/>
      <c r="AB708" s="16"/>
      <c r="AC708" s="16"/>
      <c r="AD708" s="16"/>
    </row>
    <row r="709" spans="1:30" ht="12.9">
      <c r="A709" s="16"/>
      <c r="B709" s="24"/>
      <c r="C709" s="196"/>
      <c r="D709" s="196"/>
      <c r="E709" s="196"/>
      <c r="F709" s="16"/>
      <c r="G709" s="24"/>
      <c r="H709" s="24"/>
      <c r="I709" s="16"/>
      <c r="J709" s="16"/>
      <c r="K709" s="16"/>
      <c r="L709" s="16"/>
      <c r="M709" s="16"/>
      <c r="N709" s="16"/>
      <c r="O709" s="16"/>
      <c r="P709" s="16"/>
      <c r="Q709" s="16"/>
      <c r="R709" s="16"/>
      <c r="S709" s="16"/>
      <c r="T709" s="16"/>
      <c r="U709" s="16"/>
      <c r="V709" s="16"/>
      <c r="W709" s="16"/>
      <c r="X709" s="16"/>
      <c r="Y709" s="16"/>
      <c r="Z709" s="16"/>
      <c r="AA709" s="16"/>
      <c r="AB709" s="16"/>
      <c r="AC709" s="16"/>
      <c r="AD709" s="16"/>
    </row>
    <row r="710" spans="1:30" ht="12.9">
      <c r="A710" s="16"/>
      <c r="B710" s="24"/>
      <c r="C710" s="196"/>
      <c r="D710" s="196"/>
      <c r="E710" s="196"/>
      <c r="F710" s="16"/>
      <c r="G710" s="24"/>
      <c r="H710" s="24"/>
      <c r="I710" s="16"/>
      <c r="J710" s="16"/>
      <c r="K710" s="16"/>
      <c r="L710" s="16"/>
      <c r="M710" s="16"/>
      <c r="N710" s="16"/>
      <c r="O710" s="16"/>
      <c r="P710" s="16"/>
      <c r="Q710" s="16"/>
      <c r="R710" s="16"/>
      <c r="S710" s="16"/>
      <c r="T710" s="16"/>
      <c r="U710" s="16"/>
      <c r="V710" s="16"/>
      <c r="W710" s="16"/>
      <c r="X710" s="16"/>
      <c r="Y710" s="16"/>
      <c r="Z710" s="16"/>
      <c r="AA710" s="16"/>
      <c r="AB710" s="16"/>
      <c r="AC710" s="16"/>
      <c r="AD710" s="16"/>
    </row>
    <row r="711" spans="1:30" ht="12.9">
      <c r="A711" s="16"/>
      <c r="B711" s="24"/>
      <c r="C711" s="196"/>
      <c r="D711" s="196"/>
      <c r="E711" s="196"/>
      <c r="F711" s="16"/>
      <c r="G711" s="24"/>
      <c r="H711" s="24"/>
      <c r="I711" s="16"/>
      <c r="J711" s="16"/>
      <c r="K711" s="16"/>
      <c r="L711" s="16"/>
      <c r="M711" s="16"/>
      <c r="N711" s="16"/>
      <c r="O711" s="16"/>
      <c r="P711" s="16"/>
      <c r="Q711" s="16"/>
      <c r="R711" s="16"/>
      <c r="S711" s="16"/>
      <c r="T711" s="16"/>
      <c r="U711" s="16"/>
      <c r="V711" s="16"/>
      <c r="W711" s="16"/>
      <c r="X711" s="16"/>
      <c r="Y711" s="16"/>
      <c r="Z711" s="16"/>
      <c r="AA711" s="16"/>
      <c r="AB711" s="16"/>
      <c r="AC711" s="16"/>
      <c r="AD711" s="16"/>
    </row>
    <row r="712" spans="1:30" ht="12.9">
      <c r="A712" s="16"/>
      <c r="B712" s="24"/>
      <c r="C712" s="196"/>
      <c r="D712" s="196"/>
      <c r="E712" s="196"/>
      <c r="F712" s="16"/>
      <c r="G712" s="24"/>
      <c r="H712" s="24"/>
      <c r="I712" s="16"/>
      <c r="J712" s="16"/>
      <c r="K712" s="16"/>
      <c r="L712" s="16"/>
      <c r="M712" s="16"/>
      <c r="N712" s="16"/>
      <c r="O712" s="16"/>
      <c r="P712" s="16"/>
      <c r="Q712" s="16"/>
      <c r="R712" s="16"/>
      <c r="S712" s="16"/>
      <c r="T712" s="16"/>
      <c r="U712" s="16"/>
      <c r="V712" s="16"/>
      <c r="W712" s="16"/>
      <c r="X712" s="16"/>
      <c r="Y712" s="16"/>
      <c r="Z712" s="16"/>
      <c r="AA712" s="16"/>
      <c r="AB712" s="16"/>
      <c r="AC712" s="16"/>
      <c r="AD712" s="16"/>
    </row>
    <row r="713" spans="1:30" ht="12.9">
      <c r="A713" s="16"/>
      <c r="B713" s="24"/>
      <c r="C713" s="196"/>
      <c r="D713" s="196"/>
      <c r="E713" s="196"/>
      <c r="F713" s="16"/>
      <c r="G713" s="24"/>
      <c r="H713" s="24"/>
      <c r="I713" s="16"/>
      <c r="J713" s="16"/>
      <c r="K713" s="16"/>
      <c r="L713" s="16"/>
      <c r="M713" s="16"/>
      <c r="N713" s="16"/>
      <c r="O713" s="16"/>
      <c r="P713" s="16"/>
      <c r="Q713" s="16"/>
      <c r="R713" s="16"/>
      <c r="S713" s="16"/>
      <c r="T713" s="16"/>
      <c r="U713" s="16"/>
      <c r="V713" s="16"/>
      <c r="W713" s="16"/>
      <c r="X713" s="16"/>
      <c r="Y713" s="16"/>
      <c r="Z713" s="16"/>
      <c r="AA713" s="16"/>
      <c r="AB713" s="16"/>
      <c r="AC713" s="16"/>
      <c r="AD713" s="16"/>
    </row>
    <row r="714" spans="1:30" ht="12.9">
      <c r="A714" s="16"/>
      <c r="B714" s="24"/>
      <c r="C714" s="196"/>
      <c r="D714" s="196"/>
      <c r="E714" s="196"/>
      <c r="F714" s="16"/>
      <c r="G714" s="24"/>
      <c r="H714" s="24"/>
      <c r="I714" s="16"/>
      <c r="J714" s="16"/>
      <c r="K714" s="16"/>
      <c r="L714" s="16"/>
      <c r="M714" s="16"/>
      <c r="N714" s="16"/>
      <c r="O714" s="16"/>
      <c r="P714" s="16"/>
      <c r="Q714" s="16"/>
      <c r="R714" s="16"/>
      <c r="S714" s="16"/>
      <c r="T714" s="16"/>
      <c r="U714" s="16"/>
      <c r="V714" s="16"/>
      <c r="W714" s="16"/>
      <c r="X714" s="16"/>
      <c r="Y714" s="16"/>
      <c r="Z714" s="16"/>
      <c r="AA714" s="16"/>
      <c r="AB714" s="16"/>
      <c r="AC714" s="16"/>
      <c r="AD714" s="16"/>
    </row>
    <row r="715" spans="1:30" ht="12.9">
      <c r="A715" s="16"/>
      <c r="B715" s="24"/>
      <c r="C715" s="196"/>
      <c r="D715" s="196"/>
      <c r="E715" s="196"/>
      <c r="F715" s="16"/>
      <c r="G715" s="24"/>
      <c r="H715" s="24"/>
      <c r="I715" s="16"/>
      <c r="J715" s="16"/>
      <c r="K715" s="16"/>
      <c r="L715" s="16"/>
      <c r="M715" s="16"/>
      <c r="N715" s="16"/>
      <c r="O715" s="16"/>
      <c r="P715" s="16"/>
      <c r="Q715" s="16"/>
      <c r="R715" s="16"/>
      <c r="S715" s="16"/>
      <c r="T715" s="16"/>
      <c r="U715" s="16"/>
      <c r="V715" s="16"/>
      <c r="W715" s="16"/>
      <c r="X715" s="16"/>
      <c r="Y715" s="16"/>
      <c r="Z715" s="16"/>
      <c r="AA715" s="16"/>
      <c r="AB715" s="16"/>
      <c r="AC715" s="16"/>
      <c r="AD715" s="16"/>
    </row>
    <row r="716" spans="1:30" ht="12.9">
      <c r="A716" s="16"/>
      <c r="B716" s="24"/>
      <c r="C716" s="196"/>
      <c r="D716" s="196"/>
      <c r="E716" s="196"/>
      <c r="F716" s="16"/>
      <c r="G716" s="24"/>
      <c r="H716" s="24"/>
      <c r="I716" s="16"/>
      <c r="J716" s="16"/>
      <c r="K716" s="16"/>
      <c r="L716" s="16"/>
      <c r="M716" s="16"/>
      <c r="N716" s="16"/>
      <c r="O716" s="16"/>
      <c r="P716" s="16"/>
      <c r="Q716" s="16"/>
      <c r="R716" s="16"/>
      <c r="S716" s="16"/>
      <c r="T716" s="16"/>
      <c r="U716" s="16"/>
      <c r="V716" s="16"/>
      <c r="W716" s="16"/>
      <c r="X716" s="16"/>
      <c r="Y716" s="16"/>
      <c r="Z716" s="16"/>
      <c r="AA716" s="16"/>
      <c r="AB716" s="16"/>
      <c r="AC716" s="16"/>
      <c r="AD716" s="16"/>
    </row>
    <row r="717" spans="1:30" ht="12.9">
      <c r="A717" s="16"/>
      <c r="B717" s="24"/>
      <c r="C717" s="196"/>
      <c r="D717" s="196"/>
      <c r="E717" s="196"/>
      <c r="F717" s="16"/>
      <c r="G717" s="24"/>
      <c r="H717" s="24"/>
      <c r="I717" s="16"/>
      <c r="J717" s="16"/>
      <c r="K717" s="16"/>
      <c r="L717" s="16"/>
      <c r="M717" s="16"/>
      <c r="N717" s="16"/>
      <c r="O717" s="16"/>
      <c r="P717" s="16"/>
      <c r="Q717" s="16"/>
      <c r="R717" s="16"/>
      <c r="S717" s="16"/>
      <c r="T717" s="16"/>
      <c r="U717" s="16"/>
      <c r="V717" s="16"/>
      <c r="W717" s="16"/>
      <c r="X717" s="16"/>
      <c r="Y717" s="16"/>
      <c r="Z717" s="16"/>
      <c r="AA717" s="16"/>
      <c r="AB717" s="16"/>
      <c r="AC717" s="16"/>
      <c r="AD717" s="16"/>
    </row>
    <row r="718" spans="1:30" ht="12.9">
      <c r="A718" s="16"/>
      <c r="B718" s="24"/>
      <c r="C718" s="196"/>
      <c r="D718" s="196"/>
      <c r="E718" s="196"/>
      <c r="F718" s="16"/>
      <c r="G718" s="24"/>
      <c r="H718" s="24"/>
      <c r="I718" s="16"/>
      <c r="J718" s="16"/>
      <c r="K718" s="16"/>
      <c r="L718" s="16"/>
      <c r="M718" s="16"/>
      <c r="N718" s="16"/>
      <c r="O718" s="16"/>
      <c r="P718" s="16"/>
      <c r="Q718" s="16"/>
      <c r="R718" s="16"/>
      <c r="S718" s="16"/>
      <c r="T718" s="16"/>
      <c r="U718" s="16"/>
      <c r="V718" s="16"/>
      <c r="W718" s="16"/>
      <c r="X718" s="16"/>
      <c r="Y718" s="16"/>
      <c r="Z718" s="16"/>
      <c r="AA718" s="16"/>
      <c r="AB718" s="16"/>
      <c r="AC718" s="16"/>
      <c r="AD718" s="16"/>
    </row>
    <row r="719" spans="1:30" ht="12.9">
      <c r="A719" s="16"/>
      <c r="B719" s="24"/>
      <c r="C719" s="196"/>
      <c r="D719" s="196"/>
      <c r="E719" s="196"/>
      <c r="F719" s="16"/>
      <c r="G719" s="24"/>
      <c r="H719" s="24"/>
      <c r="I719" s="16"/>
      <c r="J719" s="16"/>
      <c r="K719" s="16"/>
      <c r="L719" s="16"/>
      <c r="M719" s="16"/>
      <c r="N719" s="16"/>
      <c r="O719" s="16"/>
      <c r="P719" s="16"/>
      <c r="Q719" s="16"/>
      <c r="R719" s="16"/>
      <c r="S719" s="16"/>
      <c r="T719" s="16"/>
      <c r="U719" s="16"/>
      <c r="V719" s="16"/>
      <c r="W719" s="16"/>
      <c r="X719" s="16"/>
      <c r="Y719" s="16"/>
      <c r="Z719" s="16"/>
      <c r="AA719" s="16"/>
      <c r="AB719" s="16"/>
      <c r="AC719" s="16"/>
      <c r="AD719" s="16"/>
    </row>
    <row r="720" spans="1:30" ht="12.9">
      <c r="A720" s="16"/>
      <c r="B720" s="24"/>
      <c r="C720" s="196"/>
      <c r="D720" s="196"/>
      <c r="E720" s="196"/>
      <c r="F720" s="16"/>
      <c r="G720" s="24"/>
      <c r="H720" s="24"/>
      <c r="I720" s="16"/>
      <c r="J720" s="16"/>
      <c r="K720" s="16"/>
      <c r="L720" s="16"/>
      <c r="M720" s="16"/>
      <c r="N720" s="16"/>
      <c r="O720" s="16"/>
      <c r="P720" s="16"/>
      <c r="Q720" s="16"/>
      <c r="R720" s="16"/>
      <c r="S720" s="16"/>
      <c r="T720" s="16"/>
      <c r="U720" s="16"/>
      <c r="V720" s="16"/>
      <c r="W720" s="16"/>
      <c r="X720" s="16"/>
      <c r="Y720" s="16"/>
      <c r="Z720" s="16"/>
      <c r="AA720" s="16"/>
      <c r="AB720" s="16"/>
      <c r="AC720" s="16"/>
      <c r="AD720" s="16"/>
    </row>
    <row r="721" spans="1:30" ht="12.9">
      <c r="A721" s="16"/>
      <c r="B721" s="24"/>
      <c r="C721" s="196"/>
      <c r="D721" s="196"/>
      <c r="E721" s="196"/>
      <c r="F721" s="16"/>
      <c r="G721" s="24"/>
      <c r="H721" s="24"/>
      <c r="I721" s="16"/>
      <c r="J721" s="16"/>
      <c r="K721" s="16"/>
      <c r="L721" s="16"/>
      <c r="M721" s="16"/>
      <c r="N721" s="16"/>
      <c r="O721" s="16"/>
      <c r="P721" s="16"/>
      <c r="Q721" s="16"/>
      <c r="R721" s="16"/>
      <c r="S721" s="16"/>
      <c r="T721" s="16"/>
      <c r="U721" s="16"/>
      <c r="V721" s="16"/>
      <c r="W721" s="16"/>
      <c r="X721" s="16"/>
      <c r="Y721" s="16"/>
      <c r="Z721" s="16"/>
      <c r="AA721" s="16"/>
      <c r="AB721" s="16"/>
      <c r="AC721" s="16"/>
      <c r="AD721" s="16"/>
    </row>
    <row r="722" spans="1:30" ht="12.9">
      <c r="A722" s="16"/>
      <c r="B722" s="24"/>
      <c r="C722" s="196"/>
      <c r="D722" s="196"/>
      <c r="E722" s="196"/>
      <c r="F722" s="16"/>
      <c r="G722" s="24"/>
      <c r="H722" s="24"/>
      <c r="I722" s="16"/>
      <c r="J722" s="16"/>
      <c r="K722" s="16"/>
      <c r="L722" s="16"/>
      <c r="M722" s="16"/>
      <c r="N722" s="16"/>
      <c r="O722" s="16"/>
      <c r="P722" s="16"/>
      <c r="Q722" s="16"/>
      <c r="R722" s="16"/>
      <c r="S722" s="16"/>
      <c r="T722" s="16"/>
      <c r="U722" s="16"/>
      <c r="V722" s="16"/>
      <c r="W722" s="16"/>
      <c r="X722" s="16"/>
      <c r="Y722" s="16"/>
      <c r="Z722" s="16"/>
      <c r="AA722" s="16"/>
      <c r="AB722" s="16"/>
      <c r="AC722" s="16"/>
      <c r="AD722" s="16"/>
    </row>
    <row r="723" spans="1:30" ht="12.9">
      <c r="A723" s="16"/>
      <c r="B723" s="24"/>
      <c r="C723" s="196"/>
      <c r="D723" s="196"/>
      <c r="E723" s="196"/>
      <c r="F723" s="16"/>
      <c r="G723" s="24"/>
      <c r="H723" s="24"/>
      <c r="I723" s="16"/>
      <c r="J723" s="16"/>
      <c r="K723" s="16"/>
      <c r="L723" s="16"/>
      <c r="M723" s="16"/>
      <c r="N723" s="16"/>
      <c r="O723" s="16"/>
      <c r="P723" s="16"/>
      <c r="Q723" s="16"/>
      <c r="R723" s="16"/>
      <c r="S723" s="16"/>
      <c r="T723" s="16"/>
      <c r="U723" s="16"/>
      <c r="V723" s="16"/>
      <c r="W723" s="16"/>
      <c r="X723" s="16"/>
      <c r="Y723" s="16"/>
      <c r="Z723" s="16"/>
      <c r="AA723" s="16"/>
      <c r="AB723" s="16"/>
      <c r="AC723" s="16"/>
      <c r="AD723" s="16"/>
    </row>
    <row r="724" spans="1:30" ht="12.9">
      <c r="A724" s="16"/>
      <c r="B724" s="24"/>
      <c r="C724" s="196"/>
      <c r="D724" s="196"/>
      <c r="E724" s="196"/>
      <c r="F724" s="16"/>
      <c r="G724" s="24"/>
      <c r="H724" s="24"/>
      <c r="I724" s="16"/>
      <c r="J724" s="16"/>
      <c r="K724" s="16"/>
      <c r="L724" s="16"/>
      <c r="M724" s="16"/>
      <c r="N724" s="16"/>
      <c r="O724" s="16"/>
      <c r="P724" s="16"/>
      <c r="Q724" s="16"/>
      <c r="R724" s="16"/>
      <c r="S724" s="16"/>
      <c r="T724" s="16"/>
      <c r="U724" s="16"/>
      <c r="V724" s="16"/>
      <c r="W724" s="16"/>
      <c r="X724" s="16"/>
      <c r="Y724" s="16"/>
      <c r="Z724" s="16"/>
      <c r="AA724" s="16"/>
      <c r="AB724" s="16"/>
      <c r="AC724" s="16"/>
      <c r="AD724" s="16"/>
    </row>
    <row r="725" spans="1:30" ht="12.9">
      <c r="A725" s="16"/>
      <c r="B725" s="24"/>
      <c r="C725" s="196"/>
      <c r="D725" s="196"/>
      <c r="E725" s="196"/>
      <c r="F725" s="16"/>
      <c r="G725" s="24"/>
      <c r="H725" s="24"/>
      <c r="I725" s="16"/>
      <c r="J725" s="16"/>
      <c r="K725" s="16"/>
      <c r="L725" s="16"/>
      <c r="M725" s="16"/>
      <c r="N725" s="16"/>
      <c r="O725" s="16"/>
      <c r="P725" s="16"/>
      <c r="Q725" s="16"/>
      <c r="R725" s="16"/>
      <c r="S725" s="16"/>
      <c r="T725" s="16"/>
      <c r="U725" s="16"/>
      <c r="V725" s="16"/>
      <c r="W725" s="16"/>
      <c r="X725" s="16"/>
      <c r="Y725" s="16"/>
      <c r="Z725" s="16"/>
      <c r="AA725" s="16"/>
      <c r="AB725" s="16"/>
      <c r="AC725" s="16"/>
      <c r="AD725" s="16"/>
    </row>
    <row r="726" spans="1:30" ht="12.9">
      <c r="A726" s="16"/>
      <c r="B726" s="24"/>
      <c r="C726" s="196"/>
      <c r="D726" s="196"/>
      <c r="E726" s="196"/>
      <c r="F726" s="16"/>
      <c r="G726" s="24"/>
      <c r="H726" s="24"/>
      <c r="I726" s="16"/>
      <c r="J726" s="16"/>
      <c r="K726" s="16"/>
      <c r="L726" s="16"/>
      <c r="M726" s="16"/>
      <c r="N726" s="16"/>
      <c r="O726" s="16"/>
      <c r="P726" s="16"/>
      <c r="Q726" s="16"/>
      <c r="R726" s="16"/>
      <c r="S726" s="16"/>
      <c r="T726" s="16"/>
      <c r="U726" s="16"/>
      <c r="V726" s="16"/>
      <c r="W726" s="16"/>
      <c r="X726" s="16"/>
      <c r="Y726" s="16"/>
      <c r="Z726" s="16"/>
      <c r="AA726" s="16"/>
      <c r="AB726" s="16"/>
      <c r="AC726" s="16"/>
      <c r="AD726" s="16"/>
    </row>
    <row r="727" spans="1:30" ht="12.9">
      <c r="A727" s="16"/>
      <c r="B727" s="24"/>
      <c r="C727" s="196"/>
      <c r="D727" s="196"/>
      <c r="E727" s="196"/>
      <c r="F727" s="16"/>
      <c r="G727" s="24"/>
      <c r="H727" s="24"/>
      <c r="I727" s="16"/>
      <c r="J727" s="16"/>
      <c r="K727" s="16"/>
      <c r="L727" s="16"/>
      <c r="M727" s="16"/>
      <c r="N727" s="16"/>
      <c r="O727" s="16"/>
      <c r="P727" s="16"/>
      <c r="Q727" s="16"/>
      <c r="R727" s="16"/>
      <c r="S727" s="16"/>
      <c r="T727" s="16"/>
      <c r="U727" s="16"/>
      <c r="V727" s="16"/>
      <c r="W727" s="16"/>
      <c r="X727" s="16"/>
      <c r="Y727" s="16"/>
      <c r="Z727" s="16"/>
      <c r="AA727" s="16"/>
      <c r="AB727" s="16"/>
      <c r="AC727" s="16"/>
      <c r="AD727" s="16"/>
    </row>
    <row r="728" spans="1:30" ht="12.9">
      <c r="A728" s="16"/>
      <c r="B728" s="24"/>
      <c r="C728" s="196"/>
      <c r="D728" s="196"/>
      <c r="E728" s="196"/>
      <c r="F728" s="16"/>
      <c r="G728" s="24"/>
      <c r="H728" s="24"/>
      <c r="I728" s="16"/>
      <c r="J728" s="16"/>
      <c r="K728" s="16"/>
      <c r="L728" s="16"/>
      <c r="M728" s="16"/>
      <c r="N728" s="16"/>
      <c r="O728" s="16"/>
      <c r="P728" s="16"/>
      <c r="Q728" s="16"/>
      <c r="R728" s="16"/>
      <c r="S728" s="16"/>
      <c r="T728" s="16"/>
      <c r="U728" s="16"/>
      <c r="V728" s="16"/>
      <c r="W728" s="16"/>
      <c r="X728" s="16"/>
      <c r="Y728" s="16"/>
      <c r="Z728" s="16"/>
      <c r="AA728" s="16"/>
      <c r="AB728" s="16"/>
      <c r="AC728" s="16"/>
      <c r="AD728" s="16"/>
    </row>
    <row r="729" spans="1:30" ht="12.9">
      <c r="A729" s="16"/>
      <c r="B729" s="24"/>
      <c r="C729" s="196"/>
      <c r="D729" s="196"/>
      <c r="E729" s="196"/>
      <c r="F729" s="16"/>
      <c r="G729" s="24"/>
      <c r="H729" s="24"/>
      <c r="I729" s="16"/>
      <c r="J729" s="16"/>
      <c r="K729" s="16"/>
      <c r="L729" s="16"/>
      <c r="M729" s="16"/>
      <c r="N729" s="16"/>
      <c r="O729" s="16"/>
      <c r="P729" s="16"/>
      <c r="Q729" s="16"/>
      <c r="R729" s="16"/>
      <c r="S729" s="16"/>
      <c r="T729" s="16"/>
      <c r="U729" s="16"/>
      <c r="V729" s="16"/>
      <c r="W729" s="16"/>
      <c r="X729" s="16"/>
      <c r="Y729" s="16"/>
      <c r="Z729" s="16"/>
      <c r="AA729" s="16"/>
      <c r="AB729" s="16"/>
      <c r="AC729" s="16"/>
      <c r="AD729" s="16"/>
    </row>
    <row r="730" spans="1:30" ht="12.9">
      <c r="A730" s="16"/>
      <c r="B730" s="24"/>
      <c r="C730" s="196"/>
      <c r="D730" s="196"/>
      <c r="E730" s="196"/>
      <c r="F730" s="16"/>
      <c r="G730" s="24"/>
      <c r="H730" s="24"/>
      <c r="I730" s="16"/>
      <c r="J730" s="16"/>
      <c r="K730" s="16"/>
      <c r="L730" s="16"/>
      <c r="M730" s="16"/>
      <c r="N730" s="16"/>
      <c r="O730" s="16"/>
      <c r="P730" s="16"/>
      <c r="Q730" s="16"/>
      <c r="R730" s="16"/>
      <c r="S730" s="16"/>
      <c r="T730" s="16"/>
      <c r="U730" s="16"/>
      <c r="V730" s="16"/>
      <c r="W730" s="16"/>
      <c r="X730" s="16"/>
      <c r="Y730" s="16"/>
      <c r="Z730" s="16"/>
      <c r="AA730" s="16"/>
      <c r="AB730" s="16"/>
      <c r="AC730" s="16"/>
      <c r="AD730" s="16"/>
    </row>
    <row r="731" spans="1:30" ht="12.9">
      <c r="A731" s="16"/>
      <c r="B731" s="24"/>
      <c r="C731" s="196"/>
      <c r="D731" s="196"/>
      <c r="E731" s="196"/>
      <c r="F731" s="16"/>
      <c r="G731" s="24"/>
      <c r="H731" s="24"/>
      <c r="I731" s="16"/>
      <c r="J731" s="16"/>
      <c r="K731" s="16"/>
      <c r="L731" s="16"/>
      <c r="M731" s="16"/>
      <c r="N731" s="16"/>
      <c r="O731" s="16"/>
      <c r="P731" s="16"/>
      <c r="Q731" s="16"/>
      <c r="R731" s="16"/>
      <c r="S731" s="16"/>
      <c r="T731" s="16"/>
      <c r="U731" s="16"/>
      <c r="V731" s="16"/>
      <c r="W731" s="16"/>
      <c r="X731" s="16"/>
      <c r="Y731" s="16"/>
      <c r="Z731" s="16"/>
      <c r="AA731" s="16"/>
      <c r="AB731" s="16"/>
      <c r="AC731" s="16"/>
      <c r="AD731" s="16"/>
    </row>
    <row r="732" spans="1:30" ht="12.9">
      <c r="A732" s="16"/>
      <c r="B732" s="24"/>
      <c r="C732" s="196"/>
      <c r="D732" s="196"/>
      <c r="E732" s="196"/>
      <c r="F732" s="16"/>
      <c r="G732" s="24"/>
      <c r="H732" s="24"/>
      <c r="I732" s="16"/>
      <c r="J732" s="16"/>
      <c r="K732" s="16"/>
      <c r="L732" s="16"/>
      <c r="M732" s="16"/>
      <c r="N732" s="16"/>
      <c r="O732" s="16"/>
      <c r="P732" s="16"/>
      <c r="Q732" s="16"/>
      <c r="R732" s="16"/>
      <c r="S732" s="16"/>
      <c r="T732" s="16"/>
      <c r="U732" s="16"/>
      <c r="V732" s="16"/>
      <c r="W732" s="16"/>
      <c r="X732" s="16"/>
      <c r="Y732" s="16"/>
      <c r="Z732" s="16"/>
      <c r="AA732" s="16"/>
      <c r="AB732" s="16"/>
      <c r="AC732" s="16"/>
      <c r="AD732" s="16"/>
    </row>
    <row r="733" spans="1:30" ht="12.9">
      <c r="A733" s="16"/>
      <c r="B733" s="24"/>
      <c r="C733" s="196"/>
      <c r="D733" s="196"/>
      <c r="E733" s="196"/>
      <c r="F733" s="16"/>
      <c r="G733" s="24"/>
      <c r="H733" s="24"/>
      <c r="I733" s="16"/>
      <c r="J733" s="16"/>
      <c r="K733" s="16"/>
      <c r="L733" s="16"/>
      <c r="M733" s="16"/>
      <c r="N733" s="16"/>
      <c r="O733" s="16"/>
      <c r="P733" s="16"/>
      <c r="Q733" s="16"/>
      <c r="R733" s="16"/>
      <c r="S733" s="16"/>
      <c r="T733" s="16"/>
      <c r="U733" s="16"/>
      <c r="V733" s="16"/>
      <c r="W733" s="16"/>
      <c r="X733" s="16"/>
      <c r="Y733" s="16"/>
      <c r="Z733" s="16"/>
      <c r="AA733" s="16"/>
      <c r="AB733" s="16"/>
      <c r="AC733" s="16"/>
      <c r="AD733" s="16"/>
    </row>
    <row r="734" spans="1:30" ht="12.9">
      <c r="A734" s="16"/>
      <c r="B734" s="24"/>
      <c r="C734" s="196"/>
      <c r="D734" s="196"/>
      <c r="E734" s="196"/>
      <c r="F734" s="16"/>
      <c r="G734" s="24"/>
      <c r="H734" s="24"/>
      <c r="I734" s="16"/>
      <c r="J734" s="16"/>
      <c r="K734" s="16"/>
      <c r="L734" s="16"/>
      <c r="M734" s="16"/>
      <c r="N734" s="16"/>
      <c r="O734" s="16"/>
      <c r="P734" s="16"/>
      <c r="Q734" s="16"/>
      <c r="R734" s="16"/>
      <c r="S734" s="16"/>
      <c r="T734" s="16"/>
      <c r="U734" s="16"/>
      <c r="V734" s="16"/>
      <c r="W734" s="16"/>
      <c r="X734" s="16"/>
      <c r="Y734" s="16"/>
      <c r="Z734" s="16"/>
      <c r="AA734" s="16"/>
      <c r="AB734" s="16"/>
      <c r="AC734" s="16"/>
      <c r="AD734" s="16"/>
    </row>
    <row r="735" spans="1:30" ht="12.9">
      <c r="A735" s="16"/>
      <c r="B735" s="24"/>
      <c r="C735" s="196"/>
      <c r="D735" s="196"/>
      <c r="E735" s="196"/>
      <c r="F735" s="16"/>
      <c r="G735" s="24"/>
      <c r="H735" s="24"/>
      <c r="I735" s="16"/>
      <c r="J735" s="16"/>
      <c r="K735" s="16"/>
      <c r="L735" s="16"/>
      <c r="M735" s="16"/>
      <c r="N735" s="16"/>
      <c r="O735" s="16"/>
      <c r="P735" s="16"/>
      <c r="Q735" s="16"/>
      <c r="R735" s="16"/>
      <c r="S735" s="16"/>
      <c r="T735" s="16"/>
      <c r="U735" s="16"/>
      <c r="V735" s="16"/>
      <c r="W735" s="16"/>
      <c r="X735" s="16"/>
      <c r="Y735" s="16"/>
      <c r="Z735" s="16"/>
      <c r="AA735" s="16"/>
      <c r="AB735" s="16"/>
      <c r="AC735" s="16"/>
      <c r="AD735" s="16"/>
    </row>
    <row r="736" spans="1:30" ht="12.9">
      <c r="A736" s="16"/>
      <c r="B736" s="24"/>
      <c r="C736" s="196"/>
      <c r="D736" s="196"/>
      <c r="E736" s="196"/>
      <c r="F736" s="16"/>
      <c r="G736" s="24"/>
      <c r="H736" s="24"/>
      <c r="I736" s="16"/>
      <c r="J736" s="16"/>
      <c r="K736" s="16"/>
      <c r="L736" s="16"/>
      <c r="M736" s="16"/>
      <c r="N736" s="16"/>
      <c r="O736" s="16"/>
      <c r="P736" s="16"/>
      <c r="Q736" s="16"/>
      <c r="R736" s="16"/>
      <c r="S736" s="16"/>
      <c r="T736" s="16"/>
      <c r="U736" s="16"/>
      <c r="V736" s="16"/>
      <c r="W736" s="16"/>
      <c r="X736" s="16"/>
      <c r="Y736" s="16"/>
      <c r="Z736" s="16"/>
      <c r="AA736" s="16"/>
      <c r="AB736" s="16"/>
      <c r="AC736" s="16"/>
      <c r="AD736" s="16"/>
    </row>
    <row r="737" spans="1:30" ht="12.9">
      <c r="A737" s="16"/>
      <c r="B737" s="24"/>
      <c r="C737" s="196"/>
      <c r="D737" s="196"/>
      <c r="E737" s="196"/>
      <c r="F737" s="16"/>
      <c r="G737" s="24"/>
      <c r="H737" s="24"/>
      <c r="I737" s="16"/>
      <c r="J737" s="16"/>
      <c r="K737" s="16"/>
      <c r="L737" s="16"/>
      <c r="M737" s="16"/>
      <c r="N737" s="16"/>
      <c r="O737" s="16"/>
      <c r="P737" s="16"/>
      <c r="Q737" s="16"/>
      <c r="R737" s="16"/>
      <c r="S737" s="16"/>
      <c r="T737" s="16"/>
      <c r="U737" s="16"/>
      <c r="V737" s="16"/>
      <c r="W737" s="16"/>
      <c r="X737" s="16"/>
      <c r="Y737" s="16"/>
      <c r="Z737" s="16"/>
      <c r="AA737" s="16"/>
      <c r="AB737" s="16"/>
      <c r="AC737" s="16"/>
      <c r="AD737" s="16"/>
    </row>
    <row r="738" spans="1:30" ht="12.9">
      <c r="A738" s="16"/>
      <c r="B738" s="24"/>
      <c r="C738" s="196"/>
      <c r="D738" s="196"/>
      <c r="E738" s="196"/>
      <c r="F738" s="16"/>
      <c r="G738" s="24"/>
      <c r="H738" s="24"/>
      <c r="I738" s="16"/>
      <c r="J738" s="16"/>
      <c r="K738" s="16"/>
      <c r="L738" s="16"/>
      <c r="M738" s="16"/>
      <c r="N738" s="16"/>
      <c r="O738" s="16"/>
      <c r="P738" s="16"/>
      <c r="Q738" s="16"/>
      <c r="R738" s="16"/>
      <c r="S738" s="16"/>
      <c r="T738" s="16"/>
      <c r="U738" s="16"/>
      <c r="V738" s="16"/>
      <c r="W738" s="16"/>
      <c r="X738" s="16"/>
      <c r="Y738" s="16"/>
      <c r="Z738" s="16"/>
      <c r="AA738" s="16"/>
      <c r="AB738" s="16"/>
      <c r="AC738" s="16"/>
      <c r="AD738" s="16"/>
    </row>
    <row r="739" spans="1:30" ht="12.9">
      <c r="A739" s="16"/>
      <c r="B739" s="24"/>
      <c r="C739" s="196"/>
      <c r="D739" s="196"/>
      <c r="E739" s="196"/>
      <c r="F739" s="16"/>
      <c r="G739" s="24"/>
      <c r="H739" s="24"/>
      <c r="I739" s="16"/>
      <c r="J739" s="16"/>
      <c r="K739" s="16"/>
      <c r="L739" s="16"/>
      <c r="M739" s="16"/>
      <c r="N739" s="16"/>
      <c r="O739" s="16"/>
      <c r="P739" s="16"/>
      <c r="Q739" s="16"/>
      <c r="R739" s="16"/>
      <c r="S739" s="16"/>
      <c r="T739" s="16"/>
      <c r="U739" s="16"/>
      <c r="V739" s="16"/>
      <c r="W739" s="16"/>
      <c r="X739" s="16"/>
      <c r="Y739" s="16"/>
      <c r="Z739" s="16"/>
      <c r="AA739" s="16"/>
      <c r="AB739" s="16"/>
      <c r="AC739" s="16"/>
      <c r="AD739" s="16"/>
    </row>
    <row r="740" spans="1:30" ht="12.9">
      <c r="A740" s="16"/>
      <c r="B740" s="24"/>
      <c r="C740" s="196"/>
      <c r="D740" s="196"/>
      <c r="E740" s="196"/>
      <c r="F740" s="16"/>
      <c r="G740" s="24"/>
      <c r="H740" s="24"/>
      <c r="I740" s="16"/>
      <c r="J740" s="16"/>
      <c r="K740" s="16"/>
      <c r="L740" s="16"/>
      <c r="M740" s="16"/>
      <c r="N740" s="16"/>
      <c r="O740" s="16"/>
      <c r="P740" s="16"/>
      <c r="Q740" s="16"/>
      <c r="R740" s="16"/>
      <c r="S740" s="16"/>
      <c r="T740" s="16"/>
      <c r="U740" s="16"/>
      <c r="V740" s="16"/>
      <c r="W740" s="16"/>
      <c r="X740" s="16"/>
      <c r="Y740" s="16"/>
      <c r="Z740" s="16"/>
      <c r="AA740" s="16"/>
      <c r="AB740" s="16"/>
      <c r="AC740" s="16"/>
      <c r="AD740" s="16"/>
    </row>
    <row r="741" spans="1:30" ht="12.9">
      <c r="A741" s="16"/>
      <c r="B741" s="24"/>
      <c r="C741" s="196"/>
      <c r="D741" s="196"/>
      <c r="E741" s="196"/>
      <c r="F741" s="16"/>
      <c r="G741" s="24"/>
      <c r="H741" s="24"/>
      <c r="I741" s="16"/>
      <c r="J741" s="16"/>
      <c r="K741" s="16"/>
      <c r="L741" s="16"/>
      <c r="M741" s="16"/>
      <c r="N741" s="16"/>
      <c r="O741" s="16"/>
      <c r="P741" s="16"/>
      <c r="Q741" s="16"/>
      <c r="R741" s="16"/>
      <c r="S741" s="16"/>
      <c r="T741" s="16"/>
      <c r="U741" s="16"/>
      <c r="V741" s="16"/>
      <c r="W741" s="16"/>
      <c r="X741" s="16"/>
      <c r="Y741" s="16"/>
      <c r="Z741" s="16"/>
      <c r="AA741" s="16"/>
      <c r="AB741" s="16"/>
      <c r="AC741" s="16"/>
      <c r="AD741" s="16"/>
    </row>
    <row r="742" spans="1:30" ht="12.9">
      <c r="A742" s="16"/>
      <c r="B742" s="24"/>
      <c r="C742" s="196"/>
      <c r="D742" s="196"/>
      <c r="E742" s="196"/>
      <c r="F742" s="16"/>
      <c r="G742" s="24"/>
      <c r="H742" s="24"/>
      <c r="I742" s="16"/>
      <c r="J742" s="16"/>
      <c r="K742" s="16"/>
      <c r="L742" s="16"/>
      <c r="M742" s="16"/>
      <c r="N742" s="16"/>
      <c r="O742" s="16"/>
      <c r="P742" s="16"/>
      <c r="Q742" s="16"/>
      <c r="R742" s="16"/>
      <c r="S742" s="16"/>
      <c r="T742" s="16"/>
      <c r="U742" s="16"/>
      <c r="V742" s="16"/>
      <c r="W742" s="16"/>
      <c r="X742" s="16"/>
      <c r="Y742" s="16"/>
      <c r="Z742" s="16"/>
      <c r="AA742" s="16"/>
      <c r="AB742" s="16"/>
      <c r="AC742" s="16"/>
      <c r="AD742" s="16"/>
    </row>
    <row r="743" spans="1:30" ht="12.9">
      <c r="A743" s="16"/>
      <c r="B743" s="24"/>
      <c r="C743" s="196"/>
      <c r="D743" s="196"/>
      <c r="E743" s="196"/>
      <c r="F743" s="16"/>
      <c r="G743" s="24"/>
      <c r="H743" s="24"/>
      <c r="I743" s="16"/>
      <c r="J743" s="16"/>
      <c r="K743" s="16"/>
      <c r="L743" s="16"/>
      <c r="M743" s="16"/>
      <c r="N743" s="16"/>
      <c r="O743" s="16"/>
      <c r="P743" s="16"/>
      <c r="Q743" s="16"/>
      <c r="R743" s="16"/>
      <c r="S743" s="16"/>
      <c r="T743" s="16"/>
      <c r="U743" s="16"/>
      <c r="V743" s="16"/>
      <c r="W743" s="16"/>
      <c r="X743" s="16"/>
      <c r="Y743" s="16"/>
      <c r="Z743" s="16"/>
      <c r="AA743" s="16"/>
      <c r="AB743" s="16"/>
      <c r="AC743" s="16"/>
      <c r="AD743" s="16"/>
    </row>
    <row r="744" spans="1:30" ht="12.9">
      <c r="A744" s="16"/>
      <c r="B744" s="24"/>
      <c r="C744" s="196"/>
      <c r="D744" s="196"/>
      <c r="E744" s="196"/>
      <c r="F744" s="16"/>
      <c r="G744" s="24"/>
      <c r="H744" s="24"/>
      <c r="I744" s="16"/>
      <c r="J744" s="16"/>
      <c r="K744" s="16"/>
      <c r="L744" s="16"/>
      <c r="M744" s="16"/>
      <c r="N744" s="16"/>
      <c r="O744" s="16"/>
      <c r="P744" s="16"/>
      <c r="Q744" s="16"/>
      <c r="R744" s="16"/>
      <c r="S744" s="16"/>
      <c r="T744" s="16"/>
      <c r="U744" s="16"/>
      <c r="V744" s="16"/>
      <c r="W744" s="16"/>
      <c r="X744" s="16"/>
      <c r="Y744" s="16"/>
      <c r="Z744" s="16"/>
      <c r="AA744" s="16"/>
      <c r="AB744" s="16"/>
      <c r="AC744" s="16"/>
      <c r="AD744" s="16"/>
    </row>
    <row r="745" spans="1:30" ht="12.9">
      <c r="A745" s="16"/>
      <c r="B745" s="24"/>
      <c r="C745" s="196"/>
      <c r="D745" s="196"/>
      <c r="E745" s="196"/>
      <c r="F745" s="16"/>
      <c r="G745" s="24"/>
      <c r="H745" s="24"/>
      <c r="I745" s="16"/>
      <c r="J745" s="16"/>
      <c r="K745" s="16"/>
      <c r="L745" s="16"/>
      <c r="M745" s="16"/>
      <c r="N745" s="16"/>
      <c r="O745" s="16"/>
      <c r="P745" s="16"/>
      <c r="Q745" s="16"/>
      <c r="R745" s="16"/>
      <c r="S745" s="16"/>
      <c r="T745" s="16"/>
      <c r="U745" s="16"/>
      <c r="V745" s="16"/>
      <c r="W745" s="16"/>
      <c r="X745" s="16"/>
      <c r="Y745" s="16"/>
      <c r="Z745" s="16"/>
      <c r="AA745" s="16"/>
      <c r="AB745" s="16"/>
      <c r="AC745" s="16"/>
      <c r="AD745" s="16"/>
    </row>
    <row r="746" spans="1:30" ht="12.9">
      <c r="A746" s="16"/>
      <c r="B746" s="24"/>
      <c r="C746" s="196"/>
      <c r="D746" s="196"/>
      <c r="E746" s="196"/>
      <c r="F746" s="16"/>
      <c r="G746" s="24"/>
      <c r="H746" s="24"/>
      <c r="I746" s="16"/>
      <c r="J746" s="16"/>
      <c r="K746" s="16"/>
      <c r="L746" s="16"/>
      <c r="M746" s="16"/>
      <c r="N746" s="16"/>
      <c r="O746" s="16"/>
      <c r="P746" s="16"/>
      <c r="Q746" s="16"/>
      <c r="R746" s="16"/>
      <c r="S746" s="16"/>
      <c r="T746" s="16"/>
      <c r="U746" s="16"/>
      <c r="V746" s="16"/>
      <c r="W746" s="16"/>
      <c r="X746" s="16"/>
      <c r="Y746" s="16"/>
      <c r="Z746" s="16"/>
      <c r="AA746" s="16"/>
      <c r="AB746" s="16"/>
      <c r="AC746" s="16"/>
      <c r="AD746" s="16"/>
    </row>
    <row r="747" spans="1:30" ht="12.9">
      <c r="A747" s="16"/>
      <c r="B747" s="24"/>
      <c r="C747" s="196"/>
      <c r="D747" s="196"/>
      <c r="E747" s="196"/>
      <c r="F747" s="16"/>
      <c r="G747" s="24"/>
      <c r="H747" s="24"/>
      <c r="I747" s="16"/>
      <c r="J747" s="16"/>
      <c r="K747" s="16"/>
      <c r="L747" s="16"/>
      <c r="M747" s="16"/>
      <c r="N747" s="16"/>
      <c r="O747" s="16"/>
      <c r="P747" s="16"/>
      <c r="Q747" s="16"/>
      <c r="R747" s="16"/>
      <c r="S747" s="16"/>
      <c r="T747" s="16"/>
      <c r="U747" s="16"/>
      <c r="V747" s="16"/>
      <c r="W747" s="16"/>
      <c r="X747" s="16"/>
      <c r="Y747" s="16"/>
      <c r="Z747" s="16"/>
      <c r="AA747" s="16"/>
      <c r="AB747" s="16"/>
      <c r="AC747" s="16"/>
      <c r="AD747" s="16"/>
    </row>
    <row r="748" spans="1:30" ht="12.9">
      <c r="A748" s="16"/>
      <c r="B748" s="24"/>
      <c r="C748" s="196"/>
      <c r="D748" s="196"/>
      <c r="E748" s="196"/>
      <c r="F748" s="16"/>
      <c r="G748" s="24"/>
      <c r="H748" s="24"/>
      <c r="I748" s="16"/>
      <c r="J748" s="16"/>
      <c r="K748" s="16"/>
      <c r="L748" s="16"/>
      <c r="M748" s="16"/>
      <c r="N748" s="16"/>
      <c r="O748" s="16"/>
      <c r="P748" s="16"/>
      <c r="Q748" s="16"/>
      <c r="R748" s="16"/>
      <c r="S748" s="16"/>
      <c r="T748" s="16"/>
      <c r="U748" s="16"/>
      <c r="V748" s="16"/>
      <c r="W748" s="16"/>
      <c r="X748" s="16"/>
      <c r="Y748" s="16"/>
      <c r="Z748" s="16"/>
      <c r="AA748" s="16"/>
      <c r="AB748" s="16"/>
      <c r="AC748" s="16"/>
      <c r="AD748" s="16"/>
    </row>
    <row r="749" spans="1:30" ht="12.9">
      <c r="A749" s="16"/>
      <c r="B749" s="24"/>
      <c r="C749" s="196"/>
      <c r="D749" s="196"/>
      <c r="E749" s="196"/>
      <c r="F749" s="16"/>
      <c r="G749" s="24"/>
      <c r="H749" s="24"/>
      <c r="I749" s="16"/>
      <c r="J749" s="16"/>
      <c r="K749" s="16"/>
      <c r="L749" s="16"/>
      <c r="M749" s="16"/>
      <c r="N749" s="16"/>
      <c r="O749" s="16"/>
      <c r="P749" s="16"/>
      <c r="Q749" s="16"/>
      <c r="R749" s="16"/>
      <c r="S749" s="16"/>
      <c r="T749" s="16"/>
      <c r="U749" s="16"/>
      <c r="V749" s="16"/>
      <c r="W749" s="16"/>
      <c r="X749" s="16"/>
      <c r="Y749" s="16"/>
      <c r="Z749" s="16"/>
      <c r="AA749" s="16"/>
      <c r="AB749" s="16"/>
      <c r="AC749" s="16"/>
      <c r="AD749" s="16"/>
    </row>
    <row r="750" spans="1:30" ht="12.9">
      <c r="A750" s="16"/>
      <c r="B750" s="24"/>
      <c r="C750" s="196"/>
      <c r="D750" s="196"/>
      <c r="E750" s="196"/>
      <c r="F750" s="16"/>
      <c r="G750" s="24"/>
      <c r="H750" s="24"/>
      <c r="I750" s="16"/>
      <c r="J750" s="16"/>
      <c r="K750" s="16"/>
      <c r="L750" s="16"/>
      <c r="M750" s="16"/>
      <c r="N750" s="16"/>
      <c r="O750" s="16"/>
      <c r="P750" s="16"/>
      <c r="Q750" s="16"/>
      <c r="R750" s="16"/>
      <c r="S750" s="16"/>
      <c r="T750" s="16"/>
      <c r="U750" s="16"/>
      <c r="V750" s="16"/>
      <c r="W750" s="16"/>
      <c r="X750" s="16"/>
      <c r="Y750" s="16"/>
      <c r="Z750" s="16"/>
      <c r="AA750" s="16"/>
      <c r="AB750" s="16"/>
      <c r="AC750" s="16"/>
      <c r="AD750" s="16"/>
    </row>
    <row r="751" spans="1:30" ht="12.9">
      <c r="A751" s="16"/>
      <c r="B751" s="24"/>
      <c r="C751" s="196"/>
      <c r="D751" s="196"/>
      <c r="E751" s="196"/>
      <c r="F751" s="16"/>
      <c r="G751" s="24"/>
      <c r="H751" s="24"/>
      <c r="I751" s="16"/>
      <c r="J751" s="16"/>
      <c r="K751" s="16"/>
      <c r="L751" s="16"/>
      <c r="M751" s="16"/>
      <c r="N751" s="16"/>
      <c r="O751" s="16"/>
      <c r="P751" s="16"/>
      <c r="Q751" s="16"/>
      <c r="R751" s="16"/>
      <c r="S751" s="16"/>
      <c r="T751" s="16"/>
      <c r="U751" s="16"/>
      <c r="V751" s="16"/>
      <c r="W751" s="16"/>
      <c r="X751" s="16"/>
      <c r="Y751" s="16"/>
      <c r="Z751" s="16"/>
      <c r="AA751" s="16"/>
      <c r="AB751" s="16"/>
      <c r="AC751" s="16"/>
      <c r="AD751" s="16"/>
    </row>
    <row r="752" spans="1:30" ht="12.9">
      <c r="A752" s="16"/>
      <c r="B752" s="24"/>
      <c r="C752" s="196"/>
      <c r="D752" s="196"/>
      <c r="E752" s="196"/>
      <c r="F752" s="16"/>
      <c r="G752" s="24"/>
      <c r="H752" s="24"/>
      <c r="I752" s="16"/>
      <c r="J752" s="16"/>
      <c r="K752" s="16"/>
      <c r="L752" s="16"/>
      <c r="M752" s="16"/>
      <c r="N752" s="16"/>
      <c r="O752" s="16"/>
      <c r="P752" s="16"/>
      <c r="Q752" s="16"/>
      <c r="R752" s="16"/>
      <c r="S752" s="16"/>
      <c r="T752" s="16"/>
      <c r="U752" s="16"/>
      <c r="V752" s="16"/>
      <c r="W752" s="16"/>
      <c r="X752" s="16"/>
      <c r="Y752" s="16"/>
      <c r="Z752" s="16"/>
      <c r="AA752" s="16"/>
      <c r="AB752" s="16"/>
      <c r="AC752" s="16"/>
      <c r="AD752" s="16"/>
    </row>
    <row r="753" spans="1:30" ht="12.9">
      <c r="A753" s="16"/>
      <c r="B753" s="24"/>
      <c r="C753" s="196"/>
      <c r="D753" s="196"/>
      <c r="E753" s="196"/>
      <c r="F753" s="16"/>
      <c r="G753" s="24"/>
      <c r="H753" s="24"/>
      <c r="I753" s="16"/>
      <c r="J753" s="16"/>
      <c r="K753" s="16"/>
      <c r="L753" s="16"/>
      <c r="M753" s="16"/>
      <c r="N753" s="16"/>
      <c r="O753" s="16"/>
      <c r="P753" s="16"/>
      <c r="Q753" s="16"/>
      <c r="R753" s="16"/>
      <c r="S753" s="16"/>
      <c r="T753" s="16"/>
      <c r="U753" s="16"/>
      <c r="V753" s="16"/>
      <c r="W753" s="16"/>
      <c r="X753" s="16"/>
      <c r="Y753" s="16"/>
      <c r="Z753" s="16"/>
      <c r="AA753" s="16"/>
      <c r="AB753" s="16"/>
      <c r="AC753" s="16"/>
      <c r="AD753" s="16"/>
    </row>
    <row r="754" spans="1:30" ht="12.9">
      <c r="A754" s="16"/>
      <c r="B754" s="24"/>
      <c r="C754" s="196"/>
      <c r="D754" s="196"/>
      <c r="E754" s="196"/>
      <c r="F754" s="16"/>
      <c r="G754" s="24"/>
      <c r="H754" s="24"/>
      <c r="I754" s="16"/>
      <c r="J754" s="16"/>
      <c r="K754" s="16"/>
      <c r="L754" s="16"/>
      <c r="M754" s="16"/>
      <c r="N754" s="16"/>
      <c r="O754" s="16"/>
      <c r="P754" s="16"/>
      <c r="Q754" s="16"/>
      <c r="R754" s="16"/>
      <c r="S754" s="16"/>
      <c r="T754" s="16"/>
      <c r="U754" s="16"/>
      <c r="V754" s="16"/>
      <c r="W754" s="16"/>
      <c r="X754" s="16"/>
      <c r="Y754" s="16"/>
      <c r="Z754" s="16"/>
      <c r="AA754" s="16"/>
      <c r="AB754" s="16"/>
      <c r="AC754" s="16"/>
      <c r="AD754" s="16"/>
    </row>
    <row r="755" spans="1:30" ht="12.9">
      <c r="A755" s="16"/>
      <c r="B755" s="24"/>
      <c r="C755" s="196"/>
      <c r="D755" s="196"/>
      <c r="E755" s="196"/>
      <c r="F755" s="16"/>
      <c r="G755" s="24"/>
      <c r="H755" s="24"/>
      <c r="I755" s="16"/>
      <c r="J755" s="16"/>
      <c r="K755" s="16"/>
      <c r="L755" s="16"/>
      <c r="M755" s="16"/>
      <c r="N755" s="16"/>
      <c r="O755" s="16"/>
      <c r="P755" s="16"/>
      <c r="Q755" s="16"/>
      <c r="R755" s="16"/>
      <c r="S755" s="16"/>
      <c r="T755" s="16"/>
      <c r="U755" s="16"/>
      <c r="V755" s="16"/>
      <c r="W755" s="16"/>
      <c r="X755" s="16"/>
      <c r="Y755" s="16"/>
      <c r="Z755" s="16"/>
      <c r="AA755" s="16"/>
      <c r="AB755" s="16"/>
      <c r="AC755" s="16"/>
      <c r="AD755" s="16"/>
    </row>
    <row r="756" spans="1:30" ht="12.9">
      <c r="A756" s="16"/>
      <c r="B756" s="24"/>
      <c r="C756" s="196"/>
      <c r="D756" s="196"/>
      <c r="E756" s="196"/>
      <c r="F756" s="16"/>
      <c r="G756" s="24"/>
      <c r="H756" s="24"/>
      <c r="I756" s="16"/>
      <c r="J756" s="16"/>
      <c r="K756" s="16"/>
      <c r="L756" s="16"/>
      <c r="M756" s="16"/>
      <c r="N756" s="16"/>
      <c r="O756" s="16"/>
      <c r="P756" s="16"/>
      <c r="Q756" s="16"/>
      <c r="R756" s="16"/>
      <c r="S756" s="16"/>
      <c r="T756" s="16"/>
      <c r="U756" s="16"/>
      <c r="V756" s="16"/>
      <c r="W756" s="16"/>
      <c r="X756" s="16"/>
      <c r="Y756" s="16"/>
      <c r="Z756" s="16"/>
      <c r="AA756" s="16"/>
      <c r="AB756" s="16"/>
      <c r="AC756" s="16"/>
      <c r="AD756" s="16"/>
    </row>
    <row r="757" spans="1:30" ht="12.9">
      <c r="A757" s="16"/>
      <c r="B757" s="24"/>
      <c r="C757" s="196"/>
      <c r="D757" s="196"/>
      <c r="E757" s="196"/>
      <c r="F757" s="16"/>
      <c r="G757" s="24"/>
      <c r="H757" s="24"/>
      <c r="I757" s="16"/>
      <c r="J757" s="16"/>
      <c r="K757" s="16"/>
      <c r="L757" s="16"/>
      <c r="M757" s="16"/>
      <c r="N757" s="16"/>
      <c r="O757" s="16"/>
      <c r="P757" s="16"/>
      <c r="Q757" s="16"/>
      <c r="R757" s="16"/>
      <c r="S757" s="16"/>
      <c r="T757" s="16"/>
      <c r="U757" s="16"/>
      <c r="V757" s="16"/>
      <c r="W757" s="16"/>
      <c r="X757" s="16"/>
      <c r="Y757" s="16"/>
      <c r="Z757" s="16"/>
      <c r="AA757" s="16"/>
      <c r="AB757" s="16"/>
      <c r="AC757" s="16"/>
      <c r="AD757" s="16"/>
    </row>
    <row r="758" spans="1:30" ht="12.9">
      <c r="A758" s="16"/>
      <c r="B758" s="24"/>
      <c r="C758" s="196"/>
      <c r="D758" s="196"/>
      <c r="E758" s="196"/>
      <c r="F758" s="16"/>
      <c r="G758" s="24"/>
      <c r="H758" s="24"/>
      <c r="I758" s="16"/>
      <c r="J758" s="16"/>
      <c r="K758" s="16"/>
      <c r="L758" s="16"/>
      <c r="M758" s="16"/>
      <c r="N758" s="16"/>
      <c r="O758" s="16"/>
      <c r="P758" s="16"/>
      <c r="Q758" s="16"/>
      <c r="R758" s="16"/>
      <c r="S758" s="16"/>
      <c r="T758" s="16"/>
      <c r="U758" s="16"/>
      <c r="V758" s="16"/>
      <c r="W758" s="16"/>
      <c r="X758" s="16"/>
      <c r="Y758" s="16"/>
      <c r="Z758" s="16"/>
      <c r="AA758" s="16"/>
      <c r="AB758" s="16"/>
      <c r="AC758" s="16"/>
      <c r="AD758" s="16"/>
    </row>
    <row r="759" spans="1:30" ht="12.9">
      <c r="A759" s="16"/>
      <c r="B759" s="24"/>
      <c r="C759" s="196"/>
      <c r="D759" s="196"/>
      <c r="E759" s="196"/>
      <c r="F759" s="16"/>
      <c r="G759" s="24"/>
      <c r="H759" s="24"/>
      <c r="I759" s="16"/>
      <c r="J759" s="16"/>
      <c r="K759" s="16"/>
      <c r="L759" s="16"/>
      <c r="M759" s="16"/>
      <c r="N759" s="16"/>
      <c r="O759" s="16"/>
      <c r="P759" s="16"/>
      <c r="Q759" s="16"/>
      <c r="R759" s="16"/>
      <c r="S759" s="16"/>
      <c r="T759" s="16"/>
      <c r="U759" s="16"/>
      <c r="V759" s="16"/>
      <c r="W759" s="16"/>
      <c r="X759" s="16"/>
      <c r="Y759" s="16"/>
      <c r="Z759" s="16"/>
      <c r="AA759" s="16"/>
      <c r="AB759" s="16"/>
      <c r="AC759" s="16"/>
      <c r="AD759" s="16"/>
    </row>
    <row r="760" spans="1:30" ht="12.9">
      <c r="A760" s="16"/>
      <c r="B760" s="24"/>
      <c r="C760" s="196"/>
      <c r="D760" s="196"/>
      <c r="E760" s="196"/>
      <c r="F760" s="16"/>
      <c r="G760" s="24"/>
      <c r="H760" s="24"/>
      <c r="I760" s="16"/>
      <c r="J760" s="16"/>
      <c r="K760" s="16"/>
      <c r="L760" s="16"/>
      <c r="M760" s="16"/>
      <c r="N760" s="16"/>
      <c r="O760" s="16"/>
      <c r="P760" s="16"/>
      <c r="Q760" s="16"/>
      <c r="R760" s="16"/>
      <c r="S760" s="16"/>
      <c r="T760" s="16"/>
      <c r="U760" s="16"/>
      <c r="V760" s="16"/>
      <c r="W760" s="16"/>
      <c r="X760" s="16"/>
      <c r="Y760" s="16"/>
      <c r="Z760" s="16"/>
      <c r="AA760" s="16"/>
      <c r="AB760" s="16"/>
      <c r="AC760" s="16"/>
      <c r="AD760" s="16"/>
    </row>
    <row r="761" spans="1:30" ht="12.9">
      <c r="A761" s="16"/>
      <c r="B761" s="24"/>
      <c r="C761" s="196"/>
      <c r="D761" s="196"/>
      <c r="E761" s="196"/>
      <c r="F761" s="16"/>
      <c r="G761" s="24"/>
      <c r="H761" s="24"/>
      <c r="I761" s="16"/>
      <c r="J761" s="16"/>
      <c r="K761" s="16"/>
      <c r="L761" s="16"/>
      <c r="M761" s="16"/>
      <c r="N761" s="16"/>
      <c r="O761" s="16"/>
      <c r="P761" s="16"/>
      <c r="Q761" s="16"/>
      <c r="R761" s="16"/>
      <c r="S761" s="16"/>
      <c r="T761" s="16"/>
      <c r="U761" s="16"/>
      <c r="V761" s="16"/>
      <c r="W761" s="16"/>
      <c r="X761" s="16"/>
      <c r="Y761" s="16"/>
      <c r="Z761" s="16"/>
      <c r="AA761" s="16"/>
      <c r="AB761" s="16"/>
      <c r="AC761" s="16"/>
      <c r="AD761" s="16"/>
    </row>
    <row r="762" spans="1:30" ht="12.9">
      <c r="A762" s="16"/>
      <c r="B762" s="24"/>
      <c r="C762" s="196"/>
      <c r="D762" s="196"/>
      <c r="E762" s="196"/>
      <c r="F762" s="16"/>
      <c r="G762" s="24"/>
      <c r="H762" s="24"/>
      <c r="I762" s="16"/>
      <c r="J762" s="16"/>
      <c r="K762" s="16"/>
      <c r="L762" s="16"/>
      <c r="M762" s="16"/>
      <c r="N762" s="16"/>
      <c r="O762" s="16"/>
      <c r="P762" s="16"/>
      <c r="Q762" s="16"/>
      <c r="R762" s="16"/>
      <c r="S762" s="16"/>
      <c r="T762" s="16"/>
      <c r="U762" s="16"/>
      <c r="V762" s="16"/>
      <c r="W762" s="16"/>
      <c r="X762" s="16"/>
      <c r="Y762" s="16"/>
      <c r="Z762" s="16"/>
      <c r="AA762" s="16"/>
      <c r="AB762" s="16"/>
      <c r="AC762" s="16"/>
      <c r="AD762" s="16"/>
    </row>
    <row r="763" spans="1:30" ht="12.9">
      <c r="A763" s="16"/>
      <c r="B763" s="24"/>
      <c r="C763" s="196"/>
      <c r="D763" s="196"/>
      <c r="E763" s="196"/>
      <c r="F763" s="16"/>
      <c r="G763" s="24"/>
      <c r="H763" s="24"/>
      <c r="I763" s="16"/>
      <c r="J763" s="16"/>
      <c r="K763" s="16"/>
      <c r="L763" s="16"/>
      <c r="M763" s="16"/>
      <c r="N763" s="16"/>
      <c r="O763" s="16"/>
      <c r="P763" s="16"/>
      <c r="Q763" s="16"/>
      <c r="R763" s="16"/>
      <c r="S763" s="16"/>
      <c r="T763" s="16"/>
      <c r="U763" s="16"/>
      <c r="V763" s="16"/>
      <c r="W763" s="16"/>
      <c r="X763" s="16"/>
      <c r="Y763" s="16"/>
      <c r="Z763" s="16"/>
      <c r="AA763" s="16"/>
      <c r="AB763" s="16"/>
      <c r="AC763" s="16"/>
      <c r="AD763" s="16"/>
    </row>
    <row r="764" spans="1:30" ht="12.9">
      <c r="A764" s="16"/>
      <c r="B764" s="24"/>
      <c r="C764" s="196"/>
      <c r="D764" s="196"/>
      <c r="E764" s="196"/>
      <c r="F764" s="16"/>
      <c r="G764" s="24"/>
      <c r="H764" s="24"/>
      <c r="I764" s="16"/>
      <c r="J764" s="16"/>
      <c r="K764" s="16"/>
      <c r="L764" s="16"/>
      <c r="M764" s="16"/>
      <c r="N764" s="16"/>
      <c r="O764" s="16"/>
      <c r="P764" s="16"/>
      <c r="Q764" s="16"/>
      <c r="R764" s="16"/>
      <c r="S764" s="16"/>
      <c r="T764" s="16"/>
      <c r="U764" s="16"/>
      <c r="V764" s="16"/>
      <c r="W764" s="16"/>
      <c r="X764" s="16"/>
      <c r="Y764" s="16"/>
      <c r="Z764" s="16"/>
      <c r="AA764" s="16"/>
      <c r="AB764" s="16"/>
      <c r="AC764" s="16"/>
      <c r="AD764" s="16"/>
    </row>
    <row r="765" spans="1:30" ht="12.9">
      <c r="A765" s="16"/>
      <c r="B765" s="24"/>
      <c r="C765" s="196"/>
      <c r="D765" s="196"/>
      <c r="E765" s="196"/>
      <c r="F765" s="16"/>
      <c r="G765" s="24"/>
      <c r="H765" s="24"/>
      <c r="I765" s="16"/>
      <c r="J765" s="16"/>
      <c r="K765" s="16"/>
      <c r="L765" s="16"/>
      <c r="M765" s="16"/>
      <c r="N765" s="16"/>
      <c r="O765" s="16"/>
      <c r="P765" s="16"/>
      <c r="Q765" s="16"/>
      <c r="R765" s="16"/>
      <c r="S765" s="16"/>
      <c r="T765" s="16"/>
      <c r="U765" s="16"/>
      <c r="V765" s="16"/>
      <c r="W765" s="16"/>
      <c r="X765" s="16"/>
      <c r="Y765" s="16"/>
      <c r="Z765" s="16"/>
      <c r="AA765" s="16"/>
      <c r="AB765" s="16"/>
      <c r="AC765" s="16"/>
      <c r="AD765" s="16"/>
    </row>
    <row r="766" spans="1:30" ht="12.9">
      <c r="A766" s="16"/>
      <c r="B766" s="24"/>
      <c r="C766" s="196"/>
      <c r="D766" s="196"/>
      <c r="E766" s="196"/>
      <c r="F766" s="16"/>
      <c r="G766" s="24"/>
      <c r="H766" s="24"/>
      <c r="I766" s="16"/>
      <c r="J766" s="16"/>
      <c r="K766" s="16"/>
      <c r="L766" s="16"/>
      <c r="M766" s="16"/>
      <c r="N766" s="16"/>
      <c r="O766" s="16"/>
      <c r="P766" s="16"/>
      <c r="Q766" s="16"/>
      <c r="R766" s="16"/>
      <c r="S766" s="16"/>
      <c r="T766" s="16"/>
      <c r="U766" s="16"/>
      <c r="V766" s="16"/>
      <c r="W766" s="16"/>
      <c r="X766" s="16"/>
      <c r="Y766" s="16"/>
      <c r="Z766" s="16"/>
      <c r="AA766" s="16"/>
      <c r="AB766" s="16"/>
      <c r="AC766" s="16"/>
      <c r="AD766" s="16"/>
    </row>
    <row r="767" spans="1:30" ht="12.9">
      <c r="A767" s="16"/>
      <c r="B767" s="24"/>
      <c r="C767" s="196"/>
      <c r="D767" s="196"/>
      <c r="E767" s="196"/>
      <c r="F767" s="16"/>
      <c r="G767" s="24"/>
      <c r="H767" s="24"/>
      <c r="I767" s="16"/>
      <c r="J767" s="16"/>
      <c r="K767" s="16"/>
      <c r="L767" s="16"/>
      <c r="M767" s="16"/>
      <c r="N767" s="16"/>
      <c r="O767" s="16"/>
      <c r="P767" s="16"/>
      <c r="Q767" s="16"/>
      <c r="R767" s="16"/>
      <c r="S767" s="16"/>
      <c r="T767" s="16"/>
      <c r="U767" s="16"/>
      <c r="V767" s="16"/>
      <c r="W767" s="16"/>
      <c r="X767" s="16"/>
      <c r="Y767" s="16"/>
      <c r="Z767" s="16"/>
      <c r="AA767" s="16"/>
      <c r="AB767" s="16"/>
      <c r="AC767" s="16"/>
      <c r="AD767" s="16"/>
    </row>
    <row r="768" spans="1:30" ht="12.9">
      <c r="A768" s="16"/>
      <c r="B768" s="24"/>
      <c r="C768" s="196"/>
      <c r="D768" s="196"/>
      <c r="E768" s="196"/>
      <c r="F768" s="16"/>
      <c r="G768" s="24"/>
      <c r="H768" s="24"/>
      <c r="I768" s="16"/>
      <c r="J768" s="16"/>
      <c r="K768" s="16"/>
      <c r="L768" s="16"/>
      <c r="M768" s="16"/>
      <c r="N768" s="16"/>
      <c r="O768" s="16"/>
      <c r="P768" s="16"/>
      <c r="Q768" s="16"/>
      <c r="R768" s="16"/>
      <c r="S768" s="16"/>
      <c r="T768" s="16"/>
      <c r="U768" s="16"/>
      <c r="V768" s="16"/>
      <c r="W768" s="16"/>
      <c r="X768" s="16"/>
      <c r="Y768" s="16"/>
      <c r="Z768" s="16"/>
      <c r="AA768" s="16"/>
      <c r="AB768" s="16"/>
      <c r="AC768" s="16"/>
      <c r="AD768" s="16"/>
    </row>
    <row r="769" spans="1:30" ht="12.9">
      <c r="A769" s="16"/>
      <c r="B769" s="24"/>
      <c r="C769" s="196"/>
      <c r="D769" s="196"/>
      <c r="E769" s="196"/>
      <c r="F769" s="16"/>
      <c r="G769" s="24"/>
      <c r="H769" s="24"/>
      <c r="I769" s="16"/>
      <c r="J769" s="16"/>
      <c r="K769" s="16"/>
      <c r="L769" s="16"/>
      <c r="M769" s="16"/>
      <c r="N769" s="16"/>
      <c r="O769" s="16"/>
      <c r="P769" s="16"/>
      <c r="Q769" s="16"/>
      <c r="R769" s="16"/>
      <c r="S769" s="16"/>
      <c r="T769" s="16"/>
      <c r="U769" s="16"/>
      <c r="V769" s="16"/>
      <c r="W769" s="16"/>
      <c r="X769" s="16"/>
      <c r="Y769" s="16"/>
      <c r="Z769" s="16"/>
      <c r="AA769" s="16"/>
      <c r="AB769" s="16"/>
      <c r="AC769" s="16"/>
      <c r="AD769" s="16"/>
    </row>
    <row r="770" spans="1:30" ht="12.9">
      <c r="A770" s="16"/>
      <c r="B770" s="24"/>
      <c r="C770" s="196"/>
      <c r="D770" s="196"/>
      <c r="E770" s="196"/>
      <c r="F770" s="16"/>
      <c r="G770" s="24"/>
      <c r="H770" s="24"/>
      <c r="I770" s="16"/>
      <c r="J770" s="16"/>
      <c r="K770" s="16"/>
      <c r="L770" s="16"/>
      <c r="M770" s="16"/>
      <c r="N770" s="16"/>
      <c r="O770" s="16"/>
      <c r="P770" s="16"/>
      <c r="Q770" s="16"/>
      <c r="R770" s="16"/>
      <c r="S770" s="16"/>
      <c r="T770" s="16"/>
      <c r="U770" s="16"/>
      <c r="V770" s="16"/>
      <c r="W770" s="16"/>
      <c r="X770" s="16"/>
      <c r="Y770" s="16"/>
      <c r="Z770" s="16"/>
      <c r="AA770" s="16"/>
      <c r="AB770" s="16"/>
      <c r="AC770" s="16"/>
      <c r="AD770" s="16"/>
    </row>
    <row r="771" spans="1:30" ht="12.9">
      <c r="A771" s="16"/>
      <c r="B771" s="24"/>
      <c r="C771" s="196"/>
      <c r="D771" s="196"/>
      <c r="E771" s="196"/>
      <c r="F771" s="16"/>
      <c r="G771" s="24"/>
      <c r="H771" s="24"/>
      <c r="I771" s="16"/>
      <c r="J771" s="16"/>
      <c r="K771" s="16"/>
      <c r="L771" s="16"/>
      <c r="M771" s="16"/>
      <c r="N771" s="16"/>
      <c r="O771" s="16"/>
      <c r="P771" s="16"/>
      <c r="Q771" s="16"/>
      <c r="R771" s="16"/>
      <c r="S771" s="16"/>
      <c r="T771" s="16"/>
      <c r="U771" s="16"/>
      <c r="V771" s="16"/>
      <c r="W771" s="16"/>
      <c r="X771" s="16"/>
      <c r="Y771" s="16"/>
      <c r="Z771" s="16"/>
      <c r="AA771" s="16"/>
      <c r="AB771" s="16"/>
      <c r="AC771" s="16"/>
      <c r="AD771" s="16"/>
    </row>
    <row r="772" spans="1:30" ht="12.9">
      <c r="A772" s="16"/>
      <c r="B772" s="24"/>
      <c r="C772" s="196"/>
      <c r="D772" s="196"/>
      <c r="E772" s="196"/>
      <c r="F772" s="16"/>
      <c r="G772" s="24"/>
      <c r="H772" s="24"/>
      <c r="I772" s="16"/>
      <c r="J772" s="16"/>
      <c r="K772" s="16"/>
      <c r="L772" s="16"/>
      <c r="M772" s="16"/>
      <c r="N772" s="16"/>
      <c r="O772" s="16"/>
      <c r="P772" s="16"/>
      <c r="Q772" s="16"/>
      <c r="R772" s="16"/>
      <c r="S772" s="16"/>
      <c r="T772" s="16"/>
      <c r="U772" s="16"/>
      <c r="V772" s="16"/>
      <c r="W772" s="16"/>
      <c r="X772" s="16"/>
      <c r="Y772" s="16"/>
      <c r="Z772" s="16"/>
      <c r="AA772" s="16"/>
      <c r="AB772" s="16"/>
      <c r="AC772" s="16"/>
      <c r="AD772" s="16"/>
    </row>
    <row r="773" spans="1:30" ht="12.9">
      <c r="A773" s="16"/>
      <c r="B773" s="24"/>
      <c r="C773" s="196"/>
      <c r="D773" s="196"/>
      <c r="E773" s="196"/>
      <c r="F773" s="16"/>
      <c r="G773" s="24"/>
      <c r="H773" s="24"/>
      <c r="I773" s="16"/>
      <c r="J773" s="16"/>
      <c r="K773" s="16"/>
      <c r="L773" s="16"/>
      <c r="M773" s="16"/>
      <c r="N773" s="16"/>
      <c r="O773" s="16"/>
      <c r="P773" s="16"/>
      <c r="Q773" s="16"/>
      <c r="R773" s="16"/>
      <c r="S773" s="16"/>
      <c r="T773" s="16"/>
      <c r="U773" s="16"/>
      <c r="V773" s="16"/>
      <c r="W773" s="16"/>
      <c r="X773" s="16"/>
      <c r="Y773" s="16"/>
      <c r="Z773" s="16"/>
      <c r="AA773" s="16"/>
      <c r="AB773" s="16"/>
      <c r="AC773" s="16"/>
      <c r="AD773" s="16"/>
    </row>
    <row r="774" spans="1:30" ht="12.9">
      <c r="A774" s="16"/>
      <c r="B774" s="24"/>
      <c r="C774" s="196"/>
      <c r="D774" s="196"/>
      <c r="E774" s="196"/>
      <c r="F774" s="16"/>
      <c r="G774" s="24"/>
      <c r="H774" s="24"/>
      <c r="I774" s="16"/>
      <c r="J774" s="16"/>
      <c r="K774" s="16"/>
      <c r="L774" s="16"/>
      <c r="M774" s="16"/>
      <c r="N774" s="16"/>
      <c r="O774" s="16"/>
      <c r="P774" s="16"/>
      <c r="Q774" s="16"/>
      <c r="R774" s="16"/>
      <c r="S774" s="16"/>
      <c r="T774" s="16"/>
      <c r="U774" s="16"/>
      <c r="V774" s="16"/>
      <c r="W774" s="16"/>
      <c r="X774" s="16"/>
      <c r="Y774" s="16"/>
      <c r="Z774" s="16"/>
      <c r="AA774" s="16"/>
      <c r="AB774" s="16"/>
      <c r="AC774" s="16"/>
      <c r="AD774" s="16"/>
    </row>
    <row r="775" spans="1:30" ht="12.9">
      <c r="A775" s="16"/>
      <c r="B775" s="24"/>
      <c r="C775" s="196"/>
      <c r="D775" s="196"/>
      <c r="E775" s="196"/>
      <c r="F775" s="16"/>
      <c r="G775" s="24"/>
      <c r="H775" s="24"/>
      <c r="I775" s="16"/>
      <c r="J775" s="16"/>
      <c r="K775" s="16"/>
      <c r="L775" s="16"/>
      <c r="M775" s="16"/>
      <c r="N775" s="16"/>
      <c r="O775" s="16"/>
      <c r="P775" s="16"/>
      <c r="Q775" s="16"/>
      <c r="R775" s="16"/>
      <c r="S775" s="16"/>
      <c r="T775" s="16"/>
      <c r="U775" s="16"/>
      <c r="V775" s="16"/>
      <c r="W775" s="16"/>
      <c r="X775" s="16"/>
      <c r="Y775" s="16"/>
      <c r="Z775" s="16"/>
      <c r="AA775" s="16"/>
      <c r="AB775" s="16"/>
      <c r="AC775" s="16"/>
      <c r="AD775" s="16"/>
    </row>
    <row r="776" spans="1:30" ht="12.9">
      <c r="A776" s="16"/>
      <c r="B776" s="24"/>
      <c r="C776" s="196"/>
      <c r="D776" s="196"/>
      <c r="E776" s="196"/>
      <c r="F776" s="16"/>
      <c r="G776" s="24"/>
      <c r="H776" s="24"/>
      <c r="I776" s="16"/>
      <c r="J776" s="16"/>
      <c r="K776" s="16"/>
      <c r="L776" s="16"/>
      <c r="M776" s="16"/>
      <c r="N776" s="16"/>
      <c r="O776" s="16"/>
      <c r="P776" s="16"/>
      <c r="Q776" s="16"/>
      <c r="R776" s="16"/>
      <c r="S776" s="16"/>
      <c r="T776" s="16"/>
      <c r="U776" s="16"/>
      <c r="V776" s="16"/>
      <c r="W776" s="16"/>
      <c r="X776" s="16"/>
      <c r="Y776" s="16"/>
      <c r="Z776" s="16"/>
      <c r="AA776" s="16"/>
      <c r="AB776" s="16"/>
      <c r="AC776" s="16"/>
      <c r="AD776" s="16"/>
    </row>
    <row r="777" spans="1:30" ht="12.9">
      <c r="A777" s="16"/>
      <c r="B777" s="24"/>
      <c r="C777" s="196"/>
      <c r="D777" s="196"/>
      <c r="E777" s="196"/>
      <c r="F777" s="16"/>
      <c r="G777" s="24"/>
      <c r="H777" s="24"/>
      <c r="I777" s="16"/>
      <c r="J777" s="16"/>
      <c r="K777" s="16"/>
      <c r="L777" s="16"/>
      <c r="M777" s="16"/>
      <c r="N777" s="16"/>
      <c r="O777" s="16"/>
      <c r="P777" s="16"/>
      <c r="Q777" s="16"/>
      <c r="R777" s="16"/>
      <c r="S777" s="16"/>
      <c r="T777" s="16"/>
      <c r="U777" s="16"/>
      <c r="V777" s="16"/>
      <c r="W777" s="16"/>
      <c r="X777" s="16"/>
      <c r="Y777" s="16"/>
      <c r="Z777" s="16"/>
      <c r="AA777" s="16"/>
      <c r="AB777" s="16"/>
      <c r="AC777" s="16"/>
      <c r="AD777" s="16"/>
    </row>
    <row r="778" spans="1:30" ht="12.9">
      <c r="A778" s="16"/>
      <c r="B778" s="24"/>
      <c r="C778" s="196"/>
      <c r="D778" s="196"/>
      <c r="E778" s="196"/>
      <c r="F778" s="16"/>
      <c r="G778" s="24"/>
      <c r="H778" s="24"/>
      <c r="I778" s="16"/>
      <c r="J778" s="16"/>
      <c r="K778" s="16"/>
      <c r="L778" s="16"/>
      <c r="M778" s="16"/>
      <c r="N778" s="16"/>
      <c r="O778" s="16"/>
      <c r="P778" s="16"/>
      <c r="Q778" s="16"/>
      <c r="R778" s="16"/>
      <c r="S778" s="16"/>
      <c r="T778" s="16"/>
      <c r="U778" s="16"/>
      <c r="V778" s="16"/>
      <c r="W778" s="16"/>
      <c r="X778" s="16"/>
      <c r="Y778" s="16"/>
      <c r="Z778" s="16"/>
      <c r="AA778" s="16"/>
      <c r="AB778" s="16"/>
      <c r="AC778" s="16"/>
      <c r="AD778" s="16"/>
    </row>
    <row r="779" spans="1:30" ht="12.9">
      <c r="A779" s="16"/>
      <c r="B779" s="24"/>
      <c r="C779" s="196"/>
      <c r="D779" s="196"/>
      <c r="E779" s="196"/>
      <c r="F779" s="16"/>
      <c r="G779" s="24"/>
      <c r="H779" s="24"/>
      <c r="I779" s="16"/>
      <c r="J779" s="16"/>
      <c r="K779" s="16"/>
      <c r="L779" s="16"/>
      <c r="M779" s="16"/>
      <c r="N779" s="16"/>
      <c r="O779" s="16"/>
      <c r="P779" s="16"/>
      <c r="Q779" s="16"/>
      <c r="R779" s="16"/>
      <c r="S779" s="16"/>
      <c r="T779" s="16"/>
      <c r="U779" s="16"/>
      <c r="V779" s="16"/>
      <c r="W779" s="16"/>
      <c r="X779" s="16"/>
      <c r="Y779" s="16"/>
      <c r="Z779" s="16"/>
      <c r="AA779" s="16"/>
      <c r="AB779" s="16"/>
      <c r="AC779" s="16"/>
      <c r="AD779" s="16"/>
    </row>
    <row r="780" spans="1:30" ht="12.9">
      <c r="A780" s="16"/>
      <c r="B780" s="24"/>
      <c r="C780" s="196"/>
      <c r="D780" s="196"/>
      <c r="E780" s="196"/>
      <c r="F780" s="16"/>
      <c r="G780" s="24"/>
      <c r="H780" s="24"/>
      <c r="I780" s="16"/>
      <c r="J780" s="16"/>
      <c r="K780" s="16"/>
      <c r="L780" s="16"/>
      <c r="M780" s="16"/>
      <c r="N780" s="16"/>
      <c r="O780" s="16"/>
      <c r="P780" s="16"/>
      <c r="Q780" s="16"/>
      <c r="R780" s="16"/>
      <c r="S780" s="16"/>
      <c r="T780" s="16"/>
      <c r="U780" s="16"/>
      <c r="V780" s="16"/>
      <c r="W780" s="16"/>
      <c r="X780" s="16"/>
      <c r="Y780" s="16"/>
      <c r="Z780" s="16"/>
      <c r="AA780" s="16"/>
      <c r="AB780" s="16"/>
      <c r="AC780" s="16"/>
      <c r="AD780" s="16"/>
    </row>
    <row r="781" spans="1:30" ht="12.9">
      <c r="A781" s="16"/>
      <c r="B781" s="24"/>
      <c r="C781" s="196"/>
      <c r="D781" s="196"/>
      <c r="E781" s="196"/>
      <c r="F781" s="16"/>
      <c r="G781" s="24"/>
      <c r="H781" s="24"/>
      <c r="I781" s="16"/>
      <c r="J781" s="16"/>
      <c r="K781" s="16"/>
      <c r="L781" s="16"/>
      <c r="M781" s="16"/>
      <c r="N781" s="16"/>
      <c r="O781" s="16"/>
      <c r="P781" s="16"/>
      <c r="Q781" s="16"/>
      <c r="R781" s="16"/>
      <c r="S781" s="16"/>
      <c r="T781" s="16"/>
      <c r="U781" s="16"/>
      <c r="V781" s="16"/>
      <c r="W781" s="16"/>
      <c r="X781" s="16"/>
      <c r="Y781" s="16"/>
      <c r="Z781" s="16"/>
      <c r="AA781" s="16"/>
      <c r="AB781" s="16"/>
      <c r="AC781" s="16"/>
      <c r="AD781" s="16"/>
    </row>
    <row r="782" spans="1:30" ht="12.9">
      <c r="A782" s="16"/>
      <c r="B782" s="24"/>
      <c r="C782" s="196"/>
      <c r="D782" s="196"/>
      <c r="E782" s="196"/>
      <c r="F782" s="16"/>
      <c r="G782" s="24"/>
      <c r="H782" s="24"/>
      <c r="I782" s="16"/>
      <c r="J782" s="16"/>
      <c r="K782" s="16"/>
      <c r="L782" s="16"/>
      <c r="M782" s="16"/>
      <c r="N782" s="16"/>
      <c r="O782" s="16"/>
      <c r="P782" s="16"/>
      <c r="Q782" s="16"/>
      <c r="R782" s="16"/>
      <c r="S782" s="16"/>
      <c r="T782" s="16"/>
      <c r="U782" s="16"/>
      <c r="V782" s="16"/>
      <c r="W782" s="16"/>
      <c r="X782" s="16"/>
      <c r="Y782" s="16"/>
      <c r="Z782" s="16"/>
      <c r="AA782" s="16"/>
      <c r="AB782" s="16"/>
      <c r="AC782" s="16"/>
      <c r="AD782" s="16"/>
    </row>
    <row r="783" spans="1:30" ht="12.9">
      <c r="A783" s="16"/>
      <c r="B783" s="24"/>
      <c r="C783" s="196"/>
      <c r="D783" s="196"/>
      <c r="E783" s="196"/>
      <c r="F783" s="16"/>
      <c r="G783" s="24"/>
      <c r="H783" s="24"/>
      <c r="I783" s="16"/>
      <c r="J783" s="16"/>
      <c r="K783" s="16"/>
      <c r="L783" s="16"/>
      <c r="M783" s="16"/>
      <c r="N783" s="16"/>
      <c r="O783" s="16"/>
      <c r="P783" s="16"/>
      <c r="Q783" s="16"/>
      <c r="R783" s="16"/>
      <c r="S783" s="16"/>
      <c r="T783" s="16"/>
      <c r="U783" s="16"/>
      <c r="V783" s="16"/>
      <c r="W783" s="16"/>
      <c r="X783" s="16"/>
      <c r="Y783" s="16"/>
      <c r="Z783" s="16"/>
      <c r="AA783" s="16"/>
      <c r="AB783" s="16"/>
      <c r="AC783" s="16"/>
      <c r="AD783" s="16"/>
    </row>
    <row r="784" spans="1:30" ht="12.9">
      <c r="A784" s="16"/>
      <c r="B784" s="24"/>
      <c r="C784" s="196"/>
      <c r="D784" s="196"/>
      <c r="E784" s="196"/>
      <c r="F784" s="16"/>
      <c r="G784" s="24"/>
      <c r="H784" s="24"/>
      <c r="I784" s="16"/>
      <c r="J784" s="16"/>
      <c r="K784" s="16"/>
      <c r="L784" s="16"/>
      <c r="M784" s="16"/>
      <c r="N784" s="16"/>
      <c r="O784" s="16"/>
      <c r="P784" s="16"/>
      <c r="Q784" s="16"/>
      <c r="R784" s="16"/>
      <c r="S784" s="16"/>
      <c r="T784" s="16"/>
      <c r="U784" s="16"/>
      <c r="V784" s="16"/>
      <c r="W784" s="16"/>
      <c r="X784" s="16"/>
      <c r="Y784" s="16"/>
      <c r="Z784" s="16"/>
      <c r="AA784" s="16"/>
      <c r="AB784" s="16"/>
      <c r="AC784" s="16"/>
      <c r="AD784" s="16"/>
    </row>
    <row r="785" spans="1:30" ht="12.9">
      <c r="A785" s="16"/>
      <c r="B785" s="24"/>
      <c r="C785" s="196"/>
      <c r="D785" s="196"/>
      <c r="E785" s="196"/>
      <c r="F785" s="16"/>
      <c r="G785" s="24"/>
      <c r="H785" s="24"/>
      <c r="I785" s="16"/>
      <c r="J785" s="16"/>
      <c r="K785" s="16"/>
      <c r="L785" s="16"/>
      <c r="M785" s="16"/>
      <c r="N785" s="16"/>
      <c r="O785" s="16"/>
      <c r="P785" s="16"/>
      <c r="Q785" s="16"/>
      <c r="R785" s="16"/>
      <c r="S785" s="16"/>
      <c r="T785" s="16"/>
      <c r="U785" s="16"/>
      <c r="V785" s="16"/>
      <c r="W785" s="16"/>
      <c r="X785" s="16"/>
      <c r="Y785" s="16"/>
      <c r="Z785" s="16"/>
      <c r="AA785" s="16"/>
      <c r="AB785" s="16"/>
      <c r="AC785" s="16"/>
      <c r="AD785" s="16"/>
    </row>
    <row r="786" spans="1:30" ht="12.9">
      <c r="A786" s="16"/>
      <c r="B786" s="24"/>
      <c r="C786" s="196"/>
      <c r="D786" s="196"/>
      <c r="E786" s="196"/>
      <c r="F786" s="16"/>
      <c r="G786" s="24"/>
      <c r="H786" s="24"/>
      <c r="I786" s="16"/>
      <c r="J786" s="16"/>
      <c r="K786" s="16"/>
      <c r="L786" s="16"/>
      <c r="M786" s="16"/>
      <c r="N786" s="16"/>
      <c r="O786" s="16"/>
      <c r="P786" s="16"/>
      <c r="Q786" s="16"/>
      <c r="R786" s="16"/>
      <c r="S786" s="16"/>
      <c r="T786" s="16"/>
      <c r="U786" s="16"/>
      <c r="V786" s="16"/>
      <c r="W786" s="16"/>
      <c r="X786" s="16"/>
      <c r="Y786" s="16"/>
      <c r="Z786" s="16"/>
      <c r="AA786" s="16"/>
      <c r="AB786" s="16"/>
      <c r="AC786" s="16"/>
      <c r="AD786" s="16"/>
    </row>
    <row r="787" spans="1:30" ht="12.9">
      <c r="A787" s="16"/>
      <c r="B787" s="24"/>
      <c r="C787" s="196"/>
      <c r="D787" s="196"/>
      <c r="E787" s="196"/>
      <c r="F787" s="16"/>
      <c r="G787" s="24"/>
      <c r="H787" s="24"/>
      <c r="I787" s="16"/>
      <c r="J787" s="16"/>
      <c r="K787" s="16"/>
      <c r="L787" s="16"/>
      <c r="M787" s="16"/>
      <c r="N787" s="16"/>
      <c r="O787" s="16"/>
      <c r="P787" s="16"/>
      <c r="Q787" s="16"/>
      <c r="R787" s="16"/>
      <c r="S787" s="16"/>
      <c r="T787" s="16"/>
      <c r="U787" s="16"/>
      <c r="V787" s="16"/>
      <c r="W787" s="16"/>
      <c r="X787" s="16"/>
      <c r="Y787" s="16"/>
      <c r="Z787" s="16"/>
      <c r="AA787" s="16"/>
      <c r="AB787" s="16"/>
      <c r="AC787" s="16"/>
      <c r="AD787" s="16"/>
    </row>
    <row r="788" spans="1:30" ht="12.9">
      <c r="A788" s="16"/>
      <c r="B788" s="24"/>
      <c r="C788" s="196"/>
      <c r="D788" s="196"/>
      <c r="E788" s="196"/>
      <c r="F788" s="16"/>
      <c r="G788" s="24"/>
      <c r="H788" s="24"/>
      <c r="I788" s="16"/>
      <c r="J788" s="16"/>
      <c r="K788" s="16"/>
      <c r="L788" s="16"/>
      <c r="M788" s="16"/>
      <c r="N788" s="16"/>
      <c r="O788" s="16"/>
      <c r="P788" s="16"/>
      <c r="Q788" s="16"/>
      <c r="R788" s="16"/>
      <c r="S788" s="16"/>
      <c r="T788" s="16"/>
      <c r="U788" s="16"/>
      <c r="V788" s="16"/>
      <c r="W788" s="16"/>
      <c r="X788" s="16"/>
      <c r="Y788" s="16"/>
      <c r="Z788" s="16"/>
      <c r="AA788" s="16"/>
      <c r="AB788" s="16"/>
      <c r="AC788" s="16"/>
      <c r="AD788" s="16"/>
    </row>
    <row r="789" spans="1:30" ht="12.9">
      <c r="A789" s="16"/>
      <c r="B789" s="24"/>
      <c r="C789" s="196"/>
      <c r="D789" s="196"/>
      <c r="E789" s="196"/>
      <c r="F789" s="16"/>
      <c r="G789" s="24"/>
      <c r="H789" s="24"/>
      <c r="I789" s="16"/>
      <c r="J789" s="16"/>
      <c r="K789" s="16"/>
      <c r="L789" s="16"/>
      <c r="M789" s="16"/>
      <c r="N789" s="16"/>
      <c r="O789" s="16"/>
      <c r="P789" s="16"/>
      <c r="Q789" s="16"/>
      <c r="R789" s="16"/>
      <c r="S789" s="16"/>
      <c r="T789" s="16"/>
      <c r="U789" s="16"/>
      <c r="V789" s="16"/>
      <c r="W789" s="16"/>
      <c r="X789" s="16"/>
      <c r="Y789" s="16"/>
      <c r="Z789" s="16"/>
      <c r="AA789" s="16"/>
      <c r="AB789" s="16"/>
      <c r="AC789" s="16"/>
      <c r="AD789" s="16"/>
    </row>
    <row r="790" spans="1:30" ht="12.9">
      <c r="A790" s="16"/>
      <c r="B790" s="24"/>
      <c r="C790" s="196"/>
      <c r="D790" s="196"/>
      <c r="E790" s="196"/>
      <c r="F790" s="16"/>
      <c r="G790" s="24"/>
      <c r="H790" s="24"/>
      <c r="I790" s="16"/>
      <c r="J790" s="16"/>
      <c r="K790" s="16"/>
      <c r="L790" s="16"/>
      <c r="M790" s="16"/>
      <c r="N790" s="16"/>
      <c r="O790" s="16"/>
      <c r="P790" s="16"/>
      <c r="Q790" s="16"/>
      <c r="R790" s="16"/>
      <c r="S790" s="16"/>
      <c r="T790" s="16"/>
      <c r="U790" s="16"/>
      <c r="V790" s="16"/>
      <c r="W790" s="16"/>
      <c r="X790" s="16"/>
      <c r="Y790" s="16"/>
      <c r="Z790" s="16"/>
      <c r="AA790" s="16"/>
      <c r="AB790" s="16"/>
      <c r="AC790" s="16"/>
      <c r="AD790" s="16"/>
    </row>
    <row r="791" spans="1:30" ht="12.9">
      <c r="A791" s="16"/>
      <c r="B791" s="24"/>
      <c r="C791" s="196"/>
      <c r="D791" s="196"/>
      <c r="E791" s="196"/>
      <c r="F791" s="16"/>
      <c r="G791" s="24"/>
      <c r="H791" s="24"/>
      <c r="I791" s="16"/>
      <c r="J791" s="16"/>
      <c r="K791" s="16"/>
      <c r="L791" s="16"/>
      <c r="M791" s="16"/>
      <c r="N791" s="16"/>
      <c r="O791" s="16"/>
      <c r="P791" s="16"/>
      <c r="Q791" s="16"/>
      <c r="R791" s="16"/>
      <c r="S791" s="16"/>
      <c r="T791" s="16"/>
      <c r="U791" s="16"/>
      <c r="V791" s="16"/>
      <c r="W791" s="16"/>
      <c r="X791" s="16"/>
      <c r="Y791" s="16"/>
      <c r="Z791" s="16"/>
      <c r="AA791" s="16"/>
      <c r="AB791" s="16"/>
      <c r="AC791" s="16"/>
      <c r="AD791" s="16"/>
    </row>
    <row r="792" spans="1:30" ht="12.9">
      <c r="A792" s="16"/>
      <c r="B792" s="24"/>
      <c r="C792" s="196"/>
      <c r="D792" s="196"/>
      <c r="E792" s="196"/>
      <c r="F792" s="16"/>
      <c r="G792" s="24"/>
      <c r="H792" s="24"/>
      <c r="I792" s="16"/>
      <c r="J792" s="16"/>
      <c r="K792" s="16"/>
      <c r="L792" s="16"/>
      <c r="M792" s="16"/>
      <c r="N792" s="16"/>
      <c r="O792" s="16"/>
      <c r="P792" s="16"/>
      <c r="Q792" s="16"/>
      <c r="R792" s="16"/>
      <c r="S792" s="16"/>
      <c r="T792" s="16"/>
      <c r="U792" s="16"/>
      <c r="V792" s="16"/>
      <c r="W792" s="16"/>
      <c r="X792" s="16"/>
      <c r="Y792" s="16"/>
      <c r="Z792" s="16"/>
      <c r="AA792" s="16"/>
      <c r="AB792" s="16"/>
      <c r="AC792" s="16"/>
      <c r="AD792" s="16"/>
    </row>
    <row r="793" spans="1:30" ht="12.9">
      <c r="A793" s="16"/>
      <c r="B793" s="24"/>
      <c r="C793" s="196"/>
      <c r="D793" s="196"/>
      <c r="E793" s="196"/>
      <c r="F793" s="16"/>
      <c r="G793" s="24"/>
      <c r="H793" s="24"/>
      <c r="I793" s="16"/>
      <c r="J793" s="16"/>
      <c r="K793" s="16"/>
      <c r="L793" s="16"/>
      <c r="M793" s="16"/>
      <c r="N793" s="16"/>
      <c r="O793" s="16"/>
      <c r="P793" s="16"/>
      <c r="Q793" s="16"/>
      <c r="R793" s="16"/>
      <c r="S793" s="16"/>
      <c r="T793" s="16"/>
      <c r="U793" s="16"/>
      <c r="V793" s="16"/>
      <c r="W793" s="16"/>
      <c r="X793" s="16"/>
      <c r="Y793" s="16"/>
      <c r="Z793" s="16"/>
      <c r="AA793" s="16"/>
      <c r="AB793" s="16"/>
      <c r="AC793" s="16"/>
      <c r="AD793" s="16"/>
    </row>
    <row r="794" spans="1:30" ht="12.9">
      <c r="A794" s="16"/>
      <c r="B794" s="24"/>
      <c r="C794" s="196"/>
      <c r="D794" s="196"/>
      <c r="E794" s="196"/>
      <c r="F794" s="16"/>
      <c r="G794" s="24"/>
      <c r="H794" s="24"/>
      <c r="I794" s="16"/>
      <c r="J794" s="16"/>
      <c r="K794" s="16"/>
      <c r="L794" s="16"/>
      <c r="M794" s="16"/>
      <c r="N794" s="16"/>
      <c r="O794" s="16"/>
      <c r="P794" s="16"/>
      <c r="Q794" s="16"/>
      <c r="R794" s="16"/>
      <c r="S794" s="16"/>
      <c r="T794" s="16"/>
      <c r="U794" s="16"/>
      <c r="V794" s="16"/>
      <c r="W794" s="16"/>
      <c r="X794" s="16"/>
      <c r="Y794" s="16"/>
      <c r="Z794" s="16"/>
      <c r="AA794" s="16"/>
      <c r="AB794" s="16"/>
      <c r="AC794" s="16"/>
      <c r="AD794" s="16"/>
    </row>
    <row r="795" spans="1:30" ht="12.9">
      <c r="A795" s="16"/>
      <c r="B795" s="24"/>
      <c r="C795" s="196"/>
      <c r="D795" s="196"/>
      <c r="E795" s="196"/>
      <c r="F795" s="16"/>
      <c r="G795" s="24"/>
      <c r="H795" s="24"/>
      <c r="I795" s="16"/>
      <c r="J795" s="16"/>
      <c r="K795" s="16"/>
      <c r="L795" s="16"/>
      <c r="M795" s="16"/>
      <c r="N795" s="16"/>
      <c r="O795" s="16"/>
      <c r="P795" s="16"/>
      <c r="Q795" s="16"/>
      <c r="R795" s="16"/>
      <c r="S795" s="16"/>
      <c r="T795" s="16"/>
      <c r="U795" s="16"/>
      <c r="V795" s="16"/>
      <c r="W795" s="16"/>
      <c r="X795" s="16"/>
      <c r="Y795" s="16"/>
      <c r="Z795" s="16"/>
      <c r="AA795" s="16"/>
      <c r="AB795" s="16"/>
      <c r="AC795" s="16"/>
      <c r="AD795" s="16"/>
    </row>
    <row r="796" spans="1:30" ht="12.9">
      <c r="A796" s="16"/>
      <c r="B796" s="24"/>
      <c r="C796" s="196"/>
      <c r="D796" s="196"/>
      <c r="E796" s="196"/>
      <c r="F796" s="16"/>
      <c r="G796" s="24"/>
      <c r="H796" s="24"/>
      <c r="I796" s="16"/>
      <c r="J796" s="16"/>
      <c r="K796" s="16"/>
      <c r="L796" s="16"/>
      <c r="M796" s="16"/>
      <c r="N796" s="16"/>
      <c r="O796" s="16"/>
      <c r="P796" s="16"/>
      <c r="Q796" s="16"/>
      <c r="R796" s="16"/>
      <c r="S796" s="16"/>
      <c r="T796" s="16"/>
      <c r="U796" s="16"/>
      <c r="V796" s="16"/>
      <c r="W796" s="16"/>
      <c r="X796" s="16"/>
      <c r="Y796" s="16"/>
      <c r="Z796" s="16"/>
      <c r="AA796" s="16"/>
      <c r="AB796" s="16"/>
      <c r="AC796" s="16"/>
      <c r="AD796" s="16"/>
    </row>
    <row r="797" spans="1:30" ht="12.9">
      <c r="A797" s="16"/>
      <c r="B797" s="24"/>
      <c r="C797" s="196"/>
      <c r="D797" s="196"/>
      <c r="E797" s="196"/>
      <c r="F797" s="16"/>
      <c r="G797" s="24"/>
      <c r="H797" s="24"/>
      <c r="I797" s="16"/>
      <c r="J797" s="16"/>
      <c r="K797" s="16"/>
      <c r="L797" s="16"/>
      <c r="M797" s="16"/>
      <c r="N797" s="16"/>
      <c r="O797" s="16"/>
      <c r="P797" s="16"/>
      <c r="Q797" s="16"/>
      <c r="R797" s="16"/>
      <c r="S797" s="16"/>
      <c r="T797" s="16"/>
      <c r="U797" s="16"/>
      <c r="V797" s="16"/>
      <c r="W797" s="16"/>
      <c r="X797" s="16"/>
      <c r="Y797" s="16"/>
      <c r="Z797" s="16"/>
      <c r="AA797" s="16"/>
      <c r="AB797" s="16"/>
      <c r="AC797" s="16"/>
      <c r="AD797" s="16"/>
    </row>
    <row r="798" spans="1:30" ht="12.9">
      <c r="A798" s="16"/>
      <c r="B798" s="24"/>
      <c r="C798" s="196"/>
      <c r="D798" s="196"/>
      <c r="E798" s="196"/>
      <c r="F798" s="16"/>
      <c r="G798" s="24"/>
      <c r="H798" s="24"/>
      <c r="I798" s="16"/>
      <c r="J798" s="16"/>
      <c r="K798" s="16"/>
      <c r="L798" s="16"/>
      <c r="M798" s="16"/>
      <c r="N798" s="16"/>
      <c r="O798" s="16"/>
      <c r="P798" s="16"/>
      <c r="Q798" s="16"/>
      <c r="R798" s="16"/>
      <c r="S798" s="16"/>
      <c r="T798" s="16"/>
      <c r="U798" s="16"/>
      <c r="V798" s="16"/>
      <c r="W798" s="16"/>
      <c r="X798" s="16"/>
      <c r="Y798" s="16"/>
      <c r="Z798" s="16"/>
      <c r="AA798" s="16"/>
      <c r="AB798" s="16"/>
      <c r="AC798" s="16"/>
      <c r="AD798" s="16"/>
    </row>
    <row r="799" spans="1:30" ht="12.9">
      <c r="A799" s="16"/>
      <c r="B799" s="24"/>
      <c r="C799" s="196"/>
      <c r="D799" s="196"/>
      <c r="E799" s="196"/>
      <c r="F799" s="16"/>
      <c r="G799" s="24"/>
      <c r="H799" s="24"/>
      <c r="I799" s="16"/>
      <c r="J799" s="16"/>
      <c r="K799" s="16"/>
      <c r="L799" s="16"/>
      <c r="M799" s="16"/>
      <c r="N799" s="16"/>
      <c r="O799" s="16"/>
      <c r="P799" s="16"/>
      <c r="Q799" s="16"/>
      <c r="R799" s="16"/>
      <c r="S799" s="16"/>
      <c r="T799" s="16"/>
      <c r="U799" s="16"/>
      <c r="V799" s="16"/>
      <c r="W799" s="16"/>
      <c r="X799" s="16"/>
      <c r="Y799" s="16"/>
      <c r="Z799" s="16"/>
      <c r="AA799" s="16"/>
      <c r="AB799" s="16"/>
      <c r="AC799" s="16"/>
      <c r="AD799" s="16"/>
    </row>
    <row r="800" spans="1:30" ht="12.9">
      <c r="A800" s="16"/>
      <c r="B800" s="24"/>
      <c r="C800" s="196"/>
      <c r="D800" s="196"/>
      <c r="E800" s="196"/>
      <c r="F800" s="16"/>
      <c r="G800" s="24"/>
      <c r="H800" s="24"/>
      <c r="I800" s="16"/>
      <c r="J800" s="16"/>
      <c r="K800" s="16"/>
      <c r="L800" s="16"/>
      <c r="M800" s="16"/>
      <c r="N800" s="16"/>
      <c r="O800" s="16"/>
      <c r="P800" s="16"/>
      <c r="Q800" s="16"/>
      <c r="R800" s="16"/>
      <c r="S800" s="16"/>
      <c r="T800" s="16"/>
      <c r="U800" s="16"/>
      <c r="V800" s="16"/>
      <c r="W800" s="16"/>
      <c r="X800" s="16"/>
      <c r="Y800" s="16"/>
      <c r="Z800" s="16"/>
      <c r="AA800" s="16"/>
      <c r="AB800" s="16"/>
      <c r="AC800" s="16"/>
      <c r="AD800" s="16"/>
    </row>
    <row r="801" spans="1:30" ht="12.9">
      <c r="A801" s="16"/>
      <c r="B801" s="24"/>
      <c r="C801" s="196"/>
      <c r="D801" s="196"/>
      <c r="E801" s="196"/>
      <c r="F801" s="16"/>
      <c r="G801" s="24"/>
      <c r="H801" s="24"/>
      <c r="I801" s="16"/>
      <c r="J801" s="16"/>
      <c r="K801" s="16"/>
      <c r="L801" s="16"/>
      <c r="M801" s="16"/>
      <c r="N801" s="16"/>
      <c r="O801" s="16"/>
      <c r="P801" s="16"/>
      <c r="Q801" s="16"/>
      <c r="R801" s="16"/>
      <c r="S801" s="16"/>
      <c r="T801" s="16"/>
      <c r="U801" s="16"/>
      <c r="V801" s="16"/>
      <c r="W801" s="16"/>
      <c r="X801" s="16"/>
      <c r="Y801" s="16"/>
      <c r="Z801" s="16"/>
      <c r="AA801" s="16"/>
      <c r="AB801" s="16"/>
      <c r="AC801" s="16"/>
      <c r="AD801" s="16"/>
    </row>
    <row r="802" spans="1:30" ht="12.9">
      <c r="A802" s="16"/>
      <c r="B802" s="24"/>
      <c r="C802" s="196"/>
      <c r="D802" s="196"/>
      <c r="E802" s="196"/>
      <c r="F802" s="16"/>
      <c r="G802" s="24"/>
      <c r="H802" s="24"/>
      <c r="I802" s="16"/>
      <c r="J802" s="16"/>
      <c r="K802" s="16"/>
      <c r="L802" s="16"/>
      <c r="M802" s="16"/>
      <c r="N802" s="16"/>
      <c r="O802" s="16"/>
      <c r="P802" s="16"/>
      <c r="Q802" s="16"/>
      <c r="R802" s="16"/>
      <c r="S802" s="16"/>
      <c r="T802" s="16"/>
      <c r="U802" s="16"/>
      <c r="V802" s="16"/>
      <c r="W802" s="16"/>
      <c r="X802" s="16"/>
      <c r="Y802" s="16"/>
      <c r="Z802" s="16"/>
      <c r="AA802" s="16"/>
      <c r="AB802" s="16"/>
      <c r="AC802" s="16"/>
      <c r="AD802" s="16"/>
    </row>
    <row r="803" spans="1:30" ht="12.9">
      <c r="A803" s="16"/>
      <c r="B803" s="24"/>
      <c r="C803" s="196"/>
      <c r="D803" s="196"/>
      <c r="E803" s="196"/>
      <c r="F803" s="16"/>
      <c r="G803" s="24"/>
      <c r="H803" s="24"/>
      <c r="I803" s="16"/>
      <c r="J803" s="16"/>
      <c r="K803" s="16"/>
      <c r="L803" s="16"/>
      <c r="M803" s="16"/>
      <c r="N803" s="16"/>
      <c r="O803" s="16"/>
      <c r="P803" s="16"/>
      <c r="Q803" s="16"/>
      <c r="R803" s="16"/>
      <c r="S803" s="16"/>
      <c r="T803" s="16"/>
      <c r="U803" s="16"/>
      <c r="V803" s="16"/>
      <c r="W803" s="16"/>
      <c r="X803" s="16"/>
      <c r="Y803" s="16"/>
      <c r="Z803" s="16"/>
      <c r="AA803" s="16"/>
      <c r="AB803" s="16"/>
      <c r="AC803" s="16"/>
      <c r="AD803" s="16"/>
    </row>
    <row r="804" spans="1:30" ht="12.9">
      <c r="A804" s="16"/>
      <c r="B804" s="24"/>
      <c r="C804" s="196"/>
      <c r="D804" s="196"/>
      <c r="E804" s="196"/>
      <c r="F804" s="16"/>
      <c r="G804" s="24"/>
      <c r="H804" s="24"/>
      <c r="I804" s="16"/>
      <c r="J804" s="16"/>
      <c r="K804" s="16"/>
      <c r="L804" s="16"/>
      <c r="M804" s="16"/>
      <c r="N804" s="16"/>
      <c r="O804" s="16"/>
      <c r="P804" s="16"/>
      <c r="Q804" s="16"/>
      <c r="R804" s="16"/>
      <c r="S804" s="16"/>
      <c r="T804" s="16"/>
      <c r="U804" s="16"/>
      <c r="V804" s="16"/>
      <c r="W804" s="16"/>
      <c r="X804" s="16"/>
      <c r="Y804" s="16"/>
      <c r="Z804" s="16"/>
      <c r="AA804" s="16"/>
      <c r="AB804" s="16"/>
      <c r="AC804" s="16"/>
      <c r="AD804" s="16"/>
    </row>
    <row r="805" spans="1:30" ht="12.9">
      <c r="A805" s="16"/>
      <c r="B805" s="24"/>
      <c r="C805" s="196"/>
      <c r="D805" s="196"/>
      <c r="E805" s="196"/>
      <c r="F805" s="16"/>
      <c r="G805" s="24"/>
      <c r="H805" s="24"/>
      <c r="I805" s="16"/>
      <c r="J805" s="16"/>
      <c r="K805" s="16"/>
      <c r="L805" s="16"/>
      <c r="M805" s="16"/>
      <c r="N805" s="16"/>
      <c r="O805" s="16"/>
      <c r="P805" s="16"/>
      <c r="Q805" s="16"/>
      <c r="R805" s="16"/>
      <c r="S805" s="16"/>
      <c r="T805" s="16"/>
      <c r="U805" s="16"/>
      <c r="V805" s="16"/>
      <c r="W805" s="16"/>
      <c r="X805" s="16"/>
      <c r="Y805" s="16"/>
      <c r="Z805" s="16"/>
      <c r="AA805" s="16"/>
      <c r="AB805" s="16"/>
      <c r="AC805" s="16"/>
      <c r="AD805" s="16"/>
    </row>
    <row r="806" spans="1:30" ht="12.9">
      <c r="A806" s="16"/>
      <c r="B806" s="24"/>
      <c r="C806" s="196"/>
      <c r="D806" s="196"/>
      <c r="E806" s="196"/>
      <c r="F806" s="16"/>
      <c r="G806" s="24"/>
      <c r="H806" s="24"/>
      <c r="I806" s="16"/>
      <c r="J806" s="16"/>
      <c r="K806" s="16"/>
      <c r="L806" s="16"/>
      <c r="M806" s="16"/>
      <c r="N806" s="16"/>
      <c r="O806" s="16"/>
      <c r="P806" s="16"/>
      <c r="Q806" s="16"/>
      <c r="R806" s="16"/>
      <c r="S806" s="16"/>
      <c r="T806" s="16"/>
      <c r="U806" s="16"/>
      <c r="V806" s="16"/>
      <c r="W806" s="16"/>
      <c r="X806" s="16"/>
      <c r="Y806" s="16"/>
      <c r="Z806" s="16"/>
      <c r="AA806" s="16"/>
      <c r="AB806" s="16"/>
      <c r="AC806" s="16"/>
      <c r="AD806" s="16"/>
    </row>
    <row r="807" spans="1:30" ht="12.9">
      <c r="A807" s="16"/>
      <c r="B807" s="24"/>
      <c r="C807" s="196"/>
      <c r="D807" s="196"/>
      <c r="E807" s="196"/>
      <c r="F807" s="16"/>
      <c r="G807" s="24"/>
      <c r="H807" s="24"/>
      <c r="I807" s="16"/>
      <c r="J807" s="16"/>
      <c r="K807" s="16"/>
      <c r="L807" s="16"/>
      <c r="M807" s="16"/>
      <c r="N807" s="16"/>
      <c r="O807" s="16"/>
      <c r="P807" s="16"/>
      <c r="Q807" s="16"/>
      <c r="R807" s="16"/>
      <c r="S807" s="16"/>
      <c r="T807" s="16"/>
      <c r="U807" s="16"/>
      <c r="V807" s="16"/>
      <c r="W807" s="16"/>
      <c r="X807" s="16"/>
      <c r="Y807" s="16"/>
      <c r="Z807" s="16"/>
      <c r="AA807" s="16"/>
      <c r="AB807" s="16"/>
      <c r="AC807" s="16"/>
      <c r="AD807" s="16"/>
    </row>
    <row r="808" spans="1:30" ht="12.9">
      <c r="A808" s="16"/>
      <c r="B808" s="24"/>
      <c r="C808" s="196"/>
      <c r="D808" s="196"/>
      <c r="E808" s="196"/>
      <c r="F808" s="16"/>
      <c r="G808" s="24"/>
      <c r="H808" s="24"/>
      <c r="I808" s="16"/>
      <c r="J808" s="16"/>
      <c r="K808" s="16"/>
      <c r="L808" s="16"/>
      <c r="M808" s="16"/>
      <c r="N808" s="16"/>
      <c r="O808" s="16"/>
      <c r="P808" s="16"/>
      <c r="Q808" s="16"/>
      <c r="R808" s="16"/>
      <c r="S808" s="16"/>
      <c r="T808" s="16"/>
      <c r="U808" s="16"/>
      <c r="V808" s="16"/>
      <c r="W808" s="16"/>
      <c r="X808" s="16"/>
      <c r="Y808" s="16"/>
      <c r="Z808" s="16"/>
      <c r="AA808" s="16"/>
      <c r="AB808" s="16"/>
      <c r="AC808" s="16"/>
      <c r="AD808" s="16"/>
    </row>
    <row r="809" spans="1:30" ht="12.9">
      <c r="A809" s="16"/>
      <c r="B809" s="24"/>
      <c r="C809" s="196"/>
      <c r="D809" s="196"/>
      <c r="E809" s="196"/>
      <c r="F809" s="16"/>
      <c r="G809" s="24"/>
      <c r="H809" s="24"/>
      <c r="I809" s="16"/>
      <c r="J809" s="16"/>
      <c r="K809" s="16"/>
      <c r="L809" s="16"/>
      <c r="M809" s="16"/>
      <c r="N809" s="16"/>
      <c r="O809" s="16"/>
      <c r="P809" s="16"/>
      <c r="Q809" s="16"/>
      <c r="R809" s="16"/>
      <c r="S809" s="16"/>
      <c r="T809" s="16"/>
      <c r="U809" s="16"/>
      <c r="V809" s="16"/>
      <c r="W809" s="16"/>
      <c r="X809" s="16"/>
      <c r="Y809" s="16"/>
      <c r="Z809" s="16"/>
      <c r="AA809" s="16"/>
      <c r="AB809" s="16"/>
      <c r="AC809" s="16"/>
      <c r="AD809" s="16"/>
    </row>
    <row r="810" spans="1:30" ht="12.9">
      <c r="A810" s="16"/>
      <c r="B810" s="24"/>
      <c r="C810" s="196"/>
      <c r="D810" s="196"/>
      <c r="E810" s="196"/>
      <c r="F810" s="16"/>
      <c r="G810" s="24"/>
      <c r="H810" s="24"/>
      <c r="I810" s="16"/>
      <c r="J810" s="16"/>
      <c r="K810" s="16"/>
      <c r="L810" s="16"/>
      <c r="M810" s="16"/>
      <c r="N810" s="16"/>
      <c r="O810" s="16"/>
      <c r="P810" s="16"/>
      <c r="Q810" s="16"/>
      <c r="R810" s="16"/>
      <c r="S810" s="16"/>
      <c r="T810" s="16"/>
      <c r="U810" s="16"/>
      <c r="V810" s="16"/>
      <c r="W810" s="16"/>
      <c r="X810" s="16"/>
      <c r="Y810" s="16"/>
      <c r="Z810" s="16"/>
      <c r="AA810" s="16"/>
      <c r="AB810" s="16"/>
      <c r="AC810" s="16"/>
      <c r="AD810" s="16"/>
    </row>
    <row r="811" spans="1:30" ht="12.9">
      <c r="A811" s="16"/>
      <c r="B811" s="24"/>
      <c r="C811" s="196"/>
      <c r="D811" s="196"/>
      <c r="E811" s="196"/>
      <c r="F811" s="16"/>
      <c r="G811" s="24"/>
      <c r="H811" s="24"/>
      <c r="I811" s="16"/>
      <c r="J811" s="16"/>
      <c r="K811" s="16"/>
      <c r="L811" s="16"/>
      <c r="M811" s="16"/>
      <c r="N811" s="16"/>
      <c r="O811" s="16"/>
      <c r="P811" s="16"/>
      <c r="Q811" s="16"/>
      <c r="R811" s="16"/>
      <c r="S811" s="16"/>
      <c r="T811" s="16"/>
      <c r="U811" s="16"/>
      <c r="V811" s="16"/>
      <c r="W811" s="16"/>
      <c r="X811" s="16"/>
      <c r="Y811" s="16"/>
      <c r="Z811" s="16"/>
      <c r="AA811" s="16"/>
      <c r="AB811" s="16"/>
      <c r="AC811" s="16"/>
      <c r="AD811" s="16"/>
    </row>
    <row r="812" spans="1:30" ht="12.9">
      <c r="A812" s="16"/>
      <c r="B812" s="24"/>
      <c r="C812" s="196"/>
      <c r="D812" s="196"/>
      <c r="E812" s="196"/>
      <c r="F812" s="16"/>
      <c r="G812" s="24"/>
      <c r="H812" s="24"/>
      <c r="I812" s="16"/>
      <c r="J812" s="16"/>
      <c r="K812" s="16"/>
      <c r="L812" s="16"/>
      <c r="M812" s="16"/>
      <c r="N812" s="16"/>
      <c r="O812" s="16"/>
      <c r="P812" s="16"/>
      <c r="Q812" s="16"/>
      <c r="R812" s="16"/>
      <c r="S812" s="16"/>
      <c r="T812" s="16"/>
      <c r="U812" s="16"/>
      <c r="V812" s="16"/>
      <c r="W812" s="16"/>
      <c r="X812" s="16"/>
      <c r="Y812" s="16"/>
      <c r="Z812" s="16"/>
      <c r="AA812" s="16"/>
      <c r="AB812" s="16"/>
      <c r="AC812" s="16"/>
      <c r="AD812" s="16"/>
    </row>
    <row r="813" spans="1:30" ht="12.9">
      <c r="A813" s="16"/>
      <c r="B813" s="24"/>
      <c r="C813" s="196"/>
      <c r="D813" s="196"/>
      <c r="E813" s="196"/>
      <c r="F813" s="16"/>
      <c r="G813" s="24"/>
      <c r="H813" s="24"/>
      <c r="I813" s="16"/>
      <c r="J813" s="16"/>
      <c r="K813" s="16"/>
      <c r="L813" s="16"/>
      <c r="M813" s="16"/>
      <c r="N813" s="16"/>
      <c r="O813" s="16"/>
      <c r="P813" s="16"/>
      <c r="Q813" s="16"/>
      <c r="R813" s="16"/>
      <c r="S813" s="16"/>
      <c r="T813" s="16"/>
      <c r="U813" s="16"/>
      <c r="V813" s="16"/>
      <c r="W813" s="16"/>
      <c r="X813" s="16"/>
      <c r="Y813" s="16"/>
      <c r="Z813" s="16"/>
      <c r="AA813" s="16"/>
      <c r="AB813" s="16"/>
      <c r="AC813" s="16"/>
      <c r="AD813" s="16"/>
    </row>
    <row r="814" spans="1:30" ht="12.9">
      <c r="A814" s="16"/>
      <c r="B814" s="24"/>
      <c r="C814" s="196"/>
      <c r="D814" s="196"/>
      <c r="E814" s="196"/>
      <c r="F814" s="16"/>
      <c r="G814" s="24"/>
      <c r="H814" s="24"/>
      <c r="I814" s="16"/>
      <c r="J814" s="16"/>
      <c r="K814" s="16"/>
      <c r="L814" s="16"/>
      <c r="M814" s="16"/>
      <c r="N814" s="16"/>
      <c r="O814" s="16"/>
      <c r="P814" s="16"/>
      <c r="Q814" s="16"/>
      <c r="R814" s="16"/>
      <c r="S814" s="16"/>
      <c r="T814" s="16"/>
      <c r="U814" s="16"/>
      <c r="V814" s="16"/>
      <c r="W814" s="16"/>
      <c r="X814" s="16"/>
      <c r="Y814" s="16"/>
      <c r="Z814" s="16"/>
      <c r="AA814" s="16"/>
      <c r="AB814" s="16"/>
      <c r="AC814" s="16"/>
      <c r="AD814" s="16"/>
    </row>
    <row r="815" spans="1:30" ht="12.9">
      <c r="A815" s="16"/>
      <c r="B815" s="24"/>
      <c r="C815" s="196"/>
      <c r="D815" s="196"/>
      <c r="E815" s="196"/>
      <c r="F815" s="16"/>
      <c r="G815" s="24"/>
      <c r="H815" s="24"/>
      <c r="I815" s="16"/>
      <c r="J815" s="16"/>
      <c r="K815" s="16"/>
      <c r="L815" s="16"/>
      <c r="M815" s="16"/>
      <c r="N815" s="16"/>
      <c r="O815" s="16"/>
      <c r="P815" s="16"/>
      <c r="Q815" s="16"/>
      <c r="R815" s="16"/>
      <c r="S815" s="16"/>
      <c r="T815" s="16"/>
      <c r="U815" s="16"/>
      <c r="V815" s="16"/>
      <c r="W815" s="16"/>
      <c r="X815" s="16"/>
      <c r="Y815" s="16"/>
      <c r="Z815" s="16"/>
      <c r="AA815" s="16"/>
      <c r="AB815" s="16"/>
      <c r="AC815" s="16"/>
      <c r="AD815" s="16"/>
    </row>
    <row r="816" spans="1:30" ht="12.9">
      <c r="A816" s="16"/>
      <c r="B816" s="24"/>
      <c r="C816" s="196"/>
      <c r="D816" s="196"/>
      <c r="E816" s="196"/>
      <c r="F816" s="16"/>
      <c r="G816" s="24"/>
      <c r="H816" s="24"/>
      <c r="I816" s="16"/>
      <c r="J816" s="16"/>
      <c r="K816" s="16"/>
      <c r="L816" s="16"/>
      <c r="M816" s="16"/>
      <c r="N816" s="16"/>
      <c r="O816" s="16"/>
      <c r="P816" s="16"/>
      <c r="Q816" s="16"/>
      <c r="R816" s="16"/>
      <c r="S816" s="16"/>
      <c r="T816" s="16"/>
      <c r="U816" s="16"/>
      <c r="V816" s="16"/>
      <c r="W816" s="16"/>
      <c r="X816" s="16"/>
      <c r="Y816" s="16"/>
      <c r="Z816" s="16"/>
      <c r="AA816" s="16"/>
      <c r="AB816" s="16"/>
      <c r="AC816" s="16"/>
      <c r="AD816" s="16"/>
    </row>
    <row r="817" spans="1:30" ht="12.9">
      <c r="A817" s="16"/>
      <c r="B817" s="24"/>
      <c r="C817" s="196"/>
      <c r="D817" s="196"/>
      <c r="E817" s="196"/>
      <c r="F817" s="16"/>
      <c r="G817" s="24"/>
      <c r="H817" s="24"/>
      <c r="I817" s="16"/>
      <c r="J817" s="16"/>
      <c r="K817" s="16"/>
      <c r="L817" s="16"/>
      <c r="M817" s="16"/>
      <c r="N817" s="16"/>
      <c r="O817" s="16"/>
      <c r="P817" s="16"/>
      <c r="Q817" s="16"/>
      <c r="R817" s="16"/>
      <c r="S817" s="16"/>
      <c r="T817" s="16"/>
      <c r="U817" s="16"/>
      <c r="V817" s="16"/>
      <c r="W817" s="16"/>
      <c r="X817" s="16"/>
      <c r="Y817" s="16"/>
      <c r="Z817" s="16"/>
      <c r="AA817" s="16"/>
      <c r="AB817" s="16"/>
      <c r="AC817" s="16"/>
      <c r="AD817" s="16"/>
    </row>
    <row r="818" spans="1:30" ht="12.9">
      <c r="A818" s="16"/>
      <c r="B818" s="24"/>
      <c r="C818" s="196"/>
      <c r="D818" s="196"/>
      <c r="E818" s="196"/>
      <c r="F818" s="16"/>
      <c r="G818" s="24"/>
      <c r="H818" s="24"/>
      <c r="I818" s="16"/>
      <c r="J818" s="16"/>
      <c r="K818" s="16"/>
      <c r="L818" s="16"/>
      <c r="M818" s="16"/>
      <c r="N818" s="16"/>
      <c r="O818" s="16"/>
      <c r="P818" s="16"/>
      <c r="Q818" s="16"/>
      <c r="R818" s="16"/>
      <c r="S818" s="16"/>
      <c r="T818" s="16"/>
      <c r="U818" s="16"/>
      <c r="V818" s="16"/>
      <c r="W818" s="16"/>
      <c r="X818" s="16"/>
      <c r="Y818" s="16"/>
      <c r="Z818" s="16"/>
      <c r="AA818" s="16"/>
      <c r="AB818" s="16"/>
      <c r="AC818" s="16"/>
      <c r="AD818" s="16"/>
    </row>
    <row r="819" spans="1:30" ht="12.9">
      <c r="A819" s="16"/>
      <c r="B819" s="24"/>
      <c r="C819" s="196"/>
      <c r="D819" s="196"/>
      <c r="E819" s="196"/>
      <c r="F819" s="16"/>
      <c r="G819" s="24"/>
      <c r="H819" s="24"/>
      <c r="I819" s="16"/>
      <c r="J819" s="16"/>
      <c r="K819" s="16"/>
      <c r="L819" s="16"/>
      <c r="M819" s="16"/>
      <c r="N819" s="16"/>
      <c r="O819" s="16"/>
      <c r="P819" s="16"/>
      <c r="Q819" s="16"/>
      <c r="R819" s="16"/>
      <c r="S819" s="16"/>
      <c r="T819" s="16"/>
      <c r="U819" s="16"/>
      <c r="V819" s="16"/>
      <c r="W819" s="16"/>
      <c r="X819" s="16"/>
      <c r="Y819" s="16"/>
      <c r="Z819" s="16"/>
      <c r="AA819" s="16"/>
      <c r="AB819" s="16"/>
      <c r="AC819" s="16"/>
      <c r="AD819" s="16"/>
    </row>
    <row r="820" spans="1:30" ht="12.9">
      <c r="A820" s="16"/>
      <c r="B820" s="24"/>
      <c r="C820" s="196"/>
      <c r="D820" s="196"/>
      <c r="E820" s="196"/>
      <c r="F820" s="16"/>
      <c r="G820" s="24"/>
      <c r="H820" s="24"/>
      <c r="I820" s="16"/>
      <c r="J820" s="16"/>
      <c r="K820" s="16"/>
      <c r="L820" s="16"/>
      <c r="M820" s="16"/>
      <c r="N820" s="16"/>
      <c r="O820" s="16"/>
      <c r="P820" s="16"/>
      <c r="Q820" s="16"/>
      <c r="R820" s="16"/>
      <c r="S820" s="16"/>
      <c r="T820" s="16"/>
      <c r="U820" s="16"/>
      <c r="V820" s="16"/>
      <c r="W820" s="16"/>
      <c r="X820" s="16"/>
      <c r="Y820" s="16"/>
      <c r="Z820" s="16"/>
      <c r="AA820" s="16"/>
      <c r="AB820" s="16"/>
      <c r="AC820" s="16"/>
      <c r="AD820" s="16"/>
    </row>
    <row r="821" spans="1:30" ht="12.9">
      <c r="A821" s="16"/>
      <c r="B821" s="24"/>
      <c r="C821" s="196"/>
      <c r="D821" s="196"/>
      <c r="E821" s="196"/>
      <c r="F821" s="16"/>
      <c r="G821" s="24"/>
      <c r="H821" s="24"/>
      <c r="I821" s="16"/>
      <c r="J821" s="16"/>
      <c r="K821" s="16"/>
      <c r="L821" s="16"/>
      <c r="M821" s="16"/>
      <c r="N821" s="16"/>
      <c r="O821" s="16"/>
      <c r="P821" s="16"/>
      <c r="Q821" s="16"/>
      <c r="R821" s="16"/>
      <c r="S821" s="16"/>
      <c r="T821" s="16"/>
      <c r="U821" s="16"/>
      <c r="V821" s="16"/>
      <c r="W821" s="16"/>
      <c r="X821" s="16"/>
      <c r="Y821" s="16"/>
      <c r="Z821" s="16"/>
      <c r="AA821" s="16"/>
      <c r="AB821" s="16"/>
      <c r="AC821" s="16"/>
      <c r="AD821" s="16"/>
    </row>
    <row r="822" spans="1:30" ht="12.9">
      <c r="A822" s="16"/>
      <c r="B822" s="24"/>
      <c r="C822" s="196"/>
      <c r="D822" s="196"/>
      <c r="E822" s="196"/>
      <c r="F822" s="16"/>
      <c r="G822" s="24"/>
      <c r="H822" s="24"/>
      <c r="I822" s="16"/>
      <c r="J822" s="16"/>
      <c r="K822" s="16"/>
      <c r="L822" s="16"/>
      <c r="M822" s="16"/>
      <c r="N822" s="16"/>
      <c r="O822" s="16"/>
      <c r="P822" s="16"/>
      <c r="Q822" s="16"/>
      <c r="R822" s="16"/>
      <c r="S822" s="16"/>
      <c r="T822" s="16"/>
      <c r="U822" s="16"/>
      <c r="V822" s="16"/>
      <c r="W822" s="16"/>
      <c r="X822" s="16"/>
      <c r="Y822" s="16"/>
      <c r="Z822" s="16"/>
      <c r="AA822" s="16"/>
      <c r="AB822" s="16"/>
      <c r="AC822" s="16"/>
      <c r="AD822" s="16"/>
    </row>
    <row r="823" spans="1:30" ht="12.9">
      <c r="A823" s="16"/>
      <c r="B823" s="24"/>
      <c r="C823" s="196"/>
      <c r="D823" s="196"/>
      <c r="E823" s="196"/>
      <c r="F823" s="16"/>
      <c r="G823" s="24"/>
      <c r="H823" s="24"/>
      <c r="I823" s="16"/>
      <c r="J823" s="16"/>
      <c r="K823" s="16"/>
      <c r="L823" s="16"/>
      <c r="M823" s="16"/>
      <c r="N823" s="16"/>
      <c r="O823" s="16"/>
      <c r="P823" s="16"/>
      <c r="Q823" s="16"/>
      <c r="R823" s="16"/>
      <c r="S823" s="16"/>
      <c r="T823" s="16"/>
      <c r="U823" s="16"/>
      <c r="V823" s="16"/>
      <c r="W823" s="16"/>
      <c r="X823" s="16"/>
      <c r="Y823" s="16"/>
      <c r="Z823" s="16"/>
      <c r="AA823" s="16"/>
      <c r="AB823" s="16"/>
      <c r="AC823" s="16"/>
      <c r="AD823" s="16"/>
    </row>
    <row r="824" spans="1:30" ht="12.9">
      <c r="A824" s="16"/>
      <c r="B824" s="24"/>
      <c r="C824" s="196"/>
      <c r="D824" s="196"/>
      <c r="E824" s="196"/>
      <c r="F824" s="16"/>
      <c r="G824" s="24"/>
      <c r="H824" s="24"/>
      <c r="I824" s="16"/>
      <c r="J824" s="16"/>
      <c r="K824" s="16"/>
      <c r="L824" s="16"/>
      <c r="M824" s="16"/>
      <c r="N824" s="16"/>
      <c r="O824" s="16"/>
      <c r="P824" s="16"/>
      <c r="Q824" s="16"/>
      <c r="R824" s="16"/>
      <c r="S824" s="16"/>
      <c r="T824" s="16"/>
      <c r="U824" s="16"/>
      <c r="V824" s="16"/>
      <c r="W824" s="16"/>
      <c r="X824" s="16"/>
      <c r="Y824" s="16"/>
      <c r="Z824" s="16"/>
      <c r="AA824" s="16"/>
      <c r="AB824" s="16"/>
      <c r="AC824" s="16"/>
      <c r="AD824" s="16"/>
    </row>
    <row r="825" spans="1:30" ht="12.9">
      <c r="A825" s="16"/>
      <c r="B825" s="24"/>
      <c r="C825" s="196"/>
      <c r="D825" s="196"/>
      <c r="E825" s="196"/>
      <c r="F825" s="16"/>
      <c r="G825" s="24"/>
      <c r="H825" s="24"/>
      <c r="I825" s="16"/>
      <c r="J825" s="16"/>
      <c r="K825" s="16"/>
      <c r="L825" s="16"/>
      <c r="M825" s="16"/>
      <c r="N825" s="16"/>
      <c r="O825" s="16"/>
      <c r="P825" s="16"/>
      <c r="Q825" s="16"/>
      <c r="R825" s="16"/>
      <c r="S825" s="16"/>
      <c r="T825" s="16"/>
      <c r="U825" s="16"/>
      <c r="V825" s="16"/>
      <c r="W825" s="16"/>
      <c r="X825" s="16"/>
      <c r="Y825" s="16"/>
      <c r="Z825" s="16"/>
      <c r="AA825" s="16"/>
      <c r="AB825" s="16"/>
      <c r="AC825" s="16"/>
      <c r="AD825" s="16"/>
    </row>
    <row r="826" spans="1:30" ht="12.9">
      <c r="A826" s="16"/>
      <c r="B826" s="24"/>
      <c r="C826" s="196"/>
      <c r="D826" s="196"/>
      <c r="E826" s="196"/>
      <c r="F826" s="16"/>
      <c r="G826" s="24"/>
      <c r="H826" s="24"/>
      <c r="I826" s="16"/>
      <c r="J826" s="16"/>
      <c r="K826" s="16"/>
      <c r="L826" s="16"/>
      <c r="M826" s="16"/>
      <c r="N826" s="16"/>
      <c r="O826" s="16"/>
      <c r="P826" s="16"/>
      <c r="Q826" s="16"/>
      <c r="R826" s="16"/>
      <c r="S826" s="16"/>
      <c r="T826" s="16"/>
      <c r="U826" s="16"/>
      <c r="V826" s="16"/>
      <c r="W826" s="16"/>
      <c r="X826" s="16"/>
      <c r="Y826" s="16"/>
      <c r="Z826" s="16"/>
      <c r="AA826" s="16"/>
      <c r="AB826" s="16"/>
      <c r="AC826" s="16"/>
      <c r="AD826" s="16"/>
    </row>
    <row r="827" spans="1:30" ht="12.9">
      <c r="A827" s="16"/>
      <c r="B827" s="24"/>
      <c r="C827" s="196"/>
      <c r="D827" s="196"/>
      <c r="E827" s="196"/>
      <c r="F827" s="16"/>
      <c r="G827" s="24"/>
      <c r="H827" s="24"/>
      <c r="I827" s="16"/>
      <c r="J827" s="16"/>
      <c r="K827" s="16"/>
      <c r="L827" s="16"/>
      <c r="M827" s="16"/>
      <c r="N827" s="16"/>
      <c r="O827" s="16"/>
      <c r="P827" s="16"/>
      <c r="Q827" s="16"/>
      <c r="R827" s="16"/>
      <c r="S827" s="16"/>
      <c r="T827" s="16"/>
      <c r="U827" s="16"/>
      <c r="V827" s="16"/>
      <c r="W827" s="16"/>
      <c r="X827" s="16"/>
      <c r="Y827" s="16"/>
      <c r="Z827" s="16"/>
      <c r="AA827" s="16"/>
      <c r="AB827" s="16"/>
      <c r="AC827" s="16"/>
      <c r="AD827" s="16"/>
    </row>
    <row r="828" spans="1:30" ht="12.9">
      <c r="A828" s="16"/>
      <c r="B828" s="24"/>
      <c r="C828" s="196"/>
      <c r="D828" s="196"/>
      <c r="E828" s="196"/>
      <c r="F828" s="16"/>
      <c r="G828" s="24"/>
      <c r="H828" s="24"/>
      <c r="I828" s="16"/>
      <c r="J828" s="16"/>
      <c r="K828" s="16"/>
      <c r="L828" s="16"/>
      <c r="M828" s="16"/>
      <c r="N828" s="16"/>
      <c r="O828" s="16"/>
      <c r="P828" s="16"/>
      <c r="Q828" s="16"/>
      <c r="R828" s="16"/>
      <c r="S828" s="16"/>
      <c r="T828" s="16"/>
      <c r="U828" s="16"/>
      <c r="V828" s="16"/>
      <c r="W828" s="16"/>
      <c r="X828" s="16"/>
      <c r="Y828" s="16"/>
      <c r="Z828" s="16"/>
      <c r="AA828" s="16"/>
      <c r="AB828" s="16"/>
      <c r="AC828" s="16"/>
      <c r="AD828" s="16"/>
    </row>
    <row r="829" spans="1:30" ht="12.9">
      <c r="A829" s="16"/>
      <c r="B829" s="24"/>
      <c r="C829" s="196"/>
      <c r="D829" s="196"/>
      <c r="E829" s="196"/>
      <c r="F829" s="16"/>
      <c r="G829" s="24"/>
      <c r="H829" s="24"/>
      <c r="I829" s="16"/>
      <c r="J829" s="16"/>
      <c r="K829" s="16"/>
      <c r="L829" s="16"/>
      <c r="M829" s="16"/>
      <c r="N829" s="16"/>
      <c r="O829" s="16"/>
      <c r="P829" s="16"/>
      <c r="Q829" s="16"/>
      <c r="R829" s="16"/>
      <c r="S829" s="16"/>
      <c r="T829" s="16"/>
      <c r="U829" s="16"/>
      <c r="V829" s="16"/>
      <c r="W829" s="16"/>
      <c r="X829" s="16"/>
      <c r="Y829" s="16"/>
      <c r="Z829" s="16"/>
      <c r="AA829" s="16"/>
      <c r="AB829" s="16"/>
      <c r="AC829" s="16"/>
      <c r="AD829" s="16"/>
    </row>
    <row r="830" spans="1:30" ht="12.9">
      <c r="A830" s="16"/>
      <c r="B830" s="24"/>
      <c r="C830" s="196"/>
      <c r="D830" s="196"/>
      <c r="E830" s="196"/>
      <c r="F830" s="16"/>
      <c r="G830" s="24"/>
      <c r="H830" s="24"/>
      <c r="I830" s="16"/>
      <c r="J830" s="16"/>
      <c r="K830" s="16"/>
      <c r="L830" s="16"/>
      <c r="M830" s="16"/>
      <c r="N830" s="16"/>
      <c r="O830" s="16"/>
      <c r="P830" s="16"/>
      <c r="Q830" s="16"/>
      <c r="R830" s="16"/>
      <c r="S830" s="16"/>
      <c r="T830" s="16"/>
      <c r="U830" s="16"/>
      <c r="V830" s="16"/>
      <c r="W830" s="16"/>
      <c r="X830" s="16"/>
      <c r="Y830" s="16"/>
      <c r="Z830" s="16"/>
      <c r="AA830" s="16"/>
      <c r="AB830" s="16"/>
      <c r="AC830" s="16"/>
      <c r="AD830" s="16"/>
    </row>
    <row r="831" spans="1:30" ht="12.9">
      <c r="A831" s="16"/>
      <c r="B831" s="24"/>
      <c r="C831" s="196"/>
      <c r="D831" s="196"/>
      <c r="E831" s="196"/>
      <c r="F831" s="16"/>
      <c r="G831" s="24"/>
      <c r="H831" s="24"/>
      <c r="I831" s="16"/>
      <c r="J831" s="16"/>
      <c r="K831" s="16"/>
      <c r="L831" s="16"/>
      <c r="M831" s="16"/>
      <c r="N831" s="16"/>
      <c r="O831" s="16"/>
      <c r="P831" s="16"/>
      <c r="Q831" s="16"/>
      <c r="R831" s="16"/>
      <c r="S831" s="16"/>
      <c r="T831" s="16"/>
      <c r="U831" s="16"/>
      <c r="V831" s="16"/>
      <c r="W831" s="16"/>
      <c r="X831" s="16"/>
      <c r="Y831" s="16"/>
      <c r="Z831" s="16"/>
      <c r="AA831" s="16"/>
      <c r="AB831" s="16"/>
      <c r="AC831" s="16"/>
      <c r="AD831" s="16"/>
    </row>
    <row r="832" spans="1:30" ht="12.9">
      <c r="A832" s="16"/>
      <c r="B832" s="24"/>
      <c r="C832" s="196"/>
      <c r="D832" s="196"/>
      <c r="E832" s="196"/>
      <c r="F832" s="16"/>
      <c r="G832" s="24"/>
      <c r="H832" s="24"/>
      <c r="I832" s="16"/>
      <c r="J832" s="16"/>
      <c r="K832" s="16"/>
      <c r="L832" s="16"/>
      <c r="M832" s="16"/>
      <c r="N832" s="16"/>
      <c r="O832" s="16"/>
      <c r="P832" s="16"/>
      <c r="Q832" s="16"/>
      <c r="R832" s="16"/>
      <c r="S832" s="16"/>
      <c r="T832" s="16"/>
      <c r="U832" s="16"/>
      <c r="V832" s="16"/>
      <c r="W832" s="16"/>
      <c r="X832" s="16"/>
      <c r="Y832" s="16"/>
      <c r="Z832" s="16"/>
      <c r="AA832" s="16"/>
      <c r="AB832" s="16"/>
      <c r="AC832" s="16"/>
      <c r="AD832" s="16"/>
    </row>
    <row r="833" spans="1:30" ht="12.9">
      <c r="A833" s="16"/>
      <c r="B833" s="24"/>
      <c r="C833" s="196"/>
      <c r="D833" s="196"/>
      <c r="E833" s="196"/>
      <c r="F833" s="16"/>
      <c r="G833" s="24"/>
      <c r="H833" s="24"/>
      <c r="I833" s="16"/>
      <c r="J833" s="16"/>
      <c r="K833" s="16"/>
      <c r="L833" s="16"/>
      <c r="M833" s="16"/>
      <c r="N833" s="16"/>
      <c r="O833" s="16"/>
      <c r="P833" s="16"/>
      <c r="Q833" s="16"/>
      <c r="R833" s="16"/>
      <c r="S833" s="16"/>
      <c r="T833" s="16"/>
      <c r="U833" s="16"/>
      <c r="V833" s="16"/>
      <c r="W833" s="16"/>
      <c r="X833" s="16"/>
      <c r="Y833" s="16"/>
      <c r="Z833" s="16"/>
      <c r="AA833" s="16"/>
      <c r="AB833" s="16"/>
      <c r="AC833" s="16"/>
      <c r="AD833" s="16"/>
    </row>
    <row r="834" spans="1:30" ht="12.9">
      <c r="A834" s="16"/>
      <c r="B834" s="24"/>
      <c r="C834" s="196"/>
      <c r="D834" s="196"/>
      <c r="E834" s="196"/>
      <c r="F834" s="16"/>
      <c r="G834" s="24"/>
      <c r="H834" s="24"/>
      <c r="I834" s="16"/>
      <c r="J834" s="16"/>
      <c r="K834" s="16"/>
      <c r="L834" s="16"/>
      <c r="M834" s="16"/>
      <c r="N834" s="16"/>
      <c r="O834" s="16"/>
      <c r="P834" s="16"/>
      <c r="Q834" s="16"/>
      <c r="R834" s="16"/>
      <c r="S834" s="16"/>
      <c r="T834" s="16"/>
      <c r="U834" s="16"/>
      <c r="V834" s="16"/>
      <c r="W834" s="16"/>
      <c r="X834" s="16"/>
      <c r="Y834" s="16"/>
      <c r="Z834" s="16"/>
      <c r="AA834" s="16"/>
      <c r="AB834" s="16"/>
      <c r="AC834" s="16"/>
      <c r="AD834" s="16"/>
    </row>
    <row r="835" spans="1:30" ht="12.9">
      <c r="A835" s="16"/>
      <c r="B835" s="24"/>
      <c r="C835" s="196"/>
      <c r="D835" s="196"/>
      <c r="E835" s="196"/>
      <c r="F835" s="16"/>
      <c r="G835" s="24"/>
      <c r="H835" s="24"/>
      <c r="I835" s="16"/>
      <c r="J835" s="16"/>
      <c r="K835" s="16"/>
      <c r="L835" s="16"/>
      <c r="M835" s="16"/>
      <c r="N835" s="16"/>
      <c r="O835" s="16"/>
      <c r="P835" s="16"/>
      <c r="Q835" s="16"/>
      <c r="R835" s="16"/>
      <c r="S835" s="16"/>
      <c r="T835" s="16"/>
      <c r="U835" s="16"/>
      <c r="V835" s="16"/>
      <c r="W835" s="16"/>
      <c r="X835" s="16"/>
      <c r="Y835" s="16"/>
      <c r="Z835" s="16"/>
      <c r="AA835" s="16"/>
      <c r="AB835" s="16"/>
      <c r="AC835" s="16"/>
      <c r="AD835" s="16"/>
    </row>
    <row r="836" spans="1:30" ht="12.9">
      <c r="A836" s="16"/>
      <c r="B836" s="24"/>
      <c r="C836" s="196"/>
      <c r="D836" s="196"/>
      <c r="E836" s="196"/>
      <c r="F836" s="16"/>
      <c r="G836" s="24"/>
      <c r="H836" s="24"/>
      <c r="I836" s="16"/>
      <c r="J836" s="16"/>
      <c r="K836" s="16"/>
      <c r="L836" s="16"/>
      <c r="M836" s="16"/>
      <c r="N836" s="16"/>
      <c r="O836" s="16"/>
      <c r="P836" s="16"/>
      <c r="Q836" s="16"/>
      <c r="R836" s="16"/>
      <c r="S836" s="16"/>
      <c r="T836" s="16"/>
      <c r="U836" s="16"/>
      <c r="V836" s="16"/>
      <c r="W836" s="16"/>
      <c r="X836" s="16"/>
      <c r="Y836" s="16"/>
      <c r="Z836" s="16"/>
      <c r="AA836" s="16"/>
      <c r="AB836" s="16"/>
      <c r="AC836" s="16"/>
      <c r="AD836" s="16"/>
    </row>
    <row r="837" spans="1:30" ht="12.9">
      <c r="A837" s="16"/>
      <c r="B837" s="24"/>
      <c r="C837" s="196"/>
      <c r="D837" s="196"/>
      <c r="E837" s="196"/>
      <c r="F837" s="16"/>
      <c r="G837" s="24"/>
      <c r="H837" s="24"/>
      <c r="I837" s="16"/>
      <c r="J837" s="16"/>
      <c r="K837" s="16"/>
      <c r="L837" s="16"/>
      <c r="M837" s="16"/>
      <c r="N837" s="16"/>
      <c r="O837" s="16"/>
      <c r="P837" s="16"/>
      <c r="Q837" s="16"/>
      <c r="R837" s="16"/>
      <c r="S837" s="16"/>
      <c r="T837" s="16"/>
      <c r="U837" s="16"/>
      <c r="V837" s="16"/>
      <c r="W837" s="16"/>
      <c r="X837" s="16"/>
      <c r="Y837" s="16"/>
      <c r="Z837" s="16"/>
      <c r="AA837" s="16"/>
      <c r="AB837" s="16"/>
      <c r="AC837" s="16"/>
      <c r="AD837" s="16"/>
    </row>
    <row r="838" spans="1:30" ht="12.9">
      <c r="A838" s="16"/>
      <c r="B838" s="24"/>
      <c r="C838" s="196"/>
      <c r="D838" s="196"/>
      <c r="E838" s="196"/>
      <c r="F838" s="16"/>
      <c r="G838" s="24"/>
      <c r="H838" s="24"/>
      <c r="I838" s="16"/>
      <c r="J838" s="16"/>
      <c r="K838" s="16"/>
      <c r="L838" s="16"/>
      <c r="M838" s="16"/>
      <c r="N838" s="16"/>
      <c r="O838" s="16"/>
      <c r="P838" s="16"/>
      <c r="Q838" s="16"/>
      <c r="R838" s="16"/>
      <c r="S838" s="16"/>
      <c r="T838" s="16"/>
      <c r="U838" s="16"/>
      <c r="V838" s="16"/>
      <c r="W838" s="16"/>
      <c r="X838" s="16"/>
      <c r="Y838" s="16"/>
      <c r="Z838" s="16"/>
      <c r="AA838" s="16"/>
      <c r="AB838" s="16"/>
      <c r="AC838" s="16"/>
      <c r="AD838" s="16"/>
    </row>
    <row r="839" spans="1:30" ht="12.9">
      <c r="A839" s="16"/>
      <c r="B839" s="24"/>
      <c r="C839" s="196"/>
      <c r="D839" s="196"/>
      <c r="E839" s="196"/>
      <c r="F839" s="16"/>
      <c r="G839" s="24"/>
      <c r="H839" s="24"/>
      <c r="I839" s="16"/>
      <c r="J839" s="16"/>
      <c r="K839" s="16"/>
      <c r="L839" s="16"/>
      <c r="M839" s="16"/>
      <c r="N839" s="16"/>
      <c r="O839" s="16"/>
      <c r="P839" s="16"/>
      <c r="Q839" s="16"/>
      <c r="R839" s="16"/>
      <c r="S839" s="16"/>
      <c r="T839" s="16"/>
      <c r="U839" s="16"/>
      <c r="V839" s="16"/>
      <c r="W839" s="16"/>
      <c r="X839" s="16"/>
      <c r="Y839" s="16"/>
      <c r="Z839" s="16"/>
      <c r="AA839" s="16"/>
      <c r="AB839" s="16"/>
      <c r="AC839" s="16"/>
      <c r="AD839" s="16"/>
    </row>
    <row r="840" spans="1:30" ht="12.9">
      <c r="A840" s="16"/>
      <c r="B840" s="24"/>
      <c r="C840" s="196"/>
      <c r="D840" s="196"/>
      <c r="E840" s="196"/>
      <c r="F840" s="16"/>
      <c r="G840" s="24"/>
      <c r="H840" s="24"/>
      <c r="I840" s="16"/>
      <c r="J840" s="16"/>
      <c r="K840" s="16"/>
      <c r="L840" s="16"/>
      <c r="M840" s="16"/>
      <c r="N840" s="16"/>
      <c r="O840" s="16"/>
      <c r="P840" s="16"/>
      <c r="Q840" s="16"/>
      <c r="R840" s="16"/>
      <c r="S840" s="16"/>
      <c r="T840" s="16"/>
      <c r="U840" s="16"/>
      <c r="V840" s="16"/>
      <c r="W840" s="16"/>
      <c r="X840" s="16"/>
      <c r="Y840" s="16"/>
      <c r="Z840" s="16"/>
      <c r="AA840" s="16"/>
      <c r="AB840" s="16"/>
      <c r="AC840" s="16"/>
      <c r="AD840" s="16"/>
    </row>
    <row r="841" spans="1:30" ht="12.9">
      <c r="A841" s="16"/>
      <c r="B841" s="24"/>
      <c r="C841" s="196"/>
      <c r="D841" s="196"/>
      <c r="E841" s="196"/>
      <c r="F841" s="16"/>
      <c r="G841" s="24"/>
      <c r="H841" s="24"/>
      <c r="I841" s="16"/>
      <c r="J841" s="16"/>
      <c r="K841" s="16"/>
      <c r="L841" s="16"/>
      <c r="M841" s="16"/>
      <c r="N841" s="16"/>
      <c r="O841" s="16"/>
      <c r="P841" s="16"/>
      <c r="Q841" s="16"/>
      <c r="R841" s="16"/>
      <c r="S841" s="16"/>
      <c r="T841" s="16"/>
      <c r="U841" s="16"/>
      <c r="V841" s="16"/>
      <c r="W841" s="16"/>
      <c r="X841" s="16"/>
      <c r="Y841" s="16"/>
      <c r="Z841" s="16"/>
      <c r="AA841" s="16"/>
      <c r="AB841" s="16"/>
      <c r="AC841" s="16"/>
      <c r="AD841" s="16"/>
    </row>
    <row r="842" spans="1:30" ht="12.9">
      <c r="A842" s="16"/>
      <c r="B842" s="24"/>
      <c r="C842" s="196"/>
      <c r="D842" s="196"/>
      <c r="E842" s="196"/>
      <c r="F842" s="16"/>
      <c r="G842" s="24"/>
      <c r="H842" s="24"/>
      <c r="I842" s="16"/>
      <c r="J842" s="16"/>
      <c r="K842" s="16"/>
      <c r="L842" s="16"/>
      <c r="M842" s="16"/>
      <c r="N842" s="16"/>
      <c r="O842" s="16"/>
      <c r="P842" s="16"/>
      <c r="Q842" s="16"/>
      <c r="R842" s="16"/>
      <c r="S842" s="16"/>
      <c r="T842" s="16"/>
      <c r="U842" s="16"/>
      <c r="V842" s="16"/>
      <c r="W842" s="16"/>
      <c r="X842" s="16"/>
      <c r="Y842" s="16"/>
      <c r="Z842" s="16"/>
      <c r="AA842" s="16"/>
      <c r="AB842" s="16"/>
      <c r="AC842" s="16"/>
      <c r="AD842" s="16"/>
    </row>
    <row r="843" spans="1:30" ht="12.9">
      <c r="A843" s="16"/>
      <c r="B843" s="24"/>
      <c r="C843" s="196"/>
      <c r="D843" s="196"/>
      <c r="E843" s="196"/>
      <c r="F843" s="16"/>
      <c r="G843" s="24"/>
      <c r="H843" s="24"/>
      <c r="I843" s="16"/>
      <c r="J843" s="16"/>
      <c r="K843" s="16"/>
      <c r="L843" s="16"/>
      <c r="M843" s="16"/>
      <c r="N843" s="16"/>
      <c r="O843" s="16"/>
      <c r="P843" s="16"/>
      <c r="Q843" s="16"/>
      <c r="R843" s="16"/>
      <c r="S843" s="16"/>
      <c r="T843" s="16"/>
      <c r="U843" s="16"/>
      <c r="V843" s="16"/>
      <c r="W843" s="16"/>
      <c r="X843" s="16"/>
      <c r="Y843" s="16"/>
      <c r="Z843" s="16"/>
      <c r="AA843" s="16"/>
      <c r="AB843" s="16"/>
      <c r="AC843" s="16"/>
      <c r="AD843" s="16"/>
    </row>
    <row r="844" spans="1:30" ht="12.9">
      <c r="A844" s="16"/>
      <c r="B844" s="24"/>
      <c r="C844" s="196"/>
      <c r="D844" s="196"/>
      <c r="E844" s="196"/>
      <c r="F844" s="16"/>
      <c r="G844" s="24"/>
      <c r="H844" s="24"/>
      <c r="I844" s="16"/>
      <c r="J844" s="16"/>
      <c r="K844" s="16"/>
      <c r="L844" s="16"/>
      <c r="M844" s="16"/>
      <c r="N844" s="16"/>
      <c r="O844" s="16"/>
      <c r="P844" s="16"/>
      <c r="Q844" s="16"/>
      <c r="R844" s="16"/>
      <c r="S844" s="16"/>
      <c r="T844" s="16"/>
      <c r="U844" s="16"/>
      <c r="V844" s="16"/>
      <c r="W844" s="16"/>
      <c r="X844" s="16"/>
      <c r="Y844" s="16"/>
      <c r="Z844" s="16"/>
      <c r="AA844" s="16"/>
      <c r="AB844" s="16"/>
      <c r="AC844" s="16"/>
      <c r="AD844" s="16"/>
    </row>
    <row r="845" spans="1:30" ht="12.9">
      <c r="A845" s="16"/>
      <c r="B845" s="24"/>
      <c r="C845" s="196"/>
      <c r="D845" s="196"/>
      <c r="E845" s="196"/>
      <c r="F845" s="16"/>
      <c r="G845" s="24"/>
      <c r="H845" s="24"/>
      <c r="I845" s="16"/>
      <c r="J845" s="16"/>
      <c r="K845" s="16"/>
      <c r="L845" s="16"/>
      <c r="M845" s="16"/>
      <c r="N845" s="16"/>
      <c r="O845" s="16"/>
      <c r="P845" s="16"/>
      <c r="Q845" s="16"/>
      <c r="R845" s="16"/>
      <c r="S845" s="16"/>
      <c r="T845" s="16"/>
      <c r="U845" s="16"/>
      <c r="V845" s="16"/>
      <c r="W845" s="16"/>
      <c r="X845" s="16"/>
      <c r="Y845" s="16"/>
      <c r="Z845" s="16"/>
      <c r="AA845" s="16"/>
      <c r="AB845" s="16"/>
      <c r="AC845" s="16"/>
      <c r="AD845" s="16"/>
    </row>
    <row r="846" spans="1:30" ht="12.9">
      <c r="A846" s="16"/>
      <c r="B846" s="24"/>
      <c r="C846" s="196"/>
      <c r="D846" s="196"/>
      <c r="E846" s="196"/>
      <c r="F846" s="16"/>
      <c r="G846" s="24"/>
      <c r="H846" s="24"/>
      <c r="I846" s="16"/>
      <c r="J846" s="16"/>
      <c r="K846" s="16"/>
      <c r="L846" s="16"/>
      <c r="M846" s="16"/>
      <c r="N846" s="16"/>
      <c r="O846" s="16"/>
      <c r="P846" s="16"/>
      <c r="Q846" s="16"/>
      <c r="R846" s="16"/>
      <c r="S846" s="16"/>
      <c r="T846" s="16"/>
      <c r="U846" s="16"/>
      <c r="V846" s="16"/>
      <c r="W846" s="16"/>
      <c r="X846" s="16"/>
      <c r="Y846" s="16"/>
      <c r="Z846" s="16"/>
      <c r="AA846" s="16"/>
      <c r="AB846" s="16"/>
      <c r="AC846" s="16"/>
      <c r="AD846" s="16"/>
    </row>
    <row r="847" spans="1:30" ht="12.9">
      <c r="A847" s="16"/>
      <c r="B847" s="24"/>
      <c r="C847" s="196"/>
      <c r="D847" s="196"/>
      <c r="E847" s="196"/>
      <c r="F847" s="16"/>
      <c r="G847" s="24"/>
      <c r="H847" s="24"/>
      <c r="I847" s="16"/>
      <c r="J847" s="16"/>
      <c r="K847" s="16"/>
      <c r="L847" s="16"/>
      <c r="M847" s="16"/>
      <c r="N847" s="16"/>
      <c r="O847" s="16"/>
      <c r="P847" s="16"/>
      <c r="Q847" s="16"/>
      <c r="R847" s="16"/>
      <c r="S847" s="16"/>
      <c r="T847" s="16"/>
      <c r="U847" s="16"/>
      <c r="V847" s="16"/>
      <c r="W847" s="16"/>
      <c r="X847" s="16"/>
      <c r="Y847" s="16"/>
      <c r="Z847" s="16"/>
      <c r="AA847" s="16"/>
      <c r="AB847" s="16"/>
      <c r="AC847" s="16"/>
      <c r="AD847" s="16"/>
    </row>
    <row r="848" spans="1:30" ht="12.9">
      <c r="A848" s="16"/>
      <c r="B848" s="24"/>
      <c r="C848" s="196"/>
      <c r="D848" s="196"/>
      <c r="E848" s="196"/>
      <c r="F848" s="16"/>
      <c r="G848" s="24"/>
      <c r="H848" s="24"/>
      <c r="I848" s="16"/>
      <c r="J848" s="16"/>
      <c r="K848" s="16"/>
      <c r="L848" s="16"/>
      <c r="M848" s="16"/>
      <c r="N848" s="16"/>
      <c r="O848" s="16"/>
      <c r="P848" s="16"/>
      <c r="Q848" s="16"/>
      <c r="R848" s="16"/>
      <c r="S848" s="16"/>
      <c r="T848" s="16"/>
      <c r="U848" s="16"/>
      <c r="V848" s="16"/>
      <c r="W848" s="16"/>
      <c r="X848" s="16"/>
      <c r="Y848" s="16"/>
      <c r="Z848" s="16"/>
      <c r="AA848" s="16"/>
      <c r="AB848" s="16"/>
      <c r="AC848" s="16"/>
      <c r="AD848" s="16"/>
    </row>
    <row r="849" spans="1:30" ht="12.9">
      <c r="A849" s="16"/>
      <c r="B849" s="24"/>
      <c r="C849" s="196"/>
      <c r="D849" s="196"/>
      <c r="E849" s="196"/>
      <c r="F849" s="16"/>
      <c r="G849" s="24"/>
      <c r="H849" s="24"/>
      <c r="I849" s="16"/>
      <c r="J849" s="16"/>
      <c r="K849" s="16"/>
      <c r="L849" s="16"/>
      <c r="M849" s="16"/>
      <c r="N849" s="16"/>
      <c r="O849" s="16"/>
      <c r="P849" s="16"/>
      <c r="Q849" s="16"/>
      <c r="R849" s="16"/>
      <c r="S849" s="16"/>
      <c r="T849" s="16"/>
      <c r="U849" s="16"/>
      <c r="V849" s="16"/>
      <c r="W849" s="16"/>
      <c r="X849" s="16"/>
      <c r="Y849" s="16"/>
      <c r="Z849" s="16"/>
      <c r="AA849" s="16"/>
      <c r="AB849" s="16"/>
      <c r="AC849" s="16"/>
      <c r="AD849" s="16"/>
    </row>
    <row r="850" spans="1:30" ht="12.9">
      <c r="A850" s="16"/>
      <c r="B850" s="24"/>
      <c r="C850" s="196"/>
      <c r="D850" s="196"/>
      <c r="E850" s="196"/>
      <c r="F850" s="16"/>
      <c r="G850" s="24"/>
      <c r="H850" s="24"/>
      <c r="I850" s="16"/>
      <c r="J850" s="16"/>
      <c r="K850" s="16"/>
      <c r="L850" s="16"/>
      <c r="M850" s="16"/>
      <c r="N850" s="16"/>
      <c r="O850" s="16"/>
      <c r="P850" s="16"/>
      <c r="Q850" s="16"/>
      <c r="R850" s="16"/>
      <c r="S850" s="16"/>
      <c r="T850" s="16"/>
      <c r="U850" s="16"/>
      <c r="V850" s="16"/>
      <c r="W850" s="16"/>
      <c r="X850" s="16"/>
      <c r="Y850" s="16"/>
      <c r="Z850" s="16"/>
      <c r="AA850" s="16"/>
      <c r="AB850" s="16"/>
      <c r="AC850" s="16"/>
      <c r="AD850" s="16"/>
    </row>
    <row r="851" spans="1:30" ht="12.9">
      <c r="A851" s="16"/>
      <c r="B851" s="24"/>
      <c r="C851" s="196"/>
      <c r="D851" s="196"/>
      <c r="E851" s="196"/>
      <c r="F851" s="16"/>
      <c r="G851" s="24"/>
      <c r="H851" s="24"/>
      <c r="I851" s="16"/>
      <c r="J851" s="16"/>
      <c r="K851" s="16"/>
      <c r="L851" s="16"/>
      <c r="M851" s="16"/>
      <c r="N851" s="16"/>
      <c r="O851" s="16"/>
      <c r="P851" s="16"/>
      <c r="Q851" s="16"/>
      <c r="R851" s="16"/>
      <c r="S851" s="16"/>
      <c r="T851" s="16"/>
      <c r="U851" s="16"/>
      <c r="V851" s="16"/>
      <c r="W851" s="16"/>
      <c r="X851" s="16"/>
      <c r="Y851" s="16"/>
      <c r="Z851" s="16"/>
      <c r="AA851" s="16"/>
      <c r="AB851" s="16"/>
      <c r="AC851" s="16"/>
      <c r="AD851" s="16"/>
    </row>
    <row r="852" spans="1:30" ht="12.9">
      <c r="A852" s="16"/>
      <c r="B852" s="24"/>
      <c r="C852" s="196"/>
      <c r="D852" s="196"/>
      <c r="E852" s="196"/>
      <c r="F852" s="16"/>
      <c r="G852" s="24"/>
      <c r="H852" s="24"/>
      <c r="I852" s="16"/>
      <c r="J852" s="16"/>
      <c r="K852" s="16"/>
      <c r="L852" s="16"/>
      <c r="M852" s="16"/>
      <c r="N852" s="16"/>
      <c r="O852" s="16"/>
      <c r="P852" s="16"/>
      <c r="Q852" s="16"/>
      <c r="R852" s="16"/>
      <c r="S852" s="16"/>
      <c r="T852" s="16"/>
      <c r="U852" s="16"/>
      <c r="V852" s="16"/>
      <c r="W852" s="16"/>
      <c r="X852" s="16"/>
      <c r="Y852" s="16"/>
      <c r="Z852" s="16"/>
      <c r="AA852" s="16"/>
      <c r="AB852" s="16"/>
      <c r="AC852" s="16"/>
      <c r="AD852" s="16"/>
    </row>
    <row r="853" spans="1:30" ht="12.9">
      <c r="A853" s="16"/>
      <c r="B853" s="24"/>
      <c r="C853" s="196"/>
      <c r="D853" s="196"/>
      <c r="E853" s="196"/>
      <c r="F853" s="16"/>
      <c r="G853" s="24"/>
      <c r="H853" s="24"/>
      <c r="I853" s="16"/>
      <c r="J853" s="16"/>
      <c r="K853" s="16"/>
      <c r="L853" s="16"/>
      <c r="M853" s="16"/>
      <c r="N853" s="16"/>
      <c r="O853" s="16"/>
      <c r="P853" s="16"/>
      <c r="Q853" s="16"/>
      <c r="R853" s="16"/>
      <c r="S853" s="16"/>
      <c r="T853" s="16"/>
      <c r="U853" s="16"/>
      <c r="V853" s="16"/>
      <c r="W853" s="16"/>
      <c r="X853" s="16"/>
      <c r="Y853" s="16"/>
      <c r="Z853" s="16"/>
      <c r="AA853" s="16"/>
      <c r="AB853" s="16"/>
      <c r="AC853" s="16"/>
      <c r="AD853" s="16"/>
    </row>
    <row r="854" spans="1:30" ht="12.9">
      <c r="A854" s="16"/>
      <c r="B854" s="24"/>
      <c r="C854" s="196"/>
      <c r="D854" s="196"/>
      <c r="E854" s="196"/>
      <c r="F854" s="16"/>
      <c r="G854" s="24"/>
      <c r="H854" s="24"/>
      <c r="I854" s="16"/>
      <c r="J854" s="16"/>
      <c r="K854" s="16"/>
      <c r="L854" s="16"/>
      <c r="M854" s="16"/>
      <c r="N854" s="16"/>
      <c r="O854" s="16"/>
      <c r="P854" s="16"/>
      <c r="Q854" s="16"/>
      <c r="R854" s="16"/>
      <c r="S854" s="16"/>
      <c r="T854" s="16"/>
      <c r="U854" s="16"/>
      <c r="V854" s="16"/>
      <c r="W854" s="16"/>
      <c r="X854" s="16"/>
      <c r="Y854" s="16"/>
      <c r="Z854" s="16"/>
      <c r="AA854" s="16"/>
      <c r="AB854" s="16"/>
      <c r="AC854" s="16"/>
      <c r="AD854" s="16"/>
    </row>
    <row r="855" spans="1:30" ht="12.9">
      <c r="A855" s="16"/>
      <c r="B855" s="24"/>
      <c r="C855" s="196"/>
      <c r="D855" s="196"/>
      <c r="E855" s="196"/>
      <c r="F855" s="16"/>
      <c r="G855" s="24"/>
      <c r="H855" s="24"/>
      <c r="I855" s="16"/>
      <c r="J855" s="16"/>
      <c r="K855" s="16"/>
      <c r="L855" s="16"/>
      <c r="M855" s="16"/>
      <c r="N855" s="16"/>
      <c r="O855" s="16"/>
      <c r="P855" s="16"/>
      <c r="Q855" s="16"/>
      <c r="R855" s="16"/>
      <c r="S855" s="16"/>
      <c r="T855" s="16"/>
      <c r="U855" s="16"/>
      <c r="V855" s="16"/>
      <c r="W855" s="16"/>
      <c r="X855" s="16"/>
      <c r="Y855" s="16"/>
      <c r="Z855" s="16"/>
      <c r="AA855" s="16"/>
      <c r="AB855" s="16"/>
      <c r="AC855" s="16"/>
      <c r="AD855" s="16"/>
    </row>
    <row r="856" spans="1:30" ht="12.9">
      <c r="A856" s="16"/>
      <c r="B856" s="24"/>
      <c r="C856" s="196"/>
      <c r="D856" s="196"/>
      <c r="E856" s="196"/>
      <c r="F856" s="16"/>
      <c r="G856" s="24"/>
      <c r="H856" s="24"/>
      <c r="I856" s="16"/>
      <c r="J856" s="16"/>
      <c r="K856" s="16"/>
      <c r="L856" s="16"/>
      <c r="M856" s="16"/>
      <c r="N856" s="16"/>
      <c r="O856" s="16"/>
      <c r="P856" s="16"/>
      <c r="Q856" s="16"/>
      <c r="R856" s="16"/>
      <c r="S856" s="16"/>
      <c r="T856" s="16"/>
      <c r="U856" s="16"/>
      <c r="V856" s="16"/>
      <c r="W856" s="16"/>
      <c r="X856" s="16"/>
      <c r="Y856" s="16"/>
      <c r="Z856" s="16"/>
      <c r="AA856" s="16"/>
      <c r="AB856" s="16"/>
      <c r="AC856" s="16"/>
      <c r="AD856" s="16"/>
    </row>
    <row r="857" spans="1:30" ht="12.9">
      <c r="A857" s="16"/>
      <c r="B857" s="24"/>
      <c r="C857" s="196"/>
      <c r="D857" s="196"/>
      <c r="E857" s="196"/>
      <c r="F857" s="16"/>
      <c r="G857" s="24"/>
      <c r="H857" s="24"/>
      <c r="I857" s="16"/>
      <c r="J857" s="16"/>
      <c r="K857" s="16"/>
      <c r="L857" s="16"/>
      <c r="M857" s="16"/>
      <c r="N857" s="16"/>
      <c r="O857" s="16"/>
      <c r="P857" s="16"/>
      <c r="Q857" s="16"/>
      <c r="R857" s="16"/>
      <c r="S857" s="16"/>
      <c r="T857" s="16"/>
      <c r="U857" s="16"/>
      <c r="V857" s="16"/>
      <c r="W857" s="16"/>
      <c r="X857" s="16"/>
      <c r="Y857" s="16"/>
      <c r="Z857" s="16"/>
      <c r="AA857" s="16"/>
      <c r="AB857" s="16"/>
      <c r="AC857" s="16"/>
      <c r="AD857" s="16"/>
    </row>
    <row r="858" spans="1:30" ht="12.9">
      <c r="A858" s="16"/>
      <c r="B858" s="24"/>
      <c r="C858" s="196"/>
      <c r="D858" s="196"/>
      <c r="E858" s="196"/>
      <c r="F858" s="16"/>
      <c r="G858" s="24"/>
      <c r="H858" s="24"/>
      <c r="I858" s="16"/>
      <c r="J858" s="16"/>
      <c r="K858" s="16"/>
      <c r="L858" s="16"/>
      <c r="M858" s="16"/>
      <c r="N858" s="16"/>
      <c r="O858" s="16"/>
      <c r="P858" s="16"/>
      <c r="Q858" s="16"/>
      <c r="R858" s="16"/>
      <c r="S858" s="16"/>
      <c r="T858" s="16"/>
      <c r="U858" s="16"/>
      <c r="V858" s="16"/>
      <c r="W858" s="16"/>
      <c r="X858" s="16"/>
      <c r="Y858" s="16"/>
      <c r="Z858" s="16"/>
      <c r="AA858" s="16"/>
      <c r="AB858" s="16"/>
      <c r="AC858" s="16"/>
      <c r="AD858" s="16"/>
    </row>
    <row r="859" spans="1:30" ht="12.9">
      <c r="A859" s="16"/>
      <c r="B859" s="24"/>
      <c r="C859" s="196"/>
      <c r="D859" s="196"/>
      <c r="E859" s="196"/>
      <c r="F859" s="16"/>
      <c r="G859" s="24"/>
      <c r="H859" s="24"/>
      <c r="I859" s="16"/>
      <c r="J859" s="16"/>
      <c r="K859" s="16"/>
      <c r="L859" s="16"/>
      <c r="M859" s="16"/>
      <c r="N859" s="16"/>
      <c r="O859" s="16"/>
      <c r="P859" s="16"/>
      <c r="Q859" s="16"/>
      <c r="R859" s="16"/>
      <c r="S859" s="16"/>
      <c r="T859" s="16"/>
      <c r="U859" s="16"/>
      <c r="V859" s="16"/>
      <c r="W859" s="16"/>
      <c r="X859" s="16"/>
      <c r="Y859" s="16"/>
      <c r="Z859" s="16"/>
      <c r="AA859" s="16"/>
      <c r="AB859" s="16"/>
      <c r="AC859" s="16"/>
      <c r="AD859" s="16"/>
    </row>
    <row r="860" spans="1:30" ht="12.9">
      <c r="A860" s="16"/>
      <c r="B860" s="24"/>
      <c r="C860" s="196"/>
      <c r="D860" s="196"/>
      <c r="E860" s="196"/>
      <c r="F860" s="16"/>
      <c r="G860" s="24"/>
      <c r="H860" s="24"/>
      <c r="I860" s="16"/>
      <c r="J860" s="16"/>
      <c r="K860" s="16"/>
      <c r="L860" s="16"/>
      <c r="M860" s="16"/>
      <c r="N860" s="16"/>
      <c r="O860" s="16"/>
      <c r="P860" s="16"/>
      <c r="Q860" s="16"/>
      <c r="R860" s="16"/>
      <c r="S860" s="16"/>
      <c r="T860" s="16"/>
      <c r="U860" s="16"/>
      <c r="V860" s="16"/>
      <c r="W860" s="16"/>
      <c r="X860" s="16"/>
      <c r="Y860" s="16"/>
      <c r="Z860" s="16"/>
      <c r="AA860" s="16"/>
      <c r="AB860" s="16"/>
      <c r="AC860" s="16"/>
      <c r="AD860" s="16"/>
    </row>
    <row r="861" spans="1:30" ht="12.9">
      <c r="A861" s="16"/>
      <c r="B861" s="24"/>
      <c r="C861" s="196"/>
      <c r="D861" s="196"/>
      <c r="E861" s="196"/>
      <c r="F861" s="16"/>
      <c r="G861" s="24"/>
      <c r="H861" s="24"/>
      <c r="I861" s="16"/>
      <c r="J861" s="16"/>
      <c r="K861" s="16"/>
      <c r="L861" s="16"/>
      <c r="M861" s="16"/>
      <c r="N861" s="16"/>
      <c r="O861" s="16"/>
      <c r="P861" s="16"/>
      <c r="Q861" s="16"/>
      <c r="R861" s="16"/>
      <c r="S861" s="16"/>
      <c r="T861" s="16"/>
      <c r="U861" s="16"/>
      <c r="V861" s="16"/>
      <c r="W861" s="16"/>
      <c r="X861" s="16"/>
      <c r="Y861" s="16"/>
      <c r="Z861" s="16"/>
      <c r="AA861" s="16"/>
      <c r="AB861" s="16"/>
      <c r="AC861" s="16"/>
      <c r="AD861" s="16"/>
    </row>
    <row r="862" spans="1:30" ht="12.9">
      <c r="A862" s="16"/>
      <c r="B862" s="24"/>
      <c r="C862" s="196"/>
      <c r="D862" s="196"/>
      <c r="E862" s="196"/>
      <c r="F862" s="16"/>
      <c r="G862" s="24"/>
      <c r="H862" s="24"/>
      <c r="I862" s="16"/>
      <c r="J862" s="16"/>
      <c r="K862" s="16"/>
      <c r="L862" s="16"/>
      <c r="M862" s="16"/>
      <c r="N862" s="16"/>
      <c r="O862" s="16"/>
      <c r="P862" s="16"/>
      <c r="Q862" s="16"/>
      <c r="R862" s="16"/>
      <c r="S862" s="16"/>
      <c r="T862" s="16"/>
      <c r="U862" s="16"/>
      <c r="V862" s="16"/>
      <c r="W862" s="16"/>
      <c r="X862" s="16"/>
      <c r="Y862" s="16"/>
      <c r="Z862" s="16"/>
      <c r="AA862" s="16"/>
      <c r="AB862" s="16"/>
      <c r="AC862" s="16"/>
      <c r="AD862" s="16"/>
    </row>
    <row r="863" spans="1:30" ht="12.9">
      <c r="A863" s="16"/>
      <c r="B863" s="24"/>
      <c r="C863" s="196"/>
      <c r="D863" s="196"/>
      <c r="E863" s="196"/>
      <c r="F863" s="16"/>
      <c r="G863" s="24"/>
      <c r="H863" s="24"/>
      <c r="I863" s="16"/>
      <c r="J863" s="16"/>
      <c r="K863" s="16"/>
      <c r="L863" s="16"/>
      <c r="M863" s="16"/>
      <c r="N863" s="16"/>
      <c r="O863" s="16"/>
      <c r="P863" s="16"/>
      <c r="Q863" s="16"/>
      <c r="R863" s="16"/>
      <c r="S863" s="16"/>
      <c r="T863" s="16"/>
      <c r="U863" s="16"/>
      <c r="V863" s="16"/>
      <c r="W863" s="16"/>
      <c r="X863" s="16"/>
      <c r="Y863" s="16"/>
      <c r="Z863" s="16"/>
      <c r="AA863" s="16"/>
      <c r="AB863" s="16"/>
      <c r="AC863" s="16"/>
      <c r="AD863" s="16"/>
    </row>
    <row r="864" spans="1:30" ht="12.9">
      <c r="A864" s="16"/>
      <c r="B864" s="24"/>
      <c r="C864" s="196"/>
      <c r="D864" s="196"/>
      <c r="E864" s="196"/>
      <c r="F864" s="16"/>
      <c r="G864" s="24"/>
      <c r="H864" s="24"/>
      <c r="I864" s="16"/>
      <c r="J864" s="16"/>
      <c r="K864" s="16"/>
      <c r="L864" s="16"/>
      <c r="M864" s="16"/>
      <c r="N864" s="16"/>
      <c r="O864" s="16"/>
      <c r="P864" s="16"/>
      <c r="Q864" s="16"/>
      <c r="R864" s="16"/>
      <c r="S864" s="16"/>
      <c r="T864" s="16"/>
      <c r="U864" s="16"/>
      <c r="V864" s="16"/>
      <c r="W864" s="16"/>
      <c r="X864" s="16"/>
      <c r="Y864" s="16"/>
      <c r="Z864" s="16"/>
      <c r="AA864" s="16"/>
      <c r="AB864" s="16"/>
      <c r="AC864" s="16"/>
      <c r="AD864" s="16"/>
    </row>
    <row r="865" spans="1:30" ht="12.9">
      <c r="A865" s="16"/>
      <c r="B865" s="24"/>
      <c r="C865" s="196"/>
      <c r="D865" s="196"/>
      <c r="E865" s="196"/>
      <c r="F865" s="16"/>
      <c r="G865" s="24"/>
      <c r="H865" s="24"/>
      <c r="I865" s="16"/>
      <c r="J865" s="16"/>
      <c r="K865" s="16"/>
      <c r="L865" s="16"/>
      <c r="M865" s="16"/>
      <c r="N865" s="16"/>
      <c r="O865" s="16"/>
      <c r="P865" s="16"/>
      <c r="Q865" s="16"/>
      <c r="R865" s="16"/>
      <c r="S865" s="16"/>
      <c r="T865" s="16"/>
      <c r="U865" s="16"/>
      <c r="V865" s="16"/>
      <c r="W865" s="16"/>
      <c r="X865" s="16"/>
      <c r="Y865" s="16"/>
      <c r="Z865" s="16"/>
      <c r="AA865" s="16"/>
      <c r="AB865" s="16"/>
      <c r="AC865" s="16"/>
      <c r="AD865" s="16"/>
    </row>
    <row r="866" spans="1:30" ht="12.9">
      <c r="A866" s="16"/>
      <c r="B866" s="24"/>
      <c r="C866" s="196"/>
      <c r="D866" s="196"/>
      <c r="E866" s="196"/>
      <c r="F866" s="16"/>
      <c r="G866" s="24"/>
      <c r="H866" s="24"/>
      <c r="I866" s="16"/>
      <c r="J866" s="16"/>
      <c r="K866" s="16"/>
      <c r="L866" s="16"/>
      <c r="M866" s="16"/>
      <c r="N866" s="16"/>
      <c r="O866" s="16"/>
      <c r="P866" s="16"/>
      <c r="Q866" s="16"/>
      <c r="R866" s="16"/>
      <c r="S866" s="16"/>
      <c r="T866" s="16"/>
      <c r="U866" s="16"/>
      <c r="V866" s="16"/>
      <c r="W866" s="16"/>
      <c r="X866" s="16"/>
      <c r="Y866" s="16"/>
      <c r="Z866" s="16"/>
      <c r="AA866" s="16"/>
      <c r="AB866" s="16"/>
      <c r="AC866" s="16"/>
      <c r="AD866" s="16"/>
    </row>
    <row r="867" spans="1:30" ht="12.9">
      <c r="A867" s="16"/>
      <c r="B867" s="24"/>
      <c r="C867" s="196"/>
      <c r="D867" s="196"/>
      <c r="E867" s="196"/>
      <c r="F867" s="16"/>
      <c r="G867" s="24"/>
      <c r="H867" s="24"/>
      <c r="I867" s="16"/>
      <c r="J867" s="16"/>
      <c r="K867" s="16"/>
      <c r="L867" s="16"/>
      <c r="M867" s="16"/>
      <c r="N867" s="16"/>
      <c r="O867" s="16"/>
      <c r="P867" s="16"/>
      <c r="Q867" s="16"/>
      <c r="R867" s="16"/>
      <c r="S867" s="16"/>
      <c r="T867" s="16"/>
      <c r="U867" s="16"/>
      <c r="V867" s="16"/>
      <c r="W867" s="16"/>
      <c r="X867" s="16"/>
      <c r="Y867" s="16"/>
      <c r="Z867" s="16"/>
      <c r="AA867" s="16"/>
      <c r="AB867" s="16"/>
      <c r="AC867" s="16"/>
      <c r="AD867" s="16"/>
    </row>
    <row r="868" spans="1:30" ht="12.9">
      <c r="A868" s="16"/>
      <c r="B868" s="24"/>
      <c r="C868" s="196"/>
      <c r="D868" s="196"/>
      <c r="E868" s="196"/>
      <c r="F868" s="16"/>
      <c r="G868" s="24"/>
      <c r="H868" s="24"/>
      <c r="I868" s="16"/>
      <c r="J868" s="16"/>
      <c r="K868" s="16"/>
      <c r="L868" s="16"/>
      <c r="M868" s="16"/>
      <c r="N868" s="16"/>
      <c r="O868" s="16"/>
      <c r="P868" s="16"/>
      <c r="Q868" s="16"/>
      <c r="R868" s="16"/>
      <c r="S868" s="16"/>
      <c r="T868" s="16"/>
      <c r="U868" s="16"/>
      <c r="V868" s="16"/>
      <c r="W868" s="16"/>
      <c r="X868" s="16"/>
      <c r="Y868" s="16"/>
      <c r="Z868" s="16"/>
      <c r="AA868" s="16"/>
      <c r="AB868" s="16"/>
      <c r="AC868" s="16"/>
      <c r="AD868" s="16"/>
    </row>
    <row r="869" spans="1:30" ht="12.9">
      <c r="A869" s="16"/>
      <c r="B869" s="24"/>
      <c r="C869" s="196"/>
      <c r="D869" s="196"/>
      <c r="E869" s="196"/>
      <c r="F869" s="16"/>
      <c r="G869" s="24"/>
      <c r="H869" s="24"/>
      <c r="I869" s="16"/>
      <c r="J869" s="16"/>
      <c r="K869" s="16"/>
      <c r="L869" s="16"/>
      <c r="M869" s="16"/>
      <c r="N869" s="16"/>
      <c r="O869" s="16"/>
      <c r="P869" s="16"/>
      <c r="Q869" s="16"/>
      <c r="R869" s="16"/>
      <c r="S869" s="16"/>
      <c r="T869" s="16"/>
      <c r="U869" s="16"/>
      <c r="V869" s="16"/>
      <c r="W869" s="16"/>
      <c r="X869" s="16"/>
      <c r="Y869" s="16"/>
      <c r="Z869" s="16"/>
      <c r="AA869" s="16"/>
      <c r="AB869" s="16"/>
      <c r="AC869" s="16"/>
      <c r="AD869" s="16"/>
    </row>
    <row r="870" spans="1:30" ht="12.9">
      <c r="A870" s="16"/>
      <c r="B870" s="24"/>
      <c r="C870" s="196"/>
      <c r="D870" s="196"/>
      <c r="E870" s="196"/>
      <c r="F870" s="16"/>
      <c r="G870" s="24"/>
      <c r="H870" s="24"/>
      <c r="I870" s="16"/>
      <c r="J870" s="16"/>
      <c r="K870" s="16"/>
      <c r="L870" s="16"/>
      <c r="M870" s="16"/>
      <c r="N870" s="16"/>
      <c r="O870" s="16"/>
      <c r="P870" s="16"/>
      <c r="Q870" s="16"/>
      <c r="R870" s="16"/>
      <c r="S870" s="16"/>
      <c r="T870" s="16"/>
      <c r="U870" s="16"/>
      <c r="V870" s="16"/>
      <c r="W870" s="16"/>
      <c r="X870" s="16"/>
      <c r="Y870" s="16"/>
      <c r="Z870" s="16"/>
      <c r="AA870" s="16"/>
      <c r="AB870" s="16"/>
      <c r="AC870" s="16"/>
      <c r="AD870" s="16"/>
    </row>
    <row r="871" spans="1:30" ht="12.9">
      <c r="A871" s="16"/>
      <c r="B871" s="24"/>
      <c r="C871" s="196"/>
      <c r="D871" s="196"/>
      <c r="E871" s="196"/>
      <c r="F871" s="16"/>
      <c r="G871" s="24"/>
      <c r="H871" s="24"/>
      <c r="I871" s="16"/>
      <c r="J871" s="16"/>
      <c r="K871" s="16"/>
      <c r="L871" s="16"/>
      <c r="M871" s="16"/>
      <c r="N871" s="16"/>
      <c r="O871" s="16"/>
      <c r="P871" s="16"/>
      <c r="Q871" s="16"/>
      <c r="R871" s="16"/>
      <c r="S871" s="16"/>
      <c r="T871" s="16"/>
      <c r="U871" s="16"/>
      <c r="V871" s="16"/>
      <c r="W871" s="16"/>
      <c r="X871" s="16"/>
      <c r="Y871" s="16"/>
      <c r="Z871" s="16"/>
      <c r="AA871" s="16"/>
      <c r="AB871" s="16"/>
      <c r="AC871" s="16"/>
      <c r="AD871" s="16"/>
    </row>
    <row r="872" spans="1:30" ht="12.9">
      <c r="A872" s="16"/>
      <c r="B872" s="24"/>
      <c r="C872" s="196"/>
      <c r="D872" s="196"/>
      <c r="E872" s="196"/>
      <c r="F872" s="16"/>
      <c r="G872" s="24"/>
      <c r="H872" s="24"/>
      <c r="I872" s="16"/>
      <c r="J872" s="16"/>
      <c r="K872" s="16"/>
      <c r="L872" s="16"/>
      <c r="M872" s="16"/>
      <c r="N872" s="16"/>
      <c r="O872" s="16"/>
      <c r="P872" s="16"/>
      <c r="Q872" s="16"/>
      <c r="R872" s="16"/>
      <c r="S872" s="16"/>
      <c r="T872" s="16"/>
      <c r="U872" s="16"/>
      <c r="V872" s="16"/>
      <c r="W872" s="16"/>
      <c r="X872" s="16"/>
      <c r="Y872" s="16"/>
      <c r="Z872" s="16"/>
      <c r="AA872" s="16"/>
      <c r="AB872" s="16"/>
      <c r="AC872" s="16"/>
      <c r="AD872" s="16"/>
    </row>
    <row r="873" spans="1:30" ht="12.9">
      <c r="A873" s="16"/>
      <c r="B873" s="24"/>
      <c r="C873" s="196"/>
      <c r="D873" s="196"/>
      <c r="E873" s="196"/>
      <c r="F873" s="16"/>
      <c r="G873" s="24"/>
      <c r="H873" s="24"/>
      <c r="I873" s="16"/>
      <c r="J873" s="16"/>
      <c r="K873" s="16"/>
      <c r="L873" s="16"/>
      <c r="M873" s="16"/>
      <c r="N873" s="16"/>
      <c r="O873" s="16"/>
      <c r="P873" s="16"/>
      <c r="Q873" s="16"/>
      <c r="R873" s="16"/>
      <c r="S873" s="16"/>
      <c r="T873" s="16"/>
      <c r="U873" s="16"/>
      <c r="V873" s="16"/>
      <c r="W873" s="16"/>
      <c r="X873" s="16"/>
      <c r="Y873" s="16"/>
      <c r="Z873" s="16"/>
      <c r="AA873" s="16"/>
      <c r="AB873" s="16"/>
      <c r="AC873" s="16"/>
      <c r="AD873" s="16"/>
    </row>
    <row r="874" spans="1:30" ht="12.9">
      <c r="A874" s="16"/>
      <c r="B874" s="24"/>
      <c r="C874" s="196"/>
      <c r="D874" s="196"/>
      <c r="E874" s="196"/>
      <c r="F874" s="16"/>
      <c r="G874" s="24"/>
      <c r="H874" s="24"/>
      <c r="I874" s="16"/>
      <c r="J874" s="16"/>
      <c r="K874" s="16"/>
      <c r="L874" s="16"/>
      <c r="M874" s="16"/>
      <c r="N874" s="16"/>
      <c r="O874" s="16"/>
      <c r="P874" s="16"/>
      <c r="Q874" s="16"/>
      <c r="R874" s="16"/>
      <c r="S874" s="16"/>
      <c r="T874" s="16"/>
      <c r="U874" s="16"/>
      <c r="V874" s="16"/>
      <c r="W874" s="16"/>
      <c r="X874" s="16"/>
      <c r="Y874" s="16"/>
      <c r="Z874" s="16"/>
      <c r="AA874" s="16"/>
      <c r="AB874" s="16"/>
      <c r="AC874" s="16"/>
      <c r="AD874" s="16"/>
    </row>
    <row r="875" spans="1:30" ht="12.9">
      <c r="A875" s="16"/>
      <c r="B875" s="24"/>
      <c r="C875" s="196"/>
      <c r="D875" s="196"/>
      <c r="E875" s="196"/>
      <c r="F875" s="16"/>
      <c r="G875" s="24"/>
      <c r="H875" s="24"/>
      <c r="I875" s="16"/>
      <c r="J875" s="16"/>
      <c r="K875" s="16"/>
      <c r="L875" s="16"/>
      <c r="M875" s="16"/>
      <c r="N875" s="16"/>
      <c r="O875" s="16"/>
      <c r="P875" s="16"/>
      <c r="Q875" s="16"/>
      <c r="R875" s="16"/>
      <c r="S875" s="16"/>
      <c r="T875" s="16"/>
      <c r="U875" s="16"/>
      <c r="V875" s="16"/>
      <c r="W875" s="16"/>
      <c r="X875" s="16"/>
      <c r="Y875" s="16"/>
      <c r="Z875" s="16"/>
      <c r="AA875" s="16"/>
      <c r="AB875" s="16"/>
      <c r="AC875" s="16"/>
      <c r="AD875" s="16"/>
    </row>
    <row r="876" spans="1:30" ht="12.9">
      <c r="A876" s="16"/>
      <c r="B876" s="24"/>
      <c r="C876" s="196"/>
      <c r="D876" s="196"/>
      <c r="E876" s="196"/>
      <c r="F876" s="16"/>
      <c r="G876" s="24"/>
      <c r="H876" s="24"/>
      <c r="I876" s="16"/>
      <c r="J876" s="16"/>
      <c r="K876" s="16"/>
      <c r="L876" s="16"/>
      <c r="M876" s="16"/>
      <c r="N876" s="16"/>
      <c r="O876" s="16"/>
      <c r="P876" s="16"/>
      <c r="Q876" s="16"/>
      <c r="R876" s="16"/>
      <c r="S876" s="16"/>
      <c r="T876" s="16"/>
      <c r="U876" s="16"/>
      <c r="V876" s="16"/>
      <c r="W876" s="16"/>
      <c r="X876" s="16"/>
      <c r="Y876" s="16"/>
      <c r="Z876" s="16"/>
      <c r="AA876" s="16"/>
      <c r="AB876" s="16"/>
      <c r="AC876" s="16"/>
      <c r="AD876" s="16"/>
    </row>
    <row r="877" spans="1:30" ht="12.9">
      <c r="A877" s="16"/>
      <c r="B877" s="24"/>
      <c r="C877" s="196"/>
      <c r="D877" s="196"/>
      <c r="E877" s="196"/>
      <c r="F877" s="16"/>
      <c r="G877" s="24"/>
      <c r="H877" s="24"/>
      <c r="I877" s="16"/>
      <c r="J877" s="16"/>
      <c r="K877" s="16"/>
      <c r="L877" s="16"/>
      <c r="M877" s="16"/>
      <c r="N877" s="16"/>
      <c r="O877" s="16"/>
      <c r="P877" s="16"/>
      <c r="Q877" s="16"/>
      <c r="R877" s="16"/>
      <c r="S877" s="16"/>
      <c r="T877" s="16"/>
      <c r="U877" s="16"/>
      <c r="V877" s="16"/>
      <c r="W877" s="16"/>
      <c r="X877" s="16"/>
      <c r="Y877" s="16"/>
      <c r="Z877" s="16"/>
      <c r="AA877" s="16"/>
      <c r="AB877" s="16"/>
      <c r="AC877" s="16"/>
      <c r="AD877" s="16"/>
    </row>
    <row r="878" spans="1:30" ht="12.9">
      <c r="A878" s="16"/>
      <c r="B878" s="24"/>
      <c r="C878" s="196"/>
      <c r="D878" s="196"/>
      <c r="E878" s="196"/>
      <c r="F878" s="16"/>
      <c r="G878" s="24"/>
      <c r="H878" s="24"/>
      <c r="I878" s="16"/>
      <c r="J878" s="16"/>
      <c r="K878" s="16"/>
      <c r="L878" s="16"/>
      <c r="M878" s="16"/>
      <c r="N878" s="16"/>
      <c r="O878" s="16"/>
      <c r="P878" s="16"/>
      <c r="Q878" s="16"/>
      <c r="R878" s="16"/>
      <c r="S878" s="16"/>
      <c r="T878" s="16"/>
      <c r="U878" s="16"/>
      <c r="V878" s="16"/>
      <c r="W878" s="16"/>
      <c r="X878" s="16"/>
      <c r="Y878" s="16"/>
      <c r="Z878" s="16"/>
      <c r="AA878" s="16"/>
      <c r="AB878" s="16"/>
      <c r="AC878" s="16"/>
      <c r="AD878" s="16"/>
    </row>
    <row r="879" spans="1:30" ht="12.9">
      <c r="A879" s="16"/>
      <c r="B879" s="24"/>
      <c r="C879" s="196"/>
      <c r="D879" s="196"/>
      <c r="E879" s="196"/>
      <c r="F879" s="16"/>
      <c r="G879" s="24"/>
      <c r="H879" s="24"/>
      <c r="I879" s="16"/>
      <c r="J879" s="16"/>
      <c r="K879" s="16"/>
      <c r="L879" s="16"/>
      <c r="M879" s="16"/>
      <c r="N879" s="16"/>
      <c r="O879" s="16"/>
      <c r="P879" s="16"/>
      <c r="Q879" s="16"/>
      <c r="R879" s="16"/>
      <c r="S879" s="16"/>
      <c r="T879" s="16"/>
      <c r="U879" s="16"/>
      <c r="V879" s="16"/>
      <c r="W879" s="16"/>
      <c r="X879" s="16"/>
      <c r="Y879" s="16"/>
      <c r="Z879" s="16"/>
      <c r="AA879" s="16"/>
      <c r="AB879" s="16"/>
      <c r="AC879" s="16"/>
      <c r="AD879" s="16"/>
    </row>
    <row r="880" spans="1:30" ht="12.9">
      <c r="A880" s="16"/>
      <c r="B880" s="24"/>
      <c r="C880" s="196"/>
      <c r="D880" s="196"/>
      <c r="E880" s="196"/>
      <c r="F880" s="16"/>
      <c r="G880" s="24"/>
      <c r="H880" s="24"/>
      <c r="I880" s="16"/>
      <c r="J880" s="16"/>
      <c r="K880" s="16"/>
      <c r="L880" s="16"/>
      <c r="M880" s="16"/>
      <c r="N880" s="16"/>
      <c r="O880" s="16"/>
      <c r="P880" s="16"/>
      <c r="Q880" s="16"/>
      <c r="R880" s="16"/>
      <c r="S880" s="16"/>
      <c r="T880" s="16"/>
      <c r="U880" s="16"/>
      <c r="V880" s="16"/>
      <c r="W880" s="16"/>
      <c r="X880" s="16"/>
      <c r="Y880" s="16"/>
      <c r="Z880" s="16"/>
      <c r="AA880" s="16"/>
      <c r="AB880" s="16"/>
      <c r="AC880" s="16"/>
      <c r="AD880" s="16"/>
    </row>
    <row r="881" spans="1:30" ht="12.9">
      <c r="A881" s="16"/>
      <c r="B881" s="24"/>
      <c r="C881" s="196"/>
      <c r="D881" s="196"/>
      <c r="E881" s="196"/>
      <c r="F881" s="16"/>
      <c r="G881" s="24"/>
      <c r="H881" s="24"/>
      <c r="I881" s="16"/>
      <c r="J881" s="16"/>
      <c r="K881" s="16"/>
      <c r="L881" s="16"/>
      <c r="M881" s="16"/>
      <c r="N881" s="16"/>
      <c r="O881" s="16"/>
      <c r="P881" s="16"/>
      <c r="Q881" s="16"/>
      <c r="R881" s="16"/>
      <c r="S881" s="16"/>
      <c r="T881" s="16"/>
      <c r="U881" s="16"/>
      <c r="V881" s="16"/>
      <c r="W881" s="16"/>
      <c r="X881" s="16"/>
      <c r="Y881" s="16"/>
      <c r="Z881" s="16"/>
      <c r="AA881" s="16"/>
      <c r="AB881" s="16"/>
      <c r="AC881" s="16"/>
      <c r="AD881" s="16"/>
    </row>
    <row r="882" spans="1:30" ht="12.9">
      <c r="A882" s="16"/>
      <c r="B882" s="24"/>
      <c r="C882" s="196"/>
      <c r="D882" s="196"/>
      <c r="E882" s="196"/>
      <c r="F882" s="16"/>
      <c r="G882" s="24"/>
      <c r="H882" s="24"/>
      <c r="I882" s="16"/>
      <c r="J882" s="16"/>
      <c r="K882" s="16"/>
      <c r="L882" s="16"/>
      <c r="M882" s="16"/>
      <c r="N882" s="16"/>
      <c r="O882" s="16"/>
      <c r="P882" s="16"/>
      <c r="Q882" s="16"/>
      <c r="R882" s="16"/>
      <c r="S882" s="16"/>
      <c r="T882" s="16"/>
      <c r="U882" s="16"/>
      <c r="V882" s="16"/>
      <c r="W882" s="16"/>
      <c r="X882" s="16"/>
      <c r="Y882" s="16"/>
      <c r="Z882" s="16"/>
      <c r="AA882" s="16"/>
      <c r="AB882" s="16"/>
      <c r="AC882" s="16"/>
      <c r="AD882" s="16"/>
    </row>
    <row r="883" spans="1:30" ht="12.9">
      <c r="A883" s="16"/>
      <c r="B883" s="24"/>
      <c r="C883" s="196"/>
      <c r="D883" s="196"/>
      <c r="E883" s="196"/>
      <c r="F883" s="16"/>
      <c r="G883" s="24"/>
      <c r="H883" s="24"/>
      <c r="I883" s="16"/>
      <c r="J883" s="16"/>
      <c r="K883" s="16"/>
      <c r="L883" s="16"/>
      <c r="M883" s="16"/>
      <c r="N883" s="16"/>
      <c r="O883" s="16"/>
      <c r="P883" s="16"/>
      <c r="Q883" s="16"/>
      <c r="R883" s="16"/>
      <c r="S883" s="16"/>
      <c r="T883" s="16"/>
      <c r="U883" s="16"/>
      <c r="V883" s="16"/>
      <c r="W883" s="16"/>
      <c r="X883" s="16"/>
      <c r="Y883" s="16"/>
      <c r="Z883" s="16"/>
      <c r="AA883" s="16"/>
      <c r="AB883" s="16"/>
      <c r="AC883" s="16"/>
      <c r="AD883" s="16"/>
    </row>
    <row r="884" spans="1:30" ht="12.9">
      <c r="A884" s="16"/>
      <c r="B884" s="24"/>
      <c r="C884" s="196"/>
      <c r="D884" s="196"/>
      <c r="E884" s="196"/>
      <c r="F884" s="16"/>
      <c r="G884" s="24"/>
      <c r="H884" s="24"/>
      <c r="I884" s="16"/>
      <c r="J884" s="16"/>
      <c r="K884" s="16"/>
      <c r="L884" s="16"/>
      <c r="M884" s="16"/>
      <c r="N884" s="16"/>
      <c r="O884" s="16"/>
      <c r="P884" s="16"/>
      <c r="Q884" s="16"/>
      <c r="R884" s="16"/>
      <c r="S884" s="16"/>
      <c r="T884" s="16"/>
      <c r="U884" s="16"/>
      <c r="V884" s="16"/>
      <c r="W884" s="16"/>
      <c r="X884" s="16"/>
      <c r="Y884" s="16"/>
      <c r="Z884" s="16"/>
      <c r="AA884" s="16"/>
      <c r="AB884" s="16"/>
      <c r="AC884" s="16"/>
      <c r="AD884" s="16"/>
    </row>
    <row r="885" spans="1:30" ht="12.9">
      <c r="A885" s="16"/>
      <c r="B885" s="24"/>
      <c r="C885" s="196"/>
      <c r="D885" s="196"/>
      <c r="E885" s="196"/>
      <c r="F885" s="16"/>
      <c r="G885" s="24"/>
      <c r="H885" s="24"/>
      <c r="I885" s="16"/>
      <c r="J885" s="16"/>
      <c r="K885" s="16"/>
      <c r="L885" s="16"/>
      <c r="M885" s="16"/>
      <c r="N885" s="16"/>
      <c r="O885" s="16"/>
      <c r="P885" s="16"/>
      <c r="Q885" s="16"/>
      <c r="R885" s="16"/>
      <c r="S885" s="16"/>
      <c r="T885" s="16"/>
      <c r="U885" s="16"/>
      <c r="V885" s="16"/>
      <c r="W885" s="16"/>
      <c r="X885" s="16"/>
      <c r="Y885" s="16"/>
      <c r="Z885" s="16"/>
      <c r="AA885" s="16"/>
      <c r="AB885" s="16"/>
      <c r="AC885" s="16"/>
      <c r="AD885" s="16"/>
    </row>
    <row r="886" spans="1:30" ht="12.9">
      <c r="A886" s="16"/>
      <c r="B886" s="24"/>
      <c r="C886" s="196"/>
      <c r="D886" s="196"/>
      <c r="E886" s="196"/>
      <c r="F886" s="16"/>
      <c r="G886" s="24"/>
      <c r="H886" s="24"/>
      <c r="I886" s="16"/>
      <c r="J886" s="16"/>
      <c r="K886" s="16"/>
      <c r="L886" s="16"/>
      <c r="M886" s="16"/>
      <c r="N886" s="16"/>
      <c r="O886" s="16"/>
      <c r="P886" s="16"/>
      <c r="Q886" s="16"/>
      <c r="R886" s="16"/>
      <c r="S886" s="16"/>
      <c r="T886" s="16"/>
      <c r="U886" s="16"/>
      <c r="V886" s="16"/>
      <c r="W886" s="16"/>
      <c r="X886" s="16"/>
      <c r="Y886" s="16"/>
      <c r="Z886" s="16"/>
      <c r="AA886" s="16"/>
      <c r="AB886" s="16"/>
      <c r="AC886" s="16"/>
      <c r="AD886" s="16"/>
    </row>
    <row r="887" spans="1:30" ht="12.9">
      <c r="A887" s="16"/>
      <c r="B887" s="24"/>
      <c r="C887" s="196"/>
      <c r="D887" s="196"/>
      <c r="E887" s="196"/>
      <c r="F887" s="16"/>
      <c r="G887" s="24"/>
      <c r="H887" s="24"/>
      <c r="I887" s="16"/>
      <c r="J887" s="16"/>
      <c r="K887" s="16"/>
      <c r="L887" s="16"/>
      <c r="M887" s="16"/>
      <c r="N887" s="16"/>
      <c r="O887" s="16"/>
      <c r="P887" s="16"/>
      <c r="Q887" s="16"/>
      <c r="R887" s="16"/>
      <c r="S887" s="16"/>
      <c r="T887" s="16"/>
      <c r="U887" s="16"/>
      <c r="V887" s="16"/>
      <c r="W887" s="16"/>
      <c r="X887" s="16"/>
      <c r="Y887" s="16"/>
      <c r="Z887" s="16"/>
      <c r="AA887" s="16"/>
      <c r="AB887" s="16"/>
      <c r="AC887" s="16"/>
      <c r="AD887" s="16"/>
    </row>
    <row r="888" spans="1:30" ht="12.9">
      <c r="A888" s="16"/>
      <c r="B888" s="24"/>
      <c r="C888" s="196"/>
      <c r="D888" s="196"/>
      <c r="E888" s="196"/>
      <c r="F888" s="16"/>
      <c r="G888" s="24"/>
      <c r="H888" s="24"/>
      <c r="I888" s="16"/>
      <c r="J888" s="16"/>
      <c r="K888" s="16"/>
      <c r="L888" s="16"/>
      <c r="M888" s="16"/>
      <c r="N888" s="16"/>
      <c r="O888" s="16"/>
      <c r="P888" s="16"/>
      <c r="Q888" s="16"/>
      <c r="R888" s="16"/>
      <c r="S888" s="16"/>
      <c r="T888" s="16"/>
      <c r="U888" s="16"/>
      <c r="V888" s="16"/>
      <c r="W888" s="16"/>
      <c r="X888" s="16"/>
      <c r="Y888" s="16"/>
      <c r="Z888" s="16"/>
      <c r="AA888" s="16"/>
      <c r="AB888" s="16"/>
      <c r="AC888" s="16"/>
      <c r="AD888" s="16"/>
    </row>
    <row r="889" spans="1:30" ht="12.9">
      <c r="A889" s="16"/>
      <c r="B889" s="24"/>
      <c r="C889" s="196"/>
      <c r="D889" s="196"/>
      <c r="E889" s="196"/>
      <c r="F889" s="16"/>
      <c r="G889" s="24"/>
      <c r="H889" s="24"/>
      <c r="I889" s="16"/>
      <c r="J889" s="16"/>
      <c r="K889" s="16"/>
      <c r="L889" s="16"/>
      <c r="M889" s="16"/>
      <c r="N889" s="16"/>
      <c r="O889" s="16"/>
      <c r="P889" s="16"/>
      <c r="Q889" s="16"/>
      <c r="R889" s="16"/>
      <c r="S889" s="16"/>
      <c r="T889" s="16"/>
      <c r="U889" s="16"/>
      <c r="V889" s="16"/>
      <c r="W889" s="16"/>
      <c r="X889" s="16"/>
      <c r="Y889" s="16"/>
      <c r="Z889" s="16"/>
      <c r="AA889" s="16"/>
      <c r="AB889" s="16"/>
      <c r="AC889" s="16"/>
      <c r="AD889" s="16"/>
    </row>
    <row r="890" spans="1:30" ht="12.9">
      <c r="A890" s="16"/>
      <c r="B890" s="24"/>
      <c r="C890" s="196"/>
      <c r="D890" s="196"/>
      <c r="E890" s="196"/>
      <c r="F890" s="16"/>
      <c r="G890" s="24"/>
      <c r="H890" s="24"/>
      <c r="I890" s="16"/>
      <c r="J890" s="16"/>
      <c r="K890" s="16"/>
      <c r="L890" s="16"/>
      <c r="M890" s="16"/>
      <c r="N890" s="16"/>
      <c r="O890" s="16"/>
      <c r="P890" s="16"/>
      <c r="Q890" s="16"/>
      <c r="R890" s="16"/>
      <c r="S890" s="16"/>
      <c r="T890" s="16"/>
      <c r="U890" s="16"/>
      <c r="V890" s="16"/>
      <c r="W890" s="16"/>
      <c r="X890" s="16"/>
      <c r="Y890" s="16"/>
      <c r="Z890" s="16"/>
      <c r="AA890" s="16"/>
      <c r="AB890" s="16"/>
      <c r="AC890" s="16"/>
      <c r="AD890" s="16"/>
    </row>
    <row r="891" spans="1:30" ht="12.9">
      <c r="A891" s="16"/>
      <c r="B891" s="24"/>
      <c r="C891" s="196"/>
      <c r="D891" s="196"/>
      <c r="E891" s="196"/>
      <c r="F891" s="16"/>
      <c r="G891" s="24"/>
      <c r="H891" s="24"/>
      <c r="I891" s="16"/>
      <c r="J891" s="16"/>
      <c r="K891" s="16"/>
      <c r="L891" s="16"/>
      <c r="M891" s="16"/>
      <c r="N891" s="16"/>
      <c r="O891" s="16"/>
      <c r="P891" s="16"/>
      <c r="Q891" s="16"/>
      <c r="R891" s="16"/>
      <c r="S891" s="16"/>
      <c r="T891" s="16"/>
      <c r="U891" s="16"/>
      <c r="V891" s="16"/>
      <c r="W891" s="16"/>
      <c r="X891" s="16"/>
      <c r="Y891" s="16"/>
      <c r="Z891" s="16"/>
      <c r="AA891" s="16"/>
      <c r="AB891" s="16"/>
      <c r="AC891" s="16"/>
      <c r="AD891" s="16"/>
    </row>
    <row r="892" spans="1:30" ht="12.9">
      <c r="A892" s="16"/>
      <c r="B892" s="24"/>
      <c r="C892" s="196"/>
      <c r="D892" s="196"/>
      <c r="E892" s="196"/>
      <c r="F892" s="16"/>
      <c r="G892" s="24"/>
      <c r="H892" s="24"/>
      <c r="I892" s="16"/>
      <c r="J892" s="16"/>
      <c r="K892" s="16"/>
      <c r="L892" s="16"/>
      <c r="M892" s="16"/>
      <c r="N892" s="16"/>
      <c r="O892" s="16"/>
      <c r="P892" s="16"/>
      <c r="Q892" s="16"/>
      <c r="R892" s="16"/>
      <c r="S892" s="16"/>
      <c r="T892" s="16"/>
      <c r="U892" s="16"/>
      <c r="V892" s="16"/>
      <c r="W892" s="16"/>
      <c r="X892" s="16"/>
      <c r="Y892" s="16"/>
      <c r="Z892" s="16"/>
      <c r="AA892" s="16"/>
      <c r="AB892" s="16"/>
      <c r="AC892" s="16"/>
      <c r="AD892" s="16"/>
    </row>
    <row r="893" spans="1:30" ht="12.9">
      <c r="A893" s="16"/>
      <c r="B893" s="24"/>
      <c r="C893" s="196"/>
      <c r="D893" s="196"/>
      <c r="E893" s="196"/>
      <c r="F893" s="16"/>
      <c r="G893" s="24"/>
      <c r="H893" s="24"/>
      <c r="I893" s="16"/>
      <c r="J893" s="16"/>
      <c r="K893" s="16"/>
      <c r="L893" s="16"/>
      <c r="M893" s="16"/>
      <c r="N893" s="16"/>
      <c r="O893" s="16"/>
      <c r="P893" s="16"/>
      <c r="Q893" s="16"/>
      <c r="R893" s="16"/>
      <c r="S893" s="16"/>
      <c r="T893" s="16"/>
      <c r="U893" s="16"/>
      <c r="V893" s="16"/>
      <c r="W893" s="16"/>
      <c r="X893" s="16"/>
      <c r="Y893" s="16"/>
      <c r="Z893" s="16"/>
      <c r="AA893" s="16"/>
      <c r="AB893" s="16"/>
      <c r="AC893" s="16"/>
      <c r="AD893" s="16"/>
    </row>
    <row r="894" spans="1:30" ht="12.9">
      <c r="A894" s="16"/>
      <c r="B894" s="24"/>
      <c r="C894" s="196"/>
      <c r="D894" s="196"/>
      <c r="E894" s="196"/>
      <c r="F894" s="16"/>
      <c r="G894" s="24"/>
      <c r="H894" s="24"/>
      <c r="I894" s="16"/>
      <c r="J894" s="16"/>
      <c r="K894" s="16"/>
      <c r="L894" s="16"/>
      <c r="M894" s="16"/>
      <c r="N894" s="16"/>
      <c r="O894" s="16"/>
      <c r="P894" s="16"/>
      <c r="Q894" s="16"/>
      <c r="R894" s="16"/>
      <c r="S894" s="16"/>
      <c r="T894" s="16"/>
      <c r="U894" s="16"/>
      <c r="V894" s="16"/>
      <c r="W894" s="16"/>
      <c r="X894" s="16"/>
      <c r="Y894" s="16"/>
      <c r="Z894" s="16"/>
      <c r="AA894" s="16"/>
      <c r="AB894" s="16"/>
      <c r="AC894" s="16"/>
      <c r="AD894" s="16"/>
    </row>
    <row r="895" spans="1:30" ht="12.9">
      <c r="A895" s="16"/>
      <c r="B895" s="24"/>
      <c r="C895" s="196"/>
      <c r="D895" s="196"/>
      <c r="E895" s="196"/>
      <c r="F895" s="16"/>
      <c r="G895" s="24"/>
      <c r="H895" s="24"/>
      <c r="I895" s="16"/>
      <c r="J895" s="16"/>
      <c r="K895" s="16"/>
      <c r="L895" s="16"/>
      <c r="M895" s="16"/>
      <c r="N895" s="16"/>
      <c r="O895" s="16"/>
      <c r="P895" s="16"/>
      <c r="Q895" s="16"/>
      <c r="R895" s="16"/>
      <c r="S895" s="16"/>
      <c r="T895" s="16"/>
      <c r="U895" s="16"/>
      <c r="V895" s="16"/>
      <c r="W895" s="16"/>
      <c r="X895" s="16"/>
      <c r="Y895" s="16"/>
      <c r="Z895" s="16"/>
      <c r="AA895" s="16"/>
      <c r="AB895" s="16"/>
      <c r="AC895" s="16"/>
      <c r="AD895" s="16"/>
    </row>
    <row r="896" spans="1:30" ht="12.9">
      <c r="A896" s="16"/>
      <c r="B896" s="24"/>
      <c r="C896" s="196"/>
      <c r="D896" s="196"/>
      <c r="E896" s="196"/>
      <c r="F896" s="16"/>
      <c r="G896" s="24"/>
      <c r="H896" s="24"/>
      <c r="I896" s="16"/>
      <c r="J896" s="16"/>
      <c r="K896" s="16"/>
      <c r="L896" s="16"/>
      <c r="M896" s="16"/>
      <c r="N896" s="16"/>
      <c r="O896" s="16"/>
      <c r="P896" s="16"/>
      <c r="Q896" s="16"/>
      <c r="R896" s="16"/>
      <c r="S896" s="16"/>
      <c r="T896" s="16"/>
      <c r="U896" s="16"/>
      <c r="V896" s="16"/>
      <c r="W896" s="16"/>
      <c r="X896" s="16"/>
      <c r="Y896" s="16"/>
      <c r="Z896" s="16"/>
      <c r="AA896" s="16"/>
      <c r="AB896" s="16"/>
      <c r="AC896" s="16"/>
      <c r="AD896" s="16"/>
    </row>
    <row r="897" spans="1:30" ht="12.9">
      <c r="A897" s="16"/>
      <c r="B897" s="24"/>
      <c r="C897" s="196"/>
      <c r="D897" s="196"/>
      <c r="E897" s="196"/>
      <c r="F897" s="16"/>
      <c r="G897" s="24"/>
      <c r="H897" s="24"/>
      <c r="I897" s="16"/>
      <c r="J897" s="16"/>
      <c r="K897" s="16"/>
      <c r="L897" s="16"/>
      <c r="M897" s="16"/>
      <c r="N897" s="16"/>
      <c r="O897" s="16"/>
      <c r="P897" s="16"/>
      <c r="Q897" s="16"/>
      <c r="R897" s="16"/>
      <c r="S897" s="16"/>
      <c r="T897" s="16"/>
      <c r="U897" s="16"/>
      <c r="V897" s="16"/>
      <c r="W897" s="16"/>
      <c r="X897" s="16"/>
      <c r="Y897" s="16"/>
      <c r="Z897" s="16"/>
      <c r="AA897" s="16"/>
      <c r="AB897" s="16"/>
      <c r="AC897" s="16"/>
      <c r="AD897" s="16"/>
    </row>
    <row r="898" spans="1:30" ht="12.9">
      <c r="A898" s="16"/>
      <c r="B898" s="24"/>
      <c r="C898" s="196"/>
      <c r="D898" s="196"/>
      <c r="E898" s="196"/>
      <c r="F898" s="16"/>
      <c r="G898" s="24"/>
      <c r="H898" s="24"/>
      <c r="I898" s="16"/>
      <c r="J898" s="16"/>
      <c r="K898" s="16"/>
      <c r="L898" s="16"/>
      <c r="M898" s="16"/>
      <c r="N898" s="16"/>
      <c r="O898" s="16"/>
      <c r="P898" s="16"/>
      <c r="Q898" s="16"/>
      <c r="R898" s="16"/>
      <c r="S898" s="16"/>
      <c r="T898" s="16"/>
      <c r="U898" s="16"/>
      <c r="V898" s="16"/>
      <c r="W898" s="16"/>
      <c r="X898" s="16"/>
      <c r="Y898" s="16"/>
      <c r="Z898" s="16"/>
      <c r="AA898" s="16"/>
      <c r="AB898" s="16"/>
      <c r="AC898" s="16"/>
      <c r="AD898" s="16"/>
    </row>
    <row r="899" spans="1:30" ht="12.9">
      <c r="A899" s="16"/>
      <c r="B899" s="24"/>
      <c r="C899" s="196"/>
      <c r="D899" s="196"/>
      <c r="E899" s="196"/>
      <c r="F899" s="16"/>
      <c r="G899" s="24"/>
      <c r="H899" s="24"/>
      <c r="I899" s="16"/>
      <c r="J899" s="16"/>
      <c r="K899" s="16"/>
      <c r="L899" s="16"/>
      <c r="M899" s="16"/>
      <c r="N899" s="16"/>
      <c r="O899" s="16"/>
      <c r="P899" s="16"/>
      <c r="Q899" s="16"/>
      <c r="R899" s="16"/>
      <c r="S899" s="16"/>
      <c r="T899" s="16"/>
      <c r="U899" s="16"/>
      <c r="V899" s="16"/>
      <c r="W899" s="16"/>
      <c r="X899" s="16"/>
      <c r="Y899" s="16"/>
      <c r="Z899" s="16"/>
      <c r="AA899" s="16"/>
      <c r="AB899" s="16"/>
      <c r="AC899" s="16"/>
      <c r="AD899" s="16"/>
    </row>
    <row r="900" spans="1:30" ht="12.9">
      <c r="A900" s="16"/>
      <c r="B900" s="24"/>
      <c r="C900" s="196"/>
      <c r="D900" s="196"/>
      <c r="E900" s="196"/>
      <c r="F900" s="16"/>
      <c r="G900" s="24"/>
      <c r="H900" s="24"/>
      <c r="I900" s="16"/>
      <c r="J900" s="16"/>
      <c r="K900" s="16"/>
      <c r="L900" s="16"/>
      <c r="M900" s="16"/>
      <c r="N900" s="16"/>
      <c r="O900" s="16"/>
      <c r="P900" s="16"/>
      <c r="Q900" s="16"/>
      <c r="R900" s="16"/>
      <c r="S900" s="16"/>
      <c r="T900" s="16"/>
      <c r="U900" s="16"/>
      <c r="V900" s="16"/>
      <c r="W900" s="16"/>
      <c r="X900" s="16"/>
      <c r="Y900" s="16"/>
      <c r="Z900" s="16"/>
      <c r="AA900" s="16"/>
      <c r="AB900" s="16"/>
      <c r="AC900" s="16"/>
      <c r="AD900" s="16"/>
    </row>
    <row r="901" spans="1:30" ht="12.9">
      <c r="A901" s="16"/>
      <c r="B901" s="24"/>
      <c r="C901" s="196"/>
      <c r="D901" s="196"/>
      <c r="E901" s="196"/>
      <c r="F901" s="16"/>
      <c r="G901" s="24"/>
      <c r="H901" s="24"/>
      <c r="I901" s="16"/>
      <c r="J901" s="16"/>
      <c r="K901" s="16"/>
      <c r="L901" s="16"/>
      <c r="M901" s="16"/>
      <c r="N901" s="16"/>
      <c r="O901" s="16"/>
      <c r="P901" s="16"/>
      <c r="Q901" s="16"/>
      <c r="R901" s="16"/>
      <c r="S901" s="16"/>
      <c r="T901" s="16"/>
      <c r="U901" s="16"/>
      <c r="V901" s="16"/>
      <c r="W901" s="16"/>
      <c r="X901" s="16"/>
      <c r="Y901" s="16"/>
      <c r="Z901" s="16"/>
      <c r="AA901" s="16"/>
      <c r="AB901" s="16"/>
      <c r="AC901" s="16"/>
      <c r="AD901" s="16"/>
    </row>
    <row r="902" spans="1:30" ht="12.9">
      <c r="A902" s="16"/>
      <c r="B902" s="24"/>
      <c r="C902" s="196"/>
      <c r="D902" s="196"/>
      <c r="E902" s="196"/>
      <c r="F902" s="16"/>
      <c r="G902" s="24"/>
      <c r="H902" s="24"/>
      <c r="I902" s="16"/>
      <c r="J902" s="16"/>
      <c r="K902" s="16"/>
      <c r="L902" s="16"/>
      <c r="M902" s="16"/>
      <c r="N902" s="16"/>
      <c r="O902" s="16"/>
      <c r="P902" s="16"/>
      <c r="Q902" s="16"/>
      <c r="R902" s="16"/>
      <c r="S902" s="16"/>
      <c r="T902" s="16"/>
      <c r="U902" s="16"/>
      <c r="V902" s="16"/>
      <c r="W902" s="16"/>
      <c r="X902" s="16"/>
      <c r="Y902" s="16"/>
      <c r="Z902" s="16"/>
      <c r="AA902" s="16"/>
      <c r="AB902" s="16"/>
      <c r="AC902" s="16"/>
      <c r="AD902" s="16"/>
    </row>
    <row r="903" spans="1:30" ht="12.9">
      <c r="A903" s="16"/>
      <c r="B903" s="24"/>
      <c r="C903" s="196"/>
      <c r="D903" s="196"/>
      <c r="E903" s="196"/>
      <c r="F903" s="16"/>
      <c r="G903" s="24"/>
      <c r="H903" s="24"/>
      <c r="I903" s="16"/>
      <c r="J903" s="16"/>
      <c r="K903" s="16"/>
      <c r="L903" s="16"/>
      <c r="M903" s="16"/>
      <c r="N903" s="16"/>
      <c r="O903" s="16"/>
      <c r="P903" s="16"/>
      <c r="Q903" s="16"/>
      <c r="R903" s="16"/>
      <c r="S903" s="16"/>
      <c r="T903" s="16"/>
      <c r="U903" s="16"/>
      <c r="V903" s="16"/>
      <c r="W903" s="16"/>
      <c r="X903" s="16"/>
      <c r="Y903" s="16"/>
      <c r="Z903" s="16"/>
      <c r="AA903" s="16"/>
      <c r="AB903" s="16"/>
      <c r="AC903" s="16"/>
      <c r="AD903" s="16"/>
    </row>
    <row r="904" spans="1:30" ht="12.9">
      <c r="A904" s="16"/>
      <c r="B904" s="24"/>
      <c r="C904" s="196"/>
      <c r="D904" s="196"/>
      <c r="E904" s="196"/>
      <c r="F904" s="16"/>
      <c r="G904" s="24"/>
      <c r="H904" s="24"/>
      <c r="I904" s="16"/>
      <c r="J904" s="16"/>
      <c r="K904" s="16"/>
      <c r="L904" s="16"/>
      <c r="M904" s="16"/>
      <c r="N904" s="16"/>
      <c r="O904" s="16"/>
      <c r="P904" s="16"/>
      <c r="Q904" s="16"/>
      <c r="R904" s="16"/>
      <c r="S904" s="16"/>
      <c r="T904" s="16"/>
      <c r="U904" s="16"/>
      <c r="V904" s="16"/>
      <c r="W904" s="16"/>
      <c r="X904" s="16"/>
      <c r="Y904" s="16"/>
      <c r="Z904" s="16"/>
      <c r="AA904" s="16"/>
      <c r="AB904" s="16"/>
      <c r="AC904" s="16"/>
      <c r="AD904" s="16"/>
    </row>
    <row r="905" spans="1:30" ht="12.9">
      <c r="A905" s="16"/>
      <c r="B905" s="24"/>
      <c r="C905" s="196"/>
      <c r="D905" s="196"/>
      <c r="E905" s="196"/>
      <c r="F905" s="16"/>
      <c r="G905" s="24"/>
      <c r="H905" s="24"/>
      <c r="I905" s="16"/>
      <c r="J905" s="16"/>
      <c r="K905" s="16"/>
      <c r="L905" s="16"/>
      <c r="M905" s="16"/>
      <c r="N905" s="16"/>
      <c r="O905" s="16"/>
      <c r="P905" s="16"/>
      <c r="Q905" s="16"/>
      <c r="R905" s="16"/>
      <c r="S905" s="16"/>
      <c r="T905" s="16"/>
      <c r="U905" s="16"/>
      <c r="V905" s="16"/>
      <c r="W905" s="16"/>
      <c r="X905" s="16"/>
      <c r="Y905" s="16"/>
      <c r="Z905" s="16"/>
      <c r="AA905" s="16"/>
      <c r="AB905" s="16"/>
      <c r="AC905" s="16"/>
      <c r="AD905" s="16"/>
    </row>
    <row r="906" spans="1:30" ht="12.9">
      <c r="A906" s="16"/>
      <c r="B906" s="24"/>
      <c r="C906" s="196"/>
      <c r="D906" s="196"/>
      <c r="E906" s="196"/>
      <c r="F906" s="16"/>
      <c r="G906" s="24"/>
      <c r="H906" s="24"/>
      <c r="I906" s="16"/>
      <c r="J906" s="16"/>
      <c r="K906" s="16"/>
      <c r="L906" s="16"/>
      <c r="M906" s="16"/>
      <c r="N906" s="16"/>
      <c r="O906" s="16"/>
      <c r="P906" s="16"/>
      <c r="Q906" s="16"/>
      <c r="R906" s="16"/>
      <c r="S906" s="16"/>
      <c r="T906" s="16"/>
      <c r="U906" s="16"/>
      <c r="V906" s="16"/>
      <c r="W906" s="16"/>
      <c r="X906" s="16"/>
      <c r="Y906" s="16"/>
      <c r="Z906" s="16"/>
      <c r="AA906" s="16"/>
      <c r="AB906" s="16"/>
      <c r="AC906" s="16"/>
      <c r="AD906" s="16"/>
    </row>
    <row r="907" spans="1:30" ht="12.9">
      <c r="A907" s="16"/>
      <c r="B907" s="24"/>
      <c r="C907" s="196"/>
      <c r="D907" s="196"/>
      <c r="E907" s="196"/>
      <c r="F907" s="16"/>
      <c r="G907" s="24"/>
      <c r="H907" s="24"/>
      <c r="I907" s="16"/>
      <c r="J907" s="16"/>
      <c r="K907" s="16"/>
      <c r="L907" s="16"/>
      <c r="M907" s="16"/>
      <c r="N907" s="16"/>
      <c r="O907" s="16"/>
      <c r="P907" s="16"/>
      <c r="Q907" s="16"/>
      <c r="R907" s="16"/>
      <c r="S907" s="16"/>
      <c r="T907" s="16"/>
      <c r="U907" s="16"/>
      <c r="V907" s="16"/>
      <c r="W907" s="16"/>
      <c r="X907" s="16"/>
      <c r="Y907" s="16"/>
      <c r="Z907" s="16"/>
      <c r="AA907" s="16"/>
      <c r="AB907" s="16"/>
      <c r="AC907" s="16"/>
      <c r="AD907" s="16"/>
    </row>
    <row r="908" spans="1:30" ht="12.9">
      <c r="A908" s="16"/>
      <c r="B908" s="24"/>
      <c r="C908" s="196"/>
      <c r="D908" s="196"/>
      <c r="E908" s="196"/>
      <c r="F908" s="16"/>
      <c r="G908" s="24"/>
      <c r="H908" s="24"/>
      <c r="I908" s="16"/>
      <c r="J908" s="16"/>
      <c r="K908" s="16"/>
      <c r="L908" s="16"/>
      <c r="M908" s="16"/>
      <c r="N908" s="16"/>
      <c r="O908" s="16"/>
      <c r="P908" s="16"/>
      <c r="Q908" s="16"/>
      <c r="R908" s="16"/>
      <c r="S908" s="16"/>
      <c r="T908" s="16"/>
      <c r="U908" s="16"/>
      <c r="V908" s="16"/>
      <c r="W908" s="16"/>
      <c r="X908" s="16"/>
      <c r="Y908" s="16"/>
      <c r="Z908" s="16"/>
      <c r="AA908" s="16"/>
      <c r="AB908" s="16"/>
      <c r="AC908" s="16"/>
      <c r="AD908" s="16"/>
    </row>
    <row r="909" spans="1:30" ht="12.9">
      <c r="A909" s="16"/>
      <c r="B909" s="24"/>
      <c r="C909" s="196"/>
      <c r="D909" s="196"/>
      <c r="E909" s="196"/>
      <c r="F909" s="16"/>
      <c r="G909" s="24"/>
      <c r="H909" s="24"/>
      <c r="I909" s="16"/>
      <c r="J909" s="16"/>
      <c r="K909" s="16"/>
      <c r="L909" s="16"/>
      <c r="M909" s="16"/>
      <c r="N909" s="16"/>
      <c r="O909" s="16"/>
      <c r="P909" s="16"/>
      <c r="Q909" s="16"/>
      <c r="R909" s="16"/>
      <c r="S909" s="16"/>
      <c r="T909" s="16"/>
      <c r="U909" s="16"/>
      <c r="V909" s="16"/>
      <c r="W909" s="16"/>
      <c r="X909" s="16"/>
      <c r="Y909" s="16"/>
      <c r="Z909" s="16"/>
      <c r="AA909" s="16"/>
      <c r="AB909" s="16"/>
      <c r="AC909" s="16"/>
      <c r="AD909" s="16"/>
    </row>
    <row r="910" spans="1:30" ht="12.9">
      <c r="A910" s="16"/>
      <c r="B910" s="24"/>
      <c r="C910" s="196"/>
      <c r="D910" s="196"/>
      <c r="E910" s="196"/>
      <c r="F910" s="16"/>
      <c r="G910" s="24"/>
      <c r="H910" s="24"/>
      <c r="I910" s="16"/>
      <c r="J910" s="16"/>
      <c r="K910" s="16"/>
      <c r="L910" s="16"/>
      <c r="M910" s="16"/>
      <c r="N910" s="16"/>
      <c r="O910" s="16"/>
      <c r="P910" s="16"/>
      <c r="Q910" s="16"/>
      <c r="R910" s="16"/>
      <c r="S910" s="16"/>
      <c r="T910" s="16"/>
      <c r="U910" s="16"/>
      <c r="V910" s="16"/>
      <c r="W910" s="16"/>
      <c r="X910" s="16"/>
      <c r="Y910" s="16"/>
      <c r="Z910" s="16"/>
      <c r="AA910" s="16"/>
      <c r="AB910" s="16"/>
      <c r="AC910" s="16"/>
      <c r="AD910" s="16"/>
    </row>
    <row r="911" spans="1:30" ht="12.9">
      <c r="A911" s="16"/>
      <c r="B911" s="24"/>
      <c r="C911" s="196"/>
      <c r="D911" s="196"/>
      <c r="E911" s="196"/>
      <c r="F911" s="16"/>
      <c r="G911" s="24"/>
      <c r="H911" s="24"/>
      <c r="I911" s="16"/>
      <c r="J911" s="16"/>
      <c r="K911" s="16"/>
      <c r="L911" s="16"/>
      <c r="M911" s="16"/>
      <c r="N911" s="16"/>
      <c r="O911" s="16"/>
      <c r="P911" s="16"/>
      <c r="Q911" s="16"/>
      <c r="R911" s="16"/>
      <c r="S911" s="16"/>
      <c r="T911" s="16"/>
      <c r="U911" s="16"/>
      <c r="V911" s="16"/>
      <c r="W911" s="16"/>
      <c r="X911" s="16"/>
      <c r="Y911" s="16"/>
      <c r="Z911" s="16"/>
      <c r="AA911" s="16"/>
      <c r="AB911" s="16"/>
      <c r="AC911" s="16"/>
      <c r="AD911" s="16"/>
    </row>
    <row r="912" spans="1:30" ht="12.9">
      <c r="A912" s="16"/>
      <c r="B912" s="24"/>
      <c r="C912" s="196"/>
      <c r="D912" s="196"/>
      <c r="E912" s="196"/>
      <c r="F912" s="16"/>
      <c r="G912" s="24"/>
      <c r="H912" s="24"/>
      <c r="I912" s="16"/>
      <c r="J912" s="16"/>
      <c r="K912" s="16"/>
      <c r="L912" s="16"/>
      <c r="M912" s="16"/>
      <c r="N912" s="16"/>
      <c r="O912" s="16"/>
      <c r="P912" s="16"/>
      <c r="Q912" s="16"/>
      <c r="R912" s="16"/>
      <c r="S912" s="16"/>
      <c r="T912" s="16"/>
      <c r="U912" s="16"/>
      <c r="V912" s="16"/>
      <c r="W912" s="16"/>
      <c r="X912" s="16"/>
      <c r="Y912" s="16"/>
      <c r="Z912" s="16"/>
      <c r="AA912" s="16"/>
      <c r="AB912" s="16"/>
      <c r="AC912" s="16"/>
      <c r="AD912" s="16"/>
    </row>
    <row r="913" spans="1:30" ht="12.9">
      <c r="A913" s="16"/>
      <c r="B913" s="24"/>
      <c r="C913" s="196"/>
      <c r="D913" s="196"/>
      <c r="E913" s="196"/>
      <c r="F913" s="16"/>
      <c r="G913" s="24"/>
      <c r="H913" s="24"/>
      <c r="I913" s="16"/>
      <c r="J913" s="16"/>
      <c r="K913" s="16"/>
      <c r="L913" s="16"/>
      <c r="M913" s="16"/>
      <c r="N913" s="16"/>
      <c r="O913" s="16"/>
      <c r="P913" s="16"/>
      <c r="Q913" s="16"/>
      <c r="R913" s="16"/>
      <c r="S913" s="16"/>
      <c r="T913" s="16"/>
      <c r="U913" s="16"/>
      <c r="V913" s="16"/>
      <c r="W913" s="16"/>
      <c r="X913" s="16"/>
      <c r="Y913" s="16"/>
      <c r="Z913" s="16"/>
      <c r="AA913" s="16"/>
      <c r="AB913" s="16"/>
      <c r="AC913" s="16"/>
      <c r="AD913" s="16"/>
    </row>
    <row r="914" spans="1:30" ht="12.9">
      <c r="A914" s="16"/>
      <c r="B914" s="24"/>
      <c r="C914" s="196"/>
      <c r="D914" s="196"/>
      <c r="E914" s="196"/>
      <c r="F914" s="16"/>
      <c r="G914" s="24"/>
      <c r="H914" s="24"/>
      <c r="I914" s="16"/>
      <c r="J914" s="16"/>
      <c r="K914" s="16"/>
      <c r="L914" s="16"/>
      <c r="M914" s="16"/>
      <c r="N914" s="16"/>
      <c r="O914" s="16"/>
      <c r="P914" s="16"/>
      <c r="Q914" s="16"/>
      <c r="R914" s="16"/>
      <c r="S914" s="16"/>
      <c r="T914" s="16"/>
      <c r="U914" s="16"/>
      <c r="V914" s="16"/>
      <c r="W914" s="16"/>
      <c r="X914" s="16"/>
      <c r="Y914" s="16"/>
      <c r="Z914" s="16"/>
      <c r="AA914" s="16"/>
      <c r="AB914" s="16"/>
      <c r="AC914" s="16"/>
      <c r="AD914" s="16"/>
    </row>
    <row r="915" spans="1:30" ht="12.9">
      <c r="A915" s="16"/>
      <c r="B915" s="24"/>
      <c r="C915" s="196"/>
      <c r="D915" s="196"/>
      <c r="E915" s="196"/>
      <c r="F915" s="16"/>
      <c r="G915" s="24"/>
      <c r="H915" s="24"/>
      <c r="I915" s="16"/>
      <c r="J915" s="16"/>
      <c r="K915" s="16"/>
      <c r="L915" s="16"/>
      <c r="M915" s="16"/>
      <c r="N915" s="16"/>
      <c r="O915" s="16"/>
      <c r="P915" s="16"/>
      <c r="Q915" s="16"/>
      <c r="R915" s="16"/>
      <c r="S915" s="16"/>
      <c r="T915" s="16"/>
      <c r="U915" s="16"/>
      <c r="V915" s="16"/>
      <c r="W915" s="16"/>
      <c r="X915" s="16"/>
      <c r="Y915" s="16"/>
      <c r="Z915" s="16"/>
      <c r="AA915" s="16"/>
      <c r="AB915" s="16"/>
      <c r="AC915" s="16"/>
      <c r="AD915" s="16"/>
    </row>
    <row r="916" spans="1:30" ht="12.9">
      <c r="A916" s="16"/>
      <c r="B916" s="24"/>
      <c r="C916" s="196"/>
      <c r="D916" s="196"/>
      <c r="E916" s="196"/>
      <c r="F916" s="16"/>
      <c r="G916" s="24"/>
      <c r="H916" s="24"/>
      <c r="I916" s="16"/>
      <c r="J916" s="16"/>
      <c r="K916" s="16"/>
      <c r="L916" s="16"/>
      <c r="M916" s="16"/>
      <c r="N916" s="16"/>
      <c r="O916" s="16"/>
      <c r="P916" s="16"/>
      <c r="Q916" s="16"/>
      <c r="R916" s="16"/>
      <c r="S916" s="16"/>
      <c r="T916" s="16"/>
      <c r="U916" s="16"/>
      <c r="V916" s="16"/>
      <c r="W916" s="16"/>
      <c r="X916" s="16"/>
      <c r="Y916" s="16"/>
      <c r="Z916" s="16"/>
      <c r="AA916" s="16"/>
      <c r="AB916" s="16"/>
      <c r="AC916" s="16"/>
      <c r="AD916" s="16"/>
    </row>
    <row r="917" spans="1:30" ht="12.9">
      <c r="A917" s="16"/>
      <c r="B917" s="24"/>
      <c r="C917" s="196"/>
      <c r="D917" s="196"/>
      <c r="E917" s="196"/>
      <c r="F917" s="16"/>
      <c r="G917" s="24"/>
      <c r="H917" s="24"/>
      <c r="I917" s="16"/>
      <c r="J917" s="16"/>
      <c r="K917" s="16"/>
      <c r="L917" s="16"/>
      <c r="M917" s="16"/>
      <c r="N917" s="16"/>
      <c r="O917" s="16"/>
      <c r="P917" s="16"/>
      <c r="Q917" s="16"/>
      <c r="R917" s="16"/>
      <c r="S917" s="16"/>
      <c r="T917" s="16"/>
      <c r="U917" s="16"/>
      <c r="V917" s="16"/>
      <c r="W917" s="16"/>
      <c r="X917" s="16"/>
      <c r="Y917" s="16"/>
      <c r="Z917" s="16"/>
      <c r="AA917" s="16"/>
      <c r="AB917" s="16"/>
      <c r="AC917" s="16"/>
      <c r="AD917" s="16"/>
    </row>
    <row r="918" spans="1:30" ht="12.9">
      <c r="A918" s="16"/>
      <c r="B918" s="24"/>
      <c r="C918" s="196"/>
      <c r="D918" s="196"/>
      <c r="E918" s="196"/>
      <c r="F918" s="16"/>
      <c r="G918" s="24"/>
      <c r="H918" s="24"/>
      <c r="I918" s="16"/>
      <c r="J918" s="16"/>
      <c r="K918" s="16"/>
      <c r="L918" s="16"/>
      <c r="M918" s="16"/>
      <c r="N918" s="16"/>
      <c r="O918" s="16"/>
      <c r="P918" s="16"/>
      <c r="Q918" s="16"/>
      <c r="R918" s="16"/>
      <c r="S918" s="16"/>
      <c r="T918" s="16"/>
      <c r="U918" s="16"/>
      <c r="V918" s="16"/>
      <c r="W918" s="16"/>
      <c r="X918" s="16"/>
      <c r="Y918" s="16"/>
      <c r="Z918" s="16"/>
      <c r="AA918" s="16"/>
      <c r="AB918" s="16"/>
      <c r="AC918" s="16"/>
      <c r="AD918" s="16"/>
    </row>
    <row r="919" spans="1:30" ht="12.9">
      <c r="A919" s="16"/>
      <c r="B919" s="24"/>
      <c r="C919" s="196"/>
      <c r="D919" s="196"/>
      <c r="E919" s="196"/>
      <c r="F919" s="16"/>
      <c r="G919" s="24"/>
      <c r="H919" s="24"/>
      <c r="I919" s="16"/>
      <c r="J919" s="16"/>
      <c r="K919" s="16"/>
      <c r="L919" s="16"/>
      <c r="M919" s="16"/>
      <c r="N919" s="16"/>
      <c r="O919" s="16"/>
      <c r="P919" s="16"/>
      <c r="Q919" s="16"/>
      <c r="R919" s="16"/>
      <c r="S919" s="16"/>
      <c r="T919" s="16"/>
      <c r="U919" s="16"/>
      <c r="V919" s="16"/>
      <c r="W919" s="16"/>
      <c r="X919" s="16"/>
      <c r="Y919" s="16"/>
      <c r="Z919" s="16"/>
      <c r="AA919" s="16"/>
      <c r="AB919" s="16"/>
      <c r="AC919" s="16"/>
      <c r="AD919" s="16"/>
    </row>
    <row r="920" spans="1:30" ht="12.9">
      <c r="A920" s="16"/>
      <c r="B920" s="24"/>
      <c r="C920" s="196"/>
      <c r="D920" s="196"/>
      <c r="E920" s="196"/>
      <c r="F920" s="16"/>
      <c r="G920" s="24"/>
      <c r="H920" s="24"/>
      <c r="I920" s="16"/>
      <c r="J920" s="16"/>
      <c r="K920" s="16"/>
      <c r="L920" s="16"/>
      <c r="M920" s="16"/>
      <c r="N920" s="16"/>
      <c r="O920" s="16"/>
      <c r="P920" s="16"/>
      <c r="Q920" s="16"/>
      <c r="R920" s="16"/>
      <c r="S920" s="16"/>
      <c r="T920" s="16"/>
      <c r="U920" s="16"/>
      <c r="V920" s="16"/>
      <c r="W920" s="16"/>
      <c r="X920" s="16"/>
      <c r="Y920" s="16"/>
      <c r="Z920" s="16"/>
      <c r="AA920" s="16"/>
      <c r="AB920" s="16"/>
      <c r="AC920" s="16"/>
      <c r="AD920" s="16"/>
    </row>
    <row r="921" spans="1:30" ht="12.9">
      <c r="A921" s="16"/>
      <c r="B921" s="24"/>
      <c r="C921" s="196"/>
      <c r="D921" s="196"/>
      <c r="E921" s="196"/>
      <c r="F921" s="16"/>
      <c r="G921" s="24"/>
      <c r="H921" s="24"/>
      <c r="I921" s="16"/>
      <c r="J921" s="16"/>
      <c r="K921" s="16"/>
      <c r="L921" s="16"/>
      <c r="M921" s="16"/>
      <c r="N921" s="16"/>
      <c r="O921" s="16"/>
      <c r="P921" s="16"/>
      <c r="Q921" s="16"/>
      <c r="R921" s="16"/>
      <c r="S921" s="16"/>
      <c r="T921" s="16"/>
      <c r="U921" s="16"/>
      <c r="V921" s="16"/>
      <c r="W921" s="16"/>
      <c r="X921" s="16"/>
      <c r="Y921" s="16"/>
      <c r="Z921" s="16"/>
      <c r="AA921" s="16"/>
      <c r="AB921" s="16"/>
      <c r="AC921" s="16"/>
      <c r="AD921" s="16"/>
    </row>
    <row r="922" spans="1:30" ht="12.9">
      <c r="A922" s="16"/>
      <c r="B922" s="24"/>
      <c r="C922" s="196"/>
      <c r="D922" s="196"/>
      <c r="E922" s="196"/>
      <c r="F922" s="16"/>
      <c r="G922" s="24"/>
      <c r="H922" s="24"/>
      <c r="I922" s="16"/>
      <c r="J922" s="16"/>
      <c r="K922" s="16"/>
      <c r="L922" s="16"/>
      <c r="M922" s="16"/>
      <c r="N922" s="16"/>
      <c r="O922" s="16"/>
      <c r="P922" s="16"/>
      <c r="Q922" s="16"/>
      <c r="R922" s="16"/>
      <c r="S922" s="16"/>
      <c r="T922" s="16"/>
      <c r="U922" s="16"/>
      <c r="V922" s="16"/>
      <c r="W922" s="16"/>
      <c r="X922" s="16"/>
      <c r="Y922" s="16"/>
      <c r="Z922" s="16"/>
      <c r="AA922" s="16"/>
      <c r="AB922" s="16"/>
      <c r="AC922" s="16"/>
      <c r="AD922" s="16"/>
    </row>
    <row r="923" spans="1:30" ht="12.9">
      <c r="A923" s="16"/>
      <c r="B923" s="24"/>
      <c r="C923" s="196"/>
      <c r="D923" s="196"/>
      <c r="E923" s="196"/>
      <c r="F923" s="16"/>
      <c r="G923" s="24"/>
      <c r="H923" s="24"/>
      <c r="I923" s="16"/>
      <c r="J923" s="16"/>
      <c r="K923" s="16"/>
      <c r="L923" s="16"/>
      <c r="M923" s="16"/>
      <c r="N923" s="16"/>
      <c r="O923" s="16"/>
      <c r="P923" s="16"/>
      <c r="Q923" s="16"/>
      <c r="R923" s="16"/>
      <c r="S923" s="16"/>
      <c r="T923" s="16"/>
      <c r="U923" s="16"/>
      <c r="V923" s="16"/>
      <c r="W923" s="16"/>
      <c r="X923" s="16"/>
      <c r="Y923" s="16"/>
      <c r="Z923" s="16"/>
      <c r="AA923" s="16"/>
      <c r="AB923" s="16"/>
      <c r="AC923" s="16"/>
      <c r="AD923" s="16"/>
    </row>
    <row r="924" spans="1:30" ht="12.9">
      <c r="A924" s="16"/>
      <c r="B924" s="24"/>
      <c r="C924" s="196"/>
      <c r="D924" s="196"/>
      <c r="E924" s="196"/>
      <c r="F924" s="16"/>
      <c r="G924" s="24"/>
      <c r="H924" s="24"/>
      <c r="I924" s="16"/>
      <c r="J924" s="16"/>
      <c r="K924" s="16"/>
      <c r="L924" s="16"/>
      <c r="M924" s="16"/>
      <c r="N924" s="16"/>
      <c r="O924" s="16"/>
      <c r="P924" s="16"/>
      <c r="Q924" s="16"/>
      <c r="R924" s="16"/>
      <c r="S924" s="16"/>
      <c r="T924" s="16"/>
      <c r="U924" s="16"/>
      <c r="V924" s="16"/>
      <c r="W924" s="16"/>
      <c r="X924" s="16"/>
      <c r="Y924" s="16"/>
      <c r="Z924" s="16"/>
      <c r="AA924" s="16"/>
      <c r="AB924" s="16"/>
      <c r="AC924" s="16"/>
      <c r="AD924" s="16"/>
    </row>
    <row r="925" spans="1:30" ht="12.9">
      <c r="A925" s="16"/>
      <c r="B925" s="24"/>
      <c r="C925" s="196"/>
      <c r="D925" s="196"/>
      <c r="E925" s="196"/>
      <c r="F925" s="16"/>
      <c r="G925" s="24"/>
      <c r="H925" s="24"/>
      <c r="I925" s="16"/>
      <c r="J925" s="16"/>
      <c r="K925" s="16"/>
      <c r="L925" s="16"/>
      <c r="M925" s="16"/>
      <c r="N925" s="16"/>
      <c r="O925" s="16"/>
      <c r="P925" s="16"/>
      <c r="Q925" s="16"/>
      <c r="R925" s="16"/>
      <c r="S925" s="16"/>
      <c r="T925" s="16"/>
      <c r="U925" s="16"/>
      <c r="V925" s="16"/>
      <c r="W925" s="16"/>
      <c r="X925" s="16"/>
      <c r="Y925" s="16"/>
      <c r="Z925" s="16"/>
      <c r="AA925" s="16"/>
      <c r="AB925" s="16"/>
      <c r="AC925" s="16"/>
      <c r="AD925" s="16"/>
    </row>
    <row r="926" spans="1:30" ht="12.9">
      <c r="A926" s="16"/>
      <c r="B926" s="24"/>
      <c r="C926" s="196"/>
      <c r="D926" s="196"/>
      <c r="E926" s="196"/>
      <c r="F926" s="16"/>
      <c r="G926" s="24"/>
      <c r="H926" s="24"/>
      <c r="I926" s="16"/>
      <c r="J926" s="16"/>
      <c r="K926" s="16"/>
      <c r="L926" s="16"/>
      <c r="M926" s="16"/>
      <c r="N926" s="16"/>
      <c r="O926" s="16"/>
      <c r="P926" s="16"/>
      <c r="Q926" s="16"/>
      <c r="R926" s="16"/>
      <c r="S926" s="16"/>
      <c r="T926" s="16"/>
      <c r="U926" s="16"/>
      <c r="V926" s="16"/>
      <c r="W926" s="16"/>
      <c r="X926" s="16"/>
      <c r="Y926" s="16"/>
      <c r="Z926" s="16"/>
      <c r="AA926" s="16"/>
      <c r="AB926" s="16"/>
      <c r="AC926" s="16"/>
      <c r="AD926" s="16"/>
    </row>
    <row r="927" spans="1:30" ht="12.9">
      <c r="A927" s="16"/>
      <c r="B927" s="24"/>
      <c r="C927" s="196"/>
      <c r="D927" s="196"/>
      <c r="E927" s="196"/>
      <c r="F927" s="16"/>
      <c r="G927" s="24"/>
      <c r="H927" s="24"/>
      <c r="I927" s="16"/>
      <c r="J927" s="16"/>
      <c r="K927" s="16"/>
      <c r="L927" s="16"/>
      <c r="M927" s="16"/>
      <c r="N927" s="16"/>
      <c r="O927" s="16"/>
      <c r="P927" s="16"/>
      <c r="Q927" s="16"/>
      <c r="R927" s="16"/>
      <c r="S927" s="16"/>
      <c r="T927" s="16"/>
      <c r="U927" s="16"/>
      <c r="V927" s="16"/>
      <c r="W927" s="16"/>
      <c r="X927" s="16"/>
      <c r="Y927" s="16"/>
      <c r="Z927" s="16"/>
      <c r="AA927" s="16"/>
      <c r="AB927" s="16"/>
      <c r="AC927" s="16"/>
      <c r="AD927" s="16"/>
    </row>
    <row r="928" spans="1:30" ht="12.9">
      <c r="A928" s="16"/>
      <c r="B928" s="24"/>
      <c r="C928" s="196"/>
      <c r="D928" s="196"/>
      <c r="E928" s="196"/>
      <c r="F928" s="16"/>
      <c r="G928" s="24"/>
      <c r="H928" s="24"/>
      <c r="I928" s="16"/>
      <c r="J928" s="16"/>
      <c r="K928" s="16"/>
      <c r="L928" s="16"/>
      <c r="M928" s="16"/>
      <c r="N928" s="16"/>
      <c r="O928" s="16"/>
      <c r="P928" s="16"/>
      <c r="Q928" s="16"/>
      <c r="R928" s="16"/>
      <c r="S928" s="16"/>
      <c r="T928" s="16"/>
      <c r="U928" s="16"/>
      <c r="V928" s="16"/>
      <c r="W928" s="16"/>
      <c r="X928" s="16"/>
      <c r="Y928" s="16"/>
      <c r="Z928" s="16"/>
      <c r="AA928" s="16"/>
      <c r="AB928" s="16"/>
      <c r="AC928" s="16"/>
      <c r="AD928" s="16"/>
    </row>
    <row r="929" spans="1:30" ht="12.9">
      <c r="A929" s="16"/>
      <c r="B929" s="24"/>
      <c r="C929" s="196"/>
      <c r="D929" s="196"/>
      <c r="E929" s="196"/>
      <c r="F929" s="16"/>
      <c r="G929" s="24"/>
      <c r="H929" s="24"/>
      <c r="I929" s="16"/>
      <c r="J929" s="16"/>
      <c r="K929" s="16"/>
      <c r="L929" s="16"/>
      <c r="M929" s="16"/>
      <c r="N929" s="16"/>
      <c r="O929" s="16"/>
      <c r="P929" s="16"/>
      <c r="Q929" s="16"/>
      <c r="R929" s="16"/>
      <c r="S929" s="16"/>
      <c r="T929" s="16"/>
      <c r="U929" s="16"/>
      <c r="V929" s="16"/>
      <c r="W929" s="16"/>
      <c r="X929" s="16"/>
      <c r="Y929" s="16"/>
      <c r="Z929" s="16"/>
      <c r="AA929" s="16"/>
      <c r="AB929" s="16"/>
      <c r="AC929" s="16"/>
      <c r="AD929" s="16"/>
    </row>
    <row r="930" spans="1:30" ht="12.9">
      <c r="A930" s="16"/>
      <c r="B930" s="24"/>
      <c r="C930" s="196"/>
      <c r="D930" s="196"/>
      <c r="E930" s="196"/>
      <c r="F930" s="16"/>
      <c r="G930" s="24"/>
      <c r="H930" s="24"/>
      <c r="I930" s="16"/>
      <c r="J930" s="16"/>
      <c r="K930" s="16"/>
      <c r="L930" s="16"/>
      <c r="M930" s="16"/>
      <c r="N930" s="16"/>
      <c r="O930" s="16"/>
      <c r="P930" s="16"/>
      <c r="Q930" s="16"/>
      <c r="R930" s="16"/>
      <c r="S930" s="16"/>
      <c r="T930" s="16"/>
      <c r="U930" s="16"/>
      <c r="V930" s="16"/>
      <c r="W930" s="16"/>
      <c r="X930" s="16"/>
      <c r="Y930" s="16"/>
      <c r="Z930" s="16"/>
      <c r="AA930" s="16"/>
      <c r="AB930" s="16"/>
      <c r="AC930" s="16"/>
      <c r="AD930" s="16"/>
    </row>
    <row r="931" spans="1:30" ht="12.9">
      <c r="A931" s="16"/>
      <c r="B931" s="24"/>
      <c r="C931" s="196"/>
      <c r="D931" s="196"/>
      <c r="E931" s="196"/>
      <c r="F931" s="16"/>
      <c r="G931" s="24"/>
      <c r="H931" s="24"/>
      <c r="I931" s="16"/>
      <c r="J931" s="16"/>
      <c r="K931" s="16"/>
      <c r="L931" s="16"/>
      <c r="M931" s="16"/>
      <c r="N931" s="16"/>
      <c r="O931" s="16"/>
      <c r="P931" s="16"/>
      <c r="Q931" s="16"/>
      <c r="R931" s="16"/>
      <c r="S931" s="16"/>
      <c r="T931" s="16"/>
      <c r="U931" s="16"/>
      <c r="V931" s="16"/>
      <c r="W931" s="16"/>
      <c r="X931" s="16"/>
      <c r="Y931" s="16"/>
      <c r="Z931" s="16"/>
      <c r="AA931" s="16"/>
      <c r="AB931" s="16"/>
      <c r="AC931" s="16"/>
      <c r="AD931" s="16"/>
    </row>
    <row r="932" spans="1:30" ht="12.9">
      <c r="A932" s="16"/>
      <c r="B932" s="24"/>
      <c r="C932" s="196"/>
      <c r="D932" s="196"/>
      <c r="E932" s="196"/>
      <c r="F932" s="16"/>
      <c r="G932" s="24"/>
      <c r="H932" s="24"/>
      <c r="I932" s="16"/>
      <c r="J932" s="16"/>
      <c r="K932" s="16"/>
      <c r="L932" s="16"/>
      <c r="M932" s="16"/>
      <c r="N932" s="16"/>
      <c r="O932" s="16"/>
      <c r="P932" s="16"/>
      <c r="Q932" s="16"/>
      <c r="R932" s="16"/>
      <c r="S932" s="16"/>
      <c r="T932" s="16"/>
      <c r="U932" s="16"/>
      <c r="V932" s="16"/>
      <c r="W932" s="16"/>
      <c r="X932" s="16"/>
      <c r="Y932" s="16"/>
      <c r="Z932" s="16"/>
      <c r="AA932" s="16"/>
      <c r="AB932" s="16"/>
      <c r="AC932" s="16"/>
      <c r="AD932" s="16"/>
    </row>
    <row r="933" spans="1:30" ht="12.9">
      <c r="A933" s="16"/>
      <c r="B933" s="24"/>
      <c r="C933" s="196"/>
      <c r="D933" s="196"/>
      <c r="E933" s="196"/>
      <c r="F933" s="16"/>
      <c r="G933" s="24"/>
      <c r="H933" s="24"/>
      <c r="I933" s="16"/>
      <c r="J933" s="16"/>
      <c r="K933" s="16"/>
      <c r="L933" s="16"/>
      <c r="M933" s="16"/>
      <c r="N933" s="16"/>
      <c r="O933" s="16"/>
      <c r="P933" s="16"/>
      <c r="Q933" s="16"/>
      <c r="R933" s="16"/>
      <c r="S933" s="16"/>
      <c r="T933" s="16"/>
      <c r="U933" s="16"/>
      <c r="V933" s="16"/>
      <c r="W933" s="16"/>
      <c r="X933" s="16"/>
      <c r="Y933" s="16"/>
      <c r="Z933" s="16"/>
      <c r="AA933" s="16"/>
      <c r="AB933" s="16"/>
      <c r="AC933" s="16"/>
      <c r="AD933" s="16"/>
    </row>
    <row r="934" spans="1:30" ht="12.9">
      <c r="A934" s="16"/>
      <c r="B934" s="24"/>
      <c r="C934" s="196"/>
      <c r="D934" s="196"/>
      <c r="E934" s="196"/>
      <c r="F934" s="16"/>
      <c r="G934" s="24"/>
      <c r="H934" s="24"/>
      <c r="I934" s="16"/>
      <c r="J934" s="16"/>
      <c r="K934" s="16"/>
      <c r="L934" s="16"/>
      <c r="M934" s="16"/>
      <c r="N934" s="16"/>
      <c r="O934" s="16"/>
      <c r="P934" s="16"/>
      <c r="Q934" s="16"/>
      <c r="R934" s="16"/>
      <c r="S934" s="16"/>
      <c r="T934" s="16"/>
      <c r="U934" s="16"/>
      <c r="V934" s="16"/>
      <c r="W934" s="16"/>
      <c r="X934" s="16"/>
      <c r="Y934" s="16"/>
      <c r="Z934" s="16"/>
      <c r="AA934" s="16"/>
      <c r="AB934" s="16"/>
      <c r="AC934" s="16"/>
      <c r="AD934" s="16"/>
    </row>
    <row r="935" spans="1:30" ht="12.9">
      <c r="A935" s="16"/>
      <c r="B935" s="24"/>
      <c r="C935" s="196"/>
      <c r="D935" s="196"/>
      <c r="E935" s="196"/>
      <c r="F935" s="16"/>
      <c r="G935" s="24"/>
      <c r="H935" s="24"/>
      <c r="I935" s="16"/>
      <c r="J935" s="16"/>
      <c r="K935" s="16"/>
      <c r="L935" s="16"/>
      <c r="M935" s="16"/>
      <c r="N935" s="16"/>
      <c r="O935" s="16"/>
      <c r="P935" s="16"/>
      <c r="Q935" s="16"/>
      <c r="R935" s="16"/>
      <c r="S935" s="16"/>
      <c r="T935" s="16"/>
      <c r="U935" s="16"/>
      <c r="V935" s="16"/>
      <c r="W935" s="16"/>
      <c r="X935" s="16"/>
      <c r="Y935" s="16"/>
      <c r="Z935" s="16"/>
      <c r="AA935" s="16"/>
      <c r="AB935" s="16"/>
      <c r="AC935" s="16"/>
      <c r="AD935" s="16"/>
    </row>
    <row r="936" spans="1:30" ht="12.9">
      <c r="A936" s="16"/>
      <c r="B936" s="24"/>
      <c r="C936" s="196"/>
      <c r="D936" s="196"/>
      <c r="E936" s="196"/>
      <c r="F936" s="16"/>
      <c r="G936" s="24"/>
      <c r="H936" s="24"/>
      <c r="I936" s="16"/>
      <c r="J936" s="16"/>
      <c r="K936" s="16"/>
      <c r="L936" s="16"/>
      <c r="M936" s="16"/>
      <c r="N936" s="16"/>
      <c r="O936" s="16"/>
      <c r="P936" s="16"/>
      <c r="Q936" s="16"/>
      <c r="R936" s="16"/>
      <c r="S936" s="16"/>
      <c r="T936" s="16"/>
      <c r="U936" s="16"/>
      <c r="V936" s="16"/>
      <c r="W936" s="16"/>
      <c r="X936" s="16"/>
      <c r="Y936" s="16"/>
      <c r="Z936" s="16"/>
      <c r="AA936" s="16"/>
      <c r="AB936" s="16"/>
      <c r="AC936" s="16"/>
      <c r="AD936" s="16"/>
    </row>
    <row r="937" spans="1:30" ht="12.9">
      <c r="A937" s="16"/>
      <c r="B937" s="24"/>
      <c r="C937" s="196"/>
      <c r="D937" s="196"/>
      <c r="E937" s="196"/>
      <c r="F937" s="16"/>
      <c r="G937" s="24"/>
      <c r="H937" s="24"/>
      <c r="I937" s="16"/>
      <c r="J937" s="16"/>
      <c r="K937" s="16"/>
      <c r="L937" s="16"/>
      <c r="M937" s="16"/>
      <c r="N937" s="16"/>
      <c r="O937" s="16"/>
      <c r="P937" s="16"/>
      <c r="Q937" s="16"/>
      <c r="R937" s="16"/>
      <c r="S937" s="16"/>
      <c r="T937" s="16"/>
      <c r="U937" s="16"/>
      <c r="V937" s="16"/>
      <c r="W937" s="16"/>
      <c r="X937" s="16"/>
      <c r="Y937" s="16"/>
      <c r="Z937" s="16"/>
      <c r="AA937" s="16"/>
      <c r="AB937" s="16"/>
      <c r="AC937" s="16"/>
      <c r="AD937" s="16"/>
    </row>
    <row r="938" spans="1:30" ht="12.9">
      <c r="A938" s="16"/>
      <c r="B938" s="24"/>
      <c r="C938" s="196"/>
      <c r="D938" s="196"/>
      <c r="E938" s="196"/>
      <c r="F938" s="16"/>
      <c r="G938" s="24"/>
      <c r="H938" s="24"/>
      <c r="I938" s="16"/>
      <c r="J938" s="16"/>
      <c r="K938" s="16"/>
      <c r="L938" s="16"/>
      <c r="M938" s="16"/>
      <c r="N938" s="16"/>
      <c r="O938" s="16"/>
      <c r="P938" s="16"/>
      <c r="Q938" s="16"/>
      <c r="R938" s="16"/>
      <c r="S938" s="16"/>
      <c r="T938" s="16"/>
      <c r="U938" s="16"/>
      <c r="V938" s="16"/>
      <c r="W938" s="16"/>
      <c r="X938" s="16"/>
      <c r="Y938" s="16"/>
      <c r="Z938" s="16"/>
      <c r="AA938" s="16"/>
      <c r="AB938" s="16"/>
      <c r="AC938" s="16"/>
      <c r="AD938" s="16"/>
    </row>
    <row r="939" spans="1:30" ht="12.9">
      <c r="A939" s="16"/>
      <c r="B939" s="24"/>
      <c r="C939" s="196"/>
      <c r="D939" s="196"/>
      <c r="E939" s="196"/>
      <c r="F939" s="16"/>
      <c r="G939" s="24"/>
      <c r="H939" s="24"/>
      <c r="I939" s="16"/>
      <c r="J939" s="16"/>
      <c r="K939" s="16"/>
      <c r="L939" s="16"/>
      <c r="M939" s="16"/>
      <c r="N939" s="16"/>
      <c r="O939" s="16"/>
      <c r="P939" s="16"/>
      <c r="Q939" s="16"/>
      <c r="R939" s="16"/>
      <c r="S939" s="16"/>
      <c r="T939" s="16"/>
      <c r="U939" s="16"/>
      <c r="V939" s="16"/>
      <c r="W939" s="16"/>
      <c r="X939" s="16"/>
      <c r="Y939" s="16"/>
      <c r="Z939" s="16"/>
      <c r="AA939" s="16"/>
      <c r="AB939" s="16"/>
      <c r="AC939" s="16"/>
      <c r="AD939" s="16"/>
    </row>
    <row r="940" spans="1:30" ht="12.9">
      <c r="A940" s="16"/>
      <c r="B940" s="24"/>
      <c r="C940" s="196"/>
      <c r="D940" s="196"/>
      <c r="E940" s="196"/>
      <c r="F940" s="16"/>
      <c r="G940" s="24"/>
      <c r="H940" s="24"/>
      <c r="I940" s="16"/>
      <c r="J940" s="16"/>
      <c r="K940" s="16"/>
      <c r="L940" s="16"/>
      <c r="M940" s="16"/>
      <c r="N940" s="16"/>
      <c r="O940" s="16"/>
      <c r="P940" s="16"/>
      <c r="Q940" s="16"/>
      <c r="R940" s="16"/>
      <c r="S940" s="16"/>
      <c r="T940" s="16"/>
      <c r="U940" s="16"/>
      <c r="V940" s="16"/>
      <c r="W940" s="16"/>
      <c r="X940" s="16"/>
      <c r="Y940" s="16"/>
      <c r="Z940" s="16"/>
      <c r="AA940" s="16"/>
      <c r="AB940" s="16"/>
      <c r="AC940" s="16"/>
      <c r="AD940" s="16"/>
    </row>
    <row r="941" spans="1:30" ht="12.9">
      <c r="A941" s="16"/>
      <c r="B941" s="24"/>
      <c r="C941" s="196"/>
      <c r="D941" s="196"/>
      <c r="E941" s="196"/>
      <c r="F941" s="16"/>
      <c r="G941" s="24"/>
      <c r="H941" s="24"/>
      <c r="I941" s="16"/>
      <c r="J941" s="16"/>
      <c r="K941" s="16"/>
      <c r="L941" s="16"/>
      <c r="M941" s="16"/>
      <c r="N941" s="16"/>
      <c r="O941" s="16"/>
      <c r="P941" s="16"/>
      <c r="Q941" s="16"/>
      <c r="R941" s="16"/>
      <c r="S941" s="16"/>
      <c r="T941" s="16"/>
      <c r="U941" s="16"/>
      <c r="V941" s="16"/>
      <c r="W941" s="16"/>
      <c r="X941" s="16"/>
      <c r="Y941" s="16"/>
      <c r="Z941" s="16"/>
      <c r="AA941" s="16"/>
      <c r="AB941" s="16"/>
      <c r="AC941" s="16"/>
      <c r="AD941" s="16"/>
    </row>
    <row r="942" spans="1:30" ht="12.9">
      <c r="A942" s="16"/>
      <c r="B942" s="24"/>
      <c r="C942" s="196"/>
      <c r="D942" s="196"/>
      <c r="E942" s="196"/>
      <c r="F942" s="16"/>
      <c r="G942" s="24"/>
      <c r="H942" s="24"/>
      <c r="I942" s="16"/>
      <c r="J942" s="16"/>
      <c r="K942" s="16"/>
      <c r="L942" s="16"/>
      <c r="M942" s="16"/>
      <c r="N942" s="16"/>
      <c r="O942" s="16"/>
      <c r="P942" s="16"/>
      <c r="Q942" s="16"/>
      <c r="R942" s="16"/>
      <c r="S942" s="16"/>
      <c r="T942" s="16"/>
      <c r="U942" s="16"/>
      <c r="V942" s="16"/>
      <c r="W942" s="16"/>
      <c r="X942" s="16"/>
      <c r="Y942" s="16"/>
      <c r="Z942" s="16"/>
      <c r="AA942" s="16"/>
      <c r="AB942" s="16"/>
      <c r="AC942" s="16"/>
      <c r="AD942" s="16"/>
    </row>
    <row r="943" spans="1:30" ht="12.9">
      <c r="A943" s="16"/>
      <c r="B943" s="24"/>
      <c r="C943" s="196"/>
      <c r="D943" s="196"/>
      <c r="E943" s="196"/>
      <c r="F943" s="16"/>
      <c r="G943" s="24"/>
      <c r="H943" s="24"/>
      <c r="I943" s="16"/>
      <c r="J943" s="16"/>
      <c r="K943" s="16"/>
      <c r="L943" s="16"/>
      <c r="M943" s="16"/>
      <c r="N943" s="16"/>
      <c r="O943" s="16"/>
      <c r="P943" s="16"/>
      <c r="Q943" s="16"/>
      <c r="R943" s="16"/>
      <c r="S943" s="16"/>
      <c r="T943" s="16"/>
      <c r="U943" s="16"/>
      <c r="V943" s="16"/>
      <c r="W943" s="16"/>
      <c r="X943" s="16"/>
      <c r="Y943" s="16"/>
      <c r="Z943" s="16"/>
      <c r="AA943" s="16"/>
      <c r="AB943" s="16"/>
      <c r="AC943" s="16"/>
      <c r="AD943" s="16"/>
    </row>
    <row r="944" spans="1:30" ht="12.9">
      <c r="A944" s="16"/>
      <c r="B944" s="24"/>
      <c r="C944" s="196"/>
      <c r="D944" s="196"/>
      <c r="E944" s="196"/>
      <c r="F944" s="16"/>
      <c r="G944" s="24"/>
      <c r="H944" s="24"/>
      <c r="I944" s="16"/>
      <c r="J944" s="16"/>
      <c r="K944" s="16"/>
      <c r="L944" s="16"/>
      <c r="M944" s="16"/>
      <c r="N944" s="16"/>
      <c r="O944" s="16"/>
      <c r="P944" s="16"/>
      <c r="Q944" s="16"/>
      <c r="R944" s="16"/>
      <c r="S944" s="16"/>
      <c r="T944" s="16"/>
      <c r="U944" s="16"/>
      <c r="V944" s="16"/>
      <c r="W944" s="16"/>
      <c r="X944" s="16"/>
      <c r="Y944" s="16"/>
      <c r="Z944" s="16"/>
      <c r="AA944" s="16"/>
      <c r="AB944" s="16"/>
      <c r="AC944" s="16"/>
      <c r="AD944" s="16"/>
    </row>
    <row r="945" spans="1:30" ht="12.9">
      <c r="A945" s="16"/>
      <c r="B945" s="24"/>
      <c r="C945" s="196"/>
      <c r="D945" s="196"/>
      <c r="E945" s="196"/>
      <c r="F945" s="16"/>
      <c r="G945" s="24"/>
      <c r="H945" s="24"/>
      <c r="I945" s="16"/>
      <c r="J945" s="16"/>
      <c r="K945" s="16"/>
      <c r="L945" s="16"/>
      <c r="M945" s="16"/>
      <c r="N945" s="16"/>
      <c r="O945" s="16"/>
      <c r="P945" s="16"/>
      <c r="Q945" s="16"/>
      <c r="R945" s="16"/>
      <c r="S945" s="16"/>
      <c r="T945" s="16"/>
      <c r="U945" s="16"/>
      <c r="V945" s="16"/>
      <c r="W945" s="16"/>
      <c r="X945" s="16"/>
      <c r="Y945" s="16"/>
      <c r="Z945" s="16"/>
      <c r="AA945" s="16"/>
      <c r="AB945" s="16"/>
      <c r="AC945" s="16"/>
      <c r="AD945" s="16"/>
    </row>
    <row r="946" spans="1:30" ht="12.9">
      <c r="A946" s="16"/>
      <c r="B946" s="24"/>
      <c r="C946" s="196"/>
      <c r="D946" s="196"/>
      <c r="E946" s="196"/>
      <c r="F946" s="16"/>
      <c r="G946" s="24"/>
      <c r="H946" s="24"/>
      <c r="I946" s="16"/>
      <c r="J946" s="16"/>
      <c r="K946" s="16"/>
      <c r="L946" s="16"/>
      <c r="M946" s="16"/>
      <c r="N946" s="16"/>
      <c r="O946" s="16"/>
      <c r="P946" s="16"/>
      <c r="Q946" s="16"/>
      <c r="R946" s="16"/>
      <c r="S946" s="16"/>
      <c r="T946" s="16"/>
      <c r="U946" s="16"/>
      <c r="V946" s="16"/>
      <c r="W946" s="16"/>
      <c r="X946" s="16"/>
      <c r="Y946" s="16"/>
      <c r="Z946" s="16"/>
      <c r="AA946" s="16"/>
      <c r="AB946" s="16"/>
      <c r="AC946" s="16"/>
      <c r="AD946" s="16"/>
    </row>
    <row r="947" spans="1:30" ht="12.9">
      <c r="A947" s="16"/>
      <c r="B947" s="24"/>
      <c r="C947" s="196"/>
      <c r="D947" s="196"/>
      <c r="E947" s="196"/>
      <c r="F947" s="16"/>
      <c r="G947" s="24"/>
      <c r="H947" s="24"/>
      <c r="I947" s="16"/>
      <c r="J947" s="16"/>
      <c r="K947" s="16"/>
      <c r="L947" s="16"/>
      <c r="M947" s="16"/>
      <c r="N947" s="16"/>
      <c r="O947" s="16"/>
      <c r="P947" s="16"/>
      <c r="Q947" s="16"/>
      <c r="R947" s="16"/>
      <c r="S947" s="16"/>
      <c r="T947" s="16"/>
      <c r="U947" s="16"/>
      <c r="V947" s="16"/>
      <c r="W947" s="16"/>
      <c r="X947" s="16"/>
      <c r="Y947" s="16"/>
      <c r="Z947" s="16"/>
      <c r="AA947" s="16"/>
      <c r="AB947" s="16"/>
      <c r="AC947" s="16"/>
      <c r="AD947" s="16"/>
    </row>
    <row r="948" spans="1:30" ht="12.9">
      <c r="A948" s="16"/>
      <c r="B948" s="24"/>
      <c r="C948" s="196"/>
      <c r="D948" s="196"/>
      <c r="E948" s="196"/>
      <c r="F948" s="16"/>
      <c r="G948" s="24"/>
      <c r="H948" s="24"/>
      <c r="I948" s="16"/>
      <c r="J948" s="16"/>
      <c r="K948" s="16"/>
      <c r="L948" s="16"/>
      <c r="M948" s="16"/>
      <c r="N948" s="16"/>
      <c r="O948" s="16"/>
      <c r="P948" s="16"/>
      <c r="Q948" s="16"/>
      <c r="R948" s="16"/>
      <c r="S948" s="16"/>
      <c r="T948" s="16"/>
      <c r="U948" s="16"/>
      <c r="V948" s="16"/>
      <c r="W948" s="16"/>
      <c r="X948" s="16"/>
      <c r="Y948" s="16"/>
      <c r="Z948" s="16"/>
      <c r="AA948" s="16"/>
      <c r="AB948" s="16"/>
      <c r="AC948" s="16"/>
      <c r="AD948" s="16"/>
    </row>
    <row r="949" spans="1:30" ht="12.9">
      <c r="A949" s="16"/>
      <c r="B949" s="24"/>
      <c r="C949" s="196"/>
      <c r="D949" s="196"/>
      <c r="E949" s="196"/>
      <c r="F949" s="16"/>
      <c r="G949" s="24"/>
      <c r="H949" s="24"/>
      <c r="I949" s="16"/>
      <c r="J949" s="16"/>
      <c r="K949" s="16"/>
      <c r="L949" s="16"/>
      <c r="M949" s="16"/>
      <c r="N949" s="16"/>
      <c r="O949" s="16"/>
      <c r="P949" s="16"/>
      <c r="Q949" s="16"/>
      <c r="R949" s="16"/>
      <c r="S949" s="16"/>
      <c r="T949" s="16"/>
      <c r="U949" s="16"/>
      <c r="V949" s="16"/>
      <c r="W949" s="16"/>
      <c r="X949" s="16"/>
      <c r="Y949" s="16"/>
      <c r="Z949" s="16"/>
      <c r="AA949" s="16"/>
      <c r="AB949" s="16"/>
      <c r="AC949" s="16"/>
      <c r="AD949" s="16"/>
    </row>
    <row r="950" spans="1:30" ht="12.9">
      <c r="A950" s="16"/>
      <c r="B950" s="24"/>
      <c r="C950" s="196"/>
      <c r="D950" s="196"/>
      <c r="E950" s="196"/>
      <c r="F950" s="16"/>
      <c r="G950" s="24"/>
      <c r="H950" s="24"/>
      <c r="I950" s="16"/>
      <c r="J950" s="16"/>
      <c r="K950" s="16"/>
      <c r="L950" s="16"/>
      <c r="M950" s="16"/>
      <c r="N950" s="16"/>
      <c r="O950" s="16"/>
      <c r="P950" s="16"/>
      <c r="Q950" s="16"/>
      <c r="R950" s="16"/>
      <c r="S950" s="16"/>
      <c r="T950" s="16"/>
      <c r="U950" s="16"/>
      <c r="V950" s="16"/>
      <c r="W950" s="16"/>
      <c r="X950" s="16"/>
      <c r="Y950" s="16"/>
      <c r="Z950" s="16"/>
      <c r="AA950" s="16"/>
      <c r="AB950" s="16"/>
      <c r="AC950" s="16"/>
      <c r="AD950" s="16"/>
    </row>
    <row r="951" spans="1:30" ht="12.9">
      <c r="A951" s="16"/>
      <c r="B951" s="24"/>
      <c r="C951" s="196"/>
      <c r="D951" s="196"/>
      <c r="E951" s="196"/>
      <c r="F951" s="16"/>
      <c r="G951" s="24"/>
      <c r="H951" s="24"/>
      <c r="I951" s="16"/>
      <c r="J951" s="16"/>
      <c r="K951" s="16"/>
      <c r="L951" s="16"/>
      <c r="M951" s="16"/>
      <c r="N951" s="16"/>
      <c r="O951" s="16"/>
      <c r="P951" s="16"/>
      <c r="Q951" s="16"/>
      <c r="R951" s="16"/>
      <c r="S951" s="16"/>
      <c r="T951" s="16"/>
      <c r="U951" s="16"/>
      <c r="V951" s="16"/>
      <c r="W951" s="16"/>
      <c r="X951" s="16"/>
      <c r="Y951" s="16"/>
      <c r="Z951" s="16"/>
      <c r="AA951" s="16"/>
      <c r="AB951" s="16"/>
      <c r="AC951" s="16"/>
      <c r="AD951" s="16"/>
    </row>
    <row r="952" spans="1:30" ht="12.9">
      <c r="A952" s="16"/>
      <c r="B952" s="24"/>
      <c r="C952" s="196"/>
      <c r="D952" s="196"/>
      <c r="E952" s="196"/>
      <c r="F952" s="16"/>
      <c r="G952" s="24"/>
      <c r="H952" s="24"/>
      <c r="I952" s="16"/>
      <c r="J952" s="16"/>
      <c r="K952" s="16"/>
      <c r="L952" s="16"/>
      <c r="M952" s="16"/>
      <c r="N952" s="16"/>
      <c r="O952" s="16"/>
      <c r="P952" s="16"/>
      <c r="Q952" s="16"/>
      <c r="R952" s="16"/>
      <c r="S952" s="16"/>
      <c r="T952" s="16"/>
      <c r="U952" s="16"/>
      <c r="V952" s="16"/>
      <c r="W952" s="16"/>
      <c r="X952" s="16"/>
      <c r="Y952" s="16"/>
      <c r="Z952" s="16"/>
      <c r="AA952" s="16"/>
      <c r="AB952" s="16"/>
      <c r="AC952" s="16"/>
      <c r="AD952" s="16"/>
    </row>
    <row r="953" spans="1:30" ht="12.9">
      <c r="A953" s="16"/>
      <c r="B953" s="24"/>
      <c r="C953" s="196"/>
      <c r="D953" s="196"/>
      <c r="E953" s="196"/>
      <c r="F953" s="16"/>
      <c r="G953" s="24"/>
      <c r="H953" s="24"/>
      <c r="I953" s="16"/>
      <c r="J953" s="16"/>
      <c r="K953" s="16"/>
      <c r="L953" s="16"/>
      <c r="M953" s="16"/>
      <c r="N953" s="16"/>
      <c r="O953" s="16"/>
      <c r="P953" s="16"/>
      <c r="Q953" s="16"/>
      <c r="R953" s="16"/>
      <c r="S953" s="16"/>
      <c r="T953" s="16"/>
      <c r="U953" s="16"/>
      <c r="V953" s="16"/>
      <c r="W953" s="16"/>
      <c r="X953" s="16"/>
      <c r="Y953" s="16"/>
      <c r="Z953" s="16"/>
      <c r="AA953" s="16"/>
      <c r="AB953" s="16"/>
      <c r="AC953" s="16"/>
      <c r="AD953" s="16"/>
    </row>
    <row r="954" spans="1:30" ht="12.9">
      <c r="A954" s="16"/>
      <c r="B954" s="24"/>
      <c r="C954" s="196"/>
      <c r="D954" s="196"/>
      <c r="E954" s="196"/>
      <c r="F954" s="16"/>
      <c r="G954" s="24"/>
      <c r="H954" s="24"/>
      <c r="I954" s="16"/>
      <c r="J954" s="16"/>
      <c r="K954" s="16"/>
      <c r="L954" s="16"/>
      <c r="M954" s="16"/>
      <c r="N954" s="16"/>
      <c r="O954" s="16"/>
      <c r="P954" s="16"/>
      <c r="Q954" s="16"/>
      <c r="R954" s="16"/>
      <c r="S954" s="16"/>
      <c r="T954" s="16"/>
      <c r="U954" s="16"/>
      <c r="V954" s="16"/>
      <c r="W954" s="16"/>
      <c r="X954" s="16"/>
      <c r="Y954" s="16"/>
      <c r="Z954" s="16"/>
      <c r="AA954" s="16"/>
      <c r="AB954" s="16"/>
      <c r="AC954" s="16"/>
      <c r="AD954" s="16"/>
    </row>
    <row r="955" spans="1:30" ht="12.9">
      <c r="A955" s="16"/>
      <c r="B955" s="24"/>
      <c r="C955" s="196"/>
      <c r="D955" s="196"/>
      <c r="E955" s="196"/>
      <c r="F955" s="16"/>
      <c r="G955" s="24"/>
      <c r="H955" s="24"/>
      <c r="I955" s="16"/>
      <c r="J955" s="16"/>
      <c r="K955" s="16"/>
      <c r="L955" s="16"/>
      <c r="M955" s="16"/>
      <c r="N955" s="16"/>
      <c r="O955" s="16"/>
      <c r="P955" s="16"/>
      <c r="Q955" s="16"/>
      <c r="R955" s="16"/>
      <c r="S955" s="16"/>
      <c r="T955" s="16"/>
      <c r="U955" s="16"/>
      <c r="V955" s="16"/>
      <c r="W955" s="16"/>
      <c r="X955" s="16"/>
      <c r="Y955" s="16"/>
      <c r="Z955" s="16"/>
      <c r="AA955" s="16"/>
      <c r="AB955" s="16"/>
      <c r="AC955" s="16"/>
      <c r="AD955" s="16"/>
    </row>
    <row r="956" spans="1:30" ht="12.9">
      <c r="A956" s="16"/>
      <c r="B956" s="24"/>
      <c r="C956" s="196"/>
      <c r="D956" s="196"/>
      <c r="E956" s="196"/>
      <c r="F956" s="16"/>
      <c r="G956" s="24"/>
      <c r="H956" s="24"/>
      <c r="I956" s="16"/>
      <c r="J956" s="16"/>
      <c r="K956" s="16"/>
      <c r="L956" s="16"/>
      <c r="M956" s="16"/>
      <c r="N956" s="16"/>
      <c r="O956" s="16"/>
      <c r="P956" s="16"/>
      <c r="Q956" s="16"/>
      <c r="R956" s="16"/>
      <c r="S956" s="16"/>
      <c r="T956" s="16"/>
      <c r="U956" s="16"/>
      <c r="V956" s="16"/>
      <c r="W956" s="16"/>
      <c r="X956" s="16"/>
      <c r="Y956" s="16"/>
      <c r="Z956" s="16"/>
      <c r="AA956" s="16"/>
      <c r="AB956" s="16"/>
      <c r="AC956" s="16"/>
      <c r="AD956" s="16"/>
    </row>
    <row r="957" spans="1:30" ht="12.9">
      <c r="A957" s="16"/>
      <c r="B957" s="24"/>
      <c r="C957" s="196"/>
      <c r="D957" s="196"/>
      <c r="E957" s="196"/>
      <c r="F957" s="16"/>
      <c r="G957" s="24"/>
      <c r="H957" s="24"/>
      <c r="I957" s="16"/>
      <c r="J957" s="16"/>
      <c r="K957" s="16"/>
      <c r="L957" s="16"/>
      <c r="M957" s="16"/>
      <c r="N957" s="16"/>
      <c r="O957" s="16"/>
      <c r="P957" s="16"/>
      <c r="Q957" s="16"/>
      <c r="R957" s="16"/>
      <c r="S957" s="16"/>
      <c r="T957" s="16"/>
      <c r="U957" s="16"/>
      <c r="V957" s="16"/>
      <c r="W957" s="16"/>
      <c r="X957" s="16"/>
      <c r="Y957" s="16"/>
      <c r="Z957" s="16"/>
      <c r="AA957" s="16"/>
      <c r="AB957" s="16"/>
      <c r="AC957" s="16"/>
      <c r="AD957" s="16"/>
    </row>
    <row r="958" spans="1:30" ht="12.9">
      <c r="A958" s="16"/>
      <c r="B958" s="24"/>
      <c r="C958" s="196"/>
      <c r="D958" s="196"/>
      <c r="E958" s="196"/>
      <c r="F958" s="16"/>
      <c r="G958" s="24"/>
      <c r="H958" s="24"/>
      <c r="I958" s="16"/>
      <c r="J958" s="16"/>
      <c r="K958" s="16"/>
      <c r="L958" s="16"/>
      <c r="M958" s="16"/>
      <c r="N958" s="16"/>
      <c r="O958" s="16"/>
      <c r="P958" s="16"/>
      <c r="Q958" s="16"/>
      <c r="R958" s="16"/>
      <c r="S958" s="16"/>
      <c r="T958" s="16"/>
      <c r="U958" s="16"/>
      <c r="V958" s="16"/>
      <c r="W958" s="16"/>
      <c r="X958" s="16"/>
      <c r="Y958" s="16"/>
      <c r="Z958" s="16"/>
      <c r="AA958" s="16"/>
      <c r="AB958" s="16"/>
      <c r="AC958" s="16"/>
      <c r="AD958" s="16"/>
    </row>
    <row r="959" spans="1:30" ht="12.9">
      <c r="A959" s="16"/>
      <c r="B959" s="24"/>
      <c r="C959" s="196"/>
      <c r="D959" s="196"/>
      <c r="E959" s="196"/>
      <c r="F959" s="16"/>
      <c r="G959" s="24"/>
      <c r="H959" s="24"/>
      <c r="I959" s="16"/>
      <c r="J959" s="16"/>
      <c r="K959" s="16"/>
      <c r="L959" s="16"/>
      <c r="M959" s="16"/>
      <c r="N959" s="16"/>
      <c r="O959" s="16"/>
      <c r="P959" s="16"/>
      <c r="Q959" s="16"/>
      <c r="R959" s="16"/>
      <c r="S959" s="16"/>
      <c r="T959" s="16"/>
      <c r="U959" s="16"/>
      <c r="V959" s="16"/>
      <c r="W959" s="16"/>
      <c r="X959" s="16"/>
      <c r="Y959" s="16"/>
      <c r="Z959" s="16"/>
      <c r="AA959" s="16"/>
      <c r="AB959" s="16"/>
      <c r="AC959" s="16"/>
      <c r="AD959" s="16"/>
    </row>
    <row r="960" spans="1:30" ht="12.9">
      <c r="A960" s="16"/>
      <c r="B960" s="24"/>
      <c r="C960" s="196"/>
      <c r="D960" s="196"/>
      <c r="E960" s="196"/>
      <c r="F960" s="16"/>
      <c r="G960" s="24"/>
      <c r="H960" s="24"/>
      <c r="I960" s="16"/>
      <c r="J960" s="16"/>
      <c r="K960" s="16"/>
      <c r="L960" s="16"/>
      <c r="M960" s="16"/>
      <c r="N960" s="16"/>
      <c r="O960" s="16"/>
      <c r="P960" s="16"/>
      <c r="Q960" s="16"/>
      <c r="R960" s="16"/>
      <c r="S960" s="16"/>
      <c r="T960" s="16"/>
      <c r="U960" s="16"/>
      <c r="V960" s="16"/>
      <c r="W960" s="16"/>
      <c r="X960" s="16"/>
      <c r="Y960" s="16"/>
      <c r="Z960" s="16"/>
      <c r="AA960" s="16"/>
      <c r="AB960" s="16"/>
      <c r="AC960" s="16"/>
      <c r="AD960" s="16"/>
    </row>
    <row r="961" spans="1:30" ht="12.9">
      <c r="A961" s="16"/>
      <c r="B961" s="24"/>
      <c r="C961" s="196"/>
      <c r="D961" s="196"/>
      <c r="E961" s="196"/>
      <c r="F961" s="16"/>
      <c r="G961" s="24"/>
      <c r="H961" s="24"/>
      <c r="I961" s="16"/>
      <c r="J961" s="16"/>
      <c r="K961" s="16"/>
      <c r="L961" s="16"/>
      <c r="M961" s="16"/>
      <c r="N961" s="16"/>
      <c r="O961" s="16"/>
      <c r="P961" s="16"/>
      <c r="Q961" s="16"/>
      <c r="R961" s="16"/>
      <c r="S961" s="16"/>
      <c r="T961" s="16"/>
      <c r="U961" s="16"/>
      <c r="V961" s="16"/>
      <c r="W961" s="16"/>
      <c r="X961" s="16"/>
      <c r="Y961" s="16"/>
      <c r="Z961" s="16"/>
      <c r="AA961" s="16"/>
      <c r="AB961" s="16"/>
      <c r="AC961" s="16"/>
      <c r="AD961" s="16"/>
    </row>
    <row r="962" spans="1:30" ht="12.9">
      <c r="A962" s="16"/>
      <c r="B962" s="24"/>
      <c r="C962" s="196"/>
      <c r="D962" s="196"/>
      <c r="E962" s="196"/>
      <c r="F962" s="16"/>
      <c r="G962" s="24"/>
      <c r="H962" s="24"/>
      <c r="I962" s="16"/>
      <c r="J962" s="16"/>
      <c r="K962" s="16"/>
      <c r="L962" s="16"/>
      <c r="M962" s="16"/>
      <c r="N962" s="16"/>
      <c r="O962" s="16"/>
      <c r="P962" s="16"/>
      <c r="Q962" s="16"/>
      <c r="R962" s="16"/>
      <c r="S962" s="16"/>
      <c r="T962" s="16"/>
      <c r="U962" s="16"/>
      <c r="V962" s="16"/>
      <c r="W962" s="16"/>
      <c r="X962" s="16"/>
      <c r="Y962" s="16"/>
      <c r="Z962" s="16"/>
      <c r="AA962" s="16"/>
      <c r="AB962" s="16"/>
      <c r="AC962" s="16"/>
      <c r="AD962" s="16"/>
    </row>
    <row r="963" spans="1:30" ht="12.9">
      <c r="A963" s="16"/>
      <c r="B963" s="24"/>
      <c r="C963" s="196"/>
      <c r="D963" s="196"/>
      <c r="E963" s="196"/>
      <c r="F963" s="16"/>
      <c r="G963" s="24"/>
      <c r="H963" s="24"/>
      <c r="I963" s="16"/>
      <c r="J963" s="16"/>
      <c r="K963" s="16"/>
      <c r="L963" s="16"/>
      <c r="M963" s="16"/>
      <c r="N963" s="16"/>
      <c r="O963" s="16"/>
      <c r="P963" s="16"/>
      <c r="Q963" s="16"/>
      <c r="R963" s="16"/>
      <c r="S963" s="16"/>
      <c r="T963" s="16"/>
      <c r="U963" s="16"/>
      <c r="V963" s="16"/>
      <c r="W963" s="16"/>
      <c r="X963" s="16"/>
      <c r="Y963" s="16"/>
      <c r="Z963" s="16"/>
      <c r="AA963" s="16"/>
      <c r="AB963" s="16"/>
      <c r="AC963" s="16"/>
      <c r="AD963" s="16"/>
    </row>
    <row r="964" spans="1:30" ht="12.9">
      <c r="A964" s="16"/>
      <c r="B964" s="24"/>
      <c r="C964" s="196"/>
      <c r="D964" s="196"/>
      <c r="E964" s="196"/>
      <c r="F964" s="16"/>
      <c r="G964" s="24"/>
      <c r="H964" s="24"/>
      <c r="I964" s="16"/>
      <c r="J964" s="16"/>
      <c r="K964" s="16"/>
      <c r="L964" s="16"/>
      <c r="M964" s="16"/>
      <c r="N964" s="16"/>
      <c r="O964" s="16"/>
      <c r="P964" s="16"/>
      <c r="Q964" s="16"/>
      <c r="R964" s="16"/>
      <c r="S964" s="16"/>
      <c r="T964" s="16"/>
      <c r="U964" s="16"/>
      <c r="V964" s="16"/>
      <c r="W964" s="16"/>
      <c r="X964" s="16"/>
      <c r="Y964" s="16"/>
      <c r="Z964" s="16"/>
      <c r="AA964" s="16"/>
      <c r="AB964" s="16"/>
      <c r="AC964" s="16"/>
      <c r="AD964" s="16"/>
    </row>
    <row r="965" spans="1:30" ht="12.9">
      <c r="A965" s="16"/>
      <c r="B965" s="24"/>
      <c r="C965" s="196"/>
      <c r="D965" s="196"/>
      <c r="E965" s="196"/>
      <c r="F965" s="16"/>
      <c r="G965" s="24"/>
      <c r="H965" s="24"/>
      <c r="I965" s="16"/>
      <c r="J965" s="16"/>
      <c r="K965" s="16"/>
      <c r="L965" s="16"/>
      <c r="M965" s="16"/>
      <c r="N965" s="16"/>
      <c r="O965" s="16"/>
      <c r="P965" s="16"/>
      <c r="Q965" s="16"/>
      <c r="R965" s="16"/>
      <c r="S965" s="16"/>
      <c r="T965" s="16"/>
      <c r="U965" s="16"/>
      <c r="V965" s="16"/>
      <c r="W965" s="16"/>
      <c r="X965" s="16"/>
      <c r="Y965" s="16"/>
      <c r="Z965" s="16"/>
      <c r="AA965" s="16"/>
      <c r="AB965" s="16"/>
      <c r="AC965" s="16"/>
      <c r="AD965" s="16"/>
    </row>
    <row r="966" spans="1:30" ht="12.9">
      <c r="A966" s="16"/>
      <c r="B966" s="24"/>
      <c r="C966" s="196"/>
      <c r="D966" s="196"/>
      <c r="E966" s="196"/>
      <c r="F966" s="16"/>
      <c r="G966" s="24"/>
      <c r="H966" s="24"/>
      <c r="I966" s="16"/>
      <c r="J966" s="16"/>
      <c r="K966" s="16"/>
      <c r="L966" s="16"/>
      <c r="M966" s="16"/>
      <c r="N966" s="16"/>
      <c r="O966" s="16"/>
      <c r="P966" s="16"/>
      <c r="Q966" s="16"/>
      <c r="R966" s="16"/>
      <c r="S966" s="16"/>
      <c r="T966" s="16"/>
      <c r="U966" s="16"/>
      <c r="V966" s="16"/>
      <c r="W966" s="16"/>
      <c r="X966" s="16"/>
      <c r="Y966" s="16"/>
      <c r="Z966" s="16"/>
      <c r="AA966" s="16"/>
      <c r="AB966" s="16"/>
      <c r="AC966" s="16"/>
      <c r="AD966" s="16"/>
    </row>
    <row r="967" spans="1:30" ht="12.9">
      <c r="A967" s="16"/>
      <c r="B967" s="24"/>
      <c r="C967" s="196"/>
      <c r="D967" s="196"/>
      <c r="E967" s="196"/>
      <c r="F967" s="16"/>
      <c r="G967" s="24"/>
      <c r="H967" s="24"/>
      <c r="I967" s="16"/>
      <c r="J967" s="16"/>
      <c r="K967" s="16"/>
      <c r="L967" s="16"/>
      <c r="M967" s="16"/>
      <c r="N967" s="16"/>
      <c r="O967" s="16"/>
      <c r="P967" s="16"/>
      <c r="Q967" s="16"/>
      <c r="R967" s="16"/>
      <c r="S967" s="16"/>
      <c r="T967" s="16"/>
      <c r="U967" s="16"/>
      <c r="V967" s="16"/>
      <c r="W967" s="16"/>
      <c r="X967" s="16"/>
      <c r="Y967" s="16"/>
      <c r="Z967" s="16"/>
      <c r="AA967" s="16"/>
      <c r="AB967" s="16"/>
      <c r="AC967" s="16"/>
      <c r="AD967" s="16"/>
    </row>
    <row r="968" spans="1:30" ht="12.9">
      <c r="A968" s="16"/>
      <c r="B968" s="24"/>
      <c r="C968" s="196"/>
      <c r="D968" s="196"/>
      <c r="E968" s="196"/>
      <c r="F968" s="16"/>
      <c r="G968" s="24"/>
      <c r="H968" s="24"/>
      <c r="I968" s="16"/>
      <c r="J968" s="16"/>
      <c r="K968" s="16"/>
      <c r="L968" s="16"/>
      <c r="M968" s="16"/>
      <c r="N968" s="16"/>
      <c r="O968" s="16"/>
      <c r="P968" s="16"/>
      <c r="Q968" s="16"/>
      <c r="R968" s="16"/>
      <c r="S968" s="16"/>
      <c r="T968" s="16"/>
      <c r="U968" s="16"/>
      <c r="V968" s="16"/>
      <c r="W968" s="16"/>
      <c r="X968" s="16"/>
      <c r="Y968" s="16"/>
      <c r="Z968" s="16"/>
      <c r="AA968" s="16"/>
      <c r="AB968" s="16"/>
      <c r="AC968" s="16"/>
      <c r="AD968" s="16"/>
    </row>
    <row r="969" spans="1:30" ht="12.9">
      <c r="A969" s="16"/>
      <c r="B969" s="24"/>
      <c r="C969" s="196"/>
      <c r="D969" s="196"/>
      <c r="E969" s="196"/>
      <c r="F969" s="16"/>
      <c r="G969" s="24"/>
      <c r="H969" s="24"/>
      <c r="I969" s="16"/>
      <c r="J969" s="16"/>
      <c r="K969" s="16"/>
      <c r="L969" s="16"/>
      <c r="M969" s="16"/>
      <c r="N969" s="16"/>
      <c r="O969" s="16"/>
      <c r="P969" s="16"/>
      <c r="Q969" s="16"/>
      <c r="R969" s="16"/>
      <c r="S969" s="16"/>
      <c r="T969" s="16"/>
      <c r="U969" s="16"/>
      <c r="V969" s="16"/>
      <c r="W969" s="16"/>
      <c r="X969" s="16"/>
      <c r="Y969" s="16"/>
      <c r="Z969" s="16"/>
      <c r="AA969" s="16"/>
      <c r="AB969" s="16"/>
      <c r="AC969" s="16"/>
      <c r="AD969" s="16"/>
    </row>
    <row r="970" spans="1:30" ht="12.9">
      <c r="A970" s="16"/>
      <c r="B970" s="24"/>
      <c r="C970" s="196"/>
      <c r="D970" s="196"/>
      <c r="E970" s="196"/>
      <c r="F970" s="16"/>
      <c r="G970" s="24"/>
      <c r="H970" s="24"/>
      <c r="I970" s="16"/>
      <c r="J970" s="16"/>
      <c r="K970" s="16"/>
      <c r="L970" s="16"/>
      <c r="M970" s="16"/>
      <c r="N970" s="16"/>
      <c r="O970" s="16"/>
      <c r="P970" s="16"/>
      <c r="Q970" s="16"/>
      <c r="R970" s="16"/>
      <c r="S970" s="16"/>
      <c r="T970" s="16"/>
      <c r="U970" s="16"/>
      <c r="V970" s="16"/>
      <c r="W970" s="16"/>
      <c r="X970" s="16"/>
      <c r="Y970" s="16"/>
      <c r="Z970" s="16"/>
      <c r="AA970" s="16"/>
      <c r="AB970" s="16"/>
      <c r="AC970" s="16"/>
      <c r="AD970" s="16"/>
    </row>
    <row r="971" spans="1:30" ht="12.9">
      <c r="A971" s="16"/>
      <c r="B971" s="24"/>
      <c r="C971" s="196"/>
      <c r="D971" s="196"/>
      <c r="E971" s="196"/>
      <c r="F971" s="16"/>
      <c r="G971" s="24"/>
      <c r="H971" s="24"/>
      <c r="I971" s="16"/>
      <c r="J971" s="16"/>
      <c r="K971" s="16"/>
      <c r="L971" s="16"/>
      <c r="M971" s="16"/>
      <c r="N971" s="16"/>
      <c r="O971" s="16"/>
      <c r="P971" s="16"/>
      <c r="Q971" s="16"/>
      <c r="R971" s="16"/>
      <c r="S971" s="16"/>
      <c r="T971" s="16"/>
      <c r="U971" s="16"/>
      <c r="V971" s="16"/>
      <c r="W971" s="16"/>
      <c r="X971" s="16"/>
      <c r="Y971" s="16"/>
      <c r="Z971" s="16"/>
      <c r="AA971" s="16"/>
      <c r="AB971" s="16"/>
      <c r="AC971" s="16"/>
      <c r="AD971" s="16"/>
    </row>
    <row r="972" spans="1:30" ht="12.9">
      <c r="A972" s="16"/>
      <c r="B972" s="24"/>
      <c r="C972" s="196"/>
      <c r="D972" s="196"/>
      <c r="E972" s="196"/>
      <c r="F972" s="16"/>
      <c r="G972" s="24"/>
      <c r="H972" s="24"/>
      <c r="I972" s="16"/>
      <c r="J972" s="16"/>
      <c r="K972" s="16"/>
      <c r="L972" s="16"/>
      <c r="M972" s="16"/>
      <c r="N972" s="16"/>
      <c r="O972" s="16"/>
      <c r="P972" s="16"/>
      <c r="Q972" s="16"/>
      <c r="R972" s="16"/>
      <c r="S972" s="16"/>
      <c r="T972" s="16"/>
      <c r="U972" s="16"/>
      <c r="V972" s="16"/>
      <c r="W972" s="16"/>
      <c r="X972" s="16"/>
      <c r="Y972" s="16"/>
      <c r="Z972" s="16"/>
      <c r="AA972" s="16"/>
      <c r="AB972" s="16"/>
      <c r="AC972" s="16"/>
      <c r="AD972" s="16"/>
    </row>
    <row r="973" spans="1:30" ht="12.9">
      <c r="A973" s="16"/>
      <c r="B973" s="24"/>
      <c r="C973" s="196"/>
      <c r="D973" s="196"/>
      <c r="E973" s="196"/>
      <c r="F973" s="16"/>
      <c r="G973" s="24"/>
      <c r="H973" s="24"/>
      <c r="I973" s="16"/>
      <c r="J973" s="16"/>
      <c r="K973" s="16"/>
      <c r="L973" s="16"/>
      <c r="M973" s="16"/>
      <c r="N973" s="16"/>
      <c r="O973" s="16"/>
      <c r="P973" s="16"/>
      <c r="Q973" s="16"/>
      <c r="R973" s="16"/>
      <c r="S973" s="16"/>
      <c r="T973" s="16"/>
      <c r="U973" s="16"/>
      <c r="V973" s="16"/>
      <c r="W973" s="16"/>
      <c r="X973" s="16"/>
      <c r="Y973" s="16"/>
      <c r="Z973" s="16"/>
      <c r="AA973" s="16"/>
      <c r="AB973" s="16"/>
      <c r="AC973" s="16"/>
      <c r="AD973" s="16"/>
    </row>
    <row r="974" spans="1:30" ht="12.9">
      <c r="A974" s="16"/>
      <c r="B974" s="24"/>
      <c r="C974" s="196"/>
      <c r="D974" s="196"/>
      <c r="E974" s="196"/>
      <c r="F974" s="16"/>
      <c r="G974" s="24"/>
      <c r="H974" s="24"/>
      <c r="I974" s="16"/>
      <c r="J974" s="16"/>
      <c r="K974" s="16"/>
      <c r="L974" s="16"/>
      <c r="M974" s="16"/>
      <c r="N974" s="16"/>
      <c r="O974" s="16"/>
      <c r="P974" s="16"/>
      <c r="Q974" s="16"/>
      <c r="R974" s="16"/>
      <c r="S974" s="16"/>
      <c r="T974" s="16"/>
      <c r="U974" s="16"/>
      <c r="V974" s="16"/>
      <c r="W974" s="16"/>
      <c r="X974" s="16"/>
      <c r="Y974" s="16"/>
      <c r="Z974" s="16"/>
      <c r="AA974" s="16"/>
      <c r="AB974" s="16"/>
      <c r="AC974" s="16"/>
      <c r="AD974" s="16"/>
    </row>
    <row r="975" spans="1:30" ht="12.9">
      <c r="A975" s="16"/>
      <c r="B975" s="24"/>
      <c r="C975" s="196"/>
      <c r="D975" s="196"/>
      <c r="E975" s="196"/>
      <c r="F975" s="16"/>
      <c r="G975" s="24"/>
      <c r="H975" s="24"/>
      <c r="I975" s="16"/>
      <c r="J975" s="16"/>
      <c r="K975" s="16"/>
      <c r="L975" s="16"/>
      <c r="M975" s="16"/>
      <c r="N975" s="16"/>
      <c r="O975" s="16"/>
      <c r="P975" s="16"/>
      <c r="Q975" s="16"/>
      <c r="R975" s="16"/>
      <c r="S975" s="16"/>
      <c r="T975" s="16"/>
      <c r="U975" s="16"/>
      <c r="V975" s="16"/>
      <c r="W975" s="16"/>
      <c r="X975" s="16"/>
      <c r="Y975" s="16"/>
      <c r="Z975" s="16"/>
      <c r="AA975" s="16"/>
      <c r="AB975" s="16"/>
      <c r="AC975" s="16"/>
      <c r="AD975" s="16"/>
    </row>
    <row r="976" spans="1:30" ht="12.9">
      <c r="A976" s="16"/>
      <c r="B976" s="24"/>
      <c r="C976" s="196"/>
      <c r="D976" s="196"/>
      <c r="E976" s="196"/>
      <c r="F976" s="16"/>
      <c r="G976" s="24"/>
      <c r="H976" s="24"/>
      <c r="I976" s="16"/>
      <c r="J976" s="16"/>
      <c r="K976" s="16"/>
      <c r="L976" s="16"/>
      <c r="M976" s="16"/>
      <c r="N976" s="16"/>
      <c r="O976" s="16"/>
      <c r="P976" s="16"/>
      <c r="Q976" s="16"/>
      <c r="R976" s="16"/>
      <c r="S976" s="16"/>
      <c r="T976" s="16"/>
      <c r="U976" s="16"/>
      <c r="V976" s="16"/>
      <c r="W976" s="16"/>
      <c r="X976" s="16"/>
      <c r="Y976" s="16"/>
      <c r="Z976" s="16"/>
      <c r="AA976" s="16"/>
      <c r="AB976" s="16"/>
      <c r="AC976" s="16"/>
      <c r="AD976" s="16"/>
    </row>
    <row r="977" spans="1:30" ht="12.9">
      <c r="A977" s="16"/>
      <c r="B977" s="24"/>
      <c r="C977" s="196"/>
      <c r="D977" s="196"/>
      <c r="E977" s="196"/>
      <c r="F977" s="16"/>
      <c r="G977" s="24"/>
      <c r="H977" s="24"/>
      <c r="I977" s="16"/>
      <c r="J977" s="16"/>
      <c r="K977" s="16"/>
      <c r="L977" s="16"/>
      <c r="M977" s="16"/>
      <c r="N977" s="16"/>
      <c r="O977" s="16"/>
      <c r="P977" s="16"/>
      <c r="Q977" s="16"/>
      <c r="R977" s="16"/>
      <c r="S977" s="16"/>
      <c r="T977" s="16"/>
      <c r="U977" s="16"/>
      <c r="V977" s="16"/>
      <c r="W977" s="16"/>
      <c r="X977" s="16"/>
      <c r="Y977" s="16"/>
      <c r="Z977" s="16"/>
      <c r="AA977" s="16"/>
      <c r="AB977" s="16"/>
      <c r="AC977" s="16"/>
      <c r="AD977" s="16"/>
    </row>
    <row r="978" spans="1:30" ht="12.9">
      <c r="A978" s="16"/>
      <c r="B978" s="24"/>
      <c r="C978" s="196"/>
      <c r="D978" s="196"/>
      <c r="E978" s="196"/>
      <c r="F978" s="16"/>
      <c r="G978" s="24"/>
      <c r="H978" s="24"/>
      <c r="I978" s="16"/>
      <c r="J978" s="16"/>
      <c r="K978" s="16"/>
      <c r="L978" s="16"/>
      <c r="M978" s="16"/>
      <c r="N978" s="16"/>
      <c r="O978" s="16"/>
      <c r="P978" s="16"/>
      <c r="Q978" s="16"/>
      <c r="R978" s="16"/>
      <c r="S978" s="16"/>
      <c r="T978" s="16"/>
      <c r="U978" s="16"/>
      <c r="V978" s="16"/>
      <c r="W978" s="16"/>
      <c r="X978" s="16"/>
      <c r="Y978" s="16"/>
      <c r="Z978" s="16"/>
      <c r="AA978" s="16"/>
      <c r="AB978" s="16"/>
      <c r="AC978" s="16"/>
      <c r="AD978" s="16"/>
    </row>
    <row r="979" spans="1:30" ht="12.9">
      <c r="A979" s="16"/>
      <c r="B979" s="24"/>
      <c r="C979" s="196"/>
      <c r="D979" s="196"/>
      <c r="E979" s="196"/>
      <c r="F979" s="16"/>
      <c r="G979" s="24"/>
      <c r="H979" s="24"/>
      <c r="I979" s="16"/>
      <c r="J979" s="16"/>
      <c r="K979" s="16"/>
      <c r="L979" s="16"/>
      <c r="M979" s="16"/>
      <c r="N979" s="16"/>
      <c r="O979" s="16"/>
      <c r="P979" s="16"/>
      <c r="Q979" s="16"/>
      <c r="R979" s="16"/>
      <c r="S979" s="16"/>
      <c r="T979" s="16"/>
      <c r="U979" s="16"/>
      <c r="V979" s="16"/>
      <c r="W979" s="16"/>
      <c r="X979" s="16"/>
      <c r="Y979" s="16"/>
      <c r="Z979" s="16"/>
      <c r="AA979" s="16"/>
      <c r="AB979" s="16"/>
      <c r="AC979" s="16"/>
      <c r="AD979" s="16"/>
    </row>
    <row r="980" spans="1:30" ht="12.9">
      <c r="A980" s="16"/>
      <c r="B980" s="24"/>
      <c r="C980" s="196"/>
      <c r="D980" s="196"/>
      <c r="E980" s="196"/>
      <c r="F980" s="16"/>
      <c r="G980" s="24"/>
      <c r="H980" s="24"/>
      <c r="I980" s="16"/>
      <c r="J980" s="16"/>
      <c r="K980" s="16"/>
      <c r="L980" s="16"/>
      <c r="M980" s="16"/>
      <c r="N980" s="16"/>
      <c r="O980" s="16"/>
      <c r="P980" s="16"/>
      <c r="Q980" s="16"/>
      <c r="R980" s="16"/>
      <c r="S980" s="16"/>
      <c r="T980" s="16"/>
      <c r="U980" s="16"/>
      <c r="V980" s="16"/>
      <c r="W980" s="16"/>
      <c r="X980" s="16"/>
      <c r="Y980" s="16"/>
      <c r="Z980" s="16"/>
      <c r="AA980" s="16"/>
      <c r="AB980" s="16"/>
      <c r="AC980" s="16"/>
      <c r="AD980" s="16"/>
    </row>
    <row r="981" spans="1:30" ht="12.9">
      <c r="A981" s="16"/>
      <c r="B981" s="24"/>
      <c r="C981" s="196"/>
      <c r="D981" s="196"/>
      <c r="E981" s="196"/>
      <c r="F981" s="16"/>
      <c r="G981" s="24"/>
      <c r="H981" s="24"/>
      <c r="I981" s="16"/>
      <c r="J981" s="16"/>
      <c r="K981" s="16"/>
      <c r="L981" s="16"/>
      <c r="M981" s="16"/>
      <c r="N981" s="16"/>
      <c r="O981" s="16"/>
      <c r="P981" s="16"/>
      <c r="Q981" s="16"/>
      <c r="R981" s="16"/>
      <c r="S981" s="16"/>
      <c r="T981" s="16"/>
      <c r="U981" s="16"/>
      <c r="V981" s="16"/>
      <c r="W981" s="16"/>
      <c r="X981" s="16"/>
      <c r="Y981" s="16"/>
      <c r="Z981" s="16"/>
      <c r="AA981" s="16"/>
      <c r="AB981" s="16"/>
      <c r="AC981" s="16"/>
      <c r="AD981" s="16"/>
    </row>
    <row r="982" spans="1:30" ht="12.9">
      <c r="A982" s="16"/>
      <c r="B982" s="24"/>
      <c r="C982" s="196"/>
      <c r="D982" s="196"/>
      <c r="E982" s="196"/>
      <c r="F982" s="16"/>
      <c r="G982" s="24"/>
      <c r="H982" s="24"/>
      <c r="I982" s="16"/>
      <c r="J982" s="16"/>
      <c r="K982" s="16"/>
      <c r="L982" s="16"/>
      <c r="M982" s="16"/>
      <c r="N982" s="16"/>
      <c r="O982" s="16"/>
      <c r="P982" s="16"/>
      <c r="Q982" s="16"/>
      <c r="R982" s="16"/>
      <c r="S982" s="16"/>
      <c r="T982" s="16"/>
      <c r="U982" s="16"/>
      <c r="V982" s="16"/>
      <c r="W982" s="16"/>
      <c r="X982" s="16"/>
      <c r="Y982" s="16"/>
      <c r="Z982" s="16"/>
      <c r="AA982" s="16"/>
      <c r="AB982" s="16"/>
      <c r="AC982" s="16"/>
      <c r="AD982" s="16"/>
    </row>
    <row r="983" spans="1:30" ht="12.9">
      <c r="A983" s="16"/>
      <c r="B983" s="24"/>
      <c r="C983" s="196"/>
      <c r="D983" s="196"/>
      <c r="E983" s="196"/>
      <c r="F983" s="16"/>
      <c r="G983" s="24"/>
      <c r="H983" s="24"/>
      <c r="I983" s="16"/>
      <c r="J983" s="16"/>
      <c r="K983" s="16"/>
      <c r="L983" s="16"/>
      <c r="M983" s="16"/>
      <c r="N983" s="16"/>
      <c r="O983" s="16"/>
      <c r="P983" s="16"/>
      <c r="Q983" s="16"/>
      <c r="R983" s="16"/>
      <c r="S983" s="16"/>
      <c r="T983" s="16"/>
      <c r="U983" s="16"/>
      <c r="V983" s="16"/>
      <c r="W983" s="16"/>
      <c r="X983" s="16"/>
      <c r="Y983" s="16"/>
      <c r="Z983" s="16"/>
      <c r="AA983" s="16"/>
      <c r="AB983" s="16"/>
      <c r="AC983" s="16"/>
      <c r="AD983" s="16"/>
    </row>
    <row r="984" spans="1:30" ht="12.9">
      <c r="A984" s="16"/>
      <c r="B984" s="24"/>
      <c r="C984" s="196"/>
      <c r="D984" s="196"/>
      <c r="E984" s="196"/>
      <c r="F984" s="16"/>
      <c r="G984" s="24"/>
      <c r="H984" s="24"/>
      <c r="I984" s="16"/>
      <c r="J984" s="16"/>
      <c r="K984" s="16"/>
      <c r="L984" s="16"/>
      <c r="M984" s="16"/>
      <c r="N984" s="16"/>
      <c r="O984" s="16"/>
      <c r="P984" s="16"/>
      <c r="Q984" s="16"/>
      <c r="R984" s="16"/>
      <c r="S984" s="16"/>
      <c r="T984" s="16"/>
      <c r="U984" s="16"/>
      <c r="V984" s="16"/>
      <c r="W984" s="16"/>
      <c r="X984" s="16"/>
      <c r="Y984" s="16"/>
      <c r="Z984" s="16"/>
      <c r="AA984" s="16"/>
      <c r="AB984" s="16"/>
      <c r="AC984" s="16"/>
      <c r="AD984" s="16"/>
    </row>
    <row r="985" spans="1:30" ht="12.9">
      <c r="A985" s="16"/>
      <c r="B985" s="24"/>
      <c r="C985" s="196"/>
      <c r="D985" s="196"/>
      <c r="E985" s="196"/>
      <c r="F985" s="16"/>
      <c r="G985" s="24"/>
      <c r="H985" s="24"/>
      <c r="I985" s="16"/>
      <c r="J985" s="16"/>
      <c r="K985" s="16"/>
      <c r="L985" s="16"/>
      <c r="M985" s="16"/>
      <c r="N985" s="16"/>
      <c r="O985" s="16"/>
      <c r="P985" s="16"/>
      <c r="Q985" s="16"/>
      <c r="R985" s="16"/>
      <c r="S985" s="16"/>
      <c r="T985" s="16"/>
      <c r="U985" s="16"/>
      <c r="V985" s="16"/>
      <c r="W985" s="16"/>
      <c r="X985" s="16"/>
      <c r="Y985" s="16"/>
      <c r="Z985" s="16"/>
      <c r="AA985" s="16"/>
      <c r="AB985" s="16"/>
      <c r="AC985" s="16"/>
      <c r="AD985" s="16"/>
    </row>
    <row r="986" spans="1:30" ht="12.9">
      <c r="A986" s="16"/>
      <c r="B986" s="24"/>
      <c r="C986" s="196"/>
      <c r="D986" s="196"/>
      <c r="E986" s="196"/>
      <c r="F986" s="16"/>
      <c r="G986" s="24"/>
      <c r="H986" s="24"/>
      <c r="I986" s="16"/>
      <c r="J986" s="16"/>
      <c r="K986" s="16"/>
      <c r="L986" s="16"/>
      <c r="M986" s="16"/>
      <c r="N986" s="16"/>
      <c r="O986" s="16"/>
      <c r="P986" s="16"/>
      <c r="Q986" s="16"/>
      <c r="R986" s="16"/>
      <c r="S986" s="16"/>
      <c r="T986" s="16"/>
      <c r="U986" s="16"/>
      <c r="V986" s="16"/>
      <c r="W986" s="16"/>
      <c r="X986" s="16"/>
      <c r="Y986" s="16"/>
      <c r="Z986" s="16"/>
      <c r="AA986" s="16"/>
      <c r="AB986" s="16"/>
      <c r="AC986" s="16"/>
      <c r="AD986" s="16"/>
    </row>
    <row r="987" spans="1:30" ht="12.9">
      <c r="A987" s="16"/>
      <c r="B987" s="24"/>
      <c r="C987" s="196"/>
      <c r="D987" s="196"/>
      <c r="E987" s="196"/>
      <c r="F987" s="16"/>
      <c r="G987" s="24"/>
      <c r="H987" s="24"/>
      <c r="I987" s="16"/>
      <c r="J987" s="16"/>
      <c r="K987" s="16"/>
      <c r="L987" s="16"/>
      <c r="M987" s="16"/>
      <c r="N987" s="16"/>
      <c r="O987" s="16"/>
      <c r="P987" s="16"/>
      <c r="Q987" s="16"/>
      <c r="R987" s="16"/>
      <c r="S987" s="16"/>
      <c r="T987" s="16"/>
      <c r="U987" s="16"/>
      <c r="V987" s="16"/>
      <c r="W987" s="16"/>
      <c r="X987" s="16"/>
      <c r="Y987" s="16"/>
      <c r="Z987" s="16"/>
      <c r="AA987" s="16"/>
      <c r="AB987" s="16"/>
      <c r="AC987" s="16"/>
      <c r="AD987" s="16"/>
    </row>
    <row r="988" spans="1:30" ht="12.9">
      <c r="A988" s="16"/>
      <c r="B988" s="24"/>
      <c r="C988" s="196"/>
      <c r="D988" s="196"/>
      <c r="E988" s="196"/>
      <c r="F988" s="16"/>
      <c r="G988" s="24"/>
      <c r="H988" s="24"/>
      <c r="I988" s="16"/>
      <c r="J988" s="16"/>
      <c r="K988" s="16"/>
      <c r="L988" s="16"/>
      <c r="M988" s="16"/>
      <c r="N988" s="16"/>
      <c r="O988" s="16"/>
      <c r="P988" s="16"/>
      <c r="Q988" s="16"/>
      <c r="R988" s="16"/>
      <c r="S988" s="16"/>
      <c r="T988" s="16"/>
      <c r="U988" s="16"/>
      <c r="V988" s="16"/>
      <c r="W988" s="16"/>
      <c r="X988" s="16"/>
      <c r="Y988" s="16"/>
      <c r="Z988" s="16"/>
      <c r="AA988" s="16"/>
      <c r="AB988" s="16"/>
      <c r="AC988" s="16"/>
      <c r="AD988" s="16"/>
    </row>
    <row r="989" spans="1:30" ht="12.9">
      <c r="A989" s="16"/>
      <c r="B989" s="24"/>
      <c r="C989" s="196"/>
      <c r="D989" s="196"/>
      <c r="E989" s="196"/>
      <c r="F989" s="16"/>
      <c r="G989" s="24"/>
      <c r="H989" s="24"/>
      <c r="I989" s="16"/>
      <c r="J989" s="16"/>
      <c r="K989" s="16"/>
      <c r="L989" s="16"/>
      <c r="M989" s="16"/>
      <c r="N989" s="16"/>
      <c r="O989" s="16"/>
      <c r="P989" s="16"/>
      <c r="Q989" s="16"/>
      <c r="R989" s="16"/>
      <c r="S989" s="16"/>
      <c r="T989" s="16"/>
      <c r="U989" s="16"/>
      <c r="V989" s="16"/>
      <c r="W989" s="16"/>
      <c r="X989" s="16"/>
      <c r="Y989" s="16"/>
      <c r="Z989" s="16"/>
      <c r="AA989" s="16"/>
      <c r="AB989" s="16"/>
      <c r="AC989" s="16"/>
      <c r="AD989" s="16"/>
    </row>
    <row r="990" spans="1:30" ht="12.9">
      <c r="A990" s="16"/>
      <c r="B990" s="24"/>
      <c r="C990" s="196"/>
      <c r="D990" s="196"/>
      <c r="E990" s="196"/>
      <c r="F990" s="16"/>
      <c r="G990" s="24"/>
      <c r="H990" s="24"/>
      <c r="I990" s="16"/>
      <c r="J990" s="16"/>
      <c r="K990" s="16"/>
      <c r="L990" s="16"/>
      <c r="M990" s="16"/>
      <c r="N990" s="16"/>
      <c r="O990" s="16"/>
      <c r="P990" s="16"/>
      <c r="Q990" s="16"/>
      <c r="R990" s="16"/>
      <c r="S990" s="16"/>
      <c r="T990" s="16"/>
      <c r="U990" s="16"/>
      <c r="V990" s="16"/>
      <c r="W990" s="16"/>
      <c r="X990" s="16"/>
      <c r="Y990" s="16"/>
      <c r="Z990" s="16"/>
      <c r="AA990" s="16"/>
      <c r="AB990" s="16"/>
      <c r="AC990" s="16"/>
      <c r="AD990" s="16"/>
    </row>
    <row r="991" spans="1:30" ht="12.9">
      <c r="A991" s="16"/>
      <c r="B991" s="24"/>
      <c r="C991" s="196"/>
      <c r="D991" s="196"/>
      <c r="E991" s="196"/>
      <c r="F991" s="16"/>
      <c r="G991" s="24"/>
      <c r="H991" s="24"/>
      <c r="I991" s="16"/>
      <c r="J991" s="16"/>
      <c r="K991" s="16"/>
      <c r="L991" s="16"/>
      <c r="M991" s="16"/>
      <c r="N991" s="16"/>
      <c r="O991" s="16"/>
      <c r="P991" s="16"/>
      <c r="Q991" s="16"/>
      <c r="R991" s="16"/>
      <c r="S991" s="16"/>
      <c r="T991" s="16"/>
      <c r="U991" s="16"/>
      <c r="V991" s="16"/>
      <c r="W991" s="16"/>
      <c r="X991" s="16"/>
      <c r="Y991" s="16"/>
      <c r="Z991" s="16"/>
      <c r="AA991" s="16"/>
      <c r="AB991" s="16"/>
      <c r="AC991" s="16"/>
      <c r="AD991" s="16"/>
    </row>
    <row r="992" spans="1:30" ht="12.9">
      <c r="A992" s="16"/>
      <c r="B992" s="24"/>
      <c r="C992" s="196"/>
      <c r="D992" s="196"/>
      <c r="E992" s="196"/>
      <c r="F992" s="16"/>
      <c r="G992" s="24"/>
      <c r="H992" s="24"/>
      <c r="I992" s="16"/>
      <c r="J992" s="16"/>
      <c r="K992" s="16"/>
      <c r="L992" s="16"/>
      <c r="M992" s="16"/>
      <c r="N992" s="16"/>
      <c r="O992" s="16"/>
      <c r="P992" s="16"/>
      <c r="Q992" s="16"/>
      <c r="R992" s="16"/>
      <c r="S992" s="16"/>
      <c r="T992" s="16"/>
      <c r="U992" s="16"/>
      <c r="V992" s="16"/>
      <c r="W992" s="16"/>
      <c r="X992" s="16"/>
      <c r="Y992" s="16"/>
      <c r="Z992" s="16"/>
      <c r="AA992" s="16"/>
      <c r="AB992" s="16"/>
      <c r="AC992" s="16"/>
      <c r="AD992" s="16"/>
    </row>
    <row r="993" spans="1:30" ht="12.9">
      <c r="A993" s="16"/>
      <c r="B993" s="24"/>
      <c r="C993" s="196"/>
      <c r="D993" s="196"/>
      <c r="E993" s="196"/>
      <c r="F993" s="16"/>
      <c r="G993" s="24"/>
      <c r="H993" s="24"/>
      <c r="I993" s="16"/>
      <c r="J993" s="16"/>
      <c r="K993" s="16"/>
      <c r="L993" s="16"/>
      <c r="M993" s="16"/>
      <c r="N993" s="16"/>
      <c r="O993" s="16"/>
      <c r="P993" s="16"/>
      <c r="Q993" s="16"/>
      <c r="R993" s="16"/>
      <c r="S993" s="16"/>
      <c r="T993" s="16"/>
      <c r="U993" s="16"/>
      <c r="V993" s="16"/>
      <c r="W993" s="16"/>
      <c r="X993" s="16"/>
      <c r="Y993" s="16"/>
      <c r="Z993" s="16"/>
      <c r="AA993" s="16"/>
      <c r="AB993" s="16"/>
      <c r="AC993" s="16"/>
      <c r="AD993" s="16"/>
    </row>
    <row r="994" spans="1:30" ht="12.9">
      <c r="A994" s="16"/>
      <c r="B994" s="24"/>
      <c r="C994" s="196"/>
      <c r="D994" s="196"/>
      <c r="E994" s="196"/>
      <c r="F994" s="16"/>
      <c r="G994" s="24"/>
      <c r="H994" s="24"/>
      <c r="I994" s="16"/>
      <c r="J994" s="16"/>
      <c r="K994" s="16"/>
      <c r="L994" s="16"/>
      <c r="M994" s="16"/>
      <c r="N994" s="16"/>
      <c r="O994" s="16"/>
      <c r="P994" s="16"/>
      <c r="Q994" s="16"/>
      <c r="R994" s="16"/>
      <c r="S994" s="16"/>
      <c r="T994" s="16"/>
      <c r="U994" s="16"/>
      <c r="V994" s="16"/>
      <c r="W994" s="16"/>
      <c r="X994" s="16"/>
      <c r="Y994" s="16"/>
      <c r="Z994" s="16"/>
      <c r="AA994" s="16"/>
      <c r="AB994" s="16"/>
      <c r="AC994" s="16"/>
      <c r="AD994" s="16"/>
    </row>
    <row r="995" spans="1:30" ht="12.9">
      <c r="A995" s="16"/>
      <c r="B995" s="24"/>
      <c r="C995" s="196"/>
      <c r="D995" s="196"/>
      <c r="E995" s="196"/>
      <c r="F995" s="16"/>
      <c r="G995" s="24"/>
      <c r="H995" s="24"/>
      <c r="I995" s="16"/>
      <c r="J995" s="16"/>
      <c r="K995" s="16"/>
      <c r="L995" s="16"/>
      <c r="M995" s="16"/>
      <c r="N995" s="16"/>
      <c r="O995" s="16"/>
      <c r="P995" s="16"/>
      <c r="Q995" s="16"/>
      <c r="R995" s="16"/>
      <c r="S995" s="16"/>
      <c r="T995" s="16"/>
      <c r="U995" s="16"/>
      <c r="V995" s="16"/>
      <c r="W995" s="16"/>
      <c r="X995" s="16"/>
      <c r="Y995" s="16"/>
      <c r="Z995" s="16"/>
      <c r="AA995" s="16"/>
      <c r="AB995" s="16"/>
      <c r="AC995" s="16"/>
      <c r="AD995" s="16"/>
    </row>
    <row r="996" spans="1:30" ht="12.9">
      <c r="A996" s="16"/>
      <c r="B996" s="24"/>
      <c r="C996" s="196"/>
      <c r="D996" s="196"/>
      <c r="E996" s="196"/>
      <c r="F996" s="16"/>
      <c r="G996" s="24"/>
      <c r="H996" s="24"/>
      <c r="I996" s="16"/>
      <c r="J996" s="16"/>
      <c r="K996" s="16"/>
      <c r="L996" s="16"/>
      <c r="M996" s="16"/>
      <c r="N996" s="16"/>
      <c r="O996" s="16"/>
      <c r="P996" s="16"/>
      <c r="Q996" s="16"/>
      <c r="R996" s="16"/>
      <c r="S996" s="16"/>
      <c r="T996" s="16"/>
      <c r="U996" s="16"/>
      <c r="V996" s="16"/>
      <c r="W996" s="16"/>
      <c r="X996" s="16"/>
      <c r="Y996" s="16"/>
      <c r="Z996" s="16"/>
      <c r="AA996" s="16"/>
      <c r="AB996" s="16"/>
      <c r="AC996" s="16"/>
      <c r="AD996" s="16"/>
    </row>
    <row r="997" spans="1:30" ht="12.9">
      <c r="A997" s="16"/>
      <c r="B997" s="24"/>
      <c r="C997" s="196"/>
      <c r="D997" s="196"/>
      <c r="E997" s="196"/>
      <c r="F997" s="16"/>
      <c r="G997" s="24"/>
      <c r="H997" s="24"/>
      <c r="I997" s="16"/>
      <c r="J997" s="16"/>
      <c r="K997" s="16"/>
      <c r="L997" s="16"/>
      <c r="M997" s="16"/>
      <c r="N997" s="16"/>
      <c r="O997" s="16"/>
      <c r="P997" s="16"/>
      <c r="Q997" s="16"/>
      <c r="R997" s="16"/>
      <c r="S997" s="16"/>
      <c r="T997" s="16"/>
      <c r="U997" s="16"/>
      <c r="V997" s="16"/>
      <c r="W997" s="16"/>
      <c r="X997" s="16"/>
      <c r="Y997" s="16"/>
      <c r="Z997" s="16"/>
      <c r="AA997" s="16"/>
      <c r="AB997" s="16"/>
      <c r="AC997" s="16"/>
      <c r="AD997" s="16"/>
    </row>
    <row r="998" spans="1:30" ht="12.9">
      <c r="A998" s="16"/>
      <c r="B998" s="24"/>
      <c r="C998" s="196"/>
      <c r="D998" s="196"/>
      <c r="E998" s="196"/>
      <c r="F998" s="16"/>
      <c r="G998" s="24"/>
      <c r="H998" s="24"/>
      <c r="I998" s="16"/>
      <c r="J998" s="16"/>
      <c r="K998" s="16"/>
      <c r="L998" s="16"/>
      <c r="M998" s="16"/>
      <c r="N998" s="16"/>
      <c r="O998" s="16"/>
      <c r="P998" s="16"/>
      <c r="Q998" s="16"/>
      <c r="R998" s="16"/>
      <c r="S998" s="16"/>
      <c r="T998" s="16"/>
      <c r="U998" s="16"/>
      <c r="V998" s="16"/>
      <c r="W998" s="16"/>
      <c r="X998" s="16"/>
      <c r="Y998" s="16"/>
      <c r="Z998" s="16"/>
      <c r="AA998" s="16"/>
      <c r="AB998" s="16"/>
      <c r="AC998" s="16"/>
      <c r="AD998" s="16"/>
    </row>
    <row r="999" spans="1:30" ht="12.9">
      <c r="A999" s="16"/>
      <c r="B999" s="24"/>
      <c r="C999" s="196"/>
      <c r="D999" s="196"/>
      <c r="E999" s="196"/>
      <c r="F999" s="16"/>
      <c r="G999" s="24"/>
      <c r="H999" s="24"/>
      <c r="I999" s="16"/>
      <c r="J999" s="16"/>
      <c r="K999" s="16"/>
      <c r="L999" s="16"/>
      <c r="M999" s="16"/>
      <c r="N999" s="16"/>
      <c r="O999" s="16"/>
      <c r="P999" s="16"/>
      <c r="Q999" s="16"/>
      <c r="R999" s="16"/>
      <c r="S999" s="16"/>
      <c r="T999" s="16"/>
      <c r="U999" s="16"/>
      <c r="V999" s="16"/>
      <c r="W999" s="16"/>
      <c r="X999" s="16"/>
      <c r="Y999" s="16"/>
      <c r="Z999" s="16"/>
      <c r="AA999" s="16"/>
      <c r="AB999" s="16"/>
      <c r="AC999" s="16"/>
      <c r="AD999" s="16"/>
    </row>
    <row r="1000" spans="1:30" ht="12.9">
      <c r="A1000" s="16"/>
      <c r="B1000" s="24"/>
      <c r="C1000" s="196"/>
      <c r="D1000" s="196"/>
      <c r="E1000" s="196"/>
      <c r="F1000" s="16"/>
      <c r="G1000" s="24"/>
      <c r="H1000" s="24"/>
      <c r="I1000" s="16"/>
      <c r="J1000" s="16"/>
      <c r="K1000" s="16"/>
      <c r="L1000" s="16"/>
      <c r="M1000" s="16"/>
      <c r="N1000" s="16"/>
      <c r="O1000" s="16"/>
      <c r="P1000" s="16"/>
      <c r="Q1000" s="16"/>
      <c r="R1000" s="16"/>
      <c r="S1000" s="16"/>
      <c r="T1000" s="16"/>
      <c r="U1000" s="16"/>
      <c r="V1000" s="16"/>
      <c r="W1000" s="16"/>
      <c r="X1000" s="16"/>
      <c r="Y1000" s="16"/>
      <c r="Z1000" s="16"/>
      <c r="AA1000" s="16"/>
      <c r="AB1000" s="16"/>
      <c r="AC1000" s="16"/>
      <c r="AD1000" s="16"/>
    </row>
    <row r="1001" spans="1:30" ht="12.9">
      <c r="A1001" s="16"/>
      <c r="B1001" s="24"/>
      <c r="C1001" s="196"/>
      <c r="D1001" s="196"/>
      <c r="E1001" s="196"/>
      <c r="F1001" s="16"/>
      <c r="G1001" s="24"/>
      <c r="H1001" s="24"/>
      <c r="I1001" s="16"/>
      <c r="J1001" s="16"/>
      <c r="K1001" s="16"/>
      <c r="L1001" s="16"/>
      <c r="M1001" s="16"/>
      <c r="N1001" s="16"/>
      <c r="O1001" s="16"/>
      <c r="P1001" s="16"/>
      <c r="Q1001" s="16"/>
      <c r="R1001" s="16"/>
      <c r="S1001" s="16"/>
      <c r="T1001" s="16"/>
      <c r="U1001" s="16"/>
      <c r="V1001" s="16"/>
      <c r="W1001" s="16"/>
      <c r="X1001" s="16"/>
      <c r="Y1001" s="16"/>
      <c r="Z1001" s="16"/>
      <c r="AA1001" s="16"/>
      <c r="AB1001" s="16"/>
      <c r="AC1001" s="16"/>
      <c r="AD1001" s="16"/>
    </row>
    <row r="1002" spans="1:30" ht="12.9">
      <c r="A1002" s="16"/>
      <c r="B1002" s="24"/>
      <c r="C1002" s="196"/>
      <c r="D1002" s="196"/>
      <c r="E1002" s="196"/>
      <c r="F1002" s="16"/>
      <c r="G1002" s="24"/>
      <c r="H1002" s="24"/>
      <c r="I1002" s="16"/>
      <c r="J1002" s="16"/>
      <c r="K1002" s="16"/>
      <c r="L1002" s="16"/>
      <c r="M1002" s="16"/>
      <c r="N1002" s="16"/>
      <c r="O1002" s="16"/>
      <c r="P1002" s="16"/>
      <c r="Q1002" s="16"/>
      <c r="R1002" s="16"/>
      <c r="S1002" s="16"/>
      <c r="T1002" s="16"/>
      <c r="U1002" s="16"/>
      <c r="V1002" s="16"/>
      <c r="W1002" s="16"/>
      <c r="X1002" s="16"/>
      <c r="Y1002" s="16"/>
      <c r="Z1002" s="16"/>
      <c r="AA1002" s="16"/>
      <c r="AB1002" s="16"/>
      <c r="AC1002" s="16"/>
      <c r="AD1002" s="16"/>
    </row>
    <row r="1003" spans="1:30" ht="12.9">
      <c r="A1003" s="16"/>
      <c r="B1003" s="24"/>
      <c r="C1003" s="196"/>
      <c r="D1003" s="196"/>
      <c r="E1003" s="196"/>
      <c r="F1003" s="16"/>
      <c r="G1003" s="24"/>
      <c r="H1003" s="24"/>
      <c r="I1003" s="16"/>
      <c r="J1003" s="16"/>
      <c r="K1003" s="16"/>
      <c r="L1003" s="16"/>
      <c r="M1003" s="16"/>
      <c r="N1003" s="16"/>
      <c r="O1003" s="16"/>
      <c r="P1003" s="16"/>
      <c r="Q1003" s="16"/>
      <c r="R1003" s="16"/>
      <c r="S1003" s="16"/>
      <c r="T1003" s="16"/>
      <c r="U1003" s="16"/>
      <c r="V1003" s="16"/>
      <c r="W1003" s="16"/>
      <c r="X1003" s="16"/>
      <c r="Y1003" s="16"/>
      <c r="Z1003" s="16"/>
      <c r="AA1003" s="16"/>
      <c r="AB1003" s="16"/>
      <c r="AC1003" s="16"/>
      <c r="AD1003" s="16"/>
    </row>
    <row r="1004" spans="1:30" ht="12.9">
      <c r="A1004" s="16"/>
      <c r="B1004" s="24"/>
      <c r="C1004" s="196"/>
      <c r="D1004" s="196"/>
      <c r="E1004" s="196"/>
      <c r="F1004" s="16"/>
      <c r="G1004" s="24"/>
      <c r="H1004" s="24"/>
      <c r="I1004" s="16"/>
      <c r="J1004" s="16"/>
      <c r="K1004" s="16"/>
      <c r="L1004" s="16"/>
      <c r="M1004" s="16"/>
      <c r="N1004" s="16"/>
      <c r="O1004" s="16"/>
      <c r="P1004" s="16"/>
      <c r="Q1004" s="16"/>
      <c r="R1004" s="16"/>
      <c r="S1004" s="16"/>
      <c r="T1004" s="16"/>
      <c r="U1004" s="16"/>
      <c r="V1004" s="16"/>
      <c r="W1004" s="16"/>
      <c r="X1004" s="16"/>
      <c r="Y1004" s="16"/>
      <c r="Z1004" s="16"/>
      <c r="AA1004" s="16"/>
      <c r="AB1004" s="16"/>
      <c r="AC1004" s="16"/>
      <c r="AD1004" s="16"/>
    </row>
    <row r="1005" spans="1:30" ht="12.9">
      <c r="A1005" s="16"/>
      <c r="B1005" s="24"/>
      <c r="C1005" s="196"/>
      <c r="D1005" s="196"/>
      <c r="E1005" s="196"/>
      <c r="F1005" s="16"/>
      <c r="G1005" s="24"/>
      <c r="H1005" s="24"/>
      <c r="I1005" s="16"/>
      <c r="J1005" s="16"/>
      <c r="K1005" s="16"/>
      <c r="L1005" s="16"/>
      <c r="M1005" s="16"/>
      <c r="N1005" s="16"/>
      <c r="O1005" s="16"/>
      <c r="P1005" s="16"/>
      <c r="Q1005" s="16"/>
      <c r="R1005" s="16"/>
      <c r="S1005" s="16"/>
      <c r="T1005" s="16"/>
      <c r="U1005" s="16"/>
      <c r="V1005" s="16"/>
      <c r="W1005" s="16"/>
      <c r="X1005" s="16"/>
      <c r="Y1005" s="16"/>
      <c r="Z1005" s="16"/>
      <c r="AA1005" s="16"/>
      <c r="AB1005" s="16"/>
      <c r="AC1005" s="16"/>
      <c r="AD1005" s="16"/>
    </row>
    <row r="1006" spans="1:30" ht="12.9">
      <c r="A1006" s="16"/>
      <c r="B1006" s="24"/>
      <c r="C1006" s="196"/>
      <c r="D1006" s="196"/>
      <c r="E1006" s="196"/>
      <c r="F1006" s="16"/>
      <c r="G1006" s="24"/>
      <c r="H1006" s="24"/>
      <c r="I1006" s="16"/>
      <c r="J1006" s="16"/>
      <c r="K1006" s="16"/>
      <c r="L1006" s="16"/>
      <c r="M1006" s="16"/>
      <c r="N1006" s="16"/>
      <c r="O1006" s="16"/>
      <c r="P1006" s="16"/>
      <c r="Q1006" s="16"/>
      <c r="R1006" s="16"/>
      <c r="S1006" s="16"/>
      <c r="T1006" s="16"/>
      <c r="U1006" s="16"/>
      <c r="V1006" s="16"/>
      <c r="W1006" s="16"/>
      <c r="X1006" s="16"/>
      <c r="Y1006" s="16"/>
      <c r="Z1006" s="16"/>
      <c r="AA1006" s="16"/>
      <c r="AB1006" s="16"/>
      <c r="AC1006" s="16"/>
      <c r="AD1006" s="16"/>
    </row>
    <row r="1007" spans="1:30" ht="12.9">
      <c r="A1007" s="16"/>
      <c r="B1007" s="24"/>
      <c r="C1007" s="196"/>
      <c r="D1007" s="196"/>
      <c r="E1007" s="196"/>
      <c r="F1007" s="16"/>
      <c r="G1007" s="24"/>
      <c r="H1007" s="24"/>
      <c r="I1007" s="16"/>
      <c r="J1007" s="16"/>
      <c r="K1007" s="16"/>
      <c r="L1007" s="16"/>
      <c r="M1007" s="16"/>
      <c r="N1007" s="16"/>
      <c r="O1007" s="16"/>
      <c r="P1007" s="16"/>
      <c r="Q1007" s="16"/>
      <c r="R1007" s="16"/>
      <c r="S1007" s="16"/>
      <c r="T1007" s="16"/>
      <c r="U1007" s="16"/>
      <c r="V1007" s="16"/>
      <c r="W1007" s="16"/>
      <c r="X1007" s="16"/>
      <c r="Y1007" s="16"/>
      <c r="Z1007" s="16"/>
      <c r="AA1007" s="16"/>
      <c r="AB1007" s="16"/>
      <c r="AC1007" s="16"/>
      <c r="AD1007" s="16"/>
    </row>
    <row r="1008" spans="1:30" ht="12.9">
      <c r="A1008" s="16"/>
      <c r="B1008" s="24"/>
      <c r="C1008" s="196"/>
      <c r="D1008" s="196"/>
      <c r="E1008" s="196"/>
      <c r="F1008" s="16"/>
      <c r="G1008" s="24"/>
      <c r="H1008" s="24"/>
      <c r="I1008" s="16"/>
      <c r="J1008" s="16"/>
      <c r="K1008" s="16"/>
      <c r="L1008" s="16"/>
      <c r="M1008" s="16"/>
      <c r="N1008" s="16"/>
      <c r="O1008" s="16"/>
      <c r="P1008" s="16"/>
      <c r="Q1008" s="16"/>
      <c r="R1008" s="16"/>
      <c r="S1008" s="16"/>
      <c r="T1008" s="16"/>
      <c r="U1008" s="16"/>
      <c r="V1008" s="16"/>
      <c r="W1008" s="16"/>
      <c r="X1008" s="16"/>
      <c r="Y1008" s="16"/>
      <c r="Z1008" s="16"/>
      <c r="AA1008" s="16"/>
      <c r="AB1008" s="16"/>
      <c r="AC1008" s="16"/>
      <c r="AD1008" s="16"/>
    </row>
    <row r="1009" spans="1:30" ht="12.9">
      <c r="A1009" s="16"/>
      <c r="B1009" s="24"/>
      <c r="C1009" s="196"/>
      <c r="D1009" s="196"/>
      <c r="E1009" s="196"/>
      <c r="F1009" s="16"/>
      <c r="G1009" s="24"/>
      <c r="H1009" s="24"/>
      <c r="I1009" s="16"/>
      <c r="J1009" s="16"/>
      <c r="K1009" s="16"/>
      <c r="L1009" s="16"/>
      <c r="M1009" s="16"/>
      <c r="N1009" s="16"/>
      <c r="O1009" s="16"/>
      <c r="P1009" s="16"/>
      <c r="Q1009" s="16"/>
      <c r="R1009" s="16"/>
      <c r="S1009" s="16"/>
      <c r="T1009" s="16"/>
      <c r="U1009" s="16"/>
      <c r="V1009" s="16"/>
      <c r="W1009" s="16"/>
      <c r="X1009" s="16"/>
      <c r="Y1009" s="16"/>
      <c r="Z1009" s="16"/>
      <c r="AA1009" s="16"/>
      <c r="AB1009" s="16"/>
      <c r="AC1009" s="16"/>
      <c r="AD1009" s="16"/>
    </row>
    <row r="1010" spans="1:30" ht="12.9">
      <c r="A1010" s="16"/>
      <c r="B1010" s="24"/>
      <c r="C1010" s="196"/>
      <c r="D1010" s="196"/>
      <c r="E1010" s="196"/>
      <c r="F1010" s="16"/>
      <c r="G1010" s="24"/>
      <c r="H1010" s="24"/>
      <c r="I1010" s="16"/>
      <c r="J1010" s="16"/>
      <c r="K1010" s="16"/>
      <c r="L1010" s="16"/>
      <c r="M1010" s="16"/>
      <c r="N1010" s="16"/>
      <c r="O1010" s="16"/>
      <c r="P1010" s="16"/>
      <c r="Q1010" s="16"/>
      <c r="R1010" s="16"/>
      <c r="S1010" s="16"/>
      <c r="T1010" s="16"/>
      <c r="U1010" s="16"/>
      <c r="V1010" s="16"/>
      <c r="W1010" s="16"/>
      <c r="X1010" s="16"/>
      <c r="Y1010" s="16"/>
      <c r="Z1010" s="16"/>
      <c r="AA1010" s="16"/>
      <c r="AB1010" s="16"/>
      <c r="AC1010" s="16"/>
      <c r="AD1010" s="16"/>
    </row>
    <row r="1011" spans="1:30" ht="12.9">
      <c r="A1011" s="16"/>
      <c r="B1011" s="24"/>
      <c r="C1011" s="196"/>
      <c r="D1011" s="196"/>
      <c r="E1011" s="196"/>
      <c r="F1011" s="16"/>
      <c r="G1011" s="24"/>
      <c r="H1011" s="24"/>
      <c r="I1011" s="16"/>
      <c r="J1011" s="16"/>
      <c r="K1011" s="16"/>
      <c r="L1011" s="16"/>
      <c r="M1011" s="16"/>
      <c r="N1011" s="16"/>
      <c r="O1011" s="16"/>
      <c r="P1011" s="16"/>
      <c r="Q1011" s="16"/>
      <c r="R1011" s="16"/>
      <c r="S1011" s="16"/>
      <c r="T1011" s="16"/>
      <c r="U1011" s="16"/>
      <c r="V1011" s="16"/>
      <c r="W1011" s="16"/>
      <c r="X1011" s="16"/>
      <c r="Y1011" s="16"/>
      <c r="Z1011" s="16"/>
      <c r="AA1011" s="16"/>
      <c r="AB1011" s="16"/>
      <c r="AC1011" s="16"/>
      <c r="AD1011" s="16"/>
    </row>
    <row r="1012" spans="1:30" ht="12.9">
      <c r="A1012" s="16"/>
      <c r="B1012" s="24"/>
      <c r="C1012" s="196"/>
      <c r="D1012" s="196"/>
      <c r="E1012" s="196"/>
      <c r="F1012" s="16"/>
      <c r="G1012" s="24"/>
      <c r="H1012" s="24"/>
      <c r="I1012" s="16"/>
      <c r="J1012" s="16"/>
      <c r="K1012" s="16"/>
      <c r="L1012" s="16"/>
      <c r="M1012" s="16"/>
      <c r="N1012" s="16"/>
      <c r="O1012" s="16"/>
      <c r="P1012" s="16"/>
      <c r="Q1012" s="16"/>
      <c r="R1012" s="16"/>
      <c r="S1012" s="16"/>
      <c r="T1012" s="16"/>
      <c r="U1012" s="16"/>
      <c r="V1012" s="16"/>
      <c r="W1012" s="16"/>
      <c r="X1012" s="16"/>
      <c r="Y1012" s="16"/>
      <c r="Z1012" s="16"/>
      <c r="AA1012" s="16"/>
      <c r="AB1012" s="16"/>
      <c r="AC1012" s="16"/>
      <c r="AD1012" s="16"/>
    </row>
    <row r="1013" spans="1:30" ht="12.9">
      <c r="A1013" s="16"/>
      <c r="B1013" s="24"/>
      <c r="C1013" s="196"/>
      <c r="D1013" s="196"/>
      <c r="E1013" s="196"/>
      <c r="F1013" s="16"/>
      <c r="G1013" s="24"/>
      <c r="H1013" s="24"/>
      <c r="I1013" s="16"/>
      <c r="J1013" s="16"/>
      <c r="K1013" s="16"/>
      <c r="L1013" s="16"/>
      <c r="M1013" s="16"/>
      <c r="N1013" s="16"/>
      <c r="O1013" s="16"/>
      <c r="P1013" s="16"/>
      <c r="Q1013" s="16"/>
      <c r="R1013" s="16"/>
      <c r="S1013" s="16"/>
      <c r="T1013" s="16"/>
      <c r="U1013" s="16"/>
      <c r="V1013" s="16"/>
      <c r="W1013" s="16"/>
      <c r="X1013" s="16"/>
      <c r="Y1013" s="16"/>
      <c r="Z1013" s="16"/>
      <c r="AA1013" s="16"/>
      <c r="AB1013" s="16"/>
      <c r="AC1013" s="16"/>
      <c r="AD1013" s="16"/>
    </row>
    <row r="1014" spans="1:30" ht="12.9">
      <c r="A1014" s="16"/>
      <c r="B1014" s="24"/>
      <c r="C1014" s="196"/>
      <c r="D1014" s="196"/>
      <c r="E1014" s="196"/>
      <c r="F1014" s="16"/>
      <c r="G1014" s="24"/>
      <c r="H1014" s="24"/>
      <c r="I1014" s="16"/>
      <c r="J1014" s="16"/>
      <c r="K1014" s="16"/>
      <c r="L1014" s="16"/>
      <c r="M1014" s="16"/>
      <c r="N1014" s="16"/>
      <c r="O1014" s="16"/>
      <c r="P1014" s="16"/>
      <c r="Q1014" s="16"/>
      <c r="R1014" s="16"/>
      <c r="S1014" s="16"/>
      <c r="T1014" s="16"/>
      <c r="U1014" s="16"/>
      <c r="V1014" s="16"/>
      <c r="W1014" s="16"/>
      <c r="X1014" s="16"/>
      <c r="Y1014" s="16"/>
      <c r="Z1014" s="16"/>
      <c r="AA1014" s="16"/>
      <c r="AB1014" s="16"/>
      <c r="AC1014" s="16"/>
      <c r="AD1014" s="16"/>
    </row>
    <row r="1015" spans="1:30" ht="12.9">
      <c r="A1015" s="16"/>
      <c r="B1015" s="24"/>
      <c r="C1015" s="196"/>
      <c r="D1015" s="196"/>
      <c r="E1015" s="196"/>
      <c r="F1015" s="16"/>
      <c r="G1015" s="24"/>
      <c r="H1015" s="24"/>
      <c r="I1015" s="16"/>
      <c r="J1015" s="16"/>
      <c r="K1015" s="16"/>
      <c r="L1015" s="16"/>
      <c r="M1015" s="16"/>
      <c r="N1015" s="16"/>
      <c r="O1015" s="16"/>
      <c r="P1015" s="16"/>
      <c r="Q1015" s="16"/>
      <c r="R1015" s="16"/>
      <c r="S1015" s="16"/>
      <c r="T1015" s="16"/>
      <c r="U1015" s="16"/>
      <c r="V1015" s="16"/>
      <c r="W1015" s="16"/>
      <c r="X1015" s="16"/>
      <c r="Y1015" s="16"/>
      <c r="Z1015" s="16"/>
      <c r="AA1015" s="16"/>
      <c r="AB1015" s="16"/>
      <c r="AC1015" s="16"/>
      <c r="AD1015" s="16"/>
    </row>
    <row r="1016" spans="1:30" ht="12.9">
      <c r="A1016" s="16"/>
      <c r="B1016" s="24"/>
      <c r="C1016" s="196"/>
      <c r="D1016" s="196"/>
      <c r="E1016" s="196"/>
      <c r="F1016" s="16"/>
      <c r="G1016" s="24"/>
      <c r="H1016" s="24"/>
      <c r="I1016" s="16"/>
      <c r="J1016" s="16"/>
      <c r="K1016" s="16"/>
      <c r="L1016" s="16"/>
      <c r="M1016" s="16"/>
      <c r="N1016" s="16"/>
      <c r="O1016" s="16"/>
      <c r="P1016" s="16"/>
      <c r="Q1016" s="16"/>
      <c r="R1016" s="16"/>
      <c r="S1016" s="16"/>
      <c r="T1016" s="16"/>
      <c r="U1016" s="16"/>
      <c r="V1016" s="16"/>
      <c r="W1016" s="16"/>
      <c r="X1016" s="16"/>
      <c r="Y1016" s="16"/>
      <c r="Z1016" s="16"/>
      <c r="AA1016" s="16"/>
      <c r="AB1016" s="16"/>
      <c r="AC1016" s="16"/>
      <c r="AD1016" s="16"/>
    </row>
    <row r="1017" spans="1:30" ht="12.9">
      <c r="A1017" s="16"/>
      <c r="B1017" s="24"/>
      <c r="C1017" s="196"/>
      <c r="D1017" s="196"/>
      <c r="E1017" s="196"/>
      <c r="F1017" s="16"/>
      <c r="G1017" s="24"/>
      <c r="H1017" s="24"/>
      <c r="I1017" s="16"/>
      <c r="J1017" s="16"/>
      <c r="K1017" s="16"/>
      <c r="L1017" s="16"/>
      <c r="M1017" s="16"/>
      <c r="N1017" s="16"/>
      <c r="O1017" s="16"/>
      <c r="P1017" s="16"/>
      <c r="Q1017" s="16"/>
      <c r="R1017" s="16"/>
      <c r="S1017" s="16"/>
      <c r="T1017" s="16"/>
      <c r="U1017" s="16"/>
      <c r="V1017" s="16"/>
      <c r="W1017" s="16"/>
      <c r="X1017" s="16"/>
      <c r="Y1017" s="16"/>
      <c r="Z1017" s="16"/>
      <c r="AA1017" s="16"/>
      <c r="AB1017" s="16"/>
      <c r="AC1017" s="16"/>
      <c r="AD1017" s="16"/>
    </row>
    <row r="1018" spans="1:30" ht="12.9">
      <c r="A1018" s="16"/>
      <c r="B1018" s="24"/>
      <c r="C1018" s="196"/>
      <c r="D1018" s="196"/>
      <c r="E1018" s="196"/>
      <c r="F1018" s="16"/>
      <c r="G1018" s="24"/>
      <c r="H1018" s="24"/>
      <c r="I1018" s="16"/>
      <c r="J1018" s="16"/>
      <c r="K1018" s="16"/>
      <c r="L1018" s="16"/>
      <c r="M1018" s="16"/>
      <c r="N1018" s="16"/>
      <c r="O1018" s="16"/>
      <c r="P1018" s="16"/>
      <c r="Q1018" s="16"/>
      <c r="R1018" s="16"/>
      <c r="S1018" s="16"/>
      <c r="T1018" s="16"/>
      <c r="U1018" s="16"/>
      <c r="V1018" s="16"/>
      <c r="W1018" s="16"/>
      <c r="X1018" s="16"/>
      <c r="Y1018" s="16"/>
      <c r="Z1018" s="16"/>
      <c r="AA1018" s="16"/>
      <c r="AB1018" s="16"/>
      <c r="AC1018" s="16"/>
      <c r="AD1018" s="16"/>
    </row>
    <row r="1019" spans="1:30" ht="12.9">
      <c r="A1019" s="16"/>
      <c r="B1019" s="24"/>
      <c r="C1019" s="196"/>
      <c r="D1019" s="196"/>
      <c r="E1019" s="196"/>
      <c r="F1019" s="16"/>
      <c r="G1019" s="24"/>
      <c r="H1019" s="24"/>
      <c r="I1019" s="16"/>
      <c r="J1019" s="16"/>
      <c r="K1019" s="16"/>
      <c r="L1019" s="16"/>
      <c r="M1019" s="16"/>
      <c r="N1019" s="16"/>
      <c r="O1019" s="16"/>
      <c r="P1019" s="16"/>
      <c r="Q1019" s="16"/>
      <c r="R1019" s="16"/>
      <c r="S1019" s="16"/>
      <c r="T1019" s="16"/>
      <c r="U1019" s="16"/>
      <c r="V1019" s="16"/>
      <c r="W1019" s="16"/>
      <c r="X1019" s="16"/>
      <c r="Y1019" s="16"/>
      <c r="Z1019" s="16"/>
      <c r="AA1019" s="16"/>
      <c r="AB1019" s="16"/>
      <c r="AC1019" s="16"/>
      <c r="AD1019" s="16"/>
    </row>
    <row r="1020" spans="1:30" ht="12.9">
      <c r="A1020" s="16"/>
      <c r="B1020" s="24"/>
      <c r="C1020" s="196"/>
      <c r="D1020" s="196"/>
      <c r="E1020" s="196"/>
      <c r="F1020" s="16"/>
      <c r="G1020" s="24"/>
      <c r="H1020" s="24"/>
      <c r="I1020" s="16"/>
      <c r="J1020" s="16"/>
      <c r="K1020" s="16"/>
      <c r="L1020" s="16"/>
      <c r="M1020" s="16"/>
      <c r="N1020" s="16"/>
      <c r="O1020" s="16"/>
      <c r="P1020" s="16"/>
      <c r="Q1020" s="16"/>
      <c r="R1020" s="16"/>
      <c r="S1020" s="16"/>
      <c r="T1020" s="16"/>
      <c r="U1020" s="16"/>
      <c r="V1020" s="16"/>
      <c r="W1020" s="16"/>
      <c r="X1020" s="16"/>
      <c r="Y1020" s="16"/>
      <c r="Z1020" s="16"/>
      <c r="AA1020" s="16"/>
      <c r="AB1020" s="16"/>
      <c r="AC1020" s="16"/>
      <c r="AD1020" s="16"/>
    </row>
    <row r="1021" spans="1:30" ht="12.9">
      <c r="A1021" s="16"/>
      <c r="B1021" s="24"/>
      <c r="C1021" s="196"/>
      <c r="D1021" s="196"/>
      <c r="E1021" s="196"/>
      <c r="F1021" s="16"/>
      <c r="G1021" s="24"/>
      <c r="H1021" s="24"/>
      <c r="I1021" s="16"/>
      <c r="J1021" s="16"/>
      <c r="K1021" s="16"/>
      <c r="L1021" s="16"/>
      <c r="M1021" s="16"/>
      <c r="N1021" s="16"/>
      <c r="O1021" s="16"/>
      <c r="P1021" s="16"/>
      <c r="Q1021" s="16"/>
      <c r="R1021" s="16"/>
      <c r="S1021" s="16"/>
      <c r="T1021" s="16"/>
      <c r="U1021" s="16"/>
      <c r="V1021" s="16"/>
      <c r="W1021" s="16"/>
      <c r="X1021" s="16"/>
      <c r="Y1021" s="16"/>
      <c r="Z1021" s="16"/>
      <c r="AA1021" s="16"/>
      <c r="AB1021" s="16"/>
      <c r="AC1021" s="16"/>
      <c r="AD1021" s="16"/>
    </row>
    <row r="1022" spans="1:30" ht="12.9">
      <c r="A1022" s="16"/>
      <c r="B1022" s="24"/>
      <c r="C1022" s="196"/>
      <c r="D1022" s="196"/>
      <c r="E1022" s="196"/>
      <c r="F1022" s="16"/>
      <c r="G1022" s="24"/>
      <c r="H1022" s="24"/>
      <c r="I1022" s="16"/>
      <c r="J1022" s="16"/>
      <c r="K1022" s="16"/>
      <c r="L1022" s="16"/>
      <c r="M1022" s="16"/>
      <c r="N1022" s="16"/>
      <c r="O1022" s="16"/>
      <c r="P1022" s="16"/>
      <c r="Q1022" s="16"/>
      <c r="R1022" s="16"/>
      <c r="S1022" s="16"/>
      <c r="T1022" s="16"/>
      <c r="U1022" s="16"/>
      <c r="V1022" s="16"/>
      <c r="W1022" s="16"/>
      <c r="X1022" s="16"/>
      <c r="Y1022" s="16"/>
      <c r="Z1022" s="16"/>
      <c r="AA1022" s="16"/>
      <c r="AB1022" s="16"/>
      <c r="AC1022" s="16"/>
      <c r="AD1022" s="16"/>
    </row>
    <row r="1023" spans="1:30" ht="12.9">
      <c r="A1023" s="16"/>
      <c r="B1023" s="24"/>
      <c r="C1023" s="196"/>
      <c r="D1023" s="196"/>
      <c r="E1023" s="196"/>
      <c r="F1023" s="16"/>
      <c r="G1023" s="24"/>
      <c r="H1023" s="24"/>
      <c r="I1023" s="16"/>
      <c r="J1023" s="16"/>
      <c r="K1023" s="16"/>
      <c r="L1023" s="16"/>
      <c r="M1023" s="16"/>
      <c r="N1023" s="16"/>
      <c r="O1023" s="16"/>
      <c r="P1023" s="16"/>
      <c r="Q1023" s="16"/>
      <c r="R1023" s="16"/>
      <c r="S1023" s="16"/>
      <c r="T1023" s="16"/>
      <c r="U1023" s="16"/>
      <c r="V1023" s="16"/>
      <c r="W1023" s="16"/>
      <c r="X1023" s="16"/>
      <c r="Y1023" s="16"/>
      <c r="Z1023" s="16"/>
      <c r="AA1023" s="16"/>
      <c r="AB1023" s="16"/>
      <c r="AC1023" s="16"/>
      <c r="AD1023" s="16"/>
    </row>
    <row r="1024" spans="1:30" ht="12.9">
      <c r="A1024" s="16"/>
      <c r="B1024" s="24"/>
      <c r="C1024" s="196"/>
      <c r="D1024" s="196"/>
      <c r="E1024" s="196"/>
      <c r="F1024" s="16"/>
      <c r="G1024" s="24"/>
      <c r="H1024" s="24"/>
      <c r="I1024" s="16"/>
      <c r="J1024" s="16"/>
      <c r="K1024" s="16"/>
      <c r="L1024" s="16"/>
      <c r="M1024" s="16"/>
      <c r="N1024" s="16"/>
      <c r="O1024" s="16"/>
      <c r="P1024" s="16"/>
      <c r="Q1024" s="16"/>
      <c r="R1024" s="16"/>
      <c r="S1024" s="16"/>
      <c r="T1024" s="16"/>
      <c r="U1024" s="16"/>
      <c r="V1024" s="16"/>
      <c r="W1024" s="16"/>
      <c r="X1024" s="16"/>
      <c r="Y1024" s="16"/>
      <c r="Z1024" s="16"/>
      <c r="AA1024" s="16"/>
      <c r="AB1024" s="16"/>
      <c r="AC1024" s="16"/>
      <c r="AD1024" s="16"/>
    </row>
    <row r="1025" spans="1:30" ht="12.9">
      <c r="A1025" s="16"/>
      <c r="B1025" s="24"/>
      <c r="C1025" s="196"/>
      <c r="D1025" s="196"/>
      <c r="E1025" s="196"/>
      <c r="F1025" s="16"/>
      <c r="G1025" s="24"/>
      <c r="H1025" s="24"/>
      <c r="I1025" s="16"/>
      <c r="J1025" s="16"/>
      <c r="K1025" s="16"/>
      <c r="L1025" s="16"/>
      <c r="M1025" s="16"/>
      <c r="N1025" s="16"/>
      <c r="O1025" s="16"/>
      <c r="P1025" s="16"/>
      <c r="Q1025" s="16"/>
      <c r="R1025" s="16"/>
      <c r="S1025" s="16"/>
      <c r="T1025" s="16"/>
      <c r="U1025" s="16"/>
      <c r="V1025" s="16"/>
      <c r="W1025" s="16"/>
      <c r="X1025" s="16"/>
      <c r="Y1025" s="16"/>
      <c r="Z1025" s="16"/>
      <c r="AA1025" s="16"/>
      <c r="AB1025" s="16"/>
      <c r="AC1025" s="16"/>
      <c r="AD1025" s="16"/>
    </row>
    <row r="1026" spans="1:30" ht="12.9">
      <c r="A1026" s="16"/>
      <c r="B1026" s="24"/>
      <c r="C1026" s="196"/>
      <c r="D1026" s="196"/>
      <c r="E1026" s="196"/>
      <c r="F1026" s="16"/>
      <c r="G1026" s="24"/>
      <c r="H1026" s="24"/>
      <c r="I1026" s="16"/>
      <c r="J1026" s="16"/>
      <c r="K1026" s="16"/>
      <c r="L1026" s="16"/>
      <c r="M1026" s="16"/>
      <c r="N1026" s="16"/>
      <c r="O1026" s="16"/>
      <c r="P1026" s="16"/>
      <c r="Q1026" s="16"/>
      <c r="R1026" s="16"/>
      <c r="S1026" s="16"/>
      <c r="T1026" s="16"/>
      <c r="U1026" s="16"/>
      <c r="V1026" s="16"/>
      <c r="W1026" s="16"/>
      <c r="X1026" s="16"/>
      <c r="Y1026" s="16"/>
      <c r="Z1026" s="16"/>
      <c r="AA1026" s="16"/>
      <c r="AB1026" s="16"/>
      <c r="AC1026" s="16"/>
      <c r="AD1026" s="16"/>
    </row>
    <row r="1027" spans="1:30" ht="12.9">
      <c r="A1027" s="16"/>
      <c r="B1027" s="24"/>
      <c r="C1027" s="196"/>
      <c r="D1027" s="196"/>
      <c r="E1027" s="196"/>
      <c r="F1027" s="16"/>
      <c r="G1027" s="24"/>
      <c r="H1027" s="24"/>
      <c r="I1027" s="16"/>
      <c r="J1027" s="16"/>
      <c r="K1027" s="16"/>
      <c r="L1027" s="16"/>
      <c r="M1027" s="16"/>
      <c r="N1027" s="16"/>
      <c r="O1027" s="16"/>
      <c r="P1027" s="16"/>
      <c r="Q1027" s="16"/>
      <c r="R1027" s="16"/>
      <c r="S1027" s="16"/>
      <c r="T1027" s="16"/>
      <c r="U1027" s="16"/>
      <c r="V1027" s="16"/>
      <c r="W1027" s="16"/>
      <c r="X1027" s="16"/>
      <c r="Y1027" s="16"/>
      <c r="Z1027" s="16"/>
      <c r="AA1027" s="16"/>
      <c r="AB1027" s="16"/>
      <c r="AC1027" s="16"/>
      <c r="AD1027" s="16"/>
    </row>
    <row r="1028" spans="1:30" ht="12.9">
      <c r="A1028" s="16"/>
      <c r="B1028" s="24"/>
      <c r="C1028" s="196"/>
      <c r="D1028" s="196"/>
      <c r="E1028" s="196"/>
      <c r="F1028" s="16"/>
      <c r="G1028" s="24"/>
      <c r="H1028" s="24"/>
      <c r="I1028" s="16"/>
      <c r="J1028" s="16"/>
      <c r="K1028" s="16"/>
      <c r="L1028" s="16"/>
      <c r="M1028" s="16"/>
      <c r="N1028" s="16"/>
      <c r="O1028" s="16"/>
      <c r="P1028" s="16"/>
      <c r="Q1028" s="16"/>
      <c r="R1028" s="16"/>
      <c r="S1028" s="16"/>
      <c r="T1028" s="16"/>
      <c r="U1028" s="16"/>
      <c r="V1028" s="16"/>
      <c r="W1028" s="16"/>
      <c r="X1028" s="16"/>
      <c r="Y1028" s="16"/>
      <c r="Z1028" s="16"/>
      <c r="AA1028" s="16"/>
      <c r="AB1028" s="16"/>
      <c r="AC1028" s="16"/>
      <c r="AD1028" s="16"/>
    </row>
    <row r="1029" spans="1:30" ht="12.9">
      <c r="A1029" s="16"/>
      <c r="B1029" s="24"/>
      <c r="C1029" s="196"/>
      <c r="D1029" s="196"/>
      <c r="E1029" s="196"/>
      <c r="F1029" s="16"/>
      <c r="G1029" s="24"/>
      <c r="H1029" s="24"/>
      <c r="I1029" s="16"/>
      <c r="J1029" s="16"/>
      <c r="K1029" s="16"/>
      <c r="L1029" s="16"/>
      <c r="M1029" s="16"/>
      <c r="N1029" s="16"/>
      <c r="O1029" s="16"/>
      <c r="P1029" s="16"/>
      <c r="Q1029" s="16"/>
      <c r="R1029" s="16"/>
      <c r="S1029" s="16"/>
      <c r="T1029" s="16"/>
      <c r="U1029" s="16"/>
      <c r="V1029" s="16"/>
      <c r="W1029" s="16"/>
      <c r="X1029" s="16"/>
      <c r="Y1029" s="16"/>
      <c r="Z1029" s="16"/>
      <c r="AA1029" s="16"/>
      <c r="AB1029" s="16"/>
      <c r="AC1029" s="16"/>
      <c r="AD1029" s="16"/>
    </row>
    <row r="1030" spans="1:30" ht="12.9">
      <c r="A1030" s="16"/>
      <c r="B1030" s="24"/>
      <c r="C1030" s="196"/>
      <c r="D1030" s="196"/>
      <c r="E1030" s="196"/>
      <c r="F1030" s="16"/>
      <c r="G1030" s="24"/>
      <c r="H1030" s="24"/>
      <c r="I1030" s="16"/>
      <c r="J1030" s="16"/>
      <c r="K1030" s="16"/>
      <c r="L1030" s="16"/>
      <c r="M1030" s="16"/>
      <c r="N1030" s="16"/>
      <c r="O1030" s="16"/>
      <c r="P1030" s="16"/>
      <c r="Q1030" s="16"/>
      <c r="R1030" s="16"/>
      <c r="S1030" s="16"/>
      <c r="T1030" s="16"/>
      <c r="U1030" s="16"/>
      <c r="V1030" s="16"/>
      <c r="W1030" s="16"/>
      <c r="X1030" s="16"/>
      <c r="Y1030" s="16"/>
      <c r="Z1030" s="16"/>
      <c r="AA1030" s="16"/>
      <c r="AB1030" s="16"/>
      <c r="AC1030" s="16"/>
      <c r="AD1030" s="16"/>
    </row>
    <row r="1031" spans="1:30" ht="12.9">
      <c r="A1031" s="16"/>
      <c r="B1031" s="24"/>
      <c r="C1031" s="196"/>
      <c r="D1031" s="196"/>
      <c r="E1031" s="196"/>
      <c r="F1031" s="16"/>
      <c r="G1031" s="24"/>
      <c r="H1031" s="24"/>
      <c r="I1031" s="16"/>
      <c r="J1031" s="16"/>
      <c r="K1031" s="16"/>
      <c r="L1031" s="16"/>
      <c r="M1031" s="16"/>
      <c r="N1031" s="16"/>
      <c r="O1031" s="16"/>
      <c r="P1031" s="16"/>
      <c r="Q1031" s="16"/>
      <c r="R1031" s="16"/>
      <c r="S1031" s="16"/>
      <c r="T1031" s="16"/>
      <c r="U1031" s="16"/>
      <c r="V1031" s="16"/>
      <c r="W1031" s="16"/>
      <c r="X1031" s="16"/>
      <c r="Y1031" s="16"/>
      <c r="Z1031" s="16"/>
      <c r="AA1031" s="16"/>
      <c r="AB1031" s="16"/>
      <c r="AC1031" s="16"/>
      <c r="AD1031" s="16"/>
    </row>
    <row r="1032" spans="1:30" ht="12.9">
      <c r="A1032" s="16"/>
      <c r="B1032" s="24"/>
      <c r="C1032" s="196"/>
      <c r="D1032" s="196"/>
      <c r="E1032" s="196"/>
      <c r="F1032" s="16"/>
      <c r="G1032" s="24"/>
      <c r="H1032" s="24"/>
      <c r="I1032" s="16"/>
      <c r="J1032" s="16"/>
      <c r="K1032" s="16"/>
      <c r="L1032" s="16"/>
      <c r="M1032" s="16"/>
      <c r="N1032" s="16"/>
      <c r="O1032" s="16"/>
      <c r="P1032" s="16"/>
      <c r="Q1032" s="16"/>
      <c r="R1032" s="16"/>
      <c r="S1032" s="16"/>
      <c r="T1032" s="16"/>
      <c r="U1032" s="16"/>
      <c r="V1032" s="16"/>
      <c r="W1032" s="16"/>
      <c r="X1032" s="16"/>
      <c r="Y1032" s="16"/>
      <c r="Z1032" s="16"/>
      <c r="AA1032" s="16"/>
      <c r="AB1032" s="16"/>
      <c r="AC1032" s="16"/>
      <c r="AD1032" s="16"/>
    </row>
    <row r="1033" spans="1:30" ht="12.9">
      <c r="A1033" s="16"/>
      <c r="B1033" s="24"/>
      <c r="C1033" s="196"/>
      <c r="D1033" s="196"/>
      <c r="E1033" s="196"/>
      <c r="F1033" s="16"/>
      <c r="G1033" s="24"/>
      <c r="H1033" s="24"/>
      <c r="I1033" s="16"/>
      <c r="J1033" s="16"/>
      <c r="K1033" s="16"/>
      <c r="L1033" s="16"/>
      <c r="M1033" s="16"/>
      <c r="N1033" s="16"/>
      <c r="O1033" s="16"/>
      <c r="P1033" s="16"/>
      <c r="Q1033" s="16"/>
      <c r="R1033" s="16"/>
      <c r="S1033" s="16"/>
      <c r="T1033" s="16"/>
      <c r="U1033" s="16"/>
      <c r="V1033" s="16"/>
      <c r="W1033" s="16"/>
      <c r="X1033" s="16"/>
      <c r="Y1033" s="16"/>
      <c r="Z1033" s="16"/>
      <c r="AA1033" s="16"/>
      <c r="AB1033" s="16"/>
      <c r="AC1033" s="16"/>
      <c r="AD1033" s="16"/>
    </row>
    <row r="1034" spans="1:30" ht="12.9">
      <c r="A1034" s="16"/>
      <c r="B1034" s="24"/>
      <c r="C1034" s="196"/>
      <c r="D1034" s="196"/>
      <c r="E1034" s="196"/>
      <c r="F1034" s="16"/>
      <c r="G1034" s="24"/>
      <c r="H1034" s="24"/>
      <c r="I1034" s="16"/>
      <c r="J1034" s="16"/>
      <c r="K1034" s="16"/>
      <c r="L1034" s="16"/>
      <c r="M1034" s="16"/>
      <c r="N1034" s="16"/>
      <c r="O1034" s="16"/>
      <c r="P1034" s="16"/>
      <c r="Q1034" s="16"/>
      <c r="R1034" s="16"/>
      <c r="S1034" s="16"/>
      <c r="T1034" s="16"/>
      <c r="U1034" s="16"/>
      <c r="V1034" s="16"/>
      <c r="W1034" s="16"/>
      <c r="X1034" s="16"/>
      <c r="Y1034" s="16"/>
      <c r="Z1034" s="16"/>
      <c r="AA1034" s="16"/>
      <c r="AB1034" s="16"/>
      <c r="AC1034" s="16"/>
      <c r="AD1034" s="16"/>
    </row>
    <row r="1035" spans="1:30" ht="12.9">
      <c r="A1035" s="16"/>
      <c r="B1035" s="24"/>
      <c r="C1035" s="196"/>
      <c r="D1035" s="196"/>
      <c r="E1035" s="196"/>
      <c r="F1035" s="16"/>
      <c r="G1035" s="24"/>
      <c r="H1035" s="24"/>
      <c r="I1035" s="16"/>
      <c r="J1035" s="16"/>
      <c r="K1035" s="16"/>
      <c r="L1035" s="16"/>
      <c r="M1035" s="16"/>
      <c r="N1035" s="16"/>
      <c r="O1035" s="16"/>
      <c r="P1035" s="16"/>
      <c r="Q1035" s="16"/>
      <c r="R1035" s="16"/>
      <c r="S1035" s="16"/>
      <c r="T1035" s="16"/>
      <c r="U1035" s="16"/>
      <c r="V1035" s="16"/>
      <c r="W1035" s="16"/>
      <c r="X1035" s="16"/>
      <c r="Y1035" s="16"/>
      <c r="Z1035" s="16"/>
      <c r="AA1035" s="16"/>
      <c r="AB1035" s="16"/>
      <c r="AC1035" s="16"/>
      <c r="AD1035" s="16"/>
    </row>
    <row r="1036" spans="1:30" ht="12.9">
      <c r="A1036" s="16"/>
      <c r="B1036" s="24"/>
      <c r="C1036" s="196"/>
      <c r="D1036" s="196"/>
      <c r="E1036" s="196"/>
      <c r="F1036" s="16"/>
      <c r="G1036" s="24"/>
      <c r="H1036" s="24"/>
      <c r="I1036" s="16"/>
      <c r="J1036" s="16"/>
      <c r="K1036" s="16"/>
      <c r="L1036" s="16"/>
      <c r="M1036" s="16"/>
      <c r="N1036" s="16"/>
      <c r="O1036" s="16"/>
      <c r="P1036" s="16"/>
      <c r="Q1036" s="16"/>
      <c r="R1036" s="16"/>
      <c r="S1036" s="16"/>
      <c r="T1036" s="16"/>
      <c r="U1036" s="16"/>
      <c r="V1036" s="16"/>
      <c r="W1036" s="16"/>
      <c r="X1036" s="16"/>
      <c r="Y1036" s="16"/>
      <c r="Z1036" s="16"/>
      <c r="AA1036" s="16"/>
      <c r="AB1036" s="16"/>
      <c r="AC1036" s="16"/>
      <c r="AD1036" s="16"/>
    </row>
    <row r="1037" spans="1:30" ht="12.9">
      <c r="A1037" s="16"/>
      <c r="B1037" s="24"/>
      <c r="C1037" s="196"/>
      <c r="D1037" s="196"/>
      <c r="E1037" s="196"/>
      <c r="F1037" s="16"/>
      <c r="G1037" s="24"/>
      <c r="H1037" s="24"/>
      <c r="I1037" s="16"/>
      <c r="J1037" s="16"/>
      <c r="K1037" s="16"/>
      <c r="L1037" s="16"/>
      <c r="M1037" s="16"/>
      <c r="N1037" s="16"/>
      <c r="O1037" s="16"/>
      <c r="P1037" s="16"/>
      <c r="Q1037" s="16"/>
      <c r="R1037" s="16"/>
      <c r="S1037" s="16"/>
      <c r="T1037" s="16"/>
      <c r="U1037" s="16"/>
      <c r="V1037" s="16"/>
      <c r="W1037" s="16"/>
      <c r="X1037" s="16"/>
      <c r="Y1037" s="16"/>
      <c r="Z1037" s="16"/>
      <c r="AA1037" s="16"/>
      <c r="AB1037" s="16"/>
      <c r="AC1037" s="16"/>
      <c r="AD1037" s="16"/>
    </row>
    <row r="1038" spans="1:30" ht="12.9">
      <c r="A1038" s="16"/>
      <c r="B1038" s="24"/>
      <c r="C1038" s="196"/>
      <c r="D1038" s="196"/>
      <c r="E1038" s="196"/>
      <c r="F1038" s="16"/>
      <c r="G1038" s="24"/>
      <c r="H1038" s="24"/>
      <c r="I1038" s="16"/>
      <c r="J1038" s="16"/>
      <c r="K1038" s="16"/>
      <c r="L1038" s="16"/>
      <c r="M1038" s="16"/>
      <c r="N1038" s="16"/>
      <c r="O1038" s="16"/>
      <c r="P1038" s="16"/>
      <c r="Q1038" s="16"/>
      <c r="R1038" s="16"/>
      <c r="S1038" s="16"/>
      <c r="T1038" s="16"/>
      <c r="U1038" s="16"/>
      <c r="V1038" s="16"/>
      <c r="W1038" s="16"/>
      <c r="X1038" s="16"/>
      <c r="Y1038" s="16"/>
      <c r="Z1038" s="16"/>
      <c r="AA1038" s="16"/>
      <c r="AB1038" s="16"/>
      <c r="AC1038" s="16"/>
      <c r="AD1038" s="16"/>
    </row>
    <row r="1039" spans="1:30" ht="12.9">
      <c r="A1039" s="16"/>
      <c r="B1039" s="24"/>
      <c r="C1039" s="196"/>
      <c r="D1039" s="196"/>
      <c r="E1039" s="196"/>
      <c r="F1039" s="16"/>
      <c r="G1039" s="24"/>
      <c r="H1039" s="24"/>
      <c r="I1039" s="16"/>
      <c r="J1039" s="16"/>
      <c r="K1039" s="16"/>
      <c r="L1039" s="16"/>
      <c r="M1039" s="16"/>
      <c r="N1039" s="16"/>
      <c r="O1039" s="16"/>
      <c r="P1039" s="16"/>
      <c r="Q1039" s="16"/>
      <c r="R1039" s="16"/>
      <c r="S1039" s="16"/>
      <c r="T1039" s="16"/>
      <c r="U1039" s="16"/>
      <c r="V1039" s="16"/>
      <c r="W1039" s="16"/>
      <c r="X1039" s="16"/>
      <c r="Y1039" s="16"/>
      <c r="Z1039" s="16"/>
      <c r="AA1039" s="16"/>
      <c r="AB1039" s="16"/>
      <c r="AC1039" s="16"/>
      <c r="AD1039" s="16"/>
    </row>
    <row r="1040" spans="1:30" ht="12.9">
      <c r="A1040" s="16"/>
      <c r="B1040" s="24"/>
      <c r="C1040" s="196"/>
      <c r="D1040" s="196"/>
      <c r="E1040" s="196"/>
      <c r="F1040" s="16"/>
      <c r="G1040" s="24"/>
      <c r="H1040" s="24"/>
      <c r="I1040" s="16"/>
      <c r="J1040" s="16"/>
      <c r="K1040" s="16"/>
      <c r="L1040" s="16"/>
      <c r="M1040" s="16"/>
      <c r="N1040" s="16"/>
      <c r="O1040" s="16"/>
      <c r="P1040" s="16"/>
      <c r="Q1040" s="16"/>
      <c r="R1040" s="16"/>
      <c r="S1040" s="16"/>
      <c r="T1040" s="16"/>
      <c r="U1040" s="16"/>
      <c r="V1040" s="16"/>
      <c r="W1040" s="16"/>
      <c r="X1040" s="16"/>
      <c r="Y1040" s="16"/>
      <c r="Z1040" s="16"/>
      <c r="AA1040" s="16"/>
      <c r="AB1040" s="16"/>
      <c r="AC1040" s="16"/>
      <c r="AD1040" s="16"/>
    </row>
    <row r="1041" spans="1:30" ht="12.9">
      <c r="A1041" s="16"/>
      <c r="B1041" s="24"/>
      <c r="C1041" s="196"/>
      <c r="D1041" s="196"/>
      <c r="E1041" s="196"/>
      <c r="F1041" s="16"/>
      <c r="G1041" s="24"/>
      <c r="H1041" s="24"/>
      <c r="I1041" s="16"/>
      <c r="J1041" s="16"/>
      <c r="K1041" s="16"/>
      <c r="L1041" s="16"/>
      <c r="M1041" s="16"/>
      <c r="N1041" s="16"/>
      <c r="O1041" s="16"/>
      <c r="P1041" s="16"/>
      <c r="Q1041" s="16"/>
      <c r="R1041" s="16"/>
      <c r="S1041" s="16"/>
      <c r="T1041" s="16"/>
      <c r="U1041" s="16"/>
      <c r="V1041" s="16"/>
      <c r="W1041" s="16"/>
      <c r="X1041" s="16"/>
      <c r="Y1041" s="16"/>
      <c r="Z1041" s="16"/>
      <c r="AA1041" s="16"/>
      <c r="AB1041" s="16"/>
      <c r="AC1041" s="16"/>
      <c r="AD1041" s="16"/>
    </row>
    <row r="1042" spans="1:30" ht="12.9">
      <c r="A1042" s="16"/>
      <c r="B1042" s="24"/>
      <c r="C1042" s="196"/>
      <c r="D1042" s="196"/>
      <c r="E1042" s="196"/>
      <c r="F1042" s="16"/>
      <c r="G1042" s="24"/>
      <c r="H1042" s="24"/>
      <c r="I1042" s="16"/>
      <c r="J1042" s="16"/>
      <c r="K1042" s="16"/>
      <c r="L1042" s="16"/>
      <c r="M1042" s="16"/>
      <c r="N1042" s="16"/>
      <c r="O1042" s="16"/>
      <c r="P1042" s="16"/>
      <c r="Q1042" s="16"/>
      <c r="R1042" s="16"/>
      <c r="S1042" s="16"/>
      <c r="T1042" s="16"/>
      <c r="U1042" s="16"/>
      <c r="V1042" s="16"/>
      <c r="W1042" s="16"/>
      <c r="X1042" s="16"/>
      <c r="Y1042" s="16"/>
      <c r="Z1042" s="16"/>
      <c r="AA1042" s="16"/>
      <c r="AB1042" s="16"/>
      <c r="AC1042" s="16"/>
      <c r="AD1042" s="16"/>
    </row>
    <row r="1043" spans="1:30" ht="12.9">
      <c r="A1043" s="16"/>
      <c r="B1043" s="24"/>
      <c r="C1043" s="196"/>
      <c r="D1043" s="196"/>
      <c r="E1043" s="196"/>
      <c r="F1043" s="16"/>
      <c r="G1043" s="24"/>
      <c r="H1043" s="24"/>
      <c r="I1043" s="16"/>
      <c r="J1043" s="16"/>
      <c r="K1043" s="16"/>
      <c r="L1043" s="16"/>
      <c r="M1043" s="16"/>
      <c r="N1043" s="16"/>
      <c r="O1043" s="16"/>
      <c r="P1043" s="16"/>
      <c r="Q1043" s="16"/>
      <c r="R1043" s="16"/>
      <c r="S1043" s="16"/>
      <c r="T1043" s="16"/>
      <c r="U1043" s="16"/>
      <c r="V1043" s="16"/>
      <c r="W1043" s="16"/>
      <c r="X1043" s="16"/>
      <c r="Y1043" s="16"/>
      <c r="Z1043" s="16"/>
      <c r="AA1043" s="16"/>
      <c r="AB1043" s="16"/>
      <c r="AC1043" s="16"/>
      <c r="AD1043" s="16"/>
    </row>
    <row r="1044" spans="1:30" ht="12.9">
      <c r="A1044" s="16"/>
      <c r="B1044" s="24"/>
      <c r="C1044" s="196"/>
      <c r="D1044" s="196"/>
      <c r="E1044" s="196"/>
      <c r="F1044" s="16"/>
      <c r="G1044" s="24"/>
      <c r="H1044" s="24"/>
      <c r="I1044" s="16"/>
      <c r="J1044" s="16"/>
      <c r="K1044" s="16"/>
      <c r="L1044" s="16"/>
      <c r="M1044" s="16"/>
      <c r="N1044" s="16"/>
      <c r="O1044" s="16"/>
      <c r="P1044" s="16"/>
      <c r="Q1044" s="16"/>
      <c r="R1044" s="16"/>
      <c r="S1044" s="16"/>
      <c r="T1044" s="16"/>
      <c r="U1044" s="16"/>
      <c r="V1044" s="16"/>
      <c r="W1044" s="16"/>
      <c r="X1044" s="16"/>
      <c r="Y1044" s="16"/>
      <c r="Z1044" s="16"/>
      <c r="AA1044" s="16"/>
      <c r="AB1044" s="16"/>
      <c r="AC1044" s="16"/>
      <c r="AD1044" s="16"/>
    </row>
    <row r="1045" spans="1:30" ht="12.9">
      <c r="A1045" s="16"/>
      <c r="B1045" s="24"/>
      <c r="C1045" s="196"/>
      <c r="D1045" s="196"/>
      <c r="E1045" s="196"/>
      <c r="F1045" s="16"/>
      <c r="G1045" s="24"/>
      <c r="H1045" s="24"/>
      <c r="I1045" s="16"/>
      <c r="J1045" s="16"/>
      <c r="K1045" s="16"/>
      <c r="L1045" s="16"/>
      <c r="M1045" s="16"/>
      <c r="N1045" s="16"/>
      <c r="O1045" s="16"/>
      <c r="P1045" s="16"/>
      <c r="Q1045" s="16"/>
      <c r="R1045" s="16"/>
      <c r="S1045" s="16"/>
      <c r="T1045" s="16"/>
      <c r="U1045" s="16"/>
      <c r="V1045" s="16"/>
      <c r="W1045" s="16"/>
      <c r="X1045" s="16"/>
      <c r="Y1045" s="16"/>
      <c r="Z1045" s="16"/>
      <c r="AA1045" s="16"/>
      <c r="AB1045" s="16"/>
      <c r="AC1045" s="16"/>
      <c r="AD1045" s="16"/>
    </row>
    <row r="1046" spans="1:30" ht="12.9">
      <c r="A1046" s="16"/>
      <c r="B1046" s="24"/>
      <c r="C1046" s="196"/>
      <c r="D1046" s="196"/>
      <c r="E1046" s="196"/>
      <c r="F1046" s="16"/>
      <c r="G1046" s="24"/>
      <c r="H1046" s="24"/>
      <c r="I1046" s="16"/>
      <c r="J1046" s="16"/>
      <c r="K1046" s="16"/>
      <c r="L1046" s="16"/>
      <c r="M1046" s="16"/>
      <c r="N1046" s="16"/>
      <c r="O1046" s="16"/>
      <c r="P1046" s="16"/>
      <c r="Q1046" s="16"/>
      <c r="R1046" s="16"/>
      <c r="S1046" s="16"/>
      <c r="T1046" s="16"/>
      <c r="U1046" s="16"/>
      <c r="V1046" s="16"/>
      <c r="W1046" s="16"/>
      <c r="X1046" s="16"/>
      <c r="Y1046" s="16"/>
      <c r="Z1046" s="16"/>
      <c r="AA1046" s="16"/>
      <c r="AB1046" s="16"/>
      <c r="AC1046" s="16"/>
      <c r="AD1046" s="16"/>
    </row>
    <row r="1047" spans="1:30" ht="12.9">
      <c r="A1047" s="16"/>
      <c r="B1047" s="24"/>
      <c r="C1047" s="196"/>
      <c r="D1047" s="196"/>
      <c r="E1047" s="196"/>
      <c r="F1047" s="16"/>
      <c r="G1047" s="24"/>
      <c r="H1047" s="24"/>
      <c r="I1047" s="16"/>
      <c r="J1047" s="16"/>
      <c r="K1047" s="16"/>
      <c r="L1047" s="16"/>
      <c r="M1047" s="16"/>
      <c r="N1047" s="16"/>
      <c r="O1047" s="16"/>
      <c r="P1047" s="16"/>
      <c r="Q1047" s="16"/>
      <c r="R1047" s="16"/>
      <c r="S1047" s="16"/>
      <c r="T1047" s="16"/>
      <c r="U1047" s="16"/>
      <c r="V1047" s="16"/>
      <c r="W1047" s="16"/>
      <c r="X1047" s="16"/>
      <c r="Y1047" s="16"/>
      <c r="Z1047" s="16"/>
      <c r="AA1047" s="16"/>
      <c r="AB1047" s="16"/>
      <c r="AC1047" s="16"/>
      <c r="AD1047" s="16"/>
    </row>
    <row r="1048" spans="1:30" ht="12.9">
      <c r="A1048" s="16"/>
      <c r="B1048" s="24"/>
      <c r="C1048" s="196"/>
      <c r="D1048" s="196"/>
      <c r="E1048" s="196"/>
      <c r="F1048" s="16"/>
      <c r="G1048" s="24"/>
      <c r="H1048" s="24"/>
      <c r="I1048" s="16"/>
      <c r="J1048" s="16"/>
      <c r="K1048" s="16"/>
      <c r="L1048" s="16"/>
      <c r="M1048" s="16"/>
      <c r="N1048" s="16"/>
      <c r="O1048" s="16"/>
      <c r="P1048" s="16"/>
      <c r="Q1048" s="16"/>
      <c r="R1048" s="16"/>
      <c r="S1048" s="16"/>
      <c r="T1048" s="16"/>
      <c r="U1048" s="16"/>
      <c r="V1048" s="16"/>
      <c r="W1048" s="16"/>
      <c r="X1048" s="16"/>
      <c r="Y1048" s="16"/>
      <c r="Z1048" s="16"/>
      <c r="AA1048" s="16"/>
      <c r="AB1048" s="16"/>
      <c r="AC1048" s="16"/>
      <c r="AD1048" s="16"/>
    </row>
    <row r="1049" spans="1:30" ht="12.9">
      <c r="A1049" s="16"/>
      <c r="B1049" s="24"/>
      <c r="C1049" s="196"/>
      <c r="D1049" s="196"/>
      <c r="E1049" s="196"/>
      <c r="F1049" s="16"/>
      <c r="G1049" s="24"/>
      <c r="H1049" s="24"/>
      <c r="I1049" s="16"/>
      <c r="J1049" s="16"/>
      <c r="K1049" s="16"/>
      <c r="L1049" s="16"/>
      <c r="M1049" s="16"/>
      <c r="N1049" s="16"/>
      <c r="O1049" s="16"/>
      <c r="P1049" s="16"/>
      <c r="Q1049" s="16"/>
      <c r="R1049" s="16"/>
      <c r="S1049" s="16"/>
      <c r="T1049" s="16"/>
      <c r="U1049" s="16"/>
      <c r="V1049" s="16"/>
      <c r="W1049" s="16"/>
      <c r="X1049" s="16"/>
      <c r="Y1049" s="16"/>
      <c r="Z1049" s="16"/>
      <c r="AA1049" s="16"/>
      <c r="AB1049" s="16"/>
      <c r="AC1049" s="16"/>
      <c r="AD1049" s="16"/>
    </row>
    <row r="1050" spans="1:30" ht="12.9">
      <c r="A1050" s="16"/>
      <c r="B1050" s="24"/>
      <c r="C1050" s="196"/>
      <c r="D1050" s="196"/>
      <c r="E1050" s="196"/>
      <c r="F1050" s="16"/>
      <c r="G1050" s="24"/>
      <c r="H1050" s="24"/>
      <c r="I1050" s="16"/>
      <c r="J1050" s="16"/>
      <c r="K1050" s="16"/>
      <c r="L1050" s="16"/>
      <c r="M1050" s="16"/>
      <c r="N1050" s="16"/>
      <c r="O1050" s="16"/>
      <c r="P1050" s="16"/>
      <c r="Q1050" s="16"/>
      <c r="R1050" s="16"/>
      <c r="S1050" s="16"/>
      <c r="T1050" s="16"/>
      <c r="U1050" s="16"/>
      <c r="V1050" s="16"/>
      <c r="W1050" s="16"/>
      <c r="X1050" s="16"/>
      <c r="Y1050" s="16"/>
      <c r="Z1050" s="16"/>
      <c r="AA1050" s="16"/>
      <c r="AB1050" s="16"/>
      <c r="AC1050" s="16"/>
      <c r="AD1050" s="16"/>
    </row>
    <row r="1051" spans="1:30" ht="12.9">
      <c r="A1051" s="16"/>
      <c r="B1051" s="24"/>
      <c r="C1051" s="196"/>
      <c r="D1051" s="196"/>
      <c r="E1051" s="196"/>
      <c r="F1051" s="16"/>
      <c r="G1051" s="24"/>
      <c r="H1051" s="24"/>
      <c r="I1051" s="16"/>
      <c r="J1051" s="16"/>
      <c r="K1051" s="16"/>
      <c r="L1051" s="16"/>
      <c r="M1051" s="16"/>
      <c r="N1051" s="16"/>
      <c r="O1051" s="16"/>
      <c r="P1051" s="16"/>
      <c r="Q1051" s="16"/>
      <c r="R1051" s="16"/>
      <c r="S1051" s="16"/>
      <c r="T1051" s="16"/>
      <c r="U1051" s="16"/>
      <c r="V1051" s="16"/>
      <c r="W1051" s="16"/>
      <c r="X1051" s="16"/>
      <c r="Y1051" s="16"/>
      <c r="Z1051" s="16"/>
      <c r="AA1051" s="16"/>
      <c r="AB1051" s="16"/>
      <c r="AC1051" s="16"/>
      <c r="AD1051" s="16"/>
    </row>
    <row r="1052" spans="1:30" ht="12.9">
      <c r="A1052" s="16"/>
      <c r="B1052" s="24"/>
      <c r="C1052" s="196"/>
      <c r="D1052" s="196"/>
      <c r="E1052" s="196"/>
      <c r="F1052" s="16"/>
      <c r="G1052" s="24"/>
      <c r="H1052" s="24"/>
      <c r="I1052" s="16"/>
      <c r="J1052" s="16"/>
      <c r="K1052" s="16"/>
      <c r="L1052" s="16"/>
      <c r="M1052" s="16"/>
      <c r="N1052" s="16"/>
      <c r="O1052" s="16"/>
      <c r="P1052" s="16"/>
      <c r="Q1052" s="16"/>
      <c r="R1052" s="16"/>
      <c r="S1052" s="16"/>
      <c r="T1052" s="16"/>
      <c r="U1052" s="16"/>
      <c r="V1052" s="16"/>
      <c r="W1052" s="16"/>
      <c r="X1052" s="16"/>
      <c r="Y1052" s="16"/>
      <c r="Z1052" s="16"/>
      <c r="AA1052" s="16"/>
      <c r="AB1052" s="16"/>
      <c r="AC1052" s="16"/>
      <c r="AD1052" s="16"/>
    </row>
    <row r="1053" spans="1:30" ht="12.9">
      <c r="A1053" s="16"/>
      <c r="B1053" s="24"/>
      <c r="C1053" s="196"/>
      <c r="D1053" s="196"/>
      <c r="E1053" s="196"/>
      <c r="F1053" s="16"/>
      <c r="G1053" s="24"/>
      <c r="H1053" s="24"/>
      <c r="I1053" s="16"/>
      <c r="J1053" s="16"/>
      <c r="K1053" s="16"/>
      <c r="L1053" s="16"/>
      <c r="M1053" s="16"/>
      <c r="N1053" s="16"/>
      <c r="O1053" s="16"/>
      <c r="P1053" s="16"/>
      <c r="Q1053" s="16"/>
      <c r="R1053" s="16"/>
      <c r="S1053" s="16"/>
      <c r="T1053" s="16"/>
      <c r="U1053" s="16"/>
      <c r="V1053" s="16"/>
      <c r="W1053" s="16"/>
      <c r="X1053" s="16"/>
      <c r="Y1053" s="16"/>
      <c r="Z1053" s="16"/>
      <c r="AA1053" s="16"/>
      <c r="AB1053" s="16"/>
      <c r="AC1053" s="16"/>
      <c r="AD1053" s="16"/>
    </row>
    <row r="1054" spans="1:30" ht="12.9">
      <c r="A1054" s="16"/>
      <c r="B1054" s="24"/>
      <c r="C1054" s="196"/>
      <c r="D1054" s="196"/>
      <c r="E1054" s="196"/>
      <c r="F1054" s="16"/>
      <c r="G1054" s="24"/>
      <c r="H1054" s="24"/>
      <c r="I1054" s="16"/>
      <c r="J1054" s="16"/>
      <c r="K1054" s="16"/>
      <c r="L1054" s="16"/>
      <c r="M1054" s="16"/>
      <c r="N1054" s="16"/>
      <c r="O1054" s="16"/>
      <c r="P1054" s="16"/>
      <c r="Q1054" s="16"/>
      <c r="R1054" s="16"/>
      <c r="S1054" s="16"/>
      <c r="T1054" s="16"/>
      <c r="U1054" s="16"/>
      <c r="V1054" s="16"/>
      <c r="W1054" s="16"/>
      <c r="X1054" s="16"/>
      <c r="Y1054" s="16"/>
      <c r="Z1054" s="16"/>
      <c r="AA1054" s="16"/>
      <c r="AB1054" s="16"/>
      <c r="AC1054" s="16"/>
      <c r="AD1054" s="16"/>
    </row>
    <row r="1055" spans="1:30" ht="12.9">
      <c r="A1055" s="16"/>
      <c r="B1055" s="24"/>
      <c r="C1055" s="196"/>
      <c r="D1055" s="196"/>
      <c r="E1055" s="196"/>
      <c r="F1055" s="16"/>
      <c r="G1055" s="24"/>
      <c r="H1055" s="24"/>
      <c r="I1055" s="16"/>
      <c r="J1055" s="16"/>
      <c r="K1055" s="16"/>
      <c r="L1055" s="16"/>
      <c r="M1055" s="16"/>
      <c r="N1055" s="16"/>
      <c r="O1055" s="16"/>
      <c r="P1055" s="16"/>
      <c r="Q1055" s="16"/>
      <c r="R1055" s="16"/>
      <c r="S1055" s="16"/>
      <c r="T1055" s="16"/>
      <c r="U1055" s="16"/>
      <c r="V1055" s="16"/>
      <c r="W1055" s="16"/>
      <c r="X1055" s="16"/>
      <c r="Y1055" s="16"/>
      <c r="Z1055" s="16"/>
      <c r="AA1055" s="16"/>
      <c r="AB1055" s="16"/>
      <c r="AC1055" s="16"/>
      <c r="AD1055" s="16"/>
    </row>
    <row r="1056" spans="1:30" ht="12.9">
      <c r="A1056" s="16"/>
      <c r="B1056" s="24"/>
      <c r="C1056" s="196"/>
      <c r="D1056" s="196"/>
      <c r="E1056" s="196"/>
      <c r="F1056" s="16"/>
      <c r="G1056" s="24"/>
      <c r="H1056" s="24"/>
      <c r="I1056" s="16"/>
      <c r="J1056" s="16"/>
      <c r="K1056" s="16"/>
      <c r="L1056" s="16"/>
      <c r="M1056" s="16"/>
      <c r="N1056" s="16"/>
      <c r="O1056" s="16"/>
      <c r="P1056" s="16"/>
      <c r="Q1056" s="16"/>
      <c r="R1056" s="16"/>
      <c r="S1056" s="16"/>
      <c r="T1056" s="16"/>
      <c r="U1056" s="16"/>
      <c r="V1056" s="16"/>
      <c r="W1056" s="16"/>
      <c r="X1056" s="16"/>
      <c r="Y1056" s="16"/>
      <c r="Z1056" s="16"/>
      <c r="AA1056" s="16"/>
      <c r="AB1056" s="16"/>
      <c r="AC1056" s="16"/>
      <c r="AD1056" s="16"/>
    </row>
    <row r="1057" spans="1:30" ht="12.9">
      <c r="A1057" s="16"/>
      <c r="B1057" s="24"/>
      <c r="C1057" s="196"/>
      <c r="D1057" s="196"/>
      <c r="E1057" s="196"/>
      <c r="F1057" s="16"/>
      <c r="G1057" s="24"/>
      <c r="H1057" s="24"/>
      <c r="I1057" s="16"/>
      <c r="J1057" s="16"/>
      <c r="K1057" s="16"/>
      <c r="L1057" s="16"/>
      <c r="M1057" s="16"/>
      <c r="N1057" s="16"/>
      <c r="O1057" s="16"/>
      <c r="P1057" s="16"/>
      <c r="Q1057" s="16"/>
      <c r="R1057" s="16"/>
      <c r="S1057" s="16"/>
      <c r="T1057" s="16"/>
      <c r="U1057" s="16"/>
      <c r="V1057" s="16"/>
      <c r="W1057" s="16"/>
      <c r="X1057" s="16"/>
      <c r="Y1057" s="16"/>
      <c r="Z1057" s="16"/>
      <c r="AA1057" s="16"/>
      <c r="AB1057" s="16"/>
      <c r="AC1057" s="16"/>
      <c r="AD1057" s="16"/>
    </row>
    <row r="1058" spans="1:30" ht="12.9">
      <c r="A1058" s="16"/>
      <c r="B1058" s="24"/>
      <c r="C1058" s="196"/>
      <c r="D1058" s="196"/>
      <c r="E1058" s="196"/>
      <c r="F1058" s="16"/>
      <c r="G1058" s="24"/>
      <c r="H1058" s="24"/>
      <c r="I1058" s="16"/>
      <c r="J1058" s="16"/>
      <c r="K1058" s="16"/>
      <c r="L1058" s="16"/>
      <c r="M1058" s="16"/>
      <c r="N1058" s="16"/>
      <c r="O1058" s="16"/>
      <c r="P1058" s="16"/>
      <c r="Q1058" s="16"/>
      <c r="R1058" s="16"/>
      <c r="S1058" s="16"/>
      <c r="T1058" s="16"/>
      <c r="U1058" s="16"/>
      <c r="V1058" s="16"/>
      <c r="W1058" s="16"/>
      <c r="X1058" s="16"/>
      <c r="Y1058" s="16"/>
      <c r="Z1058" s="16"/>
      <c r="AA1058" s="16"/>
      <c r="AB1058" s="16"/>
      <c r="AC1058" s="16"/>
      <c r="AD1058" s="16"/>
    </row>
    <row r="1059" spans="1:30" ht="12.9">
      <c r="A1059" s="16"/>
      <c r="B1059" s="24"/>
      <c r="C1059" s="196"/>
      <c r="D1059" s="196"/>
      <c r="E1059" s="196"/>
      <c r="F1059" s="16"/>
      <c r="G1059" s="24"/>
      <c r="H1059" s="24"/>
      <c r="I1059" s="16"/>
      <c r="J1059" s="16"/>
      <c r="K1059" s="16"/>
      <c r="L1059" s="16"/>
      <c r="M1059" s="16"/>
      <c r="N1059" s="16"/>
      <c r="O1059" s="16"/>
      <c r="P1059" s="16"/>
      <c r="Q1059" s="16"/>
      <c r="R1059" s="16"/>
      <c r="S1059" s="16"/>
      <c r="T1059" s="16"/>
      <c r="U1059" s="16"/>
      <c r="V1059" s="16"/>
      <c r="W1059" s="16"/>
      <c r="X1059" s="16"/>
      <c r="Y1059" s="16"/>
      <c r="Z1059" s="16"/>
      <c r="AA1059" s="16"/>
      <c r="AB1059" s="16"/>
      <c r="AC1059" s="16"/>
      <c r="AD1059" s="16"/>
    </row>
    <row r="1060" spans="1:30" ht="12.9">
      <c r="A1060" s="16"/>
      <c r="B1060" s="24"/>
      <c r="C1060" s="196"/>
      <c r="D1060" s="196"/>
      <c r="E1060" s="196"/>
      <c r="F1060" s="16"/>
      <c r="G1060" s="24"/>
      <c r="H1060" s="24"/>
      <c r="I1060" s="16"/>
      <c r="J1060" s="16"/>
      <c r="K1060" s="16"/>
      <c r="L1060" s="16"/>
      <c r="M1060" s="16"/>
      <c r="N1060" s="16"/>
      <c r="O1060" s="16"/>
      <c r="P1060" s="16"/>
      <c r="Q1060" s="16"/>
      <c r="R1060" s="16"/>
      <c r="S1060" s="16"/>
      <c r="T1060" s="16"/>
      <c r="U1060" s="16"/>
      <c r="V1060" s="16"/>
      <c r="W1060" s="16"/>
      <c r="X1060" s="16"/>
      <c r="Y1060" s="16"/>
      <c r="Z1060" s="16"/>
      <c r="AA1060" s="16"/>
      <c r="AB1060" s="16"/>
      <c r="AC1060" s="16"/>
      <c r="AD1060" s="16"/>
    </row>
    <row r="1061" spans="1:30" ht="12.9">
      <c r="A1061" s="16"/>
      <c r="B1061" s="24"/>
      <c r="C1061" s="196"/>
      <c r="D1061" s="196"/>
      <c r="E1061" s="196"/>
      <c r="F1061" s="16"/>
      <c r="G1061" s="24"/>
      <c r="H1061" s="24"/>
      <c r="I1061" s="16"/>
      <c r="J1061" s="16"/>
      <c r="K1061" s="16"/>
      <c r="L1061" s="16"/>
      <c r="M1061" s="16"/>
      <c r="N1061" s="16"/>
      <c r="O1061" s="16"/>
      <c r="P1061" s="16"/>
      <c r="Q1061" s="16"/>
      <c r="R1061" s="16"/>
      <c r="S1061" s="16"/>
      <c r="T1061" s="16"/>
      <c r="U1061" s="16"/>
      <c r="V1061" s="16"/>
      <c r="W1061" s="16"/>
      <c r="X1061" s="16"/>
      <c r="Y1061" s="16"/>
      <c r="Z1061" s="16"/>
      <c r="AA1061" s="16"/>
      <c r="AB1061" s="16"/>
      <c r="AC1061" s="16"/>
      <c r="AD1061" s="16"/>
    </row>
    <row r="1062" spans="1:30" ht="12.9">
      <c r="A1062" s="16"/>
      <c r="B1062" s="24"/>
      <c r="C1062" s="196"/>
      <c r="D1062" s="196"/>
      <c r="E1062" s="196"/>
      <c r="F1062" s="16"/>
      <c r="G1062" s="24"/>
      <c r="H1062" s="24"/>
      <c r="I1062" s="16"/>
      <c r="J1062" s="16"/>
      <c r="K1062" s="16"/>
      <c r="L1062" s="16"/>
      <c r="M1062" s="16"/>
      <c r="N1062" s="16"/>
      <c r="O1062" s="16"/>
      <c r="P1062" s="16"/>
      <c r="Q1062" s="16"/>
      <c r="R1062" s="16"/>
      <c r="S1062" s="16"/>
      <c r="T1062" s="16"/>
      <c r="U1062" s="16"/>
      <c r="V1062" s="16"/>
      <c r="W1062" s="16"/>
      <c r="X1062" s="16"/>
      <c r="Y1062" s="16"/>
      <c r="Z1062" s="16"/>
      <c r="AA1062" s="16"/>
      <c r="AB1062" s="16"/>
      <c r="AC1062" s="16"/>
      <c r="AD1062" s="16"/>
    </row>
    <row r="1063" spans="1:30" ht="12.9">
      <c r="A1063" s="16"/>
      <c r="B1063" s="24"/>
      <c r="C1063" s="196"/>
      <c r="D1063" s="196"/>
      <c r="E1063" s="196"/>
      <c r="F1063" s="16"/>
      <c r="G1063" s="24"/>
      <c r="H1063" s="24"/>
      <c r="I1063" s="16"/>
      <c r="J1063" s="16"/>
      <c r="K1063" s="16"/>
      <c r="L1063" s="16"/>
      <c r="M1063" s="16"/>
      <c r="N1063" s="16"/>
      <c r="O1063" s="16"/>
      <c r="P1063" s="16"/>
      <c r="Q1063" s="16"/>
      <c r="R1063" s="16"/>
      <c r="S1063" s="16"/>
      <c r="T1063" s="16"/>
      <c r="U1063" s="16"/>
      <c r="V1063" s="16"/>
      <c r="W1063" s="16"/>
      <c r="X1063" s="16"/>
      <c r="Y1063" s="16"/>
      <c r="Z1063" s="16"/>
      <c r="AA1063" s="16"/>
      <c r="AB1063" s="16"/>
      <c r="AC1063" s="16"/>
      <c r="AD1063" s="16"/>
    </row>
    <row r="1064" spans="1:30" ht="12.9">
      <c r="A1064" s="16"/>
      <c r="B1064" s="24"/>
      <c r="C1064" s="196"/>
      <c r="D1064" s="196"/>
      <c r="E1064" s="196"/>
      <c r="F1064" s="16"/>
      <c r="G1064" s="24"/>
      <c r="H1064" s="24"/>
      <c r="I1064" s="16"/>
      <c r="J1064" s="16"/>
      <c r="K1064" s="16"/>
      <c r="L1064" s="16"/>
      <c r="M1064" s="16"/>
      <c r="N1064" s="16"/>
      <c r="O1064" s="16"/>
      <c r="P1064" s="16"/>
      <c r="Q1064" s="16"/>
      <c r="R1064" s="16"/>
      <c r="S1064" s="16"/>
      <c r="T1064" s="16"/>
      <c r="U1064" s="16"/>
      <c r="V1064" s="16"/>
      <c r="W1064" s="16"/>
      <c r="X1064" s="16"/>
      <c r="Y1064" s="16"/>
      <c r="Z1064" s="16"/>
      <c r="AA1064" s="16"/>
      <c r="AB1064" s="16"/>
      <c r="AC1064" s="16"/>
      <c r="AD1064" s="16"/>
    </row>
    <row r="1065" spans="1:30" ht="12.9">
      <c r="A1065" s="16"/>
      <c r="B1065" s="24"/>
      <c r="C1065" s="196"/>
      <c r="D1065" s="196"/>
      <c r="E1065" s="196"/>
      <c r="F1065" s="16"/>
      <c r="G1065" s="24"/>
      <c r="H1065" s="24"/>
      <c r="I1065" s="16"/>
      <c r="J1065" s="16"/>
      <c r="K1065" s="16"/>
      <c r="L1065" s="16"/>
      <c r="M1065" s="16"/>
      <c r="N1065" s="16"/>
      <c r="O1065" s="16"/>
      <c r="P1065" s="16"/>
      <c r="Q1065" s="16"/>
      <c r="R1065" s="16"/>
      <c r="S1065" s="16"/>
      <c r="T1065" s="16"/>
      <c r="U1065" s="16"/>
      <c r="V1065" s="16"/>
      <c r="W1065" s="16"/>
      <c r="X1065" s="16"/>
      <c r="Y1065" s="16"/>
      <c r="Z1065" s="16"/>
      <c r="AA1065" s="16"/>
      <c r="AB1065" s="16"/>
      <c r="AC1065" s="16"/>
      <c r="AD1065" s="16"/>
    </row>
    <row r="1066" spans="1:30" ht="12.9">
      <c r="A1066" s="16"/>
      <c r="B1066" s="24"/>
      <c r="C1066" s="196"/>
      <c r="D1066" s="196"/>
      <c r="E1066" s="196"/>
      <c r="F1066" s="16"/>
      <c r="G1066" s="24"/>
      <c r="H1066" s="24"/>
      <c r="I1066" s="16"/>
      <c r="J1066" s="16"/>
      <c r="K1066" s="16"/>
      <c r="L1066" s="16"/>
      <c r="M1066" s="16"/>
      <c r="N1066" s="16"/>
      <c r="O1066" s="16"/>
      <c r="P1066" s="16"/>
      <c r="Q1066" s="16"/>
      <c r="R1066" s="16"/>
      <c r="S1066" s="16"/>
      <c r="T1066" s="16"/>
      <c r="U1066" s="16"/>
      <c r="V1066" s="16"/>
      <c r="W1066" s="16"/>
      <c r="X1066" s="16"/>
      <c r="Y1066" s="16"/>
      <c r="Z1066" s="16"/>
      <c r="AA1066" s="16"/>
      <c r="AB1066" s="16"/>
      <c r="AC1066" s="16"/>
      <c r="AD1066" s="16"/>
    </row>
    <row r="1067" spans="1:30" ht="12.9">
      <c r="A1067" s="16"/>
      <c r="B1067" s="24"/>
      <c r="C1067" s="196"/>
      <c r="D1067" s="196"/>
      <c r="E1067" s="196"/>
      <c r="F1067" s="16"/>
      <c r="G1067" s="24"/>
      <c r="H1067" s="24"/>
      <c r="I1067" s="16"/>
      <c r="J1067" s="16"/>
      <c r="K1067" s="16"/>
      <c r="L1067" s="16"/>
      <c r="M1067" s="16"/>
      <c r="N1067" s="16"/>
      <c r="O1067" s="16"/>
      <c r="P1067" s="16"/>
      <c r="Q1067" s="16"/>
      <c r="R1067" s="16"/>
      <c r="S1067" s="16"/>
      <c r="T1067" s="16"/>
      <c r="U1067" s="16"/>
      <c r="V1067" s="16"/>
      <c r="W1067" s="16"/>
      <c r="X1067" s="16"/>
      <c r="Y1067" s="16"/>
      <c r="Z1067" s="16"/>
      <c r="AA1067" s="16"/>
      <c r="AB1067" s="16"/>
      <c r="AC1067" s="16"/>
      <c r="AD1067" s="16"/>
    </row>
    <row r="1068" spans="1:30" ht="12.9">
      <c r="A1068" s="16"/>
      <c r="B1068" s="24"/>
      <c r="C1068" s="196"/>
      <c r="D1068" s="196"/>
      <c r="E1068" s="196"/>
      <c r="F1068" s="16"/>
      <c r="G1068" s="24"/>
      <c r="H1068" s="24"/>
      <c r="I1068" s="16"/>
      <c r="J1068" s="16"/>
      <c r="K1068" s="16"/>
      <c r="L1068" s="16"/>
      <c r="M1068" s="16"/>
      <c r="N1068" s="16"/>
      <c r="O1068" s="16"/>
      <c r="P1068" s="16"/>
      <c r="Q1068" s="16"/>
      <c r="R1068" s="16"/>
      <c r="S1068" s="16"/>
      <c r="T1068" s="16"/>
      <c r="U1068" s="16"/>
      <c r="V1068" s="16"/>
      <c r="W1068" s="16"/>
      <c r="X1068" s="16"/>
      <c r="Y1068" s="16"/>
      <c r="Z1068" s="16"/>
      <c r="AA1068" s="16"/>
      <c r="AB1068" s="16"/>
      <c r="AC1068" s="16"/>
      <c r="AD1068" s="16"/>
    </row>
    <row r="1069" spans="1:30" ht="12.9">
      <c r="A1069" s="16"/>
      <c r="B1069" s="24"/>
      <c r="C1069" s="196"/>
      <c r="D1069" s="196"/>
      <c r="E1069" s="196"/>
      <c r="F1069" s="16"/>
      <c r="G1069" s="24"/>
      <c r="H1069" s="24"/>
      <c r="I1069" s="16"/>
      <c r="J1069" s="16"/>
      <c r="K1069" s="16"/>
      <c r="L1069" s="16"/>
      <c r="M1069" s="16"/>
      <c r="N1069" s="16"/>
      <c r="O1069" s="16"/>
      <c r="P1069" s="16"/>
      <c r="Q1069" s="16"/>
      <c r="R1069" s="16"/>
      <c r="S1069" s="16"/>
      <c r="T1069" s="16"/>
      <c r="U1069" s="16"/>
      <c r="V1069" s="16"/>
      <c r="W1069" s="16"/>
      <c r="X1069" s="16"/>
      <c r="Y1069" s="16"/>
      <c r="Z1069" s="16"/>
      <c r="AA1069" s="16"/>
      <c r="AB1069" s="16"/>
      <c r="AC1069" s="16"/>
      <c r="AD1069" s="16"/>
    </row>
    <row r="1070" spans="1:30" ht="12.9">
      <c r="A1070" s="16"/>
      <c r="B1070" s="24"/>
      <c r="C1070" s="196"/>
      <c r="D1070" s="196"/>
      <c r="E1070" s="196"/>
      <c r="F1070" s="16"/>
      <c r="G1070" s="24"/>
      <c r="H1070" s="24"/>
      <c r="I1070" s="16"/>
      <c r="J1070" s="16"/>
      <c r="K1070" s="16"/>
      <c r="L1070" s="16"/>
      <c r="M1070" s="16"/>
      <c r="N1070" s="16"/>
      <c r="O1070" s="16"/>
      <c r="P1070" s="16"/>
      <c r="Q1070" s="16"/>
      <c r="R1070" s="16"/>
      <c r="S1070" s="16"/>
      <c r="T1070" s="16"/>
      <c r="U1070" s="16"/>
      <c r="V1070" s="16"/>
      <c r="W1070" s="16"/>
      <c r="X1070" s="16"/>
      <c r="Y1070" s="16"/>
      <c r="Z1070" s="16"/>
      <c r="AA1070" s="16"/>
      <c r="AB1070" s="16"/>
      <c r="AC1070" s="16"/>
      <c r="AD1070" s="16"/>
    </row>
    <row r="1071" spans="1:30" ht="12.9">
      <c r="A1071" s="16"/>
      <c r="B1071" s="24"/>
      <c r="C1071" s="196"/>
      <c r="D1071" s="196"/>
      <c r="E1071" s="196"/>
      <c r="F1071" s="16"/>
      <c r="G1071" s="24"/>
      <c r="H1071" s="24"/>
      <c r="I1071" s="16"/>
      <c r="J1071" s="16"/>
      <c r="K1071" s="16"/>
      <c r="L1071" s="16"/>
      <c r="M1071" s="16"/>
      <c r="N1071" s="16"/>
      <c r="O1071" s="16"/>
      <c r="P1071" s="16"/>
      <c r="Q1071" s="16"/>
      <c r="R1071" s="16"/>
      <c r="S1071" s="16"/>
      <c r="T1071" s="16"/>
      <c r="U1071" s="16"/>
      <c r="V1071" s="16"/>
      <c r="W1071" s="16"/>
      <c r="X1071" s="16"/>
      <c r="Y1071" s="16"/>
      <c r="Z1071" s="16"/>
      <c r="AA1071" s="16"/>
      <c r="AB1071" s="16"/>
      <c r="AC1071" s="16"/>
      <c r="AD1071" s="16"/>
    </row>
    <row r="1072" spans="1:30" ht="12.9">
      <c r="A1072" s="16"/>
      <c r="B1072" s="24"/>
      <c r="C1072" s="196"/>
      <c r="D1072" s="196"/>
      <c r="E1072" s="196"/>
      <c r="F1072" s="16"/>
      <c r="G1072" s="24"/>
      <c r="H1072" s="24"/>
      <c r="I1072" s="16"/>
      <c r="J1072" s="16"/>
      <c r="K1072" s="16"/>
      <c r="L1072" s="16"/>
      <c r="M1072" s="16"/>
      <c r="N1072" s="16"/>
      <c r="O1072" s="16"/>
      <c r="P1072" s="16"/>
      <c r="Q1072" s="16"/>
      <c r="R1072" s="16"/>
      <c r="S1072" s="16"/>
      <c r="T1072" s="16"/>
      <c r="U1072" s="16"/>
      <c r="V1072" s="16"/>
      <c r="W1072" s="16"/>
      <c r="X1072" s="16"/>
      <c r="Y1072" s="16"/>
      <c r="Z1072" s="16"/>
      <c r="AA1072" s="16"/>
      <c r="AB1072" s="16"/>
      <c r="AC1072" s="16"/>
      <c r="AD1072" s="16"/>
    </row>
    <row r="1073" spans="1:30" ht="12.9">
      <c r="A1073" s="16"/>
      <c r="B1073" s="24"/>
      <c r="C1073" s="196"/>
      <c r="D1073" s="196"/>
      <c r="E1073" s="196"/>
      <c r="F1073" s="16"/>
      <c r="G1073" s="24"/>
      <c r="H1073" s="24"/>
      <c r="I1073" s="16"/>
      <c r="J1073" s="16"/>
      <c r="K1073" s="16"/>
      <c r="L1073" s="16"/>
      <c r="M1073" s="16"/>
      <c r="N1073" s="16"/>
      <c r="O1073" s="16"/>
      <c r="P1073" s="16"/>
      <c r="Q1073" s="16"/>
      <c r="R1073" s="16"/>
      <c r="S1073" s="16"/>
      <c r="T1073" s="16"/>
      <c r="U1073" s="16"/>
      <c r="V1073" s="16"/>
      <c r="W1073" s="16"/>
      <c r="X1073" s="16"/>
      <c r="Y1073" s="16"/>
      <c r="Z1073" s="16"/>
      <c r="AA1073" s="16"/>
      <c r="AB1073" s="16"/>
      <c r="AC1073" s="16"/>
      <c r="AD1073" s="16"/>
    </row>
    <row r="1074" spans="1:30" ht="12.9">
      <c r="A1074" s="16"/>
      <c r="B1074" s="24"/>
      <c r="C1074" s="196"/>
      <c r="D1074" s="196"/>
      <c r="E1074" s="196"/>
      <c r="F1074" s="16"/>
      <c r="G1074" s="24"/>
      <c r="H1074" s="24"/>
      <c r="I1074" s="16"/>
      <c r="J1074" s="16"/>
      <c r="K1074" s="16"/>
      <c r="L1074" s="16"/>
      <c r="M1074" s="16"/>
      <c r="N1074" s="16"/>
      <c r="O1074" s="16"/>
      <c r="P1074" s="16"/>
      <c r="Q1074" s="16"/>
      <c r="R1074" s="16"/>
      <c r="S1074" s="16"/>
      <c r="T1074" s="16"/>
      <c r="U1074" s="16"/>
      <c r="V1074" s="16"/>
      <c r="W1074" s="16"/>
      <c r="X1074" s="16"/>
      <c r="Y1074" s="16"/>
      <c r="Z1074" s="16"/>
      <c r="AA1074" s="16"/>
      <c r="AB1074" s="16"/>
      <c r="AC1074" s="16"/>
      <c r="AD1074" s="16"/>
    </row>
    <row r="1075" spans="1:30" ht="12.9">
      <c r="A1075" s="16"/>
      <c r="B1075" s="24"/>
      <c r="C1075" s="196"/>
      <c r="D1075" s="196"/>
      <c r="E1075" s="196"/>
      <c r="F1075" s="16"/>
      <c r="G1075" s="24"/>
      <c r="H1075" s="24"/>
      <c r="I1075" s="16"/>
      <c r="J1075" s="16"/>
      <c r="K1075" s="16"/>
      <c r="L1075" s="16"/>
      <c r="M1075" s="16"/>
      <c r="N1075" s="16"/>
      <c r="O1075" s="16"/>
      <c r="P1075" s="16"/>
      <c r="Q1075" s="16"/>
      <c r="R1075" s="16"/>
      <c r="S1075" s="16"/>
      <c r="T1075" s="16"/>
      <c r="U1075" s="16"/>
      <c r="V1075" s="16"/>
      <c r="W1075" s="16"/>
      <c r="X1075" s="16"/>
      <c r="Y1075" s="16"/>
      <c r="Z1075" s="16"/>
      <c r="AA1075" s="16"/>
      <c r="AB1075" s="16"/>
      <c r="AC1075" s="16"/>
      <c r="AD1075" s="16"/>
    </row>
    <row r="1076" spans="1:30" ht="12.9">
      <c r="A1076" s="16"/>
      <c r="B1076" s="24"/>
      <c r="C1076" s="196"/>
      <c r="D1076" s="196"/>
      <c r="E1076" s="196"/>
      <c r="F1076" s="16"/>
      <c r="G1076" s="24"/>
      <c r="H1076" s="24"/>
      <c r="I1076" s="16"/>
      <c r="J1076" s="16"/>
      <c r="K1076" s="16"/>
      <c r="L1076" s="16"/>
      <c r="M1076" s="16"/>
      <c r="N1076" s="16"/>
      <c r="O1076" s="16"/>
      <c r="P1076" s="16"/>
      <c r="Q1076" s="16"/>
      <c r="R1076" s="16"/>
      <c r="S1076" s="16"/>
      <c r="T1076" s="16"/>
      <c r="U1076" s="16"/>
      <c r="V1076" s="16"/>
      <c r="W1076" s="16"/>
      <c r="X1076" s="16"/>
      <c r="Y1076" s="16"/>
      <c r="Z1076" s="16"/>
      <c r="AA1076" s="16"/>
      <c r="AB1076" s="16"/>
      <c r="AC1076" s="16"/>
      <c r="AD1076" s="16"/>
    </row>
    <row r="1077" spans="1:30" ht="12.9">
      <c r="A1077" s="16"/>
      <c r="B1077" s="24"/>
      <c r="C1077" s="196"/>
      <c r="D1077" s="196"/>
      <c r="E1077" s="196"/>
      <c r="F1077" s="16"/>
      <c r="G1077" s="24"/>
      <c r="H1077" s="24"/>
      <c r="I1077" s="16"/>
      <c r="J1077" s="16"/>
      <c r="K1077" s="16"/>
      <c r="L1077" s="16"/>
      <c r="M1077" s="16"/>
      <c r="N1077" s="16"/>
      <c r="O1077" s="16"/>
      <c r="P1077" s="16"/>
      <c r="Q1077" s="16"/>
      <c r="R1077" s="16"/>
      <c r="S1077" s="16"/>
      <c r="T1077" s="16"/>
      <c r="U1077" s="16"/>
      <c r="V1077" s="16"/>
      <c r="W1077" s="16"/>
      <c r="X1077" s="16"/>
      <c r="Y1077" s="16"/>
      <c r="Z1077" s="16"/>
      <c r="AA1077" s="16"/>
      <c r="AB1077" s="16"/>
      <c r="AC1077" s="16"/>
      <c r="AD1077" s="16"/>
    </row>
    <row r="1078" spans="1:30" ht="12.9">
      <c r="A1078" s="16"/>
      <c r="B1078" s="24"/>
      <c r="C1078" s="196"/>
      <c r="D1078" s="196"/>
      <c r="E1078" s="196"/>
      <c r="F1078" s="16"/>
      <c r="G1078" s="24"/>
      <c r="H1078" s="24"/>
      <c r="I1078" s="16"/>
      <c r="J1078" s="16"/>
      <c r="K1078" s="16"/>
      <c r="L1078" s="16"/>
      <c r="M1078" s="16"/>
      <c r="N1078" s="16"/>
      <c r="O1078" s="16"/>
      <c r="P1078" s="16"/>
      <c r="Q1078" s="16"/>
      <c r="R1078" s="16"/>
      <c r="S1078" s="16"/>
      <c r="T1078" s="16"/>
      <c r="U1078" s="16"/>
      <c r="V1078" s="16"/>
      <c r="W1078" s="16"/>
      <c r="X1078" s="16"/>
      <c r="Y1078" s="16"/>
      <c r="Z1078" s="16"/>
      <c r="AA1078" s="16"/>
      <c r="AB1078" s="16"/>
      <c r="AC1078" s="16"/>
      <c r="AD1078" s="16"/>
    </row>
    <row r="1079" spans="1:30" ht="12.9">
      <c r="A1079" s="16"/>
      <c r="B1079" s="24"/>
      <c r="C1079" s="196"/>
      <c r="D1079" s="196"/>
      <c r="E1079" s="196"/>
      <c r="F1079" s="16"/>
      <c r="G1079" s="24"/>
      <c r="H1079" s="24"/>
      <c r="I1079" s="16"/>
      <c r="J1079" s="16"/>
      <c r="K1079" s="16"/>
      <c r="L1079" s="16"/>
      <c r="M1079" s="16"/>
      <c r="N1079" s="16"/>
      <c r="O1079" s="16"/>
      <c r="P1079" s="16"/>
      <c r="Q1079" s="16"/>
      <c r="R1079" s="16"/>
      <c r="S1079" s="16"/>
      <c r="T1079" s="16"/>
      <c r="U1079" s="16"/>
      <c r="V1079" s="16"/>
      <c r="W1079" s="16"/>
      <c r="X1079" s="16"/>
      <c r="Y1079" s="16"/>
      <c r="Z1079" s="16"/>
      <c r="AA1079" s="16"/>
      <c r="AB1079" s="16"/>
      <c r="AC1079" s="16"/>
      <c r="AD1079" s="16"/>
    </row>
    <row r="1080" spans="1:30" ht="12.9">
      <c r="A1080" s="16"/>
      <c r="B1080" s="24"/>
      <c r="C1080" s="196"/>
      <c r="D1080" s="196"/>
      <c r="E1080" s="196"/>
      <c r="F1080" s="16"/>
      <c r="G1080" s="24"/>
      <c r="H1080" s="24"/>
      <c r="I1080" s="16"/>
      <c r="J1080" s="16"/>
      <c r="K1080" s="16"/>
      <c r="L1080" s="16"/>
      <c r="M1080" s="16"/>
      <c r="N1080" s="16"/>
      <c r="O1080" s="16"/>
      <c r="P1080" s="16"/>
      <c r="Q1080" s="16"/>
      <c r="R1080" s="16"/>
      <c r="S1080" s="16"/>
      <c r="T1080" s="16"/>
      <c r="U1080" s="16"/>
      <c r="V1080" s="16"/>
      <c r="W1080" s="16"/>
      <c r="X1080" s="16"/>
      <c r="Y1080" s="16"/>
      <c r="Z1080" s="16"/>
      <c r="AA1080" s="16"/>
      <c r="AB1080" s="16"/>
      <c r="AC1080" s="16"/>
      <c r="AD1080" s="16"/>
    </row>
    <row r="1081" spans="1:30" ht="12.9">
      <c r="A1081" s="16"/>
      <c r="B1081" s="24"/>
      <c r="C1081" s="196"/>
      <c r="D1081" s="196"/>
      <c r="E1081" s="196"/>
      <c r="F1081" s="16"/>
      <c r="G1081" s="24"/>
      <c r="H1081" s="24"/>
      <c r="I1081" s="16"/>
      <c r="J1081" s="16"/>
      <c r="K1081" s="16"/>
      <c r="L1081" s="16"/>
      <c r="M1081" s="16"/>
      <c r="N1081" s="16"/>
      <c r="O1081" s="16"/>
      <c r="P1081" s="16"/>
      <c r="Q1081" s="16"/>
      <c r="R1081" s="16"/>
      <c r="S1081" s="16"/>
      <c r="T1081" s="16"/>
      <c r="U1081" s="16"/>
      <c r="V1081" s="16"/>
      <c r="W1081" s="16"/>
      <c r="X1081" s="16"/>
      <c r="Y1081" s="16"/>
      <c r="Z1081" s="16"/>
      <c r="AA1081" s="16"/>
      <c r="AB1081" s="16"/>
      <c r="AC1081" s="16"/>
      <c r="AD1081" s="16"/>
    </row>
    <row r="1082" spans="1:30" ht="12.9">
      <c r="A1082" s="16"/>
      <c r="B1082" s="24"/>
      <c r="C1082" s="196"/>
      <c r="D1082" s="196"/>
      <c r="E1082" s="196"/>
      <c r="F1082" s="16"/>
      <c r="G1082" s="24"/>
      <c r="H1082" s="24"/>
      <c r="I1082" s="16"/>
      <c r="J1082" s="16"/>
      <c r="K1082" s="16"/>
      <c r="L1082" s="16"/>
      <c r="M1082" s="16"/>
      <c r="N1082" s="16"/>
      <c r="O1082" s="16"/>
      <c r="P1082" s="16"/>
      <c r="Q1082" s="16"/>
      <c r="R1082" s="16"/>
      <c r="S1082" s="16"/>
      <c r="T1082" s="16"/>
      <c r="U1082" s="16"/>
      <c r="V1082" s="16"/>
      <c r="W1082" s="16"/>
      <c r="X1082" s="16"/>
      <c r="Y1082" s="16"/>
      <c r="Z1082" s="16"/>
      <c r="AA1082" s="16"/>
      <c r="AB1082" s="16"/>
      <c r="AC1082" s="16"/>
      <c r="AD1082" s="16"/>
    </row>
    <row r="1083" spans="1:30" ht="12.9">
      <c r="A1083" s="16"/>
      <c r="B1083" s="24"/>
      <c r="C1083" s="196"/>
      <c r="D1083" s="196"/>
      <c r="E1083" s="196"/>
      <c r="F1083" s="16"/>
      <c r="G1083" s="24"/>
      <c r="H1083" s="24"/>
      <c r="I1083" s="16"/>
      <c r="J1083" s="16"/>
      <c r="K1083" s="16"/>
      <c r="L1083" s="16"/>
      <c r="M1083" s="16"/>
      <c r="N1083" s="16"/>
      <c r="O1083" s="16"/>
      <c r="P1083" s="16"/>
      <c r="Q1083" s="16"/>
      <c r="R1083" s="16"/>
      <c r="S1083" s="16"/>
      <c r="T1083" s="16"/>
      <c r="U1083" s="16"/>
      <c r="V1083" s="16"/>
      <c r="W1083" s="16"/>
      <c r="X1083" s="16"/>
      <c r="Y1083" s="16"/>
      <c r="Z1083" s="16"/>
      <c r="AA1083" s="16"/>
      <c r="AB1083" s="16"/>
      <c r="AC1083" s="16"/>
      <c r="AD1083" s="16"/>
    </row>
    <row r="1084" spans="1:30" ht="12.9">
      <c r="A1084" s="16"/>
      <c r="B1084" s="24"/>
      <c r="C1084" s="196"/>
      <c r="D1084" s="196"/>
      <c r="E1084" s="196"/>
      <c r="F1084" s="16"/>
      <c r="G1084" s="24"/>
      <c r="H1084" s="24"/>
      <c r="I1084" s="16"/>
      <c r="J1084" s="16"/>
      <c r="K1084" s="16"/>
      <c r="L1084" s="16"/>
      <c r="M1084" s="16"/>
      <c r="N1084" s="16"/>
      <c r="O1084" s="16"/>
      <c r="P1084" s="16"/>
      <c r="Q1084" s="16"/>
      <c r="R1084" s="16"/>
      <c r="S1084" s="16"/>
      <c r="T1084" s="16"/>
      <c r="U1084" s="16"/>
      <c r="V1084" s="16"/>
      <c r="W1084" s="16"/>
      <c r="X1084" s="16"/>
      <c r="Y1084" s="16"/>
      <c r="Z1084" s="16"/>
      <c r="AA1084" s="16"/>
      <c r="AB1084" s="16"/>
      <c r="AC1084" s="16"/>
      <c r="AD1084" s="16"/>
    </row>
    <row r="1085" spans="1:30" ht="12.9">
      <c r="A1085" s="16"/>
      <c r="B1085" s="24"/>
      <c r="C1085" s="196"/>
      <c r="D1085" s="196"/>
      <c r="E1085" s="196"/>
      <c r="F1085" s="16"/>
      <c r="G1085" s="24"/>
      <c r="H1085" s="24"/>
      <c r="I1085" s="16"/>
      <c r="J1085" s="16"/>
      <c r="K1085" s="16"/>
      <c r="L1085" s="16"/>
      <c r="M1085" s="16"/>
      <c r="N1085" s="16"/>
      <c r="O1085" s="16"/>
      <c r="P1085" s="16"/>
      <c r="Q1085" s="16"/>
      <c r="R1085" s="16"/>
      <c r="S1085" s="16"/>
      <c r="T1085" s="16"/>
      <c r="U1085" s="16"/>
      <c r="V1085" s="16"/>
      <c r="W1085" s="16"/>
      <c r="X1085" s="16"/>
      <c r="Y1085" s="16"/>
      <c r="Z1085" s="16"/>
      <c r="AA1085" s="16"/>
      <c r="AB1085" s="16"/>
      <c r="AC1085" s="16"/>
      <c r="AD1085" s="16"/>
    </row>
    <row r="1086" spans="1:30" ht="12.9">
      <c r="A1086" s="16"/>
      <c r="B1086" s="24"/>
      <c r="C1086" s="196"/>
      <c r="D1086" s="196"/>
      <c r="E1086" s="196"/>
      <c r="F1086" s="16"/>
      <c r="G1086" s="24"/>
      <c r="H1086" s="24"/>
      <c r="I1086" s="16"/>
      <c r="J1086" s="16"/>
      <c r="K1086" s="16"/>
      <c r="L1086" s="16"/>
      <c r="M1086" s="16"/>
      <c r="N1086" s="16"/>
      <c r="O1086" s="16"/>
      <c r="P1086" s="16"/>
      <c r="Q1086" s="16"/>
      <c r="R1086" s="16"/>
      <c r="S1086" s="16"/>
      <c r="T1086" s="16"/>
      <c r="U1086" s="16"/>
      <c r="V1086" s="16"/>
      <c r="W1086" s="16"/>
      <c r="X1086" s="16"/>
      <c r="Y1086" s="16"/>
      <c r="Z1086" s="16"/>
      <c r="AA1086" s="16"/>
      <c r="AB1086" s="16"/>
      <c r="AC1086" s="16"/>
      <c r="AD1086" s="16"/>
    </row>
    <row r="1087" spans="1:30" ht="12.9">
      <c r="A1087" s="16"/>
      <c r="B1087" s="24"/>
      <c r="C1087" s="196"/>
      <c r="D1087" s="196"/>
      <c r="E1087" s="196"/>
      <c r="F1087" s="16"/>
      <c r="G1087" s="24"/>
      <c r="H1087" s="24"/>
      <c r="I1087" s="16"/>
      <c r="J1087" s="16"/>
      <c r="K1087" s="16"/>
      <c r="L1087" s="16"/>
      <c r="M1087" s="16"/>
      <c r="N1087" s="16"/>
      <c r="O1087" s="16"/>
      <c r="P1087" s="16"/>
      <c r="Q1087" s="16"/>
      <c r="R1087" s="16"/>
      <c r="S1087" s="16"/>
      <c r="T1087" s="16"/>
      <c r="U1087" s="16"/>
      <c r="V1087" s="16"/>
      <c r="W1087" s="16"/>
      <c r="X1087" s="16"/>
      <c r="Y1087" s="16"/>
      <c r="Z1087" s="16"/>
      <c r="AA1087" s="16"/>
      <c r="AB1087" s="16"/>
      <c r="AC1087" s="16"/>
      <c r="AD1087" s="16"/>
    </row>
    <row r="1088" spans="1:30" ht="12.9">
      <c r="A1088" s="16"/>
      <c r="B1088" s="24"/>
      <c r="C1088" s="196"/>
      <c r="D1088" s="196"/>
      <c r="E1088" s="196"/>
      <c r="F1088" s="16"/>
      <c r="G1088" s="24"/>
      <c r="H1088" s="24"/>
      <c r="I1088" s="16"/>
      <c r="J1088" s="16"/>
      <c r="K1088" s="16"/>
      <c r="L1088" s="16"/>
      <c r="M1088" s="16"/>
      <c r="N1088" s="16"/>
      <c r="O1088" s="16"/>
      <c r="P1088" s="16"/>
      <c r="Q1088" s="16"/>
      <c r="R1088" s="16"/>
      <c r="S1088" s="16"/>
      <c r="T1088" s="16"/>
      <c r="U1088" s="16"/>
      <c r="V1088" s="16"/>
      <c r="W1088" s="16"/>
      <c r="X1088" s="16"/>
      <c r="Y1088" s="16"/>
      <c r="Z1088" s="16"/>
      <c r="AA1088" s="16"/>
      <c r="AB1088" s="16"/>
      <c r="AC1088" s="16"/>
      <c r="AD1088" s="16"/>
    </row>
    <row r="1089" spans="1:30" ht="12.9">
      <c r="A1089" s="16"/>
      <c r="B1089" s="24"/>
      <c r="C1089" s="196"/>
      <c r="D1089" s="196"/>
      <c r="E1089" s="196"/>
      <c r="F1089" s="16"/>
      <c r="G1089" s="24"/>
      <c r="H1089" s="24"/>
      <c r="I1089" s="16"/>
      <c r="J1089" s="16"/>
      <c r="K1089" s="16"/>
      <c r="L1089" s="16"/>
      <c r="M1089" s="16"/>
      <c r="N1089" s="16"/>
      <c r="O1089" s="16"/>
      <c r="P1089" s="16"/>
      <c r="Q1089" s="16"/>
      <c r="R1089" s="16"/>
      <c r="S1089" s="16"/>
      <c r="T1089" s="16"/>
      <c r="U1089" s="16"/>
      <c r="V1089" s="16"/>
      <c r="W1089" s="16"/>
      <c r="X1089" s="16"/>
      <c r="Y1089" s="16"/>
      <c r="Z1089" s="16"/>
      <c r="AA1089" s="16"/>
      <c r="AB1089" s="16"/>
      <c r="AC1089" s="16"/>
      <c r="AD1089" s="16"/>
    </row>
    <row r="1090" spans="1:30" ht="12.9">
      <c r="A1090" s="16"/>
      <c r="B1090" s="24"/>
      <c r="C1090" s="196"/>
      <c r="D1090" s="196"/>
      <c r="E1090" s="196"/>
      <c r="F1090" s="16"/>
      <c r="G1090" s="24"/>
      <c r="H1090" s="24"/>
      <c r="I1090" s="16"/>
      <c r="J1090" s="16"/>
      <c r="K1090" s="16"/>
      <c r="L1090" s="16"/>
      <c r="M1090" s="16"/>
      <c r="N1090" s="16"/>
      <c r="O1090" s="16"/>
      <c r="P1090" s="16"/>
      <c r="Q1090" s="16"/>
      <c r="R1090" s="16"/>
      <c r="S1090" s="16"/>
      <c r="T1090" s="16"/>
      <c r="U1090" s="16"/>
      <c r="V1090" s="16"/>
      <c r="W1090" s="16"/>
      <c r="X1090" s="16"/>
      <c r="Y1090" s="16"/>
      <c r="Z1090" s="16"/>
      <c r="AA1090" s="16"/>
      <c r="AB1090" s="16"/>
      <c r="AC1090" s="16"/>
      <c r="AD1090" s="16"/>
    </row>
    <row r="1091" spans="1:30" ht="12.9">
      <c r="A1091" s="16"/>
      <c r="B1091" s="24"/>
      <c r="C1091" s="196"/>
      <c r="D1091" s="196"/>
      <c r="E1091" s="196"/>
      <c r="F1091" s="16"/>
      <c r="G1091" s="24"/>
      <c r="H1091" s="24"/>
      <c r="I1091" s="16"/>
      <c r="J1091" s="16"/>
      <c r="K1091" s="16"/>
      <c r="L1091" s="16"/>
      <c r="M1091" s="16"/>
      <c r="N1091" s="16"/>
      <c r="O1091" s="16"/>
      <c r="P1091" s="16"/>
      <c r="Q1091" s="16"/>
      <c r="R1091" s="16"/>
      <c r="S1091" s="16"/>
      <c r="T1091" s="16"/>
      <c r="U1091" s="16"/>
      <c r="V1091" s="16"/>
      <c r="W1091" s="16"/>
      <c r="X1091" s="16"/>
      <c r="Y1091" s="16"/>
      <c r="Z1091" s="16"/>
      <c r="AA1091" s="16"/>
      <c r="AB1091" s="16"/>
      <c r="AC1091" s="16"/>
      <c r="AD1091" s="16"/>
    </row>
    <row r="1092" spans="1:30" ht="12.9">
      <c r="A1092" s="16"/>
      <c r="B1092" s="24"/>
      <c r="C1092" s="196"/>
      <c r="D1092" s="196"/>
      <c r="E1092" s="196"/>
      <c r="F1092" s="16"/>
      <c r="G1092" s="24"/>
      <c r="H1092" s="24"/>
      <c r="I1092" s="16"/>
      <c r="J1092" s="16"/>
      <c r="K1092" s="16"/>
      <c r="L1092" s="16"/>
      <c r="M1092" s="16"/>
      <c r="N1092" s="16"/>
      <c r="O1092" s="16"/>
      <c r="P1092" s="16"/>
      <c r="Q1092" s="16"/>
      <c r="R1092" s="16"/>
      <c r="S1092" s="16"/>
      <c r="T1092" s="16"/>
      <c r="U1092" s="16"/>
      <c r="V1092" s="16"/>
      <c r="W1092" s="16"/>
      <c r="X1092" s="16"/>
      <c r="Y1092" s="16"/>
      <c r="Z1092" s="16"/>
      <c r="AA1092" s="16"/>
      <c r="AB1092" s="16"/>
      <c r="AC1092" s="16"/>
      <c r="AD1092" s="16"/>
    </row>
    <row r="1093" spans="1:30" ht="12.9">
      <c r="A1093" s="16"/>
      <c r="B1093" s="24"/>
      <c r="C1093" s="196"/>
      <c r="D1093" s="196"/>
      <c r="E1093" s="196"/>
      <c r="F1093" s="16"/>
      <c r="G1093" s="24"/>
      <c r="H1093" s="24"/>
      <c r="I1093" s="16"/>
      <c r="J1093" s="16"/>
      <c r="K1093" s="16"/>
      <c r="L1093" s="16"/>
      <c r="M1093" s="16"/>
      <c r="N1093" s="16"/>
      <c r="O1093" s="16"/>
      <c r="P1093" s="16"/>
      <c r="Q1093" s="16"/>
      <c r="R1093" s="16"/>
      <c r="S1093" s="16"/>
      <c r="T1093" s="16"/>
      <c r="U1093" s="16"/>
      <c r="V1093" s="16"/>
      <c r="W1093" s="16"/>
      <c r="X1093" s="16"/>
      <c r="Y1093" s="16"/>
      <c r="Z1093" s="16"/>
      <c r="AA1093" s="16"/>
      <c r="AB1093" s="16"/>
      <c r="AC1093" s="16"/>
      <c r="AD1093" s="16"/>
    </row>
    <row r="1094" spans="1:30" ht="12.9">
      <c r="A1094" s="16"/>
      <c r="B1094" s="24"/>
      <c r="C1094" s="196"/>
      <c r="D1094" s="196"/>
      <c r="E1094" s="196"/>
      <c r="F1094" s="16"/>
      <c r="G1094" s="24"/>
      <c r="H1094" s="24"/>
      <c r="I1094" s="16"/>
      <c r="J1094" s="16"/>
      <c r="K1094" s="16"/>
      <c r="L1094" s="16"/>
      <c r="M1094" s="16"/>
      <c r="N1094" s="16"/>
      <c r="O1094" s="16"/>
      <c r="P1094" s="16"/>
      <c r="Q1094" s="16"/>
      <c r="R1094" s="16"/>
      <c r="S1094" s="16"/>
      <c r="T1094" s="16"/>
      <c r="U1094" s="16"/>
      <c r="V1094" s="16"/>
      <c r="W1094" s="16"/>
      <c r="X1094" s="16"/>
      <c r="Y1094" s="16"/>
      <c r="Z1094" s="16"/>
      <c r="AA1094" s="16"/>
      <c r="AB1094" s="16"/>
      <c r="AC1094" s="16"/>
      <c r="AD1094" s="16"/>
    </row>
    <row r="1095" spans="1:30" ht="12.9">
      <c r="A1095" s="16"/>
      <c r="B1095" s="24"/>
      <c r="C1095" s="196"/>
      <c r="D1095" s="196"/>
      <c r="E1095" s="196"/>
      <c r="F1095" s="16"/>
      <c r="G1095" s="24"/>
      <c r="H1095" s="24"/>
      <c r="I1095" s="16"/>
      <c r="J1095" s="16"/>
      <c r="K1095" s="16"/>
      <c r="L1095" s="16"/>
      <c r="M1095" s="16"/>
      <c r="N1095" s="16"/>
      <c r="O1095" s="16"/>
      <c r="P1095" s="16"/>
      <c r="Q1095" s="16"/>
      <c r="R1095" s="16"/>
      <c r="S1095" s="16"/>
      <c r="T1095" s="16"/>
      <c r="U1095" s="16"/>
      <c r="V1095" s="16"/>
      <c r="W1095" s="16"/>
      <c r="X1095" s="16"/>
      <c r="Y1095" s="16"/>
      <c r="Z1095" s="16"/>
      <c r="AA1095" s="16"/>
      <c r="AB1095" s="16"/>
      <c r="AC1095" s="16"/>
      <c r="AD1095" s="16"/>
    </row>
    <row r="1096" spans="1:30" ht="12.9">
      <c r="A1096" s="16"/>
      <c r="B1096" s="24"/>
      <c r="C1096" s="196"/>
      <c r="D1096" s="196"/>
      <c r="E1096" s="196"/>
      <c r="F1096" s="16"/>
      <c r="G1096" s="24"/>
      <c r="H1096" s="24"/>
      <c r="I1096" s="16"/>
      <c r="J1096" s="16"/>
      <c r="K1096" s="16"/>
      <c r="L1096" s="16"/>
      <c r="M1096" s="16"/>
      <c r="N1096" s="16"/>
      <c r="O1096" s="16"/>
      <c r="P1096" s="16"/>
      <c r="Q1096" s="16"/>
      <c r="R1096" s="16"/>
      <c r="S1096" s="16"/>
      <c r="T1096" s="16"/>
      <c r="U1096" s="16"/>
      <c r="V1096" s="16"/>
      <c r="W1096" s="16"/>
      <c r="X1096" s="16"/>
      <c r="Y1096" s="16"/>
      <c r="Z1096" s="16"/>
      <c r="AA1096" s="16"/>
      <c r="AB1096" s="16"/>
      <c r="AC1096" s="16"/>
      <c r="AD1096" s="16"/>
    </row>
    <row r="1097" spans="1:30" ht="12.9">
      <c r="A1097" s="16"/>
      <c r="B1097" s="24"/>
      <c r="C1097" s="196"/>
      <c r="D1097" s="196"/>
      <c r="E1097" s="196"/>
      <c r="F1097" s="16"/>
      <c r="G1097" s="24"/>
      <c r="H1097" s="24"/>
      <c r="I1097" s="16"/>
      <c r="J1097" s="16"/>
      <c r="K1097" s="16"/>
      <c r="L1097" s="16"/>
      <c r="M1097" s="16"/>
      <c r="N1097" s="16"/>
      <c r="O1097" s="16"/>
      <c r="P1097" s="16"/>
      <c r="Q1097" s="16"/>
      <c r="R1097" s="16"/>
      <c r="S1097" s="16"/>
      <c r="T1097" s="16"/>
      <c r="U1097" s="16"/>
      <c r="V1097" s="16"/>
      <c r="W1097" s="16"/>
      <c r="X1097" s="16"/>
      <c r="Y1097" s="16"/>
      <c r="Z1097" s="16"/>
      <c r="AA1097" s="16"/>
      <c r="AB1097" s="16"/>
      <c r="AC1097" s="16"/>
      <c r="AD1097" s="16"/>
    </row>
    <row r="1098" spans="1:30" ht="12.9">
      <c r="A1098" s="16"/>
      <c r="B1098" s="24"/>
      <c r="C1098" s="196"/>
      <c r="D1098" s="196"/>
      <c r="E1098" s="196"/>
      <c r="F1098" s="16"/>
      <c r="G1098" s="24"/>
      <c r="H1098" s="24"/>
      <c r="I1098" s="16"/>
      <c r="J1098" s="16"/>
      <c r="K1098" s="16"/>
      <c r="L1098" s="16"/>
      <c r="M1098" s="16"/>
      <c r="N1098" s="16"/>
      <c r="O1098" s="16"/>
      <c r="P1098" s="16"/>
      <c r="Q1098" s="16"/>
      <c r="R1098" s="16"/>
      <c r="S1098" s="16"/>
      <c r="T1098" s="16"/>
      <c r="U1098" s="16"/>
      <c r="V1098" s="16"/>
      <c r="W1098" s="16"/>
      <c r="X1098" s="16"/>
      <c r="Y1098" s="16"/>
      <c r="Z1098" s="16"/>
      <c r="AA1098" s="16"/>
      <c r="AB1098" s="16"/>
      <c r="AC1098" s="16"/>
      <c r="AD1098" s="16"/>
    </row>
    <row r="1099" spans="1:30" ht="12.9">
      <c r="A1099" s="16"/>
      <c r="B1099" s="24"/>
      <c r="C1099" s="196"/>
      <c r="D1099" s="196"/>
      <c r="E1099" s="196"/>
      <c r="F1099" s="16"/>
      <c r="G1099" s="24"/>
      <c r="H1099" s="24"/>
      <c r="I1099" s="16"/>
      <c r="J1099" s="16"/>
      <c r="K1099" s="16"/>
      <c r="L1099" s="16"/>
      <c r="M1099" s="16"/>
      <c r="N1099" s="16"/>
      <c r="O1099" s="16"/>
      <c r="P1099" s="16"/>
      <c r="Q1099" s="16"/>
      <c r="R1099" s="16"/>
      <c r="S1099" s="16"/>
      <c r="T1099" s="16"/>
      <c r="U1099" s="16"/>
      <c r="V1099" s="16"/>
      <c r="W1099" s="16"/>
      <c r="X1099" s="16"/>
      <c r="Y1099" s="16"/>
      <c r="Z1099" s="16"/>
      <c r="AA1099" s="16"/>
      <c r="AB1099" s="16"/>
      <c r="AC1099" s="16"/>
      <c r="AD1099" s="16"/>
    </row>
    <row r="1100" spans="1:30" ht="12.9">
      <c r="A1100" s="16"/>
      <c r="B1100" s="24"/>
      <c r="C1100" s="196"/>
      <c r="D1100" s="196"/>
      <c r="E1100" s="196"/>
      <c r="F1100" s="16"/>
      <c r="G1100" s="24"/>
      <c r="H1100" s="24"/>
      <c r="I1100" s="16"/>
      <c r="J1100" s="16"/>
      <c r="K1100" s="16"/>
      <c r="L1100" s="16"/>
      <c r="M1100" s="16"/>
      <c r="N1100" s="16"/>
      <c r="O1100" s="16"/>
      <c r="P1100" s="16"/>
      <c r="Q1100" s="16"/>
      <c r="R1100" s="16"/>
      <c r="S1100" s="16"/>
      <c r="T1100" s="16"/>
      <c r="U1100" s="16"/>
      <c r="V1100" s="16"/>
      <c r="W1100" s="16"/>
      <c r="X1100" s="16"/>
      <c r="Y1100" s="16"/>
      <c r="Z1100" s="16"/>
      <c r="AA1100" s="16"/>
      <c r="AB1100" s="16"/>
      <c r="AC1100" s="16"/>
      <c r="AD1100" s="16"/>
    </row>
    <row r="1101" spans="1:30" ht="12.9">
      <c r="A1101" s="16"/>
      <c r="B1101" s="24"/>
      <c r="C1101" s="196"/>
      <c r="D1101" s="196"/>
      <c r="E1101" s="196"/>
      <c r="F1101" s="16"/>
      <c r="G1101" s="24"/>
      <c r="H1101" s="24"/>
      <c r="I1101" s="16"/>
      <c r="J1101" s="16"/>
      <c r="K1101" s="16"/>
      <c r="L1101" s="16"/>
      <c r="M1101" s="16"/>
      <c r="N1101" s="16"/>
      <c r="O1101" s="16"/>
      <c r="P1101" s="16"/>
      <c r="Q1101" s="16"/>
      <c r="R1101" s="16"/>
      <c r="S1101" s="16"/>
      <c r="T1101" s="16"/>
      <c r="U1101" s="16"/>
      <c r="V1101" s="16"/>
      <c r="W1101" s="16"/>
      <c r="X1101" s="16"/>
      <c r="Y1101" s="16"/>
      <c r="Z1101" s="16"/>
      <c r="AA1101" s="16"/>
      <c r="AB1101" s="16"/>
      <c r="AC1101" s="16"/>
      <c r="AD1101" s="16"/>
    </row>
    <row r="1102" spans="1:30" ht="12.9">
      <c r="A1102" s="16"/>
      <c r="B1102" s="24"/>
      <c r="C1102" s="196"/>
      <c r="D1102" s="196"/>
      <c r="E1102" s="196"/>
      <c r="F1102" s="16"/>
      <c r="G1102" s="24"/>
      <c r="H1102" s="24"/>
      <c r="I1102" s="16"/>
      <c r="J1102" s="16"/>
      <c r="K1102" s="16"/>
      <c r="L1102" s="16"/>
      <c r="M1102" s="16"/>
      <c r="N1102" s="16"/>
      <c r="O1102" s="16"/>
      <c r="P1102" s="16"/>
      <c r="Q1102" s="16"/>
      <c r="R1102" s="16"/>
      <c r="S1102" s="16"/>
      <c r="T1102" s="16"/>
      <c r="U1102" s="16"/>
      <c r="V1102" s="16"/>
      <c r="W1102" s="16"/>
      <c r="X1102" s="16"/>
      <c r="Y1102" s="16"/>
      <c r="Z1102" s="16"/>
      <c r="AA1102" s="16"/>
      <c r="AB1102" s="16"/>
      <c r="AC1102" s="16"/>
      <c r="AD1102" s="16"/>
    </row>
    <row r="1103" spans="1:30" ht="12.9">
      <c r="A1103" s="16"/>
      <c r="B1103" s="24"/>
      <c r="C1103" s="196"/>
      <c r="D1103" s="196"/>
      <c r="E1103" s="196"/>
      <c r="F1103" s="16"/>
      <c r="G1103" s="24"/>
      <c r="H1103" s="24"/>
      <c r="I1103" s="16"/>
      <c r="J1103" s="16"/>
      <c r="K1103" s="16"/>
      <c r="L1103" s="16"/>
      <c r="M1103" s="16"/>
      <c r="N1103" s="16"/>
      <c r="O1103" s="16"/>
      <c r="P1103" s="16"/>
      <c r="Q1103" s="16"/>
      <c r="R1103" s="16"/>
      <c r="S1103" s="16"/>
      <c r="T1103" s="16"/>
      <c r="U1103" s="16"/>
      <c r="V1103" s="16"/>
      <c r="W1103" s="16"/>
      <c r="X1103" s="16"/>
      <c r="Y1103" s="16"/>
      <c r="Z1103" s="16"/>
      <c r="AA1103" s="16"/>
      <c r="AB1103" s="16"/>
      <c r="AC1103" s="16"/>
      <c r="AD1103" s="16"/>
    </row>
    <row r="1104" spans="1:30" ht="12.9">
      <c r="A1104" s="16"/>
      <c r="B1104" s="24"/>
      <c r="C1104" s="196"/>
      <c r="D1104" s="196"/>
      <c r="E1104" s="196"/>
      <c r="F1104" s="16"/>
      <c r="G1104" s="24"/>
      <c r="H1104" s="24"/>
      <c r="I1104" s="16"/>
      <c r="J1104" s="16"/>
      <c r="K1104" s="16"/>
      <c r="L1104" s="16"/>
      <c r="M1104" s="16"/>
      <c r="N1104" s="16"/>
      <c r="O1104" s="16"/>
      <c r="P1104" s="16"/>
      <c r="Q1104" s="16"/>
      <c r="R1104" s="16"/>
      <c r="S1104" s="16"/>
      <c r="T1104" s="16"/>
      <c r="U1104" s="16"/>
      <c r="V1104" s="16"/>
      <c r="W1104" s="16"/>
      <c r="X1104" s="16"/>
      <c r="Y1104" s="16"/>
      <c r="Z1104" s="16"/>
      <c r="AA1104" s="16"/>
      <c r="AB1104" s="16"/>
      <c r="AC1104" s="16"/>
      <c r="AD1104" s="16"/>
    </row>
    <row r="1105" spans="1:30" ht="12.9">
      <c r="A1105" s="16"/>
      <c r="B1105" s="24"/>
      <c r="C1105" s="196"/>
      <c r="D1105" s="196"/>
      <c r="E1105" s="196"/>
      <c r="F1105" s="16"/>
      <c r="G1105" s="24"/>
      <c r="H1105" s="24"/>
      <c r="I1105" s="16"/>
      <c r="J1105" s="16"/>
      <c r="K1105" s="16"/>
      <c r="L1105" s="16"/>
      <c r="M1105" s="16"/>
      <c r="N1105" s="16"/>
      <c r="O1105" s="16"/>
      <c r="P1105" s="16"/>
      <c r="Q1105" s="16"/>
      <c r="R1105" s="16"/>
      <c r="S1105" s="16"/>
      <c r="T1105" s="16"/>
      <c r="U1105" s="16"/>
      <c r="V1105" s="16"/>
      <c r="W1105" s="16"/>
      <c r="X1105" s="16"/>
      <c r="Y1105" s="16"/>
      <c r="Z1105" s="16"/>
      <c r="AA1105" s="16"/>
      <c r="AB1105" s="16"/>
      <c r="AC1105" s="16"/>
      <c r="AD1105" s="16"/>
    </row>
    <row r="1106" spans="1:30" ht="12.9">
      <c r="A1106" s="16"/>
      <c r="B1106" s="24"/>
      <c r="C1106" s="196"/>
      <c r="D1106" s="196"/>
      <c r="E1106" s="196"/>
      <c r="F1106" s="16"/>
      <c r="G1106" s="24"/>
      <c r="H1106" s="24"/>
      <c r="I1106" s="16"/>
      <c r="J1106" s="16"/>
      <c r="K1106" s="16"/>
      <c r="L1106" s="16"/>
      <c r="M1106" s="16"/>
      <c r="N1106" s="16"/>
      <c r="O1106" s="16"/>
      <c r="P1106" s="16"/>
      <c r="Q1106" s="16"/>
      <c r="R1106" s="16"/>
      <c r="S1106" s="16"/>
      <c r="T1106" s="16"/>
      <c r="U1106" s="16"/>
      <c r="V1106" s="16"/>
      <c r="W1106" s="16"/>
      <c r="X1106" s="16"/>
      <c r="Y1106" s="16"/>
      <c r="Z1106" s="16"/>
      <c r="AA1106" s="16"/>
      <c r="AB1106" s="16"/>
      <c r="AC1106" s="16"/>
      <c r="AD1106" s="16"/>
    </row>
    <row r="1107" spans="1:30" ht="12.9">
      <c r="A1107" s="16"/>
      <c r="B1107" s="24"/>
      <c r="C1107" s="196"/>
      <c r="D1107" s="196"/>
      <c r="E1107" s="196"/>
      <c r="F1107" s="16"/>
      <c r="G1107" s="24"/>
      <c r="H1107" s="24"/>
      <c r="I1107" s="16"/>
      <c r="J1107" s="16"/>
      <c r="K1107" s="16"/>
      <c r="L1107" s="16"/>
      <c r="M1107" s="16"/>
      <c r="N1107" s="16"/>
      <c r="O1107" s="16"/>
      <c r="P1107" s="16"/>
      <c r="Q1107" s="16"/>
      <c r="R1107" s="16"/>
      <c r="S1107" s="16"/>
      <c r="T1107" s="16"/>
      <c r="U1107" s="16"/>
      <c r="V1107" s="16"/>
      <c r="W1107" s="16"/>
      <c r="X1107" s="16"/>
      <c r="Y1107" s="16"/>
      <c r="Z1107" s="16"/>
      <c r="AA1107" s="16"/>
      <c r="AB1107" s="16"/>
      <c r="AC1107" s="16"/>
      <c r="AD1107" s="16"/>
    </row>
    <row r="1108" spans="1:30" ht="12.9">
      <c r="A1108" s="16"/>
      <c r="B1108" s="24"/>
      <c r="C1108" s="196"/>
      <c r="D1108" s="196"/>
      <c r="E1108" s="196"/>
      <c r="F1108" s="16"/>
      <c r="G1108" s="24"/>
      <c r="H1108" s="24"/>
      <c r="I1108" s="16"/>
      <c r="J1108" s="16"/>
      <c r="K1108" s="16"/>
      <c r="L1108" s="16"/>
      <c r="M1108" s="16"/>
      <c r="N1108" s="16"/>
      <c r="O1108" s="16"/>
      <c r="P1108" s="16"/>
      <c r="Q1108" s="16"/>
      <c r="R1108" s="16"/>
      <c r="S1108" s="16"/>
      <c r="T1108" s="16"/>
      <c r="U1108" s="16"/>
      <c r="V1108" s="16"/>
      <c r="W1108" s="16"/>
      <c r="X1108" s="16"/>
      <c r="Y1108" s="16"/>
      <c r="Z1108" s="16"/>
      <c r="AA1108" s="16"/>
      <c r="AB1108" s="16"/>
      <c r="AC1108" s="16"/>
      <c r="AD1108" s="16"/>
    </row>
    <row r="1109" spans="1:30" ht="12.9">
      <c r="A1109" s="16"/>
      <c r="B1109" s="24"/>
      <c r="C1109" s="196"/>
      <c r="D1109" s="196"/>
      <c r="E1109" s="196"/>
      <c r="F1109" s="16"/>
      <c r="G1109" s="24"/>
      <c r="H1109" s="24"/>
      <c r="I1109" s="16"/>
      <c r="J1109" s="16"/>
      <c r="K1109" s="16"/>
      <c r="L1109" s="16"/>
      <c r="M1109" s="16"/>
      <c r="N1109" s="16"/>
      <c r="O1109" s="16"/>
      <c r="P1109" s="16"/>
      <c r="Q1109" s="16"/>
      <c r="R1109" s="16"/>
      <c r="S1109" s="16"/>
      <c r="T1109" s="16"/>
      <c r="U1109" s="16"/>
      <c r="V1109" s="16"/>
      <c r="W1109" s="16"/>
      <c r="X1109" s="16"/>
      <c r="Y1109" s="16"/>
      <c r="Z1109" s="16"/>
      <c r="AA1109" s="16"/>
      <c r="AB1109" s="16"/>
      <c r="AC1109" s="16"/>
      <c r="AD1109" s="16"/>
    </row>
    <row r="1110" spans="1:30" ht="12.9">
      <c r="A1110" s="16"/>
      <c r="B1110" s="24"/>
      <c r="C1110" s="196"/>
      <c r="D1110" s="196"/>
      <c r="E1110" s="196"/>
      <c r="F1110" s="16"/>
      <c r="G1110" s="24"/>
      <c r="H1110" s="24"/>
      <c r="I1110" s="16"/>
      <c r="J1110" s="16"/>
      <c r="K1110" s="16"/>
      <c r="L1110" s="16"/>
      <c r="M1110" s="16"/>
      <c r="N1110" s="16"/>
      <c r="O1110" s="16"/>
      <c r="P1110" s="16"/>
      <c r="Q1110" s="16"/>
      <c r="R1110" s="16"/>
      <c r="S1110" s="16"/>
      <c r="T1110" s="16"/>
      <c r="U1110" s="16"/>
      <c r="V1110" s="16"/>
      <c r="W1110" s="16"/>
      <c r="X1110" s="16"/>
      <c r="Y1110" s="16"/>
      <c r="Z1110" s="16"/>
      <c r="AA1110" s="16"/>
      <c r="AB1110" s="16"/>
      <c r="AC1110" s="16"/>
      <c r="AD1110" s="16"/>
    </row>
    <row r="1111" spans="1:30" ht="12.9">
      <c r="A1111" s="16"/>
      <c r="B1111" s="24"/>
      <c r="C1111" s="196"/>
      <c r="D1111" s="196"/>
      <c r="E1111" s="196"/>
      <c r="F1111" s="16"/>
      <c r="G1111" s="24"/>
      <c r="H1111" s="24"/>
      <c r="I1111" s="16"/>
      <c r="J1111" s="16"/>
      <c r="K1111" s="16"/>
      <c r="L1111" s="16"/>
      <c r="M1111" s="16"/>
      <c r="N1111" s="16"/>
      <c r="O1111" s="16"/>
      <c r="P1111" s="16"/>
      <c r="Q1111" s="16"/>
      <c r="R1111" s="16"/>
      <c r="S1111" s="16"/>
      <c r="T1111" s="16"/>
      <c r="U1111" s="16"/>
      <c r="V1111" s="16"/>
      <c r="W1111" s="16"/>
      <c r="X1111" s="16"/>
      <c r="Y1111" s="16"/>
      <c r="Z1111" s="16"/>
      <c r="AA1111" s="16"/>
      <c r="AB1111" s="16"/>
      <c r="AC1111" s="16"/>
      <c r="AD1111" s="16"/>
    </row>
    <row r="1112" spans="1:30" ht="12.9">
      <c r="A1112" s="16"/>
      <c r="B1112" s="24"/>
      <c r="C1112" s="196"/>
      <c r="D1112" s="196"/>
      <c r="E1112" s="196"/>
      <c r="F1112" s="16"/>
      <c r="G1112" s="24"/>
      <c r="H1112" s="24"/>
      <c r="I1112" s="16"/>
      <c r="J1112" s="16"/>
      <c r="K1112" s="16"/>
      <c r="L1112" s="16"/>
      <c r="M1112" s="16"/>
      <c r="N1112" s="16"/>
      <c r="O1112" s="16"/>
      <c r="P1112" s="16"/>
      <c r="Q1112" s="16"/>
      <c r="R1112" s="16"/>
      <c r="S1112" s="16"/>
      <c r="T1112" s="16"/>
      <c r="U1112" s="16"/>
      <c r="V1112" s="16"/>
      <c r="W1112" s="16"/>
      <c r="X1112" s="16"/>
      <c r="Y1112" s="16"/>
      <c r="Z1112" s="16"/>
      <c r="AA1112" s="16"/>
      <c r="AB1112" s="16"/>
      <c r="AC1112" s="16"/>
      <c r="AD1112" s="16"/>
    </row>
    <row r="1113" spans="1:30" ht="12.9">
      <c r="A1113" s="16"/>
      <c r="B1113" s="24"/>
      <c r="C1113" s="196"/>
      <c r="D1113" s="196"/>
      <c r="E1113" s="196"/>
      <c r="F1113" s="16"/>
      <c r="G1113" s="24"/>
      <c r="H1113" s="24"/>
      <c r="I1113" s="16"/>
      <c r="J1113" s="16"/>
      <c r="K1113" s="16"/>
      <c r="L1113" s="16"/>
      <c r="M1113" s="16"/>
      <c r="N1113" s="16"/>
      <c r="O1113" s="16"/>
      <c r="P1113" s="16"/>
      <c r="Q1113" s="16"/>
      <c r="R1113" s="16"/>
      <c r="S1113" s="16"/>
      <c r="T1113" s="16"/>
      <c r="U1113" s="16"/>
      <c r="V1113" s="16"/>
      <c r="W1113" s="16"/>
      <c r="X1113" s="16"/>
      <c r="Y1113" s="16"/>
      <c r="Z1113" s="16"/>
      <c r="AA1113" s="16"/>
      <c r="AB1113" s="16"/>
      <c r="AC1113" s="16"/>
      <c r="AD1113" s="16"/>
    </row>
    <row r="1114" spans="1:30" ht="12.9">
      <c r="A1114" s="16"/>
      <c r="B1114" s="24"/>
      <c r="C1114" s="196"/>
      <c r="D1114" s="196"/>
      <c r="E1114" s="196"/>
      <c r="F1114" s="16"/>
      <c r="G1114" s="24"/>
      <c r="H1114" s="24"/>
      <c r="I1114" s="16"/>
      <c r="J1114" s="16"/>
      <c r="K1114" s="16"/>
      <c r="L1114" s="16"/>
      <c r="M1114" s="16"/>
      <c r="N1114" s="16"/>
      <c r="O1114" s="16"/>
      <c r="P1114" s="16"/>
      <c r="Q1114" s="16"/>
      <c r="R1114" s="16"/>
      <c r="S1114" s="16"/>
      <c r="T1114" s="16"/>
      <c r="U1114" s="16"/>
      <c r="V1114" s="16"/>
      <c r="W1114" s="16"/>
      <c r="X1114" s="16"/>
      <c r="Y1114" s="16"/>
      <c r="Z1114" s="16"/>
      <c r="AA1114" s="16"/>
      <c r="AB1114" s="16"/>
      <c r="AC1114" s="16"/>
      <c r="AD1114" s="16"/>
    </row>
    <row r="1115" spans="1:30" ht="12.9">
      <c r="A1115" s="16"/>
      <c r="B1115" s="24"/>
      <c r="C1115" s="196"/>
      <c r="D1115" s="196"/>
      <c r="E1115" s="196"/>
      <c r="F1115" s="16"/>
      <c r="G1115" s="24"/>
      <c r="H1115" s="24"/>
      <c r="I1115" s="16"/>
      <c r="J1115" s="16"/>
      <c r="K1115" s="16"/>
      <c r="L1115" s="16"/>
      <c r="M1115" s="16"/>
      <c r="N1115" s="16"/>
      <c r="O1115" s="16"/>
      <c r="P1115" s="16"/>
      <c r="Q1115" s="16"/>
      <c r="R1115" s="16"/>
      <c r="S1115" s="16"/>
      <c r="T1115" s="16"/>
      <c r="U1115" s="16"/>
      <c r="V1115" s="16"/>
      <c r="W1115" s="16"/>
      <c r="X1115" s="16"/>
      <c r="Y1115" s="16"/>
      <c r="Z1115" s="16"/>
      <c r="AA1115" s="16"/>
      <c r="AB1115" s="16"/>
      <c r="AC1115" s="16"/>
      <c r="AD1115" s="16"/>
    </row>
    <row r="1116" spans="1:30" ht="12.9">
      <c r="A1116" s="16"/>
      <c r="B1116" s="24"/>
      <c r="C1116" s="196"/>
      <c r="D1116" s="196"/>
      <c r="E1116" s="196"/>
      <c r="F1116" s="16"/>
      <c r="G1116" s="24"/>
      <c r="H1116" s="24"/>
      <c r="I1116" s="16"/>
      <c r="J1116" s="16"/>
      <c r="K1116" s="16"/>
      <c r="L1116" s="16"/>
      <c r="M1116" s="16"/>
      <c r="N1116" s="16"/>
      <c r="O1116" s="16"/>
      <c r="P1116" s="16"/>
      <c r="Q1116" s="16"/>
      <c r="R1116" s="16"/>
      <c r="S1116" s="16"/>
      <c r="T1116" s="16"/>
      <c r="U1116" s="16"/>
      <c r="V1116" s="16"/>
      <c r="W1116" s="16"/>
      <c r="X1116" s="16"/>
      <c r="Y1116" s="16"/>
      <c r="Z1116" s="16"/>
      <c r="AA1116" s="16"/>
      <c r="AB1116" s="16"/>
      <c r="AC1116" s="16"/>
      <c r="AD1116" s="16"/>
    </row>
    <row r="1117" spans="1:30" ht="12.9">
      <c r="A1117" s="16"/>
      <c r="B1117" s="24"/>
      <c r="C1117" s="196"/>
      <c r="D1117" s="196"/>
      <c r="E1117" s="196"/>
      <c r="F1117" s="16"/>
      <c r="G1117" s="24"/>
      <c r="H1117" s="24"/>
      <c r="I1117" s="16"/>
      <c r="J1117" s="16"/>
      <c r="K1117" s="16"/>
      <c r="L1117" s="16"/>
      <c r="M1117" s="16"/>
      <c r="N1117" s="16"/>
      <c r="O1117" s="16"/>
      <c r="P1117" s="16"/>
      <c r="Q1117" s="16"/>
      <c r="R1117" s="16"/>
      <c r="S1117" s="16"/>
      <c r="T1117" s="16"/>
      <c r="U1117" s="16"/>
      <c r="V1117" s="16"/>
      <c r="W1117" s="16"/>
      <c r="X1117" s="16"/>
      <c r="Y1117" s="16"/>
      <c r="Z1117" s="16"/>
      <c r="AA1117" s="16"/>
      <c r="AB1117" s="16"/>
      <c r="AC1117" s="16"/>
      <c r="AD1117" s="16"/>
    </row>
    <row r="1118" spans="1:30" ht="12.9">
      <c r="A1118" s="16"/>
      <c r="B1118" s="24"/>
      <c r="C1118" s="196"/>
      <c r="D1118" s="196"/>
      <c r="E1118" s="196"/>
      <c r="F1118" s="16"/>
      <c r="G1118" s="24"/>
      <c r="H1118" s="24"/>
      <c r="I1118" s="16"/>
      <c r="J1118" s="16"/>
      <c r="K1118" s="16"/>
      <c r="L1118" s="16"/>
      <c r="M1118" s="16"/>
      <c r="N1118" s="16"/>
      <c r="O1118" s="16"/>
      <c r="P1118" s="16"/>
      <c r="Q1118" s="16"/>
      <c r="R1118" s="16"/>
      <c r="S1118" s="16"/>
      <c r="T1118" s="16"/>
      <c r="U1118" s="16"/>
      <c r="V1118" s="16"/>
      <c r="W1118" s="16"/>
      <c r="X1118" s="16"/>
      <c r="Y1118" s="16"/>
      <c r="Z1118" s="16"/>
      <c r="AA1118" s="16"/>
      <c r="AB1118" s="16"/>
      <c r="AC1118" s="16"/>
      <c r="AD1118" s="16"/>
    </row>
    <row r="1119" spans="1:30" ht="12.9">
      <c r="A1119" s="16"/>
      <c r="B1119" s="24"/>
      <c r="C1119" s="196"/>
      <c r="D1119" s="196"/>
      <c r="E1119" s="196"/>
      <c r="F1119" s="16"/>
      <c r="G1119" s="24"/>
      <c r="H1119" s="24"/>
      <c r="I1119" s="16"/>
      <c r="J1119" s="16"/>
      <c r="K1119" s="16"/>
      <c r="L1119" s="16"/>
      <c r="M1119" s="16"/>
      <c r="N1119" s="16"/>
      <c r="O1119" s="16"/>
      <c r="P1119" s="16"/>
      <c r="Q1119" s="16"/>
      <c r="R1119" s="16"/>
      <c r="S1119" s="16"/>
      <c r="T1119" s="16"/>
      <c r="U1119" s="16"/>
      <c r="V1119" s="16"/>
      <c r="W1119" s="16"/>
      <c r="X1119" s="16"/>
      <c r="Y1119" s="16"/>
      <c r="Z1119" s="16"/>
      <c r="AA1119" s="16"/>
      <c r="AB1119" s="16"/>
      <c r="AC1119" s="16"/>
      <c r="AD1119" s="16"/>
    </row>
    <row r="1120" spans="1:30" ht="12.9">
      <c r="A1120" s="16"/>
      <c r="B1120" s="24"/>
      <c r="C1120" s="196"/>
      <c r="D1120" s="196"/>
      <c r="E1120" s="196"/>
      <c r="F1120" s="16"/>
      <c r="G1120" s="24"/>
      <c r="H1120" s="24"/>
      <c r="I1120" s="16"/>
      <c r="J1120" s="16"/>
      <c r="K1120" s="16"/>
      <c r="L1120" s="16"/>
      <c r="M1120" s="16"/>
      <c r="N1120" s="16"/>
      <c r="O1120" s="16"/>
      <c r="P1120" s="16"/>
      <c r="Q1120" s="16"/>
      <c r="R1120" s="16"/>
      <c r="S1120" s="16"/>
      <c r="T1120" s="16"/>
      <c r="U1120" s="16"/>
      <c r="V1120" s="16"/>
      <c r="W1120" s="16"/>
      <c r="X1120" s="16"/>
      <c r="Y1120" s="16"/>
      <c r="Z1120" s="16"/>
      <c r="AA1120" s="16"/>
      <c r="AB1120" s="16"/>
      <c r="AC1120" s="16"/>
      <c r="AD1120" s="16"/>
    </row>
    <row r="1121" spans="1:30" ht="12.9">
      <c r="A1121" s="16"/>
      <c r="B1121" s="24"/>
      <c r="C1121" s="196"/>
      <c r="D1121" s="196"/>
      <c r="E1121" s="196"/>
      <c r="F1121" s="16"/>
      <c r="G1121" s="24"/>
      <c r="H1121" s="24"/>
      <c r="I1121" s="16"/>
      <c r="J1121" s="16"/>
      <c r="K1121" s="16"/>
      <c r="L1121" s="16"/>
      <c r="M1121" s="16"/>
      <c r="N1121" s="16"/>
      <c r="O1121" s="16"/>
      <c r="P1121" s="16"/>
      <c r="Q1121" s="16"/>
      <c r="R1121" s="16"/>
      <c r="S1121" s="16"/>
      <c r="T1121" s="16"/>
      <c r="U1121" s="16"/>
      <c r="V1121" s="16"/>
      <c r="W1121" s="16"/>
      <c r="X1121" s="16"/>
      <c r="Y1121" s="16"/>
      <c r="Z1121" s="16"/>
      <c r="AA1121" s="16"/>
      <c r="AB1121" s="16"/>
      <c r="AC1121" s="16"/>
      <c r="AD1121" s="16"/>
    </row>
    <row r="1122" spans="1:30" ht="12.9">
      <c r="A1122" s="16"/>
      <c r="B1122" s="24"/>
      <c r="C1122" s="196"/>
      <c r="D1122" s="196"/>
      <c r="E1122" s="196"/>
      <c r="F1122" s="16"/>
      <c r="G1122" s="24"/>
      <c r="H1122" s="24"/>
      <c r="I1122" s="16"/>
      <c r="J1122" s="16"/>
      <c r="K1122" s="16"/>
      <c r="L1122" s="16"/>
      <c r="M1122" s="16"/>
      <c r="N1122" s="16"/>
      <c r="O1122" s="16"/>
      <c r="P1122" s="16"/>
      <c r="Q1122" s="16"/>
      <c r="R1122" s="16"/>
      <c r="S1122" s="16"/>
      <c r="T1122" s="16"/>
      <c r="U1122" s="16"/>
      <c r="V1122" s="16"/>
      <c r="W1122" s="16"/>
      <c r="X1122" s="16"/>
      <c r="Y1122" s="16"/>
      <c r="Z1122" s="16"/>
      <c r="AA1122" s="16"/>
      <c r="AB1122" s="16"/>
      <c r="AC1122" s="16"/>
      <c r="AD1122" s="16"/>
    </row>
    <row r="1123" spans="1:30" ht="12.9">
      <c r="A1123" s="16"/>
      <c r="B1123" s="24"/>
      <c r="C1123" s="196"/>
      <c r="D1123" s="196"/>
      <c r="E1123" s="196"/>
      <c r="F1123" s="16"/>
      <c r="G1123" s="24"/>
      <c r="H1123" s="24"/>
      <c r="I1123" s="16"/>
      <c r="J1123" s="16"/>
      <c r="K1123" s="16"/>
      <c r="L1123" s="16"/>
      <c r="M1123" s="16"/>
      <c r="N1123" s="16"/>
      <c r="O1123" s="16"/>
      <c r="P1123" s="16"/>
      <c r="Q1123" s="16"/>
      <c r="R1123" s="16"/>
      <c r="S1123" s="16"/>
      <c r="T1123" s="16"/>
      <c r="U1123" s="16"/>
      <c r="V1123" s="16"/>
      <c r="W1123" s="16"/>
      <c r="X1123" s="16"/>
      <c r="Y1123" s="16"/>
      <c r="Z1123" s="16"/>
      <c r="AA1123" s="16"/>
      <c r="AB1123" s="16"/>
      <c r="AC1123" s="16"/>
      <c r="AD1123" s="16"/>
    </row>
    <row r="1124" spans="1:30" ht="12.9">
      <c r="A1124" s="16"/>
      <c r="B1124" s="24"/>
      <c r="C1124" s="196"/>
      <c r="D1124" s="196"/>
      <c r="E1124" s="196"/>
      <c r="F1124" s="16"/>
      <c r="G1124" s="24"/>
      <c r="H1124" s="24"/>
      <c r="I1124" s="16"/>
      <c r="J1124" s="16"/>
      <c r="K1124" s="16"/>
      <c r="L1124" s="16"/>
      <c r="M1124" s="16"/>
      <c r="N1124" s="16"/>
      <c r="O1124" s="16"/>
      <c r="P1124" s="16"/>
      <c r="Q1124" s="16"/>
      <c r="R1124" s="16"/>
      <c r="S1124" s="16"/>
      <c r="T1124" s="16"/>
      <c r="U1124" s="16"/>
      <c r="V1124" s="16"/>
      <c r="W1124" s="16"/>
      <c r="X1124" s="16"/>
      <c r="Y1124" s="16"/>
      <c r="Z1124" s="16"/>
      <c r="AA1124" s="16"/>
      <c r="AB1124" s="16"/>
      <c r="AC1124" s="16"/>
      <c r="AD1124" s="16"/>
    </row>
    <row r="1125" spans="1:30" ht="12.9">
      <c r="A1125" s="16"/>
      <c r="B1125" s="24"/>
      <c r="C1125" s="196"/>
      <c r="D1125" s="196"/>
      <c r="E1125" s="196"/>
      <c r="F1125" s="16"/>
      <c r="G1125" s="24"/>
      <c r="H1125" s="24"/>
      <c r="I1125" s="16"/>
      <c r="J1125" s="16"/>
      <c r="K1125" s="16"/>
      <c r="L1125" s="16"/>
      <c r="M1125" s="16"/>
      <c r="N1125" s="16"/>
      <c r="O1125" s="16"/>
      <c r="P1125" s="16"/>
      <c r="Q1125" s="16"/>
      <c r="R1125" s="16"/>
      <c r="S1125" s="16"/>
      <c r="T1125" s="16"/>
      <c r="U1125" s="16"/>
      <c r="V1125" s="16"/>
      <c r="W1125" s="16"/>
      <c r="X1125" s="16"/>
      <c r="Y1125" s="16"/>
      <c r="Z1125" s="16"/>
      <c r="AA1125" s="16"/>
      <c r="AB1125" s="16"/>
      <c r="AC1125" s="16"/>
      <c r="AD1125" s="16"/>
    </row>
    <row r="1126" spans="1:30" ht="12.9">
      <c r="A1126" s="16"/>
      <c r="B1126" s="24"/>
      <c r="C1126" s="196"/>
      <c r="D1126" s="196"/>
      <c r="E1126" s="196"/>
      <c r="F1126" s="16"/>
      <c r="G1126" s="24"/>
      <c r="H1126" s="24"/>
      <c r="I1126" s="16"/>
      <c r="J1126" s="16"/>
      <c r="K1126" s="16"/>
      <c r="L1126" s="16"/>
      <c r="M1126" s="16"/>
      <c r="N1126" s="16"/>
      <c r="O1126" s="16"/>
      <c r="P1126" s="16"/>
      <c r="Q1126" s="16"/>
      <c r="R1126" s="16"/>
      <c r="S1126" s="16"/>
      <c r="T1126" s="16"/>
      <c r="U1126" s="16"/>
      <c r="V1126" s="16"/>
      <c r="W1126" s="16"/>
      <c r="X1126" s="16"/>
      <c r="Y1126" s="16"/>
      <c r="Z1126" s="16"/>
      <c r="AA1126" s="16"/>
      <c r="AB1126" s="16"/>
      <c r="AC1126" s="16"/>
      <c r="AD1126" s="16"/>
    </row>
    <row r="1127" spans="1:30" ht="12.9">
      <c r="A1127" s="16"/>
      <c r="B1127" s="24"/>
      <c r="C1127" s="196"/>
      <c r="D1127" s="196"/>
      <c r="E1127" s="196"/>
      <c r="F1127" s="16"/>
      <c r="G1127" s="24"/>
      <c r="H1127" s="24"/>
      <c r="I1127" s="16"/>
      <c r="J1127" s="16"/>
      <c r="K1127" s="16"/>
      <c r="L1127" s="16"/>
      <c r="M1127" s="16"/>
      <c r="N1127" s="16"/>
      <c r="O1127" s="16"/>
      <c r="P1127" s="16"/>
      <c r="Q1127" s="16"/>
      <c r="R1127" s="16"/>
      <c r="S1127" s="16"/>
      <c r="T1127" s="16"/>
      <c r="U1127" s="16"/>
      <c r="V1127" s="16"/>
      <c r="W1127" s="16"/>
      <c r="X1127" s="16"/>
      <c r="Y1127" s="16"/>
      <c r="Z1127" s="16"/>
      <c r="AA1127" s="16"/>
      <c r="AB1127" s="16"/>
      <c r="AC1127" s="16"/>
      <c r="AD1127" s="16"/>
    </row>
    <row r="1128" spans="1:30" ht="12.9">
      <c r="A1128" s="16"/>
      <c r="B1128" s="24"/>
      <c r="C1128" s="196"/>
      <c r="D1128" s="196"/>
      <c r="E1128" s="196"/>
      <c r="F1128" s="16"/>
      <c r="G1128" s="24"/>
      <c r="H1128" s="24"/>
      <c r="I1128" s="16"/>
      <c r="J1128" s="16"/>
      <c r="K1128" s="16"/>
      <c r="L1128" s="16"/>
      <c r="M1128" s="16"/>
      <c r="N1128" s="16"/>
      <c r="O1128" s="16"/>
      <c r="P1128" s="16"/>
      <c r="Q1128" s="16"/>
      <c r="R1128" s="16"/>
      <c r="S1128" s="16"/>
      <c r="T1128" s="16"/>
      <c r="U1128" s="16"/>
      <c r="V1128" s="16"/>
      <c r="W1128" s="16"/>
      <c r="X1128" s="16"/>
      <c r="Y1128" s="16"/>
      <c r="Z1128" s="16"/>
      <c r="AA1128" s="16"/>
      <c r="AB1128" s="16"/>
      <c r="AC1128" s="16"/>
      <c r="AD1128" s="16"/>
    </row>
    <row r="1129" spans="1:30" ht="12.9">
      <c r="A1129" s="16"/>
      <c r="B1129" s="24"/>
      <c r="C1129" s="196"/>
      <c r="D1129" s="196"/>
      <c r="E1129" s="196"/>
      <c r="F1129" s="16"/>
      <c r="G1129" s="24"/>
      <c r="H1129" s="24"/>
      <c r="I1129" s="16"/>
      <c r="J1129" s="16"/>
      <c r="K1129" s="16"/>
      <c r="L1129" s="16"/>
      <c r="M1129" s="16"/>
      <c r="N1129" s="16"/>
      <c r="O1129" s="16"/>
      <c r="P1129" s="16"/>
      <c r="Q1129" s="16"/>
      <c r="R1129" s="16"/>
      <c r="S1129" s="16"/>
      <c r="T1129" s="16"/>
      <c r="U1129" s="16"/>
      <c r="V1129" s="16"/>
      <c r="W1129" s="16"/>
      <c r="X1129" s="16"/>
      <c r="Y1129" s="16"/>
      <c r="Z1129" s="16"/>
      <c r="AA1129" s="16"/>
      <c r="AB1129" s="16"/>
      <c r="AC1129" s="16"/>
      <c r="AD1129" s="16"/>
    </row>
    <row r="1130" spans="1:30" ht="12.9">
      <c r="A1130" s="16"/>
      <c r="B1130" s="24"/>
      <c r="C1130" s="196"/>
      <c r="D1130" s="196"/>
      <c r="E1130" s="196"/>
      <c r="F1130" s="16"/>
      <c r="G1130" s="24"/>
      <c r="H1130" s="24"/>
      <c r="I1130" s="16"/>
      <c r="J1130" s="16"/>
      <c r="K1130" s="16"/>
      <c r="L1130" s="16"/>
      <c r="M1130" s="16"/>
      <c r="N1130" s="16"/>
      <c r="O1130" s="16"/>
      <c r="P1130" s="16"/>
      <c r="Q1130" s="16"/>
      <c r="R1130" s="16"/>
      <c r="S1130" s="16"/>
      <c r="T1130" s="16"/>
      <c r="U1130" s="16"/>
      <c r="V1130" s="16"/>
      <c r="W1130" s="16"/>
      <c r="X1130" s="16"/>
      <c r="Y1130" s="16"/>
      <c r="Z1130" s="16"/>
      <c r="AA1130" s="16"/>
      <c r="AB1130" s="16"/>
      <c r="AC1130" s="16"/>
      <c r="AD1130" s="16"/>
    </row>
    <row r="1131" spans="1:30" ht="12.9">
      <c r="A1131" s="16"/>
      <c r="B1131" s="24"/>
      <c r="C1131" s="196"/>
      <c r="D1131" s="196"/>
      <c r="E1131" s="196"/>
      <c r="F1131" s="16"/>
      <c r="G1131" s="24"/>
      <c r="H1131" s="24"/>
      <c r="I1131" s="16"/>
      <c r="J1131" s="16"/>
      <c r="K1131" s="16"/>
      <c r="L1131" s="16"/>
      <c r="M1131" s="16"/>
      <c r="N1131" s="16"/>
      <c r="O1131" s="16"/>
      <c r="P1131" s="16"/>
      <c r="Q1131" s="16"/>
      <c r="R1131" s="16"/>
      <c r="S1131" s="16"/>
      <c r="T1131" s="16"/>
      <c r="U1131" s="16"/>
      <c r="V1131" s="16"/>
      <c r="W1131" s="16"/>
      <c r="X1131" s="16"/>
      <c r="Y1131" s="16"/>
      <c r="Z1131" s="16"/>
      <c r="AA1131" s="16"/>
      <c r="AB1131" s="16"/>
      <c r="AC1131" s="16"/>
      <c r="AD1131" s="16"/>
    </row>
    <row r="1132" spans="1:30" ht="12.9">
      <c r="A1132" s="16"/>
      <c r="B1132" s="24"/>
      <c r="C1132" s="196"/>
      <c r="D1132" s="196"/>
      <c r="E1132" s="196"/>
      <c r="F1132" s="16"/>
      <c r="G1132" s="24"/>
      <c r="H1132" s="24"/>
      <c r="I1132" s="16"/>
      <c r="J1132" s="16"/>
      <c r="K1132" s="16"/>
      <c r="L1132" s="16"/>
      <c r="M1132" s="16"/>
      <c r="N1132" s="16"/>
      <c r="O1132" s="16"/>
      <c r="P1132" s="16"/>
      <c r="Q1132" s="16"/>
      <c r="R1132" s="16"/>
      <c r="S1132" s="16"/>
      <c r="T1132" s="16"/>
      <c r="U1132" s="16"/>
      <c r="V1132" s="16"/>
      <c r="W1132" s="16"/>
      <c r="X1132" s="16"/>
      <c r="Y1132" s="16"/>
      <c r="Z1132" s="16"/>
      <c r="AA1132" s="16"/>
      <c r="AB1132" s="16"/>
      <c r="AC1132" s="16"/>
      <c r="AD1132" s="16"/>
    </row>
    <row r="1133" spans="1:30" ht="12.9">
      <c r="A1133" s="16"/>
      <c r="B1133" s="24"/>
      <c r="C1133" s="196"/>
      <c r="D1133" s="196"/>
      <c r="E1133" s="196"/>
      <c r="F1133" s="16"/>
      <c r="G1133" s="24"/>
      <c r="H1133" s="24"/>
      <c r="I1133" s="16"/>
      <c r="J1133" s="16"/>
      <c r="K1133" s="16"/>
      <c r="L1133" s="16"/>
      <c r="M1133" s="16"/>
      <c r="N1133" s="16"/>
      <c r="O1133" s="16"/>
      <c r="P1133" s="16"/>
      <c r="Q1133" s="16"/>
      <c r="R1133" s="16"/>
      <c r="S1133" s="16"/>
      <c r="T1133" s="16"/>
      <c r="U1133" s="16"/>
      <c r="V1133" s="16"/>
      <c r="W1133" s="16"/>
      <c r="X1133" s="16"/>
      <c r="Y1133" s="16"/>
      <c r="Z1133" s="16"/>
      <c r="AA1133" s="16"/>
      <c r="AB1133" s="16"/>
      <c r="AC1133" s="16"/>
      <c r="AD1133" s="16"/>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x14:formula1>
            <xm:f>'Self Assessment Total Score'!$C$18:$C$21</xm:f>
          </x14:formula1>
          <xm:sqref>H2:H27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60"/>
  <sheetViews>
    <sheetView workbookViewId="0">
      <pane ySplit="1" topLeftCell="A49" activePane="bottomLeft" state="frozen"/>
      <selection pane="bottomLeft" activeCell="H2" sqref="H2:H51"/>
    </sheetView>
  </sheetViews>
  <sheetFormatPr defaultColWidth="14.375" defaultRowHeight="15.8" customHeight="1"/>
  <cols>
    <col min="2" max="2" width="16.25" customWidth="1"/>
    <col min="3" max="3" width="42.125" customWidth="1"/>
    <col min="4" max="4" width="31.625" customWidth="1"/>
    <col min="5" max="5" width="29.875" customWidth="1"/>
    <col min="6" max="6" width="16.25" customWidth="1"/>
    <col min="7" max="7" width="21.25" customWidth="1"/>
    <col min="8" max="8" width="30.75" customWidth="1"/>
    <col min="9" max="9" width="14.125" customWidth="1"/>
  </cols>
  <sheetData>
    <row r="1" spans="1:9" ht="21.75">
      <c r="A1" s="23" t="s">
        <v>7504</v>
      </c>
      <c r="B1" s="23" t="s">
        <v>3443</v>
      </c>
      <c r="C1" s="23" t="s">
        <v>3444</v>
      </c>
      <c r="D1" s="23" t="s">
        <v>36</v>
      </c>
      <c r="E1" s="23" t="s">
        <v>39</v>
      </c>
      <c r="F1" s="23" t="s">
        <v>3445</v>
      </c>
      <c r="G1" s="23" t="s">
        <v>3446</v>
      </c>
      <c r="H1" s="135" t="s">
        <v>44</v>
      </c>
      <c r="I1" s="135" t="s">
        <v>46</v>
      </c>
    </row>
    <row r="2" spans="1:9" ht="409.6">
      <c r="A2" s="121" t="s">
        <v>7505</v>
      </c>
      <c r="B2" s="121" t="s">
        <v>24</v>
      </c>
      <c r="C2" s="25" t="s">
        <v>7506</v>
      </c>
      <c r="D2" s="25" t="s">
        <v>7507</v>
      </c>
      <c r="E2" s="25" t="s">
        <v>7508</v>
      </c>
      <c r="F2" s="230"/>
      <c r="G2" s="131"/>
      <c r="H2" s="64"/>
      <c r="I2" s="45" t="b">
        <f t="shared" ref="I2:I51" si="0">IF(AND(H2="Meet the requirements traceability “out of the box”"), 10, IF(AND(H2="Can meet the requirements traceability with configuration or through the use of another commercial product “out of the box” or other arrangement as part of the service offering quoted (i.e. at no additional cost)"), 8, IF(AND(H2="Can meet the requirements traceability with customization at additional cost"), 3, IF(AND(H2="Cannot meet the requirements traceability requirement"), 0))))</f>
        <v>0</v>
      </c>
    </row>
    <row r="3" spans="1:9" ht="195.65">
      <c r="A3" s="121" t="s">
        <v>7509</v>
      </c>
      <c r="B3" s="121" t="s">
        <v>24</v>
      </c>
      <c r="C3" s="25" t="s">
        <v>7510</v>
      </c>
      <c r="D3" s="25" t="s">
        <v>7511</v>
      </c>
      <c r="E3" s="25" t="s">
        <v>7512</v>
      </c>
      <c r="F3" s="230"/>
      <c r="G3" s="131"/>
      <c r="H3" s="64"/>
      <c r="I3" s="45" t="b">
        <f t="shared" si="0"/>
        <v>0</v>
      </c>
    </row>
    <row r="4" spans="1:9" ht="54.35">
      <c r="A4" s="121" t="s">
        <v>7513</v>
      </c>
      <c r="B4" s="121" t="s">
        <v>24</v>
      </c>
      <c r="C4" s="25" t="s">
        <v>7514</v>
      </c>
      <c r="D4" s="25" t="s">
        <v>7515</v>
      </c>
      <c r="E4" s="25" t="s">
        <v>7516</v>
      </c>
      <c r="F4" s="230"/>
      <c r="G4" s="131"/>
      <c r="H4" s="64"/>
      <c r="I4" s="45" t="b">
        <f t="shared" si="0"/>
        <v>0</v>
      </c>
    </row>
    <row r="5" spans="1:9" ht="54.35">
      <c r="A5" s="121" t="s">
        <v>7517</v>
      </c>
      <c r="B5" s="121" t="s">
        <v>24</v>
      </c>
      <c r="C5" s="25" t="s">
        <v>7518</v>
      </c>
      <c r="D5" s="25" t="s">
        <v>7519</v>
      </c>
      <c r="E5" s="25" t="s">
        <v>7520</v>
      </c>
      <c r="F5" s="230"/>
      <c r="G5" s="131"/>
      <c r="H5" s="64"/>
      <c r="I5" s="45" t="b">
        <f t="shared" si="0"/>
        <v>0</v>
      </c>
    </row>
    <row r="6" spans="1:9" ht="43.5">
      <c r="A6" s="121" t="s">
        <v>7521</v>
      </c>
      <c r="B6" s="121" t="s">
        <v>24</v>
      </c>
      <c r="C6" s="25" t="s">
        <v>7522</v>
      </c>
      <c r="D6" s="25" t="s">
        <v>7523</v>
      </c>
      <c r="E6" s="25" t="s">
        <v>7524</v>
      </c>
      <c r="F6" s="230"/>
      <c r="G6" s="131"/>
      <c r="H6" s="64"/>
      <c r="I6" s="45" t="b">
        <f t="shared" si="0"/>
        <v>0</v>
      </c>
    </row>
    <row r="7" spans="1:9" ht="97.85">
      <c r="A7" s="121" t="s">
        <v>7525</v>
      </c>
      <c r="B7" s="121" t="s">
        <v>24</v>
      </c>
      <c r="C7" s="25" t="s">
        <v>7526</v>
      </c>
      <c r="D7" s="25" t="s">
        <v>7527</v>
      </c>
      <c r="E7" s="25" t="s">
        <v>7528</v>
      </c>
      <c r="F7" s="57" t="str">
        <f>HYPERLINK("https://www.acquisition.gov/content/part-9-contractor-qualifications#i1115236","FAR 9.405(d) Effect of listing [debarment, suspension, and ineligibility]")</f>
        <v>FAR 9.405(d) Effect of listing [debarment, suspension, and ineligibility]</v>
      </c>
      <c r="G7" s="57" t="str">
        <f>HYPERLINK("https://www.acquisition.gov/sites/default/files/current/gsam/html/Part509.html#wp1859653","GSAR 509.405")</f>
        <v>GSAR 509.405</v>
      </c>
      <c r="H7" s="64"/>
      <c r="I7" s="45" t="b">
        <f t="shared" si="0"/>
        <v>0</v>
      </c>
    </row>
    <row r="8" spans="1:9" ht="54.35">
      <c r="A8" s="121" t="s">
        <v>7529</v>
      </c>
      <c r="B8" s="121" t="s">
        <v>24</v>
      </c>
      <c r="C8" s="25" t="s">
        <v>7530</v>
      </c>
      <c r="D8" s="25" t="s">
        <v>7531</v>
      </c>
      <c r="E8" s="25" t="s">
        <v>7532</v>
      </c>
      <c r="F8" s="141" t="str">
        <f>HYPERLINK("https://www.acquisition.gov/content/part-4-administrative-matters#i4_1003","FAR 4.1103 and 4.1104")</f>
        <v>FAR 4.1103 and 4.1104</v>
      </c>
      <c r="G8" s="131"/>
      <c r="H8" s="64"/>
      <c r="I8" s="45" t="b">
        <f t="shared" si="0"/>
        <v>0</v>
      </c>
    </row>
    <row r="9" spans="1:9" ht="86.95">
      <c r="A9" s="121" t="s">
        <v>7533</v>
      </c>
      <c r="B9" s="121" t="s">
        <v>24</v>
      </c>
      <c r="C9" s="25" t="s">
        <v>7534</v>
      </c>
      <c r="D9" s="25" t="s">
        <v>7535</v>
      </c>
      <c r="E9" s="25" t="s">
        <v>7536</v>
      </c>
      <c r="F9" s="230"/>
      <c r="G9" s="131"/>
      <c r="H9" s="64"/>
      <c r="I9" s="45" t="b">
        <f t="shared" si="0"/>
        <v>0</v>
      </c>
    </row>
    <row r="10" spans="1:9" ht="108.7">
      <c r="A10" s="121" t="s">
        <v>7537</v>
      </c>
      <c r="B10" s="121" t="s">
        <v>24</v>
      </c>
      <c r="C10" s="25" t="s">
        <v>7538</v>
      </c>
      <c r="D10" s="25" t="s">
        <v>7539</v>
      </c>
      <c r="E10" s="25" t="s">
        <v>7540</v>
      </c>
      <c r="F10" s="230"/>
      <c r="G10" s="131"/>
      <c r="H10" s="64"/>
      <c r="I10" s="45" t="b">
        <f t="shared" si="0"/>
        <v>0</v>
      </c>
    </row>
    <row r="11" spans="1:9" ht="73.55" customHeight="1">
      <c r="A11" s="121" t="s">
        <v>7541</v>
      </c>
      <c r="B11" s="121" t="s">
        <v>24</v>
      </c>
      <c r="C11" s="25" t="s">
        <v>7542</v>
      </c>
      <c r="D11" s="25" t="s">
        <v>7543</v>
      </c>
      <c r="E11" s="25" t="s">
        <v>7544</v>
      </c>
      <c r="F11" s="230"/>
      <c r="G11" s="131"/>
      <c r="H11" s="64"/>
      <c r="I11" s="45" t="b">
        <f t="shared" si="0"/>
        <v>0</v>
      </c>
    </row>
    <row r="12" spans="1:9" ht="65.25">
      <c r="A12" s="121" t="s">
        <v>7545</v>
      </c>
      <c r="B12" s="121" t="s">
        <v>24</v>
      </c>
      <c r="C12" s="25" t="s">
        <v>7546</v>
      </c>
      <c r="D12" s="25" t="s">
        <v>7547</v>
      </c>
      <c r="E12" s="25" t="s">
        <v>7548</v>
      </c>
      <c r="F12" s="230"/>
      <c r="G12" s="131"/>
      <c r="H12" s="64"/>
      <c r="I12" s="45" t="b">
        <f t="shared" si="0"/>
        <v>0</v>
      </c>
    </row>
    <row r="13" spans="1:9" ht="54.35">
      <c r="A13" s="121" t="s">
        <v>7549</v>
      </c>
      <c r="B13" s="121" t="s">
        <v>24</v>
      </c>
      <c r="C13" s="25" t="s">
        <v>7550</v>
      </c>
      <c r="D13" s="25" t="s">
        <v>7551</v>
      </c>
      <c r="E13" s="25" t="s">
        <v>7552</v>
      </c>
      <c r="F13" s="230"/>
      <c r="G13" s="131"/>
      <c r="H13" s="64"/>
      <c r="I13" s="45" t="b">
        <f t="shared" si="0"/>
        <v>0</v>
      </c>
    </row>
    <row r="14" spans="1:9" ht="50.95" customHeight="1">
      <c r="A14" s="121" t="s">
        <v>7553</v>
      </c>
      <c r="B14" s="121" t="s">
        <v>24</v>
      </c>
      <c r="C14" s="25" t="s">
        <v>7554</v>
      </c>
      <c r="D14" s="25" t="s">
        <v>7555</v>
      </c>
      <c r="E14" s="25" t="s">
        <v>7556</v>
      </c>
      <c r="F14" s="230"/>
      <c r="G14" s="131"/>
      <c r="H14" s="64"/>
      <c r="I14" s="45" t="b">
        <f t="shared" si="0"/>
        <v>0</v>
      </c>
    </row>
    <row r="15" spans="1:9" ht="76.099999999999994">
      <c r="A15" s="121" t="s">
        <v>7557</v>
      </c>
      <c r="B15" s="121" t="s">
        <v>24</v>
      </c>
      <c r="C15" s="25" t="s">
        <v>7558</v>
      </c>
      <c r="D15" s="25" t="s">
        <v>7559</v>
      </c>
      <c r="E15" s="58" t="s">
        <v>7560</v>
      </c>
      <c r="F15" s="230"/>
      <c r="G15" s="131"/>
      <c r="H15" s="64"/>
      <c r="I15" s="45" t="b">
        <f t="shared" si="0"/>
        <v>0</v>
      </c>
    </row>
    <row r="16" spans="1:9" ht="76.099999999999994">
      <c r="A16" s="121" t="s">
        <v>7561</v>
      </c>
      <c r="B16" s="121" t="s">
        <v>24</v>
      </c>
      <c r="C16" s="25" t="s">
        <v>7562</v>
      </c>
      <c r="D16" s="25" t="s">
        <v>7563</v>
      </c>
      <c r="E16" s="25" t="s">
        <v>7564</v>
      </c>
      <c r="F16" s="230"/>
      <c r="G16" s="131"/>
      <c r="H16" s="64"/>
      <c r="I16" s="45" t="b">
        <f t="shared" si="0"/>
        <v>0</v>
      </c>
    </row>
    <row r="17" spans="1:9" ht="108.7">
      <c r="A17" s="121" t="s">
        <v>7565</v>
      </c>
      <c r="B17" s="121" t="s">
        <v>24</v>
      </c>
      <c r="C17" s="25" t="s">
        <v>7566</v>
      </c>
      <c r="D17" s="25" t="s">
        <v>7567</v>
      </c>
      <c r="E17" s="25" t="s">
        <v>7568</v>
      </c>
      <c r="F17" s="141" t="str">
        <f>HYPERLINK("https://www.acquisition.gov/content/part-15-contracting-negotiation#i1108601","FAR 15.305")</f>
        <v>FAR 15.305</v>
      </c>
      <c r="G17" s="141" t="str">
        <f>HYPERLINK("https://www.acquisition.gov/content/part-515-contracting-negotiation#YUGVHVNF","GSAM 515.305")</f>
        <v>GSAM 515.305</v>
      </c>
      <c r="H17" s="64"/>
      <c r="I17" s="45" t="b">
        <f t="shared" si="0"/>
        <v>0</v>
      </c>
    </row>
    <row r="18" spans="1:9" ht="97.85">
      <c r="A18" s="121" t="s">
        <v>7569</v>
      </c>
      <c r="B18" s="121" t="s">
        <v>24</v>
      </c>
      <c r="C18" s="25" t="s">
        <v>7570</v>
      </c>
      <c r="D18" s="25" t="s">
        <v>7571</v>
      </c>
      <c r="E18" s="25" t="s">
        <v>7572</v>
      </c>
      <c r="F18" s="230"/>
      <c r="G18" s="131"/>
      <c r="H18" s="64"/>
      <c r="I18" s="45" t="b">
        <f t="shared" si="0"/>
        <v>0</v>
      </c>
    </row>
    <row r="19" spans="1:9" ht="195.65">
      <c r="A19" s="121" t="s">
        <v>7573</v>
      </c>
      <c r="B19" s="121" t="s">
        <v>24</v>
      </c>
      <c r="C19" s="25" t="s">
        <v>7574</v>
      </c>
      <c r="D19" s="25" t="s">
        <v>7575</v>
      </c>
      <c r="E19" s="25" t="s">
        <v>7576</v>
      </c>
      <c r="F19" s="141" t="str">
        <f>HYPERLINK("https://www.acquisition.gov/content/4502-policy?&amp;searchTerms=%22electronic+signature%22","FAR 4.502")</f>
        <v>FAR 4.502</v>
      </c>
      <c r="G19" s="141" t="str">
        <f>HYPERLINK("https://www.acquisition.gov/content/part-504-administrative-matters#EIQXRUHK","GSAM 504.502")</f>
        <v>GSAM 504.502</v>
      </c>
      <c r="H19" s="64"/>
      <c r="I19" s="45" t="b">
        <f t="shared" si="0"/>
        <v>0</v>
      </c>
    </row>
    <row r="20" spans="1:9" ht="43.5">
      <c r="A20" s="121" t="s">
        <v>7577</v>
      </c>
      <c r="B20" s="121" t="s">
        <v>24</v>
      </c>
      <c r="C20" s="25" t="s">
        <v>7578</v>
      </c>
      <c r="D20" s="25" t="s">
        <v>7579</v>
      </c>
      <c r="E20" s="25" t="s">
        <v>7580</v>
      </c>
      <c r="F20" s="54"/>
      <c r="G20" s="54"/>
      <c r="H20" s="64"/>
      <c r="I20" s="45" t="b">
        <f t="shared" si="0"/>
        <v>0</v>
      </c>
    </row>
    <row r="21" spans="1:9" ht="65.25">
      <c r="A21" s="121" t="s">
        <v>7581</v>
      </c>
      <c r="B21" s="121" t="s">
        <v>24</v>
      </c>
      <c r="C21" s="25" t="s">
        <v>7582</v>
      </c>
      <c r="D21" s="25" t="s">
        <v>7583</v>
      </c>
      <c r="E21" s="25" t="s">
        <v>7584</v>
      </c>
      <c r="F21" s="54"/>
      <c r="G21" s="54"/>
      <c r="H21" s="64"/>
      <c r="I21" s="45" t="b">
        <f t="shared" si="0"/>
        <v>0</v>
      </c>
    </row>
    <row r="22" spans="1:9" ht="43.5">
      <c r="A22" s="121" t="s">
        <v>7585</v>
      </c>
      <c r="B22" s="121" t="s">
        <v>24</v>
      </c>
      <c r="C22" s="79" t="s">
        <v>7586</v>
      </c>
      <c r="D22" s="25" t="s">
        <v>7587</v>
      </c>
      <c r="E22" s="25" t="s">
        <v>7588</v>
      </c>
      <c r="F22" s="54"/>
      <c r="G22" s="54"/>
      <c r="H22" s="64"/>
      <c r="I22" s="45" t="b">
        <f t="shared" si="0"/>
        <v>0</v>
      </c>
    </row>
    <row r="23" spans="1:9" ht="65.25">
      <c r="A23" s="121" t="s">
        <v>7589</v>
      </c>
      <c r="B23" s="121" t="s">
        <v>24</v>
      </c>
      <c r="C23" s="79" t="s">
        <v>7590</v>
      </c>
      <c r="D23" s="25" t="s">
        <v>7591</v>
      </c>
      <c r="E23" s="25" t="s">
        <v>7592</v>
      </c>
      <c r="F23" s="54"/>
      <c r="G23" s="54"/>
      <c r="H23" s="64"/>
      <c r="I23" s="45" t="b">
        <f t="shared" si="0"/>
        <v>0</v>
      </c>
    </row>
    <row r="24" spans="1:9" ht="65.25">
      <c r="A24" s="121" t="s">
        <v>7593</v>
      </c>
      <c r="B24" s="121" t="s">
        <v>24</v>
      </c>
      <c r="C24" s="79" t="s">
        <v>7594</v>
      </c>
      <c r="D24" s="25" t="s">
        <v>7595</v>
      </c>
      <c r="E24" s="58" t="s">
        <v>7596</v>
      </c>
      <c r="F24" s="54"/>
      <c r="G24" s="54"/>
      <c r="H24" s="64"/>
      <c r="I24" s="45" t="b">
        <f t="shared" si="0"/>
        <v>0</v>
      </c>
    </row>
    <row r="25" spans="1:9" ht="76.099999999999994">
      <c r="A25" s="121" t="s">
        <v>7597</v>
      </c>
      <c r="B25" s="121" t="s">
        <v>24</v>
      </c>
      <c r="C25" s="79" t="s">
        <v>7598</v>
      </c>
      <c r="D25" s="79" t="s">
        <v>7599</v>
      </c>
      <c r="E25" s="25" t="s">
        <v>7600</v>
      </c>
      <c r="F25" s="231"/>
      <c r="G25" s="54"/>
      <c r="H25" s="64"/>
      <c r="I25" s="45" t="b">
        <f t="shared" si="0"/>
        <v>0</v>
      </c>
    </row>
    <row r="26" spans="1:9" ht="54.35">
      <c r="A26" s="121" t="s">
        <v>7601</v>
      </c>
      <c r="B26" s="121" t="s">
        <v>24</v>
      </c>
      <c r="C26" s="79" t="s">
        <v>7602</v>
      </c>
      <c r="D26" s="25" t="s">
        <v>7603</v>
      </c>
      <c r="E26" s="25" t="s">
        <v>7604</v>
      </c>
      <c r="F26" s="54"/>
      <c r="G26" s="54"/>
      <c r="H26" s="64"/>
      <c r="I26" s="45" t="b">
        <f t="shared" si="0"/>
        <v>0</v>
      </c>
    </row>
    <row r="27" spans="1:9" ht="32.6">
      <c r="A27" s="121" t="s">
        <v>7605</v>
      </c>
      <c r="B27" s="121" t="s">
        <v>24</v>
      </c>
      <c r="C27" s="79" t="s">
        <v>7606</v>
      </c>
      <c r="D27" s="25" t="s">
        <v>7607</v>
      </c>
      <c r="E27" s="25" t="s">
        <v>7608</v>
      </c>
      <c r="F27" s="54"/>
      <c r="G27" s="54"/>
      <c r="H27" s="64"/>
      <c r="I27" s="45" t="b">
        <f t="shared" si="0"/>
        <v>0</v>
      </c>
    </row>
    <row r="28" spans="1:9" ht="54.35">
      <c r="A28" s="121" t="s">
        <v>7609</v>
      </c>
      <c r="B28" s="121" t="s">
        <v>24</v>
      </c>
      <c r="C28" s="79" t="s">
        <v>7610</v>
      </c>
      <c r="D28" s="25" t="s">
        <v>7611</v>
      </c>
      <c r="E28" s="25" t="s">
        <v>7612</v>
      </c>
      <c r="F28" s="141" t="str">
        <f t="shared" ref="F28:F29" si="1">HYPERLINK("https://www.acquisition.gov/content/part-15-contracting-negotiation#i1109077","FAR 15.207")</f>
        <v>FAR 15.207</v>
      </c>
      <c r="G28" s="141" t="str">
        <f t="shared" ref="G28:G29" si="2">HYPERLINK("https://www.acquisition.gov/content/514401-receipt-and-safeguarding-bids?&amp;searchTerms=%22timestamp%22","GSAM 514.401")</f>
        <v>GSAM 514.401</v>
      </c>
      <c r="H28" s="64"/>
      <c r="I28" s="45" t="b">
        <f t="shared" si="0"/>
        <v>0</v>
      </c>
    </row>
    <row r="29" spans="1:9" ht="54.35">
      <c r="A29" s="121" t="s">
        <v>7613</v>
      </c>
      <c r="B29" s="121" t="s">
        <v>24</v>
      </c>
      <c r="C29" s="79" t="s">
        <v>7614</v>
      </c>
      <c r="D29" s="25" t="s">
        <v>7615</v>
      </c>
      <c r="E29" s="25" t="s">
        <v>7616</v>
      </c>
      <c r="F29" s="141" t="str">
        <f t="shared" si="1"/>
        <v>FAR 15.207</v>
      </c>
      <c r="G29" s="141" t="str">
        <f t="shared" si="2"/>
        <v>GSAM 514.401</v>
      </c>
      <c r="H29" s="64"/>
      <c r="I29" s="45" t="b">
        <f t="shared" si="0"/>
        <v>0</v>
      </c>
    </row>
    <row r="30" spans="1:9" ht="46.55" customHeight="1">
      <c r="A30" s="121" t="s">
        <v>7619</v>
      </c>
      <c r="B30" s="121" t="s">
        <v>24</v>
      </c>
      <c r="C30" s="79" t="s">
        <v>7620</v>
      </c>
      <c r="D30" s="25" t="s">
        <v>7621</v>
      </c>
      <c r="E30" s="25" t="s">
        <v>7622</v>
      </c>
      <c r="F30" s="54"/>
      <c r="G30" s="54"/>
      <c r="H30" s="64"/>
      <c r="I30" s="45" t="b">
        <f t="shared" si="0"/>
        <v>0</v>
      </c>
    </row>
    <row r="31" spans="1:9" ht="130.44999999999999">
      <c r="A31" s="121" t="s">
        <v>7624</v>
      </c>
      <c r="B31" s="121" t="s">
        <v>24</v>
      </c>
      <c r="C31" s="79" t="s">
        <v>7626</v>
      </c>
      <c r="D31" s="25" t="s">
        <v>7628</v>
      </c>
      <c r="E31" s="25" t="s">
        <v>7630</v>
      </c>
      <c r="F31" s="141" t="str">
        <f>HYPERLINK("https://www.acquisition.gov/content/part-15-contracting-negotiation#i1109077","FAR 15.207")</f>
        <v>FAR 15.207</v>
      </c>
      <c r="G31" s="141" t="str">
        <f>HYPERLINK("https://www.acquisition.gov/content/514401-receipt-and-safeguarding-bids?&amp;searchTerms=%22timestamp%22","GSAM 514.401")</f>
        <v>GSAM 514.401</v>
      </c>
      <c r="H31" s="64"/>
      <c r="I31" s="45" t="b">
        <f t="shared" si="0"/>
        <v>0</v>
      </c>
    </row>
    <row r="32" spans="1:9" ht="54.35">
      <c r="A32" s="121" t="s">
        <v>7632</v>
      </c>
      <c r="B32" s="121" t="s">
        <v>24</v>
      </c>
      <c r="C32" s="79" t="s">
        <v>7633</v>
      </c>
      <c r="D32" s="25" t="s">
        <v>7634</v>
      </c>
      <c r="E32" s="58" t="s">
        <v>7635</v>
      </c>
      <c r="F32" s="54"/>
      <c r="G32" s="54"/>
      <c r="H32" s="64"/>
      <c r="I32" s="45" t="b">
        <f t="shared" si="0"/>
        <v>0</v>
      </c>
    </row>
    <row r="33" spans="1:9" ht="86.95">
      <c r="A33" s="121" t="s">
        <v>7636</v>
      </c>
      <c r="B33" s="121" t="s">
        <v>24</v>
      </c>
      <c r="C33" s="79" t="s">
        <v>7637</v>
      </c>
      <c r="D33" s="25" t="s">
        <v>7638</v>
      </c>
      <c r="E33" s="58" t="s">
        <v>7639</v>
      </c>
      <c r="F33" s="54"/>
      <c r="G33" s="54"/>
      <c r="H33" s="64"/>
      <c r="I33" s="45" t="b">
        <f t="shared" si="0"/>
        <v>0</v>
      </c>
    </row>
    <row r="34" spans="1:9" ht="72.7" customHeight="1">
      <c r="A34" s="121" t="s">
        <v>7640</v>
      </c>
      <c r="B34" s="121" t="s">
        <v>24</v>
      </c>
      <c r="C34" s="79" t="s">
        <v>7641</v>
      </c>
      <c r="D34" s="25" t="s">
        <v>7642</v>
      </c>
      <c r="E34" s="58" t="s">
        <v>7643</v>
      </c>
      <c r="F34" s="54"/>
      <c r="G34" s="54"/>
      <c r="H34" s="64"/>
      <c r="I34" s="45" t="b">
        <f t="shared" si="0"/>
        <v>0</v>
      </c>
    </row>
    <row r="35" spans="1:9" ht="54.35">
      <c r="A35" s="121" t="s">
        <v>7644</v>
      </c>
      <c r="B35" s="121" t="s">
        <v>24</v>
      </c>
      <c r="C35" s="79" t="s">
        <v>7645</v>
      </c>
      <c r="D35" s="25" t="s">
        <v>7646</v>
      </c>
      <c r="E35" s="58" t="s">
        <v>7647</v>
      </c>
      <c r="F35" s="54"/>
      <c r="G35" s="54"/>
      <c r="H35" s="64"/>
      <c r="I35" s="45" t="b">
        <f t="shared" si="0"/>
        <v>0</v>
      </c>
    </row>
    <row r="36" spans="1:9" ht="43.5">
      <c r="A36" s="121" t="s">
        <v>7648</v>
      </c>
      <c r="B36" s="121" t="s">
        <v>24</v>
      </c>
      <c r="C36" s="79" t="s">
        <v>7650</v>
      </c>
      <c r="D36" s="25" t="s">
        <v>7651</v>
      </c>
      <c r="E36" s="58" t="s">
        <v>7652</v>
      </c>
      <c r="F36" s="54"/>
      <c r="G36" s="54"/>
      <c r="H36" s="64"/>
      <c r="I36" s="45" t="b">
        <f t="shared" si="0"/>
        <v>0</v>
      </c>
    </row>
    <row r="37" spans="1:9" ht="43.5">
      <c r="A37" s="121" t="s">
        <v>7656</v>
      </c>
      <c r="B37" s="121" t="s">
        <v>24</v>
      </c>
      <c r="C37" s="79" t="s">
        <v>7657</v>
      </c>
      <c r="D37" s="25" t="s">
        <v>7658</v>
      </c>
      <c r="E37" s="58" t="s">
        <v>7659</v>
      </c>
      <c r="F37" s="54"/>
      <c r="G37" s="54"/>
      <c r="H37" s="64"/>
      <c r="I37" s="45" t="b">
        <f t="shared" si="0"/>
        <v>0</v>
      </c>
    </row>
    <row r="38" spans="1:9" ht="43.5">
      <c r="A38" s="121" t="s">
        <v>7660</v>
      </c>
      <c r="B38" s="121" t="s">
        <v>24</v>
      </c>
      <c r="C38" s="79" t="s">
        <v>7661</v>
      </c>
      <c r="D38" s="25" t="s">
        <v>7662</v>
      </c>
      <c r="E38" s="58" t="s">
        <v>7663</v>
      </c>
      <c r="F38" s="54"/>
      <c r="G38" s="54"/>
      <c r="H38" s="64"/>
      <c r="I38" s="45" t="b">
        <f t="shared" si="0"/>
        <v>0</v>
      </c>
    </row>
    <row r="39" spans="1:9" ht="97.85">
      <c r="A39" s="121" t="s">
        <v>7664</v>
      </c>
      <c r="B39" s="121" t="s">
        <v>24</v>
      </c>
      <c r="C39" s="79" t="s">
        <v>7665</v>
      </c>
      <c r="D39" s="25" t="s">
        <v>7666</v>
      </c>
      <c r="E39" s="58" t="s">
        <v>7667</v>
      </c>
      <c r="F39" s="54"/>
      <c r="G39" s="54"/>
      <c r="H39" s="64"/>
      <c r="I39" s="45" t="b">
        <f t="shared" si="0"/>
        <v>0</v>
      </c>
    </row>
    <row r="40" spans="1:9" ht="54.35">
      <c r="A40" s="121" t="s">
        <v>7668</v>
      </c>
      <c r="B40" s="121" t="s">
        <v>24</v>
      </c>
      <c r="C40" s="79" t="s">
        <v>7669</v>
      </c>
      <c r="D40" s="25" t="s">
        <v>7670</v>
      </c>
      <c r="E40" s="58" t="s">
        <v>7671</v>
      </c>
      <c r="F40" s="54"/>
      <c r="G40" s="54"/>
      <c r="H40" s="64"/>
      <c r="I40" s="45" t="b">
        <f t="shared" si="0"/>
        <v>0</v>
      </c>
    </row>
    <row r="41" spans="1:9" ht="43.5">
      <c r="A41" s="121" t="s">
        <v>7672</v>
      </c>
      <c r="B41" s="121" t="s">
        <v>24</v>
      </c>
      <c r="C41" s="79" t="s">
        <v>7673</v>
      </c>
      <c r="D41" s="25" t="s">
        <v>7674</v>
      </c>
      <c r="E41" s="58" t="s">
        <v>7675</v>
      </c>
      <c r="F41" s="141" t="str">
        <f t="shared" ref="F41:F42" si="3">HYPERLINK("https://www.acquisition.gov/content/part-4-administrative-matters#i1122074","FAR 4.1101")</f>
        <v>FAR 4.1101</v>
      </c>
      <c r="G41" s="141" t="str">
        <f t="shared" ref="G41:G42" si="4">HYPERLINK("https://www.acquisition.gov/content/part-504-administrative-matters#VYSYMXLM","GSAM 504.1103")</f>
        <v>GSAM 504.1103</v>
      </c>
      <c r="H41" s="64"/>
      <c r="I41" s="45" t="b">
        <f t="shared" si="0"/>
        <v>0</v>
      </c>
    </row>
    <row r="42" spans="1:9" ht="65.25">
      <c r="A42" s="121" t="s">
        <v>7683</v>
      </c>
      <c r="B42" s="121" t="s">
        <v>24</v>
      </c>
      <c r="C42" s="79" t="s">
        <v>7686</v>
      </c>
      <c r="D42" s="25" t="s">
        <v>7687</v>
      </c>
      <c r="E42" s="58" t="s">
        <v>7688</v>
      </c>
      <c r="F42" s="141" t="str">
        <f t="shared" si="3"/>
        <v>FAR 4.1101</v>
      </c>
      <c r="G42" s="141" t="str">
        <f t="shared" si="4"/>
        <v>GSAM 504.1103</v>
      </c>
      <c r="H42" s="64"/>
      <c r="I42" s="45" t="b">
        <f t="shared" si="0"/>
        <v>0</v>
      </c>
    </row>
    <row r="43" spans="1:9" ht="54.35">
      <c r="A43" s="121" t="s">
        <v>7693</v>
      </c>
      <c r="B43" s="121" t="s">
        <v>24</v>
      </c>
      <c r="C43" s="79" t="s">
        <v>7694</v>
      </c>
      <c r="D43" s="25" t="s">
        <v>7695</v>
      </c>
      <c r="E43" s="58" t="s">
        <v>7696</v>
      </c>
      <c r="F43" s="141" t="str">
        <f t="shared" ref="F43:F44" si="5">HYPERLINK("https://www.acquisition.gov/content/part-19-small-business-programs#id1617MD000DH","FAR 19.202-5(a)")</f>
        <v>FAR 19.202-5(a)</v>
      </c>
      <c r="G43" s="54"/>
      <c r="H43" s="64"/>
      <c r="I43" s="45" t="b">
        <f t="shared" si="0"/>
        <v>0</v>
      </c>
    </row>
    <row r="44" spans="1:9" ht="54.35">
      <c r="A44" s="121" t="s">
        <v>7701</v>
      </c>
      <c r="B44" s="121" t="s">
        <v>24</v>
      </c>
      <c r="C44" s="111" t="s">
        <v>7702</v>
      </c>
      <c r="D44" s="25" t="s">
        <v>7703</v>
      </c>
      <c r="E44" s="58" t="s">
        <v>7704</v>
      </c>
      <c r="F44" s="141" t="str">
        <f t="shared" si="5"/>
        <v>FAR 19.202-5(a)</v>
      </c>
      <c r="G44" s="54"/>
      <c r="H44" s="64"/>
      <c r="I44" s="45" t="b">
        <f t="shared" si="0"/>
        <v>0</v>
      </c>
    </row>
    <row r="45" spans="1:9" ht="76.099999999999994">
      <c r="A45" s="121" t="s">
        <v>7705</v>
      </c>
      <c r="B45" s="121" t="s">
        <v>24</v>
      </c>
      <c r="C45" s="79" t="s">
        <v>7706</v>
      </c>
      <c r="D45" s="25" t="s">
        <v>7707</v>
      </c>
      <c r="E45" s="58" t="s">
        <v>7708</v>
      </c>
      <c r="F45" s="141" t="str">
        <f>HYPERLINK("https://www.acquisition.gov/browse/index/far","FAR 14.303 and FAR 15.208")</f>
        <v>FAR 14.303 and FAR 15.208</v>
      </c>
      <c r="G45" s="141" t="str">
        <f>HYPERLINK("https://www.acquisition.gov/browse/index/far","GSAM 514.303 and GSAM 515.208")</f>
        <v>GSAM 514.303 and GSAM 515.208</v>
      </c>
      <c r="H45" s="64"/>
      <c r="I45" s="45" t="b">
        <f t="shared" si="0"/>
        <v>0</v>
      </c>
    </row>
    <row r="46" spans="1:9" ht="43.5">
      <c r="A46" s="121" t="s">
        <v>7717</v>
      </c>
      <c r="B46" s="121" t="s">
        <v>24</v>
      </c>
      <c r="C46" s="79" t="s">
        <v>7718</v>
      </c>
      <c r="D46" s="25" t="s">
        <v>7719</v>
      </c>
      <c r="E46" s="58" t="s">
        <v>7720</v>
      </c>
      <c r="F46" s="54"/>
      <c r="G46" s="54"/>
      <c r="H46" s="64"/>
      <c r="I46" s="45" t="b">
        <f t="shared" si="0"/>
        <v>0</v>
      </c>
    </row>
    <row r="47" spans="1:9" ht="32.6">
      <c r="A47" s="121" t="s">
        <v>7726</v>
      </c>
      <c r="B47" s="121" t="s">
        <v>24</v>
      </c>
      <c r="C47" s="79" t="s">
        <v>7727</v>
      </c>
      <c r="D47" s="25" t="s">
        <v>7728</v>
      </c>
      <c r="E47" s="58" t="s">
        <v>7729</v>
      </c>
      <c r="F47" s="54"/>
      <c r="G47" s="54"/>
      <c r="H47" s="64"/>
      <c r="I47" s="45" t="b">
        <f t="shared" si="0"/>
        <v>0</v>
      </c>
    </row>
    <row r="48" spans="1:9" ht="130.44999999999999">
      <c r="A48" s="121" t="s">
        <v>7730</v>
      </c>
      <c r="B48" s="121" t="s">
        <v>24</v>
      </c>
      <c r="C48" s="111" t="s">
        <v>7731</v>
      </c>
      <c r="D48" s="25" t="s">
        <v>7733</v>
      </c>
      <c r="E48" s="25" t="s">
        <v>7735</v>
      </c>
      <c r="F48" s="54"/>
      <c r="G48" s="54"/>
      <c r="H48" s="64"/>
      <c r="I48" s="45" t="b">
        <f t="shared" si="0"/>
        <v>0</v>
      </c>
    </row>
    <row r="49" spans="1:9" ht="119.55">
      <c r="A49" s="121" t="s">
        <v>7739</v>
      </c>
      <c r="B49" s="121" t="s">
        <v>24</v>
      </c>
      <c r="C49" s="111" t="s">
        <v>7740</v>
      </c>
      <c r="D49" s="25" t="s">
        <v>7741</v>
      </c>
      <c r="E49" s="25" t="s">
        <v>7742</v>
      </c>
      <c r="F49" s="54"/>
      <c r="G49" s="54"/>
      <c r="H49" s="64"/>
      <c r="I49" s="45" t="b">
        <f t="shared" si="0"/>
        <v>0</v>
      </c>
    </row>
    <row r="50" spans="1:9" ht="76.099999999999994">
      <c r="A50" s="121" t="s">
        <v>7744</v>
      </c>
      <c r="B50" s="121" t="s">
        <v>24</v>
      </c>
      <c r="C50" s="79" t="s">
        <v>7746</v>
      </c>
      <c r="D50" s="54" t="s">
        <v>7749</v>
      </c>
      <c r="E50" s="25" t="s">
        <v>7750</v>
      </c>
      <c r="F50" s="54"/>
      <c r="G50" s="54"/>
      <c r="H50" s="64"/>
      <c r="I50" s="45" t="b">
        <f t="shared" si="0"/>
        <v>0</v>
      </c>
    </row>
    <row r="51" spans="1:9" ht="43.5">
      <c r="A51" s="121" t="s">
        <v>7751</v>
      </c>
      <c r="B51" s="121" t="s">
        <v>24</v>
      </c>
      <c r="C51" s="25" t="s">
        <v>7752</v>
      </c>
      <c r="D51" s="25" t="s">
        <v>7753</v>
      </c>
      <c r="E51" s="25" t="s">
        <v>7754</v>
      </c>
      <c r="F51" s="54"/>
      <c r="G51" s="54"/>
      <c r="H51" s="64"/>
      <c r="I51" s="45" t="b">
        <f t="shared" si="0"/>
        <v>0</v>
      </c>
    </row>
    <row r="52" spans="1:9" ht="12.9">
      <c r="A52" s="196"/>
      <c r="B52" s="168"/>
      <c r="C52" s="234"/>
      <c r="D52" s="24"/>
      <c r="E52" s="24"/>
      <c r="F52" s="24"/>
      <c r="G52" s="24"/>
      <c r="H52" s="24"/>
      <c r="I52" s="24"/>
    </row>
    <row r="53" spans="1:9" ht="15.65">
      <c r="A53" s="196"/>
      <c r="B53" s="168"/>
      <c r="C53" s="234"/>
      <c r="D53" s="24"/>
      <c r="E53" s="24"/>
      <c r="F53" s="24"/>
      <c r="G53" s="24"/>
      <c r="H53" s="24"/>
      <c r="I53" s="125">
        <f>SUM(I2:I51)</f>
        <v>0</v>
      </c>
    </row>
    <row r="54" spans="1:9" ht="12.9">
      <c r="A54" s="196"/>
      <c r="B54" s="168"/>
      <c r="C54" s="234"/>
      <c r="D54" s="24"/>
      <c r="E54" s="24"/>
      <c r="F54" s="24"/>
      <c r="G54" s="24"/>
      <c r="H54" s="24"/>
      <c r="I54" s="24"/>
    </row>
    <row r="55" spans="1:9" ht="12.9">
      <c r="A55" s="196"/>
      <c r="B55" s="168"/>
      <c r="C55" s="234"/>
      <c r="D55" s="24"/>
      <c r="E55" s="24"/>
      <c r="F55" s="24"/>
      <c r="G55" s="24"/>
      <c r="H55" s="24"/>
      <c r="I55" s="24"/>
    </row>
    <row r="56" spans="1:9" ht="12.9">
      <c r="A56" s="196"/>
      <c r="B56" s="168"/>
      <c r="C56" s="234"/>
      <c r="D56" s="24"/>
      <c r="E56" s="24"/>
      <c r="F56" s="24"/>
      <c r="G56" s="24"/>
      <c r="H56" s="24"/>
      <c r="I56" s="24"/>
    </row>
    <row r="57" spans="1:9" ht="12.9">
      <c r="A57" s="196"/>
      <c r="B57" s="168"/>
      <c r="C57" s="234"/>
      <c r="D57" s="24"/>
      <c r="E57" s="24"/>
      <c r="F57" s="24"/>
      <c r="G57" s="24"/>
      <c r="H57" s="24"/>
      <c r="I57" s="24"/>
    </row>
    <row r="58" spans="1:9" ht="12.9">
      <c r="A58" s="196"/>
      <c r="B58" s="168"/>
      <c r="C58" s="234"/>
      <c r="D58" s="24"/>
      <c r="E58" s="24"/>
      <c r="F58" s="24"/>
      <c r="G58" s="24"/>
      <c r="H58" s="24"/>
      <c r="I58" s="24"/>
    </row>
    <row r="59" spans="1:9" ht="12.9">
      <c r="A59" s="196"/>
      <c r="B59" s="168"/>
      <c r="C59" s="234"/>
      <c r="D59" s="24"/>
      <c r="E59" s="24"/>
      <c r="F59" s="24"/>
      <c r="G59" s="24"/>
      <c r="H59" s="24"/>
      <c r="I59" s="24"/>
    </row>
    <row r="60" spans="1:9" ht="12.9">
      <c r="A60" s="196"/>
      <c r="B60" s="168"/>
      <c r="C60" s="234"/>
      <c r="D60" s="24"/>
      <c r="E60" s="24"/>
      <c r="F60" s="24"/>
      <c r="G60" s="24"/>
      <c r="H60" s="24"/>
      <c r="I60" s="2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x14:formula1>
            <xm:f>'Self Assessment Total Score'!$C$18:$C$21</xm:f>
          </x14:formula1>
          <xm:sqref>H2:H51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137"/>
  <sheetViews>
    <sheetView topLeftCell="B1" workbookViewId="0">
      <pane ySplit="1" topLeftCell="A77" activePane="bottomLeft" state="frozen"/>
      <selection pane="bottomLeft" activeCell="J78" sqref="J78"/>
    </sheetView>
  </sheetViews>
  <sheetFormatPr defaultColWidth="14.375" defaultRowHeight="15.8" customHeight="1"/>
  <cols>
    <col min="2" max="3" width="16.25" customWidth="1"/>
    <col min="4" max="4" width="37.875" customWidth="1"/>
    <col min="5" max="5" width="37.75" customWidth="1"/>
    <col min="6" max="6" width="36" customWidth="1"/>
    <col min="7" max="7" width="15.625" customWidth="1"/>
    <col min="8" max="8" width="16.25" customWidth="1"/>
    <col min="9" max="9" width="15.25" customWidth="1"/>
    <col min="10" max="10" width="29" customWidth="1"/>
    <col min="11" max="11" width="15" customWidth="1"/>
    <col min="12" max="12" width="29.875" customWidth="1"/>
    <col min="13" max="14" width="43.625" customWidth="1"/>
  </cols>
  <sheetData>
    <row r="1" spans="1:29" ht="32.6">
      <c r="A1" s="23" t="s">
        <v>7362</v>
      </c>
      <c r="B1" s="23" t="s">
        <v>3443</v>
      </c>
      <c r="C1" s="23" t="s">
        <v>7617</v>
      </c>
      <c r="D1" s="23" t="s">
        <v>3444</v>
      </c>
      <c r="E1" s="23" t="s">
        <v>36</v>
      </c>
      <c r="F1" s="23" t="s">
        <v>39</v>
      </c>
      <c r="G1" s="25" t="s">
        <v>7618</v>
      </c>
      <c r="H1" s="23" t="s">
        <v>3445</v>
      </c>
      <c r="I1" s="23" t="s">
        <v>3446</v>
      </c>
      <c r="J1" s="135" t="s">
        <v>44</v>
      </c>
      <c r="K1" s="135" t="s">
        <v>46</v>
      </c>
      <c r="L1" s="24"/>
      <c r="M1" s="24"/>
      <c r="N1" s="24"/>
      <c r="O1" s="24"/>
      <c r="P1" s="24"/>
      <c r="Q1" s="24"/>
      <c r="R1" s="24"/>
      <c r="S1" s="24"/>
      <c r="T1" s="24"/>
      <c r="U1" s="24"/>
      <c r="V1" s="24"/>
      <c r="W1" s="24"/>
      <c r="X1" s="24"/>
      <c r="Y1" s="24"/>
      <c r="Z1" s="24"/>
      <c r="AA1" s="24"/>
      <c r="AB1" s="24"/>
      <c r="AC1" s="21"/>
    </row>
    <row r="2" spans="1:29" ht="65.25">
      <c r="A2" s="121" t="s">
        <v>7623</v>
      </c>
      <c r="B2" s="121" t="s">
        <v>26</v>
      </c>
      <c r="C2" s="121" t="s">
        <v>7625</v>
      </c>
      <c r="D2" s="79" t="s">
        <v>7627</v>
      </c>
      <c r="E2" s="25" t="s">
        <v>7629</v>
      </c>
      <c r="F2" s="58" t="s">
        <v>7631</v>
      </c>
      <c r="G2" s="25"/>
      <c r="H2" s="230"/>
      <c r="I2" s="232"/>
      <c r="J2" s="64"/>
      <c r="K2" s="45" t="b">
        <f t="shared" ref="K2:K81" si="0">IF(AND(J2="Meet the requirements traceability “out of the box”"), 10, IF(AND(J2="Can meet the requirements traceability with configuration or through the use of another commercial product “out of the box” or other arrangement as part of the service offering quoted (i.e. at no additional cost)"), 8, IF(AND(J2="Can meet the requirements traceability with customization at additional cost"), 3, IF(AND(J2="Cannot meet the requirements traceability requirement"), 0))))</f>
        <v>0</v>
      </c>
      <c r="L2" s="165"/>
      <c r="M2" s="70"/>
      <c r="N2" s="70"/>
      <c r="O2" s="70"/>
      <c r="P2" s="24"/>
      <c r="Q2" s="24"/>
      <c r="R2" s="24"/>
      <c r="S2" s="24"/>
      <c r="T2" s="24"/>
      <c r="U2" s="24"/>
      <c r="V2" s="24"/>
      <c r="W2" s="24"/>
      <c r="X2" s="24"/>
      <c r="Y2" s="24"/>
      <c r="Z2" s="24"/>
      <c r="AA2" s="24"/>
      <c r="AB2" s="24"/>
      <c r="AC2" s="24"/>
    </row>
    <row r="3" spans="1:29" ht="76.099999999999994">
      <c r="A3" s="121" t="s">
        <v>7649</v>
      </c>
      <c r="B3" s="121" t="s">
        <v>26</v>
      </c>
      <c r="C3" s="121" t="s">
        <v>7625</v>
      </c>
      <c r="D3" s="79" t="s">
        <v>7653</v>
      </c>
      <c r="E3" s="25" t="s">
        <v>7654</v>
      </c>
      <c r="F3" s="58" t="s">
        <v>7655</v>
      </c>
      <c r="G3" s="25"/>
      <c r="H3" s="141" t="str">
        <f>HYPERLINK("https://www.whitehouse.gov/wp-content/uploads/2019/03/M-19-13.pdf","M-19-13: Category Management: Making Smarter Use of Common Contract Solutions and Practices")</f>
        <v>M-19-13: Category Management: Making Smarter Use of Common Contract Solutions and Practices</v>
      </c>
      <c r="I3" s="233" t="str">
        <f>HYPERLINK("https://www.acquisition.gov/content/part-501-general-services-administration-acquisition-regulation-system#GERXAHSB","GSAM 501.670")</f>
        <v>GSAM 501.670</v>
      </c>
      <c r="J3" s="64"/>
      <c r="K3" s="45" t="b">
        <f t="shared" si="0"/>
        <v>0</v>
      </c>
      <c r="L3" s="165"/>
      <c r="M3" s="70"/>
      <c r="N3" s="70"/>
      <c r="O3" s="24"/>
      <c r="P3" s="24"/>
      <c r="Q3" s="24"/>
      <c r="R3" s="24"/>
      <c r="S3" s="24"/>
      <c r="T3" s="24"/>
      <c r="U3" s="24"/>
      <c r="V3" s="24"/>
      <c r="W3" s="24"/>
      <c r="X3" s="24"/>
      <c r="Y3" s="24"/>
      <c r="Z3" s="24"/>
      <c r="AA3" s="24"/>
      <c r="AB3" s="24"/>
      <c r="AC3" s="24"/>
    </row>
    <row r="4" spans="1:29" ht="54.35">
      <c r="A4" s="121" t="s">
        <v>7676</v>
      </c>
      <c r="B4" s="121" t="s">
        <v>26</v>
      </c>
      <c r="C4" s="121" t="s">
        <v>7625</v>
      </c>
      <c r="D4" s="79" t="s">
        <v>7677</v>
      </c>
      <c r="E4" s="25" t="s">
        <v>7678</v>
      </c>
      <c r="F4" s="58" t="s">
        <v>7679</v>
      </c>
      <c r="G4" s="25"/>
      <c r="H4" s="230"/>
      <c r="I4" s="232"/>
      <c r="J4" s="64"/>
      <c r="K4" s="45" t="b">
        <f t="shared" si="0"/>
        <v>0</v>
      </c>
      <c r="L4" s="165"/>
      <c r="M4" s="164"/>
      <c r="N4" s="164"/>
      <c r="O4" s="24"/>
      <c r="P4" s="24"/>
      <c r="Q4" s="24"/>
      <c r="R4" s="24"/>
      <c r="S4" s="24"/>
      <c r="T4" s="24"/>
      <c r="U4" s="24"/>
      <c r="V4" s="24"/>
      <c r="W4" s="24"/>
      <c r="X4" s="24"/>
      <c r="Y4" s="24"/>
      <c r="Z4" s="24"/>
      <c r="AA4" s="24"/>
      <c r="AB4" s="24"/>
      <c r="AC4" s="24"/>
    </row>
    <row r="5" spans="1:29" ht="4.5999999999999996" customHeight="1">
      <c r="A5" s="121" t="s">
        <v>7680</v>
      </c>
      <c r="B5" s="121" t="s">
        <v>26</v>
      </c>
      <c r="C5" s="121" t="s">
        <v>7681</v>
      </c>
      <c r="D5" s="79" t="s">
        <v>7682</v>
      </c>
      <c r="E5" s="25" t="s">
        <v>7684</v>
      </c>
      <c r="F5" s="58" t="s">
        <v>7685</v>
      </c>
      <c r="G5" s="25"/>
      <c r="H5" s="230"/>
      <c r="I5" s="232"/>
      <c r="J5" s="64"/>
      <c r="K5" s="45" t="b">
        <f t="shared" si="0"/>
        <v>0</v>
      </c>
      <c r="L5" s="24"/>
      <c r="M5" s="24"/>
      <c r="N5" s="24"/>
      <c r="O5" s="24"/>
      <c r="P5" s="24"/>
      <c r="Q5" s="24"/>
      <c r="R5" s="24"/>
      <c r="S5" s="24"/>
      <c r="T5" s="24"/>
      <c r="U5" s="24"/>
      <c r="V5" s="24"/>
      <c r="W5" s="24"/>
      <c r="X5" s="24"/>
      <c r="Y5" s="24"/>
      <c r="Z5" s="24"/>
      <c r="AA5" s="24"/>
      <c r="AB5" s="24"/>
      <c r="AC5" s="24"/>
    </row>
    <row r="6" spans="1:29" ht="54.35">
      <c r="A6" s="121" t="s">
        <v>7689</v>
      </c>
      <c r="B6" s="121" t="s">
        <v>26</v>
      </c>
      <c r="C6" s="121" t="s">
        <v>7681</v>
      </c>
      <c r="D6" s="79" t="s">
        <v>7690</v>
      </c>
      <c r="E6" s="25" t="s">
        <v>7691</v>
      </c>
      <c r="F6" s="58" t="s">
        <v>7692</v>
      </c>
      <c r="G6" s="25"/>
      <c r="H6" s="230"/>
      <c r="I6" s="232"/>
      <c r="J6" s="64"/>
      <c r="K6" s="45" t="b">
        <f t="shared" si="0"/>
        <v>0</v>
      </c>
      <c r="L6" s="165"/>
      <c r="M6" s="70"/>
      <c r="N6" s="70"/>
      <c r="O6" s="24"/>
      <c r="P6" s="24"/>
      <c r="Q6" s="24"/>
      <c r="R6" s="24"/>
      <c r="S6" s="24"/>
      <c r="T6" s="24"/>
      <c r="U6" s="24"/>
      <c r="V6" s="24"/>
      <c r="W6" s="24"/>
      <c r="X6" s="24"/>
      <c r="Y6" s="24"/>
      <c r="Z6" s="24"/>
      <c r="AA6" s="24"/>
      <c r="AB6" s="24"/>
      <c r="AC6" s="24"/>
    </row>
    <row r="7" spans="1:29" ht="43.5">
      <c r="A7" s="121" t="s">
        <v>7697</v>
      </c>
      <c r="B7" s="121" t="s">
        <v>26</v>
      </c>
      <c r="C7" s="121" t="s">
        <v>7681</v>
      </c>
      <c r="D7" s="79" t="s">
        <v>7698</v>
      </c>
      <c r="E7" s="25" t="s">
        <v>7699</v>
      </c>
      <c r="F7" s="58" t="s">
        <v>7700</v>
      </c>
      <c r="G7" s="25"/>
      <c r="H7" s="57" t="str">
        <f>HYPERLINK("https://www.acquisition.gov/content/part-9-contractor-qualifications#i1115236","FAR 9.405(d) Effect of listing [debarment, suspension, and ineligibility]")</f>
        <v>FAR 9.405(d) Effect of listing [debarment, suspension, and ineligibility]</v>
      </c>
      <c r="I7" s="57" t="str">
        <f>HYPERLINK("https://www.acquisition.gov/sites/default/files/current/gsam/html/Part509.html#wp1859653","GSAR 509.405")</f>
        <v>GSAR 509.405</v>
      </c>
      <c r="J7" s="64"/>
      <c r="K7" s="45" t="b">
        <f t="shared" si="0"/>
        <v>0</v>
      </c>
      <c r="L7" s="165"/>
      <c r="M7" s="70"/>
      <c r="N7" s="70"/>
      <c r="O7" s="24"/>
      <c r="P7" s="24"/>
      <c r="Q7" s="24"/>
      <c r="R7" s="24"/>
      <c r="S7" s="24"/>
      <c r="T7" s="24"/>
      <c r="U7" s="24"/>
      <c r="V7" s="24"/>
      <c r="W7" s="24"/>
      <c r="X7" s="24"/>
      <c r="Y7" s="24"/>
      <c r="Z7" s="24"/>
      <c r="AA7" s="24"/>
      <c r="AB7" s="24"/>
      <c r="AC7" s="24"/>
    </row>
    <row r="8" spans="1:29" ht="108.7">
      <c r="A8" s="121" t="s">
        <v>7709</v>
      </c>
      <c r="B8" s="121" t="s">
        <v>26</v>
      </c>
      <c r="C8" s="121" t="s">
        <v>7681</v>
      </c>
      <c r="D8" s="79" t="s">
        <v>7710</v>
      </c>
      <c r="E8" s="25" t="s">
        <v>7711</v>
      </c>
      <c r="F8" s="58" t="s">
        <v>7712</v>
      </c>
      <c r="G8" s="25"/>
      <c r="H8" s="141" t="str">
        <f>HYPERLINK("https://pages.nist.gov/800-63-3/","NIST SP 800-63")</f>
        <v>NIST SP 800-63</v>
      </c>
      <c r="I8" s="232"/>
      <c r="J8" s="64"/>
      <c r="K8" s="45" t="b">
        <f t="shared" si="0"/>
        <v>0</v>
      </c>
      <c r="L8" s="165"/>
      <c r="M8" s="70"/>
      <c r="N8" s="70"/>
      <c r="O8" s="24"/>
      <c r="P8" s="24"/>
      <c r="Q8" s="24"/>
      <c r="R8" s="24"/>
      <c r="S8" s="24"/>
      <c r="T8" s="24"/>
      <c r="U8" s="24"/>
      <c r="V8" s="24"/>
      <c r="W8" s="24"/>
      <c r="X8" s="24"/>
      <c r="Y8" s="24"/>
      <c r="Z8" s="24"/>
      <c r="AA8" s="24"/>
      <c r="AB8" s="24"/>
      <c r="AC8" s="24"/>
    </row>
    <row r="9" spans="1:29" ht="43.5">
      <c r="A9" s="121" t="s">
        <v>7713</v>
      </c>
      <c r="B9" s="121" t="s">
        <v>26</v>
      </c>
      <c r="C9" s="121" t="s">
        <v>7681</v>
      </c>
      <c r="D9" s="79" t="s">
        <v>7714</v>
      </c>
      <c r="E9" s="85" t="s">
        <v>7715</v>
      </c>
      <c r="F9" s="58" t="s">
        <v>7716</v>
      </c>
      <c r="G9" s="25"/>
      <c r="H9" s="230"/>
      <c r="I9" s="232"/>
      <c r="J9" s="64"/>
      <c r="K9" s="45" t="b">
        <f t="shared" si="0"/>
        <v>0</v>
      </c>
      <c r="L9" s="165"/>
      <c r="M9" s="70"/>
      <c r="N9" s="70"/>
      <c r="O9" s="24"/>
      <c r="P9" s="24"/>
      <c r="Q9" s="24"/>
      <c r="R9" s="24"/>
      <c r="S9" s="24"/>
      <c r="T9" s="24"/>
      <c r="U9" s="24"/>
      <c r="V9" s="24"/>
      <c r="W9" s="24"/>
      <c r="X9" s="24"/>
      <c r="Y9" s="24"/>
      <c r="Z9" s="24"/>
      <c r="AA9" s="24"/>
      <c r="AB9" s="24"/>
      <c r="AC9" s="24"/>
    </row>
    <row r="10" spans="1:29" ht="4.5999999999999996" customHeight="1">
      <c r="A10" s="121" t="s">
        <v>7721</v>
      </c>
      <c r="B10" s="121" t="s">
        <v>26</v>
      </c>
      <c r="C10" s="121" t="s">
        <v>7722</v>
      </c>
      <c r="D10" s="25" t="s">
        <v>7723</v>
      </c>
      <c r="E10" s="79" t="s">
        <v>7724</v>
      </c>
      <c r="F10" s="58" t="s">
        <v>7725</v>
      </c>
      <c r="G10" s="85"/>
      <c r="H10" s="230"/>
      <c r="I10" s="232"/>
      <c r="J10" s="64"/>
      <c r="K10" s="45" t="b">
        <f t="shared" si="0"/>
        <v>0</v>
      </c>
      <c r="L10" s="24"/>
      <c r="M10" s="24"/>
      <c r="N10" s="24"/>
      <c r="O10" s="24"/>
      <c r="P10" s="24"/>
      <c r="Q10" s="24"/>
      <c r="R10" s="24"/>
      <c r="S10" s="24"/>
      <c r="T10" s="24"/>
      <c r="U10" s="24"/>
      <c r="V10" s="24"/>
      <c r="W10" s="24"/>
      <c r="X10" s="24"/>
      <c r="Y10" s="24"/>
      <c r="Z10" s="24"/>
      <c r="AA10" s="24"/>
      <c r="AB10" s="24"/>
      <c r="AC10" s="24"/>
    </row>
    <row r="11" spans="1:29" ht="54.35">
      <c r="A11" s="121" t="s">
        <v>7732</v>
      </c>
      <c r="B11" s="121" t="s">
        <v>26</v>
      </c>
      <c r="C11" s="121" t="s">
        <v>7734</v>
      </c>
      <c r="D11" s="85" t="s">
        <v>7736</v>
      </c>
      <c r="E11" s="25" t="s">
        <v>7737</v>
      </c>
      <c r="F11" s="58" t="s">
        <v>7738</v>
      </c>
      <c r="G11" s="25"/>
      <c r="H11" s="230"/>
      <c r="I11" s="232"/>
      <c r="J11" s="64"/>
      <c r="K11" s="45" t="b">
        <f t="shared" si="0"/>
        <v>0</v>
      </c>
      <c r="L11" s="165"/>
      <c r="M11" s="70"/>
      <c r="N11" s="70"/>
      <c r="O11" s="24"/>
      <c r="P11" s="24"/>
      <c r="Q11" s="24"/>
      <c r="R11" s="24"/>
      <c r="S11" s="24"/>
      <c r="T11" s="24"/>
      <c r="U11" s="24"/>
      <c r="V11" s="24"/>
      <c r="W11" s="24"/>
      <c r="X11" s="24"/>
      <c r="Y11" s="24"/>
      <c r="Z11" s="24"/>
      <c r="AA11" s="24"/>
      <c r="AB11" s="24"/>
      <c r="AC11" s="24"/>
    </row>
    <row r="12" spans="1:29" ht="32.6">
      <c r="A12" s="121" t="s">
        <v>7743</v>
      </c>
      <c r="B12" s="121" t="s">
        <v>26</v>
      </c>
      <c r="C12" s="121" t="s">
        <v>7734</v>
      </c>
      <c r="D12" s="39" t="s">
        <v>7745</v>
      </c>
      <c r="E12" s="25" t="s">
        <v>7747</v>
      </c>
      <c r="F12" s="58" t="s">
        <v>7748</v>
      </c>
      <c r="G12" s="25"/>
      <c r="H12" s="230"/>
      <c r="I12" s="232"/>
      <c r="J12" s="64"/>
      <c r="K12" s="45" t="b">
        <f t="shared" si="0"/>
        <v>0</v>
      </c>
      <c r="L12" s="165"/>
      <c r="M12" s="70"/>
      <c r="N12" s="70"/>
      <c r="O12" s="24"/>
      <c r="P12" s="24"/>
      <c r="Q12" s="24"/>
      <c r="R12" s="24"/>
      <c r="S12" s="24"/>
      <c r="T12" s="24"/>
      <c r="U12" s="24"/>
      <c r="V12" s="24"/>
      <c r="W12" s="24"/>
      <c r="X12" s="24"/>
      <c r="Y12" s="24"/>
      <c r="Z12" s="24"/>
      <c r="AA12" s="24"/>
      <c r="AB12" s="24"/>
      <c r="AC12" s="24"/>
    </row>
    <row r="13" spans="1:29" ht="32.6">
      <c r="A13" s="121" t="s">
        <v>7755</v>
      </c>
      <c r="B13" s="121" t="s">
        <v>26</v>
      </c>
      <c r="C13" s="121" t="s">
        <v>7734</v>
      </c>
      <c r="D13" s="39" t="s">
        <v>7756</v>
      </c>
      <c r="E13" s="85" t="s">
        <v>7757</v>
      </c>
      <c r="F13" s="58" t="s">
        <v>7758</v>
      </c>
      <c r="G13" s="25"/>
      <c r="H13" s="230"/>
      <c r="I13" s="232"/>
      <c r="J13" s="64"/>
      <c r="K13" s="45" t="b">
        <f t="shared" si="0"/>
        <v>0</v>
      </c>
      <c r="L13" s="165"/>
      <c r="M13" s="70"/>
      <c r="N13" s="70"/>
      <c r="O13" s="24"/>
      <c r="P13" s="24"/>
      <c r="Q13" s="24"/>
      <c r="R13" s="24"/>
      <c r="S13" s="24"/>
      <c r="T13" s="24"/>
      <c r="U13" s="24"/>
      <c r="V13" s="24"/>
      <c r="W13" s="24"/>
      <c r="X13" s="24"/>
      <c r="Y13" s="24"/>
      <c r="Z13" s="24"/>
      <c r="AA13" s="24"/>
      <c r="AB13" s="24"/>
      <c r="AC13" s="24"/>
    </row>
    <row r="14" spans="1:29" ht="43.5">
      <c r="A14" s="121" t="s">
        <v>7759</v>
      </c>
      <c r="B14" s="121" t="s">
        <v>26</v>
      </c>
      <c r="C14" s="121" t="s">
        <v>7734</v>
      </c>
      <c r="D14" s="39" t="s">
        <v>7760</v>
      </c>
      <c r="E14" s="25" t="s">
        <v>7761</v>
      </c>
      <c r="F14" s="58" t="s">
        <v>7762</v>
      </c>
      <c r="G14" s="231"/>
      <c r="H14" s="230"/>
      <c r="I14" s="232"/>
      <c r="J14" s="64"/>
      <c r="K14" s="45" t="b">
        <f t="shared" si="0"/>
        <v>0</v>
      </c>
      <c r="L14" s="165"/>
      <c r="M14" s="70"/>
      <c r="N14" s="70"/>
      <c r="O14" s="24"/>
      <c r="P14" s="24"/>
      <c r="Q14" s="24"/>
      <c r="R14" s="24"/>
      <c r="S14" s="24"/>
      <c r="T14" s="24"/>
      <c r="U14" s="24"/>
      <c r="V14" s="24"/>
      <c r="W14" s="24"/>
      <c r="X14" s="24"/>
      <c r="Y14" s="24"/>
      <c r="Z14" s="24"/>
      <c r="AA14" s="24"/>
      <c r="AB14" s="24"/>
      <c r="AC14" s="24"/>
    </row>
    <row r="15" spans="1:29" ht="54.35">
      <c r="A15" s="121" t="s">
        <v>7763</v>
      </c>
      <c r="B15" s="121" t="s">
        <v>26</v>
      </c>
      <c r="C15" s="121" t="s">
        <v>7734</v>
      </c>
      <c r="D15" s="85" t="s">
        <v>7764</v>
      </c>
      <c r="E15" s="25" t="s">
        <v>7765</v>
      </c>
      <c r="F15" s="58" t="s">
        <v>7766</v>
      </c>
      <c r="G15" s="25"/>
      <c r="H15" s="230"/>
      <c r="I15" s="232"/>
      <c r="J15" s="64"/>
      <c r="K15" s="45" t="b">
        <f t="shared" si="0"/>
        <v>0</v>
      </c>
      <c r="L15" s="165"/>
      <c r="M15" s="70"/>
      <c r="N15" s="70"/>
      <c r="O15" s="24"/>
      <c r="P15" s="24"/>
      <c r="Q15" s="24"/>
      <c r="R15" s="24"/>
      <c r="S15" s="24"/>
      <c r="T15" s="24"/>
      <c r="U15" s="24"/>
      <c r="V15" s="24"/>
      <c r="W15" s="24"/>
      <c r="X15" s="24"/>
      <c r="Y15" s="24"/>
      <c r="Z15" s="24"/>
      <c r="AA15" s="24"/>
      <c r="AB15" s="24"/>
      <c r="AC15" s="24"/>
    </row>
    <row r="16" spans="1:29" ht="54.35">
      <c r="A16" s="121" t="s">
        <v>7767</v>
      </c>
      <c r="B16" s="121" t="s">
        <v>26</v>
      </c>
      <c r="C16" s="121" t="s">
        <v>7768</v>
      </c>
      <c r="D16" s="66" t="s">
        <v>7769</v>
      </c>
      <c r="E16" s="85" t="s">
        <v>7770</v>
      </c>
      <c r="F16" s="58" t="s">
        <v>7771</v>
      </c>
      <c r="G16" s="79"/>
      <c r="H16" s="230"/>
      <c r="I16" s="232"/>
      <c r="J16" s="64"/>
      <c r="K16" s="45" t="b">
        <f t="shared" si="0"/>
        <v>0</v>
      </c>
      <c r="L16" s="165"/>
      <c r="M16" s="70"/>
      <c r="N16" s="70"/>
      <c r="O16" s="24"/>
      <c r="P16" s="24"/>
      <c r="Q16" s="24"/>
      <c r="R16" s="24"/>
      <c r="S16" s="24"/>
      <c r="T16" s="24"/>
      <c r="U16" s="24"/>
      <c r="V16" s="24"/>
      <c r="W16" s="24"/>
      <c r="X16" s="24"/>
      <c r="Y16" s="24"/>
      <c r="Z16" s="24"/>
      <c r="AA16" s="24"/>
      <c r="AB16" s="24"/>
      <c r="AC16" s="24"/>
    </row>
    <row r="17" spans="1:29" ht="43.5">
      <c r="A17" s="121" t="s">
        <v>7772</v>
      </c>
      <c r="B17" s="121" t="s">
        <v>26</v>
      </c>
      <c r="C17" s="121" t="s">
        <v>7768</v>
      </c>
      <c r="D17" s="66" t="s">
        <v>7773</v>
      </c>
      <c r="E17" s="58" t="s">
        <v>7774</v>
      </c>
      <c r="F17" s="58" t="s">
        <v>7775</v>
      </c>
      <c r="G17" s="79"/>
      <c r="H17" s="230"/>
      <c r="I17" s="232"/>
      <c r="J17" s="64"/>
      <c r="K17" s="45" t="b">
        <f t="shared" si="0"/>
        <v>0</v>
      </c>
      <c r="L17" s="165"/>
      <c r="M17" s="70"/>
      <c r="N17" s="70"/>
      <c r="O17" s="24"/>
      <c r="P17" s="24"/>
      <c r="Q17" s="24"/>
      <c r="R17" s="24"/>
      <c r="S17" s="24"/>
      <c r="T17" s="24"/>
      <c r="U17" s="24"/>
      <c r="V17" s="24"/>
      <c r="W17" s="24"/>
      <c r="X17" s="24"/>
      <c r="Y17" s="24"/>
      <c r="Z17" s="24"/>
      <c r="AA17" s="24"/>
      <c r="AB17" s="24"/>
      <c r="AC17" s="24"/>
    </row>
    <row r="18" spans="1:29" ht="65.25">
      <c r="A18" s="121" t="s">
        <v>7776</v>
      </c>
      <c r="B18" s="121" t="s">
        <v>26</v>
      </c>
      <c r="C18" s="121" t="s">
        <v>7768</v>
      </c>
      <c r="D18" s="66" t="s">
        <v>7777</v>
      </c>
      <c r="E18" s="85" t="s">
        <v>7778</v>
      </c>
      <c r="F18" s="25" t="s">
        <v>7779</v>
      </c>
      <c r="G18" s="79"/>
      <c r="H18" s="235"/>
      <c r="I18" s="235"/>
      <c r="J18" s="64"/>
      <c r="K18" s="45" t="b">
        <f t="shared" si="0"/>
        <v>0</v>
      </c>
      <c r="L18" s="165"/>
      <c r="M18" s="70"/>
      <c r="N18" s="70"/>
      <c r="O18" s="24"/>
      <c r="P18" s="24"/>
      <c r="Q18" s="24"/>
      <c r="R18" s="24"/>
      <c r="S18" s="24"/>
      <c r="T18" s="24"/>
      <c r="U18" s="24"/>
      <c r="V18" s="24"/>
      <c r="W18" s="24"/>
      <c r="X18" s="24"/>
      <c r="Y18" s="24"/>
      <c r="Z18" s="24"/>
      <c r="AA18" s="24"/>
      <c r="AB18" s="24"/>
      <c r="AC18" s="24"/>
    </row>
    <row r="19" spans="1:29" ht="108.7">
      <c r="A19" s="121" t="s">
        <v>7780</v>
      </c>
      <c r="B19" s="121" t="s">
        <v>26</v>
      </c>
      <c r="C19" s="121" t="s">
        <v>7781</v>
      </c>
      <c r="D19" s="39" t="s">
        <v>7782</v>
      </c>
      <c r="E19" s="85" t="s">
        <v>7783</v>
      </c>
      <c r="F19" s="58" t="s">
        <v>7784</v>
      </c>
      <c r="G19" s="79"/>
      <c r="H19" s="235"/>
      <c r="I19" s="235"/>
      <c r="J19" s="64"/>
      <c r="K19" s="45" t="b">
        <f t="shared" si="0"/>
        <v>0</v>
      </c>
      <c r="L19" s="165"/>
      <c r="M19" s="70"/>
      <c r="N19" s="70"/>
      <c r="O19" s="24"/>
      <c r="P19" s="24"/>
      <c r="Q19" s="24"/>
      <c r="R19" s="24"/>
      <c r="S19" s="24"/>
      <c r="T19" s="24"/>
      <c r="U19" s="24"/>
      <c r="V19" s="24"/>
      <c r="W19" s="24"/>
      <c r="X19" s="24"/>
      <c r="Y19" s="24"/>
      <c r="Z19" s="24"/>
      <c r="AA19" s="24"/>
      <c r="AB19" s="24"/>
      <c r="AC19" s="24"/>
    </row>
    <row r="20" spans="1:29" ht="65.25">
      <c r="A20" s="121" t="s">
        <v>7785</v>
      </c>
      <c r="B20" s="121" t="s">
        <v>26</v>
      </c>
      <c r="C20" s="121" t="s">
        <v>7781</v>
      </c>
      <c r="D20" s="39" t="s">
        <v>7786</v>
      </c>
      <c r="E20" s="85" t="s">
        <v>7787</v>
      </c>
      <c r="F20" s="58" t="s">
        <v>7788</v>
      </c>
      <c r="G20" s="79"/>
      <c r="H20" s="235"/>
      <c r="I20" s="235"/>
      <c r="J20" s="64"/>
      <c r="K20" s="45" t="b">
        <f t="shared" si="0"/>
        <v>0</v>
      </c>
      <c r="L20" s="165"/>
      <c r="M20" s="70"/>
      <c r="N20" s="70"/>
      <c r="O20" s="24"/>
      <c r="P20" s="24"/>
      <c r="Q20" s="24"/>
      <c r="R20" s="24"/>
      <c r="S20" s="24"/>
      <c r="T20" s="24"/>
      <c r="U20" s="24"/>
      <c r="V20" s="24"/>
      <c r="W20" s="24"/>
      <c r="X20" s="24"/>
      <c r="Y20" s="24"/>
      <c r="Z20" s="24"/>
      <c r="AA20" s="24"/>
      <c r="AB20" s="24"/>
      <c r="AC20" s="24"/>
    </row>
    <row r="21" spans="1:29" ht="54.35">
      <c r="A21" s="121" t="s">
        <v>7789</v>
      </c>
      <c r="B21" s="121" t="s">
        <v>26</v>
      </c>
      <c r="C21" s="121" t="s">
        <v>7781</v>
      </c>
      <c r="D21" s="66" t="s">
        <v>7790</v>
      </c>
      <c r="E21" s="85" t="s">
        <v>7791</v>
      </c>
      <c r="F21" s="58" t="s">
        <v>7792</v>
      </c>
      <c r="G21" s="79"/>
      <c r="H21" s="235"/>
      <c r="I21" s="235"/>
      <c r="J21" s="64"/>
      <c r="K21" s="45" t="b">
        <f t="shared" si="0"/>
        <v>0</v>
      </c>
      <c r="L21" s="165"/>
      <c r="M21" s="70"/>
      <c r="N21" s="70"/>
      <c r="O21" s="24"/>
      <c r="P21" s="24"/>
      <c r="Q21" s="24"/>
      <c r="R21" s="24"/>
      <c r="S21" s="24"/>
      <c r="T21" s="24"/>
      <c r="U21" s="24"/>
      <c r="V21" s="24"/>
      <c r="W21" s="24"/>
      <c r="X21" s="24"/>
      <c r="Y21" s="24"/>
      <c r="Z21" s="24"/>
      <c r="AA21" s="24"/>
      <c r="AB21" s="24"/>
      <c r="AC21" s="24"/>
    </row>
    <row r="22" spans="1:29" ht="97.85">
      <c r="A22" s="121" t="s">
        <v>7793</v>
      </c>
      <c r="B22" s="121" t="s">
        <v>26</v>
      </c>
      <c r="C22" s="121" t="s">
        <v>7794</v>
      </c>
      <c r="D22" s="39" t="s">
        <v>7795</v>
      </c>
      <c r="E22" s="25" t="s">
        <v>7796</v>
      </c>
      <c r="F22" s="58" t="s">
        <v>7797</v>
      </c>
      <c r="G22" s="79"/>
      <c r="H22" s="235"/>
      <c r="I22" s="235"/>
      <c r="J22" s="64"/>
      <c r="K22" s="45" t="b">
        <f t="shared" si="0"/>
        <v>0</v>
      </c>
      <c r="L22" s="165"/>
      <c r="M22" s="70"/>
      <c r="N22" s="70"/>
      <c r="O22" s="24"/>
      <c r="P22" s="24"/>
      <c r="Q22" s="24"/>
      <c r="R22" s="24"/>
      <c r="S22" s="24"/>
      <c r="T22" s="24"/>
      <c r="U22" s="24"/>
      <c r="V22" s="24"/>
      <c r="W22" s="24"/>
      <c r="X22" s="24"/>
      <c r="Y22" s="24"/>
      <c r="Z22" s="24"/>
      <c r="AA22" s="24"/>
      <c r="AB22" s="24"/>
      <c r="AC22" s="24"/>
    </row>
    <row r="23" spans="1:29" ht="209.25">
      <c r="A23" s="121" t="s">
        <v>7798</v>
      </c>
      <c r="B23" s="121" t="s">
        <v>26</v>
      </c>
      <c r="C23" s="121" t="s">
        <v>7794</v>
      </c>
      <c r="D23" s="66" t="s">
        <v>7799</v>
      </c>
      <c r="E23" s="85" t="s">
        <v>7800</v>
      </c>
      <c r="F23" s="39" t="s">
        <v>7801</v>
      </c>
      <c r="G23" s="79"/>
      <c r="H23" s="235"/>
      <c r="I23" s="235"/>
      <c r="J23" s="64"/>
      <c r="K23" s="45" t="b">
        <f t="shared" si="0"/>
        <v>0</v>
      </c>
      <c r="L23" s="165"/>
      <c r="M23" s="70"/>
      <c r="N23" s="70"/>
      <c r="O23" s="24"/>
      <c r="P23" s="24"/>
      <c r="Q23" s="24"/>
      <c r="R23" s="24"/>
      <c r="S23" s="24"/>
      <c r="T23" s="24"/>
      <c r="U23" s="24"/>
      <c r="V23" s="24"/>
      <c r="W23" s="24"/>
      <c r="X23" s="24"/>
      <c r="Y23" s="24"/>
      <c r="Z23" s="24"/>
      <c r="AA23" s="24"/>
      <c r="AB23" s="24"/>
      <c r="AC23" s="24"/>
    </row>
    <row r="24" spans="1:29" ht="54.35">
      <c r="A24" s="121" t="s">
        <v>7802</v>
      </c>
      <c r="B24" s="121" t="s">
        <v>26</v>
      </c>
      <c r="C24" s="121" t="s">
        <v>7794</v>
      </c>
      <c r="D24" s="66" t="s">
        <v>7803</v>
      </c>
      <c r="E24" s="85" t="s">
        <v>7804</v>
      </c>
      <c r="F24" s="58" t="s">
        <v>7805</v>
      </c>
      <c r="G24" s="79"/>
      <c r="H24" s="235"/>
      <c r="I24" s="235"/>
      <c r="J24" s="64"/>
      <c r="K24" s="45" t="b">
        <f t="shared" si="0"/>
        <v>0</v>
      </c>
      <c r="L24" s="165"/>
      <c r="M24" s="70"/>
      <c r="N24" s="70"/>
      <c r="O24" s="24"/>
      <c r="P24" s="24"/>
      <c r="Q24" s="24"/>
      <c r="R24" s="24"/>
      <c r="S24" s="24"/>
      <c r="T24" s="24"/>
      <c r="U24" s="24"/>
      <c r="V24" s="24"/>
      <c r="W24" s="24"/>
      <c r="X24" s="24"/>
      <c r="Y24" s="24"/>
      <c r="Z24" s="24"/>
      <c r="AA24" s="24"/>
      <c r="AB24" s="24"/>
      <c r="AC24" s="24"/>
    </row>
    <row r="25" spans="1:29" ht="4.5999999999999996" customHeight="1">
      <c r="A25" s="121" t="s">
        <v>7806</v>
      </c>
      <c r="B25" s="121" t="s">
        <v>26</v>
      </c>
      <c r="C25" s="121" t="s">
        <v>18</v>
      </c>
      <c r="D25" s="39" t="s">
        <v>7807</v>
      </c>
      <c r="E25" s="25" t="s">
        <v>7808</v>
      </c>
      <c r="F25" s="58" t="s">
        <v>7809</v>
      </c>
      <c r="G25" s="25"/>
      <c r="H25" s="235"/>
      <c r="I25" s="235"/>
      <c r="J25" s="64"/>
      <c r="K25" s="45" t="b">
        <f t="shared" si="0"/>
        <v>0</v>
      </c>
      <c r="L25" s="24"/>
      <c r="M25" s="24"/>
      <c r="N25" s="24"/>
      <c r="O25" s="24"/>
      <c r="P25" s="24"/>
      <c r="Q25" s="24"/>
      <c r="R25" s="24"/>
      <c r="S25" s="24"/>
      <c r="T25" s="24"/>
      <c r="U25" s="24"/>
      <c r="V25" s="24"/>
      <c r="W25" s="24"/>
      <c r="X25" s="24"/>
      <c r="Y25" s="24"/>
      <c r="Z25" s="24"/>
      <c r="AA25" s="24"/>
      <c r="AB25" s="24"/>
      <c r="AC25" s="24"/>
    </row>
    <row r="26" spans="1:29" ht="108.7">
      <c r="A26" s="121" t="s">
        <v>7810</v>
      </c>
      <c r="B26" s="121" t="s">
        <v>26</v>
      </c>
      <c r="C26" s="121" t="s">
        <v>18</v>
      </c>
      <c r="D26" s="39" t="s">
        <v>7811</v>
      </c>
      <c r="E26" s="25" t="s">
        <v>7812</v>
      </c>
      <c r="F26" s="58" t="s">
        <v>7813</v>
      </c>
      <c r="G26" s="236"/>
      <c r="H26" s="237"/>
      <c r="I26" s="238"/>
      <c r="J26" s="64"/>
      <c r="K26" s="45" t="b">
        <f t="shared" si="0"/>
        <v>0</v>
      </c>
      <c r="L26" s="165"/>
      <c r="M26" s="70"/>
      <c r="N26" s="70"/>
      <c r="O26" s="24"/>
      <c r="P26" s="24"/>
      <c r="Q26" s="24"/>
      <c r="R26" s="24"/>
      <c r="S26" s="24"/>
      <c r="T26" s="24"/>
      <c r="U26" s="24"/>
      <c r="V26" s="24"/>
      <c r="W26" s="24"/>
      <c r="X26" s="24"/>
      <c r="Y26" s="24"/>
      <c r="Z26" s="24"/>
      <c r="AA26" s="24"/>
      <c r="AB26" s="24"/>
      <c r="AC26" s="24"/>
    </row>
    <row r="27" spans="1:29" ht="76.099999999999994">
      <c r="A27" s="121" t="s">
        <v>7818</v>
      </c>
      <c r="B27" s="121" t="s">
        <v>26</v>
      </c>
      <c r="C27" s="121" t="s">
        <v>18</v>
      </c>
      <c r="D27" s="39" t="s">
        <v>7819</v>
      </c>
      <c r="E27" s="25" t="s">
        <v>7820</v>
      </c>
      <c r="F27" s="58" t="s">
        <v>7821</v>
      </c>
      <c r="G27" s="54"/>
      <c r="H27" s="235"/>
      <c r="I27" s="235"/>
      <c r="J27" s="64"/>
      <c r="K27" s="45" t="b">
        <f t="shared" si="0"/>
        <v>0</v>
      </c>
      <c r="L27" s="165"/>
      <c r="M27" s="70"/>
      <c r="N27" s="70"/>
      <c r="O27" s="24"/>
      <c r="P27" s="24"/>
      <c r="Q27" s="24"/>
      <c r="R27" s="24"/>
      <c r="S27" s="24"/>
      <c r="T27" s="24"/>
      <c r="U27" s="24"/>
      <c r="V27" s="24"/>
      <c r="W27" s="24"/>
      <c r="X27" s="24"/>
      <c r="Y27" s="24"/>
      <c r="Z27" s="24"/>
      <c r="AA27" s="24"/>
      <c r="AB27" s="24"/>
      <c r="AC27" s="24"/>
    </row>
    <row r="28" spans="1:29" ht="32.6">
      <c r="A28" s="121" t="s">
        <v>7822</v>
      </c>
      <c r="B28" s="121" t="s">
        <v>26</v>
      </c>
      <c r="C28" s="121" t="s">
        <v>18</v>
      </c>
      <c r="D28" s="39" t="s">
        <v>7823</v>
      </c>
      <c r="E28" s="25" t="s">
        <v>7824</v>
      </c>
      <c r="F28" s="58" t="s">
        <v>7825</v>
      </c>
      <c r="G28" s="54"/>
      <c r="H28" s="235"/>
      <c r="I28" s="235"/>
      <c r="J28" s="64"/>
      <c r="K28" s="45" t="b">
        <f t="shared" si="0"/>
        <v>0</v>
      </c>
      <c r="L28" s="165"/>
      <c r="M28" s="70"/>
      <c r="N28" s="70"/>
      <c r="O28" s="24"/>
      <c r="P28" s="24"/>
      <c r="Q28" s="24"/>
      <c r="R28" s="24"/>
      <c r="S28" s="24"/>
      <c r="T28" s="24"/>
      <c r="U28" s="24"/>
      <c r="V28" s="24"/>
      <c r="W28" s="24"/>
      <c r="X28" s="24"/>
      <c r="Y28" s="24"/>
      <c r="Z28" s="24"/>
      <c r="AA28" s="24"/>
      <c r="AB28" s="24"/>
      <c r="AC28" s="24"/>
    </row>
    <row r="29" spans="1:29" ht="65.25">
      <c r="A29" s="121" t="s">
        <v>7826</v>
      </c>
      <c r="B29" s="121" t="s">
        <v>26</v>
      </c>
      <c r="C29" s="121" t="s">
        <v>18</v>
      </c>
      <c r="D29" s="39" t="s">
        <v>7827</v>
      </c>
      <c r="E29" s="25" t="s">
        <v>7828</v>
      </c>
      <c r="F29" s="58" t="s">
        <v>7829</v>
      </c>
      <c r="G29" s="25"/>
      <c r="H29" s="235"/>
      <c r="I29" s="235"/>
      <c r="J29" s="64"/>
      <c r="K29" s="45" t="b">
        <f t="shared" si="0"/>
        <v>0</v>
      </c>
      <c r="L29" s="165"/>
      <c r="M29" s="70"/>
      <c r="N29" s="70"/>
      <c r="O29" s="24"/>
      <c r="P29" s="24"/>
      <c r="Q29" s="24"/>
      <c r="R29" s="24"/>
      <c r="S29" s="24"/>
      <c r="T29" s="24"/>
      <c r="U29" s="24"/>
      <c r="V29" s="24"/>
      <c r="W29" s="24"/>
      <c r="X29" s="24"/>
      <c r="Y29" s="24"/>
      <c r="Z29" s="24"/>
      <c r="AA29" s="24"/>
      <c r="AB29" s="24"/>
      <c r="AC29" s="24"/>
    </row>
    <row r="30" spans="1:29" ht="32.6">
      <c r="A30" s="121" t="s">
        <v>7830</v>
      </c>
      <c r="B30" s="121" t="s">
        <v>26</v>
      </c>
      <c r="C30" s="121" t="s">
        <v>18</v>
      </c>
      <c r="D30" s="39" t="s">
        <v>7831</v>
      </c>
      <c r="E30" s="25" t="s">
        <v>7832</v>
      </c>
      <c r="F30" s="58" t="s">
        <v>7833</v>
      </c>
      <c r="G30" s="25"/>
      <c r="H30" s="235"/>
      <c r="I30" s="235"/>
      <c r="J30" s="64"/>
      <c r="K30" s="45" t="b">
        <f t="shared" si="0"/>
        <v>0</v>
      </c>
      <c r="L30" s="165"/>
      <c r="M30" s="70"/>
      <c r="N30" s="70"/>
      <c r="O30" s="24"/>
      <c r="P30" s="24"/>
      <c r="Q30" s="24"/>
      <c r="R30" s="24"/>
      <c r="S30" s="24"/>
      <c r="T30" s="24"/>
      <c r="U30" s="24"/>
      <c r="V30" s="24"/>
      <c r="W30" s="24"/>
      <c r="X30" s="24"/>
      <c r="Y30" s="24"/>
      <c r="Z30" s="24"/>
      <c r="AA30" s="24"/>
      <c r="AB30" s="24"/>
      <c r="AC30" s="24"/>
    </row>
    <row r="31" spans="1:29" ht="43.5">
      <c r="A31" s="121" t="s">
        <v>7834</v>
      </c>
      <c r="B31" s="121" t="s">
        <v>26</v>
      </c>
      <c r="C31" s="121" t="s">
        <v>18</v>
      </c>
      <c r="D31" s="39" t="s">
        <v>7835</v>
      </c>
      <c r="E31" s="25" t="s">
        <v>7836</v>
      </c>
      <c r="F31" s="58" t="s">
        <v>7837</v>
      </c>
      <c r="G31" s="25"/>
      <c r="H31" s="235"/>
      <c r="I31" s="235"/>
      <c r="J31" s="64"/>
      <c r="K31" s="45" t="b">
        <f t="shared" si="0"/>
        <v>0</v>
      </c>
      <c r="L31" s="165"/>
      <c r="M31" s="70"/>
      <c r="N31" s="24"/>
      <c r="O31" s="24"/>
      <c r="P31" s="24"/>
      <c r="Q31" s="24"/>
      <c r="R31" s="24"/>
      <c r="S31" s="24"/>
      <c r="T31" s="24"/>
      <c r="U31" s="24"/>
      <c r="V31" s="24"/>
      <c r="W31" s="24"/>
      <c r="X31" s="24"/>
      <c r="Y31" s="24"/>
      <c r="Z31" s="24"/>
      <c r="AA31" s="24"/>
      <c r="AB31" s="24"/>
      <c r="AC31" s="24"/>
    </row>
    <row r="32" spans="1:29" ht="43.5">
      <c r="A32" s="121" t="s">
        <v>7838</v>
      </c>
      <c r="B32" s="121" t="s">
        <v>26</v>
      </c>
      <c r="C32" s="121" t="s">
        <v>18</v>
      </c>
      <c r="D32" s="39" t="s">
        <v>7839</v>
      </c>
      <c r="E32" s="25" t="s">
        <v>7840</v>
      </c>
      <c r="F32" s="58" t="s">
        <v>7841</v>
      </c>
      <c r="G32" s="25"/>
      <c r="H32" s="235"/>
      <c r="I32" s="235"/>
      <c r="J32" s="64"/>
      <c r="K32" s="45" t="b">
        <f t="shared" si="0"/>
        <v>0</v>
      </c>
      <c r="L32" s="165"/>
      <c r="M32" s="70"/>
      <c r="N32" s="24"/>
      <c r="O32" s="24"/>
      <c r="P32" s="24"/>
      <c r="Q32" s="24"/>
      <c r="R32" s="24"/>
      <c r="S32" s="24"/>
      <c r="T32" s="24"/>
      <c r="U32" s="24"/>
      <c r="V32" s="24"/>
      <c r="W32" s="24"/>
      <c r="X32" s="24"/>
      <c r="Y32" s="24"/>
      <c r="Z32" s="24"/>
      <c r="AA32" s="24"/>
      <c r="AB32" s="24"/>
      <c r="AC32" s="24"/>
    </row>
    <row r="33" spans="1:29" ht="54.35">
      <c r="A33" s="121" t="s">
        <v>7843</v>
      </c>
      <c r="B33" s="121" t="s">
        <v>26</v>
      </c>
      <c r="C33" s="121" t="s">
        <v>18</v>
      </c>
      <c r="D33" s="39" t="s">
        <v>7845</v>
      </c>
      <c r="E33" s="25" t="s">
        <v>7847</v>
      </c>
      <c r="F33" s="58" t="s">
        <v>7849</v>
      </c>
      <c r="G33" s="25"/>
      <c r="H33" s="235"/>
      <c r="I33" s="235"/>
      <c r="J33" s="64"/>
      <c r="K33" s="45" t="b">
        <f t="shared" si="0"/>
        <v>0</v>
      </c>
      <c r="L33" s="165"/>
      <c r="M33" s="70"/>
      <c r="N33" s="70"/>
      <c r="O33" s="24"/>
      <c r="P33" s="24"/>
      <c r="Q33" s="24"/>
      <c r="R33" s="24"/>
      <c r="S33" s="24"/>
      <c r="T33" s="24"/>
      <c r="U33" s="24"/>
      <c r="V33" s="24"/>
      <c r="W33" s="24"/>
      <c r="X33" s="24"/>
      <c r="Y33" s="24"/>
      <c r="Z33" s="24"/>
      <c r="AA33" s="24"/>
      <c r="AB33" s="24"/>
      <c r="AC33" s="24"/>
    </row>
    <row r="34" spans="1:29" ht="108.7">
      <c r="A34" s="121" t="s">
        <v>7850</v>
      </c>
      <c r="B34" s="121" t="s">
        <v>26</v>
      </c>
      <c r="C34" s="121" t="s">
        <v>18</v>
      </c>
      <c r="D34" s="39" t="s">
        <v>7851</v>
      </c>
      <c r="E34" s="25" t="s">
        <v>7852</v>
      </c>
      <c r="F34" s="58" t="s">
        <v>7853</v>
      </c>
      <c r="G34" s="85"/>
      <c r="H34" s="112" t="str">
        <f>HYPERLINK("https://www.acquisition.gov/content/part-4-administrative-matters#i1122313","FAR 4.8")</f>
        <v>FAR 4.8</v>
      </c>
      <c r="I34" s="57" t="str">
        <f>HYPERLINK("https://www.acquisition.gov/content/part-504-administrative-matters#i1894357","GSAM 504.803 and the Contract Tab Advisory Guide at https://hallways.cap.gsa.gov/app/#/gateway/fas-acquisition-policy-library/17645/contract-tab-advisory-guide-ctag")</f>
        <v>GSAM 504.803 and the Contract Tab Advisory Guide at https://hallways.cap.gsa.gov/app/#/gateway/fas-acquisition-policy-library/17645/contract-tab-advisory-guide-ctag</v>
      </c>
      <c r="J34" s="64"/>
      <c r="K34" s="45" t="b">
        <f t="shared" si="0"/>
        <v>0</v>
      </c>
      <c r="L34" s="165"/>
      <c r="M34" s="70"/>
      <c r="N34" s="70"/>
      <c r="O34" s="24"/>
      <c r="P34" s="24"/>
      <c r="Q34" s="24"/>
      <c r="R34" s="24"/>
      <c r="S34" s="24"/>
      <c r="T34" s="24"/>
      <c r="U34" s="24"/>
      <c r="V34" s="24"/>
      <c r="W34" s="24"/>
      <c r="X34" s="24"/>
      <c r="Y34" s="24"/>
      <c r="Z34" s="24"/>
      <c r="AA34" s="24"/>
      <c r="AB34" s="24"/>
      <c r="AC34" s="24"/>
    </row>
    <row r="35" spans="1:29" ht="54.35">
      <c r="A35" s="121" t="s">
        <v>7862</v>
      </c>
      <c r="B35" s="121" t="s">
        <v>26</v>
      </c>
      <c r="C35" s="121" t="s">
        <v>18</v>
      </c>
      <c r="D35" s="39" t="s">
        <v>7863</v>
      </c>
      <c r="E35" s="25" t="s">
        <v>7864</v>
      </c>
      <c r="F35" s="58" t="s">
        <v>7865</v>
      </c>
      <c r="G35" s="85"/>
      <c r="H35" s="235"/>
      <c r="I35" s="235"/>
      <c r="J35" s="64"/>
      <c r="K35" s="45" t="b">
        <f t="shared" si="0"/>
        <v>0</v>
      </c>
      <c r="L35" s="165"/>
      <c r="M35" s="70"/>
      <c r="N35" s="70"/>
      <c r="O35" s="24"/>
      <c r="P35" s="24"/>
      <c r="Q35" s="24"/>
      <c r="R35" s="24"/>
      <c r="S35" s="24"/>
      <c r="T35" s="24"/>
      <c r="U35" s="24"/>
      <c r="V35" s="24"/>
      <c r="W35" s="24"/>
      <c r="X35" s="24"/>
      <c r="Y35" s="24"/>
      <c r="Z35" s="24"/>
      <c r="AA35" s="24"/>
      <c r="AB35" s="24"/>
      <c r="AC35" s="24"/>
    </row>
    <row r="36" spans="1:29" ht="97.85">
      <c r="A36" s="121" t="s">
        <v>7870</v>
      </c>
      <c r="B36" s="121" t="s">
        <v>26</v>
      </c>
      <c r="C36" s="121" t="s">
        <v>18</v>
      </c>
      <c r="D36" s="39" t="s">
        <v>7871</v>
      </c>
      <c r="E36" s="25" t="s">
        <v>7872</v>
      </c>
      <c r="F36" s="58" t="s">
        <v>7873</v>
      </c>
      <c r="G36" s="25"/>
      <c r="H36" s="235"/>
      <c r="I36" s="235"/>
      <c r="J36" s="64"/>
      <c r="K36" s="45" t="b">
        <f t="shared" si="0"/>
        <v>0</v>
      </c>
      <c r="L36" s="165"/>
      <c r="M36" s="70"/>
      <c r="N36" s="70"/>
      <c r="O36" s="24"/>
      <c r="P36" s="24"/>
      <c r="Q36" s="24"/>
      <c r="R36" s="24"/>
      <c r="S36" s="24"/>
      <c r="T36" s="24"/>
      <c r="U36" s="24"/>
      <c r="V36" s="24"/>
      <c r="W36" s="24"/>
      <c r="X36" s="24"/>
      <c r="Y36" s="24"/>
      <c r="Z36" s="24"/>
      <c r="AA36" s="24"/>
      <c r="AB36" s="24"/>
      <c r="AC36" s="24"/>
    </row>
    <row r="37" spans="1:29" ht="54.35">
      <c r="A37" s="121" t="s">
        <v>7874</v>
      </c>
      <c r="B37" s="121" t="s">
        <v>26</v>
      </c>
      <c r="C37" s="121" t="s">
        <v>18</v>
      </c>
      <c r="D37" s="79" t="s">
        <v>7875</v>
      </c>
      <c r="E37" s="25" t="s">
        <v>7876</v>
      </c>
      <c r="F37" s="58" t="s">
        <v>7877</v>
      </c>
      <c r="G37" s="25"/>
      <c r="H37" s="235"/>
      <c r="I37" s="235"/>
      <c r="J37" s="64"/>
      <c r="K37" s="45" t="b">
        <f t="shared" si="0"/>
        <v>0</v>
      </c>
      <c r="L37" s="165"/>
      <c r="M37" s="70"/>
      <c r="N37" s="70"/>
      <c r="O37" s="24"/>
      <c r="P37" s="24"/>
      <c r="Q37" s="24"/>
      <c r="R37" s="24"/>
      <c r="S37" s="24"/>
      <c r="T37" s="24"/>
      <c r="U37" s="24"/>
      <c r="V37" s="24"/>
      <c r="W37" s="24"/>
      <c r="X37" s="24"/>
      <c r="Y37" s="24"/>
      <c r="Z37" s="24"/>
      <c r="AA37" s="24"/>
      <c r="AB37" s="24"/>
      <c r="AC37" s="24"/>
    </row>
    <row r="38" spans="1:29" ht="65.25">
      <c r="A38" s="121" t="s">
        <v>7878</v>
      </c>
      <c r="B38" s="121" t="s">
        <v>26</v>
      </c>
      <c r="C38" s="121" t="s">
        <v>18</v>
      </c>
      <c r="D38" s="79" t="s">
        <v>7879</v>
      </c>
      <c r="E38" s="25" t="s">
        <v>7880</v>
      </c>
      <c r="F38" s="58" t="s">
        <v>7881</v>
      </c>
      <c r="G38" s="25"/>
      <c r="H38" s="235"/>
      <c r="I38" s="235"/>
      <c r="J38" s="64"/>
      <c r="K38" s="45" t="b">
        <f t="shared" si="0"/>
        <v>0</v>
      </c>
      <c r="L38" s="165"/>
      <c r="M38" s="70"/>
      <c r="N38" s="70"/>
      <c r="O38" s="24"/>
      <c r="P38" s="24"/>
      <c r="Q38" s="24"/>
      <c r="R38" s="24"/>
      <c r="S38" s="24"/>
      <c r="T38" s="24"/>
      <c r="U38" s="24"/>
      <c r="V38" s="24"/>
      <c r="W38" s="24"/>
      <c r="X38" s="24"/>
      <c r="Y38" s="24"/>
      <c r="Z38" s="24"/>
      <c r="AA38" s="24"/>
      <c r="AB38" s="24"/>
      <c r="AC38" s="24"/>
    </row>
    <row r="39" spans="1:29" ht="65.25">
      <c r="A39" s="121" t="s">
        <v>7884</v>
      </c>
      <c r="B39" s="121" t="s">
        <v>26</v>
      </c>
      <c r="C39" s="121" t="s">
        <v>18</v>
      </c>
      <c r="D39" s="79" t="s">
        <v>7887</v>
      </c>
      <c r="E39" s="25" t="s">
        <v>7888</v>
      </c>
      <c r="F39" s="58" t="s">
        <v>7889</v>
      </c>
      <c r="G39" s="25"/>
      <c r="H39" s="235"/>
      <c r="I39" s="235"/>
      <c r="J39" s="64"/>
      <c r="K39" s="45" t="b">
        <f t="shared" si="0"/>
        <v>0</v>
      </c>
      <c r="L39" s="165"/>
      <c r="M39" s="70"/>
      <c r="N39" s="70"/>
      <c r="O39" s="24"/>
      <c r="P39" s="24"/>
      <c r="Q39" s="24"/>
      <c r="R39" s="24"/>
      <c r="S39" s="24"/>
      <c r="T39" s="24"/>
      <c r="U39" s="24"/>
      <c r="V39" s="24"/>
      <c r="W39" s="24"/>
      <c r="X39" s="24"/>
      <c r="Y39" s="24"/>
      <c r="Z39" s="24"/>
      <c r="AA39" s="24"/>
      <c r="AB39" s="24"/>
      <c r="AC39" s="24"/>
    </row>
    <row r="40" spans="1:29" ht="43.5">
      <c r="A40" s="121" t="s">
        <v>7890</v>
      </c>
      <c r="B40" s="121" t="s">
        <v>26</v>
      </c>
      <c r="C40" s="121" t="s">
        <v>18</v>
      </c>
      <c r="D40" s="79" t="s">
        <v>7891</v>
      </c>
      <c r="E40" s="25" t="s">
        <v>7892</v>
      </c>
      <c r="F40" s="58" t="s">
        <v>7893</v>
      </c>
      <c r="G40" s="25"/>
      <c r="H40" s="235"/>
      <c r="I40" s="235"/>
      <c r="J40" s="64"/>
      <c r="K40" s="45" t="b">
        <f t="shared" si="0"/>
        <v>0</v>
      </c>
      <c r="L40" s="165"/>
      <c r="M40" s="70"/>
      <c r="N40" s="70"/>
      <c r="O40" s="24"/>
      <c r="P40" s="24"/>
      <c r="Q40" s="24"/>
      <c r="R40" s="24"/>
      <c r="S40" s="24"/>
      <c r="T40" s="24"/>
      <c r="U40" s="24"/>
      <c r="V40" s="24"/>
      <c r="W40" s="24"/>
      <c r="X40" s="24"/>
      <c r="Y40" s="24"/>
      <c r="Z40" s="24"/>
      <c r="AA40" s="24"/>
      <c r="AB40" s="24"/>
      <c r="AC40" s="24"/>
    </row>
    <row r="41" spans="1:29" ht="86.95">
      <c r="A41" s="121" t="s">
        <v>7894</v>
      </c>
      <c r="B41" s="121" t="s">
        <v>26</v>
      </c>
      <c r="C41" s="121" t="s">
        <v>18</v>
      </c>
      <c r="D41" s="66" t="s">
        <v>7895</v>
      </c>
      <c r="E41" s="85" t="s">
        <v>7896</v>
      </c>
      <c r="F41" s="58" t="s">
        <v>7897</v>
      </c>
      <c r="G41" s="25"/>
      <c r="H41" s="235"/>
      <c r="I41" s="235"/>
      <c r="J41" s="64"/>
      <c r="K41" s="45" t="b">
        <f t="shared" si="0"/>
        <v>0</v>
      </c>
      <c r="L41" s="165"/>
      <c r="M41" s="70"/>
      <c r="N41" s="70"/>
      <c r="O41" s="24"/>
      <c r="P41" s="24"/>
      <c r="Q41" s="24"/>
      <c r="R41" s="24"/>
      <c r="S41" s="24"/>
      <c r="T41" s="24"/>
      <c r="U41" s="24"/>
      <c r="V41" s="24"/>
      <c r="W41" s="24"/>
      <c r="X41" s="24"/>
      <c r="Y41" s="24"/>
      <c r="Z41" s="24"/>
      <c r="AA41" s="24"/>
      <c r="AB41" s="24"/>
      <c r="AC41" s="24"/>
    </row>
    <row r="42" spans="1:29" ht="43.5">
      <c r="A42" s="121" t="s">
        <v>7901</v>
      </c>
      <c r="B42" s="121" t="s">
        <v>26</v>
      </c>
      <c r="C42" s="121" t="s">
        <v>18</v>
      </c>
      <c r="D42" s="66" t="s">
        <v>7903</v>
      </c>
      <c r="E42" s="85" t="s">
        <v>7904</v>
      </c>
      <c r="F42" s="58" t="s">
        <v>7905</v>
      </c>
      <c r="G42" s="240"/>
      <c r="H42" s="235"/>
      <c r="I42" s="235"/>
      <c r="J42" s="64"/>
      <c r="K42" s="45" t="b">
        <f t="shared" si="0"/>
        <v>0</v>
      </c>
      <c r="L42" s="165"/>
      <c r="M42" s="70"/>
      <c r="N42" s="70"/>
      <c r="O42" s="24"/>
      <c r="P42" s="24"/>
      <c r="Q42" s="24"/>
      <c r="R42" s="24"/>
      <c r="S42" s="24"/>
      <c r="T42" s="24"/>
      <c r="U42" s="24"/>
      <c r="V42" s="24"/>
      <c r="W42" s="24"/>
      <c r="X42" s="24"/>
      <c r="Y42" s="24"/>
      <c r="Z42" s="24"/>
      <c r="AA42" s="24"/>
      <c r="AB42" s="24"/>
      <c r="AC42" s="24"/>
    </row>
    <row r="43" spans="1:29" ht="54.35">
      <c r="A43" s="121" t="s">
        <v>7910</v>
      </c>
      <c r="B43" s="121" t="s">
        <v>26</v>
      </c>
      <c r="C43" s="121" t="s">
        <v>18</v>
      </c>
      <c r="D43" s="66" t="s">
        <v>7911</v>
      </c>
      <c r="E43" s="85" t="s">
        <v>7912</v>
      </c>
      <c r="F43" s="39" t="s">
        <v>7913</v>
      </c>
      <c r="G43" s="25"/>
      <c r="H43" s="235"/>
      <c r="I43" s="235"/>
      <c r="J43" s="64"/>
      <c r="K43" s="45" t="b">
        <f t="shared" si="0"/>
        <v>0</v>
      </c>
      <c r="L43" s="165"/>
      <c r="M43" s="70"/>
      <c r="N43" s="70"/>
      <c r="O43" s="24"/>
      <c r="P43" s="24"/>
      <c r="Q43" s="24"/>
      <c r="R43" s="24"/>
      <c r="S43" s="24"/>
      <c r="T43" s="24"/>
      <c r="U43" s="24"/>
      <c r="V43" s="24"/>
      <c r="W43" s="24"/>
      <c r="X43" s="24"/>
      <c r="Y43" s="24"/>
      <c r="Z43" s="24"/>
      <c r="AA43" s="24"/>
      <c r="AB43" s="24"/>
      <c r="AC43" s="24"/>
    </row>
    <row r="44" spans="1:29" ht="43.5">
      <c r="A44" s="121" t="s">
        <v>7914</v>
      </c>
      <c r="B44" s="121" t="s">
        <v>26</v>
      </c>
      <c r="C44" s="121" t="s">
        <v>18</v>
      </c>
      <c r="D44" s="66" t="s">
        <v>7915</v>
      </c>
      <c r="E44" s="85" t="s">
        <v>7916</v>
      </c>
      <c r="F44" s="58" t="s">
        <v>7917</v>
      </c>
      <c r="G44" s="25"/>
      <c r="H44" s="235"/>
      <c r="I44" s="235"/>
      <c r="J44" s="64"/>
      <c r="K44" s="45" t="b">
        <f t="shared" si="0"/>
        <v>0</v>
      </c>
      <c r="L44" s="165"/>
      <c r="M44" s="70"/>
      <c r="N44" s="70"/>
      <c r="O44" s="24"/>
      <c r="P44" s="24"/>
      <c r="Q44" s="24"/>
      <c r="R44" s="24"/>
      <c r="S44" s="24"/>
      <c r="T44" s="24"/>
      <c r="U44" s="24"/>
      <c r="V44" s="24"/>
      <c r="W44" s="24"/>
      <c r="X44" s="24"/>
      <c r="Y44" s="24"/>
      <c r="Z44" s="24"/>
      <c r="AA44" s="24"/>
      <c r="AB44" s="24"/>
      <c r="AC44" s="24"/>
    </row>
    <row r="45" spans="1:29" ht="65.25">
      <c r="A45" s="121" t="s">
        <v>7920</v>
      </c>
      <c r="B45" s="121" t="s">
        <v>26</v>
      </c>
      <c r="C45" s="121" t="s">
        <v>18</v>
      </c>
      <c r="D45" s="66" t="s">
        <v>7923</v>
      </c>
      <c r="E45" s="85" t="s">
        <v>7924</v>
      </c>
      <c r="F45" s="58" t="s">
        <v>7925</v>
      </c>
      <c r="G45" s="25"/>
      <c r="H45" s="235"/>
      <c r="I45" s="235"/>
      <c r="J45" s="64"/>
      <c r="K45" s="45" t="b">
        <f t="shared" si="0"/>
        <v>0</v>
      </c>
      <c r="L45" s="165"/>
      <c r="M45" s="70"/>
      <c r="N45" s="70"/>
      <c r="O45" s="24"/>
      <c r="P45" s="24"/>
      <c r="Q45" s="24"/>
      <c r="R45" s="24"/>
      <c r="S45" s="24"/>
      <c r="T45" s="24"/>
      <c r="U45" s="24"/>
      <c r="V45" s="24"/>
      <c r="W45" s="24"/>
      <c r="X45" s="24"/>
      <c r="Y45" s="24"/>
      <c r="Z45" s="24"/>
      <c r="AA45" s="24"/>
      <c r="AB45" s="24"/>
      <c r="AC45" s="24"/>
    </row>
    <row r="46" spans="1:29" ht="54.35">
      <c r="A46" s="121" t="s">
        <v>7926</v>
      </c>
      <c r="B46" s="121" t="s">
        <v>26</v>
      </c>
      <c r="C46" s="121" t="s">
        <v>18</v>
      </c>
      <c r="D46" s="66" t="s">
        <v>7927</v>
      </c>
      <c r="E46" s="85" t="s">
        <v>7928</v>
      </c>
      <c r="F46" s="58" t="s">
        <v>7929</v>
      </c>
      <c r="G46" s="25"/>
      <c r="H46" s="235"/>
      <c r="I46" s="235"/>
      <c r="J46" s="64"/>
      <c r="K46" s="45" t="b">
        <f t="shared" si="0"/>
        <v>0</v>
      </c>
      <c r="L46" s="165"/>
      <c r="M46" s="70"/>
      <c r="N46" s="70"/>
      <c r="O46" s="24"/>
      <c r="P46" s="24"/>
      <c r="Q46" s="24"/>
      <c r="R46" s="24"/>
      <c r="S46" s="24"/>
      <c r="T46" s="24"/>
      <c r="U46" s="24"/>
      <c r="V46" s="24"/>
      <c r="W46" s="24"/>
      <c r="X46" s="24"/>
      <c r="Y46" s="24"/>
      <c r="Z46" s="24"/>
      <c r="AA46" s="24"/>
      <c r="AB46" s="24"/>
      <c r="AC46" s="24"/>
    </row>
    <row r="47" spans="1:29" ht="65.25">
      <c r="A47" s="121" t="s">
        <v>7931</v>
      </c>
      <c r="B47" s="121" t="s">
        <v>26</v>
      </c>
      <c r="C47" s="121" t="s">
        <v>18</v>
      </c>
      <c r="D47" s="66" t="s">
        <v>7934</v>
      </c>
      <c r="E47" s="85" t="s">
        <v>7936</v>
      </c>
      <c r="F47" s="58" t="s">
        <v>7937</v>
      </c>
      <c r="G47" s="25"/>
      <c r="H47" s="235"/>
      <c r="I47" s="235"/>
      <c r="J47" s="64"/>
      <c r="K47" s="45" t="b">
        <f t="shared" si="0"/>
        <v>0</v>
      </c>
      <c r="L47" s="165"/>
      <c r="M47" s="70"/>
      <c r="N47" s="70"/>
      <c r="O47" s="24"/>
      <c r="P47" s="24"/>
      <c r="Q47" s="24"/>
      <c r="R47" s="24"/>
      <c r="S47" s="24"/>
      <c r="T47" s="24"/>
      <c r="U47" s="24"/>
      <c r="V47" s="24"/>
      <c r="W47" s="24"/>
      <c r="X47" s="24"/>
      <c r="Y47" s="24"/>
      <c r="Z47" s="24"/>
      <c r="AA47" s="24"/>
      <c r="AB47" s="24"/>
      <c r="AC47" s="24"/>
    </row>
    <row r="48" spans="1:29" ht="119.55">
      <c r="A48" s="121" t="s">
        <v>7938</v>
      </c>
      <c r="B48" s="121" t="s">
        <v>26</v>
      </c>
      <c r="C48" s="121" t="s">
        <v>18</v>
      </c>
      <c r="D48" s="66" t="s">
        <v>7941</v>
      </c>
      <c r="E48" s="85" t="s">
        <v>7943</v>
      </c>
      <c r="F48" s="58" t="s">
        <v>7945</v>
      </c>
      <c r="G48" s="25"/>
      <c r="H48" s="235"/>
      <c r="I48" s="235"/>
      <c r="J48" s="64"/>
      <c r="K48" s="45" t="b">
        <f t="shared" si="0"/>
        <v>0</v>
      </c>
      <c r="L48" s="165"/>
      <c r="M48" s="70"/>
      <c r="N48" s="70"/>
      <c r="O48" s="24"/>
      <c r="P48" s="24"/>
      <c r="Q48" s="24"/>
      <c r="R48" s="24"/>
      <c r="S48" s="24"/>
      <c r="T48" s="24"/>
      <c r="U48" s="24"/>
      <c r="V48" s="24"/>
      <c r="W48" s="24"/>
      <c r="X48" s="24"/>
      <c r="Y48" s="24"/>
      <c r="Z48" s="24"/>
      <c r="AA48" s="24"/>
      <c r="AB48" s="24"/>
      <c r="AC48" s="24"/>
    </row>
    <row r="49" spans="1:29" ht="76.099999999999994">
      <c r="A49" s="121" t="s">
        <v>7946</v>
      </c>
      <c r="B49" s="121" t="s">
        <v>26</v>
      </c>
      <c r="C49" s="121" t="s">
        <v>18</v>
      </c>
      <c r="D49" s="25" t="s">
        <v>7947</v>
      </c>
      <c r="E49" s="25" t="s">
        <v>7949</v>
      </c>
      <c r="F49" s="127" t="s">
        <v>7950</v>
      </c>
      <c r="G49" s="25"/>
      <c r="H49" s="235"/>
      <c r="I49" s="235"/>
      <c r="J49" s="64"/>
      <c r="K49" s="45" t="b">
        <f t="shared" si="0"/>
        <v>0</v>
      </c>
      <c r="L49" s="165"/>
      <c r="M49" s="70"/>
      <c r="N49" s="70"/>
      <c r="O49" s="24"/>
      <c r="P49" s="24"/>
      <c r="Q49" s="24"/>
      <c r="R49" s="24"/>
      <c r="S49" s="24"/>
      <c r="T49" s="24"/>
      <c r="U49" s="24"/>
      <c r="V49" s="24"/>
      <c r="W49" s="24"/>
      <c r="X49" s="24"/>
      <c r="Y49" s="24"/>
      <c r="Z49" s="24"/>
      <c r="AA49" s="24"/>
      <c r="AB49" s="24"/>
      <c r="AC49" s="24"/>
    </row>
    <row r="50" spans="1:29" ht="76.099999999999994">
      <c r="A50" s="121" t="s">
        <v>7954</v>
      </c>
      <c r="B50" s="121" t="s">
        <v>26</v>
      </c>
      <c r="C50" s="121" t="s">
        <v>18</v>
      </c>
      <c r="D50" s="25" t="s">
        <v>7955</v>
      </c>
      <c r="E50" s="25" t="s">
        <v>7956</v>
      </c>
      <c r="F50" s="58" t="s">
        <v>7957</v>
      </c>
      <c r="G50" s="25"/>
      <c r="H50" s="235"/>
      <c r="I50" s="235"/>
      <c r="J50" s="64"/>
      <c r="K50" s="45" t="b">
        <f t="shared" si="0"/>
        <v>0</v>
      </c>
      <c r="L50" s="165"/>
      <c r="M50" s="70"/>
      <c r="N50" s="70"/>
      <c r="O50" s="24"/>
      <c r="P50" s="24"/>
      <c r="Q50" s="24"/>
      <c r="R50" s="24"/>
      <c r="S50" s="24"/>
      <c r="T50" s="24"/>
      <c r="U50" s="24"/>
      <c r="V50" s="24"/>
      <c r="W50" s="24"/>
      <c r="X50" s="24"/>
      <c r="Y50" s="24"/>
      <c r="Z50" s="24"/>
      <c r="AA50" s="24"/>
      <c r="AB50" s="24"/>
      <c r="AC50" s="24"/>
    </row>
    <row r="51" spans="1:29" ht="43.5">
      <c r="A51" s="121" t="s">
        <v>7961</v>
      </c>
      <c r="B51" s="121" t="s">
        <v>26</v>
      </c>
      <c r="C51" s="187" t="s">
        <v>18</v>
      </c>
      <c r="D51" s="79" t="s">
        <v>7962</v>
      </c>
      <c r="E51" s="79" t="s">
        <v>7963</v>
      </c>
      <c r="F51" s="25" t="s">
        <v>7964</v>
      </c>
      <c r="G51" s="25"/>
      <c r="H51" s="235"/>
      <c r="I51" s="235"/>
      <c r="J51" s="64"/>
      <c r="K51" s="45" t="b">
        <f t="shared" si="0"/>
        <v>0</v>
      </c>
      <c r="L51" s="24"/>
      <c r="M51" s="24"/>
      <c r="N51" s="24"/>
      <c r="O51" s="24"/>
      <c r="P51" s="24"/>
      <c r="Q51" s="24"/>
      <c r="R51" s="24"/>
      <c r="S51" s="24"/>
      <c r="T51" s="24"/>
      <c r="U51" s="24"/>
      <c r="V51" s="24"/>
      <c r="W51" s="24"/>
      <c r="X51" s="24"/>
      <c r="Y51" s="24"/>
      <c r="Z51" s="24"/>
      <c r="AA51" s="24"/>
      <c r="AB51" s="24"/>
      <c r="AC51" s="24"/>
    </row>
    <row r="52" spans="1:29" ht="32.6">
      <c r="A52" s="121" t="s">
        <v>7969</v>
      </c>
      <c r="B52" s="121" t="s">
        <v>26</v>
      </c>
      <c r="C52" s="187" t="s">
        <v>18</v>
      </c>
      <c r="D52" s="79" t="s">
        <v>7970</v>
      </c>
      <c r="E52" s="25" t="s">
        <v>7971</v>
      </c>
      <c r="F52" s="25" t="s">
        <v>7972</v>
      </c>
      <c r="G52" s="25"/>
      <c r="H52" s="235"/>
      <c r="I52" s="235"/>
      <c r="J52" s="64"/>
      <c r="K52" s="45" t="b">
        <f t="shared" si="0"/>
        <v>0</v>
      </c>
      <c r="L52" s="24"/>
      <c r="M52" s="24"/>
      <c r="N52" s="24"/>
      <c r="O52" s="24"/>
      <c r="P52" s="24"/>
      <c r="Q52" s="24"/>
      <c r="R52" s="24"/>
      <c r="S52" s="24"/>
      <c r="T52" s="24"/>
      <c r="U52" s="24"/>
      <c r="V52" s="24"/>
      <c r="W52" s="24"/>
      <c r="X52" s="24"/>
      <c r="Y52" s="24"/>
      <c r="Z52" s="24"/>
      <c r="AA52" s="24"/>
      <c r="AB52" s="24"/>
      <c r="AC52" s="24"/>
    </row>
    <row r="53" spans="1:29" ht="86.95">
      <c r="A53" s="121" t="s">
        <v>7973</v>
      </c>
      <c r="B53" s="121" t="s">
        <v>26</v>
      </c>
      <c r="C53" s="121" t="s">
        <v>7974</v>
      </c>
      <c r="D53" s="66" t="s">
        <v>7975</v>
      </c>
      <c r="E53" s="85" t="s">
        <v>7976</v>
      </c>
      <c r="F53" s="58" t="s">
        <v>7977</v>
      </c>
      <c r="G53" s="25"/>
      <c r="H53" s="235"/>
      <c r="I53" s="235"/>
      <c r="J53" s="64"/>
      <c r="K53" s="45" t="b">
        <f t="shared" si="0"/>
        <v>0</v>
      </c>
      <c r="L53" s="165"/>
      <c r="M53" s="70"/>
      <c r="N53" s="70"/>
      <c r="O53" s="24"/>
      <c r="P53" s="24"/>
      <c r="Q53" s="24"/>
      <c r="R53" s="24"/>
      <c r="S53" s="24"/>
      <c r="T53" s="24"/>
      <c r="U53" s="24"/>
      <c r="V53" s="24"/>
      <c r="W53" s="24"/>
      <c r="X53" s="24"/>
      <c r="Y53" s="24"/>
      <c r="Z53" s="24"/>
      <c r="AA53" s="24"/>
      <c r="AB53" s="24"/>
      <c r="AC53" s="24"/>
    </row>
    <row r="54" spans="1:29" ht="43.5">
      <c r="A54" s="121" t="s">
        <v>7978</v>
      </c>
      <c r="B54" s="121" t="s">
        <v>26</v>
      </c>
      <c r="C54" s="121" t="s">
        <v>7979</v>
      </c>
      <c r="D54" s="66" t="s">
        <v>7980</v>
      </c>
      <c r="E54" s="25" t="s">
        <v>7981</v>
      </c>
      <c r="F54" s="25" t="s">
        <v>7982</v>
      </c>
      <c r="G54" s="25"/>
      <c r="H54" s="235"/>
      <c r="I54" s="235"/>
      <c r="J54" s="64"/>
      <c r="K54" s="45" t="b">
        <f t="shared" si="0"/>
        <v>0</v>
      </c>
      <c r="L54" s="24"/>
      <c r="M54" s="24"/>
      <c r="N54" s="24"/>
      <c r="O54" s="24"/>
      <c r="P54" s="24"/>
      <c r="Q54" s="24"/>
      <c r="R54" s="24"/>
      <c r="S54" s="24"/>
      <c r="T54" s="24"/>
      <c r="U54" s="24"/>
      <c r="V54" s="24"/>
      <c r="W54" s="24"/>
      <c r="X54" s="24"/>
      <c r="Y54" s="24"/>
      <c r="Z54" s="24"/>
      <c r="AA54" s="24"/>
      <c r="AB54" s="24"/>
      <c r="AC54" s="24"/>
    </row>
    <row r="55" spans="1:29" ht="76.099999999999994">
      <c r="A55" s="121" t="s">
        <v>7983</v>
      </c>
      <c r="B55" s="121" t="s">
        <v>26</v>
      </c>
      <c r="C55" s="242" t="s">
        <v>7984</v>
      </c>
      <c r="D55" s="66" t="s">
        <v>7985</v>
      </c>
      <c r="E55" s="66" t="s">
        <v>7986</v>
      </c>
      <c r="F55" s="58" t="s">
        <v>7987</v>
      </c>
      <c r="G55" s="25"/>
      <c r="H55" s="112" t="str">
        <f>HYPERLINK("https://www.acquisition.gov/content/part-1-federal-acquisition-regulations-system#id1617MD00GS8","FAR 1.604")</f>
        <v>FAR 1.604</v>
      </c>
      <c r="I55" s="112" t="str">
        <f>HYPERLINK("https://www.acquisition.gov/content/part-501-general-services-administration-acquisition-regulation-system#JLYPIUUN","GSAM 501.604")</f>
        <v>GSAM 501.604</v>
      </c>
      <c r="J55" s="64"/>
      <c r="K55" s="45" t="b">
        <f t="shared" si="0"/>
        <v>0</v>
      </c>
      <c r="L55" s="70"/>
      <c r="M55" s="24"/>
      <c r="N55" s="24"/>
      <c r="O55" s="24"/>
      <c r="P55" s="24"/>
      <c r="Q55" s="24"/>
      <c r="R55" s="24"/>
      <c r="S55" s="24"/>
      <c r="T55" s="24"/>
      <c r="U55" s="24"/>
      <c r="V55" s="24"/>
      <c r="W55" s="24"/>
      <c r="X55" s="24"/>
      <c r="Y55" s="24"/>
      <c r="Z55" s="24"/>
      <c r="AA55" s="24"/>
      <c r="AB55" s="24"/>
      <c r="AC55" s="24"/>
    </row>
    <row r="56" spans="1:29" ht="108.7">
      <c r="A56" s="121" t="s">
        <v>7988</v>
      </c>
      <c r="B56" s="121" t="s">
        <v>26</v>
      </c>
      <c r="C56" s="242" t="s">
        <v>7984</v>
      </c>
      <c r="D56" s="66" t="s">
        <v>7989</v>
      </c>
      <c r="E56" s="66" t="s">
        <v>7990</v>
      </c>
      <c r="F56" s="58" t="s">
        <v>7991</v>
      </c>
      <c r="G56" s="25"/>
      <c r="H56" s="112" t="str">
        <f>HYPERLINK("https://www.acquisition.gov/content/part-4-administrative-matters#i1122313","FAR 4.8")</f>
        <v>FAR 4.8</v>
      </c>
      <c r="I56" s="57" t="str">
        <f>HYPERLINK("https://www.acquisition.gov/content/part-504-administrative-matters#i1894357","GSAM 504.803 and the Contract Tab Advisory Guide at https://hallways.cap.gsa.gov/app/#/gateway/fas-acquisition-policy-library/17645/contract-tab-advisory-guide-ctag")</f>
        <v>GSAM 504.803 and the Contract Tab Advisory Guide at https://hallways.cap.gsa.gov/app/#/gateway/fas-acquisition-policy-library/17645/contract-tab-advisory-guide-ctag</v>
      </c>
      <c r="J56" s="64"/>
      <c r="K56" s="45" t="b">
        <f t="shared" si="0"/>
        <v>0</v>
      </c>
      <c r="L56" s="165"/>
      <c r="M56" s="70"/>
      <c r="N56" s="70"/>
      <c r="O56" s="24"/>
      <c r="P56" s="24"/>
      <c r="Q56" s="24"/>
      <c r="R56" s="24"/>
      <c r="S56" s="24"/>
      <c r="T56" s="24"/>
      <c r="U56" s="24"/>
      <c r="V56" s="24"/>
      <c r="W56" s="24"/>
      <c r="X56" s="24"/>
      <c r="Y56" s="24"/>
      <c r="Z56" s="24"/>
      <c r="AA56" s="24"/>
      <c r="AB56" s="24"/>
      <c r="AC56" s="24"/>
    </row>
    <row r="57" spans="1:29" ht="54.35">
      <c r="A57" s="121" t="s">
        <v>7992</v>
      </c>
      <c r="B57" s="121" t="s">
        <v>26</v>
      </c>
      <c r="C57" s="121" t="s">
        <v>7984</v>
      </c>
      <c r="D57" s="25" t="s">
        <v>7993</v>
      </c>
      <c r="E57" s="25" t="s">
        <v>7994</v>
      </c>
      <c r="F57" s="58" t="s">
        <v>7995</v>
      </c>
      <c r="G57" s="25"/>
      <c r="H57" s="235"/>
      <c r="I57" s="235"/>
      <c r="J57" s="64"/>
      <c r="K57" s="45" t="b">
        <f t="shared" si="0"/>
        <v>0</v>
      </c>
      <c r="L57" s="165"/>
      <c r="M57" s="70"/>
      <c r="N57" s="24"/>
      <c r="O57" s="24"/>
      <c r="P57" s="24"/>
      <c r="Q57" s="24"/>
      <c r="R57" s="24"/>
      <c r="S57" s="24"/>
      <c r="T57" s="24"/>
      <c r="U57" s="24"/>
      <c r="V57" s="24"/>
      <c r="W57" s="24"/>
      <c r="X57" s="24"/>
      <c r="Y57" s="24"/>
      <c r="Z57" s="24"/>
      <c r="AA57" s="24"/>
      <c r="AB57" s="24"/>
      <c r="AC57" s="24"/>
    </row>
    <row r="58" spans="1:29" ht="163.05000000000001">
      <c r="A58" s="121" t="s">
        <v>7996</v>
      </c>
      <c r="B58" s="121" t="s">
        <v>26</v>
      </c>
      <c r="C58" s="121" t="s">
        <v>7984</v>
      </c>
      <c r="D58" s="66" t="s">
        <v>7997</v>
      </c>
      <c r="E58" s="85" t="s">
        <v>7998</v>
      </c>
      <c r="F58" s="25" t="s">
        <v>7999</v>
      </c>
      <c r="G58" s="25"/>
      <c r="H58" s="235"/>
      <c r="I58" s="235"/>
      <c r="J58" s="64"/>
      <c r="K58" s="45" t="b">
        <f t="shared" si="0"/>
        <v>0</v>
      </c>
      <c r="L58" s="165"/>
      <c r="M58" s="70"/>
      <c r="N58" s="24"/>
      <c r="O58" s="24"/>
      <c r="P58" s="24"/>
      <c r="Q58" s="24"/>
      <c r="R58" s="24"/>
      <c r="S58" s="24"/>
      <c r="T58" s="24"/>
      <c r="U58" s="24"/>
      <c r="V58" s="24"/>
      <c r="W58" s="24"/>
      <c r="X58" s="24"/>
      <c r="Y58" s="24"/>
      <c r="Z58" s="24"/>
      <c r="AA58" s="24"/>
      <c r="AB58" s="24"/>
      <c r="AC58" s="24"/>
    </row>
    <row r="59" spans="1:29" ht="54.35">
      <c r="A59" s="121" t="s">
        <v>8000</v>
      </c>
      <c r="B59" s="121" t="s">
        <v>26</v>
      </c>
      <c r="C59" s="121" t="s">
        <v>7984</v>
      </c>
      <c r="D59" s="66" t="s">
        <v>8001</v>
      </c>
      <c r="E59" s="85" t="s">
        <v>8002</v>
      </c>
      <c r="F59" s="58" t="s">
        <v>8003</v>
      </c>
      <c r="G59" s="25"/>
      <c r="H59" s="235"/>
      <c r="I59" s="235"/>
      <c r="J59" s="64"/>
      <c r="K59" s="45" t="b">
        <f t="shared" si="0"/>
        <v>0</v>
      </c>
      <c r="L59" s="165"/>
      <c r="M59" s="70"/>
      <c r="N59" s="24"/>
      <c r="O59" s="24"/>
      <c r="P59" s="24"/>
      <c r="Q59" s="24"/>
      <c r="R59" s="24"/>
      <c r="S59" s="24"/>
      <c r="T59" s="24"/>
      <c r="U59" s="24"/>
      <c r="V59" s="24"/>
      <c r="W59" s="24"/>
      <c r="X59" s="24"/>
      <c r="Y59" s="24"/>
      <c r="Z59" s="24"/>
      <c r="AA59" s="24"/>
      <c r="AB59" s="24"/>
      <c r="AC59" s="24"/>
    </row>
    <row r="60" spans="1:29" ht="65.25">
      <c r="A60" s="121" t="s">
        <v>8004</v>
      </c>
      <c r="B60" s="121" t="s">
        <v>26</v>
      </c>
      <c r="C60" s="121" t="s">
        <v>7984</v>
      </c>
      <c r="D60" s="66" t="s">
        <v>8005</v>
      </c>
      <c r="E60" s="85" t="s">
        <v>8006</v>
      </c>
      <c r="F60" s="58" t="s">
        <v>8007</v>
      </c>
      <c r="G60" s="25"/>
      <c r="H60" s="235"/>
      <c r="I60" s="235"/>
      <c r="J60" s="64"/>
      <c r="K60" s="45" t="b">
        <f t="shared" si="0"/>
        <v>0</v>
      </c>
      <c r="L60" s="165"/>
      <c r="M60" s="70"/>
      <c r="N60" s="24"/>
      <c r="O60" s="24"/>
      <c r="P60" s="24"/>
      <c r="Q60" s="24"/>
      <c r="R60" s="24"/>
      <c r="S60" s="24"/>
      <c r="T60" s="24"/>
      <c r="U60" s="24"/>
      <c r="V60" s="24"/>
      <c r="W60" s="24"/>
      <c r="X60" s="24"/>
      <c r="Y60" s="24"/>
      <c r="Z60" s="24"/>
      <c r="AA60" s="24"/>
      <c r="AB60" s="24"/>
      <c r="AC60" s="24"/>
    </row>
    <row r="61" spans="1:29" ht="65.25">
      <c r="A61" s="121" t="s">
        <v>8008</v>
      </c>
      <c r="B61" s="121" t="s">
        <v>26</v>
      </c>
      <c r="C61" s="121" t="s">
        <v>7984</v>
      </c>
      <c r="D61" s="66" t="s">
        <v>8009</v>
      </c>
      <c r="E61" s="85" t="s">
        <v>8010</v>
      </c>
      <c r="F61" s="58" t="s">
        <v>8011</v>
      </c>
      <c r="G61" s="25"/>
      <c r="H61" s="235"/>
      <c r="I61" s="235"/>
      <c r="J61" s="64"/>
      <c r="K61" s="45" t="b">
        <f t="shared" si="0"/>
        <v>0</v>
      </c>
      <c r="L61" s="165"/>
      <c r="M61" s="70"/>
      <c r="N61" s="24"/>
      <c r="O61" s="24"/>
      <c r="P61" s="24"/>
      <c r="Q61" s="24"/>
      <c r="R61" s="24"/>
      <c r="S61" s="24"/>
      <c r="T61" s="24"/>
      <c r="U61" s="24"/>
      <c r="V61" s="24"/>
      <c r="W61" s="24"/>
      <c r="X61" s="24"/>
      <c r="Y61" s="24"/>
      <c r="Z61" s="24"/>
      <c r="AA61" s="24"/>
      <c r="AB61" s="24"/>
      <c r="AC61" s="24"/>
    </row>
    <row r="62" spans="1:29" ht="76.099999999999994">
      <c r="A62" s="121" t="s">
        <v>8012</v>
      </c>
      <c r="B62" s="121" t="s">
        <v>26</v>
      </c>
      <c r="C62" s="121" t="s">
        <v>8013</v>
      </c>
      <c r="D62" s="39" t="s">
        <v>8014</v>
      </c>
      <c r="E62" s="25" t="s">
        <v>8015</v>
      </c>
      <c r="F62" s="25" t="s">
        <v>8016</v>
      </c>
      <c r="G62" s="85"/>
      <c r="H62" s="235"/>
      <c r="I62" s="235"/>
      <c r="J62" s="64"/>
      <c r="K62" s="45" t="b">
        <f t="shared" si="0"/>
        <v>0</v>
      </c>
      <c r="L62" s="165"/>
      <c r="M62" s="70"/>
      <c r="N62" s="24"/>
      <c r="O62" s="24"/>
      <c r="P62" s="24"/>
      <c r="Q62" s="24"/>
      <c r="R62" s="24"/>
      <c r="S62" s="24"/>
      <c r="T62" s="24"/>
      <c r="U62" s="24"/>
      <c r="V62" s="24"/>
      <c r="W62" s="24"/>
      <c r="X62" s="24"/>
      <c r="Y62" s="24"/>
      <c r="Z62" s="24"/>
      <c r="AA62" s="24"/>
      <c r="AB62" s="24"/>
      <c r="AC62" s="24"/>
    </row>
    <row r="63" spans="1:29" ht="65.25">
      <c r="A63" s="121" t="s">
        <v>8017</v>
      </c>
      <c r="B63" s="121" t="s">
        <v>26</v>
      </c>
      <c r="C63" s="121" t="s">
        <v>8013</v>
      </c>
      <c r="D63" s="39" t="s">
        <v>8018</v>
      </c>
      <c r="E63" s="25" t="s">
        <v>8019</v>
      </c>
      <c r="F63" s="39" t="s">
        <v>8020</v>
      </c>
      <c r="G63" s="85"/>
      <c r="H63" s="235"/>
      <c r="I63" s="235"/>
      <c r="J63" s="64"/>
      <c r="K63" s="45" t="b">
        <f t="shared" si="0"/>
        <v>0</v>
      </c>
      <c r="L63" s="165"/>
      <c r="M63" s="70"/>
      <c r="N63" s="24"/>
      <c r="O63" s="24"/>
      <c r="P63" s="24"/>
      <c r="Q63" s="24"/>
      <c r="R63" s="24"/>
      <c r="S63" s="24"/>
      <c r="T63" s="24"/>
      <c r="U63" s="24"/>
      <c r="V63" s="24"/>
      <c r="W63" s="24"/>
      <c r="X63" s="24"/>
      <c r="Y63" s="24"/>
      <c r="Z63" s="24"/>
      <c r="AA63" s="24"/>
      <c r="AB63" s="24"/>
      <c r="AC63" s="24"/>
    </row>
    <row r="64" spans="1:29" ht="43.5">
      <c r="A64" s="121" t="s">
        <v>8021</v>
      </c>
      <c r="B64" s="121" t="s">
        <v>26</v>
      </c>
      <c r="C64" s="121" t="s">
        <v>8013</v>
      </c>
      <c r="D64" s="39" t="s">
        <v>8022</v>
      </c>
      <c r="E64" s="25" t="s">
        <v>8023</v>
      </c>
      <c r="F64" s="58" t="s">
        <v>8024</v>
      </c>
      <c r="G64" s="85"/>
      <c r="H64" s="235"/>
      <c r="I64" s="235"/>
      <c r="J64" s="64"/>
      <c r="K64" s="45" t="b">
        <f t="shared" si="0"/>
        <v>0</v>
      </c>
      <c r="L64" s="24"/>
      <c r="M64" s="24"/>
      <c r="N64" s="24"/>
      <c r="O64" s="24"/>
      <c r="P64" s="24"/>
      <c r="Q64" s="24"/>
      <c r="R64" s="24"/>
      <c r="S64" s="24"/>
      <c r="T64" s="24"/>
      <c r="U64" s="24"/>
      <c r="V64" s="24"/>
      <c r="W64" s="24"/>
      <c r="X64" s="24"/>
      <c r="Y64" s="24"/>
      <c r="Z64" s="24"/>
      <c r="AA64" s="24"/>
      <c r="AB64" s="24"/>
      <c r="AC64" s="24"/>
    </row>
    <row r="65" spans="1:29" ht="32.6">
      <c r="A65" s="121" t="s">
        <v>8025</v>
      </c>
      <c r="B65" s="121" t="s">
        <v>26</v>
      </c>
      <c r="C65" s="121" t="s">
        <v>8013</v>
      </c>
      <c r="D65" s="39" t="s">
        <v>8026</v>
      </c>
      <c r="E65" s="25" t="s">
        <v>8027</v>
      </c>
      <c r="F65" s="58" t="s">
        <v>8028</v>
      </c>
      <c r="G65" s="85"/>
      <c r="H65" s="235"/>
      <c r="I65" s="235"/>
      <c r="J65" s="64"/>
      <c r="K65" s="45" t="b">
        <f t="shared" si="0"/>
        <v>0</v>
      </c>
      <c r="L65" s="24"/>
      <c r="M65" s="24"/>
      <c r="N65" s="24"/>
      <c r="O65" s="24"/>
      <c r="P65" s="24"/>
      <c r="Q65" s="24"/>
      <c r="R65" s="24"/>
      <c r="S65" s="24"/>
      <c r="T65" s="24"/>
      <c r="U65" s="24"/>
      <c r="V65" s="24"/>
      <c r="W65" s="24"/>
      <c r="X65" s="24"/>
      <c r="Y65" s="24"/>
      <c r="Z65" s="24"/>
      <c r="AA65" s="24"/>
      <c r="AB65" s="24"/>
      <c r="AC65" s="24"/>
    </row>
    <row r="66" spans="1:29" ht="65.25">
      <c r="A66" s="121" t="s">
        <v>8029</v>
      </c>
      <c r="B66" s="121" t="s">
        <v>26</v>
      </c>
      <c r="C66" s="121" t="s">
        <v>1</v>
      </c>
      <c r="D66" s="79" t="s">
        <v>8030</v>
      </c>
      <c r="E66" s="25" t="s">
        <v>8031</v>
      </c>
      <c r="F66" s="39" t="s">
        <v>8032</v>
      </c>
      <c r="G66" s="85" t="s">
        <v>6008</v>
      </c>
      <c r="H66" s="112" t="str">
        <f>HYPERLINK("https://www.acquisition.gov/content/part-1-federal-acquisition-regulations-system#id1617MD00GS8","FAR 1.604")</f>
        <v>FAR 1.604</v>
      </c>
      <c r="I66" s="112" t="str">
        <f>HYPERLINK("https://www.acquisition.gov/content/part-501-general-services-administration-acquisition-regulation-system#JLYPIUUN","GSAM 501.604")</f>
        <v>GSAM 501.604</v>
      </c>
      <c r="J66" s="64"/>
      <c r="K66" s="45" t="b">
        <f t="shared" si="0"/>
        <v>0</v>
      </c>
      <c r="L66" s="24"/>
      <c r="M66" s="24"/>
      <c r="N66" s="24"/>
      <c r="O66" s="24"/>
      <c r="P66" s="24"/>
      <c r="Q66" s="24"/>
      <c r="R66" s="24"/>
      <c r="S66" s="24"/>
      <c r="T66" s="24"/>
      <c r="U66" s="24"/>
      <c r="V66" s="24"/>
      <c r="W66" s="24"/>
      <c r="X66" s="24"/>
      <c r="Y66" s="24"/>
      <c r="Z66" s="24"/>
      <c r="AA66" s="24"/>
      <c r="AB66" s="24"/>
      <c r="AC66" s="24"/>
    </row>
    <row r="67" spans="1:29" ht="65.25">
      <c r="A67" s="121" t="s">
        <v>8033</v>
      </c>
      <c r="B67" s="121" t="s">
        <v>26</v>
      </c>
      <c r="C67" s="121" t="s">
        <v>1</v>
      </c>
      <c r="D67" s="79" t="s">
        <v>8034</v>
      </c>
      <c r="E67" s="25" t="s">
        <v>8035</v>
      </c>
      <c r="F67" s="39" t="s">
        <v>8036</v>
      </c>
      <c r="G67" s="85"/>
      <c r="H67" s="141" t="str">
        <f>HYPERLINK("https://www.whitehouse.gov/wp-content/uploads/2019/03/M-19-13.pdf","M-19-13: Category Management: Making Smarter Use of Common Contract Solutions and Practices")</f>
        <v>M-19-13: Category Management: Making Smarter Use of Common Contract Solutions and Practices</v>
      </c>
      <c r="I67" s="233" t="str">
        <f>HYPERLINK("https://www.acquisition.gov/content/part-501-general-services-administration-acquisition-regulation-system#GERXAHSB","GSAM 501.670")</f>
        <v>GSAM 501.670</v>
      </c>
      <c r="J67" s="64"/>
      <c r="K67" s="45" t="b">
        <f t="shared" si="0"/>
        <v>0</v>
      </c>
      <c r="L67" s="24"/>
      <c r="M67" s="24"/>
      <c r="N67" s="24"/>
      <c r="O67" s="24"/>
      <c r="P67" s="24"/>
      <c r="Q67" s="24"/>
      <c r="R67" s="24"/>
      <c r="S67" s="24"/>
      <c r="T67" s="24"/>
      <c r="U67" s="24"/>
      <c r="V67" s="24"/>
      <c r="W67" s="24"/>
      <c r="X67" s="24"/>
      <c r="Y67" s="24"/>
      <c r="Z67" s="24"/>
      <c r="AA67" s="24"/>
      <c r="AB67" s="24"/>
      <c r="AC67" s="24"/>
    </row>
    <row r="68" spans="1:29" ht="32.6">
      <c r="A68" s="121" t="s">
        <v>8037</v>
      </c>
      <c r="B68" s="121" t="s">
        <v>26</v>
      </c>
      <c r="C68" s="121" t="s">
        <v>1</v>
      </c>
      <c r="D68" s="66" t="s">
        <v>8038</v>
      </c>
      <c r="E68" s="25" t="s">
        <v>8039</v>
      </c>
      <c r="F68" s="164" t="s">
        <v>8040</v>
      </c>
      <c r="G68" s="85"/>
      <c r="H68" s="235"/>
      <c r="I68" s="235"/>
      <c r="J68" s="64"/>
      <c r="K68" s="45" t="b">
        <f t="shared" si="0"/>
        <v>0</v>
      </c>
      <c r="L68" s="24"/>
      <c r="M68" s="24"/>
      <c r="N68" s="24"/>
      <c r="O68" s="24"/>
      <c r="P68" s="24"/>
      <c r="Q68" s="24"/>
      <c r="R68" s="24"/>
      <c r="S68" s="24"/>
      <c r="T68" s="24"/>
      <c r="U68" s="24"/>
      <c r="V68" s="24"/>
      <c r="W68" s="24"/>
      <c r="X68" s="24"/>
      <c r="Y68" s="24"/>
      <c r="Z68" s="24"/>
      <c r="AA68" s="24"/>
      <c r="AB68" s="24"/>
      <c r="AC68" s="24"/>
    </row>
    <row r="69" spans="1:29" ht="32.6">
      <c r="A69" s="121" t="s">
        <v>8041</v>
      </c>
      <c r="B69" s="121" t="s">
        <v>26</v>
      </c>
      <c r="C69" s="121" t="s">
        <v>8042</v>
      </c>
      <c r="D69" s="39" t="s">
        <v>8043</v>
      </c>
      <c r="E69" s="25" t="s">
        <v>8044</v>
      </c>
      <c r="F69" s="58" t="s">
        <v>8045</v>
      </c>
      <c r="G69" s="85"/>
      <c r="H69" s="235"/>
      <c r="I69" s="235"/>
      <c r="J69" s="64"/>
      <c r="K69" s="45" t="b">
        <f t="shared" si="0"/>
        <v>0</v>
      </c>
      <c r="L69" s="24"/>
      <c r="M69" s="24"/>
      <c r="N69" s="24"/>
      <c r="O69" s="24"/>
      <c r="P69" s="24"/>
      <c r="Q69" s="24"/>
      <c r="R69" s="24"/>
      <c r="S69" s="24"/>
      <c r="T69" s="24"/>
      <c r="U69" s="24"/>
      <c r="V69" s="24"/>
      <c r="W69" s="24"/>
      <c r="X69" s="24"/>
      <c r="Y69" s="24"/>
      <c r="Z69" s="24"/>
      <c r="AA69" s="24"/>
      <c r="AB69" s="24"/>
      <c r="AC69" s="24"/>
    </row>
    <row r="70" spans="1:29" ht="43.5">
      <c r="A70" s="121" t="s">
        <v>8046</v>
      </c>
      <c r="B70" s="121" t="s">
        <v>26</v>
      </c>
      <c r="C70" s="121" t="s">
        <v>8042</v>
      </c>
      <c r="D70" s="39" t="s">
        <v>8047</v>
      </c>
      <c r="E70" s="25" t="s">
        <v>8048</v>
      </c>
      <c r="F70" s="58" t="s">
        <v>8049</v>
      </c>
      <c r="G70" s="85"/>
      <c r="H70" s="235"/>
      <c r="I70" s="235"/>
      <c r="J70" s="64"/>
      <c r="K70" s="45" t="b">
        <f t="shared" si="0"/>
        <v>0</v>
      </c>
      <c r="L70" s="24"/>
      <c r="M70" s="24"/>
      <c r="N70" s="24"/>
      <c r="O70" s="24"/>
      <c r="P70" s="24"/>
      <c r="Q70" s="24"/>
      <c r="R70" s="24"/>
      <c r="S70" s="24"/>
      <c r="T70" s="24"/>
      <c r="U70" s="24"/>
      <c r="V70" s="24"/>
      <c r="W70" s="24"/>
      <c r="X70" s="24"/>
      <c r="Y70" s="24"/>
      <c r="Z70" s="24"/>
      <c r="AA70" s="24"/>
      <c r="AB70" s="24"/>
      <c r="AC70" s="24"/>
    </row>
    <row r="71" spans="1:29" ht="43.5">
      <c r="A71" s="121" t="s">
        <v>8050</v>
      </c>
      <c r="B71" s="121" t="s">
        <v>26</v>
      </c>
      <c r="C71" s="121" t="s">
        <v>8042</v>
      </c>
      <c r="D71" s="39" t="s">
        <v>8051</v>
      </c>
      <c r="E71" s="25" t="s">
        <v>8052</v>
      </c>
      <c r="F71" s="58" t="s">
        <v>8053</v>
      </c>
      <c r="G71" s="85"/>
      <c r="H71" s="235"/>
      <c r="I71" s="235"/>
      <c r="J71" s="64"/>
      <c r="K71" s="45" t="b">
        <f t="shared" si="0"/>
        <v>0</v>
      </c>
      <c r="L71" s="24"/>
      <c r="M71" s="24"/>
      <c r="N71" s="24"/>
      <c r="O71" s="24"/>
      <c r="P71" s="24"/>
      <c r="Q71" s="24"/>
      <c r="R71" s="24"/>
      <c r="S71" s="24"/>
      <c r="T71" s="24"/>
      <c r="U71" s="24"/>
      <c r="V71" s="24"/>
      <c r="W71" s="24"/>
      <c r="X71" s="24"/>
      <c r="Y71" s="24"/>
      <c r="Z71" s="24"/>
      <c r="AA71" s="24"/>
      <c r="AB71" s="24"/>
      <c r="AC71" s="24"/>
    </row>
    <row r="72" spans="1:29" ht="54.35">
      <c r="A72" s="121" t="s">
        <v>8054</v>
      </c>
      <c r="B72" s="121" t="s">
        <v>26</v>
      </c>
      <c r="C72" s="121" t="s">
        <v>8042</v>
      </c>
      <c r="D72" s="79" t="s">
        <v>8055</v>
      </c>
      <c r="E72" s="25" t="s">
        <v>8056</v>
      </c>
      <c r="F72" s="25" t="s">
        <v>8057</v>
      </c>
      <c r="G72" s="85"/>
      <c r="H72" s="235"/>
      <c r="I72" s="235"/>
      <c r="J72" s="64"/>
      <c r="K72" s="45" t="b">
        <f t="shared" si="0"/>
        <v>0</v>
      </c>
      <c r="L72" s="24"/>
      <c r="M72" s="24"/>
      <c r="N72" s="24"/>
      <c r="O72" s="24"/>
      <c r="P72" s="24"/>
      <c r="Q72" s="24"/>
      <c r="R72" s="24"/>
      <c r="S72" s="24"/>
      <c r="T72" s="24"/>
      <c r="U72" s="24"/>
      <c r="V72" s="24"/>
      <c r="W72" s="24"/>
      <c r="X72" s="24"/>
      <c r="Y72" s="24"/>
      <c r="Z72" s="24"/>
      <c r="AA72" s="24"/>
      <c r="AB72" s="24"/>
      <c r="AC72" s="24"/>
    </row>
    <row r="73" spans="1:29" ht="76.099999999999994">
      <c r="A73" s="121" t="s">
        <v>8058</v>
      </c>
      <c r="B73" s="121" t="s">
        <v>26</v>
      </c>
      <c r="C73" s="121" t="s">
        <v>8059</v>
      </c>
      <c r="D73" s="39" t="s">
        <v>8060</v>
      </c>
      <c r="E73" s="25" t="s">
        <v>8061</v>
      </c>
      <c r="F73" s="58" t="s">
        <v>8062</v>
      </c>
      <c r="G73" s="85"/>
      <c r="H73" s="235"/>
      <c r="I73" s="235"/>
      <c r="J73" s="64"/>
      <c r="K73" s="45" t="b">
        <f t="shared" si="0"/>
        <v>0</v>
      </c>
      <c r="L73" s="24"/>
      <c r="M73" s="24"/>
      <c r="N73" s="24"/>
      <c r="O73" s="24"/>
      <c r="P73" s="24"/>
      <c r="Q73" s="24"/>
      <c r="R73" s="24"/>
      <c r="S73" s="24"/>
      <c r="T73" s="24"/>
      <c r="U73" s="24"/>
      <c r="V73" s="24"/>
      <c r="W73" s="24"/>
      <c r="X73" s="24"/>
      <c r="Y73" s="24"/>
      <c r="Z73" s="24"/>
      <c r="AA73" s="24"/>
      <c r="AB73" s="24"/>
      <c r="AC73" s="24"/>
    </row>
    <row r="74" spans="1:29" ht="43.5">
      <c r="A74" s="121" t="s">
        <v>8063</v>
      </c>
      <c r="B74" s="121" t="s">
        <v>26</v>
      </c>
      <c r="C74" s="121" t="s">
        <v>8059</v>
      </c>
      <c r="D74" s="39" t="s">
        <v>8064</v>
      </c>
      <c r="E74" s="25" t="s">
        <v>8065</v>
      </c>
      <c r="F74" s="58" t="s">
        <v>8066</v>
      </c>
      <c r="G74" s="85"/>
      <c r="H74" s="235"/>
      <c r="I74" s="235"/>
      <c r="J74" s="64"/>
      <c r="K74" s="45" t="b">
        <f t="shared" si="0"/>
        <v>0</v>
      </c>
      <c r="L74" s="24"/>
      <c r="M74" s="24"/>
      <c r="N74" s="24"/>
      <c r="O74" s="24"/>
      <c r="P74" s="24"/>
      <c r="Q74" s="24"/>
      <c r="R74" s="24"/>
      <c r="S74" s="24"/>
      <c r="T74" s="24"/>
      <c r="U74" s="24"/>
      <c r="V74" s="24"/>
      <c r="W74" s="24"/>
      <c r="X74" s="24"/>
      <c r="Y74" s="24"/>
      <c r="Z74" s="24"/>
      <c r="AA74" s="24"/>
      <c r="AB74" s="24"/>
      <c r="AC74" s="24"/>
    </row>
    <row r="75" spans="1:29" ht="43.5">
      <c r="A75" s="121" t="s">
        <v>8067</v>
      </c>
      <c r="B75" s="121" t="s">
        <v>26</v>
      </c>
      <c r="C75" s="121" t="s">
        <v>8059</v>
      </c>
      <c r="D75" s="39" t="s">
        <v>8068</v>
      </c>
      <c r="E75" s="25" t="s">
        <v>8069</v>
      </c>
      <c r="F75" s="58" t="s">
        <v>8070</v>
      </c>
      <c r="G75" s="85"/>
      <c r="H75" s="235"/>
      <c r="I75" s="235"/>
      <c r="J75" s="64"/>
      <c r="K75" s="45" t="b">
        <f t="shared" si="0"/>
        <v>0</v>
      </c>
      <c r="L75" s="24"/>
      <c r="M75" s="24"/>
      <c r="N75" s="24"/>
      <c r="O75" s="24"/>
      <c r="P75" s="24"/>
      <c r="Q75" s="24"/>
      <c r="R75" s="24"/>
      <c r="S75" s="24"/>
      <c r="T75" s="24"/>
      <c r="U75" s="24"/>
      <c r="V75" s="24"/>
      <c r="W75" s="24"/>
      <c r="X75" s="24"/>
      <c r="Y75" s="24"/>
      <c r="Z75" s="24"/>
      <c r="AA75" s="24"/>
      <c r="AB75" s="24"/>
      <c r="AC75" s="24"/>
    </row>
    <row r="76" spans="1:29" ht="54.35">
      <c r="A76" s="121" t="s">
        <v>8071</v>
      </c>
      <c r="B76" s="121" t="s">
        <v>26</v>
      </c>
      <c r="C76" s="121" t="s">
        <v>8059</v>
      </c>
      <c r="D76" s="66" t="s">
        <v>8072</v>
      </c>
      <c r="E76" s="25" t="s">
        <v>8073</v>
      </c>
      <c r="F76" s="58" t="s">
        <v>8074</v>
      </c>
      <c r="G76" s="85"/>
      <c r="H76" s="235"/>
      <c r="I76" s="235"/>
      <c r="J76" s="64"/>
      <c r="K76" s="45" t="b">
        <f t="shared" si="0"/>
        <v>0</v>
      </c>
      <c r="L76" s="24"/>
      <c r="M76" s="24"/>
      <c r="N76" s="24"/>
      <c r="O76" s="24"/>
      <c r="P76" s="24"/>
      <c r="Q76" s="24"/>
      <c r="R76" s="24"/>
      <c r="S76" s="24"/>
      <c r="T76" s="24"/>
      <c r="U76" s="24"/>
      <c r="V76" s="24"/>
      <c r="W76" s="24"/>
      <c r="X76" s="24"/>
      <c r="Y76" s="24"/>
      <c r="Z76" s="24"/>
      <c r="AA76" s="24"/>
      <c r="AB76" s="24"/>
      <c r="AC76" s="24"/>
    </row>
    <row r="77" spans="1:29" ht="76.099999999999994">
      <c r="A77" s="121" t="s">
        <v>8075</v>
      </c>
      <c r="B77" s="121" t="s">
        <v>26</v>
      </c>
      <c r="C77" s="216" t="s">
        <v>8076</v>
      </c>
      <c r="D77" s="246" t="s">
        <v>8077</v>
      </c>
      <c r="E77" s="25" t="s">
        <v>8078</v>
      </c>
      <c r="F77" s="58" t="s">
        <v>8079</v>
      </c>
      <c r="G77" s="85"/>
      <c r="H77" s="235"/>
      <c r="I77" s="235"/>
      <c r="J77" s="64"/>
      <c r="K77" s="45" t="b">
        <f t="shared" si="0"/>
        <v>0</v>
      </c>
      <c r="L77" s="24"/>
      <c r="M77" s="24"/>
      <c r="N77" s="24"/>
      <c r="O77" s="24"/>
      <c r="P77" s="24"/>
      <c r="Q77" s="24"/>
      <c r="R77" s="24"/>
      <c r="S77" s="24"/>
      <c r="T77" s="24"/>
      <c r="U77" s="24"/>
      <c r="V77" s="24"/>
      <c r="W77" s="24"/>
      <c r="X77" s="24"/>
      <c r="Y77" s="24"/>
      <c r="Z77" s="24"/>
      <c r="AA77" s="24"/>
      <c r="AB77" s="24"/>
      <c r="AC77" s="24"/>
    </row>
    <row r="78" spans="1:29" ht="54.35">
      <c r="A78" s="121" t="s">
        <v>8080</v>
      </c>
      <c r="B78" s="121" t="s">
        <v>26</v>
      </c>
      <c r="C78" s="216" t="s">
        <v>8076</v>
      </c>
      <c r="D78" s="66" t="s">
        <v>8081</v>
      </c>
      <c r="E78" s="85" t="s">
        <v>8082</v>
      </c>
      <c r="F78" s="58" t="s">
        <v>8083</v>
      </c>
      <c r="G78" s="85"/>
      <c r="H78" s="235"/>
      <c r="I78" s="235"/>
      <c r="J78" s="64"/>
      <c r="K78" s="45" t="b">
        <f t="shared" si="0"/>
        <v>0</v>
      </c>
      <c r="L78" s="24"/>
      <c r="M78" s="24"/>
      <c r="N78" s="24"/>
      <c r="O78" s="24"/>
      <c r="P78" s="24"/>
      <c r="Q78" s="24"/>
      <c r="R78" s="24"/>
      <c r="S78" s="24"/>
      <c r="T78" s="24"/>
      <c r="U78" s="24"/>
      <c r="V78" s="24"/>
      <c r="W78" s="24"/>
      <c r="X78" s="24"/>
      <c r="Y78" s="24"/>
      <c r="Z78" s="24"/>
      <c r="AA78" s="24"/>
      <c r="AB78" s="24"/>
      <c r="AC78" s="24"/>
    </row>
    <row r="79" spans="1:29" ht="76.099999999999994">
      <c r="A79" s="121" t="s">
        <v>8084</v>
      </c>
      <c r="B79" s="121" t="s">
        <v>26</v>
      </c>
      <c r="C79" s="121" t="s">
        <v>8076</v>
      </c>
      <c r="D79" s="66" t="s">
        <v>8085</v>
      </c>
      <c r="E79" s="85" t="s">
        <v>8086</v>
      </c>
      <c r="F79" s="58" t="s">
        <v>8087</v>
      </c>
      <c r="G79" s="25"/>
      <c r="H79" s="235"/>
      <c r="I79" s="235"/>
      <c r="J79" s="64"/>
      <c r="K79" s="45" t="b">
        <f t="shared" si="0"/>
        <v>0</v>
      </c>
      <c r="L79" s="24"/>
      <c r="M79" s="24"/>
      <c r="N79" s="24"/>
      <c r="O79" s="24"/>
      <c r="P79" s="24"/>
      <c r="Q79" s="24"/>
      <c r="R79" s="24"/>
      <c r="S79" s="24"/>
      <c r="T79" s="24"/>
      <c r="U79" s="24"/>
      <c r="V79" s="24"/>
      <c r="W79" s="24"/>
      <c r="X79" s="24"/>
      <c r="Y79" s="24"/>
      <c r="Z79" s="24"/>
      <c r="AA79" s="24"/>
      <c r="AB79" s="24"/>
      <c r="AC79" s="24"/>
    </row>
    <row r="80" spans="1:29" ht="43.5">
      <c r="A80" s="121" t="s">
        <v>8088</v>
      </c>
      <c r="B80" s="121" t="s">
        <v>26</v>
      </c>
      <c r="C80" s="121" t="s">
        <v>8013</v>
      </c>
      <c r="D80" s="66" t="s">
        <v>8089</v>
      </c>
      <c r="E80" s="25" t="s">
        <v>8090</v>
      </c>
      <c r="F80" s="25" t="s">
        <v>8091</v>
      </c>
      <c r="G80" s="25"/>
      <c r="H80" s="235"/>
      <c r="I80" s="235"/>
      <c r="J80" s="64"/>
      <c r="K80" s="45" t="b">
        <f t="shared" si="0"/>
        <v>0</v>
      </c>
      <c r="L80" s="24"/>
      <c r="M80" s="24"/>
      <c r="N80" s="24"/>
      <c r="O80" s="24"/>
      <c r="P80" s="24"/>
      <c r="Q80" s="24"/>
      <c r="R80" s="24"/>
      <c r="S80" s="24"/>
      <c r="T80" s="24"/>
      <c r="U80" s="24"/>
      <c r="V80" s="24"/>
      <c r="W80" s="24"/>
      <c r="X80" s="24"/>
      <c r="Y80" s="24"/>
      <c r="Z80" s="24"/>
      <c r="AA80" s="24"/>
      <c r="AB80" s="24"/>
      <c r="AC80" s="24"/>
    </row>
    <row r="81" spans="1:29" ht="43.5">
      <c r="A81" s="121" t="s">
        <v>8092</v>
      </c>
      <c r="B81" s="121" t="s">
        <v>26</v>
      </c>
      <c r="C81" s="121" t="s">
        <v>8042</v>
      </c>
      <c r="D81" s="66" t="s">
        <v>8093</v>
      </c>
      <c r="E81" s="25" t="s">
        <v>8094</v>
      </c>
      <c r="F81" s="25" t="s">
        <v>8095</v>
      </c>
      <c r="G81" s="25"/>
      <c r="H81" s="112" t="str">
        <f>HYPERLINK("https://www.fedramp.gov/assets/resources/documents/FedRAMP_Policy_Memo.pdf","FedRAMP Policy Memo")</f>
        <v>FedRAMP Policy Memo</v>
      </c>
      <c r="I81" s="235"/>
      <c r="J81" s="64"/>
      <c r="K81" s="45" t="b">
        <f t="shared" si="0"/>
        <v>0</v>
      </c>
      <c r="L81" s="24"/>
      <c r="M81" s="24"/>
      <c r="N81" s="24"/>
      <c r="O81" s="24"/>
      <c r="P81" s="24"/>
      <c r="Q81" s="24"/>
      <c r="R81" s="24"/>
      <c r="S81" s="24"/>
      <c r="T81" s="24"/>
      <c r="U81" s="24"/>
      <c r="V81" s="24"/>
      <c r="W81" s="24"/>
      <c r="X81" s="24"/>
      <c r="Y81" s="24"/>
      <c r="Z81" s="24"/>
      <c r="AA81" s="24"/>
      <c r="AB81" s="24"/>
      <c r="AC81" s="24"/>
    </row>
    <row r="82" spans="1:29" ht="12.9">
      <c r="A82" s="70"/>
      <c r="B82" s="70"/>
      <c r="C82" s="168"/>
      <c r="D82" s="169"/>
      <c r="E82" s="70"/>
      <c r="F82" s="70"/>
      <c r="G82" s="70"/>
      <c r="H82" s="117"/>
      <c r="I82" s="117"/>
      <c r="J82" s="24"/>
      <c r="K82" s="24"/>
      <c r="L82" s="24"/>
      <c r="M82" s="24"/>
      <c r="N82" s="24"/>
      <c r="O82" s="24"/>
      <c r="P82" s="24"/>
      <c r="Q82" s="24"/>
      <c r="R82" s="24"/>
      <c r="S82" s="24"/>
      <c r="T82" s="24"/>
      <c r="U82" s="24"/>
      <c r="V82" s="24"/>
      <c r="W82" s="24"/>
      <c r="X82" s="24"/>
      <c r="Y82" s="24"/>
      <c r="Z82" s="24"/>
      <c r="AA82" s="24"/>
      <c r="AB82" s="24"/>
      <c r="AC82" s="24"/>
    </row>
    <row r="83" spans="1:29" ht="15.65">
      <c r="A83" s="70"/>
      <c r="B83" s="70"/>
      <c r="C83" s="168"/>
      <c r="D83" s="169"/>
      <c r="E83" s="70"/>
      <c r="F83" s="70"/>
      <c r="G83" s="70"/>
      <c r="H83" s="117"/>
      <c r="I83" s="117"/>
      <c r="K83" s="125">
        <f>SUM(K2:K81)</f>
        <v>0</v>
      </c>
      <c r="L83" s="24"/>
      <c r="M83" s="24"/>
      <c r="N83" s="24"/>
      <c r="O83" s="24"/>
      <c r="P83" s="24"/>
      <c r="Q83" s="24"/>
      <c r="R83" s="24"/>
      <c r="S83" s="24"/>
      <c r="T83" s="24"/>
      <c r="U83" s="24"/>
      <c r="V83" s="24"/>
      <c r="W83" s="24"/>
      <c r="X83" s="24"/>
      <c r="Y83" s="24"/>
      <c r="Z83" s="24"/>
      <c r="AA83" s="24"/>
      <c r="AB83" s="24"/>
      <c r="AC83" s="24"/>
    </row>
    <row r="84" spans="1:29" ht="12.9">
      <c r="A84" s="70"/>
      <c r="B84" s="70"/>
      <c r="C84" s="168"/>
      <c r="D84" s="169"/>
      <c r="E84" s="70"/>
      <c r="F84" s="70"/>
      <c r="G84" s="70"/>
      <c r="H84" s="117"/>
      <c r="I84" s="117"/>
      <c r="J84" s="24"/>
      <c r="K84" s="24"/>
      <c r="L84" s="24"/>
      <c r="M84" s="24"/>
      <c r="N84" s="24"/>
      <c r="O84" s="24"/>
      <c r="P84" s="24"/>
      <c r="Q84" s="24"/>
      <c r="R84" s="24"/>
      <c r="S84" s="24"/>
      <c r="T84" s="24"/>
      <c r="U84" s="24"/>
      <c r="V84" s="24"/>
      <c r="W84" s="24"/>
      <c r="X84" s="24"/>
      <c r="Y84" s="24"/>
      <c r="Z84" s="24"/>
      <c r="AA84" s="24"/>
      <c r="AB84" s="24"/>
      <c r="AC84" s="24"/>
    </row>
    <row r="85" spans="1:29" ht="12.9">
      <c r="A85" s="70"/>
      <c r="B85" s="70"/>
      <c r="C85" s="168"/>
      <c r="D85" s="169"/>
      <c r="E85" s="70"/>
      <c r="F85" s="70"/>
      <c r="G85" s="70"/>
      <c r="H85" s="117"/>
      <c r="I85" s="117"/>
      <c r="J85" s="24"/>
      <c r="K85" s="24"/>
      <c r="L85" s="24"/>
      <c r="M85" s="24"/>
      <c r="N85" s="24"/>
      <c r="O85" s="24"/>
      <c r="P85" s="24"/>
      <c r="Q85" s="24"/>
      <c r="R85" s="24"/>
      <c r="S85" s="24"/>
      <c r="T85" s="24"/>
      <c r="U85" s="24"/>
      <c r="V85" s="24"/>
      <c r="W85" s="24"/>
      <c r="X85" s="24"/>
      <c r="Y85" s="24"/>
      <c r="Z85" s="24"/>
      <c r="AA85" s="24"/>
      <c r="AB85" s="24"/>
      <c r="AC85" s="24"/>
    </row>
    <row r="86" spans="1:29" ht="12.9">
      <c r="A86" s="70"/>
      <c r="B86" s="70"/>
      <c r="C86" s="168"/>
      <c r="D86" s="169"/>
      <c r="E86" s="70"/>
      <c r="F86" s="70"/>
      <c r="G86" s="70"/>
      <c r="H86" s="117"/>
      <c r="I86" s="117"/>
      <c r="J86" s="24"/>
      <c r="K86" s="24"/>
      <c r="L86" s="24"/>
      <c r="M86" s="24"/>
      <c r="N86" s="24"/>
      <c r="O86" s="24"/>
      <c r="P86" s="24"/>
      <c r="Q86" s="24"/>
      <c r="R86" s="24"/>
      <c r="S86" s="24"/>
      <c r="T86" s="24"/>
      <c r="U86" s="24"/>
      <c r="V86" s="24"/>
      <c r="W86" s="24"/>
      <c r="X86" s="24"/>
      <c r="Y86" s="24"/>
      <c r="Z86" s="24"/>
      <c r="AA86" s="24"/>
      <c r="AB86" s="24"/>
      <c r="AC86" s="24"/>
    </row>
    <row r="87" spans="1:29" ht="12.9">
      <c r="A87" s="70"/>
      <c r="B87" s="70"/>
      <c r="C87" s="168"/>
      <c r="D87" s="169"/>
      <c r="E87" s="70"/>
      <c r="F87" s="70"/>
      <c r="G87" s="70"/>
      <c r="H87" s="117"/>
      <c r="I87" s="117"/>
      <c r="J87" s="24"/>
      <c r="K87" s="24"/>
      <c r="L87" s="24"/>
      <c r="M87" s="24"/>
      <c r="N87" s="24"/>
      <c r="O87" s="24"/>
      <c r="P87" s="24"/>
      <c r="Q87" s="24"/>
      <c r="R87" s="24"/>
      <c r="S87" s="24"/>
      <c r="T87" s="24"/>
      <c r="U87" s="24"/>
      <c r="V87" s="24"/>
      <c r="W87" s="24"/>
      <c r="X87" s="24"/>
      <c r="Y87" s="24"/>
      <c r="Z87" s="24"/>
      <c r="AA87" s="24"/>
      <c r="AB87" s="24"/>
      <c r="AC87" s="24"/>
    </row>
    <row r="88" spans="1:29" ht="12.9">
      <c r="A88" s="70"/>
      <c r="B88" s="70"/>
      <c r="C88" s="168"/>
      <c r="D88" s="169"/>
      <c r="E88" s="70"/>
      <c r="F88" s="70"/>
      <c r="G88" s="70"/>
      <c r="H88" s="117"/>
      <c r="I88" s="117"/>
      <c r="J88" s="24"/>
      <c r="K88" s="24"/>
      <c r="L88" s="24"/>
      <c r="M88" s="24"/>
      <c r="N88" s="24"/>
      <c r="O88" s="24"/>
      <c r="P88" s="24"/>
      <c r="Q88" s="24"/>
      <c r="R88" s="24"/>
      <c r="S88" s="24"/>
      <c r="T88" s="24"/>
      <c r="U88" s="24"/>
      <c r="V88" s="24"/>
      <c r="W88" s="24"/>
      <c r="X88" s="24"/>
      <c r="Y88" s="24"/>
      <c r="Z88" s="24"/>
      <c r="AA88" s="24"/>
      <c r="AB88" s="24"/>
      <c r="AC88" s="24"/>
    </row>
    <row r="89" spans="1:29" ht="12.9">
      <c r="A89" s="70"/>
      <c r="B89" s="70"/>
      <c r="C89" s="168"/>
      <c r="D89" s="169"/>
      <c r="E89" s="70"/>
      <c r="F89" s="70"/>
      <c r="G89" s="70"/>
      <c r="H89" s="117"/>
      <c r="I89" s="117"/>
      <c r="J89" s="24"/>
      <c r="K89" s="24"/>
      <c r="L89" s="24"/>
      <c r="M89" s="24"/>
      <c r="N89" s="24"/>
      <c r="O89" s="24"/>
      <c r="P89" s="24"/>
      <c r="Q89" s="24"/>
      <c r="R89" s="24"/>
      <c r="S89" s="24"/>
      <c r="T89" s="24"/>
      <c r="U89" s="24"/>
      <c r="V89" s="24"/>
      <c r="W89" s="24"/>
      <c r="X89" s="24"/>
      <c r="Y89" s="24"/>
      <c r="Z89" s="24"/>
      <c r="AA89" s="24"/>
      <c r="AB89" s="24"/>
      <c r="AC89" s="24"/>
    </row>
    <row r="90" spans="1:29" ht="12.9">
      <c r="A90" s="70"/>
      <c r="B90" s="70"/>
      <c r="C90" s="168"/>
      <c r="D90" s="169"/>
      <c r="E90" s="70"/>
      <c r="F90" s="70"/>
      <c r="G90" s="70"/>
      <c r="H90" s="117"/>
      <c r="I90" s="117"/>
      <c r="J90" s="24"/>
      <c r="K90" s="24"/>
      <c r="L90" s="24"/>
      <c r="M90" s="24"/>
      <c r="N90" s="24"/>
      <c r="O90" s="24"/>
      <c r="P90" s="24"/>
      <c r="Q90" s="24"/>
      <c r="R90" s="24"/>
      <c r="S90" s="24"/>
      <c r="T90" s="24"/>
      <c r="U90" s="24"/>
      <c r="V90" s="24"/>
      <c r="W90" s="24"/>
      <c r="X90" s="24"/>
      <c r="Y90" s="24"/>
      <c r="Z90" s="24"/>
      <c r="AA90" s="24"/>
      <c r="AB90" s="24"/>
      <c r="AC90" s="24"/>
    </row>
    <row r="91" spans="1:29" ht="12.9">
      <c r="A91" s="70"/>
      <c r="B91" s="70"/>
      <c r="C91" s="168"/>
      <c r="D91" s="169"/>
      <c r="E91" s="70"/>
      <c r="F91" s="70"/>
      <c r="G91" s="70"/>
      <c r="H91" s="117"/>
      <c r="I91" s="117"/>
      <c r="J91" s="24"/>
      <c r="K91" s="24"/>
      <c r="L91" s="24"/>
      <c r="M91" s="24"/>
      <c r="N91" s="24"/>
      <c r="O91" s="24"/>
      <c r="P91" s="24"/>
      <c r="Q91" s="24"/>
      <c r="R91" s="24"/>
      <c r="S91" s="24"/>
      <c r="T91" s="24"/>
      <c r="U91" s="24"/>
      <c r="V91" s="24"/>
      <c r="W91" s="24"/>
      <c r="X91" s="24"/>
      <c r="Y91" s="24"/>
      <c r="Z91" s="24"/>
      <c r="AA91" s="24"/>
      <c r="AB91" s="24"/>
      <c r="AC91" s="24"/>
    </row>
    <row r="92" spans="1:29" ht="4.5999999999999996" customHeight="1">
      <c r="A92" s="70"/>
      <c r="B92" s="70"/>
      <c r="C92" s="168"/>
      <c r="D92" s="169"/>
      <c r="E92" s="70"/>
      <c r="F92" s="70"/>
      <c r="G92" s="70"/>
      <c r="H92" s="117"/>
      <c r="I92" s="117"/>
      <c r="J92" s="24"/>
      <c r="K92" s="24"/>
      <c r="L92" s="24"/>
      <c r="M92" s="24"/>
      <c r="N92" s="24"/>
      <c r="O92" s="24"/>
      <c r="P92" s="24"/>
      <c r="Q92" s="24"/>
      <c r="R92" s="24"/>
      <c r="S92" s="24"/>
      <c r="T92" s="24"/>
      <c r="U92" s="24"/>
      <c r="V92" s="24"/>
      <c r="W92" s="24"/>
      <c r="X92" s="24"/>
      <c r="Y92" s="24"/>
      <c r="Z92" s="24"/>
      <c r="AA92" s="24"/>
      <c r="AB92" s="24"/>
      <c r="AC92" s="24"/>
    </row>
    <row r="93" spans="1:29" ht="12.9">
      <c r="A93" s="70"/>
      <c r="B93" s="70"/>
      <c r="C93" s="168"/>
      <c r="D93" s="169"/>
      <c r="E93" s="70"/>
      <c r="F93" s="70"/>
      <c r="G93" s="165"/>
      <c r="H93" s="117"/>
      <c r="I93" s="117"/>
      <c r="J93" s="70"/>
      <c r="K93" s="164"/>
      <c r="L93" s="165"/>
      <c r="M93" s="70"/>
      <c r="N93" s="24"/>
      <c r="O93" s="24"/>
      <c r="P93" s="24"/>
      <c r="Q93" s="24"/>
      <c r="R93" s="24"/>
      <c r="S93" s="24"/>
      <c r="T93" s="24"/>
      <c r="U93" s="24"/>
      <c r="V93" s="24"/>
      <c r="W93" s="24"/>
      <c r="X93" s="24"/>
      <c r="Y93" s="24"/>
      <c r="Z93" s="24"/>
      <c r="AA93" s="24"/>
      <c r="AB93" s="24"/>
      <c r="AC93" s="24"/>
    </row>
    <row r="94" spans="1:29" ht="12.9">
      <c r="A94" s="70"/>
      <c r="B94" s="24"/>
      <c r="C94" s="143"/>
      <c r="D94" s="24"/>
      <c r="E94" s="24"/>
      <c r="F94" s="24"/>
      <c r="G94" s="24"/>
      <c r="H94" s="117"/>
      <c r="I94" s="117"/>
      <c r="J94" s="24"/>
      <c r="K94" s="24"/>
      <c r="L94" s="24"/>
      <c r="M94" s="24"/>
      <c r="N94" s="24"/>
      <c r="O94" s="24"/>
      <c r="P94" s="24"/>
      <c r="Q94" s="24"/>
      <c r="R94" s="24"/>
      <c r="S94" s="24"/>
      <c r="T94" s="24"/>
      <c r="U94" s="24"/>
      <c r="V94" s="24"/>
      <c r="W94" s="24"/>
      <c r="X94" s="24"/>
      <c r="Y94" s="24"/>
      <c r="Z94" s="24"/>
      <c r="AA94" s="24"/>
      <c r="AB94" s="24"/>
      <c r="AC94" s="24"/>
    </row>
    <row r="95" spans="1:29" ht="12.9">
      <c r="A95" s="70"/>
      <c r="B95" s="24"/>
      <c r="C95" s="143"/>
      <c r="D95" s="24"/>
      <c r="E95" s="24"/>
      <c r="F95" s="24"/>
      <c r="G95" s="24"/>
      <c r="H95" s="117"/>
      <c r="I95" s="117"/>
      <c r="J95" s="24"/>
      <c r="K95" s="24"/>
      <c r="L95" s="24"/>
      <c r="M95" s="24"/>
      <c r="N95" s="24"/>
      <c r="O95" s="24"/>
      <c r="P95" s="24"/>
      <c r="Q95" s="24"/>
      <c r="R95" s="24"/>
      <c r="S95" s="24"/>
      <c r="T95" s="24"/>
      <c r="U95" s="24"/>
      <c r="V95" s="24"/>
      <c r="W95" s="24"/>
      <c r="X95" s="24"/>
      <c r="Y95" s="24"/>
      <c r="Z95" s="24"/>
      <c r="AA95" s="24"/>
      <c r="AB95" s="24"/>
      <c r="AC95" s="24"/>
    </row>
    <row r="96" spans="1:29" ht="12.9">
      <c r="A96" s="24"/>
      <c r="B96" s="24"/>
      <c r="C96" s="143"/>
      <c r="D96" s="24"/>
      <c r="E96" s="24"/>
      <c r="F96" s="24"/>
      <c r="G96" s="24"/>
      <c r="H96" s="117"/>
      <c r="I96" s="117"/>
      <c r="J96" s="24"/>
      <c r="K96" s="24"/>
      <c r="L96" s="24"/>
      <c r="M96" s="24"/>
      <c r="N96" s="24"/>
      <c r="O96" s="24"/>
      <c r="P96" s="24"/>
      <c r="Q96" s="24"/>
      <c r="R96" s="24"/>
      <c r="S96" s="24"/>
      <c r="T96" s="24"/>
      <c r="U96" s="24"/>
      <c r="V96" s="24"/>
      <c r="W96" s="24"/>
      <c r="X96" s="24"/>
      <c r="Y96" s="24"/>
      <c r="Z96" s="24"/>
      <c r="AA96" s="24"/>
      <c r="AB96" s="24"/>
      <c r="AC96" s="24"/>
    </row>
    <row r="97" spans="1:29" ht="12.9">
      <c r="A97" s="24"/>
      <c r="B97" s="24"/>
      <c r="C97" s="143"/>
      <c r="D97" s="24"/>
      <c r="E97" s="24"/>
      <c r="F97" s="24"/>
      <c r="G97" s="24"/>
      <c r="H97" s="117"/>
      <c r="I97" s="117"/>
      <c r="J97" s="24"/>
      <c r="K97" s="24"/>
      <c r="L97" s="24"/>
      <c r="M97" s="24"/>
      <c r="N97" s="24"/>
      <c r="O97" s="24"/>
      <c r="P97" s="24"/>
      <c r="Q97" s="24"/>
      <c r="R97" s="24"/>
      <c r="S97" s="24"/>
      <c r="T97" s="24"/>
      <c r="U97" s="24"/>
      <c r="V97" s="24"/>
      <c r="W97" s="24"/>
      <c r="X97" s="24"/>
      <c r="Y97" s="24"/>
      <c r="Z97" s="24"/>
      <c r="AA97" s="24"/>
      <c r="AB97" s="24"/>
      <c r="AC97" s="24"/>
    </row>
    <row r="98" spans="1:29" ht="12.9">
      <c r="A98" s="24"/>
      <c r="B98" s="24"/>
      <c r="C98" s="143"/>
      <c r="D98" s="24"/>
      <c r="E98" s="24"/>
      <c r="F98" s="24"/>
      <c r="G98" s="24"/>
      <c r="H98" s="117"/>
      <c r="I98" s="117"/>
      <c r="J98" s="24"/>
      <c r="K98" s="24"/>
      <c r="L98" s="24"/>
      <c r="M98" s="24"/>
      <c r="N98" s="24"/>
      <c r="O98" s="24"/>
      <c r="P98" s="24"/>
      <c r="Q98" s="24"/>
      <c r="R98" s="24"/>
      <c r="S98" s="24"/>
      <c r="T98" s="24"/>
      <c r="U98" s="24"/>
      <c r="V98" s="24"/>
      <c r="W98" s="24"/>
      <c r="X98" s="24"/>
      <c r="Y98" s="24"/>
      <c r="Z98" s="24"/>
      <c r="AA98" s="24"/>
      <c r="AB98" s="24"/>
      <c r="AC98" s="24"/>
    </row>
    <row r="99" spans="1:29" ht="12.9">
      <c r="A99" s="24"/>
      <c r="B99" s="24"/>
      <c r="C99" s="143"/>
      <c r="D99" s="24"/>
      <c r="E99" s="24"/>
      <c r="F99" s="24"/>
      <c r="G99" s="24"/>
      <c r="H99" s="117"/>
      <c r="I99" s="117"/>
      <c r="J99" s="24"/>
      <c r="K99" s="24"/>
      <c r="L99" s="24"/>
      <c r="M99" s="24"/>
      <c r="N99" s="24"/>
      <c r="O99" s="24"/>
      <c r="P99" s="24"/>
      <c r="Q99" s="24"/>
      <c r="R99" s="24"/>
      <c r="S99" s="24"/>
      <c r="T99" s="24"/>
      <c r="U99" s="24"/>
      <c r="V99" s="24"/>
      <c r="W99" s="24"/>
      <c r="X99" s="24"/>
      <c r="Y99" s="24"/>
      <c r="Z99" s="24"/>
      <c r="AA99" s="24"/>
      <c r="AB99" s="24"/>
      <c r="AC99" s="24"/>
    </row>
    <row r="100" spans="1:29" ht="12.9">
      <c r="A100" s="24"/>
      <c r="B100" s="24"/>
      <c r="C100" s="143"/>
      <c r="D100" s="24"/>
      <c r="E100" s="24"/>
      <c r="F100" s="24"/>
      <c r="G100" s="24"/>
      <c r="H100" s="117"/>
      <c r="I100" s="117"/>
      <c r="J100" s="24"/>
      <c r="K100" s="24"/>
      <c r="L100" s="24"/>
      <c r="M100" s="24"/>
      <c r="N100" s="24"/>
      <c r="O100" s="24"/>
      <c r="P100" s="24"/>
      <c r="Q100" s="24"/>
      <c r="R100" s="24"/>
      <c r="S100" s="24"/>
      <c r="T100" s="24"/>
      <c r="U100" s="24"/>
      <c r="V100" s="24"/>
      <c r="W100" s="24"/>
      <c r="X100" s="24"/>
      <c r="Y100" s="24"/>
      <c r="Z100" s="24"/>
      <c r="AA100" s="24"/>
      <c r="AB100" s="24"/>
      <c r="AC100" s="24"/>
    </row>
    <row r="101" spans="1:29" ht="12.9">
      <c r="A101" s="24"/>
      <c r="B101" s="24"/>
      <c r="C101" s="143"/>
      <c r="D101" s="24"/>
      <c r="E101" s="24"/>
      <c r="F101" s="24"/>
      <c r="G101" s="24"/>
      <c r="H101" s="117"/>
      <c r="I101" s="117"/>
      <c r="J101" s="24"/>
      <c r="K101" s="24"/>
      <c r="L101" s="24"/>
      <c r="M101" s="24"/>
      <c r="N101" s="24"/>
      <c r="O101" s="24"/>
      <c r="P101" s="24"/>
      <c r="Q101" s="24"/>
      <c r="R101" s="24"/>
      <c r="S101" s="24"/>
      <c r="T101" s="24"/>
      <c r="U101" s="24"/>
      <c r="V101" s="24"/>
      <c r="W101" s="24"/>
      <c r="X101" s="24"/>
      <c r="Y101" s="24"/>
      <c r="Z101" s="24"/>
      <c r="AA101" s="24"/>
      <c r="AB101" s="24"/>
      <c r="AC101" s="24"/>
    </row>
    <row r="102" spans="1:29" ht="12.9">
      <c r="A102" s="24"/>
      <c r="B102" s="24"/>
      <c r="C102" s="143"/>
      <c r="D102" s="24"/>
      <c r="E102" s="24"/>
      <c r="F102" s="24"/>
      <c r="G102" s="24"/>
      <c r="H102" s="117"/>
      <c r="I102" s="117"/>
      <c r="J102" s="24"/>
      <c r="K102" s="24"/>
      <c r="L102" s="24"/>
      <c r="M102" s="24"/>
      <c r="N102" s="24"/>
      <c r="O102" s="24"/>
      <c r="P102" s="24"/>
      <c r="Q102" s="24"/>
      <c r="R102" s="24"/>
      <c r="S102" s="24"/>
      <c r="T102" s="24"/>
      <c r="U102" s="24"/>
      <c r="V102" s="24"/>
      <c r="W102" s="24"/>
      <c r="X102" s="24"/>
      <c r="Y102" s="24"/>
      <c r="Z102" s="24"/>
      <c r="AA102" s="24"/>
      <c r="AB102" s="24"/>
      <c r="AC102" s="24"/>
    </row>
    <row r="103" spans="1:29" ht="12.9">
      <c r="A103" s="24"/>
      <c r="B103" s="24"/>
      <c r="C103" s="143"/>
      <c r="D103" s="24"/>
      <c r="E103" s="24"/>
      <c r="F103" s="24"/>
      <c r="G103" s="24"/>
      <c r="H103" s="117"/>
      <c r="I103" s="117"/>
      <c r="J103" s="24"/>
      <c r="K103" s="24"/>
      <c r="L103" s="24"/>
      <c r="M103" s="24"/>
      <c r="N103" s="24"/>
      <c r="O103" s="24"/>
      <c r="P103" s="24"/>
      <c r="Q103" s="24"/>
      <c r="R103" s="24"/>
      <c r="S103" s="24"/>
      <c r="T103" s="24"/>
      <c r="U103" s="24"/>
      <c r="V103" s="24"/>
      <c r="W103" s="24"/>
      <c r="X103" s="24"/>
      <c r="Y103" s="24"/>
      <c r="Z103" s="24"/>
      <c r="AA103" s="24"/>
      <c r="AB103" s="24"/>
      <c r="AC103" s="24"/>
    </row>
    <row r="104" spans="1:29" ht="12.9">
      <c r="A104" s="24"/>
      <c r="B104" s="24"/>
      <c r="C104" s="143"/>
      <c r="D104" s="24"/>
      <c r="E104" s="24"/>
      <c r="F104" s="24"/>
      <c r="G104" s="24"/>
      <c r="H104" s="117"/>
      <c r="I104" s="117"/>
      <c r="J104" s="24"/>
      <c r="K104" s="24"/>
      <c r="L104" s="24"/>
      <c r="M104" s="24"/>
      <c r="N104" s="24"/>
      <c r="O104" s="24"/>
      <c r="P104" s="24"/>
      <c r="Q104" s="24"/>
      <c r="R104" s="24"/>
      <c r="S104" s="24"/>
      <c r="T104" s="24"/>
      <c r="U104" s="24"/>
      <c r="V104" s="24"/>
      <c r="W104" s="24"/>
      <c r="X104" s="24"/>
      <c r="Y104" s="24"/>
      <c r="Z104" s="24"/>
      <c r="AA104" s="24"/>
      <c r="AB104" s="24"/>
      <c r="AC104" s="24"/>
    </row>
    <row r="105" spans="1:29" ht="12.9">
      <c r="A105" s="24"/>
      <c r="B105" s="24"/>
      <c r="C105" s="143"/>
      <c r="D105" s="24"/>
      <c r="E105" s="24"/>
      <c r="F105" s="24"/>
      <c r="G105" s="24"/>
      <c r="H105" s="117"/>
      <c r="I105" s="117"/>
      <c r="J105" s="24"/>
      <c r="K105" s="24"/>
      <c r="L105" s="24"/>
      <c r="M105" s="24"/>
      <c r="N105" s="24"/>
      <c r="O105" s="24"/>
      <c r="P105" s="24"/>
      <c r="Q105" s="24"/>
      <c r="R105" s="24"/>
      <c r="S105" s="24"/>
      <c r="T105" s="24"/>
      <c r="U105" s="24"/>
      <c r="V105" s="24"/>
      <c r="W105" s="24"/>
      <c r="X105" s="24"/>
      <c r="Y105" s="24"/>
      <c r="Z105" s="24"/>
      <c r="AA105" s="24"/>
      <c r="AB105" s="24"/>
      <c r="AC105" s="24"/>
    </row>
    <row r="106" spans="1:29" ht="12.9">
      <c r="A106" s="24"/>
      <c r="B106" s="24"/>
      <c r="C106" s="143"/>
      <c r="D106" s="24"/>
      <c r="E106" s="24"/>
      <c r="F106" s="24"/>
      <c r="G106" s="24"/>
      <c r="H106" s="117"/>
      <c r="I106" s="117"/>
      <c r="J106" s="24"/>
      <c r="K106" s="24"/>
      <c r="L106" s="24"/>
      <c r="M106" s="24"/>
      <c r="N106" s="24"/>
      <c r="O106" s="24"/>
      <c r="P106" s="24"/>
      <c r="Q106" s="24"/>
      <c r="R106" s="24"/>
      <c r="S106" s="24"/>
      <c r="T106" s="24"/>
      <c r="U106" s="24"/>
      <c r="V106" s="24"/>
      <c r="W106" s="24"/>
      <c r="X106" s="24"/>
      <c r="Y106" s="24"/>
      <c r="Z106" s="24"/>
      <c r="AA106" s="24"/>
      <c r="AB106" s="24"/>
      <c r="AC106" s="24"/>
    </row>
    <row r="107" spans="1:29" ht="12.9">
      <c r="A107" s="24"/>
      <c r="B107" s="24"/>
      <c r="C107" s="143"/>
      <c r="D107" s="24"/>
      <c r="E107" s="24"/>
      <c r="F107" s="24"/>
      <c r="G107" s="24"/>
      <c r="H107" s="117"/>
      <c r="I107" s="117"/>
      <c r="J107" s="24"/>
      <c r="K107" s="24"/>
      <c r="L107" s="24"/>
      <c r="M107" s="24"/>
      <c r="N107" s="24"/>
      <c r="O107" s="24"/>
      <c r="P107" s="24"/>
      <c r="Q107" s="24"/>
      <c r="R107" s="24"/>
      <c r="S107" s="24"/>
      <c r="T107" s="24"/>
      <c r="U107" s="24"/>
      <c r="V107" s="24"/>
      <c r="W107" s="24"/>
      <c r="X107" s="24"/>
      <c r="Y107" s="24"/>
      <c r="Z107" s="24"/>
      <c r="AA107" s="24"/>
      <c r="AB107" s="24"/>
      <c r="AC107" s="24"/>
    </row>
    <row r="108" spans="1:29" ht="12.9">
      <c r="A108" s="24"/>
      <c r="B108" s="24"/>
      <c r="C108" s="143"/>
      <c r="D108" s="24"/>
      <c r="E108" s="24"/>
      <c r="F108" s="24"/>
      <c r="G108" s="24"/>
      <c r="H108" s="117"/>
      <c r="I108" s="117"/>
      <c r="J108" s="24"/>
      <c r="K108" s="24"/>
      <c r="L108" s="24"/>
      <c r="M108" s="24"/>
      <c r="N108" s="24"/>
      <c r="O108" s="24"/>
      <c r="P108" s="24"/>
      <c r="Q108" s="24"/>
      <c r="R108" s="24"/>
      <c r="S108" s="24"/>
      <c r="T108" s="24"/>
      <c r="U108" s="24"/>
      <c r="V108" s="24"/>
      <c r="W108" s="24"/>
      <c r="X108" s="24"/>
      <c r="Y108" s="24"/>
      <c r="Z108" s="24"/>
      <c r="AA108" s="24"/>
      <c r="AB108" s="24"/>
      <c r="AC108" s="24"/>
    </row>
    <row r="109" spans="1:29" ht="12.9">
      <c r="A109" s="24"/>
      <c r="B109" s="24"/>
      <c r="C109" s="143"/>
      <c r="D109" s="24"/>
      <c r="E109" s="24"/>
      <c r="F109" s="24"/>
      <c r="G109" s="24"/>
      <c r="H109" s="117"/>
      <c r="I109" s="117"/>
      <c r="J109" s="24"/>
      <c r="K109" s="24"/>
      <c r="L109" s="24"/>
      <c r="M109" s="24"/>
      <c r="N109" s="24"/>
      <c r="O109" s="24"/>
      <c r="P109" s="24"/>
      <c r="Q109" s="24"/>
      <c r="R109" s="24"/>
      <c r="S109" s="24"/>
      <c r="T109" s="24"/>
      <c r="U109" s="24"/>
      <c r="V109" s="24"/>
      <c r="W109" s="24"/>
      <c r="X109" s="24"/>
      <c r="Y109" s="24"/>
      <c r="Z109" s="24"/>
      <c r="AA109" s="24"/>
      <c r="AB109" s="24"/>
      <c r="AC109" s="24"/>
    </row>
    <row r="110" spans="1:29" ht="12.9">
      <c r="A110" s="24"/>
      <c r="B110" s="24"/>
      <c r="C110" s="143"/>
      <c r="D110" s="24"/>
      <c r="E110" s="24"/>
      <c r="F110" s="24"/>
      <c r="G110" s="24"/>
      <c r="H110" s="117"/>
      <c r="I110" s="117"/>
      <c r="J110" s="24"/>
      <c r="K110" s="24"/>
      <c r="L110" s="24"/>
      <c r="M110" s="24"/>
      <c r="N110" s="24"/>
      <c r="O110" s="24"/>
      <c r="P110" s="24"/>
      <c r="Q110" s="24"/>
      <c r="R110" s="24"/>
      <c r="S110" s="24"/>
      <c r="T110" s="24"/>
      <c r="U110" s="24"/>
      <c r="V110" s="24"/>
      <c r="W110" s="24"/>
      <c r="X110" s="24"/>
      <c r="Y110" s="24"/>
      <c r="Z110" s="24"/>
      <c r="AA110" s="24"/>
      <c r="AB110" s="24"/>
      <c r="AC110" s="24"/>
    </row>
    <row r="111" spans="1:29" ht="12.9">
      <c r="A111" s="24"/>
      <c r="B111" s="24"/>
      <c r="C111" s="143"/>
      <c r="D111" s="24"/>
      <c r="E111" s="24"/>
      <c r="F111" s="24"/>
      <c r="G111" s="24"/>
      <c r="H111" s="117"/>
      <c r="I111" s="117"/>
      <c r="J111" s="24"/>
      <c r="K111" s="24"/>
      <c r="L111" s="24"/>
      <c r="M111" s="24"/>
      <c r="N111" s="24"/>
      <c r="O111" s="24"/>
      <c r="P111" s="24"/>
      <c r="Q111" s="24"/>
      <c r="R111" s="24"/>
      <c r="S111" s="24"/>
      <c r="T111" s="24"/>
      <c r="U111" s="24"/>
      <c r="V111" s="24"/>
      <c r="W111" s="24"/>
      <c r="X111" s="24"/>
      <c r="Y111" s="24"/>
      <c r="Z111" s="24"/>
      <c r="AA111" s="24"/>
      <c r="AB111" s="24"/>
      <c r="AC111" s="24"/>
    </row>
    <row r="112" spans="1:29" ht="12.9">
      <c r="A112" s="24"/>
      <c r="B112" s="24"/>
      <c r="C112" s="143"/>
      <c r="D112" s="24"/>
      <c r="E112" s="24"/>
      <c r="F112" s="24"/>
      <c r="G112" s="24"/>
      <c r="H112" s="117"/>
      <c r="I112" s="117"/>
      <c r="J112" s="24"/>
      <c r="K112" s="24"/>
      <c r="L112" s="24"/>
      <c r="M112" s="24"/>
      <c r="N112" s="24"/>
      <c r="O112" s="24"/>
      <c r="P112" s="24"/>
      <c r="Q112" s="24"/>
      <c r="R112" s="24"/>
      <c r="S112" s="24"/>
      <c r="T112" s="24"/>
      <c r="U112" s="24"/>
      <c r="V112" s="24"/>
      <c r="W112" s="24"/>
      <c r="X112" s="24"/>
      <c r="Y112" s="24"/>
      <c r="Z112" s="24"/>
      <c r="AA112" s="24"/>
      <c r="AB112" s="24"/>
      <c r="AC112" s="24"/>
    </row>
    <row r="113" spans="1:29" ht="12.9">
      <c r="A113" s="24"/>
      <c r="B113" s="24"/>
      <c r="C113" s="143"/>
      <c r="D113" s="24"/>
      <c r="E113" s="24"/>
      <c r="F113" s="24"/>
      <c r="G113" s="24"/>
      <c r="H113" s="117"/>
      <c r="I113" s="117"/>
      <c r="J113" s="24"/>
      <c r="K113" s="24"/>
      <c r="L113" s="24"/>
      <c r="M113" s="24"/>
      <c r="N113" s="24"/>
      <c r="O113" s="24"/>
      <c r="P113" s="24"/>
      <c r="Q113" s="24"/>
      <c r="R113" s="24"/>
      <c r="S113" s="24"/>
      <c r="T113" s="24"/>
      <c r="U113" s="24"/>
      <c r="V113" s="24"/>
      <c r="W113" s="24"/>
      <c r="X113" s="24"/>
      <c r="Y113" s="24"/>
      <c r="Z113" s="24"/>
      <c r="AA113" s="24"/>
      <c r="AB113" s="24"/>
      <c r="AC113" s="24"/>
    </row>
    <row r="114" spans="1:29" ht="12.9">
      <c r="A114" s="24"/>
      <c r="B114" s="24"/>
      <c r="C114" s="143"/>
      <c r="D114" s="24"/>
      <c r="E114" s="24"/>
      <c r="F114" s="24"/>
      <c r="G114" s="24"/>
      <c r="H114" s="117"/>
      <c r="I114" s="117"/>
      <c r="J114" s="24"/>
      <c r="K114" s="24"/>
      <c r="L114" s="24"/>
      <c r="M114" s="24"/>
      <c r="N114" s="24"/>
      <c r="O114" s="24"/>
      <c r="P114" s="24"/>
      <c r="Q114" s="24"/>
      <c r="R114" s="24"/>
      <c r="S114" s="24"/>
      <c r="T114" s="24"/>
      <c r="U114" s="24"/>
      <c r="V114" s="24"/>
      <c r="W114" s="24"/>
      <c r="X114" s="24"/>
      <c r="Y114" s="24"/>
      <c r="Z114" s="24"/>
      <c r="AA114" s="24"/>
      <c r="AB114" s="24"/>
      <c r="AC114" s="24"/>
    </row>
    <row r="115" spans="1:29" ht="12.9">
      <c r="A115" s="24"/>
      <c r="B115" s="24"/>
      <c r="C115" s="143"/>
      <c r="D115" s="24"/>
      <c r="E115" s="24"/>
      <c r="F115" s="24"/>
      <c r="G115" s="24"/>
      <c r="H115" s="117"/>
      <c r="I115" s="117"/>
      <c r="J115" s="24"/>
      <c r="K115" s="24"/>
      <c r="L115" s="24"/>
      <c r="M115" s="24"/>
      <c r="N115" s="24"/>
      <c r="O115" s="24"/>
      <c r="P115" s="24"/>
      <c r="Q115" s="24"/>
      <c r="R115" s="24"/>
      <c r="S115" s="24"/>
      <c r="T115" s="24"/>
      <c r="U115" s="24"/>
      <c r="V115" s="24"/>
      <c r="W115" s="24"/>
      <c r="X115" s="24"/>
      <c r="Y115" s="24"/>
      <c r="Z115" s="24"/>
      <c r="AA115" s="24"/>
      <c r="AB115" s="24"/>
      <c r="AC115" s="24"/>
    </row>
    <row r="116" spans="1:29" ht="12.9">
      <c r="A116" s="24"/>
      <c r="B116" s="24"/>
      <c r="C116" s="143"/>
      <c r="D116" s="24"/>
      <c r="E116" s="24"/>
      <c r="F116" s="24"/>
      <c r="G116" s="24"/>
      <c r="H116" s="117"/>
      <c r="I116" s="117"/>
      <c r="J116" s="24"/>
      <c r="K116" s="24"/>
      <c r="L116" s="24"/>
      <c r="M116" s="24"/>
      <c r="N116" s="24"/>
      <c r="O116" s="24"/>
      <c r="P116" s="24"/>
      <c r="Q116" s="24"/>
      <c r="R116" s="24"/>
      <c r="S116" s="24"/>
      <c r="T116" s="24"/>
      <c r="U116" s="24"/>
      <c r="V116" s="24"/>
      <c r="W116" s="24"/>
      <c r="X116" s="24"/>
      <c r="Y116" s="24"/>
      <c r="Z116" s="24"/>
      <c r="AA116" s="24"/>
      <c r="AB116" s="24"/>
      <c r="AC116" s="24"/>
    </row>
    <row r="117" spans="1:29" ht="12.9">
      <c r="A117" s="24"/>
      <c r="B117" s="24"/>
      <c r="C117" s="143"/>
      <c r="D117" s="24"/>
      <c r="E117" s="24"/>
      <c r="F117" s="24"/>
      <c r="G117" s="24"/>
      <c r="H117" s="117"/>
      <c r="I117" s="117"/>
      <c r="J117" s="24"/>
      <c r="K117" s="24"/>
      <c r="L117" s="24"/>
      <c r="M117" s="24"/>
      <c r="N117" s="24"/>
      <c r="O117" s="24"/>
      <c r="P117" s="24"/>
      <c r="Q117" s="24"/>
      <c r="R117" s="24"/>
      <c r="S117" s="24"/>
      <c r="T117" s="24"/>
      <c r="U117" s="24"/>
      <c r="V117" s="24"/>
      <c r="W117" s="24"/>
      <c r="X117" s="24"/>
      <c r="Y117" s="24"/>
      <c r="Z117" s="24"/>
      <c r="AA117" s="24"/>
      <c r="AB117" s="24"/>
      <c r="AC117" s="24"/>
    </row>
    <row r="118" spans="1:29" ht="12.9">
      <c r="A118" s="24"/>
      <c r="B118" s="24"/>
      <c r="C118" s="143"/>
      <c r="D118" s="24"/>
      <c r="E118" s="24"/>
      <c r="F118" s="24"/>
      <c r="G118" s="24"/>
      <c r="H118" s="117"/>
      <c r="I118" s="117"/>
      <c r="J118" s="24"/>
      <c r="K118" s="24"/>
      <c r="L118" s="24"/>
      <c r="M118" s="24"/>
      <c r="N118" s="24"/>
      <c r="O118" s="24"/>
      <c r="P118" s="24"/>
      <c r="Q118" s="24"/>
      <c r="R118" s="24"/>
      <c r="S118" s="24"/>
      <c r="T118" s="24"/>
      <c r="U118" s="24"/>
      <c r="V118" s="24"/>
      <c r="W118" s="24"/>
      <c r="X118" s="24"/>
      <c r="Y118" s="24"/>
      <c r="Z118" s="24"/>
      <c r="AA118" s="24"/>
      <c r="AB118" s="24"/>
      <c r="AC118" s="24"/>
    </row>
    <row r="119" spans="1:29" ht="12.9">
      <c r="A119" s="24"/>
      <c r="B119" s="24"/>
      <c r="C119" s="143"/>
      <c r="D119" s="24"/>
      <c r="E119" s="24"/>
      <c r="F119" s="24"/>
      <c r="G119" s="24"/>
      <c r="H119" s="117"/>
      <c r="I119" s="117"/>
      <c r="J119" s="24"/>
      <c r="K119" s="24"/>
      <c r="L119" s="24"/>
      <c r="M119" s="24"/>
      <c r="N119" s="24"/>
      <c r="O119" s="24"/>
      <c r="P119" s="24"/>
      <c r="Q119" s="24"/>
      <c r="R119" s="24"/>
      <c r="S119" s="24"/>
      <c r="T119" s="24"/>
      <c r="U119" s="24"/>
      <c r="V119" s="24"/>
      <c r="W119" s="24"/>
      <c r="X119" s="24"/>
      <c r="Y119" s="24"/>
      <c r="Z119" s="24"/>
      <c r="AA119" s="24"/>
      <c r="AB119" s="24"/>
      <c r="AC119" s="24"/>
    </row>
    <row r="120" spans="1:29" ht="12.9">
      <c r="A120" s="24"/>
      <c r="B120" s="24"/>
      <c r="C120" s="143"/>
      <c r="D120" s="24"/>
      <c r="E120" s="24"/>
      <c r="F120" s="24"/>
      <c r="G120" s="24"/>
      <c r="H120" s="117"/>
      <c r="I120" s="117"/>
      <c r="J120" s="24"/>
      <c r="K120" s="24"/>
      <c r="L120" s="24"/>
      <c r="M120" s="24"/>
      <c r="N120" s="24"/>
      <c r="O120" s="24"/>
      <c r="P120" s="24"/>
      <c r="Q120" s="24"/>
      <c r="R120" s="24"/>
      <c r="S120" s="24"/>
      <c r="T120" s="24"/>
      <c r="U120" s="24"/>
      <c r="V120" s="24"/>
      <c r="W120" s="24"/>
      <c r="X120" s="24"/>
      <c r="Y120" s="24"/>
      <c r="Z120" s="24"/>
      <c r="AA120" s="24"/>
      <c r="AB120" s="24"/>
      <c r="AC120" s="24"/>
    </row>
    <row r="121" spans="1:29" ht="12.9">
      <c r="A121" s="24"/>
      <c r="B121" s="24"/>
      <c r="C121" s="143"/>
      <c r="D121" s="24"/>
      <c r="E121" s="24"/>
      <c r="F121" s="24"/>
      <c r="G121" s="24"/>
      <c r="H121" s="117"/>
      <c r="I121" s="117"/>
      <c r="J121" s="24"/>
      <c r="K121" s="24"/>
      <c r="L121" s="24"/>
      <c r="M121" s="24"/>
      <c r="N121" s="24"/>
      <c r="O121" s="24"/>
      <c r="P121" s="24"/>
      <c r="Q121" s="24"/>
      <c r="R121" s="24"/>
      <c r="S121" s="24"/>
      <c r="T121" s="24"/>
      <c r="U121" s="24"/>
      <c r="V121" s="24"/>
      <c r="W121" s="24"/>
      <c r="X121" s="24"/>
      <c r="Y121" s="24"/>
      <c r="Z121" s="24"/>
      <c r="AA121" s="24"/>
      <c r="AB121" s="24"/>
      <c r="AC121" s="24"/>
    </row>
    <row r="122" spans="1:29" ht="12.9">
      <c r="A122" s="24"/>
      <c r="B122" s="24"/>
      <c r="C122" s="143"/>
      <c r="D122" s="24"/>
      <c r="E122" s="24"/>
      <c r="F122" s="24"/>
      <c r="G122" s="24"/>
      <c r="H122" s="117"/>
      <c r="I122" s="117"/>
      <c r="J122" s="24"/>
      <c r="K122" s="24"/>
      <c r="L122" s="24"/>
      <c r="M122" s="24"/>
      <c r="N122" s="24"/>
      <c r="O122" s="24"/>
      <c r="P122" s="24"/>
      <c r="Q122" s="24"/>
      <c r="R122" s="24"/>
      <c r="S122" s="24"/>
      <c r="T122" s="24"/>
      <c r="U122" s="24"/>
      <c r="V122" s="24"/>
      <c r="W122" s="24"/>
      <c r="X122" s="24"/>
      <c r="Y122" s="24"/>
      <c r="Z122" s="24"/>
      <c r="AA122" s="24"/>
      <c r="AB122" s="24"/>
      <c r="AC122" s="24"/>
    </row>
    <row r="123" spans="1:29" ht="12.9">
      <c r="A123" s="24"/>
      <c r="B123" s="24"/>
      <c r="C123" s="143"/>
      <c r="D123" s="24"/>
      <c r="E123" s="24"/>
      <c r="F123" s="24"/>
      <c r="G123" s="24"/>
      <c r="H123" s="117"/>
      <c r="I123" s="117"/>
      <c r="J123" s="24"/>
      <c r="K123" s="24"/>
      <c r="L123" s="24"/>
      <c r="M123" s="24"/>
      <c r="N123" s="24"/>
      <c r="O123" s="24"/>
      <c r="P123" s="24"/>
      <c r="Q123" s="24"/>
      <c r="R123" s="24"/>
      <c r="S123" s="24"/>
      <c r="T123" s="24"/>
      <c r="U123" s="24"/>
      <c r="V123" s="24"/>
      <c r="W123" s="24"/>
      <c r="X123" s="24"/>
      <c r="Y123" s="24"/>
      <c r="Z123" s="24"/>
      <c r="AA123" s="24"/>
      <c r="AB123" s="24"/>
      <c r="AC123" s="24"/>
    </row>
    <row r="124" spans="1:29" ht="12.9">
      <c r="A124" s="24"/>
      <c r="B124" s="24"/>
      <c r="C124" s="143"/>
      <c r="D124" s="24"/>
      <c r="E124" s="24"/>
      <c r="F124" s="24"/>
      <c r="G124" s="24"/>
      <c r="H124" s="117"/>
      <c r="I124" s="117"/>
      <c r="J124" s="24"/>
      <c r="K124" s="24"/>
      <c r="L124" s="24"/>
      <c r="M124" s="24"/>
      <c r="N124" s="24"/>
      <c r="O124" s="24"/>
      <c r="P124" s="24"/>
      <c r="Q124" s="24"/>
      <c r="R124" s="24"/>
      <c r="S124" s="24"/>
      <c r="T124" s="24"/>
      <c r="U124" s="24"/>
      <c r="V124" s="24"/>
      <c r="W124" s="24"/>
      <c r="X124" s="24"/>
      <c r="Y124" s="24"/>
      <c r="Z124" s="24"/>
      <c r="AA124" s="24"/>
      <c r="AB124" s="24"/>
      <c r="AC124" s="24"/>
    </row>
    <row r="125" spans="1:29" ht="12.9">
      <c r="A125" s="24"/>
      <c r="B125" s="24"/>
      <c r="C125" s="143"/>
      <c r="D125" s="24"/>
      <c r="E125" s="24"/>
      <c r="F125" s="24"/>
      <c r="G125" s="24"/>
      <c r="H125" s="117"/>
      <c r="I125" s="117"/>
      <c r="J125" s="24"/>
      <c r="K125" s="24"/>
      <c r="L125" s="24"/>
      <c r="M125" s="24"/>
      <c r="N125" s="24"/>
      <c r="O125" s="24"/>
      <c r="P125" s="24"/>
      <c r="Q125" s="24"/>
      <c r="R125" s="24"/>
      <c r="S125" s="24"/>
      <c r="T125" s="24"/>
      <c r="U125" s="24"/>
      <c r="V125" s="24"/>
      <c r="W125" s="24"/>
      <c r="X125" s="24"/>
      <c r="Y125" s="24"/>
      <c r="Z125" s="24"/>
      <c r="AA125" s="24"/>
      <c r="AB125" s="24"/>
      <c r="AC125" s="24"/>
    </row>
    <row r="126" spans="1:29" ht="12.9">
      <c r="A126" s="24"/>
      <c r="B126" s="24"/>
      <c r="C126" s="143"/>
      <c r="D126" s="24"/>
      <c r="E126" s="24"/>
      <c r="F126" s="24"/>
      <c r="G126" s="24"/>
      <c r="H126" s="117"/>
      <c r="I126" s="117"/>
      <c r="J126" s="24"/>
      <c r="K126" s="24"/>
      <c r="L126" s="24"/>
      <c r="M126" s="24"/>
      <c r="N126" s="24"/>
      <c r="O126" s="24"/>
      <c r="P126" s="24"/>
      <c r="Q126" s="24"/>
      <c r="R126" s="24"/>
      <c r="S126" s="24"/>
      <c r="T126" s="24"/>
      <c r="U126" s="24"/>
      <c r="V126" s="24"/>
      <c r="W126" s="24"/>
      <c r="X126" s="24"/>
      <c r="Y126" s="24"/>
      <c r="Z126" s="24"/>
      <c r="AA126" s="24"/>
      <c r="AB126" s="24"/>
      <c r="AC126" s="24"/>
    </row>
    <row r="127" spans="1:29" ht="12.9">
      <c r="A127" s="24"/>
      <c r="B127" s="24"/>
      <c r="C127" s="143"/>
      <c r="D127" s="24"/>
      <c r="E127" s="24"/>
      <c r="F127" s="24"/>
      <c r="G127" s="24"/>
      <c r="H127" s="117"/>
      <c r="I127" s="117"/>
      <c r="J127" s="24"/>
      <c r="K127" s="24"/>
      <c r="L127" s="24"/>
      <c r="M127" s="24"/>
      <c r="N127" s="24"/>
      <c r="O127" s="24"/>
      <c r="P127" s="24"/>
      <c r="Q127" s="24"/>
      <c r="R127" s="24"/>
      <c r="S127" s="24"/>
      <c r="T127" s="24"/>
      <c r="U127" s="24"/>
      <c r="V127" s="24"/>
      <c r="W127" s="24"/>
      <c r="X127" s="24"/>
      <c r="Y127" s="24"/>
      <c r="Z127" s="24"/>
      <c r="AA127" s="24"/>
      <c r="AB127" s="24"/>
      <c r="AC127" s="24"/>
    </row>
    <row r="128" spans="1:29" ht="12.9">
      <c r="A128" s="24"/>
      <c r="B128" s="24"/>
      <c r="C128" s="143"/>
      <c r="D128" s="24"/>
      <c r="E128" s="24"/>
      <c r="F128" s="24"/>
      <c r="G128" s="24"/>
      <c r="H128" s="117"/>
      <c r="I128" s="117"/>
      <c r="J128" s="24"/>
      <c r="K128" s="24"/>
      <c r="L128" s="24"/>
      <c r="M128" s="24"/>
      <c r="N128" s="24"/>
      <c r="O128" s="24"/>
      <c r="P128" s="24"/>
      <c r="Q128" s="24"/>
      <c r="R128" s="24"/>
      <c r="S128" s="24"/>
      <c r="T128" s="24"/>
      <c r="U128" s="24"/>
      <c r="V128" s="24"/>
      <c r="W128" s="24"/>
      <c r="X128" s="24"/>
      <c r="Y128" s="24"/>
      <c r="Z128" s="24"/>
      <c r="AA128" s="24"/>
      <c r="AB128" s="24"/>
      <c r="AC128" s="24"/>
    </row>
    <row r="129" spans="1:29" ht="12.9">
      <c r="A129" s="24"/>
      <c r="B129" s="24"/>
      <c r="C129" s="143"/>
      <c r="D129" s="24"/>
      <c r="E129" s="24"/>
      <c r="F129" s="24"/>
      <c r="G129" s="24"/>
      <c r="H129" s="117"/>
      <c r="I129" s="117"/>
      <c r="J129" s="24"/>
      <c r="K129" s="24"/>
      <c r="L129" s="24"/>
      <c r="M129" s="24"/>
      <c r="N129" s="24"/>
      <c r="O129" s="24"/>
      <c r="P129" s="24"/>
      <c r="Q129" s="24"/>
      <c r="R129" s="24"/>
      <c r="S129" s="24"/>
      <c r="T129" s="24"/>
      <c r="U129" s="24"/>
      <c r="V129" s="24"/>
      <c r="W129" s="24"/>
      <c r="X129" s="24"/>
      <c r="Y129" s="24"/>
      <c r="Z129" s="24"/>
      <c r="AA129" s="24"/>
      <c r="AB129" s="24"/>
      <c r="AC129" s="24"/>
    </row>
    <row r="130" spans="1:29" ht="12.9">
      <c r="A130" s="24"/>
      <c r="B130" s="24"/>
      <c r="C130" s="143"/>
      <c r="D130" s="24"/>
      <c r="E130" s="24"/>
      <c r="F130" s="24"/>
      <c r="G130" s="24"/>
      <c r="H130" s="117"/>
      <c r="I130" s="117"/>
      <c r="J130" s="24"/>
      <c r="K130" s="24"/>
      <c r="L130" s="24"/>
      <c r="M130" s="24"/>
      <c r="N130" s="24"/>
      <c r="O130" s="24"/>
      <c r="P130" s="24"/>
      <c r="Q130" s="24"/>
      <c r="R130" s="24"/>
      <c r="S130" s="24"/>
      <c r="T130" s="24"/>
      <c r="U130" s="24"/>
      <c r="V130" s="24"/>
      <c r="W130" s="24"/>
      <c r="X130" s="24"/>
      <c r="Y130" s="24"/>
      <c r="Z130" s="24"/>
      <c r="AA130" s="24"/>
      <c r="AB130" s="24"/>
      <c r="AC130" s="24"/>
    </row>
    <row r="131" spans="1:29" ht="12.9">
      <c r="A131" s="24"/>
      <c r="B131" s="24"/>
      <c r="C131" s="143"/>
      <c r="D131" s="24"/>
      <c r="E131" s="24"/>
      <c r="F131" s="24"/>
      <c r="G131" s="24"/>
      <c r="H131" s="117"/>
      <c r="I131" s="117"/>
      <c r="J131" s="24"/>
      <c r="K131" s="24"/>
      <c r="L131" s="24"/>
      <c r="M131" s="24"/>
      <c r="N131" s="24"/>
      <c r="O131" s="24"/>
      <c r="P131" s="24"/>
      <c r="Q131" s="24"/>
      <c r="R131" s="24"/>
      <c r="S131" s="24"/>
      <c r="T131" s="24"/>
      <c r="U131" s="24"/>
      <c r="V131" s="24"/>
      <c r="W131" s="24"/>
      <c r="X131" s="24"/>
      <c r="Y131" s="24"/>
      <c r="Z131" s="24"/>
      <c r="AA131" s="24"/>
      <c r="AB131" s="24"/>
      <c r="AC131" s="24"/>
    </row>
    <row r="132" spans="1:29" ht="12.9">
      <c r="A132" s="24"/>
      <c r="B132" s="24"/>
      <c r="C132" s="143"/>
      <c r="D132" s="24"/>
      <c r="E132" s="24"/>
      <c r="F132" s="24"/>
      <c r="G132" s="24"/>
      <c r="H132" s="117"/>
      <c r="I132" s="117"/>
      <c r="J132" s="24"/>
      <c r="K132" s="24"/>
      <c r="L132" s="24"/>
      <c r="M132" s="24"/>
      <c r="N132" s="24"/>
      <c r="O132" s="24"/>
      <c r="P132" s="24"/>
      <c r="Q132" s="24"/>
      <c r="R132" s="24"/>
      <c r="S132" s="24"/>
      <c r="T132" s="24"/>
      <c r="U132" s="24"/>
      <c r="V132" s="24"/>
      <c r="W132" s="24"/>
      <c r="X132" s="24"/>
      <c r="Y132" s="24"/>
      <c r="Z132" s="24"/>
      <c r="AA132" s="24"/>
      <c r="AB132" s="24"/>
      <c r="AC132" s="24"/>
    </row>
    <row r="133" spans="1:29" ht="12.9">
      <c r="A133" s="24"/>
      <c r="B133" s="24"/>
      <c r="C133" s="143"/>
      <c r="D133" s="24"/>
      <c r="E133" s="24"/>
      <c r="F133" s="24"/>
      <c r="G133" s="24"/>
      <c r="H133" s="117"/>
      <c r="I133" s="117"/>
      <c r="J133" s="24"/>
      <c r="K133" s="24"/>
      <c r="L133" s="24"/>
      <c r="M133" s="24"/>
      <c r="N133" s="24"/>
      <c r="O133" s="24"/>
      <c r="P133" s="24"/>
      <c r="Q133" s="24"/>
      <c r="R133" s="24"/>
      <c r="S133" s="24"/>
      <c r="T133" s="24"/>
      <c r="U133" s="24"/>
      <c r="V133" s="24"/>
      <c r="W133" s="24"/>
      <c r="X133" s="24"/>
      <c r="Y133" s="24"/>
      <c r="Z133" s="24"/>
      <c r="AA133" s="24"/>
      <c r="AB133" s="24"/>
      <c r="AC133" s="24"/>
    </row>
    <row r="134" spans="1:29" ht="12.9">
      <c r="A134" s="24"/>
      <c r="B134" s="24"/>
      <c r="C134" s="143"/>
      <c r="D134" s="24"/>
      <c r="E134" s="24"/>
      <c r="F134" s="24"/>
      <c r="G134" s="24"/>
      <c r="H134" s="117"/>
      <c r="I134" s="117"/>
      <c r="J134" s="24"/>
      <c r="K134" s="24"/>
      <c r="L134" s="24"/>
      <c r="M134" s="24"/>
      <c r="N134" s="24"/>
      <c r="O134" s="24"/>
      <c r="P134" s="24"/>
      <c r="Q134" s="24"/>
      <c r="R134" s="24"/>
      <c r="S134" s="24"/>
      <c r="T134" s="24"/>
      <c r="U134" s="24"/>
      <c r="V134" s="24"/>
      <c r="W134" s="24"/>
      <c r="X134" s="24"/>
      <c r="Y134" s="24"/>
      <c r="Z134" s="24"/>
      <c r="AA134" s="24"/>
      <c r="AB134" s="24"/>
      <c r="AC134" s="24"/>
    </row>
    <row r="135" spans="1:29" ht="12.9">
      <c r="A135" s="24"/>
      <c r="B135" s="24"/>
      <c r="C135" s="143"/>
      <c r="D135" s="24"/>
      <c r="E135" s="24"/>
      <c r="F135" s="24"/>
      <c r="G135" s="24"/>
      <c r="H135" s="117"/>
      <c r="I135" s="117"/>
      <c r="J135" s="24"/>
      <c r="K135" s="24"/>
      <c r="L135" s="24"/>
      <c r="M135" s="24"/>
      <c r="N135" s="24"/>
      <c r="O135" s="24"/>
      <c r="P135" s="24"/>
      <c r="Q135" s="24"/>
      <c r="R135" s="24"/>
      <c r="S135" s="24"/>
      <c r="T135" s="24"/>
      <c r="U135" s="24"/>
      <c r="V135" s="24"/>
      <c r="W135" s="24"/>
      <c r="X135" s="24"/>
      <c r="Y135" s="24"/>
      <c r="Z135" s="24"/>
      <c r="AA135" s="24"/>
      <c r="AB135" s="24"/>
      <c r="AC135" s="24"/>
    </row>
    <row r="136" spans="1:29" ht="12.9">
      <c r="A136" s="24"/>
      <c r="B136" s="24"/>
      <c r="C136" s="143"/>
      <c r="D136" s="24"/>
      <c r="E136" s="24"/>
      <c r="F136" s="24"/>
      <c r="G136" s="24"/>
      <c r="H136" s="117"/>
      <c r="I136" s="117"/>
      <c r="J136" s="24"/>
      <c r="K136" s="24"/>
      <c r="L136" s="24"/>
      <c r="M136" s="24"/>
      <c r="N136" s="24"/>
      <c r="O136" s="24"/>
      <c r="P136" s="24"/>
      <c r="Q136" s="24"/>
      <c r="R136" s="24"/>
      <c r="S136" s="24"/>
      <c r="T136" s="24"/>
      <c r="U136" s="24"/>
      <c r="V136" s="24"/>
      <c r="W136" s="24"/>
      <c r="X136" s="24"/>
      <c r="Y136" s="24"/>
      <c r="Z136" s="24"/>
      <c r="AA136" s="24"/>
      <c r="AB136" s="24"/>
      <c r="AC136" s="24"/>
    </row>
    <row r="137" spans="1:29" ht="12.9">
      <c r="A137" s="24"/>
      <c r="B137" s="24"/>
      <c r="C137" s="143"/>
      <c r="D137" s="24"/>
      <c r="E137" s="24"/>
      <c r="F137" s="24"/>
      <c r="G137" s="24"/>
      <c r="H137" s="117"/>
      <c r="I137" s="117"/>
      <c r="J137" s="24"/>
      <c r="K137" s="24"/>
      <c r="L137" s="24"/>
      <c r="M137" s="24"/>
      <c r="N137" s="24"/>
      <c r="O137" s="24"/>
      <c r="P137" s="24"/>
      <c r="Q137" s="24"/>
      <c r="R137" s="24"/>
      <c r="S137" s="24"/>
      <c r="T137" s="24"/>
      <c r="U137" s="24"/>
      <c r="V137" s="24"/>
      <c r="W137" s="24"/>
      <c r="X137" s="24"/>
      <c r="Y137" s="24"/>
      <c r="Z137" s="24"/>
      <c r="AA137" s="24"/>
      <c r="AB137" s="24"/>
      <c r="AC137" s="24"/>
    </row>
    <row r="138" spans="1:29" ht="12.9">
      <c r="A138" s="24"/>
      <c r="B138" s="24"/>
      <c r="C138" s="143"/>
      <c r="D138" s="24"/>
      <c r="E138" s="24"/>
      <c r="F138" s="24"/>
      <c r="G138" s="24"/>
      <c r="H138" s="117"/>
      <c r="I138" s="117"/>
      <c r="J138" s="24"/>
      <c r="K138" s="24"/>
      <c r="L138" s="24"/>
      <c r="M138" s="24"/>
      <c r="N138" s="24"/>
      <c r="O138" s="24"/>
      <c r="P138" s="24"/>
      <c r="Q138" s="24"/>
      <c r="R138" s="24"/>
      <c r="S138" s="24"/>
      <c r="T138" s="24"/>
      <c r="U138" s="24"/>
      <c r="V138" s="24"/>
      <c r="W138" s="24"/>
      <c r="X138" s="24"/>
      <c r="Y138" s="24"/>
      <c r="Z138" s="24"/>
      <c r="AA138" s="24"/>
      <c r="AB138" s="24"/>
      <c r="AC138" s="24"/>
    </row>
    <row r="139" spans="1:29" ht="12.9">
      <c r="A139" s="24"/>
      <c r="B139" s="24"/>
      <c r="C139" s="143"/>
      <c r="D139" s="24"/>
      <c r="E139" s="24"/>
      <c r="F139" s="24"/>
      <c r="G139" s="24"/>
      <c r="H139" s="117"/>
      <c r="I139" s="117"/>
      <c r="J139" s="24"/>
      <c r="K139" s="24"/>
      <c r="L139" s="24"/>
      <c r="M139" s="24"/>
      <c r="N139" s="24"/>
      <c r="O139" s="24"/>
      <c r="P139" s="24"/>
      <c r="Q139" s="24"/>
      <c r="R139" s="24"/>
      <c r="S139" s="24"/>
      <c r="T139" s="24"/>
      <c r="U139" s="24"/>
      <c r="V139" s="24"/>
      <c r="W139" s="24"/>
      <c r="X139" s="24"/>
      <c r="Y139" s="24"/>
      <c r="Z139" s="24"/>
      <c r="AA139" s="24"/>
      <c r="AB139" s="24"/>
      <c r="AC139" s="24"/>
    </row>
    <row r="140" spans="1:29" ht="12.9">
      <c r="A140" s="24"/>
      <c r="B140" s="24"/>
      <c r="C140" s="143"/>
      <c r="D140" s="24"/>
      <c r="E140" s="24"/>
      <c r="F140" s="24"/>
      <c r="G140" s="24"/>
      <c r="H140" s="117"/>
      <c r="I140" s="117"/>
      <c r="J140" s="24"/>
      <c r="K140" s="24"/>
      <c r="L140" s="24"/>
      <c r="M140" s="24"/>
      <c r="N140" s="24"/>
      <c r="O140" s="24"/>
      <c r="P140" s="24"/>
      <c r="Q140" s="24"/>
      <c r="R140" s="24"/>
      <c r="S140" s="24"/>
      <c r="T140" s="24"/>
      <c r="U140" s="24"/>
      <c r="V140" s="24"/>
      <c r="W140" s="24"/>
      <c r="X140" s="24"/>
      <c r="Y140" s="24"/>
      <c r="Z140" s="24"/>
      <c r="AA140" s="24"/>
      <c r="AB140" s="24"/>
      <c r="AC140" s="24"/>
    </row>
    <row r="141" spans="1:29" ht="12.9">
      <c r="A141" s="24"/>
      <c r="B141" s="24"/>
      <c r="C141" s="143"/>
      <c r="D141" s="24"/>
      <c r="E141" s="24"/>
      <c r="F141" s="24"/>
      <c r="G141" s="24"/>
      <c r="H141" s="117"/>
      <c r="I141" s="117"/>
      <c r="J141" s="24"/>
      <c r="K141" s="24"/>
      <c r="L141" s="24"/>
      <c r="M141" s="24"/>
      <c r="N141" s="24"/>
      <c r="O141" s="24"/>
      <c r="P141" s="24"/>
      <c r="Q141" s="24"/>
      <c r="R141" s="24"/>
      <c r="S141" s="24"/>
      <c r="T141" s="24"/>
      <c r="U141" s="24"/>
      <c r="V141" s="24"/>
      <c r="W141" s="24"/>
      <c r="X141" s="24"/>
      <c r="Y141" s="24"/>
      <c r="Z141" s="24"/>
      <c r="AA141" s="24"/>
      <c r="AB141" s="24"/>
      <c r="AC141" s="24"/>
    </row>
    <row r="142" spans="1:29" ht="12.9">
      <c r="A142" s="24"/>
      <c r="B142" s="24"/>
      <c r="C142" s="143"/>
      <c r="D142" s="24"/>
      <c r="E142" s="24"/>
      <c r="F142" s="24"/>
      <c r="G142" s="24"/>
      <c r="H142" s="117"/>
      <c r="I142" s="117"/>
      <c r="J142" s="24"/>
      <c r="K142" s="24"/>
      <c r="L142" s="24"/>
      <c r="M142" s="24"/>
      <c r="N142" s="24"/>
      <c r="O142" s="24"/>
      <c r="P142" s="24"/>
      <c r="Q142" s="24"/>
      <c r="R142" s="24"/>
      <c r="S142" s="24"/>
      <c r="T142" s="24"/>
      <c r="U142" s="24"/>
      <c r="V142" s="24"/>
      <c r="W142" s="24"/>
      <c r="X142" s="24"/>
      <c r="Y142" s="24"/>
      <c r="Z142" s="24"/>
      <c r="AA142" s="24"/>
      <c r="AB142" s="24"/>
      <c r="AC142" s="24"/>
    </row>
    <row r="143" spans="1:29" ht="12.9">
      <c r="A143" s="24"/>
      <c r="B143" s="24"/>
      <c r="C143" s="143"/>
      <c r="D143" s="24"/>
      <c r="E143" s="24"/>
      <c r="F143" s="24"/>
      <c r="G143" s="24"/>
      <c r="H143" s="117"/>
      <c r="I143" s="117"/>
      <c r="J143" s="24"/>
      <c r="K143" s="24"/>
      <c r="L143" s="24"/>
      <c r="M143" s="24"/>
      <c r="N143" s="24"/>
      <c r="O143" s="24"/>
      <c r="P143" s="24"/>
      <c r="Q143" s="24"/>
      <c r="R143" s="24"/>
      <c r="S143" s="24"/>
      <c r="T143" s="24"/>
      <c r="U143" s="24"/>
      <c r="V143" s="24"/>
      <c r="W143" s="24"/>
      <c r="X143" s="24"/>
      <c r="Y143" s="24"/>
      <c r="Z143" s="24"/>
      <c r="AA143" s="24"/>
      <c r="AB143" s="24"/>
      <c r="AC143" s="24"/>
    </row>
    <row r="144" spans="1:29" ht="12.9">
      <c r="A144" s="24"/>
      <c r="B144" s="24"/>
      <c r="C144" s="143"/>
      <c r="D144" s="24"/>
      <c r="E144" s="24"/>
      <c r="F144" s="24"/>
      <c r="G144" s="24"/>
      <c r="H144" s="117"/>
      <c r="I144" s="117"/>
      <c r="J144" s="24"/>
      <c r="K144" s="24"/>
      <c r="L144" s="24"/>
      <c r="M144" s="24"/>
      <c r="N144" s="24"/>
      <c r="O144" s="24"/>
      <c r="P144" s="24"/>
      <c r="Q144" s="24"/>
      <c r="R144" s="24"/>
      <c r="S144" s="24"/>
      <c r="T144" s="24"/>
      <c r="U144" s="24"/>
      <c r="V144" s="24"/>
      <c r="W144" s="24"/>
      <c r="X144" s="24"/>
      <c r="Y144" s="24"/>
      <c r="Z144" s="24"/>
      <c r="AA144" s="24"/>
      <c r="AB144" s="24"/>
      <c r="AC144" s="24"/>
    </row>
    <row r="145" spans="1:29" ht="12.9">
      <c r="A145" s="24"/>
      <c r="B145" s="24"/>
      <c r="C145" s="143"/>
      <c r="D145" s="24"/>
      <c r="E145" s="24"/>
      <c r="F145" s="24"/>
      <c r="G145" s="24"/>
      <c r="H145" s="117"/>
      <c r="I145" s="117"/>
      <c r="J145" s="24"/>
      <c r="K145" s="24"/>
      <c r="L145" s="24"/>
      <c r="M145" s="24"/>
      <c r="N145" s="24"/>
      <c r="O145" s="24"/>
      <c r="P145" s="24"/>
      <c r="Q145" s="24"/>
      <c r="R145" s="24"/>
      <c r="S145" s="24"/>
      <c r="T145" s="24"/>
      <c r="U145" s="24"/>
      <c r="V145" s="24"/>
      <c r="W145" s="24"/>
      <c r="X145" s="24"/>
      <c r="Y145" s="24"/>
      <c r="Z145" s="24"/>
      <c r="AA145" s="24"/>
      <c r="AB145" s="24"/>
      <c r="AC145" s="24"/>
    </row>
    <row r="146" spans="1:29" ht="12.9">
      <c r="A146" s="24"/>
      <c r="B146" s="24"/>
      <c r="C146" s="143"/>
      <c r="D146" s="24"/>
      <c r="E146" s="24"/>
      <c r="F146" s="24"/>
      <c r="G146" s="24"/>
      <c r="H146" s="117"/>
      <c r="I146" s="117"/>
      <c r="J146" s="24"/>
      <c r="K146" s="24"/>
      <c r="L146" s="24"/>
      <c r="M146" s="24"/>
      <c r="N146" s="24"/>
      <c r="O146" s="24"/>
      <c r="P146" s="24"/>
      <c r="Q146" s="24"/>
      <c r="R146" s="24"/>
      <c r="S146" s="24"/>
      <c r="T146" s="24"/>
      <c r="U146" s="24"/>
      <c r="V146" s="24"/>
      <c r="W146" s="24"/>
      <c r="X146" s="24"/>
      <c r="Y146" s="24"/>
      <c r="Z146" s="24"/>
      <c r="AA146" s="24"/>
      <c r="AB146" s="24"/>
      <c r="AC146" s="24"/>
    </row>
    <row r="147" spans="1:29" ht="12.9">
      <c r="A147" s="24"/>
      <c r="B147" s="24"/>
      <c r="C147" s="143"/>
      <c r="D147" s="24"/>
      <c r="E147" s="24"/>
      <c r="F147" s="24"/>
      <c r="G147" s="24"/>
      <c r="H147" s="117"/>
      <c r="I147" s="117"/>
      <c r="J147" s="24"/>
      <c r="K147" s="24"/>
      <c r="L147" s="24"/>
      <c r="M147" s="24"/>
      <c r="N147" s="24"/>
      <c r="O147" s="24"/>
      <c r="P147" s="24"/>
      <c r="Q147" s="24"/>
      <c r="R147" s="24"/>
      <c r="S147" s="24"/>
      <c r="T147" s="24"/>
      <c r="U147" s="24"/>
      <c r="V147" s="24"/>
      <c r="W147" s="24"/>
      <c r="X147" s="24"/>
      <c r="Y147" s="24"/>
      <c r="Z147" s="24"/>
      <c r="AA147" s="24"/>
      <c r="AB147" s="24"/>
      <c r="AC147" s="24"/>
    </row>
    <row r="148" spans="1:29" ht="12.9">
      <c r="A148" s="24"/>
      <c r="B148" s="24"/>
      <c r="C148" s="143"/>
      <c r="D148" s="24"/>
      <c r="E148" s="24"/>
      <c r="F148" s="24"/>
      <c r="G148" s="24"/>
      <c r="H148" s="117"/>
      <c r="I148" s="117"/>
      <c r="J148" s="24"/>
      <c r="K148" s="24"/>
      <c r="L148" s="24"/>
      <c r="M148" s="24"/>
      <c r="N148" s="24"/>
      <c r="O148" s="24"/>
      <c r="P148" s="24"/>
      <c r="Q148" s="24"/>
      <c r="R148" s="24"/>
      <c r="S148" s="24"/>
      <c r="T148" s="24"/>
      <c r="U148" s="24"/>
      <c r="V148" s="24"/>
      <c r="W148" s="24"/>
      <c r="X148" s="24"/>
      <c r="Y148" s="24"/>
      <c r="Z148" s="24"/>
      <c r="AA148" s="24"/>
      <c r="AB148" s="24"/>
      <c r="AC148" s="24"/>
    </row>
    <row r="149" spans="1:29" ht="12.9">
      <c r="A149" s="24"/>
      <c r="B149" s="24"/>
      <c r="C149" s="143"/>
      <c r="D149" s="24"/>
      <c r="E149" s="24"/>
      <c r="F149" s="24"/>
      <c r="G149" s="24"/>
      <c r="H149" s="117"/>
      <c r="I149" s="117"/>
      <c r="J149" s="24"/>
      <c r="K149" s="24"/>
      <c r="L149" s="24"/>
      <c r="M149" s="24"/>
      <c r="N149" s="24"/>
      <c r="O149" s="24"/>
      <c r="P149" s="24"/>
      <c r="Q149" s="24"/>
      <c r="R149" s="24"/>
      <c r="S149" s="24"/>
      <c r="T149" s="24"/>
      <c r="U149" s="24"/>
      <c r="V149" s="24"/>
      <c r="W149" s="24"/>
      <c r="X149" s="24"/>
      <c r="Y149" s="24"/>
      <c r="Z149" s="24"/>
      <c r="AA149" s="24"/>
      <c r="AB149" s="24"/>
      <c r="AC149" s="24"/>
    </row>
    <row r="150" spans="1:29" ht="12.9">
      <c r="A150" s="24"/>
      <c r="B150" s="24"/>
      <c r="C150" s="143"/>
      <c r="D150" s="24"/>
      <c r="E150" s="24"/>
      <c r="F150" s="24"/>
      <c r="G150" s="24"/>
      <c r="H150" s="117"/>
      <c r="I150" s="117"/>
      <c r="J150" s="24"/>
      <c r="K150" s="24"/>
      <c r="L150" s="24"/>
      <c r="M150" s="24"/>
      <c r="N150" s="24"/>
      <c r="O150" s="24"/>
      <c r="P150" s="24"/>
      <c r="Q150" s="24"/>
      <c r="R150" s="24"/>
      <c r="S150" s="24"/>
      <c r="T150" s="24"/>
      <c r="U150" s="24"/>
      <c r="V150" s="24"/>
      <c r="W150" s="24"/>
      <c r="X150" s="24"/>
      <c r="Y150" s="24"/>
      <c r="Z150" s="24"/>
      <c r="AA150" s="24"/>
      <c r="AB150" s="24"/>
      <c r="AC150" s="24"/>
    </row>
    <row r="151" spans="1:29" ht="12.9">
      <c r="A151" s="24"/>
      <c r="B151" s="24"/>
      <c r="C151" s="143"/>
      <c r="D151" s="24"/>
      <c r="E151" s="24"/>
      <c r="F151" s="24"/>
      <c r="G151" s="24"/>
      <c r="H151" s="117"/>
      <c r="I151" s="117"/>
      <c r="J151" s="24"/>
      <c r="K151" s="24"/>
      <c r="L151" s="24"/>
      <c r="M151" s="24"/>
      <c r="N151" s="24"/>
      <c r="O151" s="24"/>
      <c r="P151" s="24"/>
      <c r="Q151" s="24"/>
      <c r="R151" s="24"/>
      <c r="S151" s="24"/>
      <c r="T151" s="24"/>
      <c r="U151" s="24"/>
      <c r="V151" s="24"/>
      <c r="W151" s="24"/>
      <c r="X151" s="24"/>
      <c r="Y151" s="24"/>
      <c r="Z151" s="24"/>
      <c r="AA151" s="24"/>
      <c r="AB151" s="24"/>
      <c r="AC151" s="24"/>
    </row>
    <row r="152" spans="1:29" ht="12.9">
      <c r="A152" s="24"/>
      <c r="B152" s="24"/>
      <c r="C152" s="143"/>
      <c r="D152" s="24"/>
      <c r="E152" s="24"/>
      <c r="F152" s="24"/>
      <c r="G152" s="24"/>
      <c r="H152" s="117"/>
      <c r="I152" s="117"/>
      <c r="J152" s="24"/>
      <c r="K152" s="24"/>
      <c r="L152" s="24"/>
      <c r="M152" s="24"/>
      <c r="N152" s="24"/>
      <c r="O152" s="24"/>
      <c r="P152" s="24"/>
      <c r="Q152" s="24"/>
      <c r="R152" s="24"/>
      <c r="S152" s="24"/>
      <c r="T152" s="24"/>
      <c r="U152" s="24"/>
      <c r="V152" s="24"/>
      <c r="W152" s="24"/>
      <c r="X152" s="24"/>
      <c r="Y152" s="24"/>
      <c r="Z152" s="24"/>
      <c r="AA152" s="24"/>
      <c r="AB152" s="24"/>
      <c r="AC152" s="24"/>
    </row>
    <row r="153" spans="1:29" ht="12.9">
      <c r="A153" s="24"/>
      <c r="B153" s="24"/>
      <c r="C153" s="143"/>
      <c r="D153" s="24"/>
      <c r="E153" s="24"/>
      <c r="F153" s="24"/>
      <c r="G153" s="24"/>
      <c r="H153" s="117"/>
      <c r="I153" s="117"/>
      <c r="J153" s="24"/>
      <c r="K153" s="24"/>
      <c r="L153" s="24"/>
      <c r="M153" s="24"/>
      <c r="N153" s="24"/>
      <c r="O153" s="24"/>
      <c r="P153" s="24"/>
      <c r="Q153" s="24"/>
      <c r="R153" s="24"/>
      <c r="S153" s="24"/>
      <c r="T153" s="24"/>
      <c r="U153" s="24"/>
      <c r="V153" s="24"/>
      <c r="W153" s="24"/>
      <c r="X153" s="24"/>
      <c r="Y153" s="24"/>
      <c r="Z153" s="24"/>
      <c r="AA153" s="24"/>
      <c r="AB153" s="24"/>
      <c r="AC153" s="24"/>
    </row>
    <row r="154" spans="1:29" ht="12.9">
      <c r="A154" s="24"/>
      <c r="B154" s="24"/>
      <c r="C154" s="143"/>
      <c r="D154" s="24"/>
      <c r="E154" s="24"/>
      <c r="F154" s="24"/>
      <c r="G154" s="24"/>
      <c r="H154" s="117"/>
      <c r="I154" s="117"/>
      <c r="J154" s="24"/>
      <c r="K154" s="24"/>
      <c r="L154" s="24"/>
      <c r="M154" s="24"/>
      <c r="N154" s="24"/>
      <c r="O154" s="24"/>
      <c r="P154" s="24"/>
      <c r="Q154" s="24"/>
      <c r="R154" s="24"/>
      <c r="S154" s="24"/>
      <c r="T154" s="24"/>
      <c r="U154" s="24"/>
      <c r="V154" s="24"/>
      <c r="W154" s="24"/>
      <c r="X154" s="24"/>
      <c r="Y154" s="24"/>
      <c r="Z154" s="24"/>
      <c r="AA154" s="24"/>
      <c r="AB154" s="24"/>
      <c r="AC154" s="24"/>
    </row>
    <row r="155" spans="1:29" ht="12.9">
      <c r="A155" s="24"/>
      <c r="B155" s="24"/>
      <c r="C155" s="143"/>
      <c r="D155" s="24"/>
      <c r="E155" s="24"/>
      <c r="F155" s="24"/>
      <c r="G155" s="24"/>
      <c r="H155" s="117"/>
      <c r="I155" s="117"/>
      <c r="J155" s="24"/>
      <c r="K155" s="24"/>
      <c r="L155" s="24"/>
      <c r="M155" s="24"/>
      <c r="N155" s="24"/>
      <c r="O155" s="24"/>
      <c r="P155" s="24"/>
      <c r="Q155" s="24"/>
      <c r="R155" s="24"/>
      <c r="S155" s="24"/>
      <c r="T155" s="24"/>
      <c r="U155" s="24"/>
      <c r="V155" s="24"/>
      <c r="W155" s="24"/>
      <c r="X155" s="24"/>
      <c r="Y155" s="24"/>
      <c r="Z155" s="24"/>
      <c r="AA155" s="24"/>
      <c r="AB155" s="24"/>
      <c r="AC155" s="24"/>
    </row>
    <row r="156" spans="1:29" ht="12.9">
      <c r="A156" s="24"/>
      <c r="B156" s="24"/>
      <c r="C156" s="143"/>
      <c r="D156" s="24"/>
      <c r="E156" s="24"/>
      <c r="F156" s="24"/>
      <c r="G156" s="24"/>
      <c r="H156" s="117"/>
      <c r="I156" s="117"/>
      <c r="J156" s="24"/>
      <c r="K156" s="24"/>
      <c r="L156" s="24"/>
      <c r="M156" s="24"/>
      <c r="N156" s="24"/>
      <c r="O156" s="24"/>
      <c r="P156" s="24"/>
      <c r="Q156" s="24"/>
      <c r="R156" s="24"/>
      <c r="S156" s="24"/>
      <c r="T156" s="24"/>
      <c r="U156" s="24"/>
      <c r="V156" s="24"/>
      <c r="W156" s="24"/>
      <c r="X156" s="24"/>
      <c r="Y156" s="24"/>
      <c r="Z156" s="24"/>
      <c r="AA156" s="24"/>
      <c r="AB156" s="24"/>
      <c r="AC156" s="24"/>
    </row>
    <row r="157" spans="1:29" ht="12.9">
      <c r="A157" s="24"/>
      <c r="B157" s="24"/>
      <c r="C157" s="143"/>
      <c r="D157" s="24"/>
      <c r="E157" s="24"/>
      <c r="F157" s="24"/>
      <c r="G157" s="24"/>
      <c r="H157" s="117"/>
      <c r="I157" s="117"/>
      <c r="J157" s="24"/>
      <c r="K157" s="24"/>
      <c r="L157" s="24"/>
      <c r="M157" s="24"/>
      <c r="N157" s="24"/>
      <c r="O157" s="24"/>
      <c r="P157" s="24"/>
      <c r="Q157" s="24"/>
      <c r="R157" s="24"/>
      <c r="S157" s="24"/>
      <c r="T157" s="24"/>
      <c r="U157" s="24"/>
      <c r="V157" s="24"/>
      <c r="W157" s="24"/>
      <c r="X157" s="24"/>
      <c r="Y157" s="24"/>
      <c r="Z157" s="24"/>
      <c r="AA157" s="24"/>
      <c r="AB157" s="24"/>
      <c r="AC157" s="24"/>
    </row>
    <row r="158" spans="1:29" ht="12.9">
      <c r="A158" s="24"/>
      <c r="B158" s="24"/>
      <c r="C158" s="143"/>
      <c r="D158" s="24"/>
      <c r="E158" s="24"/>
      <c r="F158" s="24"/>
      <c r="G158" s="24"/>
      <c r="H158" s="117"/>
      <c r="I158" s="117"/>
      <c r="J158" s="24"/>
      <c r="K158" s="24"/>
      <c r="L158" s="24"/>
      <c r="M158" s="24"/>
      <c r="N158" s="24"/>
      <c r="O158" s="24"/>
      <c r="P158" s="24"/>
      <c r="Q158" s="24"/>
      <c r="R158" s="24"/>
      <c r="S158" s="24"/>
      <c r="T158" s="24"/>
      <c r="U158" s="24"/>
      <c r="V158" s="24"/>
      <c r="W158" s="24"/>
      <c r="X158" s="24"/>
      <c r="Y158" s="24"/>
      <c r="Z158" s="24"/>
      <c r="AA158" s="24"/>
      <c r="AB158" s="24"/>
      <c r="AC158" s="24"/>
    </row>
    <row r="159" spans="1:29" ht="12.9">
      <c r="A159" s="24"/>
      <c r="B159" s="24"/>
      <c r="C159" s="143"/>
      <c r="D159" s="24"/>
      <c r="E159" s="24"/>
      <c r="F159" s="24"/>
      <c r="G159" s="24"/>
      <c r="H159" s="117"/>
      <c r="I159" s="117"/>
      <c r="J159" s="24"/>
      <c r="K159" s="24"/>
      <c r="L159" s="24"/>
      <c r="M159" s="24"/>
      <c r="N159" s="24"/>
      <c r="O159" s="24"/>
      <c r="P159" s="24"/>
      <c r="Q159" s="24"/>
      <c r="R159" s="24"/>
      <c r="S159" s="24"/>
      <c r="T159" s="24"/>
      <c r="U159" s="24"/>
      <c r="V159" s="24"/>
      <c r="W159" s="24"/>
      <c r="X159" s="24"/>
      <c r="Y159" s="24"/>
      <c r="Z159" s="24"/>
      <c r="AA159" s="24"/>
      <c r="AB159" s="24"/>
      <c r="AC159" s="24"/>
    </row>
    <row r="160" spans="1:29" ht="12.9">
      <c r="A160" s="24"/>
      <c r="B160" s="24"/>
      <c r="C160" s="143"/>
      <c r="D160" s="24"/>
      <c r="E160" s="24"/>
      <c r="F160" s="24"/>
      <c r="G160" s="24"/>
      <c r="H160" s="117"/>
      <c r="I160" s="117"/>
      <c r="J160" s="24"/>
      <c r="K160" s="24"/>
      <c r="L160" s="24"/>
      <c r="M160" s="24"/>
      <c r="N160" s="24"/>
      <c r="O160" s="24"/>
      <c r="P160" s="24"/>
      <c r="Q160" s="24"/>
      <c r="R160" s="24"/>
      <c r="S160" s="24"/>
      <c r="T160" s="24"/>
      <c r="U160" s="24"/>
      <c r="V160" s="24"/>
      <c r="W160" s="24"/>
      <c r="X160" s="24"/>
      <c r="Y160" s="24"/>
      <c r="Z160" s="24"/>
      <c r="AA160" s="24"/>
      <c r="AB160" s="24"/>
      <c r="AC160" s="24"/>
    </row>
    <row r="161" spans="1:29" ht="12.9">
      <c r="A161" s="24"/>
      <c r="B161" s="24"/>
      <c r="C161" s="143"/>
      <c r="D161" s="24"/>
      <c r="E161" s="24"/>
      <c r="F161" s="24"/>
      <c r="G161" s="24"/>
      <c r="H161" s="117"/>
      <c r="I161" s="117"/>
      <c r="J161" s="24"/>
      <c r="K161" s="24"/>
      <c r="L161" s="24"/>
      <c r="M161" s="24"/>
      <c r="N161" s="24"/>
      <c r="O161" s="24"/>
      <c r="P161" s="24"/>
      <c r="Q161" s="24"/>
      <c r="R161" s="24"/>
      <c r="S161" s="24"/>
      <c r="T161" s="24"/>
      <c r="U161" s="24"/>
      <c r="V161" s="24"/>
      <c r="W161" s="24"/>
      <c r="X161" s="24"/>
      <c r="Y161" s="24"/>
      <c r="Z161" s="24"/>
      <c r="AA161" s="24"/>
      <c r="AB161" s="24"/>
      <c r="AC161" s="24"/>
    </row>
    <row r="162" spans="1:29" ht="12.9">
      <c r="A162" s="24"/>
      <c r="B162" s="24"/>
      <c r="C162" s="143"/>
      <c r="D162" s="24"/>
      <c r="E162" s="24"/>
      <c r="F162" s="24"/>
      <c r="G162" s="24"/>
      <c r="H162" s="117"/>
      <c r="I162" s="117"/>
      <c r="J162" s="24"/>
      <c r="K162" s="24"/>
      <c r="L162" s="24"/>
      <c r="M162" s="24"/>
      <c r="N162" s="24"/>
      <c r="O162" s="24"/>
      <c r="P162" s="24"/>
      <c r="Q162" s="24"/>
      <c r="R162" s="24"/>
      <c r="S162" s="24"/>
      <c r="T162" s="24"/>
      <c r="U162" s="24"/>
      <c r="V162" s="24"/>
      <c r="W162" s="24"/>
      <c r="X162" s="24"/>
      <c r="Y162" s="24"/>
      <c r="Z162" s="24"/>
      <c r="AA162" s="24"/>
      <c r="AB162" s="24"/>
      <c r="AC162" s="24"/>
    </row>
    <row r="163" spans="1:29" ht="12.9">
      <c r="A163" s="24"/>
      <c r="B163" s="24"/>
      <c r="C163" s="143"/>
      <c r="D163" s="24"/>
      <c r="E163" s="24"/>
      <c r="F163" s="24"/>
      <c r="G163" s="24"/>
      <c r="H163" s="117"/>
      <c r="I163" s="117"/>
      <c r="J163" s="24"/>
      <c r="K163" s="24"/>
      <c r="L163" s="24"/>
      <c r="M163" s="24"/>
      <c r="N163" s="24"/>
      <c r="O163" s="24"/>
      <c r="P163" s="24"/>
      <c r="Q163" s="24"/>
      <c r="R163" s="24"/>
      <c r="S163" s="24"/>
      <c r="T163" s="24"/>
      <c r="U163" s="24"/>
      <c r="V163" s="24"/>
      <c r="W163" s="24"/>
      <c r="X163" s="24"/>
      <c r="Y163" s="24"/>
      <c r="Z163" s="24"/>
      <c r="AA163" s="24"/>
      <c r="AB163" s="24"/>
      <c r="AC163" s="24"/>
    </row>
    <row r="164" spans="1:29" ht="12.9">
      <c r="A164" s="24"/>
      <c r="B164" s="24"/>
      <c r="C164" s="143"/>
      <c r="D164" s="24"/>
      <c r="E164" s="24"/>
      <c r="F164" s="24"/>
      <c r="G164" s="24"/>
      <c r="H164" s="117"/>
      <c r="I164" s="117"/>
      <c r="J164" s="24"/>
      <c r="K164" s="24"/>
      <c r="L164" s="24"/>
      <c r="M164" s="24"/>
      <c r="N164" s="24"/>
      <c r="O164" s="24"/>
      <c r="P164" s="24"/>
      <c r="Q164" s="24"/>
      <c r="R164" s="24"/>
      <c r="S164" s="24"/>
      <c r="T164" s="24"/>
      <c r="U164" s="24"/>
      <c r="V164" s="24"/>
      <c r="W164" s="24"/>
      <c r="X164" s="24"/>
      <c r="Y164" s="24"/>
      <c r="Z164" s="24"/>
      <c r="AA164" s="24"/>
      <c r="AB164" s="24"/>
      <c r="AC164" s="24"/>
    </row>
    <row r="165" spans="1:29" ht="12.9">
      <c r="A165" s="24"/>
      <c r="B165" s="24"/>
      <c r="C165" s="143"/>
      <c r="D165" s="24"/>
      <c r="E165" s="24"/>
      <c r="F165" s="24"/>
      <c r="G165" s="24"/>
      <c r="H165" s="117"/>
      <c r="I165" s="117"/>
      <c r="J165" s="24"/>
      <c r="K165" s="24"/>
      <c r="L165" s="24"/>
      <c r="M165" s="24"/>
      <c r="N165" s="24"/>
      <c r="O165" s="24"/>
      <c r="P165" s="24"/>
      <c r="Q165" s="24"/>
      <c r="R165" s="24"/>
      <c r="S165" s="24"/>
      <c r="T165" s="24"/>
      <c r="U165" s="24"/>
      <c r="V165" s="24"/>
      <c r="W165" s="24"/>
      <c r="X165" s="24"/>
      <c r="Y165" s="24"/>
      <c r="Z165" s="24"/>
      <c r="AA165" s="24"/>
      <c r="AB165" s="24"/>
      <c r="AC165" s="24"/>
    </row>
    <row r="166" spans="1:29" ht="12.9">
      <c r="A166" s="24"/>
      <c r="B166" s="24"/>
      <c r="C166" s="143"/>
      <c r="D166" s="24"/>
      <c r="E166" s="24"/>
      <c r="F166" s="24"/>
      <c r="G166" s="24"/>
      <c r="H166" s="117"/>
      <c r="I166" s="117"/>
      <c r="J166" s="24"/>
      <c r="K166" s="24"/>
      <c r="L166" s="24"/>
      <c r="M166" s="24"/>
      <c r="N166" s="24"/>
      <c r="O166" s="24"/>
      <c r="P166" s="24"/>
      <c r="Q166" s="24"/>
      <c r="R166" s="24"/>
      <c r="S166" s="24"/>
      <c r="T166" s="24"/>
      <c r="U166" s="24"/>
      <c r="V166" s="24"/>
      <c r="W166" s="24"/>
      <c r="X166" s="24"/>
      <c r="Y166" s="24"/>
      <c r="Z166" s="24"/>
      <c r="AA166" s="24"/>
      <c r="AB166" s="24"/>
      <c r="AC166" s="24"/>
    </row>
    <row r="167" spans="1:29" ht="12.9">
      <c r="A167" s="24"/>
      <c r="B167" s="24"/>
      <c r="C167" s="143"/>
      <c r="D167" s="24"/>
      <c r="E167" s="24"/>
      <c r="F167" s="24"/>
      <c r="G167" s="24"/>
      <c r="H167" s="117"/>
      <c r="I167" s="117"/>
      <c r="J167" s="24"/>
      <c r="K167" s="24"/>
      <c r="L167" s="24"/>
      <c r="M167" s="24"/>
      <c r="N167" s="24"/>
      <c r="O167" s="24"/>
      <c r="P167" s="24"/>
      <c r="Q167" s="24"/>
      <c r="R167" s="24"/>
      <c r="S167" s="24"/>
      <c r="T167" s="24"/>
      <c r="U167" s="24"/>
      <c r="V167" s="24"/>
      <c r="W167" s="24"/>
      <c r="X167" s="24"/>
      <c r="Y167" s="24"/>
      <c r="Z167" s="24"/>
      <c r="AA167" s="24"/>
      <c r="AB167" s="24"/>
      <c r="AC167" s="24"/>
    </row>
    <row r="168" spans="1:29" ht="12.9">
      <c r="A168" s="24"/>
      <c r="B168" s="24"/>
      <c r="C168" s="143"/>
      <c r="D168" s="24"/>
      <c r="E168" s="24"/>
      <c r="F168" s="24"/>
      <c r="G168" s="24"/>
      <c r="H168" s="117"/>
      <c r="I168" s="117"/>
      <c r="J168" s="24"/>
      <c r="K168" s="24"/>
      <c r="L168" s="24"/>
      <c r="M168" s="24"/>
      <c r="N168" s="24"/>
      <c r="O168" s="24"/>
      <c r="P168" s="24"/>
      <c r="Q168" s="24"/>
      <c r="R168" s="24"/>
      <c r="S168" s="24"/>
      <c r="T168" s="24"/>
      <c r="U168" s="24"/>
      <c r="V168" s="24"/>
      <c r="W168" s="24"/>
      <c r="X168" s="24"/>
      <c r="Y168" s="24"/>
      <c r="Z168" s="24"/>
      <c r="AA168" s="24"/>
      <c r="AB168" s="24"/>
      <c r="AC168" s="24"/>
    </row>
    <row r="169" spans="1:29" ht="12.9">
      <c r="A169" s="24"/>
      <c r="B169" s="24"/>
      <c r="C169" s="143"/>
      <c r="D169" s="24"/>
      <c r="E169" s="24"/>
      <c r="F169" s="24"/>
      <c r="G169" s="24"/>
      <c r="H169" s="117"/>
      <c r="I169" s="117"/>
      <c r="J169" s="24"/>
      <c r="K169" s="24"/>
      <c r="L169" s="24"/>
      <c r="M169" s="24"/>
      <c r="N169" s="24"/>
      <c r="O169" s="24"/>
      <c r="P169" s="24"/>
      <c r="Q169" s="24"/>
      <c r="R169" s="24"/>
      <c r="S169" s="24"/>
      <c r="T169" s="24"/>
      <c r="U169" s="24"/>
      <c r="V169" s="24"/>
      <c r="W169" s="24"/>
      <c r="X169" s="24"/>
      <c r="Y169" s="24"/>
      <c r="Z169" s="24"/>
      <c r="AA169" s="24"/>
      <c r="AB169" s="24"/>
      <c r="AC169" s="24"/>
    </row>
    <row r="170" spans="1:29" ht="12.9">
      <c r="A170" s="24"/>
      <c r="B170" s="24"/>
      <c r="C170" s="143"/>
      <c r="D170" s="24"/>
      <c r="E170" s="24"/>
      <c r="F170" s="24"/>
      <c r="G170" s="24"/>
      <c r="H170" s="117"/>
      <c r="I170" s="117"/>
      <c r="J170" s="24"/>
      <c r="K170" s="24"/>
      <c r="L170" s="24"/>
      <c r="M170" s="24"/>
      <c r="N170" s="24"/>
      <c r="O170" s="24"/>
      <c r="P170" s="24"/>
      <c r="Q170" s="24"/>
      <c r="R170" s="24"/>
      <c r="S170" s="24"/>
      <c r="T170" s="24"/>
      <c r="U170" s="24"/>
      <c r="V170" s="24"/>
      <c r="W170" s="24"/>
      <c r="X170" s="24"/>
      <c r="Y170" s="24"/>
      <c r="Z170" s="24"/>
      <c r="AA170" s="24"/>
      <c r="AB170" s="24"/>
      <c r="AC170" s="24"/>
    </row>
    <row r="171" spans="1:29" ht="12.9">
      <c r="A171" s="24"/>
      <c r="B171" s="24"/>
      <c r="C171" s="143"/>
      <c r="D171" s="24"/>
      <c r="E171" s="24"/>
      <c r="F171" s="24"/>
      <c r="G171" s="24"/>
      <c r="H171" s="117"/>
      <c r="I171" s="117"/>
      <c r="J171" s="24"/>
      <c r="K171" s="24"/>
      <c r="L171" s="24"/>
      <c r="M171" s="24"/>
      <c r="N171" s="24"/>
      <c r="O171" s="24"/>
      <c r="P171" s="24"/>
      <c r="Q171" s="24"/>
      <c r="R171" s="24"/>
      <c r="S171" s="24"/>
      <c r="T171" s="24"/>
      <c r="U171" s="24"/>
      <c r="V171" s="24"/>
      <c r="W171" s="24"/>
      <c r="X171" s="24"/>
      <c r="Y171" s="24"/>
      <c r="Z171" s="24"/>
      <c r="AA171" s="24"/>
      <c r="AB171" s="24"/>
      <c r="AC171" s="24"/>
    </row>
    <row r="172" spans="1:29" ht="12.9">
      <c r="A172" s="24"/>
      <c r="B172" s="24"/>
      <c r="C172" s="143"/>
      <c r="D172" s="24"/>
      <c r="E172" s="24"/>
      <c r="F172" s="24"/>
      <c r="G172" s="24"/>
      <c r="H172" s="117"/>
      <c r="I172" s="117"/>
      <c r="J172" s="24"/>
      <c r="K172" s="24"/>
      <c r="L172" s="24"/>
      <c r="M172" s="24"/>
      <c r="N172" s="24"/>
      <c r="O172" s="24"/>
      <c r="P172" s="24"/>
      <c r="Q172" s="24"/>
      <c r="R172" s="24"/>
      <c r="S172" s="24"/>
      <c r="T172" s="24"/>
      <c r="U172" s="24"/>
      <c r="V172" s="24"/>
      <c r="W172" s="24"/>
      <c r="X172" s="24"/>
      <c r="Y172" s="24"/>
      <c r="Z172" s="24"/>
      <c r="AA172" s="24"/>
      <c r="AB172" s="24"/>
      <c r="AC172" s="24"/>
    </row>
    <row r="173" spans="1:29" ht="12.9">
      <c r="A173" s="24"/>
      <c r="B173" s="24"/>
      <c r="C173" s="143"/>
      <c r="D173" s="24"/>
      <c r="E173" s="24"/>
      <c r="F173" s="24"/>
      <c r="G173" s="24"/>
      <c r="H173" s="117"/>
      <c r="I173" s="117"/>
      <c r="J173" s="24"/>
      <c r="K173" s="24"/>
      <c r="L173" s="24"/>
      <c r="M173" s="24"/>
      <c r="N173" s="24"/>
      <c r="O173" s="24"/>
      <c r="P173" s="24"/>
      <c r="Q173" s="24"/>
      <c r="R173" s="24"/>
      <c r="S173" s="24"/>
      <c r="T173" s="24"/>
      <c r="U173" s="24"/>
      <c r="V173" s="24"/>
      <c r="W173" s="24"/>
      <c r="X173" s="24"/>
      <c r="Y173" s="24"/>
      <c r="Z173" s="24"/>
      <c r="AA173" s="24"/>
      <c r="AB173" s="24"/>
      <c r="AC173" s="24"/>
    </row>
    <row r="174" spans="1:29" ht="12.9">
      <c r="A174" s="24"/>
      <c r="B174" s="24"/>
      <c r="C174" s="143"/>
      <c r="D174" s="24"/>
      <c r="E174" s="24"/>
      <c r="F174" s="24"/>
      <c r="G174" s="24"/>
      <c r="H174" s="117"/>
      <c r="I174" s="117"/>
      <c r="J174" s="24"/>
      <c r="K174" s="24"/>
      <c r="L174" s="24"/>
      <c r="M174" s="24"/>
      <c r="N174" s="24"/>
      <c r="O174" s="24"/>
      <c r="P174" s="24"/>
      <c r="Q174" s="24"/>
      <c r="R174" s="24"/>
      <c r="S174" s="24"/>
      <c r="T174" s="24"/>
      <c r="U174" s="24"/>
      <c r="V174" s="24"/>
      <c r="W174" s="24"/>
      <c r="X174" s="24"/>
      <c r="Y174" s="24"/>
      <c r="Z174" s="24"/>
      <c r="AA174" s="24"/>
      <c r="AB174" s="24"/>
      <c r="AC174" s="24"/>
    </row>
    <row r="175" spans="1:29" ht="12.9">
      <c r="A175" s="24"/>
      <c r="B175" s="24"/>
      <c r="C175" s="143"/>
      <c r="D175" s="24"/>
      <c r="E175" s="24"/>
      <c r="F175" s="24"/>
      <c r="G175" s="24"/>
      <c r="H175" s="117"/>
      <c r="I175" s="117"/>
      <c r="J175" s="24"/>
      <c r="K175" s="24"/>
      <c r="L175" s="24"/>
      <c r="M175" s="24"/>
      <c r="N175" s="24"/>
      <c r="O175" s="24"/>
      <c r="P175" s="24"/>
      <c r="Q175" s="24"/>
      <c r="R175" s="24"/>
      <c r="S175" s="24"/>
      <c r="T175" s="24"/>
      <c r="U175" s="24"/>
      <c r="V175" s="24"/>
      <c r="W175" s="24"/>
      <c r="X175" s="24"/>
      <c r="Y175" s="24"/>
      <c r="Z175" s="24"/>
      <c r="AA175" s="24"/>
      <c r="AB175" s="24"/>
      <c r="AC175" s="24"/>
    </row>
    <row r="176" spans="1:29" ht="12.9">
      <c r="A176" s="24"/>
      <c r="B176" s="24"/>
      <c r="C176" s="143"/>
      <c r="D176" s="24"/>
      <c r="E176" s="24"/>
      <c r="F176" s="24"/>
      <c r="G176" s="24"/>
      <c r="H176" s="117"/>
      <c r="I176" s="117"/>
      <c r="J176" s="24"/>
      <c r="K176" s="24"/>
      <c r="L176" s="24"/>
      <c r="M176" s="24"/>
      <c r="N176" s="24"/>
      <c r="O176" s="24"/>
      <c r="P176" s="24"/>
      <c r="Q176" s="24"/>
      <c r="R176" s="24"/>
      <c r="S176" s="24"/>
      <c r="T176" s="24"/>
      <c r="U176" s="24"/>
      <c r="V176" s="24"/>
      <c r="W176" s="24"/>
      <c r="X176" s="24"/>
      <c r="Y176" s="24"/>
      <c r="Z176" s="24"/>
      <c r="AA176" s="24"/>
      <c r="AB176" s="24"/>
      <c r="AC176" s="24"/>
    </row>
    <row r="177" spans="1:29" ht="12.9">
      <c r="A177" s="24"/>
      <c r="B177" s="24"/>
      <c r="C177" s="143"/>
      <c r="D177" s="24"/>
      <c r="E177" s="24"/>
      <c r="F177" s="24"/>
      <c r="G177" s="24"/>
      <c r="H177" s="117"/>
      <c r="I177" s="117"/>
      <c r="J177" s="24"/>
      <c r="K177" s="24"/>
      <c r="L177" s="24"/>
      <c r="M177" s="24"/>
      <c r="N177" s="24"/>
      <c r="O177" s="24"/>
      <c r="P177" s="24"/>
      <c r="Q177" s="24"/>
      <c r="R177" s="24"/>
      <c r="S177" s="24"/>
      <c r="T177" s="24"/>
      <c r="U177" s="24"/>
      <c r="V177" s="24"/>
      <c r="W177" s="24"/>
      <c r="X177" s="24"/>
      <c r="Y177" s="24"/>
      <c r="Z177" s="24"/>
      <c r="AA177" s="24"/>
      <c r="AB177" s="24"/>
      <c r="AC177" s="24"/>
    </row>
    <row r="178" spans="1:29" ht="12.9">
      <c r="A178" s="24"/>
      <c r="B178" s="24"/>
      <c r="C178" s="143"/>
      <c r="D178" s="24"/>
      <c r="E178" s="24"/>
      <c r="F178" s="24"/>
      <c r="G178" s="24"/>
      <c r="H178" s="117"/>
      <c r="I178" s="117"/>
      <c r="J178" s="24"/>
      <c r="K178" s="24"/>
      <c r="L178" s="24"/>
      <c r="M178" s="24"/>
      <c r="N178" s="24"/>
      <c r="O178" s="24"/>
      <c r="P178" s="24"/>
      <c r="Q178" s="24"/>
      <c r="R178" s="24"/>
      <c r="S178" s="24"/>
      <c r="T178" s="24"/>
      <c r="U178" s="24"/>
      <c r="V178" s="24"/>
      <c r="W178" s="24"/>
      <c r="X178" s="24"/>
      <c r="Y178" s="24"/>
      <c r="Z178" s="24"/>
      <c r="AA178" s="24"/>
      <c r="AB178" s="24"/>
      <c r="AC178" s="24"/>
    </row>
    <row r="179" spans="1:29" ht="12.9">
      <c r="A179" s="24"/>
      <c r="B179" s="24"/>
      <c r="C179" s="143"/>
      <c r="D179" s="24"/>
      <c r="E179" s="24"/>
      <c r="F179" s="24"/>
      <c r="G179" s="24"/>
      <c r="H179" s="117"/>
      <c r="I179" s="117"/>
      <c r="J179" s="24"/>
      <c r="K179" s="24"/>
      <c r="L179" s="24"/>
      <c r="M179" s="24"/>
      <c r="N179" s="24"/>
      <c r="O179" s="24"/>
      <c r="P179" s="24"/>
      <c r="Q179" s="24"/>
      <c r="R179" s="24"/>
      <c r="S179" s="24"/>
      <c r="T179" s="24"/>
      <c r="U179" s="24"/>
      <c r="V179" s="24"/>
      <c r="W179" s="24"/>
      <c r="X179" s="24"/>
      <c r="Y179" s="24"/>
      <c r="Z179" s="24"/>
      <c r="AA179" s="24"/>
      <c r="AB179" s="24"/>
      <c r="AC179" s="24"/>
    </row>
    <row r="180" spans="1:29" ht="12.9">
      <c r="A180" s="24"/>
      <c r="B180" s="24"/>
      <c r="C180" s="143"/>
      <c r="D180" s="24"/>
      <c r="E180" s="24"/>
      <c r="F180" s="24"/>
      <c r="G180" s="24"/>
      <c r="H180" s="117"/>
      <c r="I180" s="117"/>
      <c r="J180" s="24"/>
      <c r="K180" s="24"/>
      <c r="L180" s="24"/>
      <c r="M180" s="24"/>
      <c r="N180" s="24"/>
      <c r="O180" s="24"/>
      <c r="P180" s="24"/>
      <c r="Q180" s="24"/>
      <c r="R180" s="24"/>
      <c r="S180" s="24"/>
      <c r="T180" s="24"/>
      <c r="U180" s="24"/>
      <c r="V180" s="24"/>
      <c r="W180" s="24"/>
      <c r="X180" s="24"/>
      <c r="Y180" s="24"/>
      <c r="Z180" s="24"/>
      <c r="AA180" s="24"/>
      <c r="AB180" s="24"/>
      <c r="AC180" s="24"/>
    </row>
    <row r="181" spans="1:29" ht="12.9">
      <c r="A181" s="24"/>
      <c r="B181" s="24"/>
      <c r="C181" s="143"/>
      <c r="D181" s="24"/>
      <c r="E181" s="24"/>
      <c r="F181" s="24"/>
      <c r="G181" s="24"/>
      <c r="H181" s="117"/>
      <c r="I181" s="117"/>
      <c r="J181" s="24"/>
      <c r="K181" s="24"/>
      <c r="L181" s="24"/>
      <c r="M181" s="24"/>
      <c r="N181" s="24"/>
      <c r="O181" s="24"/>
      <c r="P181" s="24"/>
      <c r="Q181" s="24"/>
      <c r="R181" s="24"/>
      <c r="S181" s="24"/>
      <c r="T181" s="24"/>
      <c r="U181" s="24"/>
      <c r="V181" s="24"/>
      <c r="W181" s="24"/>
      <c r="X181" s="24"/>
      <c r="Y181" s="24"/>
      <c r="Z181" s="24"/>
      <c r="AA181" s="24"/>
      <c r="AB181" s="24"/>
      <c r="AC181" s="24"/>
    </row>
    <row r="182" spans="1:29" ht="12.9">
      <c r="A182" s="24"/>
      <c r="B182" s="24"/>
      <c r="C182" s="143"/>
      <c r="D182" s="24"/>
      <c r="E182" s="24"/>
      <c r="F182" s="24"/>
      <c r="G182" s="24"/>
      <c r="H182" s="117"/>
      <c r="I182" s="117"/>
      <c r="J182" s="24"/>
      <c r="K182" s="24"/>
      <c r="L182" s="24"/>
      <c r="M182" s="24"/>
      <c r="N182" s="24"/>
      <c r="O182" s="24"/>
      <c r="P182" s="24"/>
      <c r="Q182" s="24"/>
      <c r="R182" s="24"/>
      <c r="S182" s="24"/>
      <c r="T182" s="24"/>
      <c r="U182" s="24"/>
      <c r="V182" s="24"/>
      <c r="W182" s="24"/>
      <c r="X182" s="24"/>
      <c r="Y182" s="24"/>
      <c r="Z182" s="24"/>
      <c r="AA182" s="24"/>
      <c r="AB182" s="24"/>
      <c r="AC182" s="24"/>
    </row>
    <row r="183" spans="1:29" ht="12.9">
      <c r="A183" s="24"/>
      <c r="B183" s="24"/>
      <c r="C183" s="143"/>
      <c r="D183" s="24"/>
      <c r="E183" s="24"/>
      <c r="F183" s="24"/>
      <c r="G183" s="24"/>
      <c r="H183" s="117"/>
      <c r="I183" s="117"/>
      <c r="J183" s="24"/>
      <c r="K183" s="24"/>
      <c r="L183" s="24"/>
      <c r="M183" s="24"/>
      <c r="N183" s="24"/>
      <c r="O183" s="24"/>
      <c r="P183" s="24"/>
      <c r="Q183" s="24"/>
      <c r="R183" s="24"/>
      <c r="S183" s="24"/>
      <c r="T183" s="24"/>
      <c r="U183" s="24"/>
      <c r="V183" s="24"/>
      <c r="W183" s="24"/>
      <c r="X183" s="24"/>
      <c r="Y183" s="24"/>
      <c r="Z183" s="24"/>
      <c r="AA183" s="24"/>
      <c r="AB183" s="24"/>
      <c r="AC183" s="24"/>
    </row>
    <row r="184" spans="1:29" ht="12.9">
      <c r="A184" s="24"/>
      <c r="B184" s="24"/>
      <c r="C184" s="143"/>
      <c r="D184" s="24"/>
      <c r="E184" s="24"/>
      <c r="F184" s="24"/>
      <c r="G184" s="24"/>
      <c r="H184" s="117"/>
      <c r="I184" s="117"/>
      <c r="J184" s="24"/>
      <c r="K184" s="24"/>
      <c r="L184" s="24"/>
      <c r="M184" s="24"/>
      <c r="N184" s="24"/>
      <c r="O184" s="24"/>
      <c r="P184" s="24"/>
      <c r="Q184" s="24"/>
      <c r="R184" s="24"/>
      <c r="S184" s="24"/>
      <c r="T184" s="24"/>
      <c r="U184" s="24"/>
      <c r="V184" s="24"/>
      <c r="W184" s="24"/>
      <c r="X184" s="24"/>
      <c r="Y184" s="24"/>
      <c r="Z184" s="24"/>
      <c r="AA184" s="24"/>
      <c r="AB184" s="24"/>
      <c r="AC184" s="24"/>
    </row>
    <row r="185" spans="1:29" ht="12.9">
      <c r="A185" s="24"/>
      <c r="B185" s="24"/>
      <c r="C185" s="143"/>
      <c r="D185" s="24"/>
      <c r="E185" s="24"/>
      <c r="F185" s="24"/>
      <c r="G185" s="24"/>
      <c r="H185" s="117"/>
      <c r="I185" s="117"/>
      <c r="J185" s="24"/>
      <c r="K185" s="24"/>
      <c r="L185" s="24"/>
      <c r="M185" s="24"/>
      <c r="N185" s="24"/>
      <c r="O185" s="24"/>
      <c r="P185" s="24"/>
      <c r="Q185" s="24"/>
      <c r="R185" s="24"/>
      <c r="S185" s="24"/>
      <c r="T185" s="24"/>
      <c r="U185" s="24"/>
      <c r="V185" s="24"/>
      <c r="W185" s="24"/>
      <c r="X185" s="24"/>
      <c r="Y185" s="24"/>
      <c r="Z185" s="24"/>
      <c r="AA185" s="24"/>
      <c r="AB185" s="24"/>
      <c r="AC185" s="24"/>
    </row>
    <row r="186" spans="1:29" ht="12.9">
      <c r="A186" s="24"/>
      <c r="B186" s="24"/>
      <c r="C186" s="143"/>
      <c r="D186" s="24"/>
      <c r="E186" s="24"/>
      <c r="F186" s="24"/>
      <c r="G186" s="24"/>
      <c r="H186" s="117"/>
      <c r="I186" s="117"/>
      <c r="J186" s="24"/>
      <c r="K186" s="24"/>
      <c r="L186" s="24"/>
      <c r="M186" s="24"/>
      <c r="N186" s="24"/>
      <c r="O186" s="24"/>
      <c r="P186" s="24"/>
      <c r="Q186" s="24"/>
      <c r="R186" s="24"/>
      <c r="S186" s="24"/>
      <c r="T186" s="24"/>
      <c r="U186" s="24"/>
      <c r="V186" s="24"/>
      <c r="W186" s="24"/>
      <c r="X186" s="24"/>
      <c r="Y186" s="24"/>
      <c r="Z186" s="24"/>
      <c r="AA186" s="24"/>
      <c r="AB186" s="24"/>
      <c r="AC186" s="24"/>
    </row>
    <row r="187" spans="1:29" ht="12.9">
      <c r="A187" s="24"/>
      <c r="B187" s="24"/>
      <c r="C187" s="143"/>
      <c r="D187" s="24"/>
      <c r="E187" s="24"/>
      <c r="F187" s="24"/>
      <c r="G187" s="24"/>
      <c r="H187" s="117"/>
      <c r="I187" s="117"/>
      <c r="J187" s="24"/>
      <c r="K187" s="24"/>
      <c r="L187" s="24"/>
      <c r="M187" s="24"/>
      <c r="N187" s="24"/>
      <c r="O187" s="24"/>
      <c r="P187" s="24"/>
      <c r="Q187" s="24"/>
      <c r="R187" s="24"/>
      <c r="S187" s="24"/>
      <c r="T187" s="24"/>
      <c r="U187" s="24"/>
      <c r="V187" s="24"/>
      <c r="W187" s="24"/>
      <c r="X187" s="24"/>
      <c r="Y187" s="24"/>
      <c r="Z187" s="24"/>
      <c r="AA187" s="24"/>
      <c r="AB187" s="24"/>
      <c r="AC187" s="24"/>
    </row>
    <row r="188" spans="1:29" ht="12.9">
      <c r="A188" s="24"/>
      <c r="B188" s="24"/>
      <c r="C188" s="143"/>
      <c r="D188" s="24"/>
      <c r="E188" s="24"/>
      <c r="F188" s="24"/>
      <c r="G188" s="24"/>
      <c r="H188" s="117"/>
      <c r="I188" s="117"/>
      <c r="J188" s="24"/>
      <c r="K188" s="24"/>
      <c r="L188" s="24"/>
      <c r="M188" s="24"/>
      <c r="N188" s="24"/>
      <c r="O188" s="24"/>
      <c r="P188" s="24"/>
      <c r="Q188" s="24"/>
      <c r="R188" s="24"/>
      <c r="S188" s="24"/>
      <c r="T188" s="24"/>
      <c r="U188" s="24"/>
      <c r="V188" s="24"/>
      <c r="W188" s="24"/>
      <c r="X188" s="24"/>
      <c r="Y188" s="24"/>
      <c r="Z188" s="24"/>
      <c r="AA188" s="24"/>
      <c r="AB188" s="24"/>
      <c r="AC188" s="24"/>
    </row>
    <row r="189" spans="1:29" ht="12.9">
      <c r="A189" s="24"/>
      <c r="B189" s="24"/>
      <c r="C189" s="143"/>
      <c r="D189" s="24"/>
      <c r="E189" s="24"/>
      <c r="F189" s="24"/>
      <c r="G189" s="24"/>
      <c r="H189" s="117"/>
      <c r="I189" s="117"/>
      <c r="J189" s="24"/>
      <c r="K189" s="24"/>
      <c r="L189" s="24"/>
      <c r="M189" s="24"/>
      <c r="N189" s="24"/>
      <c r="O189" s="24"/>
      <c r="P189" s="24"/>
      <c r="Q189" s="24"/>
      <c r="R189" s="24"/>
      <c r="S189" s="24"/>
      <c r="T189" s="24"/>
      <c r="U189" s="24"/>
      <c r="V189" s="24"/>
      <c r="W189" s="24"/>
      <c r="X189" s="24"/>
      <c r="Y189" s="24"/>
      <c r="Z189" s="24"/>
      <c r="AA189" s="24"/>
      <c r="AB189" s="24"/>
      <c r="AC189" s="24"/>
    </row>
    <row r="190" spans="1:29" ht="12.9">
      <c r="A190" s="24"/>
      <c r="B190" s="24"/>
      <c r="C190" s="143"/>
      <c r="D190" s="24"/>
      <c r="E190" s="24"/>
      <c r="F190" s="24"/>
      <c r="G190" s="24"/>
      <c r="H190" s="117"/>
      <c r="I190" s="117"/>
      <c r="J190" s="24"/>
      <c r="K190" s="24"/>
      <c r="L190" s="24"/>
      <c r="M190" s="24"/>
      <c r="N190" s="24"/>
      <c r="O190" s="24"/>
      <c r="P190" s="24"/>
      <c r="Q190" s="24"/>
      <c r="R190" s="24"/>
      <c r="S190" s="24"/>
      <c r="T190" s="24"/>
      <c r="U190" s="24"/>
      <c r="V190" s="24"/>
      <c r="W190" s="24"/>
      <c r="X190" s="24"/>
      <c r="Y190" s="24"/>
      <c r="Z190" s="24"/>
      <c r="AA190" s="24"/>
      <c r="AB190" s="24"/>
      <c r="AC190" s="24"/>
    </row>
    <row r="191" spans="1:29" ht="12.9">
      <c r="A191" s="24"/>
      <c r="B191" s="24"/>
      <c r="C191" s="143"/>
      <c r="D191" s="24"/>
      <c r="E191" s="24"/>
      <c r="F191" s="24"/>
      <c r="G191" s="24"/>
      <c r="H191" s="117"/>
      <c r="I191" s="117"/>
      <c r="J191" s="24"/>
      <c r="K191" s="24"/>
      <c r="L191" s="24"/>
      <c r="M191" s="24"/>
      <c r="N191" s="24"/>
      <c r="O191" s="24"/>
      <c r="P191" s="24"/>
      <c r="Q191" s="24"/>
      <c r="R191" s="24"/>
      <c r="S191" s="24"/>
      <c r="T191" s="24"/>
      <c r="U191" s="24"/>
      <c r="V191" s="24"/>
      <c r="W191" s="24"/>
      <c r="X191" s="24"/>
      <c r="Y191" s="24"/>
      <c r="Z191" s="24"/>
      <c r="AA191" s="24"/>
      <c r="AB191" s="24"/>
      <c r="AC191" s="24"/>
    </row>
    <row r="192" spans="1:29" ht="12.9">
      <c r="A192" s="24"/>
      <c r="B192" s="24"/>
      <c r="C192" s="143"/>
      <c r="D192" s="24"/>
      <c r="E192" s="24"/>
      <c r="F192" s="24"/>
      <c r="G192" s="24"/>
      <c r="H192" s="117"/>
      <c r="I192" s="117"/>
      <c r="J192" s="24"/>
      <c r="K192" s="24"/>
      <c r="L192" s="24"/>
      <c r="M192" s="24"/>
      <c r="N192" s="24"/>
      <c r="O192" s="24"/>
      <c r="P192" s="24"/>
      <c r="Q192" s="24"/>
      <c r="R192" s="24"/>
      <c r="S192" s="24"/>
      <c r="T192" s="24"/>
      <c r="U192" s="24"/>
      <c r="V192" s="24"/>
      <c r="W192" s="24"/>
      <c r="X192" s="24"/>
      <c r="Y192" s="24"/>
      <c r="Z192" s="24"/>
      <c r="AA192" s="24"/>
      <c r="AB192" s="24"/>
      <c r="AC192" s="24"/>
    </row>
    <row r="193" spans="1:29" ht="12.9">
      <c r="A193" s="24"/>
      <c r="B193" s="24"/>
      <c r="C193" s="143"/>
      <c r="D193" s="24"/>
      <c r="E193" s="24"/>
      <c r="F193" s="24"/>
      <c r="G193" s="24"/>
      <c r="H193" s="117"/>
      <c r="I193" s="117"/>
      <c r="J193" s="24"/>
      <c r="K193" s="24"/>
      <c r="L193" s="24"/>
      <c r="M193" s="24"/>
      <c r="N193" s="24"/>
      <c r="O193" s="24"/>
      <c r="P193" s="24"/>
      <c r="Q193" s="24"/>
      <c r="R193" s="24"/>
      <c r="S193" s="24"/>
      <c r="T193" s="24"/>
      <c r="U193" s="24"/>
      <c r="V193" s="24"/>
      <c r="W193" s="24"/>
      <c r="X193" s="24"/>
      <c r="Y193" s="24"/>
      <c r="Z193" s="24"/>
      <c r="AA193" s="24"/>
      <c r="AB193" s="24"/>
      <c r="AC193" s="24"/>
    </row>
    <row r="194" spans="1:29" ht="12.9">
      <c r="A194" s="24"/>
      <c r="B194" s="24"/>
      <c r="C194" s="143"/>
      <c r="D194" s="24"/>
      <c r="E194" s="24"/>
      <c r="F194" s="24"/>
      <c r="G194" s="24"/>
      <c r="H194" s="117"/>
      <c r="I194" s="117"/>
      <c r="J194" s="24"/>
      <c r="K194" s="24"/>
      <c r="L194" s="24"/>
      <c r="M194" s="24"/>
      <c r="N194" s="24"/>
      <c r="O194" s="24"/>
      <c r="P194" s="24"/>
      <c r="Q194" s="24"/>
      <c r="R194" s="24"/>
      <c r="S194" s="24"/>
      <c r="T194" s="24"/>
      <c r="U194" s="24"/>
      <c r="V194" s="24"/>
      <c r="W194" s="24"/>
      <c r="X194" s="24"/>
      <c r="Y194" s="24"/>
      <c r="Z194" s="24"/>
      <c r="AA194" s="24"/>
      <c r="AB194" s="24"/>
      <c r="AC194" s="24"/>
    </row>
    <row r="195" spans="1:29" ht="12.9">
      <c r="A195" s="24"/>
      <c r="B195" s="24"/>
      <c r="C195" s="143"/>
      <c r="D195" s="24"/>
      <c r="E195" s="24"/>
      <c r="F195" s="24"/>
      <c r="G195" s="24"/>
      <c r="H195" s="117"/>
      <c r="I195" s="117"/>
      <c r="J195" s="24"/>
      <c r="K195" s="24"/>
      <c r="L195" s="24"/>
      <c r="M195" s="24"/>
      <c r="N195" s="24"/>
      <c r="O195" s="24"/>
      <c r="P195" s="24"/>
      <c r="Q195" s="24"/>
      <c r="R195" s="24"/>
      <c r="S195" s="24"/>
      <c r="T195" s="24"/>
      <c r="U195" s="24"/>
      <c r="V195" s="24"/>
      <c r="W195" s="24"/>
      <c r="X195" s="24"/>
      <c r="Y195" s="24"/>
      <c r="Z195" s="24"/>
      <c r="AA195" s="24"/>
      <c r="AB195" s="24"/>
      <c r="AC195" s="24"/>
    </row>
    <row r="196" spans="1:29" ht="12.9">
      <c r="A196" s="24"/>
      <c r="B196" s="24"/>
      <c r="C196" s="143"/>
      <c r="D196" s="24"/>
      <c r="E196" s="24"/>
      <c r="F196" s="24"/>
      <c r="G196" s="24"/>
      <c r="H196" s="117"/>
      <c r="I196" s="117"/>
      <c r="J196" s="24"/>
      <c r="K196" s="24"/>
      <c r="L196" s="24"/>
      <c r="M196" s="24"/>
      <c r="N196" s="24"/>
      <c r="O196" s="24"/>
      <c r="P196" s="24"/>
      <c r="Q196" s="24"/>
      <c r="R196" s="24"/>
      <c r="S196" s="24"/>
      <c r="T196" s="24"/>
      <c r="U196" s="24"/>
      <c r="V196" s="24"/>
      <c r="W196" s="24"/>
      <c r="X196" s="24"/>
      <c r="Y196" s="24"/>
      <c r="Z196" s="24"/>
      <c r="AA196" s="24"/>
      <c r="AB196" s="24"/>
      <c r="AC196" s="24"/>
    </row>
    <row r="197" spans="1:29" ht="12.9">
      <c r="A197" s="24"/>
      <c r="B197" s="24"/>
      <c r="C197" s="143"/>
      <c r="D197" s="24"/>
      <c r="E197" s="24"/>
      <c r="F197" s="24"/>
      <c r="G197" s="24"/>
      <c r="H197" s="117"/>
      <c r="I197" s="117"/>
      <c r="J197" s="24"/>
      <c r="K197" s="24"/>
      <c r="L197" s="24"/>
      <c r="M197" s="24"/>
      <c r="N197" s="24"/>
      <c r="O197" s="24"/>
      <c r="P197" s="24"/>
      <c r="Q197" s="24"/>
      <c r="R197" s="24"/>
      <c r="S197" s="24"/>
      <c r="T197" s="24"/>
      <c r="U197" s="24"/>
      <c r="V197" s="24"/>
      <c r="W197" s="24"/>
      <c r="X197" s="24"/>
      <c r="Y197" s="24"/>
      <c r="Z197" s="24"/>
      <c r="AA197" s="24"/>
      <c r="AB197" s="24"/>
      <c r="AC197" s="24"/>
    </row>
    <row r="198" spans="1:29" ht="12.9">
      <c r="A198" s="24"/>
      <c r="B198" s="24"/>
      <c r="C198" s="143"/>
      <c r="D198" s="24"/>
      <c r="E198" s="24"/>
      <c r="F198" s="24"/>
      <c r="G198" s="24"/>
      <c r="H198" s="117"/>
      <c r="I198" s="117"/>
      <c r="J198" s="24"/>
      <c r="K198" s="24"/>
      <c r="L198" s="24"/>
      <c r="M198" s="24"/>
      <c r="N198" s="24"/>
      <c r="O198" s="24"/>
      <c r="P198" s="24"/>
      <c r="Q198" s="24"/>
      <c r="R198" s="24"/>
      <c r="S198" s="24"/>
      <c r="T198" s="24"/>
      <c r="U198" s="24"/>
      <c r="V198" s="24"/>
      <c r="W198" s="24"/>
      <c r="X198" s="24"/>
      <c r="Y198" s="24"/>
      <c r="Z198" s="24"/>
      <c r="AA198" s="24"/>
      <c r="AB198" s="24"/>
      <c r="AC198" s="24"/>
    </row>
    <row r="199" spans="1:29" ht="12.9">
      <c r="A199" s="24"/>
      <c r="B199" s="24"/>
      <c r="C199" s="143"/>
      <c r="D199" s="24"/>
      <c r="E199" s="24"/>
      <c r="F199" s="24"/>
      <c r="G199" s="24"/>
      <c r="H199" s="117"/>
      <c r="I199" s="117"/>
      <c r="J199" s="24"/>
      <c r="K199" s="24"/>
      <c r="L199" s="24"/>
      <c r="M199" s="24"/>
      <c r="N199" s="24"/>
      <c r="O199" s="24"/>
      <c r="P199" s="24"/>
      <c r="Q199" s="24"/>
      <c r="R199" s="24"/>
      <c r="S199" s="24"/>
      <c r="T199" s="24"/>
      <c r="U199" s="24"/>
      <c r="V199" s="24"/>
      <c r="W199" s="24"/>
      <c r="X199" s="24"/>
      <c r="Y199" s="24"/>
      <c r="Z199" s="24"/>
      <c r="AA199" s="24"/>
      <c r="AB199" s="24"/>
      <c r="AC199" s="24"/>
    </row>
    <row r="200" spans="1:29" ht="12.9">
      <c r="A200" s="24"/>
      <c r="B200" s="24"/>
      <c r="C200" s="143"/>
      <c r="D200" s="24"/>
      <c r="E200" s="24"/>
      <c r="F200" s="24"/>
      <c r="G200" s="24"/>
      <c r="H200" s="117"/>
      <c r="I200" s="117"/>
      <c r="J200" s="24"/>
      <c r="K200" s="24"/>
      <c r="L200" s="24"/>
      <c r="M200" s="24"/>
      <c r="N200" s="24"/>
      <c r="O200" s="24"/>
      <c r="P200" s="24"/>
      <c r="Q200" s="24"/>
      <c r="R200" s="24"/>
      <c r="S200" s="24"/>
      <c r="T200" s="24"/>
      <c r="U200" s="24"/>
      <c r="V200" s="24"/>
      <c r="W200" s="24"/>
      <c r="X200" s="24"/>
      <c r="Y200" s="24"/>
      <c r="Z200" s="24"/>
      <c r="AA200" s="24"/>
      <c r="AB200" s="24"/>
      <c r="AC200" s="24"/>
    </row>
    <row r="201" spans="1:29" ht="12.9">
      <c r="A201" s="24"/>
      <c r="B201" s="24"/>
      <c r="C201" s="143"/>
      <c r="D201" s="24"/>
      <c r="E201" s="24"/>
      <c r="F201" s="24"/>
      <c r="G201" s="24"/>
      <c r="H201" s="117"/>
      <c r="I201" s="117"/>
      <c r="J201" s="24"/>
      <c r="K201" s="24"/>
      <c r="L201" s="24"/>
      <c r="M201" s="24"/>
      <c r="N201" s="24"/>
      <c r="O201" s="24"/>
      <c r="P201" s="24"/>
      <c r="Q201" s="24"/>
      <c r="R201" s="24"/>
      <c r="S201" s="24"/>
      <c r="T201" s="24"/>
      <c r="U201" s="24"/>
      <c r="V201" s="24"/>
      <c r="W201" s="24"/>
      <c r="X201" s="24"/>
      <c r="Y201" s="24"/>
      <c r="Z201" s="24"/>
      <c r="AA201" s="24"/>
      <c r="AB201" s="24"/>
      <c r="AC201" s="24"/>
    </row>
    <row r="202" spans="1:29" ht="12.9">
      <c r="A202" s="24"/>
      <c r="B202" s="24"/>
      <c r="C202" s="143"/>
      <c r="D202" s="24"/>
      <c r="E202" s="24"/>
      <c r="F202" s="24"/>
      <c r="G202" s="24"/>
      <c r="H202" s="117"/>
      <c r="I202" s="117"/>
      <c r="J202" s="24"/>
      <c r="K202" s="24"/>
      <c r="L202" s="24"/>
      <c r="M202" s="24"/>
      <c r="N202" s="24"/>
      <c r="O202" s="24"/>
      <c r="P202" s="24"/>
      <c r="Q202" s="24"/>
      <c r="R202" s="24"/>
      <c r="S202" s="24"/>
      <c r="T202" s="24"/>
      <c r="U202" s="24"/>
      <c r="V202" s="24"/>
      <c r="W202" s="24"/>
      <c r="X202" s="24"/>
      <c r="Y202" s="24"/>
      <c r="Z202" s="24"/>
      <c r="AA202" s="24"/>
      <c r="AB202" s="24"/>
      <c r="AC202" s="24"/>
    </row>
    <row r="203" spans="1:29" ht="12.9">
      <c r="A203" s="24"/>
      <c r="B203" s="24"/>
      <c r="C203" s="143"/>
      <c r="D203" s="24"/>
      <c r="E203" s="24"/>
      <c r="F203" s="24"/>
      <c r="G203" s="24"/>
      <c r="H203" s="117"/>
      <c r="I203" s="117"/>
      <c r="J203" s="24"/>
      <c r="K203" s="24"/>
      <c r="L203" s="24"/>
      <c r="M203" s="24"/>
      <c r="N203" s="24"/>
      <c r="O203" s="24"/>
      <c r="P203" s="24"/>
      <c r="Q203" s="24"/>
      <c r="R203" s="24"/>
      <c r="S203" s="24"/>
      <c r="T203" s="24"/>
      <c r="U203" s="24"/>
      <c r="V203" s="24"/>
      <c r="W203" s="24"/>
      <c r="X203" s="24"/>
      <c r="Y203" s="24"/>
      <c r="Z203" s="24"/>
      <c r="AA203" s="24"/>
      <c r="AB203" s="24"/>
      <c r="AC203" s="24"/>
    </row>
    <row r="204" spans="1:29" ht="12.9">
      <c r="A204" s="24"/>
      <c r="B204" s="24"/>
      <c r="C204" s="143"/>
      <c r="D204" s="24"/>
      <c r="E204" s="24"/>
      <c r="F204" s="24"/>
      <c r="G204" s="24"/>
      <c r="H204" s="117"/>
      <c r="I204" s="117"/>
      <c r="J204" s="24"/>
      <c r="K204" s="24"/>
      <c r="L204" s="24"/>
      <c r="M204" s="24"/>
      <c r="N204" s="24"/>
      <c r="O204" s="24"/>
      <c r="P204" s="24"/>
      <c r="Q204" s="24"/>
      <c r="R204" s="24"/>
      <c r="S204" s="24"/>
      <c r="T204" s="24"/>
      <c r="U204" s="24"/>
      <c r="V204" s="24"/>
      <c r="W204" s="24"/>
      <c r="X204" s="24"/>
      <c r="Y204" s="24"/>
      <c r="Z204" s="24"/>
      <c r="AA204" s="24"/>
      <c r="AB204" s="24"/>
      <c r="AC204" s="24"/>
    </row>
    <row r="205" spans="1:29" ht="12.9">
      <c r="A205" s="24"/>
      <c r="B205" s="24"/>
      <c r="C205" s="143"/>
      <c r="D205" s="24"/>
      <c r="E205" s="24"/>
      <c r="F205" s="24"/>
      <c r="G205" s="24"/>
      <c r="H205" s="117"/>
      <c r="I205" s="117"/>
      <c r="J205" s="24"/>
      <c r="K205" s="24"/>
      <c r="L205" s="24"/>
      <c r="M205" s="24"/>
      <c r="N205" s="24"/>
      <c r="O205" s="24"/>
      <c r="P205" s="24"/>
      <c r="Q205" s="24"/>
      <c r="R205" s="24"/>
      <c r="S205" s="24"/>
      <c r="T205" s="24"/>
      <c r="U205" s="24"/>
      <c r="V205" s="24"/>
      <c r="W205" s="24"/>
      <c r="X205" s="24"/>
      <c r="Y205" s="24"/>
      <c r="Z205" s="24"/>
      <c r="AA205" s="24"/>
      <c r="AB205" s="24"/>
      <c r="AC205" s="24"/>
    </row>
    <row r="206" spans="1:29" ht="12.9">
      <c r="A206" s="24"/>
      <c r="B206" s="24"/>
      <c r="C206" s="143"/>
      <c r="D206" s="24"/>
      <c r="E206" s="24"/>
      <c r="F206" s="24"/>
      <c r="G206" s="24"/>
      <c r="H206" s="117"/>
      <c r="I206" s="117"/>
      <c r="J206" s="24"/>
      <c r="K206" s="24"/>
      <c r="L206" s="24"/>
      <c r="M206" s="24"/>
      <c r="N206" s="24"/>
      <c r="O206" s="24"/>
      <c r="P206" s="24"/>
      <c r="Q206" s="24"/>
      <c r="R206" s="24"/>
      <c r="S206" s="24"/>
      <c r="T206" s="24"/>
      <c r="U206" s="24"/>
      <c r="V206" s="24"/>
      <c r="W206" s="24"/>
      <c r="X206" s="24"/>
      <c r="Y206" s="24"/>
      <c r="Z206" s="24"/>
      <c r="AA206" s="24"/>
      <c r="AB206" s="24"/>
      <c r="AC206" s="24"/>
    </row>
    <row r="207" spans="1:29" ht="12.9">
      <c r="A207" s="24"/>
      <c r="B207" s="24"/>
      <c r="C207" s="143"/>
      <c r="D207" s="24"/>
      <c r="E207" s="24"/>
      <c r="F207" s="24"/>
      <c r="G207" s="24"/>
      <c r="H207" s="117"/>
      <c r="I207" s="117"/>
      <c r="J207" s="24"/>
      <c r="K207" s="24"/>
      <c r="L207" s="24"/>
      <c r="M207" s="24"/>
      <c r="N207" s="24"/>
      <c r="O207" s="24"/>
      <c r="P207" s="24"/>
      <c r="Q207" s="24"/>
      <c r="R207" s="24"/>
      <c r="S207" s="24"/>
      <c r="T207" s="24"/>
      <c r="U207" s="24"/>
      <c r="V207" s="24"/>
      <c r="W207" s="24"/>
      <c r="X207" s="24"/>
      <c r="Y207" s="24"/>
      <c r="Z207" s="24"/>
      <c r="AA207" s="24"/>
      <c r="AB207" s="24"/>
      <c r="AC207" s="24"/>
    </row>
    <row r="208" spans="1:29" ht="12.9">
      <c r="A208" s="24"/>
      <c r="B208" s="24"/>
      <c r="C208" s="143"/>
      <c r="D208" s="24"/>
      <c r="E208" s="24"/>
      <c r="F208" s="24"/>
      <c r="G208" s="24"/>
      <c r="H208" s="117"/>
      <c r="I208" s="117"/>
      <c r="J208" s="24"/>
      <c r="K208" s="24"/>
      <c r="L208" s="24"/>
      <c r="M208" s="24"/>
      <c r="N208" s="24"/>
      <c r="O208" s="24"/>
      <c r="P208" s="24"/>
      <c r="Q208" s="24"/>
      <c r="R208" s="24"/>
      <c r="S208" s="24"/>
      <c r="T208" s="24"/>
      <c r="U208" s="24"/>
      <c r="V208" s="24"/>
      <c r="W208" s="24"/>
      <c r="X208" s="24"/>
      <c r="Y208" s="24"/>
      <c r="Z208" s="24"/>
      <c r="AA208" s="24"/>
      <c r="AB208" s="24"/>
      <c r="AC208" s="24"/>
    </row>
    <row r="209" spans="1:29" ht="12.9">
      <c r="A209" s="24"/>
      <c r="B209" s="24"/>
      <c r="C209" s="143"/>
      <c r="D209" s="24"/>
      <c r="E209" s="24"/>
      <c r="F209" s="24"/>
      <c r="G209" s="24"/>
      <c r="H209" s="117"/>
      <c r="I209" s="117"/>
      <c r="J209" s="24"/>
      <c r="K209" s="24"/>
      <c r="L209" s="24"/>
      <c r="M209" s="24"/>
      <c r="N209" s="24"/>
      <c r="O209" s="24"/>
      <c r="P209" s="24"/>
      <c r="Q209" s="24"/>
      <c r="R209" s="24"/>
      <c r="S209" s="24"/>
      <c r="T209" s="24"/>
      <c r="U209" s="24"/>
      <c r="V209" s="24"/>
      <c r="W209" s="24"/>
      <c r="X209" s="24"/>
      <c r="Y209" s="24"/>
      <c r="Z209" s="24"/>
      <c r="AA209" s="24"/>
      <c r="AB209" s="24"/>
      <c r="AC209" s="24"/>
    </row>
    <row r="210" spans="1:29" ht="12.9">
      <c r="A210" s="24"/>
      <c r="B210" s="24"/>
      <c r="C210" s="143"/>
      <c r="D210" s="24"/>
      <c r="E210" s="24"/>
      <c r="F210" s="24"/>
      <c r="G210" s="24"/>
      <c r="H210" s="117"/>
      <c r="I210" s="117"/>
      <c r="J210" s="24"/>
      <c r="K210" s="24"/>
      <c r="L210" s="24"/>
      <c r="M210" s="24"/>
      <c r="N210" s="24"/>
      <c r="O210" s="24"/>
      <c r="P210" s="24"/>
      <c r="Q210" s="24"/>
      <c r="R210" s="24"/>
      <c r="S210" s="24"/>
      <c r="T210" s="24"/>
      <c r="U210" s="24"/>
      <c r="V210" s="24"/>
      <c r="W210" s="24"/>
      <c r="X210" s="24"/>
      <c r="Y210" s="24"/>
      <c r="Z210" s="24"/>
      <c r="AA210" s="24"/>
      <c r="AB210" s="24"/>
      <c r="AC210" s="24"/>
    </row>
    <row r="211" spans="1:29" ht="12.9">
      <c r="A211" s="24"/>
      <c r="B211" s="24"/>
      <c r="C211" s="143"/>
      <c r="D211" s="24"/>
      <c r="E211" s="24"/>
      <c r="F211" s="24"/>
      <c r="G211" s="24"/>
      <c r="H211" s="117"/>
      <c r="I211" s="117"/>
      <c r="J211" s="24"/>
      <c r="K211" s="24"/>
      <c r="L211" s="24"/>
      <c r="M211" s="24"/>
      <c r="N211" s="24"/>
      <c r="O211" s="24"/>
      <c r="P211" s="24"/>
      <c r="Q211" s="24"/>
      <c r="R211" s="24"/>
      <c r="S211" s="24"/>
      <c r="T211" s="24"/>
      <c r="U211" s="24"/>
      <c r="V211" s="24"/>
      <c r="W211" s="24"/>
      <c r="X211" s="24"/>
      <c r="Y211" s="24"/>
      <c r="Z211" s="24"/>
      <c r="AA211" s="24"/>
      <c r="AB211" s="24"/>
      <c r="AC211" s="24"/>
    </row>
    <row r="212" spans="1:29" ht="12.9">
      <c r="A212" s="24"/>
      <c r="B212" s="24"/>
      <c r="C212" s="143"/>
      <c r="D212" s="24"/>
      <c r="E212" s="24"/>
      <c r="F212" s="24"/>
      <c r="G212" s="24"/>
      <c r="H212" s="117"/>
      <c r="I212" s="117"/>
      <c r="J212" s="24"/>
      <c r="K212" s="24"/>
      <c r="L212" s="24"/>
      <c r="M212" s="24"/>
      <c r="N212" s="24"/>
      <c r="O212" s="24"/>
      <c r="P212" s="24"/>
      <c r="Q212" s="24"/>
      <c r="R212" s="24"/>
      <c r="S212" s="24"/>
      <c r="T212" s="24"/>
      <c r="U212" s="24"/>
      <c r="V212" s="24"/>
      <c r="W212" s="24"/>
      <c r="X212" s="24"/>
      <c r="Y212" s="24"/>
      <c r="Z212" s="24"/>
      <c r="AA212" s="24"/>
      <c r="AB212" s="24"/>
      <c r="AC212" s="24"/>
    </row>
    <row r="213" spans="1:29" ht="12.9">
      <c r="A213" s="24"/>
      <c r="B213" s="24"/>
      <c r="C213" s="143"/>
      <c r="D213" s="24"/>
      <c r="E213" s="24"/>
      <c r="F213" s="24"/>
      <c r="G213" s="24"/>
      <c r="H213" s="117"/>
      <c r="I213" s="117"/>
      <c r="J213" s="24"/>
      <c r="K213" s="24"/>
      <c r="L213" s="24"/>
      <c r="M213" s="24"/>
      <c r="N213" s="24"/>
      <c r="O213" s="24"/>
      <c r="P213" s="24"/>
      <c r="Q213" s="24"/>
      <c r="R213" s="24"/>
      <c r="S213" s="24"/>
      <c r="T213" s="24"/>
      <c r="U213" s="24"/>
      <c r="V213" s="24"/>
      <c r="W213" s="24"/>
      <c r="X213" s="24"/>
      <c r="Y213" s="24"/>
      <c r="Z213" s="24"/>
      <c r="AA213" s="24"/>
      <c r="AB213" s="24"/>
      <c r="AC213" s="24"/>
    </row>
    <row r="214" spans="1:29" ht="12.9">
      <c r="A214" s="24"/>
      <c r="B214" s="24"/>
      <c r="C214" s="143"/>
      <c r="D214" s="24"/>
      <c r="E214" s="24"/>
      <c r="F214" s="24"/>
      <c r="G214" s="24"/>
      <c r="H214" s="117"/>
      <c r="I214" s="117"/>
      <c r="J214" s="24"/>
      <c r="K214" s="24"/>
      <c r="L214" s="24"/>
      <c r="M214" s="24"/>
      <c r="N214" s="24"/>
      <c r="O214" s="24"/>
      <c r="P214" s="24"/>
      <c r="Q214" s="24"/>
      <c r="R214" s="24"/>
      <c r="S214" s="24"/>
      <c r="T214" s="24"/>
      <c r="U214" s="24"/>
      <c r="V214" s="24"/>
      <c r="W214" s="24"/>
      <c r="X214" s="24"/>
      <c r="Y214" s="24"/>
      <c r="Z214" s="24"/>
      <c r="AA214" s="24"/>
      <c r="AB214" s="24"/>
      <c r="AC214" s="24"/>
    </row>
    <row r="215" spans="1:29" ht="12.9">
      <c r="A215" s="24"/>
      <c r="B215" s="24"/>
      <c r="C215" s="143"/>
      <c r="D215" s="24"/>
      <c r="E215" s="24"/>
      <c r="F215" s="24"/>
      <c r="G215" s="24"/>
      <c r="H215" s="117"/>
      <c r="I215" s="117"/>
      <c r="J215" s="24"/>
      <c r="K215" s="24"/>
      <c r="L215" s="24"/>
      <c r="M215" s="24"/>
      <c r="N215" s="24"/>
      <c r="O215" s="24"/>
      <c r="P215" s="24"/>
      <c r="Q215" s="24"/>
      <c r="R215" s="24"/>
      <c r="S215" s="24"/>
      <c r="T215" s="24"/>
      <c r="U215" s="24"/>
      <c r="V215" s="24"/>
      <c r="W215" s="24"/>
      <c r="X215" s="24"/>
      <c r="Y215" s="24"/>
      <c r="Z215" s="24"/>
      <c r="AA215" s="24"/>
      <c r="AB215" s="24"/>
      <c r="AC215" s="24"/>
    </row>
    <row r="216" spans="1:29" ht="12.9">
      <c r="A216" s="24"/>
      <c r="B216" s="24"/>
      <c r="C216" s="143"/>
      <c r="D216" s="24"/>
      <c r="E216" s="24"/>
      <c r="F216" s="24"/>
      <c r="G216" s="24"/>
      <c r="H216" s="117"/>
      <c r="I216" s="117"/>
      <c r="J216" s="24"/>
      <c r="K216" s="24"/>
      <c r="L216" s="24"/>
      <c r="M216" s="24"/>
      <c r="N216" s="24"/>
      <c r="O216" s="24"/>
      <c r="P216" s="24"/>
      <c r="Q216" s="24"/>
      <c r="R216" s="24"/>
      <c r="S216" s="24"/>
      <c r="T216" s="24"/>
      <c r="U216" s="24"/>
      <c r="V216" s="24"/>
      <c r="W216" s="24"/>
      <c r="X216" s="24"/>
      <c r="Y216" s="24"/>
      <c r="Z216" s="24"/>
      <c r="AA216" s="24"/>
      <c r="AB216" s="24"/>
      <c r="AC216" s="24"/>
    </row>
    <row r="217" spans="1:29" ht="12.9">
      <c r="A217" s="24"/>
      <c r="B217" s="24"/>
      <c r="C217" s="143"/>
      <c r="D217" s="24"/>
      <c r="E217" s="24"/>
      <c r="F217" s="24"/>
      <c r="G217" s="24"/>
      <c r="H217" s="117"/>
      <c r="I217" s="117"/>
      <c r="J217" s="24"/>
      <c r="K217" s="24"/>
      <c r="L217" s="24"/>
      <c r="M217" s="24"/>
      <c r="N217" s="24"/>
      <c r="O217" s="24"/>
      <c r="P217" s="24"/>
      <c r="Q217" s="24"/>
      <c r="R217" s="24"/>
      <c r="S217" s="24"/>
      <c r="T217" s="24"/>
      <c r="U217" s="24"/>
      <c r="V217" s="24"/>
      <c r="W217" s="24"/>
      <c r="X217" s="24"/>
      <c r="Y217" s="24"/>
      <c r="Z217" s="24"/>
      <c r="AA217" s="24"/>
      <c r="AB217" s="24"/>
      <c r="AC217" s="24"/>
    </row>
    <row r="218" spans="1:29" ht="12.9">
      <c r="A218" s="24"/>
      <c r="B218" s="24"/>
      <c r="C218" s="143"/>
      <c r="D218" s="24"/>
      <c r="E218" s="24"/>
      <c r="F218" s="24"/>
      <c r="G218" s="24"/>
      <c r="H218" s="117"/>
      <c r="I218" s="117"/>
      <c r="J218" s="24"/>
      <c r="K218" s="24"/>
      <c r="L218" s="24"/>
      <c r="M218" s="24"/>
      <c r="N218" s="24"/>
      <c r="O218" s="24"/>
      <c r="P218" s="24"/>
      <c r="Q218" s="24"/>
      <c r="R218" s="24"/>
      <c r="S218" s="24"/>
      <c r="T218" s="24"/>
      <c r="U218" s="24"/>
      <c r="V218" s="24"/>
      <c r="W218" s="24"/>
      <c r="X218" s="24"/>
      <c r="Y218" s="24"/>
      <c r="Z218" s="24"/>
      <c r="AA218" s="24"/>
      <c r="AB218" s="24"/>
      <c r="AC218" s="24"/>
    </row>
    <row r="219" spans="1:29" ht="12.9">
      <c r="A219" s="24"/>
      <c r="B219" s="24"/>
      <c r="C219" s="143"/>
      <c r="D219" s="24"/>
      <c r="E219" s="24"/>
      <c r="F219" s="24"/>
      <c r="G219" s="24"/>
      <c r="H219" s="117"/>
      <c r="I219" s="117"/>
      <c r="J219" s="24"/>
      <c r="K219" s="24"/>
      <c r="L219" s="24"/>
      <c r="M219" s="24"/>
      <c r="N219" s="24"/>
      <c r="O219" s="24"/>
      <c r="P219" s="24"/>
      <c r="Q219" s="24"/>
      <c r="R219" s="24"/>
      <c r="S219" s="24"/>
      <c r="T219" s="24"/>
      <c r="U219" s="24"/>
      <c r="V219" s="24"/>
      <c r="W219" s="24"/>
      <c r="X219" s="24"/>
      <c r="Y219" s="24"/>
      <c r="Z219" s="24"/>
      <c r="AA219" s="24"/>
      <c r="AB219" s="24"/>
      <c r="AC219" s="24"/>
    </row>
    <row r="220" spans="1:29" ht="12.9">
      <c r="A220" s="24"/>
      <c r="B220" s="24"/>
      <c r="C220" s="143"/>
      <c r="D220" s="24"/>
      <c r="E220" s="24"/>
      <c r="F220" s="24"/>
      <c r="G220" s="24"/>
      <c r="H220" s="117"/>
      <c r="I220" s="117"/>
      <c r="J220" s="24"/>
      <c r="K220" s="24"/>
      <c r="L220" s="24"/>
      <c r="M220" s="24"/>
      <c r="N220" s="24"/>
      <c r="O220" s="24"/>
      <c r="P220" s="24"/>
      <c r="Q220" s="24"/>
      <c r="R220" s="24"/>
      <c r="S220" s="24"/>
      <c r="T220" s="24"/>
      <c r="U220" s="24"/>
      <c r="V220" s="24"/>
      <c r="W220" s="24"/>
      <c r="X220" s="24"/>
      <c r="Y220" s="24"/>
      <c r="Z220" s="24"/>
      <c r="AA220" s="24"/>
      <c r="AB220" s="24"/>
      <c r="AC220" s="24"/>
    </row>
    <row r="221" spans="1:29" ht="12.9">
      <c r="A221" s="24"/>
      <c r="B221" s="24"/>
      <c r="C221" s="143"/>
      <c r="D221" s="24"/>
      <c r="E221" s="24"/>
      <c r="F221" s="24"/>
      <c r="G221" s="24"/>
      <c r="H221" s="117"/>
      <c r="I221" s="117"/>
      <c r="J221" s="24"/>
      <c r="K221" s="24"/>
      <c r="L221" s="24"/>
      <c r="M221" s="24"/>
      <c r="N221" s="24"/>
      <c r="O221" s="24"/>
      <c r="P221" s="24"/>
      <c r="Q221" s="24"/>
      <c r="R221" s="24"/>
      <c r="S221" s="24"/>
      <c r="T221" s="24"/>
      <c r="U221" s="24"/>
      <c r="V221" s="24"/>
      <c r="W221" s="24"/>
      <c r="X221" s="24"/>
      <c r="Y221" s="24"/>
      <c r="Z221" s="24"/>
      <c r="AA221" s="24"/>
      <c r="AB221" s="24"/>
      <c r="AC221" s="24"/>
    </row>
    <row r="222" spans="1:29" ht="12.9">
      <c r="A222" s="24"/>
      <c r="B222" s="24"/>
      <c r="C222" s="143"/>
      <c r="D222" s="24"/>
      <c r="E222" s="24"/>
      <c r="F222" s="24"/>
      <c r="G222" s="24"/>
      <c r="H222" s="117"/>
      <c r="I222" s="117"/>
      <c r="J222" s="24"/>
      <c r="K222" s="24"/>
      <c r="L222" s="24"/>
      <c r="M222" s="24"/>
      <c r="N222" s="24"/>
      <c r="O222" s="24"/>
      <c r="P222" s="24"/>
      <c r="Q222" s="24"/>
      <c r="R222" s="24"/>
      <c r="S222" s="24"/>
      <c r="T222" s="24"/>
      <c r="U222" s="24"/>
      <c r="V222" s="24"/>
      <c r="W222" s="24"/>
      <c r="X222" s="24"/>
      <c r="Y222" s="24"/>
      <c r="Z222" s="24"/>
      <c r="AA222" s="24"/>
      <c r="AB222" s="24"/>
      <c r="AC222" s="24"/>
    </row>
    <row r="223" spans="1:29" ht="12.9">
      <c r="A223" s="24"/>
      <c r="B223" s="24"/>
      <c r="C223" s="143"/>
      <c r="D223" s="24"/>
      <c r="E223" s="24"/>
      <c r="F223" s="24"/>
      <c r="G223" s="24"/>
      <c r="H223" s="117"/>
      <c r="I223" s="117"/>
      <c r="J223" s="24"/>
      <c r="K223" s="24"/>
      <c r="L223" s="24"/>
      <c r="M223" s="24"/>
      <c r="N223" s="24"/>
      <c r="O223" s="24"/>
      <c r="P223" s="24"/>
      <c r="Q223" s="24"/>
      <c r="R223" s="24"/>
      <c r="S223" s="24"/>
      <c r="T223" s="24"/>
      <c r="U223" s="24"/>
      <c r="V223" s="24"/>
      <c r="W223" s="24"/>
      <c r="X223" s="24"/>
      <c r="Y223" s="24"/>
      <c r="Z223" s="24"/>
      <c r="AA223" s="24"/>
      <c r="AB223" s="24"/>
      <c r="AC223" s="24"/>
    </row>
    <row r="224" spans="1:29" ht="12.9">
      <c r="A224" s="24"/>
      <c r="B224" s="24"/>
      <c r="C224" s="143"/>
      <c r="D224" s="24"/>
      <c r="E224" s="24"/>
      <c r="F224" s="24"/>
      <c r="G224" s="24"/>
      <c r="H224" s="117"/>
      <c r="I224" s="117"/>
      <c r="J224" s="24"/>
      <c r="K224" s="24"/>
      <c r="L224" s="24"/>
      <c r="M224" s="24"/>
      <c r="N224" s="24"/>
      <c r="O224" s="24"/>
      <c r="P224" s="24"/>
      <c r="Q224" s="24"/>
      <c r="R224" s="24"/>
      <c r="S224" s="24"/>
      <c r="T224" s="24"/>
      <c r="U224" s="24"/>
      <c r="V224" s="24"/>
      <c r="W224" s="24"/>
      <c r="X224" s="24"/>
      <c r="Y224" s="24"/>
      <c r="Z224" s="24"/>
      <c r="AA224" s="24"/>
      <c r="AB224" s="24"/>
      <c r="AC224" s="24"/>
    </row>
    <row r="225" spans="1:29" ht="12.9">
      <c r="A225" s="24"/>
      <c r="B225" s="24"/>
      <c r="C225" s="143"/>
      <c r="D225" s="24"/>
      <c r="E225" s="24"/>
      <c r="F225" s="24"/>
      <c r="G225" s="24"/>
      <c r="H225" s="117"/>
      <c r="I225" s="117"/>
      <c r="J225" s="24"/>
      <c r="K225" s="24"/>
      <c r="L225" s="24"/>
      <c r="M225" s="24"/>
      <c r="N225" s="24"/>
      <c r="O225" s="24"/>
      <c r="P225" s="24"/>
      <c r="Q225" s="24"/>
      <c r="R225" s="24"/>
      <c r="S225" s="24"/>
      <c r="T225" s="24"/>
      <c r="U225" s="24"/>
      <c r="V225" s="24"/>
      <c r="W225" s="24"/>
      <c r="X225" s="24"/>
      <c r="Y225" s="24"/>
      <c r="Z225" s="24"/>
      <c r="AA225" s="24"/>
      <c r="AB225" s="24"/>
      <c r="AC225" s="24"/>
    </row>
    <row r="226" spans="1:29" ht="12.9">
      <c r="A226" s="24"/>
      <c r="B226" s="24"/>
      <c r="C226" s="143"/>
      <c r="D226" s="24"/>
      <c r="E226" s="24"/>
      <c r="F226" s="24"/>
      <c r="G226" s="24"/>
      <c r="H226" s="117"/>
      <c r="I226" s="117"/>
      <c r="J226" s="24"/>
      <c r="K226" s="24"/>
      <c r="L226" s="24"/>
      <c r="M226" s="24"/>
      <c r="N226" s="24"/>
      <c r="O226" s="24"/>
      <c r="P226" s="24"/>
      <c r="Q226" s="24"/>
      <c r="R226" s="24"/>
      <c r="S226" s="24"/>
      <c r="T226" s="24"/>
      <c r="U226" s="24"/>
      <c r="V226" s="24"/>
      <c r="W226" s="24"/>
      <c r="X226" s="24"/>
      <c r="Y226" s="24"/>
      <c r="Z226" s="24"/>
      <c r="AA226" s="24"/>
      <c r="AB226" s="24"/>
      <c r="AC226" s="24"/>
    </row>
    <row r="227" spans="1:29" ht="12.9">
      <c r="A227" s="24"/>
      <c r="B227" s="24"/>
      <c r="C227" s="143"/>
      <c r="D227" s="24"/>
      <c r="E227" s="24"/>
      <c r="F227" s="24"/>
      <c r="G227" s="24"/>
      <c r="H227" s="117"/>
      <c r="I227" s="117"/>
      <c r="J227" s="24"/>
      <c r="K227" s="24"/>
      <c r="L227" s="24"/>
      <c r="M227" s="24"/>
      <c r="N227" s="24"/>
      <c r="O227" s="24"/>
      <c r="P227" s="24"/>
      <c r="Q227" s="24"/>
      <c r="R227" s="24"/>
      <c r="S227" s="24"/>
      <c r="T227" s="24"/>
      <c r="U227" s="24"/>
      <c r="V227" s="24"/>
      <c r="W227" s="24"/>
      <c r="X227" s="24"/>
      <c r="Y227" s="24"/>
      <c r="Z227" s="24"/>
      <c r="AA227" s="24"/>
      <c r="AB227" s="24"/>
      <c r="AC227" s="24"/>
    </row>
    <row r="228" spans="1:29" ht="12.9">
      <c r="A228" s="24"/>
      <c r="B228" s="24"/>
      <c r="C228" s="143"/>
      <c r="D228" s="24"/>
      <c r="E228" s="24"/>
      <c r="F228" s="24"/>
      <c r="G228" s="24"/>
      <c r="H228" s="117"/>
      <c r="I228" s="117"/>
      <c r="J228" s="24"/>
      <c r="K228" s="24"/>
      <c r="L228" s="24"/>
      <c r="M228" s="24"/>
      <c r="N228" s="24"/>
      <c r="O228" s="24"/>
      <c r="P228" s="24"/>
      <c r="Q228" s="24"/>
      <c r="R228" s="24"/>
      <c r="S228" s="24"/>
      <c r="T228" s="24"/>
      <c r="U228" s="24"/>
      <c r="V228" s="24"/>
      <c r="W228" s="24"/>
      <c r="X228" s="24"/>
      <c r="Y228" s="24"/>
      <c r="Z228" s="24"/>
      <c r="AA228" s="24"/>
      <c r="AB228" s="24"/>
      <c r="AC228" s="24"/>
    </row>
    <row r="229" spans="1:29" ht="12.9">
      <c r="A229" s="24"/>
      <c r="B229" s="24"/>
      <c r="C229" s="143"/>
      <c r="D229" s="24"/>
      <c r="E229" s="24"/>
      <c r="F229" s="24"/>
      <c r="G229" s="24"/>
      <c r="H229" s="117"/>
      <c r="I229" s="117"/>
      <c r="J229" s="24"/>
      <c r="K229" s="24"/>
      <c r="L229" s="24"/>
      <c r="M229" s="24"/>
      <c r="N229" s="24"/>
      <c r="O229" s="24"/>
      <c r="P229" s="24"/>
      <c r="Q229" s="24"/>
      <c r="R229" s="24"/>
      <c r="S229" s="24"/>
      <c r="T229" s="24"/>
      <c r="U229" s="24"/>
      <c r="V229" s="24"/>
      <c r="W229" s="24"/>
      <c r="X229" s="24"/>
      <c r="Y229" s="24"/>
      <c r="Z229" s="24"/>
      <c r="AA229" s="24"/>
      <c r="AB229" s="24"/>
      <c r="AC229" s="24"/>
    </row>
    <row r="230" spans="1:29" ht="12.9">
      <c r="A230" s="24"/>
      <c r="B230" s="24"/>
      <c r="C230" s="143"/>
      <c r="D230" s="24"/>
      <c r="E230" s="24"/>
      <c r="F230" s="24"/>
      <c r="G230" s="24"/>
      <c r="H230" s="117"/>
      <c r="I230" s="117"/>
      <c r="J230" s="24"/>
      <c r="K230" s="24"/>
      <c r="L230" s="24"/>
      <c r="M230" s="24"/>
      <c r="N230" s="24"/>
      <c r="O230" s="24"/>
      <c r="P230" s="24"/>
      <c r="Q230" s="24"/>
      <c r="R230" s="24"/>
      <c r="S230" s="24"/>
      <c r="T230" s="24"/>
      <c r="U230" s="24"/>
      <c r="V230" s="24"/>
      <c r="W230" s="24"/>
      <c r="X230" s="24"/>
      <c r="Y230" s="24"/>
      <c r="Z230" s="24"/>
      <c r="AA230" s="24"/>
      <c r="AB230" s="24"/>
      <c r="AC230" s="24"/>
    </row>
    <row r="231" spans="1:29" ht="12.9">
      <c r="A231" s="24"/>
      <c r="B231" s="24"/>
      <c r="C231" s="143"/>
      <c r="D231" s="24"/>
      <c r="E231" s="24"/>
      <c r="F231" s="24"/>
      <c r="G231" s="24"/>
      <c r="H231" s="117"/>
      <c r="I231" s="117"/>
      <c r="J231" s="24"/>
      <c r="K231" s="24"/>
      <c r="L231" s="24"/>
      <c r="M231" s="24"/>
      <c r="N231" s="24"/>
      <c r="O231" s="24"/>
      <c r="P231" s="24"/>
      <c r="Q231" s="24"/>
      <c r="R231" s="24"/>
      <c r="S231" s="24"/>
      <c r="T231" s="24"/>
      <c r="U231" s="24"/>
      <c r="V231" s="24"/>
      <c r="W231" s="24"/>
      <c r="X231" s="24"/>
      <c r="Y231" s="24"/>
      <c r="Z231" s="24"/>
      <c r="AA231" s="24"/>
      <c r="AB231" s="24"/>
      <c r="AC231" s="24"/>
    </row>
    <row r="232" spans="1:29" ht="12.9">
      <c r="A232" s="24"/>
      <c r="B232" s="24"/>
      <c r="C232" s="143"/>
      <c r="D232" s="24"/>
      <c r="E232" s="24"/>
      <c r="F232" s="24"/>
      <c r="G232" s="24"/>
      <c r="H232" s="117"/>
      <c r="I232" s="117"/>
      <c r="J232" s="24"/>
      <c r="K232" s="24"/>
      <c r="L232" s="24"/>
      <c r="M232" s="24"/>
      <c r="N232" s="24"/>
      <c r="O232" s="24"/>
      <c r="P232" s="24"/>
      <c r="Q232" s="24"/>
      <c r="R232" s="24"/>
      <c r="S232" s="24"/>
      <c r="T232" s="24"/>
      <c r="U232" s="24"/>
      <c r="V232" s="24"/>
      <c r="W232" s="24"/>
      <c r="X232" s="24"/>
      <c r="Y232" s="24"/>
      <c r="Z232" s="24"/>
      <c r="AA232" s="24"/>
      <c r="AB232" s="24"/>
      <c r="AC232" s="24"/>
    </row>
    <row r="233" spans="1:29" ht="12.9">
      <c r="A233" s="24"/>
      <c r="B233" s="24"/>
      <c r="C233" s="143"/>
      <c r="D233" s="24"/>
      <c r="E233" s="24"/>
      <c r="F233" s="24"/>
      <c r="G233" s="24"/>
      <c r="H233" s="117"/>
      <c r="I233" s="117"/>
      <c r="J233" s="24"/>
      <c r="K233" s="24"/>
      <c r="L233" s="24"/>
      <c r="M233" s="24"/>
      <c r="N233" s="24"/>
      <c r="O233" s="24"/>
      <c r="P233" s="24"/>
      <c r="Q233" s="24"/>
      <c r="R233" s="24"/>
      <c r="S233" s="24"/>
      <c r="T233" s="24"/>
      <c r="U233" s="24"/>
      <c r="V233" s="24"/>
      <c r="W233" s="24"/>
      <c r="X233" s="24"/>
      <c r="Y233" s="24"/>
      <c r="Z233" s="24"/>
      <c r="AA233" s="24"/>
      <c r="AB233" s="24"/>
      <c r="AC233" s="24"/>
    </row>
    <row r="234" spans="1:29" ht="12.9">
      <c r="A234" s="24"/>
      <c r="B234" s="24"/>
      <c r="C234" s="143"/>
      <c r="D234" s="24"/>
      <c r="E234" s="24"/>
      <c r="F234" s="24"/>
      <c r="G234" s="24"/>
      <c r="H234" s="117"/>
      <c r="I234" s="117"/>
      <c r="J234" s="24"/>
      <c r="K234" s="24"/>
      <c r="L234" s="24"/>
      <c r="M234" s="24"/>
      <c r="N234" s="24"/>
      <c r="O234" s="24"/>
      <c r="P234" s="24"/>
      <c r="Q234" s="24"/>
      <c r="R234" s="24"/>
      <c r="S234" s="24"/>
      <c r="T234" s="24"/>
      <c r="U234" s="24"/>
      <c r="V234" s="24"/>
      <c r="W234" s="24"/>
      <c r="X234" s="24"/>
      <c r="Y234" s="24"/>
      <c r="Z234" s="24"/>
      <c r="AA234" s="24"/>
      <c r="AB234" s="24"/>
      <c r="AC234" s="24"/>
    </row>
    <row r="235" spans="1:29" ht="12.9">
      <c r="A235" s="24"/>
      <c r="B235" s="24"/>
      <c r="C235" s="143"/>
      <c r="D235" s="24"/>
      <c r="E235" s="24"/>
      <c r="F235" s="24"/>
      <c r="G235" s="24"/>
      <c r="H235" s="117"/>
      <c r="I235" s="117"/>
      <c r="J235" s="24"/>
      <c r="K235" s="24"/>
      <c r="L235" s="24"/>
      <c r="M235" s="24"/>
      <c r="N235" s="24"/>
      <c r="O235" s="24"/>
      <c r="P235" s="24"/>
      <c r="Q235" s="24"/>
      <c r="R235" s="24"/>
      <c r="S235" s="24"/>
      <c r="T235" s="24"/>
      <c r="U235" s="24"/>
      <c r="V235" s="24"/>
      <c r="W235" s="24"/>
      <c r="X235" s="24"/>
      <c r="Y235" s="24"/>
      <c r="Z235" s="24"/>
      <c r="AA235" s="24"/>
      <c r="AB235" s="24"/>
      <c r="AC235" s="24"/>
    </row>
    <row r="236" spans="1:29" ht="12.9">
      <c r="A236" s="24"/>
      <c r="B236" s="24"/>
      <c r="C236" s="143"/>
      <c r="D236" s="24"/>
      <c r="E236" s="24"/>
      <c r="F236" s="24"/>
      <c r="G236" s="24"/>
      <c r="H236" s="117"/>
      <c r="I236" s="117"/>
      <c r="J236" s="24"/>
      <c r="K236" s="24"/>
      <c r="L236" s="24"/>
      <c r="M236" s="24"/>
      <c r="N236" s="24"/>
      <c r="O236" s="24"/>
      <c r="P236" s="24"/>
      <c r="Q236" s="24"/>
      <c r="R236" s="24"/>
      <c r="S236" s="24"/>
      <c r="T236" s="24"/>
      <c r="U236" s="24"/>
      <c r="V236" s="24"/>
      <c r="W236" s="24"/>
      <c r="X236" s="24"/>
      <c r="Y236" s="24"/>
      <c r="Z236" s="24"/>
      <c r="AA236" s="24"/>
      <c r="AB236" s="24"/>
      <c r="AC236" s="24"/>
    </row>
    <row r="237" spans="1:29" ht="12.9">
      <c r="A237" s="24"/>
      <c r="B237" s="24"/>
      <c r="C237" s="143"/>
      <c r="D237" s="24"/>
      <c r="E237" s="24"/>
      <c r="F237" s="24"/>
      <c r="G237" s="24"/>
      <c r="H237" s="117"/>
      <c r="I237" s="117"/>
      <c r="J237" s="24"/>
      <c r="K237" s="24"/>
      <c r="L237" s="24"/>
      <c r="M237" s="24"/>
      <c r="N237" s="24"/>
      <c r="O237" s="24"/>
      <c r="P237" s="24"/>
      <c r="Q237" s="24"/>
      <c r="R237" s="24"/>
      <c r="S237" s="24"/>
      <c r="T237" s="24"/>
      <c r="U237" s="24"/>
      <c r="V237" s="24"/>
      <c r="W237" s="24"/>
      <c r="X237" s="24"/>
      <c r="Y237" s="24"/>
      <c r="Z237" s="24"/>
      <c r="AA237" s="24"/>
      <c r="AB237" s="24"/>
      <c r="AC237" s="24"/>
    </row>
    <row r="238" spans="1:29" ht="12.9">
      <c r="A238" s="24"/>
      <c r="B238" s="24"/>
      <c r="C238" s="143"/>
      <c r="D238" s="24"/>
      <c r="E238" s="24"/>
      <c r="F238" s="24"/>
      <c r="G238" s="24"/>
      <c r="H238" s="117"/>
      <c r="I238" s="117"/>
      <c r="J238" s="24"/>
      <c r="K238" s="24"/>
      <c r="L238" s="24"/>
      <c r="M238" s="24"/>
      <c r="N238" s="24"/>
      <c r="O238" s="24"/>
      <c r="P238" s="24"/>
      <c r="Q238" s="24"/>
      <c r="R238" s="24"/>
      <c r="S238" s="24"/>
      <c r="T238" s="24"/>
      <c r="U238" s="24"/>
      <c r="V238" s="24"/>
      <c r="W238" s="24"/>
      <c r="X238" s="24"/>
      <c r="Y238" s="24"/>
      <c r="Z238" s="24"/>
      <c r="AA238" s="24"/>
      <c r="AB238" s="24"/>
      <c r="AC238" s="24"/>
    </row>
    <row r="239" spans="1:29" ht="12.9">
      <c r="A239" s="24"/>
      <c r="B239" s="24"/>
      <c r="C239" s="143"/>
      <c r="D239" s="24"/>
      <c r="E239" s="24"/>
      <c r="F239" s="24"/>
      <c r="G239" s="24"/>
      <c r="H239" s="117"/>
      <c r="I239" s="117"/>
      <c r="J239" s="24"/>
      <c r="K239" s="24"/>
      <c r="L239" s="24"/>
      <c r="M239" s="24"/>
      <c r="N239" s="24"/>
      <c r="O239" s="24"/>
      <c r="P239" s="24"/>
      <c r="Q239" s="24"/>
      <c r="R239" s="24"/>
      <c r="S239" s="24"/>
      <c r="T239" s="24"/>
      <c r="U239" s="24"/>
      <c r="V239" s="24"/>
      <c r="W239" s="24"/>
      <c r="X239" s="24"/>
      <c r="Y239" s="24"/>
      <c r="Z239" s="24"/>
      <c r="AA239" s="24"/>
      <c r="AB239" s="24"/>
      <c r="AC239" s="24"/>
    </row>
    <row r="240" spans="1:29" ht="12.9">
      <c r="A240" s="24"/>
      <c r="B240" s="24"/>
      <c r="C240" s="143"/>
      <c r="D240" s="24"/>
      <c r="E240" s="24"/>
      <c r="F240" s="24"/>
      <c r="G240" s="24"/>
      <c r="H240" s="117"/>
      <c r="I240" s="117"/>
      <c r="J240" s="24"/>
      <c r="K240" s="24"/>
      <c r="L240" s="24"/>
      <c r="M240" s="24"/>
      <c r="N240" s="24"/>
      <c r="O240" s="24"/>
      <c r="P240" s="24"/>
      <c r="Q240" s="24"/>
      <c r="R240" s="24"/>
      <c r="S240" s="24"/>
      <c r="T240" s="24"/>
      <c r="U240" s="24"/>
      <c r="V240" s="24"/>
      <c r="W240" s="24"/>
      <c r="X240" s="24"/>
      <c r="Y240" s="24"/>
      <c r="Z240" s="24"/>
      <c r="AA240" s="24"/>
      <c r="AB240" s="24"/>
      <c r="AC240" s="24"/>
    </row>
    <row r="241" spans="1:29" ht="12.9">
      <c r="A241" s="24"/>
      <c r="B241" s="24"/>
      <c r="C241" s="143"/>
      <c r="D241" s="24"/>
      <c r="E241" s="24"/>
      <c r="F241" s="24"/>
      <c r="G241" s="24"/>
      <c r="H241" s="117"/>
      <c r="I241" s="117"/>
      <c r="J241" s="24"/>
      <c r="K241" s="24"/>
      <c r="L241" s="24"/>
      <c r="M241" s="24"/>
      <c r="N241" s="24"/>
      <c r="O241" s="24"/>
      <c r="P241" s="24"/>
      <c r="Q241" s="24"/>
      <c r="R241" s="24"/>
      <c r="S241" s="24"/>
      <c r="T241" s="24"/>
      <c r="U241" s="24"/>
      <c r="V241" s="24"/>
      <c r="W241" s="24"/>
      <c r="X241" s="24"/>
      <c r="Y241" s="24"/>
      <c r="Z241" s="24"/>
      <c r="AA241" s="24"/>
      <c r="AB241" s="24"/>
      <c r="AC241" s="24"/>
    </row>
    <row r="242" spans="1:29" ht="12.9">
      <c r="A242" s="24"/>
      <c r="B242" s="24"/>
      <c r="C242" s="143"/>
      <c r="D242" s="24"/>
      <c r="E242" s="24"/>
      <c r="F242" s="24"/>
      <c r="G242" s="24"/>
      <c r="H242" s="117"/>
      <c r="I242" s="117"/>
      <c r="J242" s="24"/>
      <c r="K242" s="24"/>
      <c r="L242" s="24"/>
      <c r="M242" s="24"/>
      <c r="N242" s="24"/>
      <c r="O242" s="24"/>
      <c r="P242" s="24"/>
      <c r="Q242" s="24"/>
      <c r="R242" s="24"/>
      <c r="S242" s="24"/>
      <c r="T242" s="24"/>
      <c r="U242" s="24"/>
      <c r="V242" s="24"/>
      <c r="W242" s="24"/>
      <c r="X242" s="24"/>
      <c r="Y242" s="24"/>
      <c r="Z242" s="24"/>
      <c r="AA242" s="24"/>
      <c r="AB242" s="24"/>
      <c r="AC242" s="24"/>
    </row>
    <row r="243" spans="1:29" ht="12.9">
      <c r="A243" s="24"/>
      <c r="B243" s="24"/>
      <c r="C243" s="143"/>
      <c r="D243" s="24"/>
      <c r="E243" s="24"/>
      <c r="F243" s="24"/>
      <c r="G243" s="24"/>
      <c r="H243" s="117"/>
      <c r="I243" s="117"/>
      <c r="J243" s="24"/>
      <c r="K243" s="24"/>
      <c r="L243" s="24"/>
      <c r="M243" s="24"/>
      <c r="N243" s="24"/>
      <c r="O243" s="24"/>
      <c r="P243" s="24"/>
      <c r="Q243" s="24"/>
      <c r="R243" s="24"/>
      <c r="S243" s="24"/>
      <c r="T243" s="24"/>
      <c r="U243" s="24"/>
      <c r="V243" s="24"/>
      <c r="W243" s="24"/>
      <c r="X243" s="24"/>
      <c r="Y243" s="24"/>
      <c r="Z243" s="24"/>
      <c r="AA243" s="24"/>
      <c r="AB243" s="24"/>
      <c r="AC243" s="24"/>
    </row>
    <row r="244" spans="1:29" ht="12.9">
      <c r="A244" s="24"/>
      <c r="B244" s="24"/>
      <c r="C244" s="143"/>
      <c r="D244" s="24"/>
      <c r="E244" s="24"/>
      <c r="F244" s="24"/>
      <c r="G244" s="24"/>
      <c r="H244" s="117"/>
      <c r="I244" s="117"/>
      <c r="J244" s="24"/>
      <c r="K244" s="24"/>
      <c r="L244" s="24"/>
      <c r="M244" s="24"/>
      <c r="N244" s="24"/>
      <c r="O244" s="24"/>
      <c r="P244" s="24"/>
      <c r="Q244" s="24"/>
      <c r="R244" s="24"/>
      <c r="S244" s="24"/>
      <c r="T244" s="24"/>
      <c r="U244" s="24"/>
      <c r="V244" s="24"/>
      <c r="W244" s="24"/>
      <c r="X244" s="24"/>
      <c r="Y244" s="24"/>
      <c r="Z244" s="24"/>
      <c r="AA244" s="24"/>
      <c r="AB244" s="24"/>
      <c r="AC244" s="24"/>
    </row>
    <row r="245" spans="1:29" ht="12.9">
      <c r="A245" s="24"/>
      <c r="B245" s="24"/>
      <c r="C245" s="143"/>
      <c r="D245" s="24"/>
      <c r="E245" s="24"/>
      <c r="F245" s="24"/>
      <c r="G245" s="24"/>
      <c r="H245" s="117"/>
      <c r="I245" s="117"/>
      <c r="J245" s="24"/>
      <c r="K245" s="24"/>
      <c r="L245" s="24"/>
      <c r="M245" s="24"/>
      <c r="N245" s="24"/>
      <c r="O245" s="24"/>
      <c r="P245" s="24"/>
      <c r="Q245" s="24"/>
      <c r="R245" s="24"/>
      <c r="S245" s="24"/>
      <c r="T245" s="24"/>
      <c r="U245" s="24"/>
      <c r="V245" s="24"/>
      <c r="W245" s="24"/>
      <c r="X245" s="24"/>
      <c r="Y245" s="24"/>
      <c r="Z245" s="24"/>
      <c r="AA245" s="24"/>
      <c r="AB245" s="24"/>
      <c r="AC245" s="24"/>
    </row>
    <row r="246" spans="1:29" ht="12.9">
      <c r="A246" s="24"/>
      <c r="B246" s="24"/>
      <c r="C246" s="143"/>
      <c r="D246" s="24"/>
      <c r="E246" s="24"/>
      <c r="F246" s="24"/>
      <c r="G246" s="24"/>
      <c r="H246" s="117"/>
      <c r="I246" s="117"/>
      <c r="J246" s="24"/>
      <c r="K246" s="24"/>
      <c r="L246" s="24"/>
      <c r="M246" s="24"/>
      <c r="N246" s="24"/>
      <c r="O246" s="24"/>
      <c r="P246" s="24"/>
      <c r="Q246" s="24"/>
      <c r="R246" s="24"/>
      <c r="S246" s="24"/>
      <c r="T246" s="24"/>
      <c r="U246" s="24"/>
      <c r="V246" s="24"/>
      <c r="W246" s="24"/>
      <c r="X246" s="24"/>
      <c r="Y246" s="24"/>
      <c r="Z246" s="24"/>
      <c r="AA246" s="24"/>
      <c r="AB246" s="24"/>
      <c r="AC246" s="24"/>
    </row>
    <row r="247" spans="1:29" ht="12.9">
      <c r="A247" s="24"/>
      <c r="B247" s="24"/>
      <c r="C247" s="143"/>
      <c r="D247" s="24"/>
      <c r="E247" s="24"/>
      <c r="F247" s="24"/>
      <c r="G247" s="24"/>
      <c r="H247" s="117"/>
      <c r="I247" s="117"/>
      <c r="J247" s="24"/>
      <c r="K247" s="24"/>
      <c r="L247" s="24"/>
      <c r="M247" s="24"/>
      <c r="N247" s="24"/>
      <c r="O247" s="24"/>
      <c r="P247" s="24"/>
      <c r="Q247" s="24"/>
      <c r="R247" s="24"/>
      <c r="S247" s="24"/>
      <c r="T247" s="24"/>
      <c r="U247" s="24"/>
      <c r="V247" s="24"/>
      <c r="W247" s="24"/>
      <c r="X247" s="24"/>
      <c r="Y247" s="24"/>
      <c r="Z247" s="24"/>
      <c r="AA247" s="24"/>
      <c r="AB247" s="24"/>
      <c r="AC247" s="24"/>
    </row>
    <row r="248" spans="1:29" ht="12.9">
      <c r="A248" s="24"/>
      <c r="B248" s="24"/>
      <c r="C248" s="143"/>
      <c r="D248" s="24"/>
      <c r="E248" s="24"/>
      <c r="F248" s="24"/>
      <c r="G248" s="24"/>
      <c r="H248" s="117"/>
      <c r="I248" s="117"/>
      <c r="J248" s="24"/>
      <c r="K248" s="24"/>
      <c r="L248" s="24"/>
      <c r="M248" s="24"/>
      <c r="N248" s="24"/>
      <c r="O248" s="24"/>
      <c r="P248" s="24"/>
      <c r="Q248" s="24"/>
      <c r="R248" s="24"/>
      <c r="S248" s="24"/>
      <c r="T248" s="24"/>
      <c r="U248" s="24"/>
      <c r="V248" s="24"/>
      <c r="W248" s="24"/>
      <c r="X248" s="24"/>
      <c r="Y248" s="24"/>
      <c r="Z248" s="24"/>
      <c r="AA248" s="24"/>
      <c r="AB248" s="24"/>
      <c r="AC248" s="24"/>
    </row>
    <row r="249" spans="1:29" ht="12.9">
      <c r="A249" s="24"/>
      <c r="B249" s="24"/>
      <c r="C249" s="143"/>
      <c r="D249" s="24"/>
      <c r="E249" s="24"/>
      <c r="F249" s="24"/>
      <c r="G249" s="24"/>
      <c r="H249" s="117"/>
      <c r="I249" s="117"/>
      <c r="J249" s="24"/>
      <c r="K249" s="24"/>
      <c r="L249" s="24"/>
      <c r="M249" s="24"/>
      <c r="N249" s="24"/>
      <c r="O249" s="24"/>
      <c r="P249" s="24"/>
      <c r="Q249" s="24"/>
      <c r="R249" s="24"/>
      <c r="S249" s="24"/>
      <c r="T249" s="24"/>
      <c r="U249" s="24"/>
      <c r="V249" s="24"/>
      <c r="W249" s="24"/>
      <c r="X249" s="24"/>
      <c r="Y249" s="24"/>
      <c r="Z249" s="24"/>
      <c r="AA249" s="24"/>
      <c r="AB249" s="24"/>
      <c r="AC249" s="24"/>
    </row>
    <row r="250" spans="1:29" ht="12.9">
      <c r="A250" s="24"/>
      <c r="B250" s="24"/>
      <c r="C250" s="143"/>
      <c r="D250" s="24"/>
      <c r="E250" s="24"/>
      <c r="F250" s="24"/>
      <c r="G250" s="24"/>
      <c r="H250" s="117"/>
      <c r="I250" s="117"/>
      <c r="J250" s="24"/>
      <c r="K250" s="24"/>
      <c r="L250" s="24"/>
      <c r="M250" s="24"/>
      <c r="N250" s="24"/>
      <c r="O250" s="24"/>
      <c r="P250" s="24"/>
      <c r="Q250" s="24"/>
      <c r="R250" s="24"/>
      <c r="S250" s="24"/>
      <c r="T250" s="24"/>
      <c r="U250" s="24"/>
      <c r="V250" s="24"/>
      <c r="W250" s="24"/>
      <c r="X250" s="24"/>
      <c r="Y250" s="24"/>
      <c r="Z250" s="24"/>
      <c r="AA250" s="24"/>
      <c r="AB250" s="24"/>
      <c r="AC250" s="24"/>
    </row>
    <row r="251" spans="1:29" ht="12.9">
      <c r="A251" s="24"/>
      <c r="B251" s="24"/>
      <c r="C251" s="143"/>
      <c r="D251" s="24"/>
      <c r="E251" s="24"/>
      <c r="F251" s="24"/>
      <c r="G251" s="24"/>
      <c r="H251" s="117"/>
      <c r="I251" s="117"/>
      <c r="J251" s="24"/>
      <c r="K251" s="24"/>
      <c r="L251" s="24"/>
      <c r="M251" s="24"/>
      <c r="N251" s="24"/>
      <c r="O251" s="24"/>
      <c r="P251" s="24"/>
      <c r="Q251" s="24"/>
      <c r="R251" s="24"/>
      <c r="S251" s="24"/>
      <c r="T251" s="24"/>
      <c r="U251" s="24"/>
      <c r="V251" s="24"/>
      <c r="W251" s="24"/>
      <c r="X251" s="24"/>
      <c r="Y251" s="24"/>
      <c r="Z251" s="24"/>
      <c r="AA251" s="24"/>
      <c r="AB251" s="24"/>
      <c r="AC251" s="24"/>
    </row>
    <row r="252" spans="1:29" ht="12.9">
      <c r="A252" s="24"/>
      <c r="B252" s="24"/>
      <c r="C252" s="143"/>
      <c r="D252" s="24"/>
      <c r="E252" s="24"/>
      <c r="F252" s="24"/>
      <c r="G252" s="24"/>
      <c r="H252" s="117"/>
      <c r="I252" s="117"/>
      <c r="J252" s="24"/>
      <c r="K252" s="24"/>
      <c r="L252" s="24"/>
      <c r="M252" s="24"/>
      <c r="N252" s="24"/>
      <c r="O252" s="24"/>
      <c r="P252" s="24"/>
      <c r="Q252" s="24"/>
      <c r="R252" s="24"/>
      <c r="S252" s="24"/>
      <c r="T252" s="24"/>
      <c r="U252" s="24"/>
      <c r="V252" s="24"/>
      <c r="W252" s="24"/>
      <c r="X252" s="24"/>
      <c r="Y252" s="24"/>
      <c r="Z252" s="24"/>
      <c r="AA252" s="24"/>
      <c r="AB252" s="24"/>
      <c r="AC252" s="24"/>
    </row>
    <row r="253" spans="1:29" ht="12.9">
      <c r="A253" s="24"/>
      <c r="B253" s="24"/>
      <c r="C253" s="143"/>
      <c r="D253" s="24"/>
      <c r="E253" s="24"/>
      <c r="F253" s="24"/>
      <c r="G253" s="24"/>
      <c r="H253" s="117"/>
      <c r="I253" s="117"/>
      <c r="J253" s="24"/>
      <c r="K253" s="24"/>
      <c r="L253" s="24"/>
      <c r="M253" s="24"/>
      <c r="N253" s="24"/>
      <c r="O253" s="24"/>
      <c r="P253" s="24"/>
      <c r="Q253" s="24"/>
      <c r="R253" s="24"/>
      <c r="S253" s="24"/>
      <c r="T253" s="24"/>
      <c r="U253" s="24"/>
      <c r="V253" s="24"/>
      <c r="W253" s="24"/>
      <c r="X253" s="24"/>
      <c r="Y253" s="24"/>
      <c r="Z253" s="24"/>
      <c r="AA253" s="24"/>
      <c r="AB253" s="24"/>
      <c r="AC253" s="24"/>
    </row>
    <row r="254" spans="1:29" ht="12.9">
      <c r="A254" s="24"/>
      <c r="B254" s="24"/>
      <c r="C254" s="143"/>
      <c r="D254" s="24"/>
      <c r="E254" s="24"/>
      <c r="F254" s="24"/>
      <c r="G254" s="24"/>
      <c r="H254" s="117"/>
      <c r="I254" s="117"/>
      <c r="J254" s="24"/>
      <c r="K254" s="24"/>
      <c r="L254" s="24"/>
      <c r="M254" s="24"/>
      <c r="N254" s="24"/>
      <c r="O254" s="24"/>
      <c r="P254" s="24"/>
      <c r="Q254" s="24"/>
      <c r="R254" s="24"/>
      <c r="S254" s="24"/>
      <c r="T254" s="24"/>
      <c r="U254" s="24"/>
      <c r="V254" s="24"/>
      <c r="W254" s="24"/>
      <c r="X254" s="24"/>
      <c r="Y254" s="24"/>
      <c r="Z254" s="24"/>
      <c r="AA254" s="24"/>
      <c r="AB254" s="24"/>
      <c r="AC254" s="24"/>
    </row>
    <row r="255" spans="1:29" ht="12.9">
      <c r="A255" s="24"/>
      <c r="B255" s="24"/>
      <c r="C255" s="143"/>
      <c r="D255" s="24"/>
      <c r="E255" s="24"/>
      <c r="F255" s="24"/>
      <c r="G255" s="24"/>
      <c r="H255" s="117"/>
      <c r="I255" s="117"/>
      <c r="J255" s="24"/>
      <c r="K255" s="24"/>
      <c r="L255" s="24"/>
      <c r="M255" s="24"/>
      <c r="N255" s="24"/>
      <c r="O255" s="24"/>
      <c r="P255" s="24"/>
      <c r="Q255" s="24"/>
      <c r="R255" s="24"/>
      <c r="S255" s="24"/>
      <c r="T255" s="24"/>
      <c r="U255" s="24"/>
      <c r="V255" s="24"/>
      <c r="W255" s="24"/>
      <c r="X255" s="24"/>
      <c r="Y255" s="24"/>
      <c r="Z255" s="24"/>
      <c r="AA255" s="24"/>
      <c r="AB255" s="24"/>
      <c r="AC255" s="24"/>
    </row>
    <row r="256" spans="1:29" ht="12.9">
      <c r="A256" s="24"/>
      <c r="B256" s="24"/>
      <c r="C256" s="143"/>
      <c r="D256" s="24"/>
      <c r="E256" s="24"/>
      <c r="F256" s="24"/>
      <c r="G256" s="24"/>
      <c r="H256" s="117"/>
      <c r="I256" s="117"/>
      <c r="J256" s="24"/>
      <c r="K256" s="24"/>
      <c r="L256" s="24"/>
      <c r="M256" s="24"/>
      <c r="N256" s="24"/>
      <c r="O256" s="24"/>
      <c r="P256" s="24"/>
      <c r="Q256" s="24"/>
      <c r="R256" s="24"/>
      <c r="S256" s="24"/>
      <c r="T256" s="24"/>
      <c r="U256" s="24"/>
      <c r="V256" s="24"/>
      <c r="W256" s="24"/>
      <c r="X256" s="24"/>
      <c r="Y256" s="24"/>
      <c r="Z256" s="24"/>
      <c r="AA256" s="24"/>
      <c r="AB256" s="24"/>
      <c r="AC256" s="24"/>
    </row>
    <row r="257" spans="1:29" ht="12.9">
      <c r="A257" s="24"/>
      <c r="B257" s="24"/>
      <c r="C257" s="143"/>
      <c r="D257" s="24"/>
      <c r="E257" s="24"/>
      <c r="F257" s="24"/>
      <c r="G257" s="24"/>
      <c r="H257" s="117"/>
      <c r="I257" s="117"/>
      <c r="J257" s="24"/>
      <c r="K257" s="24"/>
      <c r="L257" s="24"/>
      <c r="M257" s="24"/>
      <c r="N257" s="24"/>
      <c r="O257" s="24"/>
      <c r="P257" s="24"/>
      <c r="Q257" s="24"/>
      <c r="R257" s="24"/>
      <c r="S257" s="24"/>
      <c r="T257" s="24"/>
      <c r="U257" s="24"/>
      <c r="V257" s="24"/>
      <c r="W257" s="24"/>
      <c r="X257" s="24"/>
      <c r="Y257" s="24"/>
      <c r="Z257" s="24"/>
      <c r="AA257" s="24"/>
      <c r="AB257" s="24"/>
      <c r="AC257" s="24"/>
    </row>
    <row r="258" spans="1:29" ht="12.9">
      <c r="A258" s="24"/>
      <c r="B258" s="24"/>
      <c r="C258" s="143"/>
      <c r="D258" s="24"/>
      <c r="E258" s="24"/>
      <c r="F258" s="24"/>
      <c r="G258" s="24"/>
      <c r="H258" s="117"/>
      <c r="I258" s="117"/>
      <c r="J258" s="24"/>
      <c r="K258" s="24"/>
      <c r="L258" s="24"/>
      <c r="M258" s="24"/>
      <c r="N258" s="24"/>
      <c r="O258" s="24"/>
      <c r="P258" s="24"/>
      <c r="Q258" s="24"/>
      <c r="R258" s="24"/>
      <c r="S258" s="24"/>
      <c r="T258" s="24"/>
      <c r="U258" s="24"/>
      <c r="V258" s="24"/>
      <c r="W258" s="24"/>
      <c r="X258" s="24"/>
      <c r="Y258" s="24"/>
      <c r="Z258" s="24"/>
      <c r="AA258" s="24"/>
      <c r="AB258" s="24"/>
      <c r="AC258" s="24"/>
    </row>
    <row r="259" spans="1:29" ht="12.9">
      <c r="A259" s="24"/>
      <c r="B259" s="24"/>
      <c r="C259" s="143"/>
      <c r="D259" s="24"/>
      <c r="E259" s="24"/>
      <c r="F259" s="24"/>
      <c r="G259" s="24"/>
      <c r="H259" s="117"/>
      <c r="I259" s="117"/>
      <c r="J259" s="24"/>
      <c r="K259" s="24"/>
      <c r="L259" s="24"/>
      <c r="M259" s="24"/>
      <c r="N259" s="24"/>
      <c r="O259" s="24"/>
      <c r="P259" s="24"/>
      <c r="Q259" s="24"/>
      <c r="R259" s="24"/>
      <c r="S259" s="24"/>
      <c r="T259" s="24"/>
      <c r="U259" s="24"/>
      <c r="V259" s="24"/>
      <c r="W259" s="24"/>
      <c r="X259" s="24"/>
      <c r="Y259" s="24"/>
      <c r="Z259" s="24"/>
      <c r="AA259" s="24"/>
      <c r="AB259" s="24"/>
      <c r="AC259" s="24"/>
    </row>
    <row r="260" spans="1:29" ht="12.9">
      <c r="A260" s="24"/>
      <c r="B260" s="24"/>
      <c r="C260" s="143"/>
      <c r="D260" s="24"/>
      <c r="E260" s="24"/>
      <c r="F260" s="24"/>
      <c r="G260" s="24"/>
      <c r="H260" s="117"/>
      <c r="I260" s="117"/>
      <c r="J260" s="24"/>
      <c r="K260" s="24"/>
      <c r="L260" s="24"/>
      <c r="M260" s="24"/>
      <c r="N260" s="24"/>
      <c r="O260" s="24"/>
      <c r="P260" s="24"/>
      <c r="Q260" s="24"/>
      <c r="R260" s="24"/>
      <c r="S260" s="24"/>
      <c r="T260" s="24"/>
      <c r="U260" s="24"/>
      <c r="V260" s="24"/>
      <c r="W260" s="24"/>
      <c r="X260" s="24"/>
      <c r="Y260" s="24"/>
      <c r="Z260" s="24"/>
      <c r="AA260" s="24"/>
      <c r="AB260" s="24"/>
      <c r="AC260" s="24"/>
    </row>
    <row r="261" spans="1:29" ht="12.9">
      <c r="A261" s="24"/>
      <c r="B261" s="24"/>
      <c r="C261" s="143"/>
      <c r="D261" s="24"/>
      <c r="E261" s="24"/>
      <c r="F261" s="24"/>
      <c r="G261" s="24"/>
      <c r="H261" s="117"/>
      <c r="I261" s="117"/>
      <c r="J261" s="24"/>
      <c r="K261" s="24"/>
      <c r="L261" s="24"/>
      <c r="M261" s="24"/>
      <c r="N261" s="24"/>
      <c r="O261" s="24"/>
      <c r="P261" s="24"/>
      <c r="Q261" s="24"/>
      <c r="R261" s="24"/>
      <c r="S261" s="24"/>
      <c r="T261" s="24"/>
      <c r="U261" s="24"/>
      <c r="V261" s="24"/>
      <c r="W261" s="24"/>
      <c r="X261" s="24"/>
      <c r="Y261" s="24"/>
      <c r="Z261" s="24"/>
      <c r="AA261" s="24"/>
      <c r="AB261" s="24"/>
      <c r="AC261" s="24"/>
    </row>
    <row r="262" spans="1:29" ht="12.9">
      <c r="A262" s="24"/>
      <c r="B262" s="24"/>
      <c r="C262" s="143"/>
      <c r="D262" s="24"/>
      <c r="E262" s="24"/>
      <c r="F262" s="24"/>
      <c r="G262" s="24"/>
      <c r="H262" s="117"/>
      <c r="I262" s="117"/>
      <c r="J262" s="24"/>
      <c r="K262" s="24"/>
      <c r="L262" s="24"/>
      <c r="M262" s="24"/>
      <c r="N262" s="24"/>
      <c r="O262" s="24"/>
      <c r="P262" s="24"/>
      <c r="Q262" s="24"/>
      <c r="R262" s="24"/>
      <c r="S262" s="24"/>
      <c r="T262" s="24"/>
      <c r="U262" s="24"/>
      <c r="V262" s="24"/>
      <c r="W262" s="24"/>
      <c r="X262" s="24"/>
      <c r="Y262" s="24"/>
      <c r="Z262" s="24"/>
      <c r="AA262" s="24"/>
      <c r="AB262" s="24"/>
      <c r="AC262" s="24"/>
    </row>
    <row r="263" spans="1:29" ht="12.9">
      <c r="A263" s="24"/>
      <c r="B263" s="24"/>
      <c r="C263" s="143"/>
      <c r="D263" s="24"/>
      <c r="E263" s="24"/>
      <c r="F263" s="24"/>
      <c r="G263" s="24"/>
      <c r="H263" s="117"/>
      <c r="I263" s="117"/>
      <c r="J263" s="24"/>
      <c r="K263" s="24"/>
      <c r="L263" s="24"/>
      <c r="M263" s="24"/>
      <c r="N263" s="24"/>
      <c r="O263" s="24"/>
      <c r="P263" s="24"/>
      <c r="Q263" s="24"/>
      <c r="R263" s="24"/>
      <c r="S263" s="24"/>
      <c r="T263" s="24"/>
      <c r="U263" s="24"/>
      <c r="V263" s="24"/>
      <c r="W263" s="24"/>
      <c r="X263" s="24"/>
      <c r="Y263" s="24"/>
      <c r="Z263" s="24"/>
      <c r="AA263" s="24"/>
      <c r="AB263" s="24"/>
      <c r="AC263" s="24"/>
    </row>
    <row r="264" spans="1:29" ht="12.9">
      <c r="A264" s="24"/>
      <c r="B264" s="24"/>
      <c r="C264" s="143"/>
      <c r="D264" s="24"/>
      <c r="E264" s="24"/>
      <c r="F264" s="24"/>
      <c r="G264" s="24"/>
      <c r="H264" s="117"/>
      <c r="I264" s="117"/>
      <c r="J264" s="24"/>
      <c r="K264" s="24"/>
      <c r="L264" s="24"/>
      <c r="M264" s="24"/>
      <c r="N264" s="24"/>
      <c r="O264" s="24"/>
      <c r="P264" s="24"/>
      <c r="Q264" s="24"/>
      <c r="R264" s="24"/>
      <c r="S264" s="24"/>
      <c r="T264" s="24"/>
      <c r="U264" s="24"/>
      <c r="V264" s="24"/>
      <c r="W264" s="24"/>
      <c r="X264" s="24"/>
      <c r="Y264" s="24"/>
      <c r="Z264" s="24"/>
      <c r="AA264" s="24"/>
      <c r="AB264" s="24"/>
      <c r="AC264" s="24"/>
    </row>
    <row r="265" spans="1:29" ht="12.9">
      <c r="A265" s="24"/>
      <c r="B265" s="24"/>
      <c r="C265" s="143"/>
      <c r="D265" s="24"/>
      <c r="E265" s="24"/>
      <c r="F265" s="24"/>
      <c r="G265" s="24"/>
      <c r="H265" s="117"/>
      <c r="I265" s="117"/>
      <c r="J265" s="24"/>
      <c r="K265" s="24"/>
      <c r="L265" s="24"/>
      <c r="M265" s="24"/>
      <c r="N265" s="24"/>
      <c r="O265" s="24"/>
      <c r="P265" s="24"/>
      <c r="Q265" s="24"/>
      <c r="R265" s="24"/>
      <c r="S265" s="24"/>
      <c r="T265" s="24"/>
      <c r="U265" s="24"/>
      <c r="V265" s="24"/>
      <c r="W265" s="24"/>
      <c r="X265" s="24"/>
      <c r="Y265" s="24"/>
      <c r="Z265" s="24"/>
      <c r="AA265" s="24"/>
      <c r="AB265" s="24"/>
      <c r="AC265" s="24"/>
    </row>
    <row r="266" spans="1:29" ht="12.9">
      <c r="A266" s="24"/>
      <c r="B266" s="24"/>
      <c r="C266" s="143"/>
      <c r="D266" s="24"/>
      <c r="E266" s="24"/>
      <c r="F266" s="24"/>
      <c r="G266" s="24"/>
      <c r="H266" s="117"/>
      <c r="I266" s="117"/>
      <c r="J266" s="24"/>
      <c r="K266" s="24"/>
      <c r="L266" s="24"/>
      <c r="M266" s="24"/>
      <c r="N266" s="24"/>
      <c r="O266" s="24"/>
      <c r="P266" s="24"/>
      <c r="Q266" s="24"/>
      <c r="R266" s="24"/>
      <c r="S266" s="24"/>
      <c r="T266" s="24"/>
      <c r="U266" s="24"/>
      <c r="V266" s="24"/>
      <c r="W266" s="24"/>
      <c r="X266" s="24"/>
      <c r="Y266" s="24"/>
      <c r="Z266" s="24"/>
      <c r="AA266" s="24"/>
      <c r="AB266" s="24"/>
      <c r="AC266" s="24"/>
    </row>
    <row r="267" spans="1:29" ht="12.9">
      <c r="A267" s="24"/>
      <c r="B267" s="24"/>
      <c r="C267" s="143"/>
      <c r="D267" s="24"/>
      <c r="E267" s="24"/>
      <c r="F267" s="24"/>
      <c r="G267" s="24"/>
      <c r="H267" s="117"/>
      <c r="I267" s="117"/>
      <c r="J267" s="24"/>
      <c r="K267" s="24"/>
      <c r="L267" s="24"/>
      <c r="M267" s="24"/>
      <c r="N267" s="24"/>
      <c r="O267" s="24"/>
      <c r="P267" s="24"/>
      <c r="Q267" s="24"/>
      <c r="R267" s="24"/>
      <c r="S267" s="24"/>
      <c r="T267" s="24"/>
      <c r="U267" s="24"/>
      <c r="V267" s="24"/>
      <c r="W267" s="24"/>
      <c r="X267" s="24"/>
      <c r="Y267" s="24"/>
      <c r="Z267" s="24"/>
      <c r="AA267" s="24"/>
      <c r="AB267" s="24"/>
      <c r="AC267" s="24"/>
    </row>
    <row r="268" spans="1:29" ht="12.9">
      <c r="A268" s="24"/>
      <c r="B268" s="24"/>
      <c r="C268" s="143"/>
      <c r="D268" s="24"/>
      <c r="E268" s="24"/>
      <c r="F268" s="24"/>
      <c r="G268" s="24"/>
      <c r="H268" s="117"/>
      <c r="I268" s="117"/>
      <c r="J268" s="24"/>
      <c r="K268" s="24"/>
      <c r="L268" s="24"/>
      <c r="M268" s="24"/>
      <c r="N268" s="24"/>
      <c r="O268" s="24"/>
      <c r="P268" s="24"/>
      <c r="Q268" s="24"/>
      <c r="R268" s="24"/>
      <c r="S268" s="24"/>
      <c r="T268" s="24"/>
      <c r="U268" s="24"/>
      <c r="V268" s="24"/>
      <c r="W268" s="24"/>
      <c r="X268" s="24"/>
      <c r="Y268" s="24"/>
      <c r="Z268" s="24"/>
      <c r="AA268" s="24"/>
      <c r="AB268" s="24"/>
      <c r="AC268" s="24"/>
    </row>
    <row r="269" spans="1:29" ht="12.9">
      <c r="A269" s="24"/>
      <c r="B269" s="24"/>
      <c r="C269" s="143"/>
      <c r="D269" s="24"/>
      <c r="E269" s="24"/>
      <c r="F269" s="24"/>
      <c r="G269" s="24"/>
      <c r="H269" s="117"/>
      <c r="I269" s="117"/>
      <c r="J269" s="24"/>
      <c r="K269" s="24"/>
      <c r="L269" s="24"/>
      <c r="M269" s="24"/>
      <c r="N269" s="24"/>
      <c r="O269" s="24"/>
      <c r="P269" s="24"/>
      <c r="Q269" s="24"/>
      <c r="R269" s="24"/>
      <c r="S269" s="24"/>
      <c r="T269" s="24"/>
      <c r="U269" s="24"/>
      <c r="V269" s="24"/>
      <c r="W269" s="24"/>
      <c r="X269" s="24"/>
      <c r="Y269" s="24"/>
      <c r="Z269" s="24"/>
      <c r="AA269" s="24"/>
      <c r="AB269" s="24"/>
      <c r="AC269" s="24"/>
    </row>
    <row r="270" spans="1:29" ht="12.9">
      <c r="A270" s="24"/>
      <c r="B270" s="24"/>
      <c r="C270" s="143"/>
      <c r="D270" s="24"/>
      <c r="E270" s="24"/>
      <c r="F270" s="24"/>
      <c r="G270" s="24"/>
      <c r="H270" s="117"/>
      <c r="I270" s="117"/>
      <c r="J270" s="24"/>
      <c r="K270" s="24"/>
      <c r="L270" s="24"/>
      <c r="M270" s="24"/>
      <c r="N270" s="24"/>
      <c r="O270" s="24"/>
      <c r="P270" s="24"/>
      <c r="Q270" s="24"/>
      <c r="R270" s="24"/>
      <c r="S270" s="24"/>
      <c r="T270" s="24"/>
      <c r="U270" s="24"/>
      <c r="V270" s="24"/>
      <c r="W270" s="24"/>
      <c r="X270" s="24"/>
      <c r="Y270" s="24"/>
      <c r="Z270" s="24"/>
      <c r="AA270" s="24"/>
      <c r="AB270" s="24"/>
      <c r="AC270" s="24"/>
    </row>
    <row r="271" spans="1:29" ht="12.9">
      <c r="A271" s="24"/>
      <c r="B271" s="24"/>
      <c r="C271" s="143"/>
      <c r="D271" s="24"/>
      <c r="E271" s="24"/>
      <c r="F271" s="24"/>
      <c r="G271" s="24"/>
      <c r="H271" s="117"/>
      <c r="I271" s="117"/>
      <c r="J271" s="24"/>
      <c r="K271" s="24"/>
      <c r="L271" s="24"/>
      <c r="M271" s="24"/>
      <c r="N271" s="24"/>
      <c r="O271" s="24"/>
      <c r="P271" s="24"/>
      <c r="Q271" s="24"/>
      <c r="R271" s="24"/>
      <c r="S271" s="24"/>
      <c r="T271" s="24"/>
      <c r="U271" s="24"/>
      <c r="V271" s="24"/>
      <c r="W271" s="24"/>
      <c r="X271" s="24"/>
      <c r="Y271" s="24"/>
      <c r="Z271" s="24"/>
      <c r="AA271" s="24"/>
      <c r="AB271" s="24"/>
      <c r="AC271" s="24"/>
    </row>
    <row r="272" spans="1:29" ht="12.9">
      <c r="A272" s="24"/>
      <c r="B272" s="24"/>
      <c r="C272" s="143"/>
      <c r="D272" s="24"/>
      <c r="E272" s="24"/>
      <c r="F272" s="24"/>
      <c r="G272" s="24"/>
      <c r="H272" s="117"/>
      <c r="I272" s="117"/>
      <c r="J272" s="24"/>
      <c r="K272" s="24"/>
      <c r="L272" s="24"/>
      <c r="M272" s="24"/>
      <c r="N272" s="24"/>
      <c r="O272" s="24"/>
      <c r="P272" s="24"/>
      <c r="Q272" s="24"/>
      <c r="R272" s="24"/>
      <c r="S272" s="24"/>
      <c r="T272" s="24"/>
      <c r="U272" s="24"/>
      <c r="V272" s="24"/>
      <c r="W272" s="24"/>
      <c r="X272" s="24"/>
      <c r="Y272" s="24"/>
      <c r="Z272" s="24"/>
      <c r="AA272" s="24"/>
      <c r="AB272" s="24"/>
      <c r="AC272" s="24"/>
    </row>
    <row r="273" spans="1:29" ht="12.9">
      <c r="A273" s="24"/>
      <c r="B273" s="24"/>
      <c r="C273" s="143"/>
      <c r="D273" s="24"/>
      <c r="E273" s="24"/>
      <c r="F273" s="24"/>
      <c r="G273" s="24"/>
      <c r="H273" s="117"/>
      <c r="I273" s="117"/>
      <c r="J273" s="24"/>
      <c r="K273" s="24"/>
      <c r="L273" s="24"/>
      <c r="M273" s="24"/>
      <c r="N273" s="24"/>
      <c r="O273" s="24"/>
      <c r="P273" s="24"/>
      <c r="Q273" s="24"/>
      <c r="R273" s="24"/>
      <c r="S273" s="24"/>
      <c r="T273" s="24"/>
      <c r="U273" s="24"/>
      <c r="V273" s="24"/>
      <c r="W273" s="24"/>
      <c r="X273" s="24"/>
      <c r="Y273" s="24"/>
      <c r="Z273" s="24"/>
      <c r="AA273" s="24"/>
      <c r="AB273" s="24"/>
      <c r="AC273" s="24"/>
    </row>
    <row r="274" spans="1:29" ht="12.9">
      <c r="A274" s="24"/>
      <c r="B274" s="24"/>
      <c r="C274" s="143"/>
      <c r="D274" s="24"/>
      <c r="E274" s="24"/>
      <c r="F274" s="24"/>
      <c r="G274" s="24"/>
      <c r="H274" s="117"/>
      <c r="I274" s="117"/>
      <c r="J274" s="24"/>
      <c r="K274" s="24"/>
      <c r="L274" s="24"/>
      <c r="M274" s="24"/>
      <c r="N274" s="24"/>
      <c r="O274" s="24"/>
      <c r="P274" s="24"/>
      <c r="Q274" s="24"/>
      <c r="R274" s="24"/>
      <c r="S274" s="24"/>
      <c r="T274" s="24"/>
      <c r="U274" s="24"/>
      <c r="V274" s="24"/>
      <c r="W274" s="24"/>
      <c r="X274" s="24"/>
      <c r="Y274" s="24"/>
      <c r="Z274" s="24"/>
      <c r="AA274" s="24"/>
      <c r="AB274" s="24"/>
      <c r="AC274" s="24"/>
    </row>
    <row r="275" spans="1:29" ht="12.9">
      <c r="A275" s="24"/>
      <c r="B275" s="24"/>
      <c r="C275" s="143"/>
      <c r="D275" s="24"/>
      <c r="E275" s="24"/>
      <c r="F275" s="24"/>
      <c r="G275" s="24"/>
      <c r="H275" s="117"/>
      <c r="I275" s="117"/>
      <c r="J275" s="24"/>
      <c r="K275" s="24"/>
      <c r="L275" s="24"/>
      <c r="M275" s="24"/>
      <c r="N275" s="24"/>
      <c r="O275" s="24"/>
      <c r="P275" s="24"/>
      <c r="Q275" s="24"/>
      <c r="R275" s="24"/>
      <c r="S275" s="24"/>
      <c r="T275" s="24"/>
      <c r="U275" s="24"/>
      <c r="V275" s="24"/>
      <c r="W275" s="24"/>
      <c r="X275" s="24"/>
      <c r="Y275" s="24"/>
      <c r="Z275" s="24"/>
      <c r="AA275" s="24"/>
      <c r="AB275" s="24"/>
      <c r="AC275" s="24"/>
    </row>
    <row r="276" spans="1:29" ht="12.9">
      <c r="A276" s="24"/>
      <c r="B276" s="24"/>
      <c r="C276" s="143"/>
      <c r="D276" s="24"/>
      <c r="E276" s="24"/>
      <c r="F276" s="24"/>
      <c r="G276" s="24"/>
      <c r="H276" s="117"/>
      <c r="I276" s="117"/>
      <c r="J276" s="24"/>
      <c r="K276" s="24"/>
      <c r="L276" s="24"/>
      <c r="M276" s="24"/>
      <c r="N276" s="24"/>
      <c r="O276" s="24"/>
      <c r="P276" s="24"/>
      <c r="Q276" s="24"/>
      <c r="R276" s="24"/>
      <c r="S276" s="24"/>
      <c r="T276" s="24"/>
      <c r="U276" s="24"/>
      <c r="V276" s="24"/>
      <c r="W276" s="24"/>
      <c r="X276" s="24"/>
      <c r="Y276" s="24"/>
      <c r="Z276" s="24"/>
      <c r="AA276" s="24"/>
      <c r="AB276" s="24"/>
      <c r="AC276" s="24"/>
    </row>
    <row r="277" spans="1:29" ht="12.9">
      <c r="A277" s="24"/>
      <c r="B277" s="24"/>
      <c r="C277" s="143"/>
      <c r="D277" s="24"/>
      <c r="E277" s="24"/>
      <c r="F277" s="24"/>
      <c r="G277" s="24"/>
      <c r="H277" s="117"/>
      <c r="I277" s="117"/>
      <c r="J277" s="24"/>
      <c r="K277" s="24"/>
      <c r="L277" s="24"/>
      <c r="M277" s="24"/>
      <c r="N277" s="24"/>
      <c r="O277" s="24"/>
      <c r="P277" s="24"/>
      <c r="Q277" s="24"/>
      <c r="R277" s="24"/>
      <c r="S277" s="24"/>
      <c r="T277" s="24"/>
      <c r="U277" s="24"/>
      <c r="V277" s="24"/>
      <c r="W277" s="24"/>
      <c r="X277" s="24"/>
      <c r="Y277" s="24"/>
      <c r="Z277" s="24"/>
      <c r="AA277" s="24"/>
      <c r="AB277" s="24"/>
      <c r="AC277" s="24"/>
    </row>
    <row r="278" spans="1:29" ht="12.9">
      <c r="A278" s="24"/>
      <c r="B278" s="24"/>
      <c r="C278" s="143"/>
      <c r="D278" s="24"/>
      <c r="E278" s="24"/>
      <c r="F278" s="24"/>
      <c r="G278" s="24"/>
      <c r="H278" s="117"/>
      <c r="I278" s="117"/>
      <c r="J278" s="24"/>
      <c r="K278" s="24"/>
      <c r="L278" s="24"/>
      <c r="M278" s="24"/>
      <c r="N278" s="24"/>
      <c r="O278" s="24"/>
      <c r="P278" s="24"/>
      <c r="Q278" s="24"/>
      <c r="R278" s="24"/>
      <c r="S278" s="24"/>
      <c r="T278" s="24"/>
      <c r="U278" s="24"/>
      <c r="V278" s="24"/>
      <c r="W278" s="24"/>
      <c r="X278" s="24"/>
      <c r="Y278" s="24"/>
      <c r="Z278" s="24"/>
      <c r="AA278" s="24"/>
      <c r="AB278" s="24"/>
      <c r="AC278" s="24"/>
    </row>
    <row r="279" spans="1:29" ht="12.9">
      <c r="A279" s="24"/>
      <c r="B279" s="24"/>
      <c r="C279" s="143"/>
      <c r="D279" s="24"/>
      <c r="E279" s="24"/>
      <c r="F279" s="24"/>
      <c r="G279" s="24"/>
      <c r="H279" s="117"/>
      <c r="I279" s="117"/>
      <c r="J279" s="24"/>
      <c r="K279" s="24"/>
      <c r="L279" s="24"/>
      <c r="M279" s="24"/>
      <c r="N279" s="24"/>
      <c r="O279" s="24"/>
      <c r="P279" s="24"/>
      <c r="Q279" s="24"/>
      <c r="R279" s="24"/>
      <c r="S279" s="24"/>
      <c r="T279" s="24"/>
      <c r="U279" s="24"/>
      <c r="V279" s="24"/>
      <c r="W279" s="24"/>
      <c r="X279" s="24"/>
      <c r="Y279" s="24"/>
      <c r="Z279" s="24"/>
      <c r="AA279" s="24"/>
      <c r="AB279" s="24"/>
      <c r="AC279" s="24"/>
    </row>
    <row r="280" spans="1:29" ht="12.9">
      <c r="A280" s="24"/>
      <c r="B280" s="24"/>
      <c r="C280" s="143"/>
      <c r="D280" s="24"/>
      <c r="E280" s="24"/>
      <c r="F280" s="24"/>
      <c r="G280" s="24"/>
      <c r="H280" s="117"/>
      <c r="I280" s="117"/>
      <c r="J280" s="24"/>
      <c r="K280" s="24"/>
      <c r="L280" s="24"/>
      <c r="M280" s="24"/>
      <c r="N280" s="24"/>
      <c r="O280" s="24"/>
      <c r="P280" s="24"/>
      <c r="Q280" s="24"/>
      <c r="R280" s="24"/>
      <c r="S280" s="24"/>
      <c r="T280" s="24"/>
      <c r="U280" s="24"/>
      <c r="V280" s="24"/>
      <c r="W280" s="24"/>
      <c r="X280" s="24"/>
      <c r="Y280" s="24"/>
      <c r="Z280" s="24"/>
      <c r="AA280" s="24"/>
      <c r="AB280" s="24"/>
      <c r="AC280" s="24"/>
    </row>
    <row r="281" spans="1:29" ht="12.9">
      <c r="A281" s="24"/>
      <c r="B281" s="24"/>
      <c r="C281" s="143"/>
      <c r="D281" s="24"/>
      <c r="E281" s="24"/>
      <c r="F281" s="24"/>
      <c r="G281" s="24"/>
      <c r="H281" s="117"/>
      <c r="I281" s="117"/>
      <c r="J281" s="24"/>
      <c r="K281" s="24"/>
      <c r="L281" s="24"/>
      <c r="M281" s="24"/>
      <c r="N281" s="24"/>
      <c r="O281" s="24"/>
      <c r="P281" s="24"/>
      <c r="Q281" s="24"/>
      <c r="R281" s="24"/>
      <c r="S281" s="24"/>
      <c r="T281" s="24"/>
      <c r="U281" s="24"/>
      <c r="V281" s="24"/>
      <c r="W281" s="24"/>
      <c r="X281" s="24"/>
      <c r="Y281" s="24"/>
      <c r="Z281" s="24"/>
      <c r="AA281" s="24"/>
      <c r="AB281" s="24"/>
      <c r="AC281" s="24"/>
    </row>
    <row r="282" spans="1:29" ht="12.9">
      <c r="A282" s="24"/>
      <c r="B282" s="24"/>
      <c r="C282" s="143"/>
      <c r="D282" s="24"/>
      <c r="E282" s="24"/>
      <c r="F282" s="24"/>
      <c r="G282" s="24"/>
      <c r="H282" s="117"/>
      <c r="I282" s="117"/>
      <c r="J282" s="24"/>
      <c r="K282" s="24"/>
      <c r="L282" s="24"/>
      <c r="M282" s="24"/>
      <c r="N282" s="24"/>
      <c r="O282" s="24"/>
      <c r="P282" s="24"/>
      <c r="Q282" s="24"/>
      <c r="R282" s="24"/>
      <c r="S282" s="24"/>
      <c r="T282" s="24"/>
      <c r="U282" s="24"/>
      <c r="V282" s="24"/>
      <c r="W282" s="24"/>
      <c r="X282" s="24"/>
      <c r="Y282" s="24"/>
      <c r="Z282" s="24"/>
      <c r="AA282" s="24"/>
      <c r="AB282" s="24"/>
      <c r="AC282" s="24"/>
    </row>
    <row r="283" spans="1:29" ht="12.9">
      <c r="A283" s="24"/>
      <c r="B283" s="24"/>
      <c r="C283" s="143"/>
      <c r="D283" s="24"/>
      <c r="E283" s="24"/>
      <c r="F283" s="24"/>
      <c r="G283" s="24"/>
      <c r="H283" s="117"/>
      <c r="I283" s="117"/>
      <c r="J283" s="24"/>
      <c r="K283" s="24"/>
      <c r="L283" s="24"/>
      <c r="M283" s="24"/>
      <c r="N283" s="24"/>
      <c r="O283" s="24"/>
      <c r="P283" s="24"/>
      <c r="Q283" s="24"/>
      <c r="R283" s="24"/>
      <c r="S283" s="24"/>
      <c r="T283" s="24"/>
      <c r="U283" s="24"/>
      <c r="V283" s="24"/>
      <c r="W283" s="24"/>
      <c r="X283" s="24"/>
      <c r="Y283" s="24"/>
      <c r="Z283" s="24"/>
      <c r="AA283" s="24"/>
      <c r="AB283" s="24"/>
      <c r="AC283" s="24"/>
    </row>
    <row r="284" spans="1:29" ht="12.9">
      <c r="A284" s="24"/>
      <c r="B284" s="24"/>
      <c r="C284" s="143"/>
      <c r="D284" s="24"/>
      <c r="E284" s="24"/>
      <c r="F284" s="24"/>
      <c r="G284" s="24"/>
      <c r="H284" s="117"/>
      <c r="I284" s="117"/>
      <c r="J284" s="24"/>
      <c r="K284" s="24"/>
      <c r="L284" s="24"/>
      <c r="M284" s="24"/>
      <c r="N284" s="24"/>
      <c r="O284" s="24"/>
      <c r="P284" s="24"/>
      <c r="Q284" s="24"/>
      <c r="R284" s="24"/>
      <c r="S284" s="24"/>
      <c r="T284" s="24"/>
      <c r="U284" s="24"/>
      <c r="V284" s="24"/>
      <c r="W284" s="24"/>
      <c r="X284" s="24"/>
      <c r="Y284" s="24"/>
      <c r="Z284" s="24"/>
      <c r="AA284" s="24"/>
      <c r="AB284" s="24"/>
      <c r="AC284" s="24"/>
    </row>
    <row r="285" spans="1:29" ht="12.9">
      <c r="A285" s="24"/>
      <c r="B285" s="24"/>
      <c r="C285" s="143"/>
      <c r="D285" s="24"/>
      <c r="E285" s="24"/>
      <c r="F285" s="24"/>
      <c r="G285" s="24"/>
      <c r="H285" s="117"/>
      <c r="I285" s="117"/>
      <c r="J285" s="24"/>
      <c r="K285" s="24"/>
      <c r="L285" s="24"/>
      <c r="M285" s="24"/>
      <c r="N285" s="24"/>
      <c r="O285" s="24"/>
      <c r="P285" s="24"/>
      <c r="Q285" s="24"/>
      <c r="R285" s="24"/>
      <c r="S285" s="24"/>
      <c r="T285" s="24"/>
      <c r="U285" s="24"/>
      <c r="V285" s="24"/>
      <c r="W285" s="24"/>
      <c r="X285" s="24"/>
      <c r="Y285" s="24"/>
      <c r="Z285" s="24"/>
      <c r="AA285" s="24"/>
      <c r="AB285" s="24"/>
      <c r="AC285" s="24"/>
    </row>
    <row r="286" spans="1:29" ht="12.9">
      <c r="A286" s="24"/>
      <c r="B286" s="24"/>
      <c r="C286" s="143"/>
      <c r="D286" s="24"/>
      <c r="E286" s="24"/>
      <c r="F286" s="24"/>
      <c r="G286" s="24"/>
      <c r="H286" s="117"/>
      <c r="I286" s="117"/>
      <c r="J286" s="24"/>
      <c r="K286" s="24"/>
      <c r="L286" s="24"/>
      <c r="M286" s="24"/>
      <c r="N286" s="24"/>
      <c r="O286" s="24"/>
      <c r="P286" s="24"/>
      <c r="Q286" s="24"/>
      <c r="R286" s="24"/>
      <c r="S286" s="24"/>
      <c r="T286" s="24"/>
      <c r="U286" s="24"/>
      <c r="V286" s="24"/>
      <c r="W286" s="24"/>
      <c r="X286" s="24"/>
      <c r="Y286" s="24"/>
      <c r="Z286" s="24"/>
      <c r="AA286" s="24"/>
      <c r="AB286" s="24"/>
      <c r="AC286" s="24"/>
    </row>
    <row r="287" spans="1:29" ht="12.9">
      <c r="A287" s="24"/>
      <c r="B287" s="24"/>
      <c r="C287" s="143"/>
      <c r="D287" s="24"/>
      <c r="E287" s="24"/>
      <c r="F287" s="24"/>
      <c r="G287" s="24"/>
      <c r="H287" s="117"/>
      <c r="I287" s="117"/>
      <c r="J287" s="24"/>
      <c r="K287" s="24"/>
      <c r="L287" s="24"/>
      <c r="M287" s="24"/>
      <c r="N287" s="24"/>
      <c r="O287" s="24"/>
      <c r="P287" s="24"/>
      <c r="Q287" s="24"/>
      <c r="R287" s="24"/>
      <c r="S287" s="24"/>
      <c r="T287" s="24"/>
      <c r="U287" s="24"/>
      <c r="V287" s="24"/>
      <c r="W287" s="24"/>
      <c r="X287" s="24"/>
      <c r="Y287" s="24"/>
      <c r="Z287" s="24"/>
      <c r="AA287" s="24"/>
      <c r="AB287" s="24"/>
      <c r="AC287" s="24"/>
    </row>
    <row r="288" spans="1:29" ht="12.9">
      <c r="A288" s="24"/>
      <c r="B288" s="24"/>
      <c r="C288" s="143"/>
      <c r="D288" s="24"/>
      <c r="E288" s="24"/>
      <c r="F288" s="24"/>
      <c r="G288" s="24"/>
      <c r="H288" s="117"/>
      <c r="I288" s="117"/>
      <c r="J288" s="24"/>
      <c r="K288" s="24"/>
      <c r="L288" s="24"/>
      <c r="M288" s="24"/>
      <c r="N288" s="24"/>
      <c r="O288" s="24"/>
      <c r="P288" s="24"/>
      <c r="Q288" s="24"/>
      <c r="R288" s="24"/>
      <c r="S288" s="24"/>
      <c r="T288" s="24"/>
      <c r="U288" s="24"/>
      <c r="V288" s="24"/>
      <c r="W288" s="24"/>
      <c r="X288" s="24"/>
      <c r="Y288" s="24"/>
      <c r="Z288" s="24"/>
      <c r="AA288" s="24"/>
      <c r="AB288" s="24"/>
      <c r="AC288" s="24"/>
    </row>
    <row r="289" spans="1:29" ht="12.9">
      <c r="A289" s="24"/>
      <c r="B289" s="24"/>
      <c r="C289" s="143"/>
      <c r="D289" s="24"/>
      <c r="E289" s="24"/>
      <c r="F289" s="24"/>
      <c r="G289" s="24"/>
      <c r="H289" s="117"/>
      <c r="I289" s="117"/>
      <c r="J289" s="24"/>
      <c r="K289" s="24"/>
      <c r="L289" s="24"/>
      <c r="M289" s="24"/>
      <c r="N289" s="24"/>
      <c r="O289" s="24"/>
      <c r="P289" s="24"/>
      <c r="Q289" s="24"/>
      <c r="R289" s="24"/>
      <c r="S289" s="24"/>
      <c r="T289" s="24"/>
      <c r="U289" s="24"/>
      <c r="V289" s="24"/>
      <c r="W289" s="24"/>
      <c r="X289" s="24"/>
      <c r="Y289" s="24"/>
      <c r="Z289" s="24"/>
      <c r="AA289" s="24"/>
      <c r="AB289" s="24"/>
      <c r="AC289" s="24"/>
    </row>
    <row r="290" spans="1:29" ht="12.9">
      <c r="A290" s="24"/>
      <c r="B290" s="24"/>
      <c r="C290" s="143"/>
      <c r="D290" s="24"/>
      <c r="E290" s="24"/>
      <c r="F290" s="24"/>
      <c r="G290" s="24"/>
      <c r="H290" s="117"/>
      <c r="I290" s="117"/>
      <c r="J290" s="24"/>
      <c r="K290" s="24"/>
      <c r="L290" s="24"/>
      <c r="M290" s="24"/>
      <c r="N290" s="24"/>
      <c r="O290" s="24"/>
      <c r="P290" s="24"/>
      <c r="Q290" s="24"/>
      <c r="R290" s="24"/>
      <c r="S290" s="24"/>
      <c r="T290" s="24"/>
      <c r="U290" s="24"/>
      <c r="V290" s="24"/>
      <c r="W290" s="24"/>
      <c r="X290" s="24"/>
      <c r="Y290" s="24"/>
      <c r="Z290" s="24"/>
      <c r="AA290" s="24"/>
      <c r="AB290" s="24"/>
      <c r="AC290" s="24"/>
    </row>
    <row r="291" spans="1:29" ht="12.9">
      <c r="A291" s="24"/>
      <c r="B291" s="24"/>
      <c r="C291" s="143"/>
      <c r="D291" s="24"/>
      <c r="E291" s="24"/>
      <c r="F291" s="24"/>
      <c r="G291" s="24"/>
      <c r="H291" s="117"/>
      <c r="I291" s="117"/>
      <c r="J291" s="24"/>
      <c r="K291" s="24"/>
      <c r="L291" s="24"/>
      <c r="M291" s="24"/>
      <c r="N291" s="24"/>
      <c r="O291" s="24"/>
      <c r="P291" s="24"/>
      <c r="Q291" s="24"/>
      <c r="R291" s="24"/>
      <c r="S291" s="24"/>
      <c r="T291" s="24"/>
      <c r="U291" s="24"/>
      <c r="V291" s="24"/>
      <c r="W291" s="24"/>
      <c r="X291" s="24"/>
      <c r="Y291" s="24"/>
      <c r="Z291" s="24"/>
      <c r="AA291" s="24"/>
      <c r="AB291" s="24"/>
      <c r="AC291" s="24"/>
    </row>
    <row r="292" spans="1:29" ht="12.9">
      <c r="A292" s="24"/>
      <c r="B292" s="24"/>
      <c r="C292" s="143"/>
      <c r="D292" s="24"/>
      <c r="E292" s="24"/>
      <c r="F292" s="24"/>
      <c r="G292" s="24"/>
      <c r="H292" s="117"/>
      <c r="I292" s="117"/>
      <c r="J292" s="24"/>
      <c r="K292" s="24"/>
      <c r="L292" s="24"/>
      <c r="M292" s="24"/>
      <c r="N292" s="24"/>
      <c r="O292" s="24"/>
      <c r="P292" s="24"/>
      <c r="Q292" s="24"/>
      <c r="R292" s="24"/>
      <c r="S292" s="24"/>
      <c r="T292" s="24"/>
      <c r="U292" s="24"/>
      <c r="V292" s="24"/>
      <c r="W292" s="24"/>
      <c r="X292" s="24"/>
      <c r="Y292" s="24"/>
      <c r="Z292" s="24"/>
      <c r="AA292" s="24"/>
      <c r="AB292" s="24"/>
      <c r="AC292" s="24"/>
    </row>
    <row r="293" spans="1:29" ht="12.9">
      <c r="A293" s="24"/>
      <c r="B293" s="24"/>
      <c r="C293" s="143"/>
      <c r="D293" s="24"/>
      <c r="E293" s="24"/>
      <c r="F293" s="24"/>
      <c r="G293" s="24"/>
      <c r="H293" s="117"/>
      <c r="I293" s="117"/>
      <c r="J293" s="24"/>
      <c r="K293" s="24"/>
      <c r="L293" s="24"/>
      <c r="M293" s="24"/>
      <c r="N293" s="24"/>
      <c r="O293" s="24"/>
      <c r="P293" s="24"/>
      <c r="Q293" s="24"/>
      <c r="R293" s="24"/>
      <c r="S293" s="24"/>
      <c r="T293" s="24"/>
      <c r="U293" s="24"/>
      <c r="V293" s="24"/>
      <c r="W293" s="24"/>
      <c r="X293" s="24"/>
      <c r="Y293" s="24"/>
      <c r="Z293" s="24"/>
      <c r="AA293" s="24"/>
      <c r="AB293" s="24"/>
      <c r="AC293" s="24"/>
    </row>
    <row r="294" spans="1:29" ht="12.9">
      <c r="A294" s="24"/>
      <c r="B294" s="24"/>
      <c r="C294" s="143"/>
      <c r="D294" s="24"/>
      <c r="E294" s="24"/>
      <c r="F294" s="24"/>
      <c r="G294" s="24"/>
      <c r="H294" s="117"/>
      <c r="I294" s="117"/>
      <c r="J294" s="24"/>
      <c r="K294" s="24"/>
      <c r="L294" s="24"/>
      <c r="M294" s="24"/>
      <c r="N294" s="24"/>
      <c r="O294" s="24"/>
      <c r="P294" s="24"/>
      <c r="Q294" s="24"/>
      <c r="R294" s="24"/>
      <c r="S294" s="24"/>
      <c r="T294" s="24"/>
      <c r="U294" s="24"/>
      <c r="V294" s="24"/>
      <c r="W294" s="24"/>
      <c r="X294" s="24"/>
      <c r="Y294" s="24"/>
      <c r="Z294" s="24"/>
      <c r="AA294" s="24"/>
      <c r="AB294" s="24"/>
      <c r="AC294" s="24"/>
    </row>
    <row r="295" spans="1:29" ht="12.9">
      <c r="A295" s="24"/>
      <c r="B295" s="24"/>
      <c r="C295" s="143"/>
      <c r="D295" s="24"/>
      <c r="E295" s="24"/>
      <c r="F295" s="24"/>
      <c r="G295" s="24"/>
      <c r="H295" s="117"/>
      <c r="I295" s="117"/>
      <c r="J295" s="24"/>
      <c r="K295" s="24"/>
      <c r="L295" s="24"/>
      <c r="M295" s="24"/>
      <c r="N295" s="24"/>
      <c r="O295" s="24"/>
      <c r="P295" s="24"/>
      <c r="Q295" s="24"/>
      <c r="R295" s="24"/>
      <c r="S295" s="24"/>
      <c r="T295" s="24"/>
      <c r="U295" s="24"/>
      <c r="V295" s="24"/>
      <c r="W295" s="24"/>
      <c r="X295" s="24"/>
      <c r="Y295" s="24"/>
      <c r="Z295" s="24"/>
      <c r="AA295" s="24"/>
      <c r="AB295" s="24"/>
      <c r="AC295" s="24"/>
    </row>
    <row r="296" spans="1:29" ht="12.9">
      <c r="A296" s="24"/>
      <c r="B296" s="24"/>
      <c r="C296" s="143"/>
      <c r="D296" s="24"/>
      <c r="E296" s="24"/>
      <c r="F296" s="24"/>
      <c r="G296" s="24"/>
      <c r="H296" s="117"/>
      <c r="I296" s="117"/>
      <c r="J296" s="24"/>
      <c r="K296" s="24"/>
      <c r="L296" s="24"/>
      <c r="M296" s="24"/>
      <c r="N296" s="24"/>
      <c r="O296" s="24"/>
      <c r="P296" s="24"/>
      <c r="Q296" s="24"/>
      <c r="R296" s="24"/>
      <c r="S296" s="24"/>
      <c r="T296" s="24"/>
      <c r="U296" s="24"/>
      <c r="V296" s="24"/>
      <c r="W296" s="24"/>
      <c r="X296" s="24"/>
      <c r="Y296" s="24"/>
      <c r="Z296" s="24"/>
      <c r="AA296" s="24"/>
      <c r="AB296" s="24"/>
      <c r="AC296" s="24"/>
    </row>
    <row r="297" spans="1:29" ht="12.9">
      <c r="A297" s="24"/>
      <c r="B297" s="24"/>
      <c r="C297" s="143"/>
      <c r="D297" s="24"/>
      <c r="E297" s="24"/>
      <c r="F297" s="24"/>
      <c r="G297" s="24"/>
      <c r="H297" s="117"/>
      <c r="I297" s="117"/>
      <c r="J297" s="24"/>
      <c r="K297" s="24"/>
      <c r="L297" s="24"/>
      <c r="M297" s="24"/>
      <c r="N297" s="24"/>
      <c r="O297" s="24"/>
      <c r="P297" s="24"/>
      <c r="Q297" s="24"/>
      <c r="R297" s="24"/>
      <c r="S297" s="24"/>
      <c r="T297" s="24"/>
      <c r="U297" s="24"/>
      <c r="V297" s="24"/>
      <c r="W297" s="24"/>
      <c r="X297" s="24"/>
      <c r="Y297" s="24"/>
      <c r="Z297" s="24"/>
      <c r="AA297" s="24"/>
      <c r="AB297" s="24"/>
      <c r="AC297" s="24"/>
    </row>
    <row r="298" spans="1:29" ht="12.9">
      <c r="A298" s="24"/>
      <c r="B298" s="24"/>
      <c r="C298" s="143"/>
      <c r="D298" s="24"/>
      <c r="E298" s="24"/>
      <c r="F298" s="24"/>
      <c r="G298" s="24"/>
      <c r="H298" s="117"/>
      <c r="I298" s="117"/>
      <c r="J298" s="24"/>
      <c r="K298" s="24"/>
      <c r="L298" s="24"/>
      <c r="M298" s="24"/>
      <c r="N298" s="24"/>
      <c r="O298" s="24"/>
      <c r="P298" s="24"/>
      <c r="Q298" s="24"/>
      <c r="R298" s="24"/>
      <c r="S298" s="24"/>
      <c r="T298" s="24"/>
      <c r="U298" s="24"/>
      <c r="V298" s="24"/>
      <c r="W298" s="24"/>
      <c r="X298" s="24"/>
      <c r="Y298" s="24"/>
      <c r="Z298" s="24"/>
      <c r="AA298" s="24"/>
      <c r="AB298" s="24"/>
      <c r="AC298" s="24"/>
    </row>
    <row r="299" spans="1:29" ht="12.9">
      <c r="A299" s="24"/>
      <c r="B299" s="24"/>
      <c r="C299" s="143"/>
      <c r="D299" s="24"/>
      <c r="E299" s="24"/>
      <c r="F299" s="24"/>
      <c r="G299" s="24"/>
      <c r="H299" s="117"/>
      <c r="I299" s="117"/>
      <c r="J299" s="24"/>
      <c r="K299" s="24"/>
      <c r="L299" s="24"/>
      <c r="M299" s="24"/>
      <c r="N299" s="24"/>
      <c r="O299" s="24"/>
      <c r="P299" s="24"/>
      <c r="Q299" s="24"/>
      <c r="R299" s="24"/>
      <c r="S299" s="24"/>
      <c r="T299" s="24"/>
      <c r="U299" s="24"/>
      <c r="V299" s="24"/>
      <c r="W299" s="24"/>
      <c r="X299" s="24"/>
      <c r="Y299" s="24"/>
      <c r="Z299" s="24"/>
      <c r="AA299" s="24"/>
      <c r="AB299" s="24"/>
      <c r="AC299" s="24"/>
    </row>
    <row r="300" spans="1:29" ht="12.9">
      <c r="A300" s="24"/>
      <c r="B300" s="24"/>
      <c r="C300" s="143"/>
      <c r="D300" s="24"/>
      <c r="E300" s="24"/>
      <c r="F300" s="24"/>
      <c r="G300" s="24"/>
      <c r="H300" s="117"/>
      <c r="I300" s="117"/>
      <c r="J300" s="24"/>
      <c r="K300" s="24"/>
      <c r="L300" s="24"/>
      <c r="M300" s="24"/>
      <c r="N300" s="24"/>
      <c r="O300" s="24"/>
      <c r="P300" s="24"/>
      <c r="Q300" s="24"/>
      <c r="R300" s="24"/>
      <c r="S300" s="24"/>
      <c r="T300" s="24"/>
      <c r="U300" s="24"/>
      <c r="V300" s="24"/>
      <c r="W300" s="24"/>
      <c r="X300" s="24"/>
      <c r="Y300" s="24"/>
      <c r="Z300" s="24"/>
      <c r="AA300" s="24"/>
      <c r="AB300" s="24"/>
      <c r="AC300" s="24"/>
    </row>
    <row r="301" spans="1:29" ht="12.9">
      <c r="A301" s="24"/>
      <c r="B301" s="24"/>
      <c r="C301" s="143"/>
      <c r="D301" s="24"/>
      <c r="E301" s="24"/>
      <c r="F301" s="24"/>
      <c r="G301" s="24"/>
      <c r="H301" s="117"/>
      <c r="I301" s="117"/>
      <c r="J301" s="24"/>
      <c r="K301" s="24"/>
      <c r="L301" s="24"/>
      <c r="M301" s="24"/>
      <c r="N301" s="24"/>
      <c r="O301" s="24"/>
      <c r="P301" s="24"/>
      <c r="Q301" s="24"/>
      <c r="R301" s="24"/>
      <c r="S301" s="24"/>
      <c r="T301" s="24"/>
      <c r="U301" s="24"/>
      <c r="V301" s="24"/>
      <c r="W301" s="24"/>
      <c r="X301" s="24"/>
      <c r="Y301" s="24"/>
      <c r="Z301" s="24"/>
      <c r="AA301" s="24"/>
      <c r="AB301" s="24"/>
      <c r="AC301" s="24"/>
    </row>
    <row r="302" spans="1:29" ht="12.9">
      <c r="A302" s="24"/>
      <c r="B302" s="24"/>
      <c r="C302" s="143"/>
      <c r="D302" s="24"/>
      <c r="E302" s="24"/>
      <c r="F302" s="24"/>
      <c r="G302" s="24"/>
      <c r="H302" s="117"/>
      <c r="I302" s="117"/>
      <c r="J302" s="24"/>
      <c r="K302" s="24"/>
      <c r="L302" s="24"/>
      <c r="M302" s="24"/>
      <c r="N302" s="24"/>
      <c r="O302" s="24"/>
      <c r="P302" s="24"/>
      <c r="Q302" s="24"/>
      <c r="R302" s="24"/>
      <c r="S302" s="24"/>
      <c r="T302" s="24"/>
      <c r="U302" s="24"/>
      <c r="V302" s="24"/>
      <c r="W302" s="24"/>
      <c r="X302" s="24"/>
      <c r="Y302" s="24"/>
      <c r="Z302" s="24"/>
      <c r="AA302" s="24"/>
      <c r="AB302" s="24"/>
      <c r="AC302" s="24"/>
    </row>
    <row r="303" spans="1:29" ht="12.9">
      <c r="A303" s="24"/>
      <c r="B303" s="24"/>
      <c r="C303" s="143"/>
      <c r="D303" s="24"/>
      <c r="E303" s="24"/>
      <c r="F303" s="24"/>
      <c r="G303" s="24"/>
      <c r="H303" s="117"/>
      <c r="I303" s="117"/>
      <c r="J303" s="24"/>
      <c r="K303" s="24"/>
      <c r="L303" s="24"/>
      <c r="M303" s="24"/>
      <c r="N303" s="24"/>
      <c r="O303" s="24"/>
      <c r="P303" s="24"/>
      <c r="Q303" s="24"/>
      <c r="R303" s="24"/>
      <c r="S303" s="24"/>
      <c r="T303" s="24"/>
      <c r="U303" s="24"/>
      <c r="V303" s="24"/>
      <c r="W303" s="24"/>
      <c r="X303" s="24"/>
      <c r="Y303" s="24"/>
      <c r="Z303" s="24"/>
      <c r="AA303" s="24"/>
      <c r="AB303" s="24"/>
      <c r="AC303" s="24"/>
    </row>
    <row r="304" spans="1:29" ht="12.9">
      <c r="A304" s="24"/>
      <c r="B304" s="24"/>
      <c r="C304" s="143"/>
      <c r="D304" s="24"/>
      <c r="E304" s="24"/>
      <c r="F304" s="24"/>
      <c r="G304" s="24"/>
      <c r="H304" s="117"/>
      <c r="I304" s="117"/>
      <c r="J304" s="24"/>
      <c r="K304" s="24"/>
      <c r="L304" s="24"/>
      <c r="M304" s="24"/>
      <c r="N304" s="24"/>
      <c r="O304" s="24"/>
      <c r="P304" s="24"/>
      <c r="Q304" s="24"/>
      <c r="R304" s="24"/>
      <c r="S304" s="24"/>
      <c r="T304" s="24"/>
      <c r="U304" s="24"/>
      <c r="V304" s="24"/>
      <c r="W304" s="24"/>
      <c r="X304" s="24"/>
      <c r="Y304" s="24"/>
      <c r="Z304" s="24"/>
      <c r="AA304" s="24"/>
      <c r="AB304" s="24"/>
      <c r="AC304" s="24"/>
    </row>
    <row r="305" spans="1:29" ht="12.9">
      <c r="A305" s="24"/>
      <c r="B305" s="24"/>
      <c r="C305" s="143"/>
      <c r="D305" s="24"/>
      <c r="E305" s="24"/>
      <c r="F305" s="24"/>
      <c r="G305" s="24"/>
      <c r="H305" s="117"/>
      <c r="I305" s="117"/>
      <c r="J305" s="24"/>
      <c r="K305" s="24"/>
      <c r="L305" s="24"/>
      <c r="M305" s="24"/>
      <c r="N305" s="24"/>
      <c r="O305" s="24"/>
      <c r="P305" s="24"/>
      <c r="Q305" s="24"/>
      <c r="R305" s="24"/>
      <c r="S305" s="24"/>
      <c r="T305" s="24"/>
      <c r="U305" s="24"/>
      <c r="V305" s="24"/>
      <c r="W305" s="24"/>
      <c r="X305" s="24"/>
      <c r="Y305" s="24"/>
      <c r="Z305" s="24"/>
      <c r="AA305" s="24"/>
      <c r="AB305" s="24"/>
      <c r="AC305" s="24"/>
    </row>
    <row r="306" spans="1:29" ht="12.9">
      <c r="A306" s="24"/>
      <c r="B306" s="24"/>
      <c r="C306" s="143"/>
      <c r="D306" s="24"/>
      <c r="E306" s="24"/>
      <c r="F306" s="24"/>
      <c r="G306" s="24"/>
      <c r="H306" s="117"/>
      <c r="I306" s="117"/>
      <c r="J306" s="24"/>
      <c r="K306" s="24"/>
      <c r="L306" s="24"/>
      <c r="M306" s="24"/>
      <c r="N306" s="24"/>
      <c r="O306" s="24"/>
      <c r="P306" s="24"/>
      <c r="Q306" s="24"/>
      <c r="R306" s="24"/>
      <c r="S306" s="24"/>
      <c r="T306" s="24"/>
      <c r="U306" s="24"/>
      <c r="V306" s="24"/>
      <c r="W306" s="24"/>
      <c r="X306" s="24"/>
      <c r="Y306" s="24"/>
      <c r="Z306" s="24"/>
      <c r="AA306" s="24"/>
      <c r="AB306" s="24"/>
      <c r="AC306" s="24"/>
    </row>
    <row r="307" spans="1:29" ht="12.9">
      <c r="A307" s="24"/>
      <c r="B307" s="24"/>
      <c r="C307" s="143"/>
      <c r="D307" s="24"/>
      <c r="E307" s="24"/>
      <c r="F307" s="24"/>
      <c r="G307" s="24"/>
      <c r="H307" s="117"/>
      <c r="I307" s="117"/>
      <c r="J307" s="24"/>
      <c r="K307" s="24"/>
      <c r="L307" s="24"/>
      <c r="M307" s="24"/>
      <c r="N307" s="24"/>
      <c r="O307" s="24"/>
      <c r="P307" s="24"/>
      <c r="Q307" s="24"/>
      <c r="R307" s="24"/>
      <c r="S307" s="24"/>
      <c r="T307" s="24"/>
      <c r="U307" s="24"/>
      <c r="V307" s="24"/>
      <c r="W307" s="24"/>
      <c r="X307" s="24"/>
      <c r="Y307" s="24"/>
      <c r="Z307" s="24"/>
      <c r="AA307" s="24"/>
      <c r="AB307" s="24"/>
      <c r="AC307" s="24"/>
    </row>
    <row r="308" spans="1:29" ht="12.9">
      <c r="A308" s="24"/>
      <c r="B308" s="24"/>
      <c r="C308" s="143"/>
      <c r="D308" s="24"/>
      <c r="E308" s="24"/>
      <c r="F308" s="24"/>
      <c r="G308" s="24"/>
      <c r="H308" s="117"/>
      <c r="I308" s="117"/>
      <c r="J308" s="24"/>
      <c r="K308" s="24"/>
      <c r="L308" s="24"/>
      <c r="M308" s="24"/>
      <c r="N308" s="24"/>
      <c r="O308" s="24"/>
      <c r="P308" s="24"/>
      <c r="Q308" s="24"/>
      <c r="R308" s="24"/>
      <c r="S308" s="24"/>
      <c r="T308" s="24"/>
      <c r="U308" s="24"/>
      <c r="V308" s="24"/>
      <c r="W308" s="24"/>
      <c r="X308" s="24"/>
      <c r="Y308" s="24"/>
      <c r="Z308" s="24"/>
      <c r="AA308" s="24"/>
      <c r="AB308" s="24"/>
      <c r="AC308" s="24"/>
    </row>
    <row r="309" spans="1:29" ht="12.9">
      <c r="A309" s="24"/>
      <c r="B309" s="24"/>
      <c r="C309" s="143"/>
      <c r="D309" s="24"/>
      <c r="E309" s="24"/>
      <c r="F309" s="24"/>
      <c r="G309" s="24"/>
      <c r="H309" s="117"/>
      <c r="I309" s="117"/>
      <c r="J309" s="24"/>
      <c r="K309" s="24"/>
      <c r="L309" s="24"/>
      <c r="M309" s="24"/>
      <c r="N309" s="24"/>
      <c r="O309" s="24"/>
      <c r="P309" s="24"/>
      <c r="Q309" s="24"/>
      <c r="R309" s="24"/>
      <c r="S309" s="24"/>
      <c r="T309" s="24"/>
      <c r="U309" s="24"/>
      <c r="V309" s="24"/>
      <c r="W309" s="24"/>
      <c r="X309" s="24"/>
      <c r="Y309" s="24"/>
      <c r="Z309" s="24"/>
      <c r="AA309" s="24"/>
      <c r="AB309" s="24"/>
      <c r="AC309" s="24"/>
    </row>
    <row r="310" spans="1:29" ht="12.9">
      <c r="A310" s="24"/>
      <c r="B310" s="24"/>
      <c r="C310" s="143"/>
      <c r="D310" s="24"/>
      <c r="E310" s="24"/>
      <c r="F310" s="24"/>
      <c r="G310" s="24"/>
      <c r="H310" s="117"/>
      <c r="I310" s="117"/>
      <c r="J310" s="24"/>
      <c r="K310" s="24"/>
      <c r="L310" s="24"/>
      <c r="M310" s="24"/>
      <c r="N310" s="24"/>
      <c r="O310" s="24"/>
      <c r="P310" s="24"/>
      <c r="Q310" s="24"/>
      <c r="R310" s="24"/>
      <c r="S310" s="24"/>
      <c r="T310" s="24"/>
      <c r="U310" s="24"/>
      <c r="V310" s="24"/>
      <c r="W310" s="24"/>
      <c r="X310" s="24"/>
      <c r="Y310" s="24"/>
      <c r="Z310" s="24"/>
      <c r="AA310" s="24"/>
      <c r="AB310" s="24"/>
      <c r="AC310" s="24"/>
    </row>
    <row r="311" spans="1:29" ht="12.9">
      <c r="A311" s="24"/>
      <c r="B311" s="24"/>
      <c r="C311" s="143"/>
      <c r="D311" s="24"/>
      <c r="E311" s="24"/>
      <c r="F311" s="24"/>
      <c r="G311" s="24"/>
      <c r="H311" s="117"/>
      <c r="I311" s="117"/>
      <c r="J311" s="24"/>
      <c r="K311" s="24"/>
      <c r="L311" s="24"/>
      <c r="M311" s="24"/>
      <c r="N311" s="24"/>
      <c r="O311" s="24"/>
      <c r="P311" s="24"/>
      <c r="Q311" s="24"/>
      <c r="R311" s="24"/>
      <c r="S311" s="24"/>
      <c r="T311" s="24"/>
      <c r="U311" s="24"/>
      <c r="V311" s="24"/>
      <c r="W311" s="24"/>
      <c r="X311" s="24"/>
      <c r="Y311" s="24"/>
      <c r="Z311" s="24"/>
      <c r="AA311" s="24"/>
      <c r="AB311" s="24"/>
      <c r="AC311" s="24"/>
    </row>
    <row r="312" spans="1:29" ht="12.9">
      <c r="A312" s="24"/>
      <c r="B312" s="24"/>
      <c r="C312" s="143"/>
      <c r="D312" s="24"/>
      <c r="E312" s="24"/>
      <c r="F312" s="24"/>
      <c r="G312" s="24"/>
      <c r="H312" s="117"/>
      <c r="I312" s="117"/>
      <c r="J312" s="24"/>
      <c r="K312" s="24"/>
      <c r="L312" s="24"/>
      <c r="M312" s="24"/>
      <c r="N312" s="24"/>
      <c r="O312" s="24"/>
      <c r="P312" s="24"/>
      <c r="Q312" s="24"/>
      <c r="R312" s="24"/>
      <c r="S312" s="24"/>
      <c r="T312" s="24"/>
      <c r="U312" s="24"/>
      <c r="V312" s="24"/>
      <c r="W312" s="24"/>
      <c r="X312" s="24"/>
      <c r="Y312" s="24"/>
      <c r="Z312" s="24"/>
      <c r="AA312" s="24"/>
      <c r="AB312" s="24"/>
      <c r="AC312" s="24"/>
    </row>
    <row r="313" spans="1:29" ht="12.9">
      <c r="A313" s="24"/>
      <c r="B313" s="24"/>
      <c r="C313" s="143"/>
      <c r="D313" s="24"/>
      <c r="E313" s="24"/>
      <c r="F313" s="24"/>
      <c r="G313" s="24"/>
      <c r="H313" s="117"/>
      <c r="I313" s="117"/>
      <c r="J313" s="24"/>
      <c r="K313" s="24"/>
      <c r="L313" s="24"/>
      <c r="M313" s="24"/>
      <c r="N313" s="24"/>
      <c r="O313" s="24"/>
      <c r="P313" s="24"/>
      <c r="Q313" s="24"/>
      <c r="R313" s="24"/>
      <c r="S313" s="24"/>
      <c r="T313" s="24"/>
      <c r="U313" s="24"/>
      <c r="V313" s="24"/>
      <c r="W313" s="24"/>
      <c r="X313" s="24"/>
      <c r="Y313" s="24"/>
      <c r="Z313" s="24"/>
      <c r="AA313" s="24"/>
      <c r="AB313" s="24"/>
      <c r="AC313" s="24"/>
    </row>
    <row r="314" spans="1:29" ht="12.9">
      <c r="A314" s="24"/>
      <c r="B314" s="24"/>
      <c r="C314" s="143"/>
      <c r="D314" s="24"/>
      <c r="E314" s="24"/>
      <c r="F314" s="24"/>
      <c r="G314" s="24"/>
      <c r="H314" s="117"/>
      <c r="I314" s="117"/>
      <c r="J314" s="24"/>
      <c r="K314" s="24"/>
      <c r="L314" s="24"/>
      <c r="M314" s="24"/>
      <c r="N314" s="24"/>
      <c r="O314" s="24"/>
      <c r="P314" s="24"/>
      <c r="Q314" s="24"/>
      <c r="R314" s="24"/>
      <c r="S314" s="24"/>
      <c r="T314" s="24"/>
      <c r="U314" s="24"/>
      <c r="V314" s="24"/>
      <c r="W314" s="24"/>
      <c r="X314" s="24"/>
      <c r="Y314" s="24"/>
      <c r="Z314" s="24"/>
      <c r="AA314" s="24"/>
      <c r="AB314" s="24"/>
      <c r="AC314" s="24"/>
    </row>
    <row r="315" spans="1:29" ht="12.9">
      <c r="A315" s="24"/>
      <c r="B315" s="24"/>
      <c r="C315" s="143"/>
      <c r="D315" s="24"/>
      <c r="E315" s="24"/>
      <c r="F315" s="24"/>
      <c r="G315" s="24"/>
      <c r="H315" s="117"/>
      <c r="I315" s="117"/>
      <c r="J315" s="24"/>
      <c r="K315" s="24"/>
      <c r="L315" s="24"/>
      <c r="M315" s="24"/>
      <c r="N315" s="24"/>
      <c r="O315" s="24"/>
      <c r="P315" s="24"/>
      <c r="Q315" s="24"/>
      <c r="R315" s="24"/>
      <c r="S315" s="24"/>
      <c r="T315" s="24"/>
      <c r="U315" s="24"/>
      <c r="V315" s="24"/>
      <c r="W315" s="24"/>
      <c r="X315" s="24"/>
      <c r="Y315" s="24"/>
      <c r="Z315" s="24"/>
      <c r="AA315" s="24"/>
      <c r="AB315" s="24"/>
      <c r="AC315" s="24"/>
    </row>
    <row r="316" spans="1:29" ht="12.9">
      <c r="A316" s="24"/>
      <c r="B316" s="24"/>
      <c r="C316" s="143"/>
      <c r="D316" s="24"/>
      <c r="E316" s="24"/>
      <c r="F316" s="24"/>
      <c r="G316" s="24"/>
      <c r="H316" s="117"/>
      <c r="I316" s="117"/>
      <c r="J316" s="24"/>
      <c r="K316" s="24"/>
      <c r="L316" s="24"/>
      <c r="M316" s="24"/>
      <c r="N316" s="24"/>
      <c r="O316" s="24"/>
      <c r="P316" s="24"/>
      <c r="Q316" s="24"/>
      <c r="R316" s="24"/>
      <c r="S316" s="24"/>
      <c r="T316" s="24"/>
      <c r="U316" s="24"/>
      <c r="V316" s="24"/>
      <c r="W316" s="24"/>
      <c r="X316" s="24"/>
      <c r="Y316" s="24"/>
      <c r="Z316" s="24"/>
      <c r="AA316" s="24"/>
      <c r="AB316" s="24"/>
      <c r="AC316" s="24"/>
    </row>
    <row r="317" spans="1:29" ht="12.9">
      <c r="A317" s="24"/>
      <c r="B317" s="24"/>
      <c r="C317" s="143"/>
      <c r="D317" s="24"/>
      <c r="E317" s="24"/>
      <c r="F317" s="24"/>
      <c r="G317" s="24"/>
      <c r="H317" s="117"/>
      <c r="I317" s="117"/>
      <c r="J317" s="24"/>
      <c r="K317" s="24"/>
      <c r="L317" s="24"/>
      <c r="M317" s="24"/>
      <c r="N317" s="24"/>
      <c r="O317" s="24"/>
      <c r="P317" s="24"/>
      <c r="Q317" s="24"/>
      <c r="R317" s="24"/>
      <c r="S317" s="24"/>
      <c r="T317" s="24"/>
      <c r="U317" s="24"/>
      <c r="V317" s="24"/>
      <c r="W317" s="24"/>
      <c r="X317" s="24"/>
      <c r="Y317" s="24"/>
      <c r="Z317" s="24"/>
      <c r="AA317" s="24"/>
      <c r="AB317" s="24"/>
      <c r="AC317" s="24"/>
    </row>
    <row r="318" spans="1:29" ht="12.9">
      <c r="A318" s="24"/>
      <c r="B318" s="24"/>
      <c r="C318" s="143"/>
      <c r="D318" s="24"/>
      <c r="E318" s="24"/>
      <c r="F318" s="24"/>
      <c r="G318" s="24"/>
      <c r="H318" s="117"/>
      <c r="I318" s="117"/>
      <c r="J318" s="24"/>
      <c r="K318" s="24"/>
      <c r="L318" s="24"/>
      <c r="M318" s="24"/>
      <c r="N318" s="24"/>
      <c r="O318" s="24"/>
      <c r="P318" s="24"/>
      <c r="Q318" s="24"/>
      <c r="R318" s="24"/>
      <c r="S318" s="24"/>
      <c r="T318" s="24"/>
      <c r="U318" s="24"/>
      <c r="V318" s="24"/>
      <c r="W318" s="24"/>
      <c r="X318" s="24"/>
      <c r="Y318" s="24"/>
      <c r="Z318" s="24"/>
      <c r="AA318" s="24"/>
      <c r="AB318" s="24"/>
      <c r="AC318" s="24"/>
    </row>
    <row r="319" spans="1:29" ht="12.9">
      <c r="A319" s="24"/>
      <c r="B319" s="24"/>
      <c r="C319" s="143"/>
      <c r="D319" s="24"/>
      <c r="E319" s="24"/>
      <c r="F319" s="24"/>
      <c r="G319" s="24"/>
      <c r="H319" s="117"/>
      <c r="I319" s="117"/>
      <c r="J319" s="24"/>
      <c r="K319" s="24"/>
      <c r="L319" s="24"/>
      <c r="M319" s="24"/>
      <c r="N319" s="24"/>
      <c r="O319" s="24"/>
      <c r="P319" s="24"/>
      <c r="Q319" s="24"/>
      <c r="R319" s="24"/>
      <c r="S319" s="24"/>
      <c r="T319" s="24"/>
      <c r="U319" s="24"/>
      <c r="V319" s="24"/>
      <c r="W319" s="24"/>
      <c r="X319" s="24"/>
      <c r="Y319" s="24"/>
      <c r="Z319" s="24"/>
      <c r="AA319" s="24"/>
      <c r="AB319" s="24"/>
      <c r="AC319" s="24"/>
    </row>
    <row r="320" spans="1:29" ht="12.9">
      <c r="A320" s="24"/>
      <c r="B320" s="24"/>
      <c r="C320" s="143"/>
      <c r="D320" s="24"/>
      <c r="E320" s="24"/>
      <c r="F320" s="24"/>
      <c r="G320" s="24"/>
      <c r="H320" s="117"/>
      <c r="I320" s="117"/>
      <c r="J320" s="24"/>
      <c r="K320" s="24"/>
      <c r="L320" s="24"/>
      <c r="M320" s="24"/>
      <c r="N320" s="24"/>
      <c r="O320" s="24"/>
      <c r="P320" s="24"/>
      <c r="Q320" s="24"/>
      <c r="R320" s="24"/>
      <c r="S320" s="24"/>
      <c r="T320" s="24"/>
      <c r="U320" s="24"/>
      <c r="V320" s="24"/>
      <c r="W320" s="24"/>
      <c r="X320" s="24"/>
      <c r="Y320" s="24"/>
      <c r="Z320" s="24"/>
      <c r="AA320" s="24"/>
      <c r="AB320" s="24"/>
      <c r="AC320" s="24"/>
    </row>
    <row r="321" spans="1:29" ht="12.9">
      <c r="A321" s="24"/>
      <c r="B321" s="24"/>
      <c r="C321" s="143"/>
      <c r="D321" s="24"/>
      <c r="E321" s="24"/>
      <c r="F321" s="24"/>
      <c r="G321" s="24"/>
      <c r="H321" s="117"/>
      <c r="I321" s="117"/>
      <c r="J321" s="24"/>
      <c r="K321" s="24"/>
      <c r="L321" s="24"/>
      <c r="M321" s="24"/>
      <c r="N321" s="24"/>
      <c r="O321" s="24"/>
      <c r="P321" s="24"/>
      <c r="Q321" s="24"/>
      <c r="R321" s="24"/>
      <c r="S321" s="24"/>
      <c r="T321" s="24"/>
      <c r="U321" s="24"/>
      <c r="V321" s="24"/>
      <c r="W321" s="24"/>
      <c r="X321" s="24"/>
      <c r="Y321" s="24"/>
      <c r="Z321" s="24"/>
      <c r="AA321" s="24"/>
      <c r="AB321" s="24"/>
      <c r="AC321" s="24"/>
    </row>
    <row r="322" spans="1:29" ht="12.9">
      <c r="A322" s="24"/>
      <c r="B322" s="24"/>
      <c r="C322" s="143"/>
      <c r="D322" s="24"/>
      <c r="E322" s="24"/>
      <c r="F322" s="24"/>
      <c r="G322" s="24"/>
      <c r="H322" s="117"/>
      <c r="I322" s="117"/>
      <c r="J322" s="24"/>
      <c r="K322" s="24"/>
      <c r="L322" s="24"/>
      <c r="M322" s="24"/>
      <c r="N322" s="24"/>
      <c r="O322" s="24"/>
      <c r="P322" s="24"/>
      <c r="Q322" s="24"/>
      <c r="R322" s="24"/>
      <c r="S322" s="24"/>
      <c r="T322" s="24"/>
      <c r="U322" s="24"/>
      <c r="V322" s="24"/>
      <c r="W322" s="24"/>
      <c r="X322" s="24"/>
      <c r="Y322" s="24"/>
      <c r="Z322" s="24"/>
      <c r="AA322" s="24"/>
      <c r="AB322" s="24"/>
      <c r="AC322" s="24"/>
    </row>
    <row r="323" spans="1:29" ht="12.9">
      <c r="A323" s="24"/>
      <c r="B323" s="24"/>
      <c r="C323" s="143"/>
      <c r="D323" s="24"/>
      <c r="E323" s="24"/>
      <c r="F323" s="24"/>
      <c r="G323" s="24"/>
      <c r="H323" s="117"/>
      <c r="I323" s="117"/>
      <c r="J323" s="24"/>
      <c r="K323" s="24"/>
      <c r="L323" s="24"/>
      <c r="M323" s="24"/>
      <c r="N323" s="24"/>
      <c r="O323" s="24"/>
      <c r="P323" s="24"/>
      <c r="Q323" s="24"/>
      <c r="R323" s="24"/>
      <c r="S323" s="24"/>
      <c r="T323" s="24"/>
      <c r="U323" s="24"/>
      <c r="V323" s="24"/>
      <c r="W323" s="24"/>
      <c r="X323" s="24"/>
      <c r="Y323" s="24"/>
      <c r="Z323" s="24"/>
      <c r="AA323" s="24"/>
      <c r="AB323" s="24"/>
      <c r="AC323" s="24"/>
    </row>
    <row r="324" spans="1:29" ht="12.9">
      <c r="A324" s="24"/>
      <c r="B324" s="24"/>
      <c r="C324" s="143"/>
      <c r="D324" s="24"/>
      <c r="E324" s="24"/>
      <c r="F324" s="24"/>
      <c r="G324" s="24"/>
      <c r="H324" s="117"/>
      <c r="I324" s="117"/>
      <c r="J324" s="24"/>
      <c r="K324" s="24"/>
      <c r="L324" s="24"/>
      <c r="M324" s="24"/>
      <c r="N324" s="24"/>
      <c r="O324" s="24"/>
      <c r="P324" s="24"/>
      <c r="Q324" s="24"/>
      <c r="R324" s="24"/>
      <c r="S324" s="24"/>
      <c r="T324" s="24"/>
      <c r="U324" s="24"/>
      <c r="V324" s="24"/>
      <c r="W324" s="24"/>
      <c r="X324" s="24"/>
      <c r="Y324" s="24"/>
      <c r="Z324" s="24"/>
      <c r="AA324" s="24"/>
      <c r="AB324" s="24"/>
      <c r="AC324" s="24"/>
    </row>
    <row r="325" spans="1:29" ht="12.9">
      <c r="A325" s="24"/>
      <c r="B325" s="24"/>
      <c r="C325" s="143"/>
      <c r="D325" s="24"/>
      <c r="E325" s="24"/>
      <c r="F325" s="24"/>
      <c r="G325" s="24"/>
      <c r="H325" s="117"/>
      <c r="I325" s="117"/>
      <c r="J325" s="24"/>
      <c r="K325" s="24"/>
      <c r="L325" s="24"/>
      <c r="M325" s="24"/>
      <c r="N325" s="24"/>
      <c r="O325" s="24"/>
      <c r="P325" s="24"/>
      <c r="Q325" s="24"/>
      <c r="R325" s="24"/>
      <c r="S325" s="24"/>
      <c r="T325" s="24"/>
      <c r="U325" s="24"/>
      <c r="V325" s="24"/>
      <c r="W325" s="24"/>
      <c r="X325" s="24"/>
      <c r="Y325" s="24"/>
      <c r="Z325" s="24"/>
      <c r="AA325" s="24"/>
      <c r="AB325" s="24"/>
      <c r="AC325" s="24"/>
    </row>
    <row r="326" spans="1:29" ht="12.9">
      <c r="A326" s="24"/>
      <c r="B326" s="24"/>
      <c r="C326" s="143"/>
      <c r="D326" s="24"/>
      <c r="E326" s="24"/>
      <c r="F326" s="24"/>
      <c r="G326" s="24"/>
      <c r="H326" s="117"/>
      <c r="I326" s="117"/>
      <c r="J326" s="24"/>
      <c r="K326" s="24"/>
      <c r="L326" s="24"/>
      <c r="M326" s="24"/>
      <c r="N326" s="24"/>
      <c r="O326" s="24"/>
      <c r="P326" s="24"/>
      <c r="Q326" s="24"/>
      <c r="R326" s="24"/>
      <c r="S326" s="24"/>
      <c r="T326" s="24"/>
      <c r="U326" s="24"/>
      <c r="V326" s="24"/>
      <c r="W326" s="24"/>
      <c r="X326" s="24"/>
      <c r="Y326" s="24"/>
      <c r="Z326" s="24"/>
      <c r="AA326" s="24"/>
      <c r="AB326" s="24"/>
      <c r="AC326" s="24"/>
    </row>
    <row r="327" spans="1:29" ht="12.9">
      <c r="A327" s="24"/>
      <c r="B327" s="24"/>
      <c r="C327" s="143"/>
      <c r="D327" s="24"/>
      <c r="E327" s="24"/>
      <c r="F327" s="24"/>
      <c r="G327" s="24"/>
      <c r="H327" s="117"/>
      <c r="I327" s="117"/>
      <c r="J327" s="24"/>
      <c r="K327" s="24"/>
      <c r="L327" s="24"/>
      <c r="M327" s="24"/>
      <c r="N327" s="24"/>
      <c r="O327" s="24"/>
      <c r="P327" s="24"/>
      <c r="Q327" s="24"/>
      <c r="R327" s="24"/>
      <c r="S327" s="24"/>
      <c r="T327" s="24"/>
      <c r="U327" s="24"/>
      <c r="V327" s="24"/>
      <c r="W327" s="24"/>
      <c r="X327" s="24"/>
      <c r="Y327" s="24"/>
      <c r="Z327" s="24"/>
      <c r="AA327" s="24"/>
      <c r="AB327" s="24"/>
      <c r="AC327" s="24"/>
    </row>
    <row r="328" spans="1:29" ht="12.9">
      <c r="A328" s="24"/>
      <c r="B328" s="24"/>
      <c r="C328" s="143"/>
      <c r="D328" s="24"/>
      <c r="E328" s="24"/>
      <c r="F328" s="24"/>
      <c r="G328" s="24"/>
      <c r="H328" s="117"/>
      <c r="I328" s="117"/>
      <c r="J328" s="24"/>
      <c r="K328" s="24"/>
      <c r="L328" s="24"/>
      <c r="M328" s="24"/>
      <c r="N328" s="24"/>
      <c r="O328" s="24"/>
      <c r="P328" s="24"/>
      <c r="Q328" s="24"/>
      <c r="R328" s="24"/>
      <c r="S328" s="24"/>
      <c r="T328" s="24"/>
      <c r="U328" s="24"/>
      <c r="V328" s="24"/>
      <c r="W328" s="24"/>
      <c r="X328" s="24"/>
      <c r="Y328" s="24"/>
      <c r="Z328" s="24"/>
      <c r="AA328" s="24"/>
      <c r="AB328" s="24"/>
      <c r="AC328" s="24"/>
    </row>
    <row r="329" spans="1:29" ht="12.9">
      <c r="A329" s="24"/>
      <c r="B329" s="24"/>
      <c r="C329" s="143"/>
      <c r="D329" s="24"/>
      <c r="E329" s="24"/>
      <c r="F329" s="24"/>
      <c r="G329" s="24"/>
      <c r="H329" s="117"/>
      <c r="I329" s="117"/>
      <c r="J329" s="24"/>
      <c r="K329" s="24"/>
      <c r="L329" s="24"/>
      <c r="M329" s="24"/>
      <c r="N329" s="24"/>
      <c r="O329" s="24"/>
      <c r="P329" s="24"/>
      <c r="Q329" s="24"/>
      <c r="R329" s="24"/>
      <c r="S329" s="24"/>
      <c r="T329" s="24"/>
      <c r="U329" s="24"/>
      <c r="V329" s="24"/>
      <c r="W329" s="24"/>
      <c r="X329" s="24"/>
      <c r="Y329" s="24"/>
      <c r="Z329" s="24"/>
      <c r="AA329" s="24"/>
      <c r="AB329" s="24"/>
      <c r="AC329" s="24"/>
    </row>
    <row r="330" spans="1:29" ht="12.9">
      <c r="A330" s="24"/>
      <c r="B330" s="24"/>
      <c r="C330" s="143"/>
      <c r="D330" s="24"/>
      <c r="E330" s="24"/>
      <c r="F330" s="24"/>
      <c r="G330" s="24"/>
      <c r="H330" s="117"/>
      <c r="I330" s="117"/>
      <c r="J330" s="24"/>
      <c r="K330" s="24"/>
      <c r="L330" s="24"/>
      <c r="M330" s="24"/>
      <c r="N330" s="24"/>
      <c r="O330" s="24"/>
      <c r="P330" s="24"/>
      <c r="Q330" s="24"/>
      <c r="R330" s="24"/>
      <c r="S330" s="24"/>
      <c r="T330" s="24"/>
      <c r="U330" s="24"/>
      <c r="V330" s="24"/>
      <c r="W330" s="24"/>
      <c r="X330" s="24"/>
      <c r="Y330" s="24"/>
      <c r="Z330" s="24"/>
      <c r="AA330" s="24"/>
      <c r="AB330" s="24"/>
      <c r="AC330" s="24"/>
    </row>
    <row r="331" spans="1:29" ht="12.9">
      <c r="A331" s="24"/>
      <c r="B331" s="24"/>
      <c r="C331" s="143"/>
      <c r="D331" s="24"/>
      <c r="E331" s="24"/>
      <c r="F331" s="24"/>
      <c r="G331" s="24"/>
      <c r="H331" s="117"/>
      <c r="I331" s="117"/>
      <c r="J331" s="24"/>
      <c r="K331" s="24"/>
      <c r="L331" s="24"/>
      <c r="M331" s="24"/>
      <c r="N331" s="24"/>
      <c r="O331" s="24"/>
      <c r="P331" s="24"/>
      <c r="Q331" s="24"/>
      <c r="R331" s="24"/>
      <c r="S331" s="24"/>
      <c r="T331" s="24"/>
      <c r="U331" s="24"/>
      <c r="V331" s="24"/>
      <c r="W331" s="24"/>
      <c r="X331" s="24"/>
      <c r="Y331" s="24"/>
      <c r="Z331" s="24"/>
      <c r="AA331" s="24"/>
      <c r="AB331" s="24"/>
      <c r="AC331" s="24"/>
    </row>
    <row r="332" spans="1:29" ht="12.9">
      <c r="A332" s="24"/>
      <c r="B332" s="24"/>
      <c r="C332" s="143"/>
      <c r="D332" s="24"/>
      <c r="E332" s="24"/>
      <c r="F332" s="24"/>
      <c r="G332" s="24"/>
      <c r="H332" s="117"/>
      <c r="I332" s="117"/>
      <c r="J332" s="24"/>
      <c r="K332" s="24"/>
      <c r="L332" s="24"/>
      <c r="M332" s="24"/>
      <c r="N332" s="24"/>
      <c r="O332" s="24"/>
      <c r="P332" s="24"/>
      <c r="Q332" s="24"/>
      <c r="R332" s="24"/>
      <c r="S332" s="24"/>
      <c r="T332" s="24"/>
      <c r="U332" s="24"/>
      <c r="V332" s="24"/>
      <c r="W332" s="24"/>
      <c r="X332" s="24"/>
      <c r="Y332" s="24"/>
      <c r="Z332" s="24"/>
      <c r="AA332" s="24"/>
      <c r="AB332" s="24"/>
      <c r="AC332" s="24"/>
    </row>
    <row r="333" spans="1:29" ht="12.9">
      <c r="A333" s="24"/>
      <c r="B333" s="24"/>
      <c r="C333" s="143"/>
      <c r="D333" s="24"/>
      <c r="E333" s="24"/>
      <c r="F333" s="24"/>
      <c r="G333" s="24"/>
      <c r="H333" s="117"/>
      <c r="I333" s="117"/>
      <c r="J333" s="24"/>
      <c r="K333" s="24"/>
      <c r="L333" s="24"/>
      <c r="M333" s="24"/>
      <c r="N333" s="24"/>
      <c r="O333" s="24"/>
      <c r="P333" s="24"/>
      <c r="Q333" s="24"/>
      <c r="R333" s="24"/>
      <c r="S333" s="24"/>
      <c r="T333" s="24"/>
      <c r="U333" s="24"/>
      <c r="V333" s="24"/>
      <c r="W333" s="24"/>
      <c r="X333" s="24"/>
      <c r="Y333" s="24"/>
      <c r="Z333" s="24"/>
      <c r="AA333" s="24"/>
      <c r="AB333" s="24"/>
      <c r="AC333" s="24"/>
    </row>
    <row r="334" spans="1:29" ht="12.9">
      <c r="A334" s="24"/>
      <c r="B334" s="24"/>
      <c r="C334" s="143"/>
      <c r="D334" s="24"/>
      <c r="E334" s="24"/>
      <c r="F334" s="24"/>
      <c r="G334" s="24"/>
      <c r="H334" s="117"/>
      <c r="I334" s="117"/>
      <c r="J334" s="24"/>
      <c r="K334" s="24"/>
      <c r="L334" s="24"/>
      <c r="M334" s="24"/>
      <c r="N334" s="24"/>
      <c r="O334" s="24"/>
      <c r="P334" s="24"/>
      <c r="Q334" s="24"/>
      <c r="R334" s="24"/>
      <c r="S334" s="24"/>
      <c r="T334" s="24"/>
      <c r="U334" s="24"/>
      <c r="V334" s="24"/>
      <c r="W334" s="24"/>
      <c r="X334" s="24"/>
      <c r="Y334" s="24"/>
      <c r="Z334" s="24"/>
      <c r="AA334" s="24"/>
      <c r="AB334" s="24"/>
      <c r="AC334" s="24"/>
    </row>
    <row r="335" spans="1:29" ht="12.9">
      <c r="A335" s="24"/>
      <c r="B335" s="24"/>
      <c r="C335" s="143"/>
      <c r="D335" s="24"/>
      <c r="E335" s="24"/>
      <c r="F335" s="24"/>
      <c r="G335" s="24"/>
      <c r="H335" s="117"/>
      <c r="I335" s="117"/>
      <c r="J335" s="24"/>
      <c r="K335" s="24"/>
      <c r="L335" s="24"/>
      <c r="M335" s="24"/>
      <c r="N335" s="24"/>
      <c r="O335" s="24"/>
      <c r="P335" s="24"/>
      <c r="Q335" s="24"/>
      <c r="R335" s="24"/>
      <c r="S335" s="24"/>
      <c r="T335" s="24"/>
      <c r="U335" s="24"/>
      <c r="V335" s="24"/>
      <c r="W335" s="24"/>
      <c r="X335" s="24"/>
      <c r="Y335" s="24"/>
      <c r="Z335" s="24"/>
      <c r="AA335" s="24"/>
      <c r="AB335" s="24"/>
      <c r="AC335" s="24"/>
    </row>
    <row r="336" spans="1:29" ht="12.9">
      <c r="A336" s="24"/>
      <c r="B336" s="24"/>
      <c r="C336" s="143"/>
      <c r="D336" s="24"/>
      <c r="E336" s="24"/>
      <c r="F336" s="24"/>
      <c r="G336" s="24"/>
      <c r="H336" s="117"/>
      <c r="I336" s="117"/>
      <c r="J336" s="24"/>
      <c r="K336" s="24"/>
      <c r="L336" s="24"/>
      <c r="M336" s="24"/>
      <c r="N336" s="24"/>
      <c r="O336" s="24"/>
      <c r="P336" s="24"/>
      <c r="Q336" s="24"/>
      <c r="R336" s="24"/>
      <c r="S336" s="24"/>
      <c r="T336" s="24"/>
      <c r="U336" s="24"/>
      <c r="V336" s="24"/>
      <c r="W336" s="24"/>
      <c r="X336" s="24"/>
      <c r="Y336" s="24"/>
      <c r="Z336" s="24"/>
      <c r="AA336" s="24"/>
      <c r="AB336" s="24"/>
      <c r="AC336" s="24"/>
    </row>
    <row r="337" spans="1:29" ht="12.9">
      <c r="A337" s="24"/>
      <c r="B337" s="24"/>
      <c r="C337" s="143"/>
      <c r="D337" s="24"/>
      <c r="E337" s="24"/>
      <c r="F337" s="24"/>
      <c r="G337" s="24"/>
      <c r="H337" s="117"/>
      <c r="I337" s="117"/>
      <c r="J337" s="24"/>
      <c r="K337" s="24"/>
      <c r="L337" s="24"/>
      <c r="M337" s="24"/>
      <c r="N337" s="24"/>
      <c r="O337" s="24"/>
      <c r="P337" s="24"/>
      <c r="Q337" s="24"/>
      <c r="R337" s="24"/>
      <c r="S337" s="24"/>
      <c r="T337" s="24"/>
      <c r="U337" s="24"/>
      <c r="V337" s="24"/>
      <c r="W337" s="24"/>
      <c r="X337" s="24"/>
      <c r="Y337" s="24"/>
      <c r="Z337" s="24"/>
      <c r="AA337" s="24"/>
      <c r="AB337" s="24"/>
      <c r="AC337" s="24"/>
    </row>
    <row r="338" spans="1:29" ht="12.9">
      <c r="A338" s="24"/>
      <c r="B338" s="24"/>
      <c r="C338" s="143"/>
      <c r="D338" s="24"/>
      <c r="E338" s="24"/>
      <c r="F338" s="24"/>
      <c r="G338" s="24"/>
      <c r="H338" s="117"/>
      <c r="I338" s="117"/>
      <c r="J338" s="24"/>
      <c r="K338" s="24"/>
      <c r="L338" s="24"/>
      <c r="M338" s="24"/>
      <c r="N338" s="24"/>
      <c r="O338" s="24"/>
      <c r="P338" s="24"/>
      <c r="Q338" s="24"/>
      <c r="R338" s="24"/>
      <c r="S338" s="24"/>
      <c r="T338" s="24"/>
      <c r="U338" s="24"/>
      <c r="V338" s="24"/>
      <c r="W338" s="24"/>
      <c r="X338" s="24"/>
      <c r="Y338" s="24"/>
      <c r="Z338" s="24"/>
      <c r="AA338" s="24"/>
      <c r="AB338" s="24"/>
      <c r="AC338" s="24"/>
    </row>
    <row r="339" spans="1:29" ht="12.9">
      <c r="A339" s="24"/>
      <c r="B339" s="24"/>
      <c r="C339" s="143"/>
      <c r="D339" s="24"/>
      <c r="E339" s="24"/>
      <c r="F339" s="24"/>
      <c r="G339" s="24"/>
      <c r="H339" s="117"/>
      <c r="I339" s="117"/>
      <c r="J339" s="24"/>
      <c r="K339" s="24"/>
      <c r="L339" s="24"/>
      <c r="M339" s="24"/>
      <c r="N339" s="24"/>
      <c r="O339" s="24"/>
      <c r="P339" s="24"/>
      <c r="Q339" s="24"/>
      <c r="R339" s="24"/>
      <c r="S339" s="24"/>
      <c r="T339" s="24"/>
      <c r="U339" s="24"/>
      <c r="V339" s="24"/>
      <c r="W339" s="24"/>
      <c r="X339" s="24"/>
      <c r="Y339" s="24"/>
      <c r="Z339" s="24"/>
      <c r="AA339" s="24"/>
      <c r="AB339" s="24"/>
      <c r="AC339" s="24"/>
    </row>
    <row r="340" spans="1:29" ht="12.9">
      <c r="A340" s="24"/>
      <c r="B340" s="24"/>
      <c r="C340" s="143"/>
      <c r="D340" s="24"/>
      <c r="E340" s="24"/>
      <c r="F340" s="24"/>
      <c r="G340" s="24"/>
      <c r="H340" s="117"/>
      <c r="I340" s="117"/>
      <c r="J340" s="24"/>
      <c r="K340" s="24"/>
      <c r="L340" s="24"/>
      <c r="M340" s="24"/>
      <c r="N340" s="24"/>
      <c r="O340" s="24"/>
      <c r="P340" s="24"/>
      <c r="Q340" s="24"/>
      <c r="R340" s="24"/>
      <c r="S340" s="24"/>
      <c r="T340" s="24"/>
      <c r="U340" s="24"/>
      <c r="V340" s="24"/>
      <c r="W340" s="24"/>
      <c r="X340" s="24"/>
      <c r="Y340" s="24"/>
      <c r="Z340" s="24"/>
      <c r="AA340" s="24"/>
      <c r="AB340" s="24"/>
      <c r="AC340" s="24"/>
    </row>
    <row r="341" spans="1:29" ht="12.9">
      <c r="A341" s="24"/>
      <c r="B341" s="24"/>
      <c r="C341" s="143"/>
      <c r="D341" s="24"/>
      <c r="E341" s="24"/>
      <c r="F341" s="24"/>
      <c r="G341" s="24"/>
      <c r="H341" s="117"/>
      <c r="I341" s="117"/>
      <c r="J341" s="24"/>
      <c r="K341" s="24"/>
      <c r="L341" s="24"/>
      <c r="M341" s="24"/>
      <c r="N341" s="24"/>
      <c r="O341" s="24"/>
      <c r="P341" s="24"/>
      <c r="Q341" s="24"/>
      <c r="R341" s="24"/>
      <c r="S341" s="24"/>
      <c r="T341" s="24"/>
      <c r="U341" s="24"/>
      <c r="V341" s="24"/>
      <c r="W341" s="24"/>
      <c r="X341" s="24"/>
      <c r="Y341" s="24"/>
      <c r="Z341" s="24"/>
      <c r="AA341" s="24"/>
      <c r="AB341" s="24"/>
      <c r="AC341" s="24"/>
    </row>
    <row r="342" spans="1:29" ht="12.9">
      <c r="A342" s="24"/>
      <c r="B342" s="24"/>
      <c r="C342" s="143"/>
      <c r="D342" s="24"/>
      <c r="E342" s="24"/>
      <c r="F342" s="24"/>
      <c r="G342" s="24"/>
      <c r="H342" s="117"/>
      <c r="I342" s="117"/>
      <c r="J342" s="24"/>
      <c r="K342" s="24"/>
      <c r="L342" s="24"/>
      <c r="M342" s="24"/>
      <c r="N342" s="24"/>
      <c r="O342" s="24"/>
      <c r="P342" s="24"/>
      <c r="Q342" s="24"/>
      <c r="R342" s="24"/>
      <c r="S342" s="24"/>
      <c r="T342" s="24"/>
      <c r="U342" s="24"/>
      <c r="V342" s="24"/>
      <c r="W342" s="24"/>
      <c r="X342" s="24"/>
      <c r="Y342" s="24"/>
      <c r="Z342" s="24"/>
      <c r="AA342" s="24"/>
      <c r="AB342" s="24"/>
      <c r="AC342" s="24"/>
    </row>
    <row r="343" spans="1:29" ht="12.9">
      <c r="A343" s="24"/>
      <c r="B343" s="24"/>
      <c r="C343" s="143"/>
      <c r="D343" s="24"/>
      <c r="E343" s="24"/>
      <c r="F343" s="24"/>
      <c r="G343" s="24"/>
      <c r="H343" s="117"/>
      <c r="I343" s="117"/>
      <c r="J343" s="24"/>
      <c r="K343" s="24"/>
      <c r="L343" s="24"/>
      <c r="M343" s="24"/>
      <c r="N343" s="24"/>
      <c r="O343" s="24"/>
      <c r="P343" s="24"/>
      <c r="Q343" s="24"/>
      <c r="R343" s="24"/>
      <c r="S343" s="24"/>
      <c r="T343" s="24"/>
      <c r="U343" s="24"/>
      <c r="V343" s="24"/>
      <c r="W343" s="24"/>
      <c r="X343" s="24"/>
      <c r="Y343" s="24"/>
      <c r="Z343" s="24"/>
      <c r="AA343" s="24"/>
      <c r="AB343" s="24"/>
      <c r="AC343" s="24"/>
    </row>
    <row r="344" spans="1:29" ht="12.9">
      <c r="A344" s="24"/>
      <c r="B344" s="24"/>
      <c r="C344" s="143"/>
      <c r="D344" s="24"/>
      <c r="E344" s="24"/>
      <c r="F344" s="24"/>
      <c r="G344" s="24"/>
      <c r="H344" s="117"/>
      <c r="I344" s="117"/>
      <c r="J344" s="24"/>
      <c r="K344" s="24"/>
      <c r="L344" s="24"/>
      <c r="M344" s="24"/>
      <c r="N344" s="24"/>
      <c r="O344" s="24"/>
      <c r="P344" s="24"/>
      <c r="Q344" s="24"/>
      <c r="R344" s="24"/>
      <c r="S344" s="24"/>
      <c r="T344" s="24"/>
      <c r="U344" s="24"/>
      <c r="V344" s="24"/>
      <c r="W344" s="24"/>
      <c r="X344" s="24"/>
      <c r="Y344" s="24"/>
      <c r="Z344" s="24"/>
      <c r="AA344" s="24"/>
      <c r="AB344" s="24"/>
      <c r="AC344" s="24"/>
    </row>
    <row r="345" spans="1:29" ht="12.9">
      <c r="A345" s="24"/>
      <c r="B345" s="24"/>
      <c r="C345" s="143"/>
      <c r="D345" s="24"/>
      <c r="E345" s="24"/>
      <c r="F345" s="24"/>
      <c r="G345" s="24"/>
      <c r="H345" s="117"/>
      <c r="I345" s="117"/>
      <c r="J345" s="24"/>
      <c r="K345" s="24"/>
      <c r="L345" s="24"/>
      <c r="M345" s="24"/>
      <c r="N345" s="24"/>
      <c r="O345" s="24"/>
      <c r="P345" s="24"/>
      <c r="Q345" s="24"/>
      <c r="R345" s="24"/>
      <c r="S345" s="24"/>
      <c r="T345" s="24"/>
      <c r="U345" s="24"/>
      <c r="V345" s="24"/>
      <c r="W345" s="24"/>
      <c r="X345" s="24"/>
      <c r="Y345" s="24"/>
      <c r="Z345" s="24"/>
      <c r="AA345" s="24"/>
      <c r="AB345" s="24"/>
      <c r="AC345" s="24"/>
    </row>
    <row r="346" spans="1:29" ht="12.9">
      <c r="A346" s="24"/>
      <c r="B346" s="24"/>
      <c r="C346" s="143"/>
      <c r="D346" s="24"/>
      <c r="E346" s="24"/>
      <c r="F346" s="24"/>
      <c r="G346" s="24"/>
      <c r="H346" s="117"/>
      <c r="I346" s="117"/>
      <c r="J346" s="24"/>
      <c r="K346" s="24"/>
      <c r="L346" s="24"/>
      <c r="M346" s="24"/>
      <c r="N346" s="24"/>
      <c r="O346" s="24"/>
      <c r="P346" s="24"/>
      <c r="Q346" s="24"/>
      <c r="R346" s="24"/>
      <c r="S346" s="24"/>
      <c r="T346" s="24"/>
      <c r="U346" s="24"/>
      <c r="V346" s="24"/>
      <c r="W346" s="24"/>
      <c r="X346" s="24"/>
      <c r="Y346" s="24"/>
      <c r="Z346" s="24"/>
      <c r="AA346" s="24"/>
      <c r="AB346" s="24"/>
      <c r="AC346" s="24"/>
    </row>
    <row r="347" spans="1:29" ht="12.9">
      <c r="A347" s="24"/>
      <c r="B347" s="24"/>
      <c r="C347" s="143"/>
      <c r="D347" s="24"/>
      <c r="E347" s="24"/>
      <c r="F347" s="24"/>
      <c r="G347" s="24"/>
      <c r="H347" s="117"/>
      <c r="I347" s="117"/>
      <c r="J347" s="24"/>
      <c r="K347" s="24"/>
      <c r="L347" s="24"/>
      <c r="M347" s="24"/>
      <c r="N347" s="24"/>
      <c r="O347" s="24"/>
      <c r="P347" s="24"/>
      <c r="Q347" s="24"/>
      <c r="R347" s="24"/>
      <c r="S347" s="24"/>
      <c r="T347" s="24"/>
      <c r="U347" s="24"/>
      <c r="V347" s="24"/>
      <c r="W347" s="24"/>
      <c r="X347" s="24"/>
      <c r="Y347" s="24"/>
      <c r="Z347" s="24"/>
      <c r="AA347" s="24"/>
      <c r="AB347" s="24"/>
      <c r="AC347" s="24"/>
    </row>
    <row r="348" spans="1:29" ht="12.9">
      <c r="A348" s="24"/>
      <c r="B348" s="24"/>
      <c r="C348" s="143"/>
      <c r="D348" s="24"/>
      <c r="E348" s="24"/>
      <c r="F348" s="24"/>
      <c r="G348" s="24"/>
      <c r="H348" s="117"/>
      <c r="I348" s="117"/>
      <c r="J348" s="24"/>
      <c r="K348" s="24"/>
      <c r="L348" s="24"/>
      <c r="M348" s="24"/>
      <c r="N348" s="24"/>
      <c r="O348" s="24"/>
      <c r="P348" s="24"/>
      <c r="Q348" s="24"/>
      <c r="R348" s="24"/>
      <c r="S348" s="24"/>
      <c r="T348" s="24"/>
      <c r="U348" s="24"/>
      <c r="V348" s="24"/>
      <c r="W348" s="24"/>
      <c r="X348" s="24"/>
      <c r="Y348" s="24"/>
      <c r="Z348" s="24"/>
      <c r="AA348" s="24"/>
      <c r="AB348" s="24"/>
      <c r="AC348" s="24"/>
    </row>
    <row r="349" spans="1:29" ht="12.9">
      <c r="A349" s="24"/>
      <c r="B349" s="24"/>
      <c r="C349" s="143"/>
      <c r="D349" s="24"/>
      <c r="E349" s="24"/>
      <c r="F349" s="24"/>
      <c r="G349" s="24"/>
      <c r="H349" s="117"/>
      <c r="I349" s="117"/>
      <c r="J349" s="24"/>
      <c r="K349" s="24"/>
      <c r="L349" s="24"/>
      <c r="M349" s="24"/>
      <c r="N349" s="24"/>
      <c r="O349" s="24"/>
      <c r="P349" s="24"/>
      <c r="Q349" s="24"/>
      <c r="R349" s="24"/>
      <c r="S349" s="24"/>
      <c r="T349" s="24"/>
      <c r="U349" s="24"/>
      <c r="V349" s="24"/>
      <c r="W349" s="24"/>
      <c r="X349" s="24"/>
      <c r="Y349" s="24"/>
      <c r="Z349" s="24"/>
      <c r="AA349" s="24"/>
      <c r="AB349" s="24"/>
      <c r="AC349" s="24"/>
    </row>
    <row r="350" spans="1:29" ht="12.9">
      <c r="A350" s="24"/>
      <c r="B350" s="24"/>
      <c r="C350" s="143"/>
      <c r="D350" s="24"/>
      <c r="E350" s="24"/>
      <c r="F350" s="24"/>
      <c r="G350" s="24"/>
      <c r="H350" s="117"/>
      <c r="I350" s="117"/>
      <c r="J350" s="24"/>
      <c r="K350" s="24"/>
      <c r="L350" s="24"/>
      <c r="M350" s="24"/>
      <c r="N350" s="24"/>
      <c r="O350" s="24"/>
      <c r="P350" s="24"/>
      <c r="Q350" s="24"/>
      <c r="R350" s="24"/>
      <c r="S350" s="24"/>
      <c r="T350" s="24"/>
      <c r="U350" s="24"/>
      <c r="V350" s="24"/>
      <c r="W350" s="24"/>
      <c r="X350" s="24"/>
      <c r="Y350" s="24"/>
      <c r="Z350" s="24"/>
      <c r="AA350" s="24"/>
      <c r="AB350" s="24"/>
      <c r="AC350" s="24"/>
    </row>
    <row r="351" spans="1:29" ht="12.9">
      <c r="A351" s="24"/>
      <c r="B351" s="24"/>
      <c r="C351" s="143"/>
      <c r="D351" s="24"/>
      <c r="E351" s="24"/>
      <c r="F351" s="24"/>
      <c r="G351" s="24"/>
      <c r="H351" s="117"/>
      <c r="I351" s="117"/>
      <c r="J351" s="24"/>
      <c r="K351" s="24"/>
      <c r="L351" s="24"/>
      <c r="M351" s="24"/>
      <c r="N351" s="24"/>
      <c r="O351" s="24"/>
      <c r="P351" s="24"/>
      <c r="Q351" s="24"/>
      <c r="R351" s="24"/>
      <c r="S351" s="24"/>
      <c r="T351" s="24"/>
      <c r="U351" s="24"/>
      <c r="V351" s="24"/>
      <c r="W351" s="24"/>
      <c r="X351" s="24"/>
      <c r="Y351" s="24"/>
      <c r="Z351" s="24"/>
      <c r="AA351" s="24"/>
      <c r="AB351" s="24"/>
      <c r="AC351" s="24"/>
    </row>
    <row r="352" spans="1:29" ht="12.9">
      <c r="A352" s="24"/>
      <c r="B352" s="24"/>
      <c r="C352" s="143"/>
      <c r="D352" s="24"/>
      <c r="E352" s="24"/>
      <c r="F352" s="24"/>
      <c r="G352" s="24"/>
      <c r="H352" s="117"/>
      <c r="I352" s="117"/>
      <c r="J352" s="24"/>
      <c r="K352" s="24"/>
      <c r="L352" s="24"/>
      <c r="M352" s="24"/>
      <c r="N352" s="24"/>
      <c r="O352" s="24"/>
      <c r="P352" s="24"/>
      <c r="Q352" s="24"/>
      <c r="R352" s="24"/>
      <c r="S352" s="24"/>
      <c r="T352" s="24"/>
      <c r="U352" s="24"/>
      <c r="V352" s="24"/>
      <c r="W352" s="24"/>
      <c r="X352" s="24"/>
      <c r="Y352" s="24"/>
      <c r="Z352" s="24"/>
      <c r="AA352" s="24"/>
      <c r="AB352" s="24"/>
      <c r="AC352" s="24"/>
    </row>
    <row r="353" spans="1:29" ht="12.9">
      <c r="A353" s="24"/>
      <c r="B353" s="24"/>
      <c r="C353" s="143"/>
      <c r="D353" s="24"/>
      <c r="E353" s="24"/>
      <c r="F353" s="24"/>
      <c r="G353" s="24"/>
      <c r="H353" s="117"/>
      <c r="I353" s="117"/>
      <c r="J353" s="24"/>
      <c r="K353" s="24"/>
      <c r="L353" s="24"/>
      <c r="M353" s="24"/>
      <c r="N353" s="24"/>
      <c r="O353" s="24"/>
      <c r="P353" s="24"/>
      <c r="Q353" s="24"/>
      <c r="R353" s="24"/>
      <c r="S353" s="24"/>
      <c r="T353" s="24"/>
      <c r="U353" s="24"/>
      <c r="V353" s="24"/>
      <c r="W353" s="24"/>
      <c r="X353" s="24"/>
      <c r="Y353" s="24"/>
      <c r="Z353" s="24"/>
      <c r="AA353" s="24"/>
      <c r="AB353" s="24"/>
      <c r="AC353" s="24"/>
    </row>
    <row r="354" spans="1:29" ht="12.9">
      <c r="A354" s="24"/>
      <c r="B354" s="24"/>
      <c r="C354" s="143"/>
      <c r="D354" s="24"/>
      <c r="E354" s="24"/>
      <c r="F354" s="24"/>
      <c r="G354" s="24"/>
      <c r="H354" s="117"/>
      <c r="I354" s="117"/>
      <c r="J354" s="24"/>
      <c r="K354" s="24"/>
      <c r="L354" s="24"/>
      <c r="M354" s="24"/>
      <c r="N354" s="24"/>
      <c r="O354" s="24"/>
      <c r="P354" s="24"/>
      <c r="Q354" s="24"/>
      <c r="R354" s="24"/>
      <c r="S354" s="24"/>
      <c r="T354" s="24"/>
      <c r="U354" s="24"/>
      <c r="V354" s="24"/>
      <c r="W354" s="24"/>
      <c r="X354" s="24"/>
      <c r="Y354" s="24"/>
      <c r="Z354" s="24"/>
      <c r="AA354" s="24"/>
      <c r="AB354" s="24"/>
      <c r="AC354" s="24"/>
    </row>
    <row r="355" spans="1:29" ht="12.9">
      <c r="A355" s="24"/>
      <c r="B355" s="24"/>
      <c r="C355" s="143"/>
      <c r="D355" s="24"/>
      <c r="E355" s="24"/>
      <c r="F355" s="24"/>
      <c r="G355" s="24"/>
      <c r="H355" s="117"/>
      <c r="I355" s="117"/>
      <c r="J355" s="24"/>
      <c r="K355" s="24"/>
      <c r="L355" s="24"/>
      <c r="M355" s="24"/>
      <c r="N355" s="24"/>
      <c r="O355" s="24"/>
      <c r="P355" s="24"/>
      <c r="Q355" s="24"/>
      <c r="R355" s="24"/>
      <c r="S355" s="24"/>
      <c r="T355" s="24"/>
      <c r="U355" s="24"/>
      <c r="V355" s="24"/>
      <c r="W355" s="24"/>
      <c r="X355" s="24"/>
      <c r="Y355" s="24"/>
      <c r="Z355" s="24"/>
      <c r="AA355" s="24"/>
      <c r="AB355" s="24"/>
      <c r="AC355" s="24"/>
    </row>
    <row r="356" spans="1:29" ht="12.9">
      <c r="A356" s="24"/>
      <c r="B356" s="24"/>
      <c r="C356" s="143"/>
      <c r="D356" s="24"/>
      <c r="E356" s="24"/>
      <c r="F356" s="24"/>
      <c r="G356" s="24"/>
      <c r="H356" s="117"/>
      <c r="I356" s="117"/>
      <c r="J356" s="24"/>
      <c r="K356" s="24"/>
      <c r="L356" s="24"/>
      <c r="M356" s="24"/>
      <c r="N356" s="24"/>
      <c r="O356" s="24"/>
      <c r="P356" s="24"/>
      <c r="Q356" s="24"/>
      <c r="R356" s="24"/>
      <c r="S356" s="24"/>
      <c r="T356" s="24"/>
      <c r="U356" s="24"/>
      <c r="V356" s="24"/>
      <c r="W356" s="24"/>
      <c r="X356" s="24"/>
      <c r="Y356" s="24"/>
      <c r="Z356" s="24"/>
      <c r="AA356" s="24"/>
      <c r="AB356" s="24"/>
      <c r="AC356" s="24"/>
    </row>
    <row r="357" spans="1:29" ht="12.9">
      <c r="A357" s="24"/>
      <c r="B357" s="24"/>
      <c r="C357" s="143"/>
      <c r="D357" s="24"/>
      <c r="E357" s="24"/>
      <c r="F357" s="24"/>
      <c r="G357" s="24"/>
      <c r="H357" s="117"/>
      <c r="I357" s="117"/>
      <c r="J357" s="24"/>
      <c r="K357" s="24"/>
      <c r="L357" s="24"/>
      <c r="M357" s="24"/>
      <c r="N357" s="24"/>
      <c r="O357" s="24"/>
      <c r="P357" s="24"/>
      <c r="Q357" s="24"/>
      <c r="R357" s="24"/>
      <c r="S357" s="24"/>
      <c r="T357" s="24"/>
      <c r="U357" s="24"/>
      <c r="V357" s="24"/>
      <c r="W357" s="24"/>
      <c r="X357" s="24"/>
      <c r="Y357" s="24"/>
      <c r="Z357" s="24"/>
      <c r="AA357" s="24"/>
      <c r="AB357" s="24"/>
      <c r="AC357" s="24"/>
    </row>
    <row r="358" spans="1:29" ht="12.9">
      <c r="A358" s="24"/>
      <c r="B358" s="24"/>
      <c r="C358" s="143"/>
      <c r="D358" s="24"/>
      <c r="E358" s="24"/>
      <c r="F358" s="24"/>
      <c r="G358" s="24"/>
      <c r="H358" s="117"/>
      <c r="I358" s="117"/>
      <c r="J358" s="24"/>
      <c r="K358" s="24"/>
      <c r="L358" s="24"/>
      <c r="M358" s="24"/>
      <c r="N358" s="24"/>
      <c r="O358" s="24"/>
      <c r="P358" s="24"/>
      <c r="Q358" s="24"/>
      <c r="R358" s="24"/>
      <c r="S358" s="24"/>
      <c r="T358" s="24"/>
      <c r="U358" s="24"/>
      <c r="V358" s="24"/>
      <c r="W358" s="24"/>
      <c r="X358" s="24"/>
      <c r="Y358" s="24"/>
      <c r="Z358" s="24"/>
      <c r="AA358" s="24"/>
      <c r="AB358" s="24"/>
      <c r="AC358" s="24"/>
    </row>
    <row r="359" spans="1:29" ht="12.9">
      <c r="A359" s="24"/>
      <c r="B359" s="24"/>
      <c r="C359" s="143"/>
      <c r="D359" s="24"/>
      <c r="E359" s="24"/>
      <c r="F359" s="24"/>
      <c r="G359" s="24"/>
      <c r="H359" s="117"/>
      <c r="I359" s="117"/>
      <c r="J359" s="24"/>
      <c r="K359" s="24"/>
      <c r="L359" s="24"/>
      <c r="M359" s="24"/>
      <c r="N359" s="24"/>
      <c r="O359" s="24"/>
      <c r="P359" s="24"/>
      <c r="Q359" s="24"/>
      <c r="R359" s="24"/>
      <c r="S359" s="24"/>
      <c r="T359" s="24"/>
      <c r="U359" s="24"/>
      <c r="V359" s="24"/>
      <c r="W359" s="24"/>
      <c r="X359" s="24"/>
      <c r="Y359" s="24"/>
      <c r="Z359" s="24"/>
      <c r="AA359" s="24"/>
      <c r="AB359" s="24"/>
      <c r="AC359" s="24"/>
    </row>
    <row r="360" spans="1:29" ht="12.9">
      <c r="A360" s="24"/>
      <c r="B360" s="24"/>
      <c r="C360" s="143"/>
      <c r="D360" s="24"/>
      <c r="E360" s="24"/>
      <c r="F360" s="24"/>
      <c r="G360" s="24"/>
      <c r="H360" s="117"/>
      <c r="I360" s="117"/>
      <c r="J360" s="24"/>
      <c r="K360" s="24"/>
      <c r="L360" s="24"/>
      <c r="M360" s="24"/>
      <c r="N360" s="24"/>
      <c r="O360" s="24"/>
      <c r="P360" s="24"/>
      <c r="Q360" s="24"/>
      <c r="R360" s="24"/>
      <c r="S360" s="24"/>
      <c r="T360" s="24"/>
      <c r="U360" s="24"/>
      <c r="V360" s="24"/>
      <c r="W360" s="24"/>
      <c r="X360" s="24"/>
      <c r="Y360" s="24"/>
      <c r="Z360" s="24"/>
      <c r="AA360" s="24"/>
      <c r="AB360" s="24"/>
      <c r="AC360" s="24"/>
    </row>
    <row r="361" spans="1:29" ht="12.9">
      <c r="A361" s="24"/>
      <c r="B361" s="24"/>
      <c r="C361" s="143"/>
      <c r="D361" s="24"/>
      <c r="E361" s="24"/>
      <c r="F361" s="24"/>
      <c r="G361" s="24"/>
      <c r="H361" s="117"/>
      <c r="I361" s="117"/>
      <c r="J361" s="24"/>
      <c r="K361" s="24"/>
      <c r="L361" s="24"/>
      <c r="M361" s="24"/>
      <c r="N361" s="24"/>
      <c r="O361" s="24"/>
      <c r="P361" s="24"/>
      <c r="Q361" s="24"/>
      <c r="R361" s="24"/>
      <c r="S361" s="24"/>
      <c r="T361" s="24"/>
      <c r="U361" s="24"/>
      <c r="V361" s="24"/>
      <c r="W361" s="24"/>
      <c r="X361" s="24"/>
      <c r="Y361" s="24"/>
      <c r="Z361" s="24"/>
      <c r="AA361" s="24"/>
      <c r="AB361" s="24"/>
      <c r="AC361" s="24"/>
    </row>
    <row r="362" spans="1:29" ht="12.9">
      <c r="A362" s="24"/>
      <c r="B362" s="24"/>
      <c r="C362" s="143"/>
      <c r="D362" s="24"/>
      <c r="E362" s="24"/>
      <c r="F362" s="24"/>
      <c r="G362" s="24"/>
      <c r="H362" s="117"/>
      <c r="I362" s="117"/>
      <c r="J362" s="24"/>
      <c r="K362" s="24"/>
      <c r="L362" s="24"/>
      <c r="M362" s="24"/>
      <c r="N362" s="24"/>
      <c r="O362" s="24"/>
      <c r="P362" s="24"/>
      <c r="Q362" s="24"/>
      <c r="R362" s="24"/>
      <c r="S362" s="24"/>
      <c r="T362" s="24"/>
      <c r="U362" s="24"/>
      <c r="V362" s="24"/>
      <c r="W362" s="24"/>
      <c r="X362" s="24"/>
      <c r="Y362" s="24"/>
      <c r="Z362" s="24"/>
      <c r="AA362" s="24"/>
      <c r="AB362" s="24"/>
      <c r="AC362" s="24"/>
    </row>
    <row r="363" spans="1:29" ht="12.9">
      <c r="A363" s="24"/>
      <c r="B363" s="24"/>
      <c r="C363" s="143"/>
      <c r="D363" s="24"/>
      <c r="E363" s="24"/>
      <c r="F363" s="24"/>
      <c r="G363" s="24"/>
      <c r="H363" s="117"/>
      <c r="I363" s="117"/>
      <c r="J363" s="24"/>
      <c r="K363" s="24"/>
      <c r="L363" s="24"/>
      <c r="M363" s="24"/>
      <c r="N363" s="24"/>
      <c r="O363" s="24"/>
      <c r="P363" s="24"/>
      <c r="Q363" s="24"/>
      <c r="R363" s="24"/>
      <c r="S363" s="24"/>
      <c r="T363" s="24"/>
      <c r="U363" s="24"/>
      <c r="V363" s="24"/>
      <c r="W363" s="24"/>
      <c r="X363" s="24"/>
      <c r="Y363" s="24"/>
      <c r="Z363" s="24"/>
      <c r="AA363" s="24"/>
      <c r="AB363" s="24"/>
      <c r="AC363" s="24"/>
    </row>
    <row r="364" spans="1:29" ht="12.9">
      <c r="A364" s="24"/>
      <c r="B364" s="24"/>
      <c r="C364" s="143"/>
      <c r="D364" s="24"/>
      <c r="E364" s="24"/>
      <c r="F364" s="24"/>
      <c r="G364" s="24"/>
      <c r="H364" s="117"/>
      <c r="I364" s="117"/>
      <c r="J364" s="24"/>
      <c r="K364" s="24"/>
      <c r="L364" s="24"/>
      <c r="M364" s="24"/>
      <c r="N364" s="24"/>
      <c r="O364" s="24"/>
      <c r="P364" s="24"/>
      <c r="Q364" s="24"/>
      <c r="R364" s="24"/>
      <c r="S364" s="24"/>
      <c r="T364" s="24"/>
      <c r="U364" s="24"/>
      <c r="V364" s="24"/>
      <c r="W364" s="24"/>
      <c r="X364" s="24"/>
      <c r="Y364" s="24"/>
      <c r="Z364" s="24"/>
      <c r="AA364" s="24"/>
      <c r="AB364" s="24"/>
      <c r="AC364" s="24"/>
    </row>
    <row r="365" spans="1:29" ht="12.9">
      <c r="A365" s="24"/>
      <c r="B365" s="24"/>
      <c r="C365" s="143"/>
      <c r="D365" s="24"/>
      <c r="E365" s="24"/>
      <c r="F365" s="24"/>
      <c r="G365" s="24"/>
      <c r="H365" s="117"/>
      <c r="I365" s="117"/>
      <c r="J365" s="24"/>
      <c r="K365" s="24"/>
      <c r="L365" s="24"/>
      <c r="M365" s="24"/>
      <c r="N365" s="24"/>
      <c r="O365" s="24"/>
      <c r="P365" s="24"/>
      <c r="Q365" s="24"/>
      <c r="R365" s="24"/>
      <c r="S365" s="24"/>
      <c r="T365" s="24"/>
      <c r="U365" s="24"/>
      <c r="V365" s="24"/>
      <c r="W365" s="24"/>
      <c r="X365" s="24"/>
      <c r="Y365" s="24"/>
      <c r="Z365" s="24"/>
      <c r="AA365" s="24"/>
      <c r="AB365" s="24"/>
      <c r="AC365" s="24"/>
    </row>
    <row r="366" spans="1:29" ht="12.9">
      <c r="A366" s="24"/>
      <c r="B366" s="24"/>
      <c r="C366" s="143"/>
      <c r="D366" s="24"/>
      <c r="E366" s="24"/>
      <c r="F366" s="24"/>
      <c r="G366" s="24"/>
      <c r="H366" s="117"/>
      <c r="I366" s="117"/>
      <c r="J366" s="24"/>
      <c r="K366" s="24"/>
      <c r="L366" s="24"/>
      <c r="M366" s="24"/>
      <c r="N366" s="24"/>
      <c r="O366" s="24"/>
      <c r="P366" s="24"/>
      <c r="Q366" s="24"/>
      <c r="R366" s="24"/>
      <c r="S366" s="24"/>
      <c r="T366" s="24"/>
      <c r="U366" s="24"/>
      <c r="V366" s="24"/>
      <c r="W366" s="24"/>
      <c r="X366" s="24"/>
      <c r="Y366" s="24"/>
      <c r="Z366" s="24"/>
      <c r="AA366" s="24"/>
      <c r="AB366" s="24"/>
      <c r="AC366" s="24"/>
    </row>
    <row r="367" spans="1:29" ht="12.9">
      <c r="A367" s="24"/>
      <c r="B367" s="24"/>
      <c r="C367" s="143"/>
      <c r="D367" s="24"/>
      <c r="E367" s="24"/>
      <c r="F367" s="24"/>
      <c r="G367" s="24"/>
      <c r="H367" s="117"/>
      <c r="I367" s="117"/>
      <c r="J367" s="24"/>
      <c r="K367" s="24"/>
      <c r="L367" s="24"/>
      <c r="M367" s="24"/>
      <c r="N367" s="24"/>
      <c r="O367" s="24"/>
      <c r="P367" s="24"/>
      <c r="Q367" s="24"/>
      <c r="R367" s="24"/>
      <c r="S367" s="24"/>
      <c r="T367" s="24"/>
      <c r="U367" s="24"/>
      <c r="V367" s="24"/>
      <c r="W367" s="24"/>
      <c r="X367" s="24"/>
      <c r="Y367" s="24"/>
      <c r="Z367" s="24"/>
      <c r="AA367" s="24"/>
      <c r="AB367" s="24"/>
      <c r="AC367" s="24"/>
    </row>
    <row r="368" spans="1:29" ht="12.9">
      <c r="A368" s="24"/>
      <c r="B368" s="24"/>
      <c r="C368" s="143"/>
      <c r="D368" s="24"/>
      <c r="E368" s="24"/>
      <c r="F368" s="24"/>
      <c r="G368" s="24"/>
      <c r="H368" s="117"/>
      <c r="I368" s="117"/>
      <c r="J368" s="24"/>
      <c r="K368" s="24"/>
      <c r="L368" s="24"/>
      <c r="M368" s="24"/>
      <c r="N368" s="24"/>
      <c r="O368" s="24"/>
      <c r="P368" s="24"/>
      <c r="Q368" s="24"/>
      <c r="R368" s="24"/>
      <c r="S368" s="24"/>
      <c r="T368" s="24"/>
      <c r="U368" s="24"/>
      <c r="V368" s="24"/>
      <c r="W368" s="24"/>
      <c r="X368" s="24"/>
      <c r="Y368" s="24"/>
      <c r="Z368" s="24"/>
      <c r="AA368" s="24"/>
      <c r="AB368" s="24"/>
      <c r="AC368" s="24"/>
    </row>
    <row r="369" spans="1:29" ht="12.9">
      <c r="A369" s="24"/>
      <c r="B369" s="24"/>
      <c r="C369" s="143"/>
      <c r="D369" s="24"/>
      <c r="E369" s="24"/>
      <c r="F369" s="24"/>
      <c r="G369" s="24"/>
      <c r="H369" s="117"/>
      <c r="I369" s="117"/>
      <c r="J369" s="24"/>
      <c r="K369" s="24"/>
      <c r="L369" s="24"/>
      <c r="M369" s="24"/>
      <c r="N369" s="24"/>
      <c r="O369" s="24"/>
      <c r="P369" s="24"/>
      <c r="Q369" s="24"/>
      <c r="R369" s="24"/>
      <c r="S369" s="24"/>
      <c r="T369" s="24"/>
      <c r="U369" s="24"/>
      <c r="V369" s="24"/>
      <c r="W369" s="24"/>
      <c r="X369" s="24"/>
      <c r="Y369" s="24"/>
      <c r="Z369" s="24"/>
      <c r="AA369" s="24"/>
      <c r="AB369" s="24"/>
      <c r="AC369" s="24"/>
    </row>
    <row r="370" spans="1:29" ht="12.9">
      <c r="A370" s="24"/>
      <c r="B370" s="24"/>
      <c r="C370" s="143"/>
      <c r="D370" s="24"/>
      <c r="E370" s="24"/>
      <c r="F370" s="24"/>
      <c r="G370" s="24"/>
      <c r="H370" s="117"/>
      <c r="I370" s="117"/>
      <c r="J370" s="24"/>
      <c r="K370" s="24"/>
      <c r="L370" s="24"/>
      <c r="M370" s="24"/>
      <c r="N370" s="24"/>
      <c r="O370" s="24"/>
      <c r="P370" s="24"/>
      <c r="Q370" s="24"/>
      <c r="R370" s="24"/>
      <c r="S370" s="24"/>
      <c r="T370" s="24"/>
      <c r="U370" s="24"/>
      <c r="V370" s="24"/>
      <c r="W370" s="24"/>
      <c r="X370" s="24"/>
      <c r="Y370" s="24"/>
      <c r="Z370" s="24"/>
      <c r="AA370" s="24"/>
      <c r="AB370" s="24"/>
      <c r="AC370" s="24"/>
    </row>
    <row r="371" spans="1:29" ht="12.9">
      <c r="A371" s="24"/>
      <c r="B371" s="24"/>
      <c r="C371" s="143"/>
      <c r="D371" s="24"/>
      <c r="E371" s="24"/>
      <c r="F371" s="24"/>
      <c r="G371" s="24"/>
      <c r="H371" s="117"/>
      <c r="I371" s="117"/>
      <c r="J371" s="24"/>
      <c r="K371" s="24"/>
      <c r="L371" s="24"/>
      <c r="M371" s="24"/>
      <c r="N371" s="24"/>
      <c r="O371" s="24"/>
      <c r="P371" s="24"/>
      <c r="Q371" s="24"/>
      <c r="R371" s="24"/>
      <c r="S371" s="24"/>
      <c r="T371" s="24"/>
      <c r="U371" s="24"/>
      <c r="V371" s="24"/>
      <c r="W371" s="24"/>
      <c r="X371" s="24"/>
      <c r="Y371" s="24"/>
      <c r="Z371" s="24"/>
      <c r="AA371" s="24"/>
      <c r="AB371" s="24"/>
      <c r="AC371" s="24"/>
    </row>
    <row r="372" spans="1:29" ht="12.9">
      <c r="A372" s="24"/>
      <c r="B372" s="24"/>
      <c r="C372" s="143"/>
      <c r="D372" s="24"/>
      <c r="E372" s="24"/>
      <c r="F372" s="24"/>
      <c r="G372" s="24"/>
      <c r="H372" s="117"/>
      <c r="I372" s="117"/>
      <c r="J372" s="24"/>
      <c r="K372" s="24"/>
      <c r="L372" s="24"/>
      <c r="M372" s="24"/>
      <c r="N372" s="24"/>
      <c r="O372" s="24"/>
      <c r="P372" s="24"/>
      <c r="Q372" s="24"/>
      <c r="R372" s="24"/>
      <c r="S372" s="24"/>
      <c r="T372" s="24"/>
      <c r="U372" s="24"/>
      <c r="V372" s="24"/>
      <c r="W372" s="24"/>
      <c r="X372" s="24"/>
      <c r="Y372" s="24"/>
      <c r="Z372" s="24"/>
      <c r="AA372" s="24"/>
      <c r="AB372" s="24"/>
      <c r="AC372" s="24"/>
    </row>
    <row r="373" spans="1:29" ht="12.9">
      <c r="A373" s="24"/>
      <c r="B373" s="24"/>
      <c r="C373" s="143"/>
      <c r="D373" s="24"/>
      <c r="E373" s="24"/>
      <c r="F373" s="24"/>
      <c r="G373" s="24"/>
      <c r="H373" s="117"/>
      <c r="I373" s="117"/>
      <c r="J373" s="24"/>
      <c r="K373" s="24"/>
      <c r="L373" s="24"/>
      <c r="M373" s="24"/>
      <c r="N373" s="24"/>
      <c r="O373" s="24"/>
      <c r="P373" s="24"/>
      <c r="Q373" s="24"/>
      <c r="R373" s="24"/>
      <c r="S373" s="24"/>
      <c r="T373" s="24"/>
      <c r="U373" s="24"/>
      <c r="V373" s="24"/>
      <c r="W373" s="24"/>
      <c r="X373" s="24"/>
      <c r="Y373" s="24"/>
      <c r="Z373" s="24"/>
      <c r="AA373" s="24"/>
      <c r="AB373" s="24"/>
      <c r="AC373" s="24"/>
    </row>
    <row r="374" spans="1:29" ht="12.9">
      <c r="A374" s="24"/>
      <c r="B374" s="24"/>
      <c r="C374" s="143"/>
      <c r="D374" s="24"/>
      <c r="E374" s="24"/>
      <c r="F374" s="24"/>
      <c r="G374" s="24"/>
      <c r="H374" s="117"/>
      <c r="I374" s="117"/>
      <c r="J374" s="24"/>
      <c r="K374" s="24"/>
      <c r="L374" s="24"/>
      <c r="M374" s="24"/>
      <c r="N374" s="24"/>
      <c r="O374" s="24"/>
      <c r="P374" s="24"/>
      <c r="Q374" s="24"/>
      <c r="R374" s="24"/>
      <c r="S374" s="24"/>
      <c r="T374" s="24"/>
      <c r="U374" s="24"/>
      <c r="V374" s="24"/>
      <c r="W374" s="24"/>
      <c r="X374" s="24"/>
      <c r="Y374" s="24"/>
      <c r="Z374" s="24"/>
      <c r="AA374" s="24"/>
      <c r="AB374" s="24"/>
      <c r="AC374" s="24"/>
    </row>
    <row r="375" spans="1:29" ht="12.9">
      <c r="A375" s="24"/>
      <c r="B375" s="24"/>
      <c r="C375" s="143"/>
      <c r="D375" s="24"/>
      <c r="E375" s="24"/>
      <c r="F375" s="24"/>
      <c r="G375" s="24"/>
      <c r="H375" s="117"/>
      <c r="I375" s="117"/>
      <c r="J375" s="24"/>
      <c r="K375" s="24"/>
      <c r="L375" s="24"/>
      <c r="M375" s="24"/>
      <c r="N375" s="24"/>
      <c r="O375" s="24"/>
      <c r="P375" s="24"/>
      <c r="Q375" s="24"/>
      <c r="R375" s="24"/>
      <c r="S375" s="24"/>
      <c r="T375" s="24"/>
      <c r="U375" s="24"/>
      <c r="V375" s="24"/>
      <c r="W375" s="24"/>
      <c r="X375" s="24"/>
      <c r="Y375" s="24"/>
      <c r="Z375" s="24"/>
      <c r="AA375" s="24"/>
      <c r="AB375" s="24"/>
      <c r="AC375" s="24"/>
    </row>
    <row r="376" spans="1:29" ht="12.9">
      <c r="A376" s="24"/>
      <c r="B376" s="24"/>
      <c r="C376" s="143"/>
      <c r="D376" s="24"/>
      <c r="E376" s="24"/>
      <c r="F376" s="24"/>
      <c r="G376" s="24"/>
      <c r="H376" s="117"/>
      <c r="I376" s="117"/>
      <c r="J376" s="24"/>
      <c r="K376" s="24"/>
      <c r="L376" s="24"/>
      <c r="M376" s="24"/>
      <c r="N376" s="24"/>
      <c r="O376" s="24"/>
      <c r="P376" s="24"/>
      <c r="Q376" s="24"/>
      <c r="R376" s="24"/>
      <c r="S376" s="24"/>
      <c r="T376" s="24"/>
      <c r="U376" s="24"/>
      <c r="V376" s="24"/>
      <c r="W376" s="24"/>
      <c r="X376" s="24"/>
      <c r="Y376" s="24"/>
      <c r="Z376" s="24"/>
      <c r="AA376" s="24"/>
      <c r="AB376" s="24"/>
      <c r="AC376" s="24"/>
    </row>
    <row r="377" spans="1:29" ht="12.9">
      <c r="A377" s="24"/>
      <c r="B377" s="24"/>
      <c r="C377" s="143"/>
      <c r="D377" s="24"/>
      <c r="E377" s="24"/>
      <c r="F377" s="24"/>
      <c r="G377" s="24"/>
      <c r="H377" s="117"/>
      <c r="I377" s="117"/>
      <c r="J377" s="24"/>
      <c r="K377" s="24"/>
      <c r="L377" s="24"/>
      <c r="M377" s="24"/>
      <c r="N377" s="24"/>
      <c r="O377" s="24"/>
      <c r="P377" s="24"/>
      <c r="Q377" s="24"/>
      <c r="R377" s="24"/>
      <c r="S377" s="24"/>
      <c r="T377" s="24"/>
      <c r="U377" s="24"/>
      <c r="V377" s="24"/>
      <c r="W377" s="24"/>
      <c r="X377" s="24"/>
      <c r="Y377" s="24"/>
      <c r="Z377" s="24"/>
      <c r="AA377" s="24"/>
      <c r="AB377" s="24"/>
      <c r="AC377" s="24"/>
    </row>
    <row r="378" spans="1:29" ht="12.9">
      <c r="A378" s="24"/>
      <c r="B378" s="24"/>
      <c r="C378" s="143"/>
      <c r="D378" s="24"/>
      <c r="E378" s="24"/>
      <c r="F378" s="24"/>
      <c r="G378" s="24"/>
      <c r="H378" s="117"/>
      <c r="I378" s="117"/>
      <c r="J378" s="24"/>
      <c r="K378" s="24"/>
      <c r="L378" s="24"/>
      <c r="M378" s="24"/>
      <c r="N378" s="24"/>
      <c r="O378" s="24"/>
      <c r="P378" s="24"/>
      <c r="Q378" s="24"/>
      <c r="R378" s="24"/>
      <c r="S378" s="24"/>
      <c r="T378" s="24"/>
      <c r="U378" s="24"/>
      <c r="V378" s="24"/>
      <c r="W378" s="24"/>
      <c r="X378" s="24"/>
      <c r="Y378" s="24"/>
      <c r="Z378" s="24"/>
      <c r="AA378" s="24"/>
      <c r="AB378" s="24"/>
      <c r="AC378" s="24"/>
    </row>
    <row r="379" spans="1:29" ht="12.9">
      <c r="A379" s="24"/>
      <c r="B379" s="24"/>
      <c r="C379" s="143"/>
      <c r="D379" s="24"/>
      <c r="E379" s="24"/>
      <c r="F379" s="24"/>
      <c r="G379" s="24"/>
      <c r="H379" s="117"/>
      <c r="I379" s="117"/>
      <c r="J379" s="24"/>
      <c r="K379" s="24"/>
      <c r="L379" s="24"/>
      <c r="M379" s="24"/>
      <c r="N379" s="24"/>
      <c r="O379" s="24"/>
      <c r="P379" s="24"/>
      <c r="Q379" s="24"/>
      <c r="R379" s="24"/>
      <c r="S379" s="24"/>
      <c r="T379" s="24"/>
      <c r="U379" s="24"/>
      <c r="V379" s="24"/>
      <c r="W379" s="24"/>
      <c r="X379" s="24"/>
      <c r="Y379" s="24"/>
      <c r="Z379" s="24"/>
      <c r="AA379" s="24"/>
      <c r="AB379" s="24"/>
      <c r="AC379" s="24"/>
    </row>
    <row r="380" spans="1:29" ht="12.9">
      <c r="A380" s="24"/>
      <c r="B380" s="24"/>
      <c r="C380" s="143"/>
      <c r="D380" s="24"/>
      <c r="E380" s="24"/>
      <c r="F380" s="24"/>
      <c r="G380" s="24"/>
      <c r="H380" s="117"/>
      <c r="I380" s="117"/>
      <c r="J380" s="24"/>
      <c r="K380" s="24"/>
      <c r="L380" s="24"/>
      <c r="M380" s="24"/>
      <c r="N380" s="24"/>
      <c r="O380" s="24"/>
      <c r="P380" s="24"/>
      <c r="Q380" s="24"/>
      <c r="R380" s="24"/>
      <c r="S380" s="24"/>
      <c r="T380" s="24"/>
      <c r="U380" s="24"/>
      <c r="V380" s="24"/>
      <c r="W380" s="24"/>
      <c r="X380" s="24"/>
      <c r="Y380" s="24"/>
      <c r="Z380" s="24"/>
      <c r="AA380" s="24"/>
      <c r="AB380" s="24"/>
      <c r="AC380" s="24"/>
    </row>
    <row r="381" spans="1:29" ht="12.9">
      <c r="A381" s="24"/>
      <c r="B381" s="24"/>
      <c r="C381" s="143"/>
      <c r="D381" s="24"/>
      <c r="E381" s="24"/>
      <c r="F381" s="24"/>
      <c r="G381" s="24"/>
      <c r="H381" s="117"/>
      <c r="I381" s="117"/>
      <c r="J381" s="24"/>
      <c r="K381" s="24"/>
      <c r="L381" s="24"/>
      <c r="M381" s="24"/>
      <c r="N381" s="24"/>
      <c r="O381" s="24"/>
      <c r="P381" s="24"/>
      <c r="Q381" s="24"/>
      <c r="R381" s="24"/>
      <c r="S381" s="24"/>
      <c r="T381" s="24"/>
      <c r="U381" s="24"/>
      <c r="V381" s="24"/>
      <c r="W381" s="24"/>
      <c r="X381" s="24"/>
      <c r="Y381" s="24"/>
      <c r="Z381" s="24"/>
      <c r="AA381" s="24"/>
      <c r="AB381" s="24"/>
      <c r="AC381" s="24"/>
    </row>
    <row r="382" spans="1:29" ht="12.9">
      <c r="A382" s="24"/>
      <c r="B382" s="24"/>
      <c r="C382" s="143"/>
      <c r="D382" s="24"/>
      <c r="E382" s="24"/>
      <c r="F382" s="24"/>
      <c r="G382" s="24"/>
      <c r="H382" s="117"/>
      <c r="I382" s="117"/>
      <c r="J382" s="24"/>
      <c r="K382" s="24"/>
      <c r="L382" s="24"/>
      <c r="M382" s="24"/>
      <c r="N382" s="24"/>
      <c r="O382" s="24"/>
      <c r="P382" s="24"/>
      <c r="Q382" s="24"/>
      <c r="R382" s="24"/>
      <c r="S382" s="24"/>
      <c r="T382" s="24"/>
      <c r="U382" s="24"/>
      <c r="V382" s="24"/>
      <c r="W382" s="24"/>
      <c r="X382" s="24"/>
      <c r="Y382" s="24"/>
      <c r="Z382" s="24"/>
      <c r="AA382" s="24"/>
      <c r="AB382" s="24"/>
      <c r="AC382" s="24"/>
    </row>
    <row r="383" spans="1:29" ht="12.9">
      <c r="A383" s="24"/>
      <c r="B383" s="24"/>
      <c r="C383" s="143"/>
      <c r="D383" s="24"/>
      <c r="E383" s="24"/>
      <c r="F383" s="24"/>
      <c r="G383" s="24"/>
      <c r="H383" s="117"/>
      <c r="I383" s="117"/>
      <c r="J383" s="24"/>
      <c r="K383" s="24"/>
      <c r="L383" s="24"/>
      <c r="M383" s="24"/>
      <c r="N383" s="24"/>
      <c r="O383" s="24"/>
      <c r="P383" s="24"/>
      <c r="Q383" s="24"/>
      <c r="R383" s="24"/>
      <c r="S383" s="24"/>
      <c r="T383" s="24"/>
      <c r="U383" s="24"/>
      <c r="V383" s="24"/>
      <c r="W383" s="24"/>
      <c r="X383" s="24"/>
      <c r="Y383" s="24"/>
      <c r="Z383" s="24"/>
      <c r="AA383" s="24"/>
      <c r="AB383" s="24"/>
      <c r="AC383" s="24"/>
    </row>
    <row r="384" spans="1:29" ht="12.9">
      <c r="A384" s="24"/>
      <c r="B384" s="24"/>
      <c r="C384" s="143"/>
      <c r="D384" s="24"/>
      <c r="E384" s="24"/>
      <c r="F384" s="24"/>
      <c r="G384" s="24"/>
      <c r="H384" s="117"/>
      <c r="I384" s="117"/>
      <c r="J384" s="24"/>
      <c r="K384" s="24"/>
      <c r="L384" s="24"/>
      <c r="M384" s="24"/>
      <c r="N384" s="24"/>
      <c r="O384" s="24"/>
      <c r="P384" s="24"/>
      <c r="Q384" s="24"/>
      <c r="R384" s="24"/>
      <c r="S384" s="24"/>
      <c r="T384" s="24"/>
      <c r="U384" s="24"/>
      <c r="V384" s="24"/>
      <c r="W384" s="24"/>
      <c r="X384" s="24"/>
      <c r="Y384" s="24"/>
      <c r="Z384" s="24"/>
      <c r="AA384" s="24"/>
      <c r="AB384" s="24"/>
      <c r="AC384" s="24"/>
    </row>
    <row r="385" spans="1:29" ht="12.9">
      <c r="A385" s="24"/>
      <c r="B385" s="24"/>
      <c r="C385" s="143"/>
      <c r="D385" s="24"/>
      <c r="E385" s="24"/>
      <c r="F385" s="24"/>
      <c r="G385" s="24"/>
      <c r="H385" s="117"/>
      <c r="I385" s="117"/>
      <c r="J385" s="24"/>
      <c r="K385" s="24"/>
      <c r="L385" s="24"/>
      <c r="M385" s="24"/>
      <c r="N385" s="24"/>
      <c r="O385" s="24"/>
      <c r="P385" s="24"/>
      <c r="Q385" s="24"/>
      <c r="R385" s="24"/>
      <c r="S385" s="24"/>
      <c r="T385" s="24"/>
      <c r="U385" s="24"/>
      <c r="V385" s="24"/>
      <c r="W385" s="24"/>
      <c r="X385" s="24"/>
      <c r="Y385" s="24"/>
      <c r="Z385" s="24"/>
      <c r="AA385" s="24"/>
      <c r="AB385" s="24"/>
      <c r="AC385" s="24"/>
    </row>
    <row r="386" spans="1:29" ht="12.9">
      <c r="A386" s="24"/>
      <c r="B386" s="24"/>
      <c r="C386" s="143"/>
      <c r="D386" s="24"/>
      <c r="E386" s="24"/>
      <c r="F386" s="24"/>
      <c r="G386" s="24"/>
      <c r="H386" s="117"/>
      <c r="I386" s="117"/>
      <c r="J386" s="24"/>
      <c r="K386" s="24"/>
      <c r="L386" s="24"/>
      <c r="M386" s="24"/>
      <c r="N386" s="24"/>
      <c r="O386" s="24"/>
      <c r="P386" s="24"/>
      <c r="Q386" s="24"/>
      <c r="R386" s="24"/>
      <c r="S386" s="24"/>
      <c r="T386" s="24"/>
      <c r="U386" s="24"/>
      <c r="V386" s="24"/>
      <c r="W386" s="24"/>
      <c r="X386" s="24"/>
      <c r="Y386" s="24"/>
      <c r="Z386" s="24"/>
      <c r="AA386" s="24"/>
      <c r="AB386" s="24"/>
      <c r="AC386" s="24"/>
    </row>
    <row r="387" spans="1:29" ht="12.9">
      <c r="A387" s="24"/>
      <c r="B387" s="24"/>
      <c r="C387" s="143"/>
      <c r="D387" s="24"/>
      <c r="E387" s="24"/>
      <c r="F387" s="24"/>
      <c r="G387" s="24"/>
      <c r="H387" s="117"/>
      <c r="I387" s="117"/>
      <c r="J387" s="24"/>
      <c r="K387" s="24"/>
      <c r="L387" s="24"/>
      <c r="M387" s="24"/>
      <c r="N387" s="24"/>
      <c r="O387" s="24"/>
      <c r="P387" s="24"/>
      <c r="Q387" s="24"/>
      <c r="R387" s="24"/>
      <c r="S387" s="24"/>
      <c r="T387" s="24"/>
      <c r="U387" s="24"/>
      <c r="V387" s="24"/>
      <c r="W387" s="24"/>
      <c r="X387" s="24"/>
      <c r="Y387" s="24"/>
      <c r="Z387" s="24"/>
      <c r="AA387" s="24"/>
      <c r="AB387" s="24"/>
      <c r="AC387" s="24"/>
    </row>
    <row r="388" spans="1:29" ht="12.9">
      <c r="A388" s="24"/>
      <c r="B388" s="24"/>
      <c r="C388" s="143"/>
      <c r="D388" s="24"/>
      <c r="E388" s="24"/>
      <c r="F388" s="24"/>
      <c r="G388" s="24"/>
      <c r="H388" s="117"/>
      <c r="I388" s="117"/>
      <c r="J388" s="24"/>
      <c r="K388" s="24"/>
      <c r="L388" s="24"/>
      <c r="M388" s="24"/>
      <c r="N388" s="24"/>
      <c r="O388" s="24"/>
      <c r="P388" s="24"/>
      <c r="Q388" s="24"/>
      <c r="R388" s="24"/>
      <c r="S388" s="24"/>
      <c r="T388" s="24"/>
      <c r="U388" s="24"/>
      <c r="V388" s="24"/>
      <c r="W388" s="24"/>
      <c r="X388" s="24"/>
      <c r="Y388" s="24"/>
      <c r="Z388" s="24"/>
      <c r="AA388" s="24"/>
      <c r="AB388" s="24"/>
      <c r="AC388" s="24"/>
    </row>
    <row r="389" spans="1:29" ht="12.9">
      <c r="A389" s="24"/>
      <c r="B389" s="24"/>
      <c r="C389" s="143"/>
      <c r="D389" s="24"/>
      <c r="E389" s="24"/>
      <c r="F389" s="24"/>
      <c r="G389" s="24"/>
      <c r="H389" s="117"/>
      <c r="I389" s="117"/>
      <c r="J389" s="24"/>
      <c r="K389" s="24"/>
      <c r="L389" s="24"/>
      <c r="M389" s="24"/>
      <c r="N389" s="24"/>
      <c r="O389" s="24"/>
      <c r="P389" s="24"/>
      <c r="Q389" s="24"/>
      <c r="R389" s="24"/>
      <c r="S389" s="24"/>
      <c r="T389" s="24"/>
      <c r="U389" s="24"/>
      <c r="V389" s="24"/>
      <c r="W389" s="24"/>
      <c r="X389" s="24"/>
      <c r="Y389" s="24"/>
      <c r="Z389" s="24"/>
      <c r="AA389" s="24"/>
      <c r="AB389" s="24"/>
      <c r="AC389" s="24"/>
    </row>
    <row r="390" spans="1:29" ht="12.9">
      <c r="A390" s="24"/>
      <c r="B390" s="24"/>
      <c r="C390" s="143"/>
      <c r="D390" s="24"/>
      <c r="E390" s="24"/>
      <c r="F390" s="24"/>
      <c r="G390" s="24"/>
      <c r="H390" s="117"/>
      <c r="I390" s="117"/>
      <c r="J390" s="24"/>
      <c r="K390" s="24"/>
      <c r="L390" s="24"/>
      <c r="M390" s="24"/>
      <c r="N390" s="24"/>
      <c r="O390" s="24"/>
      <c r="P390" s="24"/>
      <c r="Q390" s="24"/>
      <c r="R390" s="24"/>
      <c r="S390" s="24"/>
      <c r="T390" s="24"/>
      <c r="U390" s="24"/>
      <c r="V390" s="24"/>
      <c r="W390" s="24"/>
      <c r="X390" s="24"/>
      <c r="Y390" s="24"/>
      <c r="Z390" s="24"/>
      <c r="AA390" s="24"/>
      <c r="AB390" s="24"/>
      <c r="AC390" s="24"/>
    </row>
    <row r="391" spans="1:29" ht="12.9">
      <c r="A391" s="24"/>
      <c r="B391" s="24"/>
      <c r="C391" s="143"/>
      <c r="D391" s="24"/>
      <c r="E391" s="24"/>
      <c r="F391" s="24"/>
      <c r="G391" s="24"/>
      <c r="H391" s="117"/>
      <c r="I391" s="117"/>
      <c r="J391" s="24"/>
      <c r="K391" s="24"/>
      <c r="L391" s="24"/>
      <c r="M391" s="24"/>
      <c r="N391" s="24"/>
      <c r="O391" s="24"/>
      <c r="P391" s="24"/>
      <c r="Q391" s="24"/>
      <c r="R391" s="24"/>
      <c r="S391" s="24"/>
      <c r="T391" s="24"/>
      <c r="U391" s="24"/>
      <c r="V391" s="24"/>
      <c r="W391" s="24"/>
      <c r="X391" s="24"/>
      <c r="Y391" s="24"/>
      <c r="Z391" s="24"/>
      <c r="AA391" s="24"/>
      <c r="AB391" s="24"/>
      <c r="AC391" s="24"/>
    </row>
    <row r="392" spans="1:29" ht="12.9">
      <c r="A392" s="24"/>
      <c r="B392" s="24"/>
      <c r="C392" s="143"/>
      <c r="D392" s="24"/>
      <c r="E392" s="24"/>
      <c r="F392" s="24"/>
      <c r="G392" s="24"/>
      <c r="H392" s="117"/>
      <c r="I392" s="117"/>
      <c r="J392" s="24"/>
      <c r="K392" s="24"/>
      <c r="L392" s="24"/>
      <c r="M392" s="24"/>
      <c r="N392" s="24"/>
      <c r="O392" s="24"/>
      <c r="P392" s="24"/>
      <c r="Q392" s="24"/>
      <c r="R392" s="24"/>
      <c r="S392" s="24"/>
      <c r="T392" s="24"/>
      <c r="U392" s="24"/>
      <c r="V392" s="24"/>
      <c r="W392" s="24"/>
      <c r="X392" s="24"/>
      <c r="Y392" s="24"/>
      <c r="Z392" s="24"/>
      <c r="AA392" s="24"/>
      <c r="AB392" s="24"/>
      <c r="AC392" s="24"/>
    </row>
    <row r="393" spans="1:29" ht="12.9">
      <c r="A393" s="24"/>
      <c r="B393" s="24"/>
      <c r="C393" s="143"/>
      <c r="D393" s="24"/>
      <c r="E393" s="24"/>
      <c r="F393" s="24"/>
      <c r="G393" s="24"/>
      <c r="H393" s="117"/>
      <c r="I393" s="117"/>
      <c r="J393" s="24"/>
      <c r="K393" s="24"/>
      <c r="L393" s="24"/>
      <c r="M393" s="24"/>
      <c r="N393" s="24"/>
      <c r="O393" s="24"/>
      <c r="P393" s="24"/>
      <c r="Q393" s="24"/>
      <c r="R393" s="24"/>
      <c r="S393" s="24"/>
      <c r="T393" s="24"/>
      <c r="U393" s="24"/>
      <c r="V393" s="24"/>
      <c r="W393" s="24"/>
      <c r="X393" s="24"/>
      <c r="Y393" s="24"/>
      <c r="Z393" s="24"/>
      <c r="AA393" s="24"/>
      <c r="AB393" s="24"/>
      <c r="AC393" s="24"/>
    </row>
    <row r="394" spans="1:29" ht="12.9">
      <c r="A394" s="24"/>
      <c r="B394" s="24"/>
      <c r="C394" s="143"/>
      <c r="D394" s="24"/>
      <c r="E394" s="24"/>
      <c r="F394" s="24"/>
      <c r="G394" s="24"/>
      <c r="H394" s="117"/>
      <c r="I394" s="117"/>
      <c r="J394" s="24"/>
      <c r="K394" s="24"/>
      <c r="L394" s="24"/>
      <c r="M394" s="24"/>
      <c r="N394" s="24"/>
      <c r="O394" s="24"/>
      <c r="P394" s="24"/>
      <c r="Q394" s="24"/>
      <c r="R394" s="24"/>
      <c r="S394" s="24"/>
      <c r="T394" s="24"/>
      <c r="U394" s="24"/>
      <c r="V394" s="24"/>
      <c r="W394" s="24"/>
      <c r="X394" s="24"/>
      <c r="Y394" s="24"/>
      <c r="Z394" s="24"/>
      <c r="AA394" s="24"/>
      <c r="AB394" s="24"/>
      <c r="AC394" s="24"/>
    </row>
    <row r="395" spans="1:29" ht="12.9">
      <c r="A395" s="24"/>
      <c r="B395" s="24"/>
      <c r="C395" s="143"/>
      <c r="D395" s="24"/>
      <c r="E395" s="24"/>
      <c r="F395" s="24"/>
      <c r="G395" s="24"/>
      <c r="H395" s="117"/>
      <c r="I395" s="117"/>
      <c r="J395" s="24"/>
      <c r="K395" s="24"/>
      <c r="L395" s="24"/>
      <c r="M395" s="24"/>
      <c r="N395" s="24"/>
      <c r="O395" s="24"/>
      <c r="P395" s="24"/>
      <c r="Q395" s="24"/>
      <c r="R395" s="24"/>
      <c r="S395" s="24"/>
      <c r="T395" s="24"/>
      <c r="U395" s="24"/>
      <c r="V395" s="24"/>
      <c r="W395" s="24"/>
      <c r="X395" s="24"/>
      <c r="Y395" s="24"/>
      <c r="Z395" s="24"/>
      <c r="AA395" s="24"/>
      <c r="AB395" s="24"/>
      <c r="AC395" s="24"/>
    </row>
    <row r="396" spans="1:29" ht="12.9">
      <c r="A396" s="24"/>
      <c r="B396" s="24"/>
      <c r="C396" s="143"/>
      <c r="D396" s="24"/>
      <c r="E396" s="24"/>
      <c r="F396" s="24"/>
      <c r="G396" s="24"/>
      <c r="H396" s="117"/>
      <c r="I396" s="117"/>
      <c r="J396" s="24"/>
      <c r="K396" s="24"/>
      <c r="L396" s="24"/>
      <c r="M396" s="24"/>
      <c r="N396" s="24"/>
      <c r="O396" s="24"/>
      <c r="P396" s="24"/>
      <c r="Q396" s="24"/>
      <c r="R396" s="24"/>
      <c r="S396" s="24"/>
      <c r="T396" s="24"/>
      <c r="U396" s="24"/>
      <c r="V396" s="24"/>
      <c r="W396" s="24"/>
      <c r="X396" s="24"/>
      <c r="Y396" s="24"/>
      <c r="Z396" s="24"/>
      <c r="AA396" s="24"/>
      <c r="AB396" s="24"/>
      <c r="AC396" s="24"/>
    </row>
    <row r="397" spans="1:29" ht="12.9">
      <c r="A397" s="24"/>
      <c r="B397" s="24"/>
      <c r="C397" s="143"/>
      <c r="D397" s="24"/>
      <c r="E397" s="24"/>
      <c r="F397" s="24"/>
      <c r="G397" s="24"/>
      <c r="H397" s="117"/>
      <c r="I397" s="117"/>
      <c r="J397" s="24"/>
      <c r="K397" s="24"/>
      <c r="L397" s="24"/>
      <c r="M397" s="24"/>
      <c r="N397" s="24"/>
      <c r="O397" s="24"/>
      <c r="P397" s="24"/>
      <c r="Q397" s="24"/>
      <c r="R397" s="24"/>
      <c r="S397" s="24"/>
      <c r="T397" s="24"/>
      <c r="U397" s="24"/>
      <c r="V397" s="24"/>
      <c r="W397" s="24"/>
      <c r="X397" s="24"/>
      <c r="Y397" s="24"/>
      <c r="Z397" s="24"/>
      <c r="AA397" s="24"/>
      <c r="AB397" s="24"/>
      <c r="AC397" s="24"/>
    </row>
    <row r="398" spans="1:29" ht="12.9">
      <c r="A398" s="24"/>
      <c r="B398" s="24"/>
      <c r="C398" s="143"/>
      <c r="D398" s="24"/>
      <c r="E398" s="24"/>
      <c r="F398" s="24"/>
      <c r="G398" s="24"/>
      <c r="H398" s="117"/>
      <c r="I398" s="117"/>
      <c r="J398" s="24"/>
      <c r="K398" s="24"/>
      <c r="L398" s="24"/>
      <c r="M398" s="24"/>
      <c r="N398" s="24"/>
      <c r="O398" s="24"/>
      <c r="P398" s="24"/>
      <c r="Q398" s="24"/>
      <c r="R398" s="24"/>
      <c r="S398" s="24"/>
      <c r="T398" s="24"/>
      <c r="U398" s="24"/>
      <c r="V398" s="24"/>
      <c r="W398" s="24"/>
      <c r="X398" s="24"/>
      <c r="Y398" s="24"/>
      <c r="Z398" s="24"/>
      <c r="AA398" s="24"/>
      <c r="AB398" s="24"/>
      <c r="AC398" s="24"/>
    </row>
    <row r="399" spans="1:29" ht="12.9">
      <c r="A399" s="24"/>
      <c r="B399" s="24"/>
      <c r="C399" s="143"/>
      <c r="D399" s="24"/>
      <c r="E399" s="24"/>
      <c r="F399" s="24"/>
      <c r="G399" s="24"/>
      <c r="H399" s="117"/>
      <c r="I399" s="117"/>
      <c r="J399" s="24"/>
      <c r="K399" s="24"/>
      <c r="L399" s="24"/>
      <c r="M399" s="24"/>
      <c r="N399" s="24"/>
      <c r="O399" s="24"/>
      <c r="P399" s="24"/>
      <c r="Q399" s="24"/>
      <c r="R399" s="24"/>
      <c r="S399" s="24"/>
      <c r="T399" s="24"/>
      <c r="U399" s="24"/>
      <c r="V399" s="24"/>
      <c r="W399" s="24"/>
      <c r="X399" s="24"/>
      <c r="Y399" s="24"/>
      <c r="Z399" s="24"/>
      <c r="AA399" s="24"/>
      <c r="AB399" s="24"/>
      <c r="AC399" s="24"/>
    </row>
    <row r="400" spans="1:29" ht="12.9">
      <c r="A400" s="24"/>
      <c r="B400" s="24"/>
      <c r="C400" s="143"/>
      <c r="D400" s="24"/>
      <c r="E400" s="24"/>
      <c r="F400" s="24"/>
      <c r="G400" s="24"/>
      <c r="H400" s="117"/>
      <c r="I400" s="117"/>
      <c r="J400" s="24"/>
      <c r="K400" s="24"/>
      <c r="L400" s="24"/>
      <c r="M400" s="24"/>
      <c r="N400" s="24"/>
      <c r="O400" s="24"/>
      <c r="P400" s="24"/>
      <c r="Q400" s="24"/>
      <c r="R400" s="24"/>
      <c r="S400" s="24"/>
      <c r="T400" s="24"/>
      <c r="U400" s="24"/>
      <c r="V400" s="24"/>
      <c r="W400" s="24"/>
      <c r="X400" s="24"/>
      <c r="Y400" s="24"/>
      <c r="Z400" s="24"/>
      <c r="AA400" s="24"/>
      <c r="AB400" s="24"/>
      <c r="AC400" s="24"/>
    </row>
    <row r="401" spans="1:29" ht="12.9">
      <c r="A401" s="24"/>
      <c r="B401" s="24"/>
      <c r="C401" s="143"/>
      <c r="D401" s="24"/>
      <c r="E401" s="24"/>
      <c r="F401" s="24"/>
      <c r="G401" s="24"/>
      <c r="H401" s="117"/>
      <c r="I401" s="117"/>
      <c r="J401" s="24"/>
      <c r="K401" s="24"/>
      <c r="L401" s="24"/>
      <c r="M401" s="24"/>
      <c r="N401" s="24"/>
      <c r="O401" s="24"/>
      <c r="P401" s="24"/>
      <c r="Q401" s="24"/>
      <c r="R401" s="24"/>
      <c r="S401" s="24"/>
      <c r="T401" s="24"/>
      <c r="U401" s="24"/>
      <c r="V401" s="24"/>
      <c r="W401" s="24"/>
      <c r="X401" s="24"/>
      <c r="Y401" s="24"/>
      <c r="Z401" s="24"/>
      <c r="AA401" s="24"/>
      <c r="AB401" s="24"/>
      <c r="AC401" s="24"/>
    </row>
    <row r="402" spans="1:29" ht="12.9">
      <c r="A402" s="24"/>
      <c r="B402" s="24"/>
      <c r="C402" s="143"/>
      <c r="D402" s="24"/>
      <c r="E402" s="24"/>
      <c r="F402" s="24"/>
      <c r="G402" s="24"/>
      <c r="H402" s="117"/>
      <c r="I402" s="117"/>
      <c r="J402" s="24"/>
      <c r="K402" s="24"/>
      <c r="L402" s="24"/>
      <c r="M402" s="24"/>
      <c r="N402" s="24"/>
      <c r="O402" s="24"/>
      <c r="P402" s="24"/>
      <c r="Q402" s="24"/>
      <c r="R402" s="24"/>
      <c r="S402" s="24"/>
      <c r="T402" s="24"/>
      <c r="U402" s="24"/>
      <c r="V402" s="24"/>
      <c r="W402" s="24"/>
      <c r="X402" s="24"/>
      <c r="Y402" s="24"/>
      <c r="Z402" s="24"/>
      <c r="AA402" s="24"/>
      <c r="AB402" s="24"/>
      <c r="AC402" s="24"/>
    </row>
    <row r="403" spans="1:29" ht="12.9">
      <c r="A403" s="24"/>
      <c r="B403" s="24"/>
      <c r="C403" s="143"/>
      <c r="D403" s="24"/>
      <c r="E403" s="24"/>
      <c r="F403" s="24"/>
      <c r="G403" s="24"/>
      <c r="H403" s="117"/>
      <c r="I403" s="117"/>
      <c r="J403" s="24"/>
      <c r="K403" s="24"/>
      <c r="L403" s="24"/>
      <c r="M403" s="24"/>
      <c r="N403" s="24"/>
      <c r="O403" s="24"/>
      <c r="P403" s="24"/>
      <c r="Q403" s="24"/>
      <c r="R403" s="24"/>
      <c r="S403" s="24"/>
      <c r="T403" s="24"/>
      <c r="U403" s="24"/>
      <c r="V403" s="24"/>
      <c r="W403" s="24"/>
      <c r="X403" s="24"/>
      <c r="Y403" s="24"/>
      <c r="Z403" s="24"/>
      <c r="AA403" s="24"/>
      <c r="AB403" s="24"/>
      <c r="AC403" s="24"/>
    </row>
    <row r="404" spans="1:29" ht="12.9">
      <c r="A404" s="24"/>
      <c r="B404" s="24"/>
      <c r="C404" s="143"/>
      <c r="D404" s="24"/>
      <c r="E404" s="24"/>
      <c r="F404" s="24"/>
      <c r="G404" s="24"/>
      <c r="H404" s="117"/>
      <c r="I404" s="117"/>
      <c r="J404" s="24"/>
      <c r="K404" s="24"/>
      <c r="L404" s="24"/>
      <c r="M404" s="24"/>
      <c r="N404" s="24"/>
      <c r="O404" s="24"/>
      <c r="P404" s="24"/>
      <c r="Q404" s="24"/>
      <c r="R404" s="24"/>
      <c r="S404" s="24"/>
      <c r="T404" s="24"/>
      <c r="U404" s="24"/>
      <c r="V404" s="24"/>
      <c r="W404" s="24"/>
      <c r="X404" s="24"/>
      <c r="Y404" s="24"/>
      <c r="Z404" s="24"/>
      <c r="AA404" s="24"/>
      <c r="AB404" s="24"/>
      <c r="AC404" s="24"/>
    </row>
    <row r="405" spans="1:29" ht="12.9">
      <c r="A405" s="24"/>
      <c r="B405" s="24"/>
      <c r="C405" s="143"/>
      <c r="D405" s="24"/>
      <c r="E405" s="24"/>
      <c r="F405" s="24"/>
      <c r="G405" s="24"/>
      <c r="H405" s="117"/>
      <c r="I405" s="117"/>
      <c r="J405" s="24"/>
      <c r="K405" s="24"/>
      <c r="L405" s="24"/>
      <c r="M405" s="24"/>
      <c r="N405" s="24"/>
      <c r="O405" s="24"/>
      <c r="P405" s="24"/>
      <c r="Q405" s="24"/>
      <c r="R405" s="24"/>
      <c r="S405" s="24"/>
      <c r="T405" s="24"/>
      <c r="U405" s="24"/>
      <c r="V405" s="24"/>
      <c r="W405" s="24"/>
      <c r="X405" s="24"/>
      <c r="Y405" s="24"/>
      <c r="Z405" s="24"/>
      <c r="AA405" s="24"/>
      <c r="AB405" s="24"/>
      <c r="AC405" s="24"/>
    </row>
    <row r="406" spans="1:29" ht="12.9">
      <c r="A406" s="24"/>
      <c r="B406" s="24"/>
      <c r="C406" s="143"/>
      <c r="D406" s="24"/>
      <c r="E406" s="24"/>
      <c r="F406" s="24"/>
      <c r="G406" s="24"/>
      <c r="H406" s="117"/>
      <c r="I406" s="117"/>
      <c r="J406" s="24"/>
      <c r="K406" s="24"/>
      <c r="L406" s="24"/>
      <c r="M406" s="24"/>
      <c r="N406" s="24"/>
      <c r="O406" s="24"/>
      <c r="P406" s="24"/>
      <c r="Q406" s="24"/>
      <c r="R406" s="24"/>
      <c r="S406" s="24"/>
      <c r="T406" s="24"/>
      <c r="U406" s="24"/>
      <c r="V406" s="24"/>
      <c r="W406" s="24"/>
      <c r="X406" s="24"/>
      <c r="Y406" s="24"/>
      <c r="Z406" s="24"/>
      <c r="AA406" s="24"/>
      <c r="AB406" s="24"/>
      <c r="AC406" s="24"/>
    </row>
    <row r="407" spans="1:29" ht="12.9">
      <c r="A407" s="24"/>
      <c r="B407" s="24"/>
      <c r="C407" s="143"/>
      <c r="D407" s="24"/>
      <c r="E407" s="24"/>
      <c r="F407" s="24"/>
      <c r="G407" s="24"/>
      <c r="H407" s="117"/>
      <c r="I407" s="117"/>
      <c r="J407" s="24"/>
      <c r="K407" s="24"/>
      <c r="L407" s="24"/>
      <c r="M407" s="24"/>
      <c r="N407" s="24"/>
      <c r="O407" s="24"/>
      <c r="P407" s="24"/>
      <c r="Q407" s="24"/>
      <c r="R407" s="24"/>
      <c r="S407" s="24"/>
      <c r="T407" s="24"/>
      <c r="U407" s="24"/>
      <c r="V407" s="24"/>
      <c r="W407" s="24"/>
      <c r="X407" s="24"/>
      <c r="Y407" s="24"/>
      <c r="Z407" s="24"/>
      <c r="AA407" s="24"/>
      <c r="AB407" s="24"/>
      <c r="AC407" s="24"/>
    </row>
    <row r="408" spans="1:29" ht="12.9">
      <c r="A408" s="24"/>
      <c r="B408" s="24"/>
      <c r="C408" s="143"/>
      <c r="D408" s="24"/>
      <c r="E408" s="24"/>
      <c r="F408" s="24"/>
      <c r="G408" s="24"/>
      <c r="H408" s="117"/>
      <c r="I408" s="117"/>
      <c r="J408" s="24"/>
      <c r="K408" s="24"/>
      <c r="L408" s="24"/>
      <c r="M408" s="24"/>
      <c r="N408" s="24"/>
      <c r="O408" s="24"/>
      <c r="P408" s="24"/>
      <c r="Q408" s="24"/>
      <c r="R408" s="24"/>
      <c r="S408" s="24"/>
      <c r="T408" s="24"/>
      <c r="U408" s="24"/>
      <c r="V408" s="24"/>
      <c r="W408" s="24"/>
      <c r="X408" s="24"/>
      <c r="Y408" s="24"/>
      <c r="Z408" s="24"/>
      <c r="AA408" s="24"/>
      <c r="AB408" s="24"/>
      <c r="AC408" s="24"/>
    </row>
    <row r="409" spans="1:29" ht="12.9">
      <c r="A409" s="24"/>
      <c r="B409" s="24"/>
      <c r="C409" s="143"/>
      <c r="D409" s="24"/>
      <c r="E409" s="24"/>
      <c r="F409" s="24"/>
      <c r="G409" s="24"/>
      <c r="H409" s="117"/>
      <c r="I409" s="117"/>
      <c r="J409" s="24"/>
      <c r="K409" s="24"/>
      <c r="L409" s="24"/>
      <c r="M409" s="24"/>
      <c r="N409" s="24"/>
      <c r="O409" s="24"/>
      <c r="P409" s="24"/>
      <c r="Q409" s="24"/>
      <c r="R409" s="24"/>
      <c r="S409" s="24"/>
      <c r="T409" s="24"/>
      <c r="U409" s="24"/>
      <c r="V409" s="24"/>
      <c r="W409" s="24"/>
      <c r="X409" s="24"/>
      <c r="Y409" s="24"/>
      <c r="Z409" s="24"/>
      <c r="AA409" s="24"/>
      <c r="AB409" s="24"/>
      <c r="AC409" s="24"/>
    </row>
    <row r="410" spans="1:29" ht="12.9">
      <c r="A410" s="24"/>
      <c r="B410" s="24"/>
      <c r="C410" s="143"/>
      <c r="D410" s="24"/>
      <c r="E410" s="24"/>
      <c r="F410" s="24"/>
      <c r="G410" s="24"/>
      <c r="H410" s="117"/>
      <c r="I410" s="117"/>
      <c r="J410" s="24"/>
      <c r="K410" s="24"/>
      <c r="L410" s="24"/>
      <c r="M410" s="24"/>
      <c r="N410" s="24"/>
      <c r="O410" s="24"/>
      <c r="P410" s="24"/>
      <c r="Q410" s="24"/>
      <c r="R410" s="24"/>
      <c r="S410" s="24"/>
      <c r="T410" s="24"/>
      <c r="U410" s="24"/>
      <c r="V410" s="24"/>
      <c r="W410" s="24"/>
      <c r="X410" s="24"/>
      <c r="Y410" s="24"/>
      <c r="Z410" s="24"/>
      <c r="AA410" s="24"/>
      <c r="AB410" s="24"/>
      <c r="AC410" s="24"/>
    </row>
    <row r="411" spans="1:29" ht="12.9">
      <c r="A411" s="24"/>
      <c r="B411" s="24"/>
      <c r="C411" s="143"/>
      <c r="D411" s="24"/>
      <c r="E411" s="24"/>
      <c r="F411" s="24"/>
      <c r="G411" s="24"/>
      <c r="H411" s="117"/>
      <c r="I411" s="117"/>
      <c r="J411" s="24"/>
      <c r="K411" s="24"/>
      <c r="L411" s="24"/>
      <c r="M411" s="24"/>
      <c r="N411" s="24"/>
      <c r="O411" s="24"/>
      <c r="P411" s="24"/>
      <c r="Q411" s="24"/>
      <c r="R411" s="24"/>
      <c r="S411" s="24"/>
      <c r="T411" s="24"/>
      <c r="U411" s="24"/>
      <c r="V411" s="24"/>
      <c r="W411" s="24"/>
      <c r="X411" s="24"/>
      <c r="Y411" s="24"/>
      <c r="Z411" s="24"/>
      <c r="AA411" s="24"/>
      <c r="AB411" s="24"/>
      <c r="AC411" s="24"/>
    </row>
    <row r="412" spans="1:29" ht="12.9">
      <c r="A412" s="24"/>
      <c r="B412" s="24"/>
      <c r="C412" s="143"/>
      <c r="D412" s="24"/>
      <c r="E412" s="24"/>
      <c r="F412" s="24"/>
      <c r="G412" s="24"/>
      <c r="H412" s="117"/>
      <c r="I412" s="117"/>
      <c r="J412" s="24"/>
      <c r="K412" s="24"/>
      <c r="L412" s="24"/>
      <c r="M412" s="24"/>
      <c r="N412" s="24"/>
      <c r="O412" s="24"/>
      <c r="P412" s="24"/>
      <c r="Q412" s="24"/>
      <c r="R412" s="24"/>
      <c r="S412" s="24"/>
      <c r="T412" s="24"/>
      <c r="U412" s="24"/>
      <c r="V412" s="24"/>
      <c r="W412" s="24"/>
      <c r="X412" s="24"/>
      <c r="Y412" s="24"/>
      <c r="Z412" s="24"/>
      <c r="AA412" s="24"/>
      <c r="AB412" s="24"/>
      <c r="AC412" s="24"/>
    </row>
    <row r="413" spans="1:29" ht="12.9">
      <c r="A413" s="24"/>
      <c r="B413" s="24"/>
      <c r="C413" s="143"/>
      <c r="D413" s="24"/>
      <c r="E413" s="24"/>
      <c r="F413" s="24"/>
      <c r="G413" s="24"/>
      <c r="H413" s="117"/>
      <c r="I413" s="117"/>
      <c r="J413" s="24"/>
      <c r="K413" s="24"/>
      <c r="L413" s="24"/>
      <c r="M413" s="24"/>
      <c r="N413" s="24"/>
      <c r="O413" s="24"/>
      <c r="P413" s="24"/>
      <c r="Q413" s="24"/>
      <c r="R413" s="24"/>
      <c r="S413" s="24"/>
      <c r="T413" s="24"/>
      <c r="U413" s="24"/>
      <c r="V413" s="24"/>
      <c r="W413" s="24"/>
      <c r="X413" s="24"/>
      <c r="Y413" s="24"/>
      <c r="Z413" s="24"/>
      <c r="AA413" s="24"/>
      <c r="AB413" s="24"/>
      <c r="AC413" s="24"/>
    </row>
    <row r="414" spans="1:29" ht="12.9">
      <c r="A414" s="24"/>
      <c r="B414" s="24"/>
      <c r="C414" s="143"/>
      <c r="D414" s="24"/>
      <c r="E414" s="24"/>
      <c r="F414" s="24"/>
      <c r="G414" s="24"/>
      <c r="H414" s="117"/>
      <c r="I414" s="117"/>
      <c r="J414" s="24"/>
      <c r="K414" s="24"/>
      <c r="L414" s="24"/>
      <c r="M414" s="24"/>
      <c r="N414" s="24"/>
      <c r="O414" s="24"/>
      <c r="P414" s="24"/>
      <c r="Q414" s="24"/>
      <c r="R414" s="24"/>
      <c r="S414" s="24"/>
      <c r="T414" s="24"/>
      <c r="U414" s="24"/>
      <c r="V414" s="24"/>
      <c r="W414" s="24"/>
      <c r="X414" s="24"/>
      <c r="Y414" s="24"/>
      <c r="Z414" s="24"/>
      <c r="AA414" s="24"/>
      <c r="AB414" s="24"/>
      <c r="AC414" s="24"/>
    </row>
    <row r="415" spans="1:29" ht="12.9">
      <c r="A415" s="24"/>
      <c r="B415" s="24"/>
      <c r="C415" s="143"/>
      <c r="D415" s="24"/>
      <c r="E415" s="24"/>
      <c r="F415" s="24"/>
      <c r="G415" s="24"/>
      <c r="H415" s="117"/>
      <c r="I415" s="117"/>
      <c r="J415" s="24"/>
      <c r="K415" s="24"/>
      <c r="L415" s="24"/>
      <c r="M415" s="24"/>
      <c r="N415" s="24"/>
      <c r="O415" s="24"/>
      <c r="P415" s="24"/>
      <c r="Q415" s="24"/>
      <c r="R415" s="24"/>
      <c r="S415" s="24"/>
      <c r="T415" s="24"/>
      <c r="U415" s="24"/>
      <c r="V415" s="24"/>
      <c r="W415" s="24"/>
      <c r="X415" s="24"/>
      <c r="Y415" s="24"/>
      <c r="Z415" s="24"/>
      <c r="AA415" s="24"/>
      <c r="AB415" s="24"/>
      <c r="AC415" s="24"/>
    </row>
    <row r="416" spans="1:29" ht="12.9">
      <c r="A416" s="24"/>
      <c r="B416" s="24"/>
      <c r="C416" s="143"/>
      <c r="D416" s="24"/>
      <c r="E416" s="24"/>
      <c r="F416" s="24"/>
      <c r="G416" s="24"/>
      <c r="H416" s="117"/>
      <c r="I416" s="117"/>
      <c r="J416" s="24"/>
      <c r="K416" s="24"/>
      <c r="L416" s="24"/>
      <c r="M416" s="24"/>
      <c r="N416" s="24"/>
      <c r="O416" s="24"/>
      <c r="P416" s="24"/>
      <c r="Q416" s="24"/>
      <c r="R416" s="24"/>
      <c r="S416" s="24"/>
      <c r="T416" s="24"/>
      <c r="U416" s="24"/>
      <c r="V416" s="24"/>
      <c r="W416" s="24"/>
      <c r="X416" s="24"/>
      <c r="Y416" s="24"/>
      <c r="Z416" s="24"/>
      <c r="AA416" s="24"/>
      <c r="AB416" s="24"/>
      <c r="AC416" s="24"/>
    </row>
    <row r="417" spans="1:29" ht="12.9">
      <c r="A417" s="24"/>
      <c r="B417" s="24"/>
      <c r="C417" s="143"/>
      <c r="D417" s="24"/>
      <c r="E417" s="24"/>
      <c r="F417" s="24"/>
      <c r="G417" s="24"/>
      <c r="H417" s="117"/>
      <c r="I417" s="117"/>
      <c r="J417" s="24"/>
      <c r="K417" s="24"/>
      <c r="L417" s="24"/>
      <c r="M417" s="24"/>
      <c r="N417" s="24"/>
      <c r="O417" s="24"/>
      <c r="P417" s="24"/>
      <c r="Q417" s="24"/>
      <c r="R417" s="24"/>
      <c r="S417" s="24"/>
      <c r="T417" s="24"/>
      <c r="U417" s="24"/>
      <c r="V417" s="24"/>
      <c r="W417" s="24"/>
      <c r="X417" s="24"/>
      <c r="Y417" s="24"/>
      <c r="Z417" s="24"/>
      <c r="AA417" s="24"/>
      <c r="AB417" s="24"/>
      <c r="AC417" s="24"/>
    </row>
    <row r="418" spans="1:29" ht="12.9">
      <c r="A418" s="24"/>
      <c r="B418" s="24"/>
      <c r="C418" s="143"/>
      <c r="D418" s="24"/>
      <c r="E418" s="24"/>
      <c r="F418" s="24"/>
      <c r="G418" s="24"/>
      <c r="H418" s="117"/>
      <c r="I418" s="117"/>
      <c r="J418" s="24"/>
      <c r="K418" s="24"/>
      <c r="L418" s="24"/>
      <c r="M418" s="24"/>
      <c r="N418" s="24"/>
      <c r="O418" s="24"/>
      <c r="P418" s="24"/>
      <c r="Q418" s="24"/>
      <c r="R418" s="24"/>
      <c r="S418" s="24"/>
      <c r="T418" s="24"/>
      <c r="U418" s="24"/>
      <c r="V418" s="24"/>
      <c r="W418" s="24"/>
      <c r="X418" s="24"/>
      <c r="Y418" s="24"/>
      <c r="Z418" s="24"/>
      <c r="AA418" s="24"/>
      <c r="AB418" s="24"/>
      <c r="AC418" s="24"/>
    </row>
    <row r="419" spans="1:29" ht="12.9">
      <c r="A419" s="24"/>
      <c r="B419" s="24"/>
      <c r="C419" s="143"/>
      <c r="D419" s="24"/>
      <c r="E419" s="24"/>
      <c r="F419" s="24"/>
      <c r="G419" s="24"/>
      <c r="H419" s="117"/>
      <c r="I419" s="117"/>
      <c r="J419" s="24"/>
      <c r="K419" s="24"/>
      <c r="L419" s="24"/>
      <c r="M419" s="24"/>
      <c r="N419" s="24"/>
      <c r="O419" s="24"/>
      <c r="P419" s="24"/>
      <c r="Q419" s="24"/>
      <c r="R419" s="24"/>
      <c r="S419" s="24"/>
      <c r="T419" s="24"/>
      <c r="U419" s="24"/>
      <c r="V419" s="24"/>
      <c r="W419" s="24"/>
      <c r="X419" s="24"/>
      <c r="Y419" s="24"/>
      <c r="Z419" s="24"/>
      <c r="AA419" s="24"/>
      <c r="AB419" s="24"/>
      <c r="AC419" s="24"/>
    </row>
    <row r="420" spans="1:29" ht="12.9">
      <c r="A420" s="24"/>
      <c r="B420" s="24"/>
      <c r="C420" s="143"/>
      <c r="D420" s="24"/>
      <c r="E420" s="24"/>
      <c r="F420" s="24"/>
      <c r="G420" s="24"/>
      <c r="H420" s="117"/>
      <c r="I420" s="117"/>
      <c r="J420" s="24"/>
      <c r="K420" s="24"/>
      <c r="L420" s="24"/>
      <c r="M420" s="24"/>
      <c r="N420" s="24"/>
      <c r="O420" s="24"/>
      <c r="P420" s="24"/>
      <c r="Q420" s="24"/>
      <c r="R420" s="24"/>
      <c r="S420" s="24"/>
      <c r="T420" s="24"/>
      <c r="U420" s="24"/>
      <c r="V420" s="24"/>
      <c r="W420" s="24"/>
      <c r="X420" s="24"/>
      <c r="Y420" s="24"/>
      <c r="Z420" s="24"/>
      <c r="AA420" s="24"/>
      <c r="AB420" s="24"/>
      <c r="AC420" s="24"/>
    </row>
    <row r="421" spans="1:29" ht="12.9">
      <c r="A421" s="24"/>
      <c r="B421" s="24"/>
      <c r="C421" s="143"/>
      <c r="D421" s="24"/>
      <c r="E421" s="24"/>
      <c r="F421" s="24"/>
      <c r="G421" s="24"/>
      <c r="H421" s="117"/>
      <c r="I421" s="117"/>
      <c r="J421" s="24"/>
      <c r="K421" s="24"/>
      <c r="L421" s="24"/>
      <c r="M421" s="24"/>
      <c r="N421" s="24"/>
      <c r="O421" s="24"/>
      <c r="P421" s="24"/>
      <c r="Q421" s="24"/>
      <c r="R421" s="24"/>
      <c r="S421" s="24"/>
      <c r="T421" s="24"/>
      <c r="U421" s="24"/>
      <c r="V421" s="24"/>
      <c r="W421" s="24"/>
      <c r="X421" s="24"/>
      <c r="Y421" s="24"/>
      <c r="Z421" s="24"/>
      <c r="AA421" s="24"/>
      <c r="AB421" s="24"/>
      <c r="AC421" s="24"/>
    </row>
    <row r="422" spans="1:29" ht="12.9">
      <c r="A422" s="24"/>
      <c r="B422" s="24"/>
      <c r="C422" s="143"/>
      <c r="D422" s="24"/>
      <c r="E422" s="24"/>
      <c r="F422" s="24"/>
      <c r="G422" s="24"/>
      <c r="H422" s="117"/>
      <c r="I422" s="117"/>
      <c r="J422" s="24"/>
      <c r="K422" s="24"/>
      <c r="L422" s="24"/>
      <c r="M422" s="24"/>
      <c r="N422" s="24"/>
      <c r="O422" s="24"/>
      <c r="P422" s="24"/>
      <c r="Q422" s="24"/>
      <c r="R422" s="24"/>
      <c r="S422" s="24"/>
      <c r="T422" s="24"/>
      <c r="U422" s="24"/>
      <c r="V422" s="24"/>
      <c r="W422" s="24"/>
      <c r="X422" s="24"/>
      <c r="Y422" s="24"/>
      <c r="Z422" s="24"/>
      <c r="AA422" s="24"/>
      <c r="AB422" s="24"/>
      <c r="AC422" s="24"/>
    </row>
    <row r="423" spans="1:29" ht="12.9">
      <c r="A423" s="24"/>
      <c r="B423" s="24"/>
      <c r="C423" s="143"/>
      <c r="D423" s="24"/>
      <c r="E423" s="24"/>
      <c r="F423" s="24"/>
      <c r="G423" s="24"/>
      <c r="H423" s="117"/>
      <c r="I423" s="117"/>
      <c r="J423" s="24"/>
      <c r="K423" s="24"/>
      <c r="L423" s="24"/>
      <c r="M423" s="24"/>
      <c r="N423" s="24"/>
      <c r="O423" s="24"/>
      <c r="P423" s="24"/>
      <c r="Q423" s="24"/>
      <c r="R423" s="24"/>
      <c r="S423" s="24"/>
      <c r="T423" s="24"/>
      <c r="U423" s="24"/>
      <c r="V423" s="24"/>
      <c r="W423" s="24"/>
      <c r="X423" s="24"/>
      <c r="Y423" s="24"/>
      <c r="Z423" s="24"/>
      <c r="AA423" s="24"/>
      <c r="AB423" s="24"/>
      <c r="AC423" s="24"/>
    </row>
    <row r="424" spans="1:29" ht="12.9">
      <c r="A424" s="24"/>
      <c r="B424" s="24"/>
      <c r="C424" s="143"/>
      <c r="D424" s="24"/>
      <c r="E424" s="24"/>
      <c r="F424" s="24"/>
      <c r="G424" s="24"/>
      <c r="H424" s="117"/>
      <c r="I424" s="117"/>
      <c r="J424" s="24"/>
      <c r="K424" s="24"/>
      <c r="L424" s="24"/>
      <c r="M424" s="24"/>
      <c r="N424" s="24"/>
      <c r="O424" s="24"/>
      <c r="P424" s="24"/>
      <c r="Q424" s="24"/>
      <c r="R424" s="24"/>
      <c r="S424" s="24"/>
      <c r="T424" s="24"/>
      <c r="U424" s="24"/>
      <c r="V424" s="24"/>
      <c r="W424" s="24"/>
      <c r="X424" s="24"/>
      <c r="Y424" s="24"/>
      <c r="Z424" s="24"/>
      <c r="AA424" s="24"/>
      <c r="AB424" s="24"/>
      <c r="AC424" s="24"/>
    </row>
    <row r="425" spans="1:29" ht="12.9">
      <c r="A425" s="24"/>
      <c r="B425" s="24"/>
      <c r="C425" s="143"/>
      <c r="D425" s="24"/>
      <c r="E425" s="24"/>
      <c r="F425" s="24"/>
      <c r="G425" s="24"/>
      <c r="H425" s="117"/>
      <c r="I425" s="117"/>
      <c r="J425" s="24"/>
      <c r="K425" s="24"/>
      <c r="L425" s="24"/>
      <c r="M425" s="24"/>
      <c r="N425" s="24"/>
      <c r="O425" s="24"/>
      <c r="P425" s="24"/>
      <c r="Q425" s="24"/>
      <c r="R425" s="24"/>
      <c r="S425" s="24"/>
      <c r="T425" s="24"/>
      <c r="U425" s="24"/>
      <c r="V425" s="24"/>
      <c r="W425" s="24"/>
      <c r="X425" s="24"/>
      <c r="Y425" s="24"/>
      <c r="Z425" s="24"/>
      <c r="AA425" s="24"/>
      <c r="AB425" s="24"/>
      <c r="AC425" s="24"/>
    </row>
    <row r="426" spans="1:29" ht="12.9">
      <c r="A426" s="24"/>
      <c r="B426" s="24"/>
      <c r="C426" s="143"/>
      <c r="D426" s="24"/>
      <c r="E426" s="24"/>
      <c r="F426" s="24"/>
      <c r="G426" s="24"/>
      <c r="H426" s="117"/>
      <c r="I426" s="117"/>
      <c r="J426" s="24"/>
      <c r="K426" s="24"/>
      <c r="L426" s="24"/>
      <c r="M426" s="24"/>
      <c r="N426" s="24"/>
      <c r="O426" s="24"/>
      <c r="P426" s="24"/>
      <c r="Q426" s="24"/>
      <c r="R426" s="24"/>
      <c r="S426" s="24"/>
      <c r="T426" s="24"/>
      <c r="U426" s="24"/>
      <c r="V426" s="24"/>
      <c r="W426" s="24"/>
      <c r="X426" s="24"/>
      <c r="Y426" s="24"/>
      <c r="Z426" s="24"/>
      <c r="AA426" s="24"/>
      <c r="AB426" s="24"/>
      <c r="AC426" s="24"/>
    </row>
    <row r="427" spans="1:29" ht="12.9">
      <c r="A427" s="24"/>
      <c r="B427" s="24"/>
      <c r="C427" s="143"/>
      <c r="D427" s="24"/>
      <c r="E427" s="24"/>
      <c r="F427" s="24"/>
      <c r="G427" s="24"/>
      <c r="H427" s="117"/>
      <c r="I427" s="117"/>
      <c r="J427" s="24"/>
      <c r="K427" s="24"/>
      <c r="L427" s="24"/>
      <c r="M427" s="24"/>
      <c r="N427" s="24"/>
      <c r="O427" s="24"/>
      <c r="P427" s="24"/>
      <c r="Q427" s="24"/>
      <c r="R427" s="24"/>
      <c r="S427" s="24"/>
      <c r="T427" s="24"/>
      <c r="U427" s="24"/>
      <c r="V427" s="24"/>
      <c r="W427" s="24"/>
      <c r="X427" s="24"/>
      <c r="Y427" s="24"/>
      <c r="Z427" s="24"/>
      <c r="AA427" s="24"/>
      <c r="AB427" s="24"/>
      <c r="AC427" s="24"/>
    </row>
    <row r="428" spans="1:29" ht="12.9">
      <c r="A428" s="24"/>
      <c r="B428" s="24"/>
      <c r="C428" s="143"/>
      <c r="D428" s="24"/>
      <c r="E428" s="24"/>
      <c r="F428" s="24"/>
      <c r="G428" s="24"/>
      <c r="H428" s="117"/>
      <c r="I428" s="117"/>
      <c r="J428" s="24"/>
      <c r="K428" s="24"/>
      <c r="L428" s="24"/>
      <c r="M428" s="24"/>
      <c r="N428" s="24"/>
      <c r="O428" s="24"/>
      <c r="P428" s="24"/>
      <c r="Q428" s="24"/>
      <c r="R428" s="24"/>
      <c r="S428" s="24"/>
      <c r="T428" s="24"/>
      <c r="U428" s="24"/>
      <c r="V428" s="24"/>
      <c r="W428" s="24"/>
      <c r="X428" s="24"/>
      <c r="Y428" s="24"/>
      <c r="Z428" s="24"/>
      <c r="AA428" s="24"/>
      <c r="AB428" s="24"/>
      <c r="AC428" s="24"/>
    </row>
    <row r="429" spans="1:29" ht="12.9">
      <c r="A429" s="24"/>
      <c r="B429" s="24"/>
      <c r="C429" s="143"/>
      <c r="D429" s="24"/>
      <c r="E429" s="24"/>
      <c r="F429" s="24"/>
      <c r="G429" s="24"/>
      <c r="H429" s="117"/>
      <c r="I429" s="117"/>
      <c r="J429" s="24"/>
      <c r="K429" s="24"/>
      <c r="L429" s="24"/>
      <c r="M429" s="24"/>
      <c r="N429" s="24"/>
      <c r="O429" s="24"/>
      <c r="P429" s="24"/>
      <c r="Q429" s="24"/>
      <c r="R429" s="24"/>
      <c r="S429" s="24"/>
      <c r="T429" s="24"/>
      <c r="U429" s="24"/>
      <c r="V429" s="24"/>
      <c r="W429" s="24"/>
      <c r="X429" s="24"/>
      <c r="Y429" s="24"/>
      <c r="Z429" s="24"/>
      <c r="AA429" s="24"/>
      <c r="AB429" s="24"/>
      <c r="AC429" s="24"/>
    </row>
    <row r="430" spans="1:29" ht="12.9">
      <c r="A430" s="24"/>
      <c r="B430" s="24"/>
      <c r="C430" s="143"/>
      <c r="D430" s="24"/>
      <c r="E430" s="24"/>
      <c r="F430" s="24"/>
      <c r="G430" s="24"/>
      <c r="H430" s="117"/>
      <c r="I430" s="117"/>
      <c r="J430" s="24"/>
      <c r="K430" s="24"/>
      <c r="L430" s="24"/>
      <c r="M430" s="24"/>
      <c r="N430" s="24"/>
      <c r="O430" s="24"/>
      <c r="P430" s="24"/>
      <c r="Q430" s="24"/>
      <c r="R430" s="24"/>
      <c r="S430" s="24"/>
      <c r="T430" s="24"/>
      <c r="U430" s="24"/>
      <c r="V430" s="24"/>
      <c r="W430" s="24"/>
      <c r="X430" s="24"/>
      <c r="Y430" s="24"/>
      <c r="Z430" s="24"/>
      <c r="AA430" s="24"/>
      <c r="AB430" s="24"/>
      <c r="AC430" s="24"/>
    </row>
    <row r="431" spans="1:29" ht="12.9">
      <c r="A431" s="24"/>
      <c r="B431" s="24"/>
      <c r="C431" s="143"/>
      <c r="D431" s="24"/>
      <c r="E431" s="24"/>
      <c r="F431" s="24"/>
      <c r="G431" s="24"/>
      <c r="H431" s="117"/>
      <c r="I431" s="117"/>
      <c r="J431" s="24"/>
      <c r="K431" s="24"/>
      <c r="L431" s="24"/>
      <c r="M431" s="24"/>
      <c r="N431" s="24"/>
      <c r="O431" s="24"/>
      <c r="P431" s="24"/>
      <c r="Q431" s="24"/>
      <c r="R431" s="24"/>
      <c r="S431" s="24"/>
      <c r="T431" s="24"/>
      <c r="U431" s="24"/>
      <c r="V431" s="24"/>
      <c r="W431" s="24"/>
      <c r="X431" s="24"/>
      <c r="Y431" s="24"/>
      <c r="Z431" s="24"/>
      <c r="AA431" s="24"/>
      <c r="AB431" s="24"/>
      <c r="AC431" s="24"/>
    </row>
    <row r="432" spans="1:29" ht="12.9">
      <c r="A432" s="24"/>
      <c r="B432" s="24"/>
      <c r="C432" s="143"/>
      <c r="D432" s="24"/>
      <c r="E432" s="24"/>
      <c r="F432" s="24"/>
      <c r="G432" s="24"/>
      <c r="H432" s="117"/>
      <c r="I432" s="117"/>
      <c r="J432" s="24"/>
      <c r="K432" s="24"/>
      <c r="L432" s="24"/>
      <c r="M432" s="24"/>
      <c r="N432" s="24"/>
      <c r="O432" s="24"/>
      <c r="P432" s="24"/>
      <c r="Q432" s="24"/>
      <c r="R432" s="24"/>
      <c r="S432" s="24"/>
      <c r="T432" s="24"/>
      <c r="U432" s="24"/>
      <c r="V432" s="24"/>
      <c r="W432" s="24"/>
      <c r="X432" s="24"/>
      <c r="Y432" s="24"/>
      <c r="Z432" s="24"/>
      <c r="AA432" s="24"/>
      <c r="AB432" s="24"/>
      <c r="AC432" s="24"/>
    </row>
    <row r="433" spans="1:29" ht="12.9">
      <c r="A433" s="24"/>
      <c r="B433" s="24"/>
      <c r="C433" s="143"/>
      <c r="D433" s="24"/>
      <c r="E433" s="24"/>
      <c r="F433" s="24"/>
      <c r="G433" s="24"/>
      <c r="H433" s="117"/>
      <c r="I433" s="117"/>
      <c r="J433" s="24"/>
      <c r="K433" s="24"/>
      <c r="L433" s="24"/>
      <c r="M433" s="24"/>
      <c r="N433" s="24"/>
      <c r="O433" s="24"/>
      <c r="P433" s="24"/>
      <c r="Q433" s="24"/>
      <c r="R433" s="24"/>
      <c r="S433" s="24"/>
      <c r="T433" s="24"/>
      <c r="U433" s="24"/>
      <c r="V433" s="24"/>
      <c r="W433" s="24"/>
      <c r="X433" s="24"/>
      <c r="Y433" s="24"/>
      <c r="Z433" s="24"/>
      <c r="AA433" s="24"/>
      <c r="AB433" s="24"/>
      <c r="AC433" s="24"/>
    </row>
    <row r="434" spans="1:29" ht="12.9">
      <c r="A434" s="24"/>
      <c r="B434" s="24"/>
      <c r="C434" s="143"/>
      <c r="D434" s="24"/>
      <c r="E434" s="24"/>
      <c r="F434" s="24"/>
      <c r="G434" s="24"/>
      <c r="H434" s="117"/>
      <c r="I434" s="117"/>
      <c r="J434" s="24"/>
      <c r="K434" s="24"/>
      <c r="L434" s="24"/>
      <c r="M434" s="24"/>
      <c r="N434" s="24"/>
      <c r="O434" s="24"/>
      <c r="P434" s="24"/>
      <c r="Q434" s="24"/>
      <c r="R434" s="24"/>
      <c r="S434" s="24"/>
      <c r="T434" s="24"/>
      <c r="U434" s="24"/>
      <c r="V434" s="24"/>
      <c r="W434" s="24"/>
      <c r="X434" s="24"/>
      <c r="Y434" s="24"/>
      <c r="Z434" s="24"/>
      <c r="AA434" s="24"/>
      <c r="AB434" s="24"/>
      <c r="AC434" s="24"/>
    </row>
    <row r="435" spans="1:29" ht="12.9">
      <c r="A435" s="24"/>
      <c r="B435" s="24"/>
      <c r="C435" s="143"/>
      <c r="D435" s="24"/>
      <c r="E435" s="24"/>
      <c r="F435" s="24"/>
      <c r="G435" s="24"/>
      <c r="H435" s="117"/>
      <c r="I435" s="117"/>
      <c r="J435" s="24"/>
      <c r="K435" s="24"/>
      <c r="L435" s="24"/>
      <c r="M435" s="24"/>
      <c r="N435" s="24"/>
      <c r="O435" s="24"/>
      <c r="P435" s="24"/>
      <c r="Q435" s="24"/>
      <c r="R435" s="24"/>
      <c r="S435" s="24"/>
      <c r="T435" s="24"/>
      <c r="U435" s="24"/>
      <c r="V435" s="24"/>
      <c r="W435" s="24"/>
      <c r="X435" s="24"/>
      <c r="Y435" s="24"/>
      <c r="Z435" s="24"/>
      <c r="AA435" s="24"/>
      <c r="AB435" s="24"/>
      <c r="AC435" s="24"/>
    </row>
    <row r="436" spans="1:29" ht="12.9">
      <c r="A436" s="24"/>
      <c r="B436" s="24"/>
      <c r="C436" s="143"/>
      <c r="D436" s="24"/>
      <c r="E436" s="24"/>
      <c r="F436" s="24"/>
      <c r="G436" s="24"/>
      <c r="H436" s="117"/>
      <c r="I436" s="117"/>
      <c r="J436" s="24"/>
      <c r="K436" s="24"/>
      <c r="L436" s="24"/>
      <c r="M436" s="24"/>
      <c r="N436" s="24"/>
      <c r="O436" s="24"/>
      <c r="P436" s="24"/>
      <c r="Q436" s="24"/>
      <c r="R436" s="24"/>
      <c r="S436" s="24"/>
      <c r="T436" s="24"/>
      <c r="U436" s="24"/>
      <c r="V436" s="24"/>
      <c r="W436" s="24"/>
      <c r="X436" s="24"/>
      <c r="Y436" s="24"/>
      <c r="Z436" s="24"/>
      <c r="AA436" s="24"/>
      <c r="AB436" s="24"/>
      <c r="AC436" s="24"/>
    </row>
    <row r="437" spans="1:29" ht="12.9">
      <c r="A437" s="24"/>
      <c r="B437" s="24"/>
      <c r="C437" s="143"/>
      <c r="D437" s="24"/>
      <c r="E437" s="24"/>
      <c r="F437" s="24"/>
      <c r="G437" s="24"/>
      <c r="H437" s="117"/>
      <c r="I437" s="117"/>
      <c r="J437" s="24"/>
      <c r="K437" s="24"/>
      <c r="L437" s="24"/>
      <c r="M437" s="24"/>
      <c r="N437" s="24"/>
      <c r="O437" s="24"/>
      <c r="P437" s="24"/>
      <c r="Q437" s="24"/>
      <c r="R437" s="24"/>
      <c r="S437" s="24"/>
      <c r="T437" s="24"/>
      <c r="U437" s="24"/>
      <c r="V437" s="24"/>
      <c r="W437" s="24"/>
      <c r="X437" s="24"/>
      <c r="Y437" s="24"/>
      <c r="Z437" s="24"/>
      <c r="AA437" s="24"/>
      <c r="AB437" s="24"/>
      <c r="AC437" s="24"/>
    </row>
    <row r="438" spans="1:29" ht="12.9">
      <c r="A438" s="24"/>
      <c r="B438" s="24"/>
      <c r="C438" s="143"/>
      <c r="D438" s="24"/>
      <c r="E438" s="24"/>
      <c r="F438" s="24"/>
      <c r="G438" s="24"/>
      <c r="H438" s="117"/>
      <c r="I438" s="117"/>
      <c r="J438" s="24"/>
      <c r="K438" s="24"/>
      <c r="L438" s="24"/>
      <c r="M438" s="24"/>
      <c r="N438" s="24"/>
      <c r="O438" s="24"/>
      <c r="P438" s="24"/>
      <c r="Q438" s="24"/>
      <c r="R438" s="24"/>
      <c r="S438" s="24"/>
      <c r="T438" s="24"/>
      <c r="U438" s="24"/>
      <c r="V438" s="24"/>
      <c r="W438" s="24"/>
      <c r="X438" s="24"/>
      <c r="Y438" s="24"/>
      <c r="Z438" s="24"/>
      <c r="AA438" s="24"/>
      <c r="AB438" s="24"/>
      <c r="AC438" s="24"/>
    </row>
    <row r="439" spans="1:29" ht="12.9">
      <c r="A439" s="24"/>
      <c r="B439" s="24"/>
      <c r="C439" s="143"/>
      <c r="D439" s="24"/>
      <c r="E439" s="24"/>
      <c r="F439" s="24"/>
      <c r="G439" s="24"/>
      <c r="H439" s="117"/>
      <c r="I439" s="117"/>
      <c r="J439" s="24"/>
      <c r="K439" s="24"/>
      <c r="L439" s="24"/>
      <c r="M439" s="24"/>
      <c r="N439" s="24"/>
      <c r="O439" s="24"/>
      <c r="P439" s="24"/>
      <c r="Q439" s="24"/>
      <c r="R439" s="24"/>
      <c r="S439" s="24"/>
      <c r="T439" s="24"/>
      <c r="U439" s="24"/>
      <c r="V439" s="24"/>
      <c r="W439" s="24"/>
      <c r="X439" s="24"/>
      <c r="Y439" s="24"/>
      <c r="Z439" s="24"/>
      <c r="AA439" s="24"/>
      <c r="AB439" s="24"/>
      <c r="AC439" s="24"/>
    </row>
    <row r="440" spans="1:29" ht="12.9">
      <c r="A440" s="24"/>
      <c r="B440" s="24"/>
      <c r="C440" s="143"/>
      <c r="D440" s="24"/>
      <c r="E440" s="24"/>
      <c r="F440" s="24"/>
      <c r="G440" s="24"/>
      <c r="H440" s="117"/>
      <c r="I440" s="117"/>
      <c r="J440" s="24"/>
      <c r="K440" s="24"/>
      <c r="L440" s="24"/>
      <c r="M440" s="24"/>
      <c r="N440" s="24"/>
      <c r="O440" s="24"/>
      <c r="P440" s="24"/>
      <c r="Q440" s="24"/>
      <c r="R440" s="24"/>
      <c r="S440" s="24"/>
      <c r="T440" s="24"/>
      <c r="U440" s="24"/>
      <c r="V440" s="24"/>
      <c r="W440" s="24"/>
      <c r="X440" s="24"/>
      <c r="Y440" s="24"/>
      <c r="Z440" s="24"/>
      <c r="AA440" s="24"/>
      <c r="AB440" s="24"/>
      <c r="AC440" s="24"/>
    </row>
    <row r="441" spans="1:29" ht="12.9">
      <c r="A441" s="24"/>
      <c r="B441" s="24"/>
      <c r="C441" s="143"/>
      <c r="D441" s="24"/>
      <c r="E441" s="24"/>
      <c r="F441" s="24"/>
      <c r="G441" s="24"/>
      <c r="H441" s="117"/>
      <c r="I441" s="117"/>
      <c r="J441" s="24"/>
      <c r="K441" s="24"/>
      <c r="L441" s="24"/>
      <c r="M441" s="24"/>
      <c r="N441" s="24"/>
      <c r="O441" s="24"/>
      <c r="P441" s="24"/>
      <c r="Q441" s="24"/>
      <c r="R441" s="24"/>
      <c r="S441" s="24"/>
      <c r="T441" s="24"/>
      <c r="U441" s="24"/>
      <c r="V441" s="24"/>
      <c r="W441" s="24"/>
      <c r="X441" s="24"/>
      <c r="Y441" s="24"/>
      <c r="Z441" s="24"/>
      <c r="AA441" s="24"/>
      <c r="AB441" s="24"/>
      <c r="AC441" s="24"/>
    </row>
    <row r="442" spans="1:29" ht="12.9">
      <c r="A442" s="24"/>
      <c r="B442" s="24"/>
      <c r="C442" s="143"/>
      <c r="D442" s="24"/>
      <c r="E442" s="24"/>
      <c r="F442" s="24"/>
      <c r="G442" s="24"/>
      <c r="H442" s="117"/>
      <c r="I442" s="117"/>
      <c r="J442" s="24"/>
      <c r="K442" s="24"/>
      <c r="L442" s="24"/>
      <c r="M442" s="24"/>
      <c r="N442" s="24"/>
      <c r="O442" s="24"/>
      <c r="P442" s="24"/>
      <c r="Q442" s="24"/>
      <c r="R442" s="24"/>
      <c r="S442" s="24"/>
      <c r="T442" s="24"/>
      <c r="U442" s="24"/>
      <c r="V442" s="24"/>
      <c r="W442" s="24"/>
      <c r="X442" s="24"/>
      <c r="Y442" s="24"/>
      <c r="Z442" s="24"/>
      <c r="AA442" s="24"/>
      <c r="AB442" s="24"/>
      <c r="AC442" s="24"/>
    </row>
    <row r="443" spans="1:29" ht="12.9">
      <c r="A443" s="24"/>
      <c r="B443" s="24"/>
      <c r="C443" s="143"/>
      <c r="D443" s="24"/>
      <c r="E443" s="24"/>
      <c r="F443" s="24"/>
      <c r="G443" s="24"/>
      <c r="H443" s="117"/>
      <c r="I443" s="117"/>
      <c r="J443" s="24"/>
      <c r="K443" s="24"/>
      <c r="L443" s="24"/>
      <c r="M443" s="24"/>
      <c r="N443" s="24"/>
      <c r="O443" s="24"/>
      <c r="P443" s="24"/>
      <c r="Q443" s="24"/>
      <c r="R443" s="24"/>
      <c r="S443" s="24"/>
      <c r="T443" s="24"/>
      <c r="U443" s="24"/>
      <c r="V443" s="24"/>
      <c r="W443" s="24"/>
      <c r="X443" s="24"/>
      <c r="Y443" s="24"/>
      <c r="Z443" s="24"/>
      <c r="AA443" s="24"/>
      <c r="AB443" s="24"/>
      <c r="AC443" s="24"/>
    </row>
    <row r="444" spans="1:29" ht="12.9">
      <c r="A444" s="24"/>
      <c r="B444" s="24"/>
      <c r="C444" s="143"/>
      <c r="D444" s="24"/>
      <c r="E444" s="24"/>
      <c r="F444" s="24"/>
      <c r="G444" s="24"/>
      <c r="H444" s="117"/>
      <c r="I444" s="117"/>
      <c r="J444" s="24"/>
      <c r="K444" s="24"/>
      <c r="L444" s="24"/>
      <c r="M444" s="24"/>
      <c r="N444" s="24"/>
      <c r="O444" s="24"/>
      <c r="P444" s="24"/>
      <c r="Q444" s="24"/>
      <c r="R444" s="24"/>
      <c r="S444" s="24"/>
      <c r="T444" s="24"/>
      <c r="U444" s="24"/>
      <c r="V444" s="24"/>
      <c r="W444" s="24"/>
      <c r="X444" s="24"/>
      <c r="Y444" s="24"/>
      <c r="Z444" s="24"/>
      <c r="AA444" s="24"/>
      <c r="AB444" s="24"/>
      <c r="AC444" s="24"/>
    </row>
    <row r="445" spans="1:29" ht="12.9">
      <c r="A445" s="24"/>
      <c r="B445" s="24"/>
      <c r="C445" s="143"/>
      <c r="D445" s="24"/>
      <c r="E445" s="24"/>
      <c r="F445" s="24"/>
      <c r="G445" s="24"/>
      <c r="H445" s="117"/>
      <c r="I445" s="117"/>
      <c r="J445" s="24"/>
      <c r="K445" s="24"/>
      <c r="L445" s="24"/>
      <c r="M445" s="24"/>
      <c r="N445" s="24"/>
      <c r="O445" s="24"/>
      <c r="P445" s="24"/>
      <c r="Q445" s="24"/>
      <c r="R445" s="24"/>
      <c r="S445" s="24"/>
      <c r="T445" s="24"/>
      <c r="U445" s="24"/>
      <c r="V445" s="24"/>
      <c r="W445" s="24"/>
      <c r="X445" s="24"/>
      <c r="Y445" s="24"/>
      <c r="Z445" s="24"/>
      <c r="AA445" s="24"/>
      <c r="AB445" s="24"/>
      <c r="AC445" s="24"/>
    </row>
    <row r="446" spans="1:29" ht="12.9">
      <c r="A446" s="24"/>
      <c r="B446" s="24"/>
      <c r="C446" s="143"/>
      <c r="D446" s="24"/>
      <c r="E446" s="24"/>
      <c r="F446" s="24"/>
      <c r="G446" s="24"/>
      <c r="H446" s="117"/>
      <c r="I446" s="117"/>
      <c r="J446" s="24"/>
      <c r="K446" s="24"/>
      <c r="L446" s="24"/>
      <c r="M446" s="24"/>
      <c r="N446" s="24"/>
      <c r="O446" s="24"/>
      <c r="P446" s="24"/>
      <c r="Q446" s="24"/>
      <c r="R446" s="24"/>
      <c r="S446" s="24"/>
      <c r="T446" s="24"/>
      <c r="U446" s="24"/>
      <c r="V446" s="24"/>
      <c r="W446" s="24"/>
      <c r="X446" s="24"/>
      <c r="Y446" s="24"/>
      <c r="Z446" s="24"/>
      <c r="AA446" s="24"/>
      <c r="AB446" s="24"/>
      <c r="AC446" s="24"/>
    </row>
    <row r="447" spans="1:29" ht="12.9">
      <c r="A447" s="24"/>
      <c r="B447" s="24"/>
      <c r="C447" s="143"/>
      <c r="D447" s="24"/>
      <c r="E447" s="24"/>
      <c r="F447" s="24"/>
      <c r="G447" s="24"/>
      <c r="H447" s="117"/>
      <c r="I447" s="117"/>
      <c r="J447" s="24"/>
      <c r="K447" s="24"/>
      <c r="L447" s="24"/>
      <c r="M447" s="24"/>
      <c r="N447" s="24"/>
      <c r="O447" s="24"/>
      <c r="P447" s="24"/>
      <c r="Q447" s="24"/>
      <c r="R447" s="24"/>
      <c r="S447" s="24"/>
      <c r="T447" s="24"/>
      <c r="U447" s="24"/>
      <c r="V447" s="24"/>
      <c r="W447" s="24"/>
      <c r="X447" s="24"/>
      <c r="Y447" s="24"/>
      <c r="Z447" s="24"/>
      <c r="AA447" s="24"/>
      <c r="AB447" s="24"/>
      <c r="AC447" s="24"/>
    </row>
    <row r="448" spans="1:29" ht="12.9">
      <c r="A448" s="24"/>
      <c r="B448" s="24"/>
      <c r="C448" s="143"/>
      <c r="D448" s="24"/>
      <c r="E448" s="24"/>
      <c r="F448" s="24"/>
      <c r="G448" s="24"/>
      <c r="H448" s="117"/>
      <c r="I448" s="117"/>
      <c r="J448" s="24"/>
      <c r="K448" s="24"/>
      <c r="L448" s="24"/>
      <c r="M448" s="24"/>
      <c r="N448" s="24"/>
      <c r="O448" s="24"/>
      <c r="P448" s="24"/>
      <c r="Q448" s="24"/>
      <c r="R448" s="24"/>
      <c r="S448" s="24"/>
      <c r="T448" s="24"/>
      <c r="U448" s="24"/>
      <c r="V448" s="24"/>
      <c r="W448" s="24"/>
      <c r="X448" s="24"/>
      <c r="Y448" s="24"/>
      <c r="Z448" s="24"/>
      <c r="AA448" s="24"/>
      <c r="AB448" s="24"/>
      <c r="AC448" s="24"/>
    </row>
    <row r="449" spans="1:29" ht="12.9">
      <c r="A449" s="24"/>
      <c r="B449" s="24"/>
      <c r="C449" s="143"/>
      <c r="D449" s="24"/>
      <c r="E449" s="24"/>
      <c r="F449" s="24"/>
      <c r="G449" s="24"/>
      <c r="H449" s="117"/>
      <c r="I449" s="117"/>
      <c r="J449" s="24"/>
      <c r="K449" s="24"/>
      <c r="L449" s="24"/>
      <c r="M449" s="24"/>
      <c r="N449" s="24"/>
      <c r="O449" s="24"/>
      <c r="P449" s="24"/>
      <c r="Q449" s="24"/>
      <c r="R449" s="24"/>
      <c r="S449" s="24"/>
      <c r="T449" s="24"/>
      <c r="U449" s="24"/>
      <c r="V449" s="24"/>
      <c r="W449" s="24"/>
      <c r="X449" s="24"/>
      <c r="Y449" s="24"/>
      <c r="Z449" s="24"/>
      <c r="AA449" s="24"/>
      <c r="AB449" s="24"/>
      <c r="AC449" s="24"/>
    </row>
    <row r="450" spans="1:29" ht="12.9">
      <c r="A450" s="24"/>
      <c r="B450" s="24"/>
      <c r="C450" s="143"/>
      <c r="D450" s="24"/>
      <c r="E450" s="24"/>
      <c r="F450" s="24"/>
      <c r="G450" s="24"/>
      <c r="H450" s="117"/>
      <c r="I450" s="117"/>
      <c r="J450" s="24"/>
      <c r="K450" s="24"/>
      <c r="L450" s="24"/>
      <c r="M450" s="24"/>
      <c r="N450" s="24"/>
      <c r="O450" s="24"/>
      <c r="P450" s="24"/>
      <c r="Q450" s="24"/>
      <c r="R450" s="24"/>
      <c r="S450" s="24"/>
      <c r="T450" s="24"/>
      <c r="U450" s="24"/>
      <c r="V450" s="24"/>
      <c r="W450" s="24"/>
      <c r="X450" s="24"/>
      <c r="Y450" s="24"/>
      <c r="Z450" s="24"/>
      <c r="AA450" s="24"/>
      <c r="AB450" s="24"/>
      <c r="AC450" s="24"/>
    </row>
    <row r="451" spans="1:29" ht="12.9">
      <c r="A451" s="24"/>
      <c r="B451" s="24"/>
      <c r="C451" s="143"/>
      <c r="D451" s="24"/>
      <c r="E451" s="24"/>
      <c r="F451" s="24"/>
      <c r="G451" s="24"/>
      <c r="H451" s="117"/>
      <c r="I451" s="117"/>
      <c r="J451" s="24"/>
      <c r="K451" s="24"/>
      <c r="L451" s="24"/>
      <c r="M451" s="24"/>
      <c r="N451" s="24"/>
      <c r="O451" s="24"/>
      <c r="P451" s="24"/>
      <c r="Q451" s="24"/>
      <c r="R451" s="24"/>
      <c r="S451" s="24"/>
      <c r="T451" s="24"/>
      <c r="U451" s="24"/>
      <c r="V451" s="24"/>
      <c r="W451" s="24"/>
      <c r="X451" s="24"/>
      <c r="Y451" s="24"/>
      <c r="Z451" s="24"/>
      <c r="AA451" s="24"/>
      <c r="AB451" s="24"/>
      <c r="AC451" s="24"/>
    </row>
    <row r="452" spans="1:29" ht="12.9">
      <c r="A452" s="24"/>
      <c r="B452" s="24"/>
      <c r="C452" s="143"/>
      <c r="D452" s="24"/>
      <c r="E452" s="24"/>
      <c r="F452" s="24"/>
      <c r="G452" s="24"/>
      <c r="H452" s="117"/>
      <c r="I452" s="117"/>
      <c r="J452" s="24"/>
      <c r="K452" s="24"/>
      <c r="L452" s="24"/>
      <c r="M452" s="24"/>
      <c r="N452" s="24"/>
      <c r="O452" s="24"/>
      <c r="P452" s="24"/>
      <c r="Q452" s="24"/>
      <c r="R452" s="24"/>
      <c r="S452" s="24"/>
      <c r="T452" s="24"/>
      <c r="U452" s="24"/>
      <c r="V452" s="24"/>
      <c r="W452" s="24"/>
      <c r="X452" s="24"/>
      <c r="Y452" s="24"/>
      <c r="Z452" s="24"/>
      <c r="AA452" s="24"/>
      <c r="AB452" s="24"/>
      <c r="AC452" s="24"/>
    </row>
    <row r="453" spans="1:29" ht="12.9">
      <c r="A453" s="24"/>
      <c r="B453" s="24"/>
      <c r="C453" s="143"/>
      <c r="D453" s="24"/>
      <c r="E453" s="24"/>
      <c r="F453" s="24"/>
      <c r="G453" s="24"/>
      <c r="H453" s="117"/>
      <c r="I453" s="117"/>
      <c r="J453" s="24"/>
      <c r="K453" s="24"/>
      <c r="L453" s="24"/>
      <c r="M453" s="24"/>
      <c r="N453" s="24"/>
      <c r="O453" s="24"/>
      <c r="P453" s="24"/>
      <c r="Q453" s="24"/>
      <c r="R453" s="24"/>
      <c r="S453" s="24"/>
      <c r="T453" s="24"/>
      <c r="U453" s="24"/>
      <c r="V453" s="24"/>
      <c r="W453" s="24"/>
      <c r="X453" s="24"/>
      <c r="Y453" s="24"/>
      <c r="Z453" s="24"/>
      <c r="AA453" s="24"/>
      <c r="AB453" s="24"/>
      <c r="AC453" s="24"/>
    </row>
    <row r="454" spans="1:29" ht="12.9">
      <c r="A454" s="24"/>
      <c r="B454" s="24"/>
      <c r="C454" s="143"/>
      <c r="D454" s="24"/>
      <c r="E454" s="24"/>
      <c r="F454" s="24"/>
      <c r="G454" s="24"/>
      <c r="H454" s="117"/>
      <c r="I454" s="117"/>
      <c r="J454" s="24"/>
      <c r="K454" s="24"/>
      <c r="L454" s="24"/>
      <c r="M454" s="24"/>
      <c r="N454" s="24"/>
      <c r="O454" s="24"/>
      <c r="P454" s="24"/>
      <c r="Q454" s="24"/>
      <c r="R454" s="24"/>
      <c r="S454" s="24"/>
      <c r="T454" s="24"/>
      <c r="U454" s="24"/>
      <c r="V454" s="24"/>
      <c r="W454" s="24"/>
      <c r="X454" s="24"/>
      <c r="Y454" s="24"/>
      <c r="Z454" s="24"/>
      <c r="AA454" s="24"/>
      <c r="AB454" s="24"/>
      <c r="AC454" s="24"/>
    </row>
    <row r="455" spans="1:29" ht="12.9">
      <c r="A455" s="24"/>
      <c r="B455" s="24"/>
      <c r="C455" s="143"/>
      <c r="D455" s="24"/>
      <c r="E455" s="24"/>
      <c r="F455" s="24"/>
      <c r="G455" s="24"/>
      <c r="H455" s="117"/>
      <c r="I455" s="117"/>
      <c r="J455" s="24"/>
      <c r="K455" s="24"/>
      <c r="L455" s="24"/>
      <c r="M455" s="24"/>
      <c r="N455" s="24"/>
      <c r="O455" s="24"/>
      <c r="P455" s="24"/>
      <c r="Q455" s="24"/>
      <c r="R455" s="24"/>
      <c r="S455" s="24"/>
      <c r="T455" s="24"/>
      <c r="U455" s="24"/>
      <c r="V455" s="24"/>
      <c r="W455" s="24"/>
      <c r="X455" s="24"/>
      <c r="Y455" s="24"/>
      <c r="Z455" s="24"/>
      <c r="AA455" s="24"/>
      <c r="AB455" s="24"/>
      <c r="AC455" s="24"/>
    </row>
    <row r="456" spans="1:29" ht="12.9">
      <c r="A456" s="24"/>
      <c r="B456" s="24"/>
      <c r="C456" s="143"/>
      <c r="D456" s="24"/>
      <c r="E456" s="24"/>
      <c r="F456" s="24"/>
      <c r="G456" s="24"/>
      <c r="H456" s="117"/>
      <c r="I456" s="117"/>
      <c r="J456" s="24"/>
      <c r="K456" s="24"/>
      <c r="L456" s="24"/>
      <c r="M456" s="24"/>
      <c r="N456" s="24"/>
      <c r="O456" s="24"/>
      <c r="P456" s="24"/>
      <c r="Q456" s="24"/>
      <c r="R456" s="24"/>
      <c r="S456" s="24"/>
      <c r="T456" s="24"/>
      <c r="U456" s="24"/>
      <c r="V456" s="24"/>
      <c r="W456" s="24"/>
      <c r="X456" s="24"/>
      <c r="Y456" s="24"/>
      <c r="Z456" s="24"/>
      <c r="AA456" s="24"/>
      <c r="AB456" s="24"/>
      <c r="AC456" s="24"/>
    </row>
    <row r="457" spans="1:29" ht="12.9">
      <c r="A457" s="24"/>
      <c r="B457" s="24"/>
      <c r="C457" s="143"/>
      <c r="D457" s="24"/>
      <c r="E457" s="24"/>
      <c r="F457" s="24"/>
      <c r="G457" s="24"/>
      <c r="H457" s="117"/>
      <c r="I457" s="117"/>
      <c r="J457" s="24"/>
      <c r="K457" s="24"/>
      <c r="L457" s="24"/>
      <c r="M457" s="24"/>
      <c r="N457" s="24"/>
      <c r="O457" s="24"/>
      <c r="P457" s="24"/>
      <c r="Q457" s="24"/>
      <c r="R457" s="24"/>
      <c r="S457" s="24"/>
      <c r="T457" s="24"/>
      <c r="U457" s="24"/>
      <c r="V457" s="24"/>
      <c r="W457" s="24"/>
      <c r="X457" s="24"/>
      <c r="Y457" s="24"/>
      <c r="Z457" s="24"/>
      <c r="AA457" s="24"/>
      <c r="AB457" s="24"/>
      <c r="AC457" s="24"/>
    </row>
    <row r="458" spans="1:29" ht="12.9">
      <c r="A458" s="24"/>
      <c r="B458" s="24"/>
      <c r="C458" s="143"/>
      <c r="D458" s="24"/>
      <c r="E458" s="24"/>
      <c r="F458" s="24"/>
      <c r="G458" s="24"/>
      <c r="H458" s="117"/>
      <c r="I458" s="117"/>
      <c r="J458" s="24"/>
      <c r="K458" s="24"/>
      <c r="L458" s="24"/>
      <c r="M458" s="24"/>
      <c r="N458" s="24"/>
      <c r="O458" s="24"/>
      <c r="P458" s="24"/>
      <c r="Q458" s="24"/>
      <c r="R458" s="24"/>
      <c r="S458" s="24"/>
      <c r="T458" s="24"/>
      <c r="U458" s="24"/>
      <c r="V458" s="24"/>
      <c r="W458" s="24"/>
      <c r="X458" s="24"/>
      <c r="Y458" s="24"/>
      <c r="Z458" s="24"/>
      <c r="AA458" s="24"/>
      <c r="AB458" s="24"/>
      <c r="AC458" s="24"/>
    </row>
    <row r="459" spans="1:29" ht="12.9">
      <c r="A459" s="24"/>
      <c r="B459" s="24"/>
      <c r="C459" s="143"/>
      <c r="D459" s="24"/>
      <c r="E459" s="24"/>
      <c r="F459" s="24"/>
      <c r="G459" s="24"/>
      <c r="H459" s="117"/>
      <c r="I459" s="117"/>
      <c r="J459" s="24"/>
      <c r="K459" s="24"/>
      <c r="L459" s="24"/>
      <c r="M459" s="24"/>
      <c r="N459" s="24"/>
      <c r="O459" s="24"/>
      <c r="P459" s="24"/>
      <c r="Q459" s="24"/>
      <c r="R459" s="24"/>
      <c r="S459" s="24"/>
      <c r="T459" s="24"/>
      <c r="U459" s="24"/>
      <c r="V459" s="24"/>
      <c r="W459" s="24"/>
      <c r="X459" s="24"/>
      <c r="Y459" s="24"/>
      <c r="Z459" s="24"/>
      <c r="AA459" s="24"/>
      <c r="AB459" s="24"/>
      <c r="AC459" s="24"/>
    </row>
    <row r="460" spans="1:29" ht="12.9">
      <c r="A460" s="24"/>
      <c r="B460" s="24"/>
      <c r="C460" s="143"/>
      <c r="D460" s="24"/>
      <c r="E460" s="24"/>
      <c r="F460" s="24"/>
      <c r="G460" s="24"/>
      <c r="H460" s="117"/>
      <c r="I460" s="117"/>
      <c r="J460" s="24"/>
      <c r="K460" s="24"/>
      <c r="L460" s="24"/>
      <c r="M460" s="24"/>
      <c r="N460" s="24"/>
      <c r="O460" s="24"/>
      <c r="P460" s="24"/>
      <c r="Q460" s="24"/>
      <c r="R460" s="24"/>
      <c r="S460" s="24"/>
      <c r="T460" s="24"/>
      <c r="U460" s="24"/>
      <c r="V460" s="24"/>
      <c r="W460" s="24"/>
      <c r="X460" s="24"/>
      <c r="Y460" s="24"/>
      <c r="Z460" s="24"/>
      <c r="AA460" s="24"/>
      <c r="AB460" s="24"/>
      <c r="AC460" s="24"/>
    </row>
    <row r="461" spans="1:29" ht="12.9">
      <c r="A461" s="24"/>
      <c r="B461" s="24"/>
      <c r="C461" s="143"/>
      <c r="D461" s="24"/>
      <c r="E461" s="24"/>
      <c r="F461" s="24"/>
      <c r="G461" s="24"/>
      <c r="H461" s="117"/>
      <c r="I461" s="117"/>
      <c r="J461" s="24"/>
      <c r="K461" s="24"/>
      <c r="L461" s="24"/>
      <c r="M461" s="24"/>
      <c r="N461" s="24"/>
      <c r="O461" s="24"/>
      <c r="P461" s="24"/>
      <c r="Q461" s="24"/>
      <c r="R461" s="24"/>
      <c r="S461" s="24"/>
      <c r="T461" s="24"/>
      <c r="U461" s="24"/>
      <c r="V461" s="24"/>
      <c r="W461" s="24"/>
      <c r="X461" s="24"/>
      <c r="Y461" s="24"/>
      <c r="Z461" s="24"/>
      <c r="AA461" s="24"/>
      <c r="AB461" s="24"/>
      <c r="AC461" s="24"/>
    </row>
    <row r="462" spans="1:29" ht="12.9">
      <c r="A462" s="24"/>
      <c r="B462" s="24"/>
      <c r="C462" s="143"/>
      <c r="D462" s="24"/>
      <c r="E462" s="24"/>
      <c r="F462" s="24"/>
      <c r="G462" s="24"/>
      <c r="H462" s="117"/>
      <c r="I462" s="117"/>
      <c r="J462" s="24"/>
      <c r="K462" s="24"/>
      <c r="L462" s="24"/>
      <c r="M462" s="24"/>
      <c r="N462" s="24"/>
      <c r="O462" s="24"/>
      <c r="P462" s="24"/>
      <c r="Q462" s="24"/>
      <c r="R462" s="24"/>
      <c r="S462" s="24"/>
      <c r="T462" s="24"/>
      <c r="U462" s="24"/>
      <c r="V462" s="24"/>
      <c r="W462" s="24"/>
      <c r="X462" s="24"/>
      <c r="Y462" s="24"/>
      <c r="Z462" s="24"/>
      <c r="AA462" s="24"/>
      <c r="AB462" s="24"/>
      <c r="AC462" s="24"/>
    </row>
    <row r="463" spans="1:29" ht="12.9">
      <c r="A463" s="24"/>
      <c r="B463" s="24"/>
      <c r="C463" s="143"/>
      <c r="D463" s="24"/>
      <c r="E463" s="24"/>
      <c r="F463" s="24"/>
      <c r="G463" s="24"/>
      <c r="H463" s="117"/>
      <c r="I463" s="117"/>
      <c r="J463" s="24"/>
      <c r="K463" s="24"/>
      <c r="L463" s="24"/>
      <c r="M463" s="24"/>
      <c r="N463" s="24"/>
      <c r="O463" s="24"/>
      <c r="P463" s="24"/>
      <c r="Q463" s="24"/>
      <c r="R463" s="24"/>
      <c r="S463" s="24"/>
      <c r="T463" s="24"/>
      <c r="U463" s="24"/>
      <c r="V463" s="24"/>
      <c r="W463" s="24"/>
      <c r="X463" s="24"/>
      <c r="Y463" s="24"/>
      <c r="Z463" s="24"/>
      <c r="AA463" s="24"/>
      <c r="AB463" s="24"/>
      <c r="AC463" s="24"/>
    </row>
    <row r="464" spans="1:29" ht="12.9">
      <c r="A464" s="24"/>
      <c r="B464" s="24"/>
      <c r="C464" s="143"/>
      <c r="D464" s="24"/>
      <c r="E464" s="24"/>
      <c r="F464" s="24"/>
      <c r="G464" s="24"/>
      <c r="H464" s="117"/>
      <c r="I464" s="117"/>
      <c r="J464" s="24"/>
      <c r="K464" s="24"/>
      <c r="L464" s="24"/>
      <c r="M464" s="24"/>
      <c r="N464" s="24"/>
      <c r="O464" s="24"/>
      <c r="P464" s="24"/>
      <c r="Q464" s="24"/>
      <c r="R464" s="24"/>
      <c r="S464" s="24"/>
      <c r="T464" s="24"/>
      <c r="U464" s="24"/>
      <c r="V464" s="24"/>
      <c r="W464" s="24"/>
      <c r="X464" s="24"/>
      <c r="Y464" s="24"/>
      <c r="Z464" s="24"/>
      <c r="AA464" s="24"/>
      <c r="AB464" s="24"/>
      <c r="AC464" s="24"/>
    </row>
    <row r="465" spans="1:29" ht="12.9">
      <c r="A465" s="24"/>
      <c r="B465" s="24"/>
      <c r="C465" s="143"/>
      <c r="D465" s="24"/>
      <c r="E465" s="24"/>
      <c r="F465" s="24"/>
      <c r="G465" s="24"/>
      <c r="H465" s="117"/>
      <c r="I465" s="117"/>
      <c r="J465" s="24"/>
      <c r="K465" s="24"/>
      <c r="L465" s="24"/>
      <c r="M465" s="24"/>
      <c r="N465" s="24"/>
      <c r="O465" s="24"/>
      <c r="P465" s="24"/>
      <c r="Q465" s="24"/>
      <c r="R465" s="24"/>
      <c r="S465" s="24"/>
      <c r="T465" s="24"/>
      <c r="U465" s="24"/>
      <c r="V465" s="24"/>
      <c r="W465" s="24"/>
      <c r="X465" s="24"/>
      <c r="Y465" s="24"/>
      <c r="Z465" s="24"/>
      <c r="AA465" s="24"/>
      <c r="AB465" s="24"/>
      <c r="AC465" s="24"/>
    </row>
    <row r="466" spans="1:29" ht="12.9">
      <c r="A466" s="24"/>
      <c r="B466" s="24"/>
      <c r="C466" s="143"/>
      <c r="D466" s="24"/>
      <c r="E466" s="24"/>
      <c r="F466" s="24"/>
      <c r="G466" s="24"/>
      <c r="H466" s="117"/>
      <c r="I466" s="117"/>
      <c r="J466" s="24"/>
      <c r="K466" s="24"/>
      <c r="L466" s="24"/>
      <c r="M466" s="24"/>
      <c r="N466" s="24"/>
      <c r="O466" s="24"/>
      <c r="P466" s="24"/>
      <c r="Q466" s="24"/>
      <c r="R466" s="24"/>
      <c r="S466" s="24"/>
      <c r="T466" s="24"/>
      <c r="U466" s="24"/>
      <c r="V466" s="24"/>
      <c r="W466" s="24"/>
      <c r="X466" s="24"/>
      <c r="Y466" s="24"/>
      <c r="Z466" s="24"/>
      <c r="AA466" s="24"/>
      <c r="AB466" s="24"/>
      <c r="AC466" s="24"/>
    </row>
    <row r="467" spans="1:29" ht="12.9">
      <c r="A467" s="24"/>
      <c r="B467" s="24"/>
      <c r="C467" s="143"/>
      <c r="D467" s="24"/>
      <c r="E467" s="24"/>
      <c r="F467" s="24"/>
      <c r="G467" s="24"/>
      <c r="H467" s="117"/>
      <c r="I467" s="117"/>
      <c r="J467" s="24"/>
      <c r="K467" s="24"/>
      <c r="L467" s="24"/>
      <c r="M467" s="24"/>
      <c r="N467" s="24"/>
      <c r="O467" s="24"/>
      <c r="P467" s="24"/>
      <c r="Q467" s="24"/>
      <c r="R467" s="24"/>
      <c r="S467" s="24"/>
      <c r="T467" s="24"/>
      <c r="U467" s="24"/>
      <c r="V467" s="24"/>
      <c r="W467" s="24"/>
      <c r="X467" s="24"/>
      <c r="Y467" s="24"/>
      <c r="Z467" s="24"/>
      <c r="AA467" s="24"/>
      <c r="AB467" s="24"/>
      <c r="AC467" s="24"/>
    </row>
    <row r="468" spans="1:29" ht="12.9">
      <c r="A468" s="24"/>
      <c r="B468" s="24"/>
      <c r="C468" s="143"/>
      <c r="D468" s="24"/>
      <c r="E468" s="24"/>
      <c r="F468" s="24"/>
      <c r="G468" s="24"/>
      <c r="H468" s="117"/>
      <c r="I468" s="117"/>
      <c r="J468" s="24"/>
      <c r="K468" s="24"/>
      <c r="L468" s="24"/>
      <c r="M468" s="24"/>
      <c r="N468" s="24"/>
      <c r="O468" s="24"/>
      <c r="P468" s="24"/>
      <c r="Q468" s="24"/>
      <c r="R468" s="24"/>
      <c r="S468" s="24"/>
      <c r="T468" s="24"/>
      <c r="U468" s="24"/>
      <c r="V468" s="24"/>
      <c r="W468" s="24"/>
      <c r="X468" s="24"/>
      <c r="Y468" s="24"/>
      <c r="Z468" s="24"/>
      <c r="AA468" s="24"/>
      <c r="AB468" s="24"/>
      <c r="AC468" s="24"/>
    </row>
    <row r="469" spans="1:29" ht="12.9">
      <c r="A469" s="24"/>
      <c r="B469" s="24"/>
      <c r="C469" s="143"/>
      <c r="D469" s="24"/>
      <c r="E469" s="24"/>
      <c r="F469" s="24"/>
      <c r="G469" s="24"/>
      <c r="H469" s="117"/>
      <c r="I469" s="117"/>
      <c r="J469" s="24"/>
      <c r="K469" s="24"/>
      <c r="L469" s="24"/>
      <c r="M469" s="24"/>
      <c r="N469" s="24"/>
      <c r="O469" s="24"/>
      <c r="P469" s="24"/>
      <c r="Q469" s="24"/>
      <c r="R469" s="24"/>
      <c r="S469" s="24"/>
      <c r="T469" s="24"/>
      <c r="U469" s="24"/>
      <c r="V469" s="24"/>
      <c r="W469" s="24"/>
      <c r="X469" s="24"/>
      <c r="Y469" s="24"/>
      <c r="Z469" s="24"/>
      <c r="AA469" s="24"/>
      <c r="AB469" s="24"/>
      <c r="AC469" s="24"/>
    </row>
    <row r="470" spans="1:29" ht="12.9">
      <c r="A470" s="24"/>
      <c r="B470" s="24"/>
      <c r="C470" s="143"/>
      <c r="D470" s="24"/>
      <c r="E470" s="24"/>
      <c r="F470" s="24"/>
      <c r="G470" s="24"/>
      <c r="H470" s="117"/>
      <c r="I470" s="117"/>
      <c r="J470" s="24"/>
      <c r="K470" s="24"/>
      <c r="L470" s="24"/>
      <c r="M470" s="24"/>
      <c r="N470" s="24"/>
      <c r="O470" s="24"/>
      <c r="P470" s="24"/>
      <c r="Q470" s="24"/>
      <c r="R470" s="24"/>
      <c r="S470" s="24"/>
      <c r="T470" s="24"/>
      <c r="U470" s="24"/>
      <c r="V470" s="24"/>
      <c r="W470" s="24"/>
      <c r="X470" s="24"/>
      <c r="Y470" s="24"/>
      <c r="Z470" s="24"/>
      <c r="AA470" s="24"/>
      <c r="AB470" s="24"/>
      <c r="AC470" s="24"/>
    </row>
    <row r="471" spans="1:29" ht="12.9">
      <c r="A471" s="24"/>
      <c r="B471" s="24"/>
      <c r="C471" s="143"/>
      <c r="D471" s="24"/>
      <c r="E471" s="24"/>
      <c r="F471" s="24"/>
      <c r="G471" s="24"/>
      <c r="H471" s="117"/>
      <c r="I471" s="117"/>
      <c r="J471" s="24"/>
      <c r="K471" s="24"/>
      <c r="L471" s="24"/>
      <c r="M471" s="24"/>
      <c r="N471" s="24"/>
      <c r="O471" s="24"/>
      <c r="P471" s="24"/>
      <c r="Q471" s="24"/>
      <c r="R471" s="24"/>
      <c r="S471" s="24"/>
      <c r="T471" s="24"/>
      <c r="U471" s="24"/>
      <c r="V471" s="24"/>
      <c r="W471" s="24"/>
      <c r="X471" s="24"/>
      <c r="Y471" s="24"/>
      <c r="Z471" s="24"/>
      <c r="AA471" s="24"/>
      <c r="AB471" s="24"/>
      <c r="AC471" s="24"/>
    </row>
    <row r="472" spans="1:29" ht="12.9">
      <c r="A472" s="24"/>
      <c r="B472" s="24"/>
      <c r="C472" s="143"/>
      <c r="D472" s="24"/>
      <c r="E472" s="24"/>
      <c r="F472" s="24"/>
      <c r="G472" s="24"/>
      <c r="H472" s="117"/>
      <c r="I472" s="117"/>
      <c r="J472" s="24"/>
      <c r="K472" s="24"/>
      <c r="L472" s="24"/>
      <c r="M472" s="24"/>
      <c r="N472" s="24"/>
      <c r="O472" s="24"/>
      <c r="P472" s="24"/>
      <c r="Q472" s="24"/>
      <c r="R472" s="24"/>
      <c r="S472" s="24"/>
      <c r="T472" s="24"/>
      <c r="U472" s="24"/>
      <c r="V472" s="24"/>
      <c r="W472" s="24"/>
      <c r="X472" s="24"/>
      <c r="Y472" s="24"/>
      <c r="Z472" s="24"/>
      <c r="AA472" s="24"/>
      <c r="AB472" s="24"/>
      <c r="AC472" s="24"/>
    </row>
    <row r="473" spans="1:29" ht="12.9">
      <c r="A473" s="24"/>
      <c r="B473" s="24"/>
      <c r="C473" s="143"/>
      <c r="D473" s="24"/>
      <c r="E473" s="24"/>
      <c r="F473" s="24"/>
      <c r="G473" s="24"/>
      <c r="H473" s="117"/>
      <c r="I473" s="117"/>
      <c r="J473" s="24"/>
      <c r="K473" s="24"/>
      <c r="L473" s="24"/>
      <c r="M473" s="24"/>
      <c r="N473" s="24"/>
      <c r="O473" s="24"/>
      <c r="P473" s="24"/>
      <c r="Q473" s="24"/>
      <c r="R473" s="24"/>
      <c r="S473" s="24"/>
      <c r="T473" s="24"/>
      <c r="U473" s="24"/>
      <c r="V473" s="24"/>
      <c r="W473" s="24"/>
      <c r="X473" s="24"/>
      <c r="Y473" s="24"/>
      <c r="Z473" s="24"/>
      <c r="AA473" s="24"/>
      <c r="AB473" s="24"/>
      <c r="AC473" s="24"/>
    </row>
    <row r="474" spans="1:29" ht="12.9">
      <c r="A474" s="24"/>
      <c r="B474" s="24"/>
      <c r="C474" s="143"/>
      <c r="D474" s="24"/>
      <c r="E474" s="24"/>
      <c r="F474" s="24"/>
      <c r="G474" s="24"/>
      <c r="H474" s="117"/>
      <c r="I474" s="117"/>
      <c r="J474" s="24"/>
      <c r="K474" s="24"/>
      <c r="L474" s="24"/>
      <c r="M474" s="24"/>
      <c r="N474" s="24"/>
      <c r="O474" s="24"/>
      <c r="P474" s="24"/>
      <c r="Q474" s="24"/>
      <c r="R474" s="24"/>
      <c r="S474" s="24"/>
      <c r="T474" s="24"/>
      <c r="U474" s="24"/>
      <c r="V474" s="24"/>
      <c r="W474" s="24"/>
      <c r="X474" s="24"/>
      <c r="Y474" s="24"/>
      <c r="Z474" s="24"/>
      <c r="AA474" s="24"/>
      <c r="AB474" s="24"/>
      <c r="AC474" s="24"/>
    </row>
    <row r="475" spans="1:29" ht="12.9">
      <c r="A475" s="24"/>
      <c r="B475" s="24"/>
      <c r="C475" s="143"/>
      <c r="D475" s="24"/>
      <c r="E475" s="24"/>
      <c r="F475" s="24"/>
      <c r="G475" s="24"/>
      <c r="H475" s="117"/>
      <c r="I475" s="117"/>
      <c r="J475" s="24"/>
      <c r="K475" s="24"/>
      <c r="L475" s="24"/>
      <c r="M475" s="24"/>
      <c r="N475" s="24"/>
      <c r="O475" s="24"/>
      <c r="P475" s="24"/>
      <c r="Q475" s="24"/>
      <c r="R475" s="24"/>
      <c r="S475" s="24"/>
      <c r="T475" s="24"/>
      <c r="U475" s="24"/>
      <c r="V475" s="24"/>
      <c r="W475" s="24"/>
      <c r="X475" s="24"/>
      <c r="Y475" s="24"/>
      <c r="Z475" s="24"/>
      <c r="AA475" s="24"/>
      <c r="AB475" s="24"/>
      <c r="AC475" s="24"/>
    </row>
    <row r="476" spans="1:29" ht="12.9">
      <c r="A476" s="24"/>
      <c r="B476" s="24"/>
      <c r="C476" s="143"/>
      <c r="D476" s="24"/>
      <c r="E476" s="24"/>
      <c r="F476" s="24"/>
      <c r="G476" s="24"/>
      <c r="H476" s="117"/>
      <c r="I476" s="117"/>
      <c r="J476" s="24"/>
      <c r="K476" s="24"/>
      <c r="L476" s="24"/>
      <c r="M476" s="24"/>
      <c r="N476" s="24"/>
      <c r="O476" s="24"/>
      <c r="P476" s="24"/>
      <c r="Q476" s="24"/>
      <c r="R476" s="24"/>
      <c r="S476" s="24"/>
      <c r="T476" s="24"/>
      <c r="U476" s="24"/>
      <c r="V476" s="24"/>
      <c r="W476" s="24"/>
      <c r="X476" s="24"/>
      <c r="Y476" s="24"/>
      <c r="Z476" s="24"/>
      <c r="AA476" s="24"/>
      <c r="AB476" s="24"/>
      <c r="AC476" s="24"/>
    </row>
    <row r="477" spans="1:29" ht="12.9">
      <c r="A477" s="24"/>
      <c r="B477" s="24"/>
      <c r="C477" s="143"/>
      <c r="D477" s="24"/>
      <c r="E477" s="24"/>
      <c r="F477" s="24"/>
      <c r="G477" s="24"/>
      <c r="H477" s="117"/>
      <c r="I477" s="117"/>
      <c r="J477" s="24"/>
      <c r="K477" s="24"/>
      <c r="L477" s="24"/>
      <c r="M477" s="24"/>
      <c r="N477" s="24"/>
      <c r="O477" s="24"/>
      <c r="P477" s="24"/>
      <c r="Q477" s="24"/>
      <c r="R477" s="24"/>
      <c r="S477" s="24"/>
      <c r="T477" s="24"/>
      <c r="U477" s="24"/>
      <c r="V477" s="24"/>
      <c r="W477" s="24"/>
      <c r="X477" s="24"/>
      <c r="Y477" s="24"/>
      <c r="Z477" s="24"/>
      <c r="AA477" s="24"/>
      <c r="AB477" s="24"/>
      <c r="AC477" s="24"/>
    </row>
    <row r="478" spans="1:29" ht="12.9">
      <c r="A478" s="24"/>
      <c r="B478" s="24"/>
      <c r="C478" s="143"/>
      <c r="D478" s="24"/>
      <c r="E478" s="24"/>
      <c r="F478" s="24"/>
      <c r="G478" s="24"/>
      <c r="H478" s="117"/>
      <c r="I478" s="117"/>
      <c r="J478" s="24"/>
      <c r="K478" s="24"/>
      <c r="L478" s="24"/>
      <c r="M478" s="24"/>
      <c r="N478" s="24"/>
      <c r="O478" s="24"/>
      <c r="P478" s="24"/>
      <c r="Q478" s="24"/>
      <c r="R478" s="24"/>
      <c r="S478" s="24"/>
      <c r="T478" s="24"/>
      <c r="U478" s="24"/>
      <c r="V478" s="24"/>
      <c r="W478" s="24"/>
      <c r="X478" s="24"/>
      <c r="Y478" s="24"/>
      <c r="Z478" s="24"/>
      <c r="AA478" s="24"/>
      <c r="AB478" s="24"/>
      <c r="AC478" s="24"/>
    </row>
    <row r="479" spans="1:29" ht="12.9">
      <c r="A479" s="24"/>
      <c r="B479" s="24"/>
      <c r="C479" s="143"/>
      <c r="D479" s="24"/>
      <c r="E479" s="24"/>
      <c r="F479" s="24"/>
      <c r="G479" s="24"/>
      <c r="H479" s="117"/>
      <c r="I479" s="117"/>
      <c r="J479" s="24"/>
      <c r="K479" s="24"/>
      <c r="L479" s="24"/>
      <c r="M479" s="24"/>
      <c r="N479" s="24"/>
      <c r="O479" s="24"/>
      <c r="P479" s="24"/>
      <c r="Q479" s="24"/>
      <c r="R479" s="24"/>
      <c r="S479" s="24"/>
      <c r="T479" s="24"/>
      <c r="U479" s="24"/>
      <c r="V479" s="24"/>
      <c r="W479" s="24"/>
      <c r="X479" s="24"/>
      <c r="Y479" s="24"/>
      <c r="Z479" s="24"/>
      <c r="AA479" s="24"/>
      <c r="AB479" s="24"/>
      <c r="AC479" s="24"/>
    </row>
    <row r="480" spans="1:29" ht="12.9">
      <c r="A480" s="24"/>
      <c r="B480" s="24"/>
      <c r="C480" s="143"/>
      <c r="D480" s="24"/>
      <c r="E480" s="24"/>
      <c r="F480" s="24"/>
      <c r="G480" s="24"/>
      <c r="H480" s="117"/>
      <c r="I480" s="117"/>
      <c r="J480" s="24"/>
      <c r="K480" s="24"/>
      <c r="L480" s="24"/>
      <c r="M480" s="24"/>
      <c r="N480" s="24"/>
      <c r="O480" s="24"/>
      <c r="P480" s="24"/>
      <c r="Q480" s="24"/>
      <c r="R480" s="24"/>
      <c r="S480" s="24"/>
      <c r="T480" s="24"/>
      <c r="U480" s="24"/>
      <c r="V480" s="24"/>
      <c r="W480" s="24"/>
      <c r="X480" s="24"/>
      <c r="Y480" s="24"/>
      <c r="Z480" s="24"/>
      <c r="AA480" s="24"/>
      <c r="AB480" s="24"/>
      <c r="AC480" s="24"/>
    </row>
    <row r="481" spans="1:29" ht="12.9">
      <c r="A481" s="24"/>
      <c r="B481" s="24"/>
      <c r="C481" s="143"/>
      <c r="D481" s="24"/>
      <c r="E481" s="24"/>
      <c r="F481" s="24"/>
      <c r="G481" s="24"/>
      <c r="H481" s="117"/>
      <c r="I481" s="117"/>
      <c r="J481" s="24"/>
      <c r="K481" s="24"/>
      <c r="L481" s="24"/>
      <c r="M481" s="24"/>
      <c r="N481" s="24"/>
      <c r="O481" s="24"/>
      <c r="P481" s="24"/>
      <c r="Q481" s="24"/>
      <c r="R481" s="24"/>
      <c r="S481" s="24"/>
      <c r="T481" s="24"/>
      <c r="U481" s="24"/>
      <c r="V481" s="24"/>
      <c r="W481" s="24"/>
      <c r="X481" s="24"/>
      <c r="Y481" s="24"/>
      <c r="Z481" s="24"/>
      <c r="AA481" s="24"/>
      <c r="AB481" s="24"/>
      <c r="AC481" s="24"/>
    </row>
    <row r="482" spans="1:29" ht="12.9">
      <c r="A482" s="24"/>
      <c r="B482" s="24"/>
      <c r="C482" s="143"/>
      <c r="D482" s="24"/>
      <c r="E482" s="24"/>
      <c r="F482" s="24"/>
      <c r="G482" s="24"/>
      <c r="H482" s="117"/>
      <c r="I482" s="117"/>
      <c r="J482" s="24"/>
      <c r="K482" s="24"/>
      <c r="L482" s="24"/>
      <c r="M482" s="24"/>
      <c r="N482" s="24"/>
      <c r="O482" s="24"/>
      <c r="P482" s="24"/>
      <c r="Q482" s="24"/>
      <c r="R482" s="24"/>
      <c r="S482" s="24"/>
      <c r="T482" s="24"/>
      <c r="U482" s="24"/>
      <c r="V482" s="24"/>
      <c r="W482" s="24"/>
      <c r="X482" s="24"/>
      <c r="Y482" s="24"/>
      <c r="Z482" s="24"/>
      <c r="AA482" s="24"/>
      <c r="AB482" s="24"/>
      <c r="AC482" s="24"/>
    </row>
    <row r="483" spans="1:29" ht="12.9">
      <c r="A483" s="24"/>
      <c r="B483" s="24"/>
      <c r="C483" s="143"/>
      <c r="D483" s="24"/>
      <c r="E483" s="24"/>
      <c r="F483" s="24"/>
      <c r="G483" s="24"/>
      <c r="H483" s="117"/>
      <c r="I483" s="117"/>
      <c r="J483" s="24"/>
      <c r="K483" s="24"/>
      <c r="L483" s="24"/>
      <c r="M483" s="24"/>
      <c r="N483" s="24"/>
      <c r="O483" s="24"/>
      <c r="P483" s="24"/>
      <c r="Q483" s="24"/>
      <c r="R483" s="24"/>
      <c r="S483" s="24"/>
      <c r="T483" s="24"/>
      <c r="U483" s="24"/>
      <c r="V483" s="24"/>
      <c r="W483" s="24"/>
      <c r="X483" s="24"/>
      <c r="Y483" s="24"/>
      <c r="Z483" s="24"/>
      <c r="AA483" s="24"/>
      <c r="AB483" s="24"/>
      <c r="AC483" s="24"/>
    </row>
    <row r="484" spans="1:29" ht="12.9">
      <c r="A484" s="24"/>
      <c r="B484" s="24"/>
      <c r="C484" s="143"/>
      <c r="D484" s="24"/>
      <c r="E484" s="24"/>
      <c r="F484" s="24"/>
      <c r="G484" s="24"/>
      <c r="H484" s="117"/>
      <c r="I484" s="117"/>
      <c r="J484" s="24"/>
      <c r="K484" s="24"/>
      <c r="L484" s="24"/>
      <c r="M484" s="24"/>
      <c r="N484" s="24"/>
      <c r="O484" s="24"/>
      <c r="P484" s="24"/>
      <c r="Q484" s="24"/>
      <c r="R484" s="24"/>
      <c r="S484" s="24"/>
      <c r="T484" s="24"/>
      <c r="U484" s="24"/>
      <c r="V484" s="24"/>
      <c r="W484" s="24"/>
      <c r="X484" s="24"/>
      <c r="Y484" s="24"/>
      <c r="Z484" s="24"/>
      <c r="AA484" s="24"/>
      <c r="AB484" s="24"/>
      <c r="AC484" s="24"/>
    </row>
    <row r="485" spans="1:29" ht="12.9">
      <c r="A485" s="24"/>
      <c r="B485" s="24"/>
      <c r="C485" s="143"/>
      <c r="D485" s="24"/>
      <c r="E485" s="24"/>
      <c r="F485" s="24"/>
      <c r="G485" s="24"/>
      <c r="H485" s="117"/>
      <c r="I485" s="117"/>
      <c r="J485" s="24"/>
      <c r="K485" s="24"/>
      <c r="L485" s="24"/>
      <c r="M485" s="24"/>
      <c r="N485" s="24"/>
      <c r="O485" s="24"/>
      <c r="P485" s="24"/>
      <c r="Q485" s="24"/>
      <c r="R485" s="24"/>
      <c r="S485" s="24"/>
      <c r="T485" s="24"/>
      <c r="U485" s="24"/>
      <c r="V485" s="24"/>
      <c r="W485" s="24"/>
      <c r="X485" s="24"/>
      <c r="Y485" s="24"/>
      <c r="Z485" s="24"/>
      <c r="AA485" s="24"/>
      <c r="AB485" s="24"/>
      <c r="AC485" s="24"/>
    </row>
    <row r="486" spans="1:29" ht="12.9">
      <c r="A486" s="24"/>
      <c r="B486" s="24"/>
      <c r="C486" s="143"/>
      <c r="D486" s="24"/>
      <c r="E486" s="24"/>
      <c r="F486" s="24"/>
      <c r="G486" s="24"/>
      <c r="H486" s="117"/>
      <c r="I486" s="117"/>
      <c r="J486" s="24"/>
      <c r="K486" s="24"/>
      <c r="L486" s="24"/>
      <c r="M486" s="24"/>
      <c r="N486" s="24"/>
      <c r="O486" s="24"/>
      <c r="P486" s="24"/>
      <c r="Q486" s="24"/>
      <c r="R486" s="24"/>
      <c r="S486" s="24"/>
      <c r="T486" s="24"/>
      <c r="U486" s="24"/>
      <c r="V486" s="24"/>
      <c r="W486" s="24"/>
      <c r="X486" s="24"/>
      <c r="Y486" s="24"/>
      <c r="Z486" s="24"/>
      <c r="AA486" s="24"/>
      <c r="AB486" s="24"/>
      <c r="AC486" s="24"/>
    </row>
    <row r="487" spans="1:29" ht="12.9">
      <c r="A487" s="24"/>
      <c r="B487" s="24"/>
      <c r="C487" s="143"/>
      <c r="D487" s="24"/>
      <c r="E487" s="24"/>
      <c r="F487" s="24"/>
      <c r="G487" s="24"/>
      <c r="H487" s="117"/>
      <c r="I487" s="117"/>
      <c r="J487" s="24"/>
      <c r="K487" s="24"/>
      <c r="L487" s="24"/>
      <c r="M487" s="24"/>
      <c r="N487" s="24"/>
      <c r="O487" s="24"/>
      <c r="P487" s="24"/>
      <c r="Q487" s="24"/>
      <c r="R487" s="24"/>
      <c r="S487" s="24"/>
      <c r="T487" s="24"/>
      <c r="U487" s="24"/>
      <c r="V487" s="24"/>
      <c r="W487" s="24"/>
      <c r="X487" s="24"/>
      <c r="Y487" s="24"/>
      <c r="Z487" s="24"/>
      <c r="AA487" s="24"/>
      <c r="AB487" s="24"/>
      <c r="AC487" s="24"/>
    </row>
    <row r="488" spans="1:29" ht="12.9">
      <c r="A488" s="24"/>
      <c r="B488" s="24"/>
      <c r="C488" s="143"/>
      <c r="D488" s="24"/>
      <c r="E488" s="24"/>
      <c r="F488" s="24"/>
      <c r="G488" s="24"/>
      <c r="H488" s="117"/>
      <c r="I488" s="117"/>
      <c r="J488" s="24"/>
      <c r="K488" s="24"/>
      <c r="L488" s="24"/>
      <c r="M488" s="24"/>
      <c r="N488" s="24"/>
      <c r="O488" s="24"/>
      <c r="P488" s="24"/>
      <c r="Q488" s="24"/>
      <c r="R488" s="24"/>
      <c r="S488" s="24"/>
      <c r="T488" s="24"/>
      <c r="U488" s="24"/>
      <c r="V488" s="24"/>
      <c r="W488" s="24"/>
      <c r="X488" s="24"/>
      <c r="Y488" s="24"/>
      <c r="Z488" s="24"/>
      <c r="AA488" s="24"/>
      <c r="AB488" s="24"/>
      <c r="AC488" s="24"/>
    </row>
    <row r="489" spans="1:29" ht="12.9">
      <c r="A489" s="24"/>
      <c r="B489" s="24"/>
      <c r="C489" s="143"/>
      <c r="D489" s="24"/>
      <c r="E489" s="24"/>
      <c r="F489" s="24"/>
      <c r="G489" s="24"/>
      <c r="H489" s="117"/>
      <c r="I489" s="117"/>
      <c r="J489" s="24"/>
      <c r="K489" s="24"/>
      <c r="L489" s="24"/>
      <c r="M489" s="24"/>
      <c r="N489" s="24"/>
      <c r="O489" s="24"/>
      <c r="P489" s="24"/>
      <c r="Q489" s="24"/>
      <c r="R489" s="24"/>
      <c r="S489" s="24"/>
      <c r="T489" s="24"/>
      <c r="U489" s="24"/>
      <c r="V489" s="24"/>
      <c r="W489" s="24"/>
      <c r="X489" s="24"/>
      <c r="Y489" s="24"/>
      <c r="Z489" s="24"/>
      <c r="AA489" s="24"/>
      <c r="AB489" s="24"/>
      <c r="AC489" s="24"/>
    </row>
    <row r="490" spans="1:29" ht="12.9">
      <c r="A490" s="24"/>
      <c r="B490" s="24"/>
      <c r="C490" s="143"/>
      <c r="D490" s="24"/>
      <c r="E490" s="24"/>
      <c r="F490" s="24"/>
      <c r="G490" s="24"/>
      <c r="H490" s="117"/>
      <c r="I490" s="117"/>
      <c r="J490" s="24"/>
      <c r="K490" s="24"/>
      <c r="L490" s="24"/>
      <c r="M490" s="24"/>
      <c r="N490" s="24"/>
      <c r="O490" s="24"/>
      <c r="P490" s="24"/>
      <c r="Q490" s="24"/>
      <c r="R490" s="24"/>
      <c r="S490" s="24"/>
      <c r="T490" s="24"/>
      <c r="U490" s="24"/>
      <c r="V490" s="24"/>
      <c r="W490" s="24"/>
      <c r="X490" s="24"/>
      <c r="Y490" s="24"/>
      <c r="Z490" s="24"/>
      <c r="AA490" s="24"/>
      <c r="AB490" s="24"/>
      <c r="AC490" s="24"/>
    </row>
    <row r="491" spans="1:29" ht="12.9">
      <c r="A491" s="24"/>
      <c r="B491" s="24"/>
      <c r="C491" s="143"/>
      <c r="D491" s="24"/>
      <c r="E491" s="24"/>
      <c r="F491" s="24"/>
      <c r="G491" s="24"/>
      <c r="H491" s="117"/>
      <c r="I491" s="117"/>
      <c r="J491" s="24"/>
      <c r="K491" s="24"/>
      <c r="L491" s="24"/>
      <c r="M491" s="24"/>
      <c r="N491" s="24"/>
      <c r="O491" s="24"/>
      <c r="P491" s="24"/>
      <c r="Q491" s="24"/>
      <c r="R491" s="24"/>
      <c r="S491" s="24"/>
      <c r="T491" s="24"/>
      <c r="U491" s="24"/>
      <c r="V491" s="24"/>
      <c r="W491" s="24"/>
      <c r="X491" s="24"/>
      <c r="Y491" s="24"/>
      <c r="Z491" s="24"/>
      <c r="AA491" s="24"/>
      <c r="AB491" s="24"/>
      <c r="AC491" s="24"/>
    </row>
    <row r="492" spans="1:29" ht="12.9">
      <c r="A492" s="24"/>
      <c r="B492" s="24"/>
      <c r="C492" s="143"/>
      <c r="D492" s="24"/>
      <c r="E492" s="24"/>
      <c r="F492" s="24"/>
      <c r="G492" s="24"/>
      <c r="H492" s="117"/>
      <c r="I492" s="117"/>
      <c r="J492" s="24"/>
      <c r="K492" s="24"/>
      <c r="L492" s="24"/>
      <c r="M492" s="24"/>
      <c r="N492" s="24"/>
      <c r="O492" s="24"/>
      <c r="P492" s="24"/>
      <c r="Q492" s="24"/>
      <c r="R492" s="24"/>
      <c r="S492" s="24"/>
      <c r="T492" s="24"/>
      <c r="U492" s="24"/>
      <c r="V492" s="24"/>
      <c r="W492" s="24"/>
      <c r="X492" s="24"/>
      <c r="Y492" s="24"/>
      <c r="Z492" s="24"/>
      <c r="AA492" s="24"/>
      <c r="AB492" s="24"/>
      <c r="AC492" s="24"/>
    </row>
    <row r="493" spans="1:29" ht="12.9">
      <c r="A493" s="24"/>
      <c r="B493" s="24"/>
      <c r="C493" s="143"/>
      <c r="D493" s="24"/>
      <c r="E493" s="24"/>
      <c r="F493" s="24"/>
      <c r="G493" s="24"/>
      <c r="H493" s="117"/>
      <c r="I493" s="117"/>
      <c r="J493" s="24"/>
      <c r="K493" s="24"/>
      <c r="L493" s="24"/>
      <c r="M493" s="24"/>
      <c r="N493" s="24"/>
      <c r="O493" s="24"/>
      <c r="P493" s="24"/>
      <c r="Q493" s="24"/>
      <c r="R493" s="24"/>
      <c r="S493" s="24"/>
      <c r="T493" s="24"/>
      <c r="U493" s="24"/>
      <c r="V493" s="24"/>
      <c r="W493" s="24"/>
      <c r="X493" s="24"/>
      <c r="Y493" s="24"/>
      <c r="Z493" s="24"/>
      <c r="AA493" s="24"/>
      <c r="AB493" s="24"/>
      <c r="AC493" s="24"/>
    </row>
    <row r="494" spans="1:29" ht="12.9">
      <c r="A494" s="24"/>
      <c r="B494" s="24"/>
      <c r="C494" s="143"/>
      <c r="D494" s="24"/>
      <c r="E494" s="24"/>
      <c r="F494" s="24"/>
      <c r="G494" s="24"/>
      <c r="H494" s="117"/>
      <c r="I494" s="117"/>
      <c r="J494" s="24"/>
      <c r="K494" s="24"/>
      <c r="L494" s="24"/>
      <c r="M494" s="24"/>
      <c r="N494" s="24"/>
      <c r="O494" s="24"/>
      <c r="P494" s="24"/>
      <c r="Q494" s="24"/>
      <c r="R494" s="24"/>
      <c r="S494" s="24"/>
      <c r="T494" s="24"/>
      <c r="U494" s="24"/>
      <c r="V494" s="24"/>
      <c r="W494" s="24"/>
      <c r="X494" s="24"/>
      <c r="Y494" s="24"/>
      <c r="Z494" s="24"/>
      <c r="AA494" s="24"/>
      <c r="AB494" s="24"/>
      <c r="AC494" s="24"/>
    </row>
    <row r="495" spans="1:29" ht="12.9">
      <c r="A495" s="24"/>
      <c r="B495" s="24"/>
      <c r="C495" s="143"/>
      <c r="D495" s="24"/>
      <c r="E495" s="24"/>
      <c r="F495" s="24"/>
      <c r="G495" s="24"/>
      <c r="H495" s="117"/>
      <c r="I495" s="117"/>
      <c r="J495" s="24"/>
      <c r="K495" s="24"/>
      <c r="L495" s="24"/>
      <c r="M495" s="24"/>
      <c r="N495" s="24"/>
      <c r="O495" s="24"/>
      <c r="P495" s="24"/>
      <c r="Q495" s="24"/>
      <c r="R495" s="24"/>
      <c r="S495" s="24"/>
      <c r="T495" s="24"/>
      <c r="U495" s="24"/>
      <c r="V495" s="24"/>
      <c r="W495" s="24"/>
      <c r="X495" s="24"/>
      <c r="Y495" s="24"/>
      <c r="Z495" s="24"/>
      <c r="AA495" s="24"/>
      <c r="AB495" s="24"/>
      <c r="AC495" s="24"/>
    </row>
    <row r="496" spans="1:29" ht="12.9">
      <c r="A496" s="24"/>
      <c r="B496" s="24"/>
      <c r="C496" s="143"/>
      <c r="D496" s="24"/>
      <c r="E496" s="24"/>
      <c r="F496" s="24"/>
      <c r="G496" s="24"/>
      <c r="H496" s="117"/>
      <c r="I496" s="117"/>
      <c r="J496" s="24"/>
      <c r="K496" s="24"/>
      <c r="L496" s="24"/>
      <c r="M496" s="24"/>
      <c r="N496" s="24"/>
      <c r="O496" s="24"/>
      <c r="P496" s="24"/>
      <c r="Q496" s="24"/>
      <c r="R496" s="24"/>
      <c r="S496" s="24"/>
      <c r="T496" s="24"/>
      <c r="U496" s="24"/>
      <c r="V496" s="24"/>
      <c r="W496" s="24"/>
      <c r="X496" s="24"/>
      <c r="Y496" s="24"/>
      <c r="Z496" s="24"/>
      <c r="AA496" s="24"/>
      <c r="AB496" s="24"/>
      <c r="AC496" s="24"/>
    </row>
    <row r="497" spans="1:29" ht="12.9">
      <c r="A497" s="24"/>
      <c r="B497" s="24"/>
      <c r="C497" s="143"/>
      <c r="D497" s="24"/>
      <c r="E497" s="24"/>
      <c r="F497" s="24"/>
      <c r="G497" s="24"/>
      <c r="H497" s="117"/>
      <c r="I497" s="117"/>
      <c r="J497" s="24"/>
      <c r="K497" s="24"/>
      <c r="L497" s="24"/>
      <c r="M497" s="24"/>
      <c r="N497" s="24"/>
      <c r="O497" s="24"/>
      <c r="P497" s="24"/>
      <c r="Q497" s="24"/>
      <c r="R497" s="24"/>
      <c r="S497" s="24"/>
      <c r="T497" s="24"/>
      <c r="U497" s="24"/>
      <c r="V497" s="24"/>
      <c r="W497" s="24"/>
      <c r="X497" s="24"/>
      <c r="Y497" s="24"/>
      <c r="Z497" s="24"/>
      <c r="AA497" s="24"/>
      <c r="AB497" s="24"/>
      <c r="AC497" s="24"/>
    </row>
    <row r="498" spans="1:29" ht="12.9">
      <c r="A498" s="24"/>
      <c r="B498" s="24"/>
      <c r="C498" s="143"/>
      <c r="D498" s="24"/>
      <c r="E498" s="24"/>
      <c r="F498" s="24"/>
      <c r="G498" s="24"/>
      <c r="H498" s="117"/>
      <c r="I498" s="117"/>
      <c r="J498" s="24"/>
      <c r="K498" s="24"/>
      <c r="L498" s="24"/>
      <c r="M498" s="24"/>
      <c r="N498" s="24"/>
      <c r="O498" s="24"/>
      <c r="P498" s="24"/>
      <c r="Q498" s="24"/>
      <c r="R498" s="24"/>
      <c r="S498" s="24"/>
      <c r="T498" s="24"/>
      <c r="U498" s="24"/>
      <c r="V498" s="24"/>
      <c r="W498" s="24"/>
      <c r="X498" s="24"/>
      <c r="Y498" s="24"/>
      <c r="Z498" s="24"/>
      <c r="AA498" s="24"/>
      <c r="AB498" s="24"/>
      <c r="AC498" s="24"/>
    </row>
    <row r="499" spans="1:29" ht="12.9">
      <c r="A499" s="24"/>
      <c r="B499" s="24"/>
      <c r="C499" s="143"/>
      <c r="D499" s="24"/>
      <c r="E499" s="24"/>
      <c r="F499" s="24"/>
      <c r="G499" s="24"/>
      <c r="H499" s="117"/>
      <c r="I499" s="117"/>
      <c r="J499" s="24"/>
      <c r="K499" s="24"/>
      <c r="L499" s="24"/>
      <c r="M499" s="24"/>
      <c r="N499" s="24"/>
      <c r="O499" s="24"/>
      <c r="P499" s="24"/>
      <c r="Q499" s="24"/>
      <c r="R499" s="24"/>
      <c r="S499" s="24"/>
      <c r="T499" s="24"/>
      <c r="U499" s="24"/>
      <c r="V499" s="24"/>
      <c r="W499" s="24"/>
      <c r="X499" s="24"/>
      <c r="Y499" s="24"/>
      <c r="Z499" s="24"/>
      <c r="AA499" s="24"/>
      <c r="AB499" s="24"/>
      <c r="AC499" s="24"/>
    </row>
    <row r="500" spans="1:29" ht="12.9">
      <c r="A500" s="24"/>
      <c r="B500" s="24"/>
      <c r="C500" s="143"/>
      <c r="D500" s="24"/>
      <c r="E500" s="24"/>
      <c r="F500" s="24"/>
      <c r="G500" s="24"/>
      <c r="H500" s="117"/>
      <c r="I500" s="117"/>
      <c r="J500" s="24"/>
      <c r="K500" s="24"/>
      <c r="L500" s="24"/>
      <c r="M500" s="24"/>
      <c r="N500" s="24"/>
      <c r="O500" s="24"/>
      <c r="P500" s="24"/>
      <c r="Q500" s="24"/>
      <c r="R500" s="24"/>
      <c r="S500" s="24"/>
      <c r="T500" s="24"/>
      <c r="U500" s="24"/>
      <c r="V500" s="24"/>
      <c r="W500" s="24"/>
      <c r="X500" s="24"/>
      <c r="Y500" s="24"/>
      <c r="Z500" s="24"/>
      <c r="AA500" s="24"/>
      <c r="AB500" s="24"/>
      <c r="AC500" s="24"/>
    </row>
    <row r="501" spans="1:29" ht="12.9">
      <c r="A501" s="24"/>
      <c r="B501" s="24"/>
      <c r="C501" s="143"/>
      <c r="D501" s="24"/>
      <c r="E501" s="24"/>
      <c r="F501" s="24"/>
      <c r="G501" s="24"/>
      <c r="H501" s="117"/>
      <c r="I501" s="117"/>
      <c r="J501" s="24"/>
      <c r="K501" s="24"/>
      <c r="L501" s="24"/>
      <c r="M501" s="24"/>
      <c r="N501" s="24"/>
      <c r="O501" s="24"/>
      <c r="P501" s="24"/>
      <c r="Q501" s="24"/>
      <c r="R501" s="24"/>
      <c r="S501" s="24"/>
      <c r="T501" s="24"/>
      <c r="U501" s="24"/>
      <c r="V501" s="24"/>
      <c r="W501" s="24"/>
      <c r="X501" s="24"/>
      <c r="Y501" s="24"/>
      <c r="Z501" s="24"/>
      <c r="AA501" s="24"/>
      <c r="AB501" s="24"/>
      <c r="AC501" s="24"/>
    </row>
    <row r="502" spans="1:29" ht="12.9">
      <c r="A502" s="24"/>
      <c r="B502" s="24"/>
      <c r="C502" s="143"/>
      <c r="D502" s="24"/>
      <c r="E502" s="24"/>
      <c r="F502" s="24"/>
      <c r="G502" s="24"/>
      <c r="H502" s="117"/>
      <c r="I502" s="117"/>
      <c r="J502" s="24"/>
      <c r="K502" s="24"/>
      <c r="L502" s="24"/>
      <c r="M502" s="24"/>
      <c r="N502" s="24"/>
      <c r="O502" s="24"/>
      <c r="P502" s="24"/>
      <c r="Q502" s="24"/>
      <c r="R502" s="24"/>
      <c r="S502" s="24"/>
      <c r="T502" s="24"/>
      <c r="U502" s="24"/>
      <c r="V502" s="24"/>
      <c r="W502" s="24"/>
      <c r="X502" s="24"/>
      <c r="Y502" s="24"/>
      <c r="Z502" s="24"/>
      <c r="AA502" s="24"/>
      <c r="AB502" s="24"/>
      <c r="AC502" s="24"/>
    </row>
    <row r="503" spans="1:29" ht="12.9">
      <c r="A503" s="24"/>
      <c r="B503" s="24"/>
      <c r="C503" s="143"/>
      <c r="D503" s="24"/>
      <c r="E503" s="24"/>
      <c r="F503" s="24"/>
      <c r="G503" s="24"/>
      <c r="H503" s="117"/>
      <c r="I503" s="117"/>
      <c r="J503" s="24"/>
      <c r="K503" s="24"/>
      <c r="L503" s="24"/>
      <c r="M503" s="24"/>
      <c r="N503" s="24"/>
      <c r="O503" s="24"/>
      <c r="P503" s="24"/>
      <c r="Q503" s="24"/>
      <c r="R503" s="24"/>
      <c r="S503" s="24"/>
      <c r="T503" s="24"/>
      <c r="U503" s="24"/>
      <c r="V503" s="24"/>
      <c r="W503" s="24"/>
      <c r="X503" s="24"/>
      <c r="Y503" s="24"/>
      <c r="Z503" s="24"/>
      <c r="AA503" s="24"/>
      <c r="AB503" s="24"/>
      <c r="AC503" s="24"/>
    </row>
    <row r="504" spans="1:29" ht="12.9">
      <c r="A504" s="24"/>
      <c r="B504" s="24"/>
      <c r="C504" s="143"/>
      <c r="D504" s="24"/>
      <c r="E504" s="24"/>
      <c r="F504" s="24"/>
      <c r="G504" s="24"/>
      <c r="H504" s="117"/>
      <c r="I504" s="117"/>
      <c r="J504" s="24"/>
      <c r="K504" s="24"/>
      <c r="L504" s="24"/>
      <c r="M504" s="24"/>
      <c r="N504" s="24"/>
      <c r="O504" s="24"/>
      <c r="P504" s="24"/>
      <c r="Q504" s="24"/>
      <c r="R504" s="24"/>
      <c r="S504" s="24"/>
      <c r="T504" s="24"/>
      <c r="U504" s="24"/>
      <c r="V504" s="24"/>
      <c r="W504" s="24"/>
      <c r="X504" s="24"/>
      <c r="Y504" s="24"/>
      <c r="Z504" s="24"/>
      <c r="AA504" s="24"/>
      <c r="AB504" s="24"/>
      <c r="AC504" s="24"/>
    </row>
    <row r="505" spans="1:29" ht="12.9">
      <c r="A505" s="24"/>
      <c r="B505" s="24"/>
      <c r="C505" s="143"/>
      <c r="D505" s="24"/>
      <c r="E505" s="24"/>
      <c r="F505" s="24"/>
      <c r="G505" s="24"/>
      <c r="H505" s="117"/>
      <c r="I505" s="117"/>
      <c r="J505" s="24"/>
      <c r="K505" s="24"/>
      <c r="L505" s="24"/>
      <c r="M505" s="24"/>
      <c r="N505" s="24"/>
      <c r="O505" s="24"/>
      <c r="P505" s="24"/>
      <c r="Q505" s="24"/>
      <c r="R505" s="24"/>
      <c r="S505" s="24"/>
      <c r="T505" s="24"/>
      <c r="U505" s="24"/>
      <c r="V505" s="24"/>
      <c r="W505" s="24"/>
      <c r="X505" s="24"/>
      <c r="Y505" s="24"/>
      <c r="Z505" s="24"/>
      <c r="AA505" s="24"/>
      <c r="AB505" s="24"/>
      <c r="AC505" s="24"/>
    </row>
    <row r="506" spans="1:29" ht="12.9">
      <c r="A506" s="24"/>
      <c r="B506" s="24"/>
      <c r="C506" s="143"/>
      <c r="D506" s="24"/>
      <c r="E506" s="24"/>
      <c r="F506" s="24"/>
      <c r="G506" s="24"/>
      <c r="H506" s="117"/>
      <c r="I506" s="117"/>
      <c r="J506" s="24"/>
      <c r="K506" s="24"/>
      <c r="L506" s="24"/>
      <c r="M506" s="24"/>
      <c r="N506" s="24"/>
      <c r="O506" s="24"/>
      <c r="P506" s="24"/>
      <c r="Q506" s="24"/>
      <c r="R506" s="24"/>
      <c r="S506" s="24"/>
      <c r="T506" s="24"/>
      <c r="U506" s="24"/>
      <c r="V506" s="24"/>
      <c r="W506" s="24"/>
      <c r="X506" s="24"/>
      <c r="Y506" s="24"/>
      <c r="Z506" s="24"/>
      <c r="AA506" s="24"/>
      <c r="AB506" s="24"/>
      <c r="AC506" s="24"/>
    </row>
    <row r="507" spans="1:29" ht="12.9">
      <c r="A507" s="24"/>
      <c r="B507" s="24"/>
      <c r="C507" s="143"/>
      <c r="D507" s="24"/>
      <c r="E507" s="24"/>
      <c r="F507" s="24"/>
      <c r="G507" s="24"/>
      <c r="H507" s="117"/>
      <c r="I507" s="117"/>
      <c r="J507" s="24"/>
      <c r="K507" s="24"/>
      <c r="L507" s="24"/>
      <c r="M507" s="24"/>
      <c r="N507" s="24"/>
      <c r="O507" s="24"/>
      <c r="P507" s="24"/>
      <c r="Q507" s="24"/>
      <c r="R507" s="24"/>
      <c r="S507" s="24"/>
      <c r="T507" s="24"/>
      <c r="U507" s="24"/>
      <c r="V507" s="24"/>
      <c r="W507" s="24"/>
      <c r="X507" s="24"/>
      <c r="Y507" s="24"/>
      <c r="Z507" s="24"/>
      <c r="AA507" s="24"/>
      <c r="AB507" s="24"/>
      <c r="AC507" s="24"/>
    </row>
    <row r="508" spans="1:29" ht="12.9">
      <c r="A508" s="24"/>
      <c r="B508" s="24"/>
      <c r="C508" s="143"/>
      <c r="D508" s="24"/>
      <c r="E508" s="24"/>
      <c r="F508" s="24"/>
      <c r="G508" s="24"/>
      <c r="H508" s="117"/>
      <c r="I508" s="117"/>
      <c r="J508" s="24"/>
      <c r="K508" s="24"/>
      <c r="L508" s="24"/>
      <c r="M508" s="24"/>
      <c r="N508" s="24"/>
      <c r="O508" s="24"/>
      <c r="P508" s="24"/>
      <c r="Q508" s="24"/>
      <c r="R508" s="24"/>
      <c r="S508" s="24"/>
      <c r="T508" s="24"/>
      <c r="U508" s="24"/>
      <c r="V508" s="24"/>
      <c r="W508" s="24"/>
      <c r="X508" s="24"/>
      <c r="Y508" s="24"/>
      <c r="Z508" s="24"/>
      <c r="AA508" s="24"/>
      <c r="AB508" s="24"/>
      <c r="AC508" s="24"/>
    </row>
    <row r="509" spans="1:29" ht="12.9">
      <c r="A509" s="24"/>
      <c r="B509" s="24"/>
      <c r="C509" s="143"/>
      <c r="D509" s="24"/>
      <c r="E509" s="24"/>
      <c r="F509" s="24"/>
      <c r="G509" s="24"/>
      <c r="H509" s="117"/>
      <c r="I509" s="117"/>
      <c r="J509" s="24"/>
      <c r="K509" s="24"/>
      <c r="L509" s="24"/>
      <c r="M509" s="24"/>
      <c r="N509" s="24"/>
      <c r="O509" s="24"/>
      <c r="P509" s="24"/>
      <c r="Q509" s="24"/>
      <c r="R509" s="24"/>
      <c r="S509" s="24"/>
      <c r="T509" s="24"/>
      <c r="U509" s="24"/>
      <c r="V509" s="24"/>
      <c r="W509" s="24"/>
      <c r="X509" s="24"/>
      <c r="Y509" s="24"/>
      <c r="Z509" s="24"/>
      <c r="AA509" s="24"/>
      <c r="AB509" s="24"/>
      <c r="AC509" s="24"/>
    </row>
    <row r="510" spans="1:29" ht="12.9">
      <c r="A510" s="24"/>
      <c r="B510" s="24"/>
      <c r="C510" s="143"/>
      <c r="D510" s="24"/>
      <c r="E510" s="24"/>
      <c r="F510" s="24"/>
      <c r="G510" s="24"/>
      <c r="H510" s="117"/>
      <c r="I510" s="117"/>
      <c r="J510" s="24"/>
      <c r="K510" s="24"/>
      <c r="L510" s="24"/>
      <c r="M510" s="24"/>
      <c r="N510" s="24"/>
      <c r="O510" s="24"/>
      <c r="P510" s="24"/>
      <c r="Q510" s="24"/>
      <c r="R510" s="24"/>
      <c r="S510" s="24"/>
      <c r="T510" s="24"/>
      <c r="U510" s="24"/>
      <c r="V510" s="24"/>
      <c r="W510" s="24"/>
      <c r="X510" s="24"/>
      <c r="Y510" s="24"/>
      <c r="Z510" s="24"/>
      <c r="AA510" s="24"/>
      <c r="AB510" s="24"/>
      <c r="AC510" s="24"/>
    </row>
    <row r="511" spans="1:29" ht="12.9">
      <c r="A511" s="24"/>
      <c r="B511" s="24"/>
      <c r="C511" s="143"/>
      <c r="D511" s="24"/>
      <c r="E511" s="24"/>
      <c r="F511" s="24"/>
      <c r="G511" s="24"/>
      <c r="H511" s="117"/>
      <c r="I511" s="117"/>
      <c r="J511" s="24"/>
      <c r="K511" s="24"/>
      <c r="L511" s="24"/>
      <c r="M511" s="24"/>
      <c r="N511" s="24"/>
      <c r="O511" s="24"/>
      <c r="P511" s="24"/>
      <c r="Q511" s="24"/>
      <c r="R511" s="24"/>
      <c r="S511" s="24"/>
      <c r="T511" s="24"/>
      <c r="U511" s="24"/>
      <c r="V511" s="24"/>
      <c r="W511" s="24"/>
      <c r="X511" s="24"/>
      <c r="Y511" s="24"/>
      <c r="Z511" s="24"/>
      <c r="AA511" s="24"/>
      <c r="AB511" s="24"/>
      <c r="AC511" s="24"/>
    </row>
    <row r="512" spans="1:29" ht="12.9">
      <c r="A512" s="24"/>
      <c r="B512" s="24"/>
      <c r="C512" s="143"/>
      <c r="D512" s="24"/>
      <c r="E512" s="24"/>
      <c r="F512" s="24"/>
      <c r="G512" s="24"/>
      <c r="H512" s="117"/>
      <c r="I512" s="117"/>
      <c r="J512" s="24"/>
      <c r="K512" s="24"/>
      <c r="L512" s="24"/>
      <c r="M512" s="24"/>
      <c r="N512" s="24"/>
      <c r="O512" s="24"/>
      <c r="P512" s="24"/>
      <c r="Q512" s="24"/>
      <c r="R512" s="24"/>
      <c r="S512" s="24"/>
      <c r="T512" s="24"/>
      <c r="U512" s="24"/>
      <c r="V512" s="24"/>
      <c r="W512" s="24"/>
      <c r="X512" s="24"/>
      <c r="Y512" s="24"/>
      <c r="Z512" s="24"/>
      <c r="AA512" s="24"/>
      <c r="AB512" s="24"/>
      <c r="AC512" s="24"/>
    </row>
    <row r="513" spans="1:29" ht="12.9">
      <c r="A513" s="24"/>
      <c r="B513" s="24"/>
      <c r="C513" s="143"/>
      <c r="D513" s="24"/>
      <c r="E513" s="24"/>
      <c r="F513" s="24"/>
      <c r="G513" s="24"/>
      <c r="H513" s="117"/>
      <c r="I513" s="117"/>
      <c r="J513" s="24"/>
      <c r="K513" s="24"/>
      <c r="L513" s="24"/>
      <c r="M513" s="24"/>
      <c r="N513" s="24"/>
      <c r="O513" s="24"/>
      <c r="P513" s="24"/>
      <c r="Q513" s="24"/>
      <c r="R513" s="24"/>
      <c r="S513" s="24"/>
      <c r="T513" s="24"/>
      <c r="U513" s="24"/>
      <c r="V513" s="24"/>
      <c r="W513" s="24"/>
      <c r="X513" s="24"/>
      <c r="Y513" s="24"/>
      <c r="Z513" s="24"/>
      <c r="AA513" s="24"/>
      <c r="AB513" s="24"/>
      <c r="AC513" s="24"/>
    </row>
    <row r="514" spans="1:29" ht="12.9">
      <c r="A514" s="24"/>
      <c r="B514" s="24"/>
      <c r="C514" s="143"/>
      <c r="D514" s="24"/>
      <c r="E514" s="24"/>
      <c r="F514" s="24"/>
      <c r="G514" s="24"/>
      <c r="H514" s="117"/>
      <c r="I514" s="117"/>
      <c r="J514" s="24"/>
      <c r="K514" s="24"/>
      <c r="L514" s="24"/>
      <c r="M514" s="24"/>
      <c r="N514" s="24"/>
      <c r="O514" s="24"/>
      <c r="P514" s="24"/>
      <c r="Q514" s="24"/>
      <c r="R514" s="24"/>
      <c r="S514" s="24"/>
      <c r="T514" s="24"/>
      <c r="U514" s="24"/>
      <c r="V514" s="24"/>
      <c r="W514" s="24"/>
      <c r="X514" s="24"/>
      <c r="Y514" s="24"/>
      <c r="Z514" s="24"/>
      <c r="AA514" s="24"/>
      <c r="AB514" s="24"/>
      <c r="AC514" s="24"/>
    </row>
    <row r="515" spans="1:29" ht="12.9">
      <c r="A515" s="24"/>
      <c r="B515" s="24"/>
      <c r="C515" s="143"/>
      <c r="D515" s="24"/>
      <c r="E515" s="24"/>
      <c r="F515" s="24"/>
      <c r="G515" s="24"/>
      <c r="H515" s="117"/>
      <c r="I515" s="117"/>
      <c r="J515" s="24"/>
      <c r="K515" s="24"/>
      <c r="L515" s="24"/>
      <c r="M515" s="24"/>
      <c r="N515" s="24"/>
      <c r="O515" s="24"/>
      <c r="P515" s="24"/>
      <c r="Q515" s="24"/>
      <c r="R515" s="24"/>
      <c r="S515" s="24"/>
      <c r="T515" s="24"/>
      <c r="U515" s="24"/>
      <c r="V515" s="24"/>
      <c r="W515" s="24"/>
      <c r="X515" s="24"/>
      <c r="Y515" s="24"/>
      <c r="Z515" s="24"/>
      <c r="AA515" s="24"/>
      <c r="AB515" s="24"/>
      <c r="AC515" s="24"/>
    </row>
    <row r="516" spans="1:29" ht="12.9">
      <c r="A516" s="24"/>
      <c r="B516" s="24"/>
      <c r="C516" s="143"/>
      <c r="D516" s="24"/>
      <c r="E516" s="24"/>
      <c r="F516" s="24"/>
      <c r="G516" s="24"/>
      <c r="H516" s="117"/>
      <c r="I516" s="117"/>
      <c r="J516" s="24"/>
      <c r="K516" s="24"/>
      <c r="L516" s="24"/>
      <c r="M516" s="24"/>
      <c r="N516" s="24"/>
      <c r="O516" s="24"/>
      <c r="P516" s="24"/>
      <c r="Q516" s="24"/>
      <c r="R516" s="24"/>
      <c r="S516" s="24"/>
      <c r="T516" s="24"/>
      <c r="U516" s="24"/>
      <c r="V516" s="24"/>
      <c r="W516" s="24"/>
      <c r="X516" s="24"/>
      <c r="Y516" s="24"/>
      <c r="Z516" s="24"/>
      <c r="AA516" s="24"/>
      <c r="AB516" s="24"/>
      <c r="AC516" s="24"/>
    </row>
    <row r="517" spans="1:29" ht="12.9">
      <c r="A517" s="24"/>
      <c r="B517" s="24"/>
      <c r="C517" s="143"/>
      <c r="D517" s="24"/>
      <c r="E517" s="24"/>
      <c r="F517" s="24"/>
      <c r="G517" s="24"/>
      <c r="H517" s="117"/>
      <c r="I517" s="117"/>
      <c r="J517" s="24"/>
      <c r="K517" s="24"/>
      <c r="L517" s="24"/>
      <c r="M517" s="24"/>
      <c r="N517" s="24"/>
      <c r="O517" s="24"/>
      <c r="P517" s="24"/>
      <c r="Q517" s="24"/>
      <c r="R517" s="24"/>
      <c r="S517" s="24"/>
      <c r="T517" s="24"/>
      <c r="U517" s="24"/>
      <c r="V517" s="24"/>
      <c r="W517" s="24"/>
      <c r="X517" s="24"/>
      <c r="Y517" s="24"/>
      <c r="Z517" s="24"/>
      <c r="AA517" s="24"/>
      <c r="AB517" s="24"/>
      <c r="AC517" s="24"/>
    </row>
    <row r="518" spans="1:29" ht="12.9">
      <c r="A518" s="24"/>
      <c r="B518" s="24"/>
      <c r="C518" s="143"/>
      <c r="D518" s="24"/>
      <c r="E518" s="24"/>
      <c r="F518" s="24"/>
      <c r="G518" s="24"/>
      <c r="H518" s="117"/>
      <c r="I518" s="117"/>
      <c r="J518" s="24"/>
      <c r="K518" s="24"/>
      <c r="L518" s="24"/>
      <c r="M518" s="24"/>
      <c r="N518" s="24"/>
      <c r="O518" s="24"/>
      <c r="P518" s="24"/>
      <c r="Q518" s="24"/>
      <c r="R518" s="24"/>
      <c r="S518" s="24"/>
      <c r="T518" s="24"/>
      <c r="U518" s="24"/>
      <c r="V518" s="24"/>
      <c r="W518" s="24"/>
      <c r="X518" s="24"/>
      <c r="Y518" s="24"/>
      <c r="Z518" s="24"/>
      <c r="AA518" s="24"/>
      <c r="AB518" s="24"/>
      <c r="AC518" s="24"/>
    </row>
    <row r="519" spans="1:29" ht="12.9">
      <c r="A519" s="24"/>
      <c r="B519" s="24"/>
      <c r="C519" s="143"/>
      <c r="D519" s="24"/>
      <c r="E519" s="24"/>
      <c r="F519" s="24"/>
      <c r="G519" s="24"/>
      <c r="H519" s="117"/>
      <c r="I519" s="117"/>
      <c r="J519" s="24"/>
      <c r="K519" s="24"/>
      <c r="L519" s="24"/>
      <c r="M519" s="24"/>
      <c r="N519" s="24"/>
      <c r="O519" s="24"/>
      <c r="P519" s="24"/>
      <c r="Q519" s="24"/>
      <c r="R519" s="24"/>
      <c r="S519" s="24"/>
      <c r="T519" s="24"/>
      <c r="U519" s="24"/>
      <c r="V519" s="24"/>
      <c r="W519" s="24"/>
      <c r="X519" s="24"/>
      <c r="Y519" s="24"/>
      <c r="Z519" s="24"/>
      <c r="AA519" s="24"/>
      <c r="AB519" s="24"/>
      <c r="AC519" s="24"/>
    </row>
    <row r="520" spans="1:29" ht="12.9">
      <c r="A520" s="24"/>
      <c r="B520" s="24"/>
      <c r="C520" s="143"/>
      <c r="D520" s="24"/>
      <c r="E520" s="24"/>
      <c r="F520" s="24"/>
      <c r="G520" s="24"/>
      <c r="H520" s="117"/>
      <c r="I520" s="117"/>
      <c r="J520" s="24"/>
      <c r="K520" s="24"/>
      <c r="L520" s="24"/>
      <c r="M520" s="24"/>
      <c r="N520" s="24"/>
      <c r="O520" s="24"/>
      <c r="P520" s="24"/>
      <c r="Q520" s="24"/>
      <c r="R520" s="24"/>
      <c r="S520" s="24"/>
      <c r="T520" s="24"/>
      <c r="U520" s="24"/>
      <c r="V520" s="24"/>
      <c r="W520" s="24"/>
      <c r="X520" s="24"/>
      <c r="Y520" s="24"/>
      <c r="Z520" s="24"/>
      <c r="AA520" s="24"/>
      <c r="AB520" s="24"/>
      <c r="AC520" s="24"/>
    </row>
    <row r="521" spans="1:29" ht="12.9">
      <c r="A521" s="24"/>
      <c r="B521" s="24"/>
      <c r="C521" s="143"/>
      <c r="D521" s="24"/>
      <c r="E521" s="24"/>
      <c r="F521" s="24"/>
      <c r="G521" s="24"/>
      <c r="H521" s="117"/>
      <c r="I521" s="117"/>
      <c r="J521" s="24"/>
      <c r="K521" s="24"/>
      <c r="L521" s="24"/>
      <c r="M521" s="24"/>
      <c r="N521" s="24"/>
      <c r="O521" s="24"/>
      <c r="P521" s="24"/>
      <c r="Q521" s="24"/>
      <c r="R521" s="24"/>
      <c r="S521" s="24"/>
      <c r="T521" s="24"/>
      <c r="U521" s="24"/>
      <c r="V521" s="24"/>
      <c r="W521" s="24"/>
      <c r="X521" s="24"/>
      <c r="Y521" s="24"/>
      <c r="Z521" s="24"/>
      <c r="AA521" s="24"/>
      <c r="AB521" s="24"/>
      <c r="AC521" s="24"/>
    </row>
    <row r="522" spans="1:29" ht="12.9">
      <c r="A522" s="24"/>
      <c r="B522" s="24"/>
      <c r="C522" s="143"/>
      <c r="D522" s="24"/>
      <c r="E522" s="24"/>
      <c r="F522" s="24"/>
      <c r="G522" s="24"/>
      <c r="H522" s="117"/>
      <c r="I522" s="117"/>
      <c r="J522" s="24"/>
      <c r="K522" s="24"/>
      <c r="L522" s="24"/>
      <c r="M522" s="24"/>
      <c r="N522" s="24"/>
      <c r="O522" s="24"/>
      <c r="P522" s="24"/>
      <c r="Q522" s="24"/>
      <c r="R522" s="24"/>
      <c r="S522" s="24"/>
      <c r="T522" s="24"/>
      <c r="U522" s="24"/>
      <c r="V522" s="24"/>
      <c r="W522" s="24"/>
      <c r="X522" s="24"/>
      <c r="Y522" s="24"/>
      <c r="Z522" s="24"/>
      <c r="AA522" s="24"/>
      <c r="AB522" s="24"/>
      <c r="AC522" s="24"/>
    </row>
    <row r="523" spans="1:29" ht="12.9">
      <c r="A523" s="24"/>
      <c r="B523" s="24"/>
      <c r="C523" s="143"/>
      <c r="D523" s="24"/>
      <c r="E523" s="24"/>
      <c r="F523" s="24"/>
      <c r="G523" s="24"/>
      <c r="H523" s="117"/>
      <c r="I523" s="117"/>
      <c r="J523" s="24"/>
      <c r="K523" s="24"/>
      <c r="L523" s="24"/>
      <c r="M523" s="24"/>
      <c r="N523" s="24"/>
      <c r="O523" s="24"/>
      <c r="P523" s="24"/>
      <c r="Q523" s="24"/>
      <c r="R523" s="24"/>
      <c r="S523" s="24"/>
      <c r="T523" s="24"/>
      <c r="U523" s="24"/>
      <c r="V523" s="24"/>
      <c r="W523" s="24"/>
      <c r="X523" s="24"/>
      <c r="Y523" s="24"/>
      <c r="Z523" s="24"/>
      <c r="AA523" s="24"/>
      <c r="AB523" s="24"/>
      <c r="AC523" s="24"/>
    </row>
    <row r="524" spans="1:29" ht="12.9">
      <c r="A524" s="24"/>
      <c r="B524" s="24"/>
      <c r="C524" s="143"/>
      <c r="D524" s="24"/>
      <c r="E524" s="24"/>
      <c r="F524" s="24"/>
      <c r="G524" s="24"/>
      <c r="H524" s="117"/>
      <c r="I524" s="117"/>
      <c r="J524" s="24"/>
      <c r="K524" s="24"/>
      <c r="L524" s="24"/>
      <c r="M524" s="24"/>
      <c r="N524" s="24"/>
      <c r="O524" s="24"/>
      <c r="P524" s="24"/>
      <c r="Q524" s="24"/>
      <c r="R524" s="24"/>
      <c r="S524" s="24"/>
      <c r="T524" s="24"/>
      <c r="U524" s="24"/>
      <c r="V524" s="24"/>
      <c r="W524" s="24"/>
      <c r="X524" s="24"/>
      <c r="Y524" s="24"/>
      <c r="Z524" s="24"/>
      <c r="AA524" s="24"/>
      <c r="AB524" s="24"/>
      <c r="AC524" s="24"/>
    </row>
    <row r="525" spans="1:29" ht="12.9">
      <c r="A525" s="24"/>
      <c r="B525" s="24"/>
      <c r="C525" s="143"/>
      <c r="D525" s="24"/>
      <c r="E525" s="24"/>
      <c r="F525" s="24"/>
      <c r="G525" s="24"/>
      <c r="H525" s="117"/>
      <c r="I525" s="117"/>
      <c r="J525" s="24"/>
      <c r="K525" s="24"/>
      <c r="L525" s="24"/>
      <c r="M525" s="24"/>
      <c r="N525" s="24"/>
      <c r="O525" s="24"/>
      <c r="P525" s="24"/>
      <c r="Q525" s="24"/>
      <c r="R525" s="24"/>
      <c r="S525" s="24"/>
      <c r="T525" s="24"/>
      <c r="U525" s="24"/>
      <c r="V525" s="24"/>
      <c r="W525" s="24"/>
      <c r="X525" s="24"/>
      <c r="Y525" s="24"/>
      <c r="Z525" s="24"/>
      <c r="AA525" s="24"/>
      <c r="AB525" s="24"/>
      <c r="AC525" s="24"/>
    </row>
    <row r="526" spans="1:29" ht="12.9">
      <c r="A526" s="24"/>
      <c r="B526" s="24"/>
      <c r="C526" s="143"/>
      <c r="D526" s="24"/>
      <c r="E526" s="24"/>
      <c r="F526" s="24"/>
      <c r="G526" s="24"/>
      <c r="H526" s="117"/>
      <c r="I526" s="117"/>
      <c r="J526" s="24"/>
      <c r="K526" s="24"/>
      <c r="L526" s="24"/>
      <c r="M526" s="24"/>
      <c r="N526" s="24"/>
      <c r="O526" s="24"/>
      <c r="P526" s="24"/>
      <c r="Q526" s="24"/>
      <c r="R526" s="24"/>
      <c r="S526" s="24"/>
      <c r="T526" s="24"/>
      <c r="U526" s="24"/>
      <c r="V526" s="24"/>
      <c r="W526" s="24"/>
      <c r="X526" s="24"/>
      <c r="Y526" s="24"/>
      <c r="Z526" s="24"/>
      <c r="AA526" s="24"/>
      <c r="AB526" s="24"/>
      <c r="AC526" s="24"/>
    </row>
    <row r="527" spans="1:29" ht="12.9">
      <c r="A527" s="24"/>
      <c r="B527" s="24"/>
      <c r="C527" s="143"/>
      <c r="D527" s="24"/>
      <c r="E527" s="24"/>
      <c r="F527" s="24"/>
      <c r="G527" s="24"/>
      <c r="H527" s="117"/>
      <c r="I527" s="117"/>
      <c r="J527" s="24"/>
      <c r="K527" s="24"/>
      <c r="L527" s="24"/>
      <c r="M527" s="24"/>
      <c r="N527" s="24"/>
      <c r="O527" s="24"/>
      <c r="P527" s="24"/>
      <c r="Q527" s="24"/>
      <c r="R527" s="24"/>
      <c r="S527" s="24"/>
      <c r="T527" s="24"/>
      <c r="U527" s="24"/>
      <c r="V527" s="24"/>
      <c r="W527" s="24"/>
      <c r="X527" s="24"/>
      <c r="Y527" s="24"/>
      <c r="Z527" s="24"/>
      <c r="AA527" s="24"/>
      <c r="AB527" s="24"/>
      <c r="AC527" s="24"/>
    </row>
    <row r="528" spans="1:29" ht="12.9">
      <c r="A528" s="24"/>
      <c r="B528" s="24"/>
      <c r="C528" s="143"/>
      <c r="D528" s="24"/>
      <c r="E528" s="24"/>
      <c r="F528" s="24"/>
      <c r="G528" s="24"/>
      <c r="H528" s="117"/>
      <c r="I528" s="117"/>
      <c r="J528" s="24"/>
      <c r="K528" s="24"/>
      <c r="L528" s="24"/>
      <c r="M528" s="24"/>
      <c r="N528" s="24"/>
      <c r="O528" s="24"/>
      <c r="P528" s="24"/>
      <c r="Q528" s="24"/>
      <c r="R528" s="24"/>
      <c r="S528" s="24"/>
      <c r="T528" s="24"/>
      <c r="U528" s="24"/>
      <c r="V528" s="24"/>
      <c r="W528" s="24"/>
      <c r="X528" s="24"/>
      <c r="Y528" s="24"/>
      <c r="Z528" s="24"/>
      <c r="AA528" s="24"/>
      <c r="AB528" s="24"/>
      <c r="AC528" s="24"/>
    </row>
    <row r="529" spans="1:29" ht="12.9">
      <c r="A529" s="24"/>
      <c r="B529" s="24"/>
      <c r="C529" s="143"/>
      <c r="D529" s="24"/>
      <c r="E529" s="24"/>
      <c r="F529" s="24"/>
      <c r="G529" s="24"/>
      <c r="H529" s="117"/>
      <c r="I529" s="117"/>
      <c r="J529" s="24"/>
      <c r="K529" s="24"/>
      <c r="L529" s="24"/>
      <c r="M529" s="24"/>
      <c r="N529" s="24"/>
      <c r="O529" s="24"/>
      <c r="P529" s="24"/>
      <c r="Q529" s="24"/>
      <c r="R529" s="24"/>
      <c r="S529" s="24"/>
      <c r="T529" s="24"/>
      <c r="U529" s="24"/>
      <c r="V529" s="24"/>
      <c r="W529" s="24"/>
      <c r="X529" s="24"/>
      <c r="Y529" s="24"/>
      <c r="Z529" s="24"/>
      <c r="AA529" s="24"/>
      <c r="AB529" s="24"/>
      <c r="AC529" s="24"/>
    </row>
    <row r="530" spans="1:29" ht="12.9">
      <c r="A530" s="24"/>
      <c r="B530" s="24"/>
      <c r="C530" s="143"/>
      <c r="D530" s="24"/>
      <c r="E530" s="24"/>
      <c r="F530" s="24"/>
      <c r="G530" s="24"/>
      <c r="H530" s="117"/>
      <c r="I530" s="117"/>
      <c r="J530" s="24"/>
      <c r="K530" s="24"/>
      <c r="L530" s="24"/>
      <c r="M530" s="24"/>
      <c r="N530" s="24"/>
      <c r="O530" s="24"/>
      <c r="P530" s="24"/>
      <c r="Q530" s="24"/>
      <c r="R530" s="24"/>
      <c r="S530" s="24"/>
      <c r="T530" s="24"/>
      <c r="U530" s="24"/>
      <c r="V530" s="24"/>
      <c r="W530" s="24"/>
      <c r="X530" s="24"/>
      <c r="Y530" s="24"/>
      <c r="Z530" s="24"/>
      <c r="AA530" s="24"/>
      <c r="AB530" s="24"/>
      <c r="AC530" s="24"/>
    </row>
    <row r="531" spans="1:29" ht="12.9">
      <c r="A531" s="24"/>
      <c r="B531" s="24"/>
      <c r="C531" s="143"/>
      <c r="D531" s="24"/>
      <c r="E531" s="24"/>
      <c r="F531" s="24"/>
      <c r="G531" s="24"/>
      <c r="H531" s="117"/>
      <c r="I531" s="117"/>
      <c r="J531" s="24"/>
      <c r="K531" s="24"/>
      <c r="L531" s="24"/>
      <c r="M531" s="24"/>
      <c r="N531" s="24"/>
      <c r="O531" s="24"/>
      <c r="P531" s="24"/>
      <c r="Q531" s="24"/>
      <c r="R531" s="24"/>
      <c r="S531" s="24"/>
      <c r="T531" s="24"/>
      <c r="U531" s="24"/>
      <c r="V531" s="24"/>
      <c r="W531" s="24"/>
      <c r="X531" s="24"/>
      <c r="Y531" s="24"/>
      <c r="Z531" s="24"/>
      <c r="AA531" s="24"/>
      <c r="AB531" s="24"/>
      <c r="AC531" s="24"/>
    </row>
    <row r="532" spans="1:29" ht="12.9">
      <c r="A532" s="24"/>
      <c r="B532" s="24"/>
      <c r="C532" s="143"/>
      <c r="D532" s="24"/>
      <c r="E532" s="24"/>
      <c r="F532" s="24"/>
      <c r="G532" s="24"/>
      <c r="H532" s="117"/>
      <c r="I532" s="117"/>
      <c r="J532" s="24"/>
      <c r="K532" s="24"/>
      <c r="L532" s="24"/>
      <c r="M532" s="24"/>
      <c r="N532" s="24"/>
      <c r="O532" s="24"/>
      <c r="P532" s="24"/>
      <c r="Q532" s="24"/>
      <c r="R532" s="24"/>
      <c r="S532" s="24"/>
      <c r="T532" s="24"/>
      <c r="U532" s="24"/>
      <c r="V532" s="24"/>
      <c r="W532" s="24"/>
      <c r="X532" s="24"/>
      <c r="Y532" s="24"/>
      <c r="Z532" s="24"/>
      <c r="AA532" s="24"/>
      <c r="AB532" s="24"/>
      <c r="AC532" s="24"/>
    </row>
    <row r="533" spans="1:29" ht="12.9">
      <c r="A533" s="24"/>
      <c r="B533" s="24"/>
      <c r="C533" s="143"/>
      <c r="D533" s="24"/>
      <c r="E533" s="24"/>
      <c r="F533" s="24"/>
      <c r="G533" s="24"/>
      <c r="H533" s="117"/>
      <c r="I533" s="117"/>
      <c r="J533" s="24"/>
      <c r="K533" s="24"/>
      <c r="L533" s="24"/>
      <c r="M533" s="24"/>
      <c r="N533" s="24"/>
      <c r="O533" s="24"/>
      <c r="P533" s="24"/>
      <c r="Q533" s="24"/>
      <c r="R533" s="24"/>
      <c r="S533" s="24"/>
      <c r="T533" s="24"/>
      <c r="U533" s="24"/>
      <c r="V533" s="24"/>
      <c r="W533" s="24"/>
      <c r="X533" s="24"/>
      <c r="Y533" s="24"/>
      <c r="Z533" s="24"/>
      <c r="AA533" s="24"/>
      <c r="AB533" s="24"/>
      <c r="AC533" s="24"/>
    </row>
    <row r="534" spans="1:29" ht="12.9">
      <c r="A534" s="24"/>
      <c r="B534" s="24"/>
      <c r="C534" s="143"/>
      <c r="D534" s="24"/>
      <c r="E534" s="24"/>
      <c r="F534" s="24"/>
      <c r="G534" s="24"/>
      <c r="H534" s="117"/>
      <c r="I534" s="117"/>
      <c r="J534" s="24"/>
      <c r="K534" s="24"/>
      <c r="L534" s="24"/>
      <c r="M534" s="24"/>
      <c r="N534" s="24"/>
      <c r="O534" s="24"/>
      <c r="P534" s="24"/>
      <c r="Q534" s="24"/>
      <c r="R534" s="24"/>
      <c r="S534" s="24"/>
      <c r="T534" s="24"/>
      <c r="U534" s="24"/>
      <c r="V534" s="24"/>
      <c r="W534" s="24"/>
      <c r="X534" s="24"/>
      <c r="Y534" s="24"/>
      <c r="Z534" s="24"/>
      <c r="AA534" s="24"/>
      <c r="AB534" s="24"/>
      <c r="AC534" s="24"/>
    </row>
    <row r="535" spans="1:29" ht="12.9">
      <c r="A535" s="24"/>
      <c r="B535" s="24"/>
      <c r="C535" s="143"/>
      <c r="D535" s="24"/>
      <c r="E535" s="24"/>
      <c r="F535" s="24"/>
      <c r="G535" s="24"/>
      <c r="H535" s="117"/>
      <c r="I535" s="117"/>
      <c r="J535" s="24"/>
      <c r="K535" s="24"/>
      <c r="L535" s="24"/>
      <c r="M535" s="24"/>
      <c r="N535" s="24"/>
      <c r="O535" s="24"/>
      <c r="P535" s="24"/>
      <c r="Q535" s="24"/>
      <c r="R535" s="24"/>
      <c r="S535" s="24"/>
      <c r="T535" s="24"/>
      <c r="U535" s="24"/>
      <c r="V535" s="24"/>
      <c r="W535" s="24"/>
      <c r="X535" s="24"/>
      <c r="Y535" s="24"/>
      <c r="Z535" s="24"/>
      <c r="AA535" s="24"/>
      <c r="AB535" s="24"/>
      <c r="AC535" s="24"/>
    </row>
    <row r="536" spans="1:29" ht="12.9">
      <c r="A536" s="24"/>
      <c r="B536" s="24"/>
      <c r="C536" s="143"/>
      <c r="D536" s="24"/>
      <c r="E536" s="24"/>
      <c r="F536" s="24"/>
      <c r="G536" s="24"/>
      <c r="H536" s="117"/>
      <c r="I536" s="117"/>
      <c r="J536" s="24"/>
      <c r="K536" s="24"/>
      <c r="L536" s="24"/>
      <c r="M536" s="24"/>
      <c r="N536" s="24"/>
      <c r="O536" s="24"/>
      <c r="P536" s="24"/>
      <c r="Q536" s="24"/>
      <c r="R536" s="24"/>
      <c r="S536" s="24"/>
      <c r="T536" s="24"/>
      <c r="U536" s="24"/>
      <c r="V536" s="24"/>
      <c r="W536" s="24"/>
      <c r="X536" s="24"/>
      <c r="Y536" s="24"/>
      <c r="Z536" s="24"/>
      <c r="AA536" s="24"/>
      <c r="AB536" s="24"/>
      <c r="AC536" s="24"/>
    </row>
    <row r="537" spans="1:29" ht="12.9">
      <c r="A537" s="24"/>
      <c r="B537" s="24"/>
      <c r="C537" s="143"/>
      <c r="D537" s="24"/>
      <c r="E537" s="24"/>
      <c r="F537" s="24"/>
      <c r="G537" s="24"/>
      <c r="H537" s="117"/>
      <c r="I537" s="117"/>
      <c r="J537" s="24"/>
      <c r="K537" s="24"/>
      <c r="L537" s="24"/>
      <c r="M537" s="24"/>
      <c r="N537" s="24"/>
      <c r="O537" s="24"/>
      <c r="P537" s="24"/>
      <c r="Q537" s="24"/>
      <c r="R537" s="24"/>
      <c r="S537" s="24"/>
      <c r="T537" s="24"/>
      <c r="U537" s="24"/>
      <c r="V537" s="24"/>
      <c r="W537" s="24"/>
      <c r="X537" s="24"/>
      <c r="Y537" s="24"/>
      <c r="Z537" s="24"/>
      <c r="AA537" s="24"/>
      <c r="AB537" s="24"/>
      <c r="AC537" s="24"/>
    </row>
    <row r="538" spans="1:29" ht="12.9">
      <c r="A538" s="24"/>
      <c r="B538" s="24"/>
      <c r="C538" s="143"/>
      <c r="D538" s="24"/>
      <c r="E538" s="24"/>
      <c r="F538" s="24"/>
      <c r="G538" s="24"/>
      <c r="H538" s="117"/>
      <c r="I538" s="117"/>
      <c r="J538" s="24"/>
      <c r="K538" s="24"/>
      <c r="L538" s="24"/>
      <c r="M538" s="24"/>
      <c r="N538" s="24"/>
      <c r="O538" s="24"/>
      <c r="P538" s="24"/>
      <c r="Q538" s="24"/>
      <c r="R538" s="24"/>
      <c r="S538" s="24"/>
      <c r="T538" s="24"/>
      <c r="U538" s="24"/>
      <c r="V538" s="24"/>
      <c r="W538" s="24"/>
      <c r="X538" s="24"/>
      <c r="Y538" s="24"/>
      <c r="Z538" s="24"/>
      <c r="AA538" s="24"/>
      <c r="AB538" s="24"/>
      <c r="AC538" s="24"/>
    </row>
    <row r="539" spans="1:29" ht="12.9">
      <c r="A539" s="24"/>
      <c r="B539" s="24"/>
      <c r="C539" s="143"/>
      <c r="D539" s="24"/>
      <c r="E539" s="24"/>
      <c r="F539" s="24"/>
      <c r="G539" s="24"/>
      <c r="H539" s="117"/>
      <c r="I539" s="117"/>
      <c r="J539" s="24"/>
      <c r="K539" s="24"/>
      <c r="L539" s="24"/>
      <c r="M539" s="24"/>
      <c r="N539" s="24"/>
      <c r="O539" s="24"/>
      <c r="P539" s="24"/>
      <c r="Q539" s="24"/>
      <c r="R539" s="24"/>
      <c r="S539" s="24"/>
      <c r="T539" s="24"/>
      <c r="U539" s="24"/>
      <c r="V539" s="24"/>
      <c r="W539" s="24"/>
      <c r="X539" s="24"/>
      <c r="Y539" s="24"/>
      <c r="Z539" s="24"/>
      <c r="AA539" s="24"/>
      <c r="AB539" s="24"/>
      <c r="AC539" s="24"/>
    </row>
    <row r="540" spans="1:29" ht="12.9">
      <c r="A540" s="24"/>
      <c r="B540" s="24"/>
      <c r="C540" s="143"/>
      <c r="D540" s="24"/>
      <c r="E540" s="24"/>
      <c r="F540" s="24"/>
      <c r="G540" s="24"/>
      <c r="H540" s="117"/>
      <c r="I540" s="117"/>
      <c r="J540" s="24"/>
      <c r="K540" s="24"/>
      <c r="L540" s="24"/>
      <c r="M540" s="24"/>
      <c r="N540" s="24"/>
      <c r="O540" s="24"/>
      <c r="P540" s="24"/>
      <c r="Q540" s="24"/>
      <c r="R540" s="24"/>
      <c r="S540" s="24"/>
      <c r="T540" s="24"/>
      <c r="U540" s="24"/>
      <c r="V540" s="24"/>
      <c r="W540" s="24"/>
      <c r="X540" s="24"/>
      <c r="Y540" s="24"/>
      <c r="Z540" s="24"/>
      <c r="AA540" s="24"/>
      <c r="AB540" s="24"/>
      <c r="AC540" s="24"/>
    </row>
    <row r="541" spans="1:29" ht="12.9">
      <c r="A541" s="24"/>
      <c r="B541" s="24"/>
      <c r="C541" s="143"/>
      <c r="D541" s="24"/>
      <c r="E541" s="24"/>
      <c r="F541" s="24"/>
      <c r="G541" s="24"/>
      <c r="H541" s="117"/>
      <c r="I541" s="117"/>
      <c r="J541" s="24"/>
      <c r="K541" s="24"/>
      <c r="L541" s="24"/>
      <c r="M541" s="24"/>
      <c r="N541" s="24"/>
      <c r="O541" s="24"/>
      <c r="P541" s="24"/>
      <c r="Q541" s="24"/>
      <c r="R541" s="24"/>
      <c r="S541" s="24"/>
      <c r="T541" s="24"/>
      <c r="U541" s="24"/>
      <c r="V541" s="24"/>
      <c r="W541" s="24"/>
      <c r="X541" s="24"/>
      <c r="Y541" s="24"/>
      <c r="Z541" s="24"/>
      <c r="AA541" s="24"/>
      <c r="AB541" s="24"/>
      <c r="AC541" s="24"/>
    </row>
    <row r="542" spans="1:29" ht="12.9">
      <c r="A542" s="24"/>
      <c r="B542" s="24"/>
      <c r="C542" s="143"/>
      <c r="D542" s="24"/>
      <c r="E542" s="24"/>
      <c r="F542" s="24"/>
      <c r="G542" s="24"/>
      <c r="H542" s="117"/>
      <c r="I542" s="117"/>
      <c r="J542" s="24"/>
      <c r="K542" s="24"/>
      <c r="L542" s="24"/>
      <c r="M542" s="24"/>
      <c r="N542" s="24"/>
      <c r="O542" s="24"/>
      <c r="P542" s="24"/>
      <c r="Q542" s="24"/>
      <c r="R542" s="24"/>
      <c r="S542" s="24"/>
      <c r="T542" s="24"/>
      <c r="U542" s="24"/>
      <c r="V542" s="24"/>
      <c r="W542" s="24"/>
      <c r="X542" s="24"/>
      <c r="Y542" s="24"/>
      <c r="Z542" s="24"/>
      <c r="AA542" s="24"/>
      <c r="AB542" s="24"/>
      <c r="AC542" s="24"/>
    </row>
    <row r="543" spans="1:29" ht="12.9">
      <c r="A543" s="24"/>
      <c r="B543" s="24"/>
      <c r="C543" s="143"/>
      <c r="D543" s="24"/>
      <c r="E543" s="24"/>
      <c r="F543" s="24"/>
      <c r="G543" s="24"/>
      <c r="H543" s="117"/>
      <c r="I543" s="117"/>
      <c r="J543" s="24"/>
      <c r="K543" s="24"/>
      <c r="L543" s="24"/>
      <c r="M543" s="24"/>
      <c r="N543" s="24"/>
      <c r="O543" s="24"/>
      <c r="P543" s="24"/>
      <c r="Q543" s="24"/>
      <c r="R543" s="24"/>
      <c r="S543" s="24"/>
      <c r="T543" s="24"/>
      <c r="U543" s="24"/>
      <c r="V543" s="24"/>
      <c r="W543" s="24"/>
      <c r="X543" s="24"/>
      <c r="Y543" s="24"/>
      <c r="Z543" s="24"/>
      <c r="AA543" s="24"/>
      <c r="AB543" s="24"/>
      <c r="AC543" s="24"/>
    </row>
    <row r="544" spans="1:29" ht="12.9">
      <c r="A544" s="24"/>
      <c r="B544" s="24"/>
      <c r="C544" s="143"/>
      <c r="D544" s="24"/>
      <c r="E544" s="24"/>
      <c r="F544" s="24"/>
      <c r="G544" s="24"/>
      <c r="H544" s="117"/>
      <c r="I544" s="117"/>
      <c r="J544" s="24"/>
      <c r="K544" s="24"/>
      <c r="L544" s="24"/>
      <c r="M544" s="24"/>
      <c r="N544" s="24"/>
      <c r="O544" s="24"/>
      <c r="P544" s="24"/>
      <c r="Q544" s="24"/>
      <c r="R544" s="24"/>
      <c r="S544" s="24"/>
      <c r="T544" s="24"/>
      <c r="U544" s="24"/>
      <c r="V544" s="24"/>
      <c r="W544" s="24"/>
      <c r="X544" s="24"/>
      <c r="Y544" s="24"/>
      <c r="Z544" s="24"/>
      <c r="AA544" s="24"/>
      <c r="AB544" s="24"/>
      <c r="AC544" s="24"/>
    </row>
    <row r="545" spans="1:29" ht="12.9">
      <c r="A545" s="24"/>
      <c r="B545" s="24"/>
      <c r="C545" s="143"/>
      <c r="D545" s="24"/>
      <c r="E545" s="24"/>
      <c r="F545" s="24"/>
      <c r="G545" s="24"/>
      <c r="H545" s="117"/>
      <c r="I545" s="117"/>
      <c r="J545" s="24"/>
      <c r="K545" s="24"/>
      <c r="L545" s="24"/>
      <c r="M545" s="24"/>
      <c r="N545" s="24"/>
      <c r="O545" s="24"/>
      <c r="P545" s="24"/>
      <c r="Q545" s="24"/>
      <c r="R545" s="24"/>
      <c r="S545" s="24"/>
      <c r="T545" s="24"/>
      <c r="U545" s="24"/>
      <c r="V545" s="24"/>
      <c r="W545" s="24"/>
      <c r="X545" s="24"/>
      <c r="Y545" s="24"/>
      <c r="Z545" s="24"/>
      <c r="AA545" s="24"/>
      <c r="AB545" s="24"/>
      <c r="AC545" s="24"/>
    </row>
    <row r="546" spans="1:29" ht="12.9">
      <c r="A546" s="24"/>
      <c r="B546" s="24"/>
      <c r="C546" s="143"/>
      <c r="D546" s="24"/>
      <c r="E546" s="24"/>
      <c r="F546" s="24"/>
      <c r="G546" s="24"/>
      <c r="H546" s="117"/>
      <c r="I546" s="117"/>
      <c r="J546" s="24"/>
      <c r="K546" s="24"/>
      <c r="L546" s="24"/>
      <c r="M546" s="24"/>
      <c r="N546" s="24"/>
      <c r="O546" s="24"/>
      <c r="P546" s="24"/>
      <c r="Q546" s="24"/>
      <c r="R546" s="24"/>
      <c r="S546" s="24"/>
      <c r="T546" s="24"/>
      <c r="U546" s="24"/>
      <c r="V546" s="24"/>
      <c r="W546" s="24"/>
      <c r="X546" s="24"/>
      <c r="Y546" s="24"/>
      <c r="Z546" s="24"/>
      <c r="AA546" s="24"/>
      <c r="AB546" s="24"/>
      <c r="AC546" s="24"/>
    </row>
    <row r="547" spans="1:29" ht="12.9">
      <c r="A547" s="24"/>
      <c r="B547" s="24"/>
      <c r="C547" s="143"/>
      <c r="D547" s="24"/>
      <c r="E547" s="24"/>
      <c r="F547" s="24"/>
      <c r="G547" s="24"/>
      <c r="H547" s="117"/>
      <c r="I547" s="117"/>
      <c r="J547" s="24"/>
      <c r="K547" s="24"/>
      <c r="L547" s="24"/>
      <c r="M547" s="24"/>
      <c r="N547" s="24"/>
      <c r="O547" s="24"/>
      <c r="P547" s="24"/>
      <c r="Q547" s="24"/>
      <c r="R547" s="24"/>
      <c r="S547" s="24"/>
      <c r="T547" s="24"/>
      <c r="U547" s="24"/>
      <c r="V547" s="24"/>
      <c r="W547" s="24"/>
      <c r="X547" s="24"/>
      <c r="Y547" s="24"/>
      <c r="Z547" s="24"/>
      <c r="AA547" s="24"/>
      <c r="AB547" s="24"/>
      <c r="AC547" s="24"/>
    </row>
    <row r="548" spans="1:29" ht="12.9">
      <c r="A548" s="24"/>
      <c r="B548" s="24"/>
      <c r="C548" s="143"/>
      <c r="D548" s="24"/>
      <c r="E548" s="24"/>
      <c r="F548" s="24"/>
      <c r="G548" s="24"/>
      <c r="H548" s="117"/>
      <c r="I548" s="117"/>
      <c r="J548" s="24"/>
      <c r="K548" s="24"/>
      <c r="L548" s="24"/>
      <c r="M548" s="24"/>
      <c r="N548" s="24"/>
      <c r="O548" s="24"/>
      <c r="P548" s="24"/>
      <c r="Q548" s="24"/>
      <c r="R548" s="24"/>
      <c r="S548" s="24"/>
      <c r="T548" s="24"/>
      <c r="U548" s="24"/>
      <c r="V548" s="24"/>
      <c r="W548" s="24"/>
      <c r="X548" s="24"/>
      <c r="Y548" s="24"/>
      <c r="Z548" s="24"/>
      <c r="AA548" s="24"/>
      <c r="AB548" s="24"/>
      <c r="AC548" s="24"/>
    </row>
    <row r="549" spans="1:29" ht="12.9">
      <c r="A549" s="24"/>
      <c r="B549" s="24"/>
      <c r="C549" s="143"/>
      <c r="D549" s="24"/>
      <c r="E549" s="24"/>
      <c r="F549" s="24"/>
      <c r="G549" s="24"/>
      <c r="H549" s="117"/>
      <c r="I549" s="117"/>
      <c r="J549" s="24"/>
      <c r="K549" s="24"/>
      <c r="L549" s="24"/>
      <c r="M549" s="24"/>
      <c r="N549" s="24"/>
      <c r="O549" s="24"/>
      <c r="P549" s="24"/>
      <c r="Q549" s="24"/>
      <c r="R549" s="24"/>
      <c r="S549" s="24"/>
      <c r="T549" s="24"/>
      <c r="U549" s="24"/>
      <c r="V549" s="24"/>
      <c r="W549" s="24"/>
      <c r="X549" s="24"/>
      <c r="Y549" s="24"/>
      <c r="Z549" s="24"/>
      <c r="AA549" s="24"/>
      <c r="AB549" s="24"/>
      <c r="AC549" s="24"/>
    </row>
    <row r="550" spans="1:29" ht="12.9">
      <c r="A550" s="24"/>
      <c r="B550" s="24"/>
      <c r="C550" s="143"/>
      <c r="D550" s="24"/>
      <c r="E550" s="24"/>
      <c r="F550" s="24"/>
      <c r="G550" s="24"/>
      <c r="H550" s="117"/>
      <c r="I550" s="117"/>
      <c r="J550" s="24"/>
      <c r="K550" s="24"/>
      <c r="L550" s="24"/>
      <c r="M550" s="24"/>
      <c r="N550" s="24"/>
      <c r="O550" s="24"/>
      <c r="P550" s="24"/>
      <c r="Q550" s="24"/>
      <c r="R550" s="24"/>
      <c r="S550" s="24"/>
      <c r="T550" s="24"/>
      <c r="U550" s="24"/>
      <c r="V550" s="24"/>
      <c r="W550" s="24"/>
      <c r="X550" s="24"/>
      <c r="Y550" s="24"/>
      <c r="Z550" s="24"/>
      <c r="AA550" s="24"/>
      <c r="AB550" s="24"/>
      <c r="AC550" s="24"/>
    </row>
    <row r="551" spans="1:29" ht="12.9">
      <c r="A551" s="24"/>
      <c r="B551" s="24"/>
      <c r="C551" s="143"/>
      <c r="D551" s="24"/>
      <c r="E551" s="24"/>
      <c r="F551" s="24"/>
      <c r="G551" s="24"/>
      <c r="H551" s="117"/>
      <c r="I551" s="117"/>
      <c r="J551" s="24"/>
      <c r="K551" s="24"/>
      <c r="L551" s="24"/>
      <c r="M551" s="24"/>
      <c r="N551" s="24"/>
      <c r="O551" s="24"/>
      <c r="P551" s="24"/>
      <c r="Q551" s="24"/>
      <c r="R551" s="24"/>
      <c r="S551" s="24"/>
      <c r="T551" s="24"/>
      <c r="U551" s="24"/>
      <c r="V551" s="24"/>
      <c r="W551" s="24"/>
      <c r="X551" s="24"/>
      <c r="Y551" s="24"/>
      <c r="Z551" s="24"/>
      <c r="AA551" s="24"/>
      <c r="AB551" s="24"/>
      <c r="AC551" s="24"/>
    </row>
    <row r="552" spans="1:29" ht="12.9">
      <c r="A552" s="24"/>
      <c r="B552" s="24"/>
      <c r="C552" s="143"/>
      <c r="D552" s="24"/>
      <c r="E552" s="24"/>
      <c r="F552" s="24"/>
      <c r="G552" s="24"/>
      <c r="H552" s="117"/>
      <c r="I552" s="117"/>
      <c r="J552" s="24"/>
      <c r="K552" s="24"/>
      <c r="L552" s="24"/>
      <c r="M552" s="24"/>
      <c r="N552" s="24"/>
      <c r="O552" s="24"/>
      <c r="P552" s="24"/>
      <c r="Q552" s="24"/>
      <c r="R552" s="24"/>
      <c r="S552" s="24"/>
      <c r="T552" s="24"/>
      <c r="U552" s="24"/>
      <c r="V552" s="24"/>
      <c r="W552" s="24"/>
      <c r="X552" s="24"/>
      <c r="Y552" s="24"/>
      <c r="Z552" s="24"/>
      <c r="AA552" s="24"/>
      <c r="AB552" s="24"/>
      <c r="AC552" s="24"/>
    </row>
    <row r="553" spans="1:29" ht="12.9">
      <c r="A553" s="24"/>
      <c r="B553" s="24"/>
      <c r="C553" s="143"/>
      <c r="D553" s="24"/>
      <c r="E553" s="24"/>
      <c r="F553" s="24"/>
      <c r="G553" s="24"/>
      <c r="H553" s="117"/>
      <c r="I553" s="117"/>
      <c r="J553" s="24"/>
      <c r="K553" s="24"/>
      <c r="L553" s="24"/>
      <c r="M553" s="24"/>
      <c r="N553" s="24"/>
      <c r="O553" s="24"/>
      <c r="P553" s="24"/>
      <c r="Q553" s="24"/>
      <c r="R553" s="24"/>
      <c r="S553" s="24"/>
      <c r="T553" s="24"/>
      <c r="U553" s="24"/>
      <c r="V553" s="24"/>
      <c r="W553" s="24"/>
      <c r="X553" s="24"/>
      <c r="Y553" s="24"/>
      <c r="Z553" s="24"/>
      <c r="AA553" s="24"/>
      <c r="AB553" s="24"/>
      <c r="AC553" s="24"/>
    </row>
    <row r="554" spans="1:29" ht="12.9">
      <c r="A554" s="24"/>
      <c r="B554" s="24"/>
      <c r="C554" s="143"/>
      <c r="D554" s="24"/>
      <c r="E554" s="24"/>
      <c r="F554" s="24"/>
      <c r="G554" s="24"/>
      <c r="H554" s="117"/>
      <c r="I554" s="117"/>
      <c r="J554" s="24"/>
      <c r="K554" s="24"/>
      <c r="L554" s="24"/>
      <c r="M554" s="24"/>
      <c r="N554" s="24"/>
      <c r="O554" s="24"/>
      <c r="P554" s="24"/>
      <c r="Q554" s="24"/>
      <c r="R554" s="24"/>
      <c r="S554" s="24"/>
      <c r="T554" s="24"/>
      <c r="U554" s="24"/>
      <c r="V554" s="24"/>
      <c r="W554" s="24"/>
      <c r="X554" s="24"/>
      <c r="Y554" s="24"/>
      <c r="Z554" s="24"/>
      <c r="AA554" s="24"/>
      <c r="AB554" s="24"/>
      <c r="AC554" s="24"/>
    </row>
    <row r="555" spans="1:29" ht="12.9">
      <c r="A555" s="24"/>
      <c r="B555" s="24"/>
      <c r="C555" s="143"/>
      <c r="D555" s="24"/>
      <c r="E555" s="24"/>
      <c r="F555" s="24"/>
      <c r="G555" s="24"/>
      <c r="H555" s="117"/>
      <c r="I555" s="117"/>
      <c r="J555" s="24"/>
      <c r="K555" s="24"/>
      <c r="L555" s="24"/>
      <c r="M555" s="24"/>
      <c r="N555" s="24"/>
      <c r="O555" s="24"/>
      <c r="P555" s="24"/>
      <c r="Q555" s="24"/>
      <c r="R555" s="24"/>
      <c r="S555" s="24"/>
      <c r="T555" s="24"/>
      <c r="U555" s="24"/>
      <c r="V555" s="24"/>
      <c r="W555" s="24"/>
      <c r="X555" s="24"/>
      <c r="Y555" s="24"/>
      <c r="Z555" s="24"/>
      <c r="AA555" s="24"/>
      <c r="AB555" s="24"/>
      <c r="AC555" s="24"/>
    </row>
    <row r="556" spans="1:29" ht="12.9">
      <c r="A556" s="24"/>
      <c r="B556" s="24"/>
      <c r="C556" s="143"/>
      <c r="D556" s="24"/>
      <c r="E556" s="24"/>
      <c r="F556" s="24"/>
      <c r="G556" s="24"/>
      <c r="H556" s="117"/>
      <c r="I556" s="117"/>
      <c r="J556" s="24"/>
      <c r="K556" s="24"/>
      <c r="L556" s="24"/>
      <c r="M556" s="24"/>
      <c r="N556" s="24"/>
      <c r="O556" s="24"/>
      <c r="P556" s="24"/>
      <c r="Q556" s="24"/>
      <c r="R556" s="24"/>
      <c r="S556" s="24"/>
      <c r="T556" s="24"/>
      <c r="U556" s="24"/>
      <c r="V556" s="24"/>
      <c r="W556" s="24"/>
      <c r="X556" s="24"/>
      <c r="Y556" s="24"/>
      <c r="Z556" s="24"/>
      <c r="AA556" s="24"/>
      <c r="AB556" s="24"/>
      <c r="AC556" s="24"/>
    </row>
    <row r="557" spans="1:29" ht="12.9">
      <c r="A557" s="24"/>
      <c r="B557" s="24"/>
      <c r="C557" s="143"/>
      <c r="D557" s="24"/>
      <c r="E557" s="24"/>
      <c r="F557" s="24"/>
      <c r="G557" s="24"/>
      <c r="H557" s="117"/>
      <c r="I557" s="117"/>
      <c r="J557" s="24"/>
      <c r="K557" s="24"/>
      <c r="L557" s="24"/>
      <c r="M557" s="24"/>
      <c r="N557" s="24"/>
      <c r="O557" s="24"/>
      <c r="P557" s="24"/>
      <c r="Q557" s="24"/>
      <c r="R557" s="24"/>
      <c r="S557" s="24"/>
      <c r="T557" s="24"/>
      <c r="U557" s="24"/>
      <c r="V557" s="24"/>
      <c r="W557" s="24"/>
      <c r="X557" s="24"/>
      <c r="Y557" s="24"/>
      <c r="Z557" s="24"/>
      <c r="AA557" s="24"/>
      <c r="AB557" s="24"/>
      <c r="AC557" s="24"/>
    </row>
    <row r="558" spans="1:29" ht="12.9">
      <c r="A558" s="24"/>
      <c r="B558" s="24"/>
      <c r="C558" s="143"/>
      <c r="D558" s="24"/>
      <c r="E558" s="24"/>
      <c r="F558" s="24"/>
      <c r="G558" s="24"/>
      <c r="H558" s="117"/>
      <c r="I558" s="117"/>
      <c r="J558" s="24"/>
      <c r="K558" s="24"/>
      <c r="L558" s="24"/>
      <c r="M558" s="24"/>
      <c r="N558" s="24"/>
      <c r="O558" s="24"/>
      <c r="P558" s="24"/>
      <c r="Q558" s="24"/>
      <c r="R558" s="24"/>
      <c r="S558" s="24"/>
      <c r="T558" s="24"/>
      <c r="U558" s="24"/>
      <c r="V558" s="24"/>
      <c r="W558" s="24"/>
      <c r="X558" s="24"/>
      <c r="Y558" s="24"/>
      <c r="Z558" s="24"/>
      <c r="AA558" s="24"/>
      <c r="AB558" s="24"/>
      <c r="AC558" s="24"/>
    </row>
    <row r="559" spans="1:29" ht="12.9">
      <c r="A559" s="24"/>
      <c r="B559" s="24"/>
      <c r="C559" s="143"/>
      <c r="D559" s="24"/>
      <c r="E559" s="24"/>
      <c r="F559" s="24"/>
      <c r="G559" s="24"/>
      <c r="H559" s="117"/>
      <c r="I559" s="117"/>
      <c r="J559" s="24"/>
      <c r="K559" s="24"/>
      <c r="L559" s="24"/>
      <c r="M559" s="24"/>
      <c r="N559" s="24"/>
      <c r="O559" s="24"/>
      <c r="P559" s="24"/>
      <c r="Q559" s="24"/>
      <c r="R559" s="24"/>
      <c r="S559" s="24"/>
      <c r="T559" s="24"/>
      <c r="U559" s="24"/>
      <c r="V559" s="24"/>
      <c r="W559" s="24"/>
      <c r="X559" s="24"/>
      <c r="Y559" s="24"/>
      <c r="Z559" s="24"/>
      <c r="AA559" s="24"/>
      <c r="AB559" s="24"/>
      <c r="AC559" s="24"/>
    </row>
    <row r="560" spans="1:29" ht="12.9">
      <c r="A560" s="24"/>
      <c r="B560" s="24"/>
      <c r="C560" s="143"/>
      <c r="D560" s="24"/>
      <c r="E560" s="24"/>
      <c r="F560" s="24"/>
      <c r="G560" s="24"/>
      <c r="H560" s="117"/>
      <c r="I560" s="117"/>
      <c r="J560" s="24"/>
      <c r="K560" s="24"/>
      <c r="L560" s="24"/>
      <c r="M560" s="24"/>
      <c r="N560" s="24"/>
      <c r="O560" s="24"/>
      <c r="P560" s="24"/>
      <c r="Q560" s="24"/>
      <c r="R560" s="24"/>
      <c r="S560" s="24"/>
      <c r="T560" s="24"/>
      <c r="U560" s="24"/>
      <c r="V560" s="24"/>
      <c r="W560" s="24"/>
      <c r="X560" s="24"/>
      <c r="Y560" s="24"/>
      <c r="Z560" s="24"/>
      <c r="AA560" s="24"/>
      <c r="AB560" s="24"/>
      <c r="AC560" s="24"/>
    </row>
    <row r="561" spans="1:29" ht="12.9">
      <c r="A561" s="24"/>
      <c r="B561" s="24"/>
      <c r="C561" s="143"/>
      <c r="D561" s="24"/>
      <c r="E561" s="24"/>
      <c r="F561" s="24"/>
      <c r="G561" s="24"/>
      <c r="H561" s="117"/>
      <c r="I561" s="117"/>
      <c r="J561" s="24"/>
      <c r="K561" s="24"/>
      <c r="L561" s="24"/>
      <c r="M561" s="24"/>
      <c r="N561" s="24"/>
      <c r="O561" s="24"/>
      <c r="P561" s="24"/>
      <c r="Q561" s="24"/>
      <c r="R561" s="24"/>
      <c r="S561" s="24"/>
      <c r="T561" s="24"/>
      <c r="U561" s="24"/>
      <c r="V561" s="24"/>
      <c r="W561" s="24"/>
      <c r="X561" s="24"/>
      <c r="Y561" s="24"/>
      <c r="Z561" s="24"/>
      <c r="AA561" s="24"/>
      <c r="AB561" s="24"/>
      <c r="AC561" s="24"/>
    </row>
    <row r="562" spans="1:29" ht="12.9">
      <c r="A562" s="24"/>
      <c r="B562" s="24"/>
      <c r="C562" s="143"/>
      <c r="D562" s="24"/>
      <c r="E562" s="24"/>
      <c r="F562" s="24"/>
      <c r="G562" s="24"/>
      <c r="H562" s="117"/>
      <c r="I562" s="117"/>
      <c r="J562" s="24"/>
      <c r="K562" s="24"/>
      <c r="L562" s="24"/>
      <c r="M562" s="24"/>
      <c r="N562" s="24"/>
      <c r="O562" s="24"/>
      <c r="P562" s="24"/>
      <c r="Q562" s="24"/>
      <c r="R562" s="24"/>
      <c r="S562" s="24"/>
      <c r="T562" s="24"/>
      <c r="U562" s="24"/>
      <c r="V562" s="24"/>
      <c r="W562" s="24"/>
      <c r="X562" s="24"/>
      <c r="Y562" s="24"/>
      <c r="Z562" s="24"/>
      <c r="AA562" s="24"/>
      <c r="AB562" s="24"/>
      <c r="AC562" s="24"/>
    </row>
    <row r="563" spans="1:29" ht="12.9">
      <c r="A563" s="24"/>
      <c r="B563" s="24"/>
      <c r="C563" s="143"/>
      <c r="D563" s="24"/>
      <c r="E563" s="24"/>
      <c r="F563" s="24"/>
      <c r="G563" s="24"/>
      <c r="H563" s="117"/>
      <c r="I563" s="117"/>
      <c r="J563" s="24"/>
      <c r="K563" s="24"/>
      <c r="L563" s="24"/>
      <c r="M563" s="24"/>
      <c r="N563" s="24"/>
      <c r="O563" s="24"/>
      <c r="P563" s="24"/>
      <c r="Q563" s="24"/>
      <c r="R563" s="24"/>
      <c r="S563" s="24"/>
      <c r="T563" s="24"/>
      <c r="U563" s="24"/>
      <c r="V563" s="24"/>
      <c r="W563" s="24"/>
      <c r="X563" s="24"/>
      <c r="Y563" s="24"/>
      <c r="Z563" s="24"/>
      <c r="AA563" s="24"/>
      <c r="AB563" s="24"/>
      <c r="AC563" s="24"/>
    </row>
    <row r="564" spans="1:29" ht="12.9">
      <c r="A564" s="24"/>
      <c r="B564" s="24"/>
      <c r="C564" s="143"/>
      <c r="D564" s="24"/>
      <c r="E564" s="24"/>
      <c r="F564" s="24"/>
      <c r="G564" s="24"/>
      <c r="H564" s="117"/>
      <c r="I564" s="117"/>
      <c r="J564" s="24"/>
      <c r="K564" s="24"/>
      <c r="L564" s="24"/>
      <c r="M564" s="24"/>
      <c r="N564" s="24"/>
      <c r="O564" s="24"/>
      <c r="P564" s="24"/>
      <c r="Q564" s="24"/>
      <c r="R564" s="24"/>
      <c r="S564" s="24"/>
      <c r="T564" s="24"/>
      <c r="U564" s="24"/>
      <c r="V564" s="24"/>
      <c r="W564" s="24"/>
      <c r="X564" s="24"/>
      <c r="Y564" s="24"/>
      <c r="Z564" s="24"/>
      <c r="AA564" s="24"/>
      <c r="AB564" s="24"/>
      <c r="AC564" s="24"/>
    </row>
    <row r="565" spans="1:29" ht="12.9">
      <c r="A565" s="24"/>
      <c r="B565" s="24"/>
      <c r="C565" s="143"/>
      <c r="D565" s="24"/>
      <c r="E565" s="24"/>
      <c r="F565" s="24"/>
      <c r="G565" s="24"/>
      <c r="H565" s="117"/>
      <c r="I565" s="117"/>
      <c r="J565" s="24"/>
      <c r="K565" s="24"/>
      <c r="L565" s="24"/>
      <c r="M565" s="24"/>
      <c r="N565" s="24"/>
      <c r="O565" s="24"/>
      <c r="P565" s="24"/>
      <c r="Q565" s="24"/>
      <c r="R565" s="24"/>
      <c r="S565" s="24"/>
      <c r="T565" s="24"/>
      <c r="U565" s="24"/>
      <c r="V565" s="24"/>
      <c r="W565" s="24"/>
      <c r="X565" s="24"/>
      <c r="Y565" s="24"/>
      <c r="Z565" s="24"/>
      <c r="AA565" s="24"/>
      <c r="AB565" s="24"/>
      <c r="AC565" s="24"/>
    </row>
    <row r="566" spans="1:29" ht="12.9">
      <c r="A566" s="24"/>
      <c r="B566" s="24"/>
      <c r="C566" s="143"/>
      <c r="D566" s="24"/>
      <c r="E566" s="24"/>
      <c r="F566" s="24"/>
      <c r="G566" s="24"/>
      <c r="H566" s="117"/>
      <c r="I566" s="117"/>
      <c r="J566" s="24"/>
      <c r="K566" s="24"/>
      <c r="L566" s="24"/>
      <c r="M566" s="24"/>
      <c r="N566" s="24"/>
      <c r="O566" s="24"/>
      <c r="P566" s="24"/>
      <c r="Q566" s="24"/>
      <c r="R566" s="24"/>
      <c r="S566" s="24"/>
      <c r="T566" s="24"/>
      <c r="U566" s="24"/>
      <c r="V566" s="24"/>
      <c r="W566" s="24"/>
      <c r="X566" s="24"/>
      <c r="Y566" s="24"/>
      <c r="Z566" s="24"/>
      <c r="AA566" s="24"/>
      <c r="AB566" s="24"/>
      <c r="AC566" s="24"/>
    </row>
    <row r="567" spans="1:29" ht="12.9">
      <c r="A567" s="24"/>
      <c r="B567" s="24"/>
      <c r="C567" s="143"/>
      <c r="D567" s="24"/>
      <c r="E567" s="24"/>
      <c r="F567" s="24"/>
      <c r="G567" s="24"/>
      <c r="H567" s="117"/>
      <c r="I567" s="117"/>
      <c r="J567" s="24"/>
      <c r="K567" s="24"/>
      <c r="L567" s="24"/>
      <c r="M567" s="24"/>
      <c r="N567" s="24"/>
      <c r="O567" s="24"/>
      <c r="P567" s="24"/>
      <c r="Q567" s="24"/>
      <c r="R567" s="24"/>
      <c r="S567" s="24"/>
      <c r="T567" s="24"/>
      <c r="U567" s="24"/>
      <c r="V567" s="24"/>
      <c r="W567" s="24"/>
      <c r="X567" s="24"/>
      <c r="Y567" s="24"/>
      <c r="Z567" s="24"/>
      <c r="AA567" s="24"/>
      <c r="AB567" s="24"/>
      <c r="AC567" s="24"/>
    </row>
    <row r="568" spans="1:29" ht="12.9">
      <c r="A568" s="24"/>
      <c r="B568" s="24"/>
      <c r="C568" s="143"/>
      <c r="D568" s="24"/>
      <c r="E568" s="24"/>
      <c r="F568" s="24"/>
      <c r="G568" s="24"/>
      <c r="H568" s="117"/>
      <c r="I568" s="117"/>
      <c r="J568" s="24"/>
      <c r="K568" s="24"/>
      <c r="L568" s="24"/>
      <c r="M568" s="24"/>
      <c r="N568" s="24"/>
      <c r="O568" s="24"/>
      <c r="P568" s="24"/>
      <c r="Q568" s="24"/>
      <c r="R568" s="24"/>
      <c r="S568" s="24"/>
      <c r="T568" s="24"/>
      <c r="U568" s="24"/>
      <c r="V568" s="24"/>
      <c r="W568" s="24"/>
      <c r="X568" s="24"/>
      <c r="Y568" s="24"/>
      <c r="Z568" s="24"/>
      <c r="AA568" s="24"/>
      <c r="AB568" s="24"/>
      <c r="AC568" s="24"/>
    </row>
    <row r="569" spans="1:29" ht="12.9">
      <c r="A569" s="24"/>
      <c r="B569" s="24"/>
      <c r="C569" s="143"/>
      <c r="D569" s="24"/>
      <c r="E569" s="24"/>
      <c r="F569" s="24"/>
      <c r="G569" s="24"/>
      <c r="H569" s="117"/>
      <c r="I569" s="117"/>
      <c r="J569" s="24"/>
      <c r="K569" s="24"/>
      <c r="L569" s="24"/>
      <c r="M569" s="24"/>
      <c r="N569" s="24"/>
      <c r="O569" s="24"/>
      <c r="P569" s="24"/>
      <c r="Q569" s="24"/>
      <c r="R569" s="24"/>
      <c r="S569" s="24"/>
      <c r="T569" s="24"/>
      <c r="U569" s="24"/>
      <c r="V569" s="24"/>
      <c r="W569" s="24"/>
      <c r="X569" s="24"/>
      <c r="Y569" s="24"/>
      <c r="Z569" s="24"/>
      <c r="AA569" s="24"/>
      <c r="AB569" s="24"/>
      <c r="AC569" s="24"/>
    </row>
    <row r="570" spans="1:29" ht="12.9">
      <c r="A570" s="24"/>
      <c r="B570" s="24"/>
      <c r="C570" s="143"/>
      <c r="D570" s="24"/>
      <c r="E570" s="24"/>
      <c r="F570" s="24"/>
      <c r="G570" s="24"/>
      <c r="H570" s="117"/>
      <c r="I570" s="117"/>
      <c r="J570" s="24"/>
      <c r="K570" s="24"/>
      <c r="L570" s="24"/>
      <c r="M570" s="24"/>
      <c r="N570" s="24"/>
      <c r="O570" s="24"/>
      <c r="P570" s="24"/>
      <c r="Q570" s="24"/>
      <c r="R570" s="24"/>
      <c r="S570" s="24"/>
      <c r="T570" s="24"/>
      <c r="U570" s="24"/>
      <c r="V570" s="24"/>
      <c r="W570" s="24"/>
      <c r="X570" s="24"/>
      <c r="Y570" s="24"/>
      <c r="Z570" s="24"/>
      <c r="AA570" s="24"/>
      <c r="AB570" s="24"/>
      <c r="AC570" s="24"/>
    </row>
    <row r="571" spans="1:29" ht="12.9">
      <c r="A571" s="24"/>
      <c r="B571" s="24"/>
      <c r="C571" s="143"/>
      <c r="D571" s="24"/>
      <c r="E571" s="24"/>
      <c r="F571" s="24"/>
      <c r="G571" s="24"/>
      <c r="H571" s="117"/>
      <c r="I571" s="117"/>
      <c r="J571" s="24"/>
      <c r="K571" s="24"/>
      <c r="L571" s="24"/>
      <c r="M571" s="24"/>
      <c r="N571" s="24"/>
      <c r="O571" s="24"/>
      <c r="P571" s="24"/>
      <c r="Q571" s="24"/>
      <c r="R571" s="24"/>
      <c r="S571" s="24"/>
      <c r="T571" s="24"/>
      <c r="U571" s="24"/>
      <c r="V571" s="24"/>
      <c r="W571" s="24"/>
      <c r="X571" s="24"/>
      <c r="Y571" s="24"/>
      <c r="Z571" s="24"/>
      <c r="AA571" s="24"/>
      <c r="AB571" s="24"/>
      <c r="AC571" s="24"/>
    </row>
    <row r="572" spans="1:29" ht="12.9">
      <c r="A572" s="24"/>
      <c r="B572" s="24"/>
      <c r="C572" s="143"/>
      <c r="D572" s="24"/>
      <c r="E572" s="24"/>
      <c r="F572" s="24"/>
      <c r="G572" s="24"/>
      <c r="H572" s="117"/>
      <c r="I572" s="117"/>
      <c r="J572" s="24"/>
      <c r="K572" s="24"/>
      <c r="L572" s="24"/>
      <c r="M572" s="24"/>
      <c r="N572" s="24"/>
      <c r="O572" s="24"/>
      <c r="P572" s="24"/>
      <c r="Q572" s="24"/>
      <c r="R572" s="24"/>
      <c r="S572" s="24"/>
      <c r="T572" s="24"/>
      <c r="U572" s="24"/>
      <c r="V572" s="24"/>
      <c r="W572" s="24"/>
      <c r="X572" s="24"/>
      <c r="Y572" s="24"/>
      <c r="Z572" s="24"/>
      <c r="AA572" s="24"/>
      <c r="AB572" s="24"/>
      <c r="AC572" s="24"/>
    </row>
    <row r="573" spans="1:29" ht="12.9">
      <c r="A573" s="24"/>
      <c r="B573" s="24"/>
      <c r="C573" s="143"/>
      <c r="D573" s="24"/>
      <c r="E573" s="24"/>
      <c r="F573" s="24"/>
      <c r="G573" s="24"/>
      <c r="H573" s="117"/>
      <c r="I573" s="117"/>
      <c r="J573" s="24"/>
      <c r="K573" s="24"/>
      <c r="L573" s="24"/>
      <c r="M573" s="24"/>
      <c r="N573" s="24"/>
      <c r="O573" s="24"/>
      <c r="P573" s="24"/>
      <c r="Q573" s="24"/>
      <c r="R573" s="24"/>
      <c r="S573" s="24"/>
      <c r="T573" s="24"/>
      <c r="U573" s="24"/>
      <c r="V573" s="24"/>
      <c r="W573" s="24"/>
      <c r="X573" s="24"/>
      <c r="Y573" s="24"/>
      <c r="Z573" s="24"/>
      <c r="AA573" s="24"/>
      <c r="AB573" s="24"/>
      <c r="AC573" s="24"/>
    </row>
    <row r="574" spans="1:29" ht="12.9">
      <c r="A574" s="24"/>
      <c r="B574" s="24"/>
      <c r="C574" s="143"/>
      <c r="D574" s="24"/>
      <c r="E574" s="24"/>
      <c r="F574" s="24"/>
      <c r="G574" s="24"/>
      <c r="H574" s="117"/>
      <c r="I574" s="117"/>
      <c r="J574" s="24"/>
      <c r="K574" s="24"/>
      <c r="L574" s="24"/>
      <c r="M574" s="24"/>
      <c r="N574" s="24"/>
      <c r="O574" s="24"/>
      <c r="P574" s="24"/>
      <c r="Q574" s="24"/>
      <c r="R574" s="24"/>
      <c r="S574" s="24"/>
      <c r="T574" s="24"/>
      <c r="U574" s="24"/>
      <c r="V574" s="24"/>
      <c r="W574" s="24"/>
      <c r="X574" s="24"/>
      <c r="Y574" s="24"/>
      <c r="Z574" s="24"/>
      <c r="AA574" s="24"/>
      <c r="AB574" s="24"/>
      <c r="AC574" s="24"/>
    </row>
    <row r="575" spans="1:29" ht="12.9">
      <c r="A575" s="24"/>
      <c r="B575" s="24"/>
      <c r="C575" s="143"/>
      <c r="D575" s="24"/>
      <c r="E575" s="24"/>
      <c r="F575" s="24"/>
      <c r="G575" s="24"/>
      <c r="H575" s="117"/>
      <c r="I575" s="117"/>
      <c r="J575" s="24"/>
      <c r="K575" s="24"/>
      <c r="L575" s="24"/>
      <c r="M575" s="24"/>
      <c r="N575" s="24"/>
      <c r="O575" s="24"/>
      <c r="P575" s="24"/>
      <c r="Q575" s="24"/>
      <c r="R575" s="24"/>
      <c r="S575" s="24"/>
      <c r="T575" s="24"/>
      <c r="U575" s="24"/>
      <c r="V575" s="24"/>
      <c r="W575" s="24"/>
      <c r="X575" s="24"/>
      <c r="Y575" s="24"/>
      <c r="Z575" s="24"/>
      <c r="AA575" s="24"/>
      <c r="AB575" s="24"/>
      <c r="AC575" s="24"/>
    </row>
    <row r="576" spans="1:29" ht="12.9">
      <c r="A576" s="24"/>
      <c r="B576" s="24"/>
      <c r="C576" s="143"/>
      <c r="D576" s="24"/>
      <c r="E576" s="24"/>
      <c r="F576" s="24"/>
      <c r="G576" s="24"/>
      <c r="H576" s="117"/>
      <c r="I576" s="117"/>
      <c r="J576" s="24"/>
      <c r="K576" s="24"/>
      <c r="L576" s="24"/>
      <c r="M576" s="24"/>
      <c r="N576" s="24"/>
      <c r="O576" s="24"/>
      <c r="P576" s="24"/>
      <c r="Q576" s="24"/>
      <c r="R576" s="24"/>
      <c r="S576" s="24"/>
      <c r="T576" s="24"/>
      <c r="U576" s="24"/>
      <c r="V576" s="24"/>
      <c r="W576" s="24"/>
      <c r="X576" s="24"/>
      <c r="Y576" s="24"/>
      <c r="Z576" s="24"/>
      <c r="AA576" s="24"/>
      <c r="AB576" s="24"/>
      <c r="AC576" s="24"/>
    </row>
    <row r="577" spans="1:29" ht="12.9">
      <c r="A577" s="24"/>
      <c r="B577" s="24"/>
      <c r="C577" s="143"/>
      <c r="D577" s="24"/>
      <c r="E577" s="24"/>
      <c r="F577" s="24"/>
      <c r="G577" s="24"/>
      <c r="H577" s="117"/>
      <c r="I577" s="117"/>
      <c r="J577" s="24"/>
      <c r="K577" s="24"/>
      <c r="L577" s="24"/>
      <c r="M577" s="24"/>
      <c r="N577" s="24"/>
      <c r="O577" s="24"/>
      <c r="P577" s="24"/>
      <c r="Q577" s="24"/>
      <c r="R577" s="24"/>
      <c r="S577" s="24"/>
      <c r="T577" s="24"/>
      <c r="U577" s="24"/>
      <c r="V577" s="24"/>
      <c r="W577" s="24"/>
      <c r="X577" s="24"/>
      <c r="Y577" s="24"/>
      <c r="Z577" s="24"/>
      <c r="AA577" s="24"/>
      <c r="AB577" s="24"/>
      <c r="AC577" s="24"/>
    </row>
    <row r="578" spans="1:29" ht="12.9">
      <c r="A578" s="24"/>
      <c r="B578" s="24"/>
      <c r="C578" s="143"/>
      <c r="D578" s="24"/>
      <c r="E578" s="24"/>
      <c r="F578" s="24"/>
      <c r="G578" s="24"/>
      <c r="H578" s="117"/>
      <c r="I578" s="117"/>
      <c r="J578" s="24"/>
      <c r="K578" s="24"/>
      <c r="L578" s="24"/>
      <c r="M578" s="24"/>
      <c r="N578" s="24"/>
      <c r="O578" s="24"/>
      <c r="P578" s="24"/>
      <c r="Q578" s="24"/>
      <c r="R578" s="24"/>
      <c r="S578" s="24"/>
      <c r="T578" s="24"/>
      <c r="U578" s="24"/>
      <c r="V578" s="24"/>
      <c r="W578" s="24"/>
      <c r="X578" s="24"/>
      <c r="Y578" s="24"/>
      <c r="Z578" s="24"/>
      <c r="AA578" s="24"/>
      <c r="AB578" s="24"/>
      <c r="AC578" s="24"/>
    </row>
    <row r="579" spans="1:29" ht="12.9">
      <c r="A579" s="24"/>
      <c r="B579" s="24"/>
      <c r="C579" s="143"/>
      <c r="D579" s="24"/>
      <c r="E579" s="24"/>
      <c r="F579" s="24"/>
      <c r="G579" s="24"/>
      <c r="H579" s="117"/>
      <c r="I579" s="117"/>
      <c r="J579" s="24"/>
      <c r="K579" s="24"/>
      <c r="L579" s="24"/>
      <c r="M579" s="24"/>
      <c r="N579" s="24"/>
      <c r="O579" s="24"/>
      <c r="P579" s="24"/>
      <c r="Q579" s="24"/>
      <c r="R579" s="24"/>
      <c r="S579" s="24"/>
      <c r="T579" s="24"/>
      <c r="U579" s="24"/>
      <c r="V579" s="24"/>
      <c r="W579" s="24"/>
      <c r="X579" s="24"/>
      <c r="Y579" s="24"/>
      <c r="Z579" s="24"/>
      <c r="AA579" s="24"/>
      <c r="AB579" s="24"/>
      <c r="AC579" s="24"/>
    </row>
    <row r="580" spans="1:29" ht="12.9">
      <c r="A580" s="24"/>
      <c r="B580" s="24"/>
      <c r="C580" s="143"/>
      <c r="D580" s="24"/>
      <c r="E580" s="24"/>
      <c r="F580" s="24"/>
      <c r="G580" s="24"/>
      <c r="H580" s="117"/>
      <c r="I580" s="117"/>
      <c r="J580" s="24"/>
      <c r="K580" s="24"/>
      <c r="L580" s="24"/>
      <c r="M580" s="24"/>
      <c r="N580" s="24"/>
      <c r="O580" s="24"/>
      <c r="P580" s="24"/>
      <c r="Q580" s="24"/>
      <c r="R580" s="24"/>
      <c r="S580" s="24"/>
      <c r="T580" s="24"/>
      <c r="U580" s="24"/>
      <c r="V580" s="24"/>
      <c r="W580" s="24"/>
      <c r="X580" s="24"/>
      <c r="Y580" s="24"/>
      <c r="Z580" s="24"/>
      <c r="AA580" s="24"/>
      <c r="AB580" s="24"/>
      <c r="AC580" s="24"/>
    </row>
    <row r="581" spans="1:29" ht="12.9">
      <c r="A581" s="24"/>
      <c r="B581" s="24"/>
      <c r="C581" s="143"/>
      <c r="D581" s="24"/>
      <c r="E581" s="24"/>
      <c r="F581" s="24"/>
      <c r="G581" s="24"/>
      <c r="H581" s="117"/>
      <c r="I581" s="117"/>
      <c r="J581" s="24"/>
      <c r="K581" s="24"/>
      <c r="L581" s="24"/>
      <c r="M581" s="24"/>
      <c r="N581" s="24"/>
      <c r="O581" s="24"/>
      <c r="P581" s="24"/>
      <c r="Q581" s="24"/>
      <c r="R581" s="24"/>
      <c r="S581" s="24"/>
      <c r="T581" s="24"/>
      <c r="U581" s="24"/>
      <c r="V581" s="24"/>
      <c r="W581" s="24"/>
      <c r="X581" s="24"/>
      <c r="Y581" s="24"/>
      <c r="Z581" s="24"/>
      <c r="AA581" s="24"/>
      <c r="AB581" s="24"/>
      <c r="AC581" s="24"/>
    </row>
    <row r="582" spans="1:29" ht="12.9">
      <c r="A582" s="24"/>
      <c r="B582" s="24"/>
      <c r="C582" s="143"/>
      <c r="D582" s="24"/>
      <c r="E582" s="24"/>
      <c r="F582" s="24"/>
      <c r="G582" s="24"/>
      <c r="H582" s="117"/>
      <c r="I582" s="117"/>
      <c r="J582" s="24"/>
      <c r="K582" s="24"/>
      <c r="L582" s="24"/>
      <c r="M582" s="24"/>
      <c r="N582" s="24"/>
      <c r="O582" s="24"/>
      <c r="P582" s="24"/>
      <c r="Q582" s="24"/>
      <c r="R582" s="24"/>
      <c r="S582" s="24"/>
      <c r="T582" s="24"/>
      <c r="U582" s="24"/>
      <c r="V582" s="24"/>
      <c r="W582" s="24"/>
      <c r="X582" s="24"/>
      <c r="Y582" s="24"/>
      <c r="Z582" s="24"/>
      <c r="AA582" s="24"/>
      <c r="AB582" s="24"/>
      <c r="AC582" s="24"/>
    </row>
    <row r="583" spans="1:29" ht="12.9">
      <c r="A583" s="24"/>
      <c r="B583" s="24"/>
      <c r="C583" s="143"/>
      <c r="D583" s="24"/>
      <c r="E583" s="24"/>
      <c r="F583" s="24"/>
      <c r="G583" s="24"/>
      <c r="H583" s="117"/>
      <c r="I583" s="117"/>
      <c r="J583" s="24"/>
      <c r="K583" s="24"/>
      <c r="L583" s="24"/>
      <c r="M583" s="24"/>
      <c r="N583" s="24"/>
      <c r="O583" s="24"/>
      <c r="P583" s="24"/>
      <c r="Q583" s="24"/>
      <c r="R583" s="24"/>
      <c r="S583" s="24"/>
      <c r="T583" s="24"/>
      <c r="U583" s="24"/>
      <c r="V583" s="24"/>
      <c r="W583" s="24"/>
      <c r="X583" s="24"/>
      <c r="Y583" s="24"/>
      <c r="Z583" s="24"/>
      <c r="AA583" s="24"/>
      <c r="AB583" s="24"/>
      <c r="AC583" s="24"/>
    </row>
    <row r="584" spans="1:29" ht="12.9">
      <c r="A584" s="24"/>
      <c r="B584" s="24"/>
      <c r="C584" s="143"/>
      <c r="D584" s="24"/>
      <c r="E584" s="24"/>
      <c r="F584" s="24"/>
      <c r="G584" s="24"/>
      <c r="H584" s="117"/>
      <c r="I584" s="117"/>
      <c r="J584" s="24"/>
      <c r="K584" s="24"/>
      <c r="L584" s="24"/>
      <c r="M584" s="24"/>
      <c r="N584" s="24"/>
      <c r="O584" s="24"/>
      <c r="P584" s="24"/>
      <c r="Q584" s="24"/>
      <c r="R584" s="24"/>
      <c r="S584" s="24"/>
      <c r="T584" s="24"/>
      <c r="U584" s="24"/>
      <c r="V584" s="24"/>
      <c r="W584" s="24"/>
      <c r="X584" s="24"/>
      <c r="Y584" s="24"/>
      <c r="Z584" s="24"/>
      <c r="AA584" s="24"/>
      <c r="AB584" s="24"/>
      <c r="AC584" s="24"/>
    </row>
    <row r="585" spans="1:29" ht="12.9">
      <c r="A585" s="24"/>
      <c r="B585" s="24"/>
      <c r="C585" s="143"/>
      <c r="D585" s="24"/>
      <c r="E585" s="24"/>
      <c r="F585" s="24"/>
      <c r="G585" s="24"/>
      <c r="H585" s="117"/>
      <c r="I585" s="117"/>
      <c r="J585" s="24"/>
      <c r="K585" s="24"/>
      <c r="L585" s="24"/>
      <c r="M585" s="24"/>
      <c r="N585" s="24"/>
      <c r="O585" s="24"/>
      <c r="P585" s="24"/>
      <c r="Q585" s="24"/>
      <c r="R585" s="24"/>
      <c r="S585" s="24"/>
      <c r="T585" s="24"/>
      <c r="U585" s="24"/>
      <c r="V585" s="24"/>
      <c r="W585" s="24"/>
      <c r="X585" s="24"/>
      <c r="Y585" s="24"/>
      <c r="Z585" s="24"/>
      <c r="AA585" s="24"/>
      <c r="AB585" s="24"/>
      <c r="AC585" s="24"/>
    </row>
    <row r="586" spans="1:29" ht="12.9">
      <c r="A586" s="24"/>
      <c r="B586" s="24"/>
      <c r="C586" s="143"/>
      <c r="D586" s="24"/>
      <c r="E586" s="24"/>
      <c r="F586" s="24"/>
      <c r="G586" s="24"/>
      <c r="H586" s="117"/>
      <c r="I586" s="117"/>
      <c r="J586" s="24"/>
      <c r="K586" s="24"/>
      <c r="L586" s="24"/>
      <c r="M586" s="24"/>
      <c r="N586" s="24"/>
      <c r="O586" s="24"/>
      <c r="P586" s="24"/>
      <c r="Q586" s="24"/>
      <c r="R586" s="24"/>
      <c r="S586" s="24"/>
      <c r="T586" s="24"/>
      <c r="U586" s="24"/>
      <c r="V586" s="24"/>
      <c r="W586" s="24"/>
      <c r="X586" s="24"/>
      <c r="Y586" s="24"/>
      <c r="Z586" s="24"/>
      <c r="AA586" s="24"/>
      <c r="AB586" s="24"/>
      <c r="AC586" s="24"/>
    </row>
    <row r="587" spans="1:29" ht="12.9">
      <c r="A587" s="24"/>
      <c r="B587" s="24"/>
      <c r="C587" s="143"/>
      <c r="D587" s="24"/>
      <c r="E587" s="24"/>
      <c r="F587" s="24"/>
      <c r="G587" s="24"/>
      <c r="H587" s="117"/>
      <c r="I587" s="117"/>
      <c r="J587" s="24"/>
      <c r="K587" s="24"/>
      <c r="L587" s="24"/>
      <c r="M587" s="24"/>
      <c r="N587" s="24"/>
      <c r="O587" s="24"/>
      <c r="P587" s="24"/>
      <c r="Q587" s="24"/>
      <c r="R587" s="24"/>
      <c r="S587" s="24"/>
      <c r="T587" s="24"/>
      <c r="U587" s="24"/>
      <c r="V587" s="24"/>
      <c r="W587" s="24"/>
      <c r="X587" s="24"/>
      <c r="Y587" s="24"/>
      <c r="Z587" s="24"/>
      <c r="AA587" s="24"/>
      <c r="AB587" s="24"/>
      <c r="AC587" s="24"/>
    </row>
    <row r="588" spans="1:29" ht="12.9">
      <c r="A588" s="24"/>
      <c r="B588" s="24"/>
      <c r="C588" s="143"/>
      <c r="D588" s="24"/>
      <c r="E588" s="24"/>
      <c r="F588" s="24"/>
      <c r="G588" s="24"/>
      <c r="H588" s="117"/>
      <c r="I588" s="117"/>
      <c r="J588" s="24"/>
      <c r="K588" s="24"/>
      <c r="L588" s="24"/>
      <c r="M588" s="24"/>
      <c r="N588" s="24"/>
      <c r="O588" s="24"/>
      <c r="P588" s="24"/>
      <c r="Q588" s="24"/>
      <c r="R588" s="24"/>
      <c r="S588" s="24"/>
      <c r="T588" s="24"/>
      <c r="U588" s="24"/>
      <c r="V588" s="24"/>
      <c r="W588" s="24"/>
      <c r="X588" s="24"/>
      <c r="Y588" s="24"/>
      <c r="Z588" s="24"/>
      <c r="AA588" s="24"/>
      <c r="AB588" s="24"/>
      <c r="AC588" s="24"/>
    </row>
    <row r="589" spans="1:29" ht="12.9">
      <c r="A589" s="24"/>
      <c r="B589" s="24"/>
      <c r="C589" s="143"/>
      <c r="D589" s="24"/>
      <c r="E589" s="24"/>
      <c r="F589" s="24"/>
      <c r="G589" s="24"/>
      <c r="H589" s="117"/>
      <c r="I589" s="117"/>
      <c r="J589" s="24"/>
      <c r="K589" s="24"/>
      <c r="L589" s="24"/>
      <c r="M589" s="24"/>
      <c r="N589" s="24"/>
      <c r="O589" s="24"/>
      <c r="P589" s="24"/>
      <c r="Q589" s="24"/>
      <c r="R589" s="24"/>
      <c r="S589" s="24"/>
      <c r="T589" s="24"/>
      <c r="U589" s="24"/>
      <c r="V589" s="24"/>
      <c r="W589" s="24"/>
      <c r="X589" s="24"/>
      <c r="Y589" s="24"/>
      <c r="Z589" s="24"/>
      <c r="AA589" s="24"/>
      <c r="AB589" s="24"/>
      <c r="AC589" s="24"/>
    </row>
    <row r="590" spans="1:29" ht="12.9">
      <c r="A590" s="24"/>
      <c r="B590" s="24"/>
      <c r="C590" s="143"/>
      <c r="D590" s="24"/>
      <c r="E590" s="24"/>
      <c r="F590" s="24"/>
      <c r="G590" s="24"/>
      <c r="H590" s="117"/>
      <c r="I590" s="117"/>
      <c r="J590" s="24"/>
      <c r="K590" s="24"/>
      <c r="L590" s="24"/>
      <c r="M590" s="24"/>
      <c r="N590" s="24"/>
      <c r="O590" s="24"/>
      <c r="P590" s="24"/>
      <c r="Q590" s="24"/>
      <c r="R590" s="24"/>
      <c r="S590" s="24"/>
      <c r="T590" s="24"/>
      <c r="U590" s="24"/>
      <c r="V590" s="24"/>
      <c r="W590" s="24"/>
      <c r="X590" s="24"/>
      <c r="Y590" s="24"/>
      <c r="Z590" s="24"/>
      <c r="AA590" s="24"/>
      <c r="AB590" s="24"/>
      <c r="AC590" s="24"/>
    </row>
    <row r="591" spans="1:29" ht="12.9">
      <c r="A591" s="24"/>
      <c r="B591" s="24"/>
      <c r="C591" s="143"/>
      <c r="D591" s="24"/>
      <c r="E591" s="24"/>
      <c r="F591" s="24"/>
      <c r="G591" s="24"/>
      <c r="H591" s="117"/>
      <c r="I591" s="117"/>
      <c r="J591" s="24"/>
      <c r="K591" s="24"/>
      <c r="L591" s="24"/>
      <c r="M591" s="24"/>
      <c r="N591" s="24"/>
      <c r="O591" s="24"/>
      <c r="P591" s="24"/>
      <c r="Q591" s="24"/>
      <c r="R591" s="24"/>
      <c r="S591" s="24"/>
      <c r="T591" s="24"/>
      <c r="U591" s="24"/>
      <c r="V591" s="24"/>
      <c r="W591" s="24"/>
      <c r="X591" s="24"/>
      <c r="Y591" s="24"/>
      <c r="Z591" s="24"/>
      <c r="AA591" s="24"/>
      <c r="AB591" s="24"/>
      <c r="AC591" s="24"/>
    </row>
    <row r="592" spans="1:29" ht="12.9">
      <c r="A592" s="24"/>
      <c r="B592" s="24"/>
      <c r="C592" s="143"/>
      <c r="D592" s="24"/>
      <c r="E592" s="24"/>
      <c r="F592" s="24"/>
      <c r="G592" s="24"/>
      <c r="H592" s="117"/>
      <c r="I592" s="117"/>
      <c r="J592" s="24"/>
      <c r="K592" s="24"/>
      <c r="L592" s="24"/>
      <c r="M592" s="24"/>
      <c r="N592" s="24"/>
      <c r="O592" s="24"/>
      <c r="P592" s="24"/>
      <c r="Q592" s="24"/>
      <c r="R592" s="24"/>
      <c r="S592" s="24"/>
      <c r="T592" s="24"/>
      <c r="U592" s="24"/>
      <c r="V592" s="24"/>
      <c r="W592" s="24"/>
      <c r="X592" s="24"/>
      <c r="Y592" s="24"/>
      <c r="Z592" s="24"/>
      <c r="AA592" s="24"/>
      <c r="AB592" s="24"/>
      <c r="AC592" s="24"/>
    </row>
    <row r="593" spans="1:29" ht="12.9">
      <c r="A593" s="24"/>
      <c r="B593" s="24"/>
      <c r="C593" s="143"/>
      <c r="D593" s="24"/>
      <c r="E593" s="24"/>
      <c r="F593" s="24"/>
      <c r="G593" s="24"/>
      <c r="H593" s="117"/>
      <c r="I593" s="117"/>
      <c r="J593" s="24"/>
      <c r="K593" s="24"/>
      <c r="L593" s="24"/>
      <c r="M593" s="24"/>
      <c r="N593" s="24"/>
      <c r="O593" s="24"/>
      <c r="P593" s="24"/>
      <c r="Q593" s="24"/>
      <c r="R593" s="24"/>
      <c r="S593" s="24"/>
      <c r="T593" s="24"/>
      <c r="U593" s="24"/>
      <c r="V593" s="24"/>
      <c r="W593" s="24"/>
      <c r="X593" s="24"/>
      <c r="Y593" s="24"/>
      <c r="Z593" s="24"/>
      <c r="AA593" s="24"/>
      <c r="AB593" s="24"/>
      <c r="AC593" s="24"/>
    </row>
    <row r="594" spans="1:29" ht="12.9">
      <c r="A594" s="24"/>
      <c r="B594" s="24"/>
      <c r="C594" s="143"/>
      <c r="D594" s="24"/>
      <c r="E594" s="24"/>
      <c r="F594" s="24"/>
      <c r="G594" s="24"/>
      <c r="H594" s="117"/>
      <c r="I594" s="117"/>
      <c r="J594" s="24"/>
      <c r="K594" s="24"/>
      <c r="L594" s="24"/>
      <c r="M594" s="24"/>
      <c r="N594" s="24"/>
      <c r="O594" s="24"/>
      <c r="P594" s="24"/>
      <c r="Q594" s="24"/>
      <c r="R594" s="24"/>
      <c r="S594" s="24"/>
      <c r="T594" s="24"/>
      <c r="U594" s="24"/>
      <c r="V594" s="24"/>
      <c r="W594" s="24"/>
      <c r="X594" s="24"/>
      <c r="Y594" s="24"/>
      <c r="Z594" s="24"/>
      <c r="AA594" s="24"/>
      <c r="AB594" s="24"/>
      <c r="AC594" s="24"/>
    </row>
    <row r="595" spans="1:29" ht="12.9">
      <c r="A595" s="24"/>
      <c r="B595" s="24"/>
      <c r="C595" s="143"/>
      <c r="D595" s="24"/>
      <c r="E595" s="24"/>
      <c r="F595" s="24"/>
      <c r="G595" s="24"/>
      <c r="H595" s="117"/>
      <c r="I595" s="117"/>
      <c r="J595" s="24"/>
      <c r="K595" s="24"/>
      <c r="L595" s="24"/>
      <c r="M595" s="24"/>
      <c r="N595" s="24"/>
      <c r="O595" s="24"/>
      <c r="P595" s="24"/>
      <c r="Q595" s="24"/>
      <c r="R595" s="24"/>
      <c r="S595" s="24"/>
      <c r="T595" s="24"/>
      <c r="U595" s="24"/>
      <c r="V595" s="24"/>
      <c r="W595" s="24"/>
      <c r="X595" s="24"/>
      <c r="Y595" s="24"/>
      <c r="Z595" s="24"/>
      <c r="AA595" s="24"/>
      <c r="AB595" s="24"/>
      <c r="AC595" s="24"/>
    </row>
    <row r="596" spans="1:29" ht="12.9">
      <c r="A596" s="24"/>
      <c r="B596" s="24"/>
      <c r="C596" s="143"/>
      <c r="D596" s="24"/>
      <c r="E596" s="24"/>
      <c r="F596" s="24"/>
      <c r="G596" s="24"/>
      <c r="H596" s="117"/>
      <c r="I596" s="117"/>
      <c r="J596" s="24"/>
      <c r="K596" s="24"/>
      <c r="L596" s="24"/>
      <c r="M596" s="24"/>
      <c r="N596" s="24"/>
      <c r="O596" s="24"/>
      <c r="P596" s="24"/>
      <c r="Q596" s="24"/>
      <c r="R596" s="24"/>
      <c r="S596" s="24"/>
      <c r="T596" s="24"/>
      <c r="U596" s="24"/>
      <c r="V596" s="24"/>
      <c r="W596" s="24"/>
      <c r="X596" s="24"/>
      <c r="Y596" s="24"/>
      <c r="Z596" s="24"/>
      <c r="AA596" s="24"/>
      <c r="AB596" s="24"/>
      <c r="AC596" s="24"/>
    </row>
    <row r="597" spans="1:29" ht="12.9">
      <c r="A597" s="24"/>
      <c r="B597" s="24"/>
      <c r="C597" s="143"/>
      <c r="D597" s="24"/>
      <c r="E597" s="24"/>
      <c r="F597" s="24"/>
      <c r="G597" s="24"/>
      <c r="H597" s="117"/>
      <c r="I597" s="117"/>
      <c r="J597" s="24"/>
      <c r="K597" s="24"/>
      <c r="L597" s="24"/>
      <c r="M597" s="24"/>
      <c r="N597" s="24"/>
      <c r="O597" s="24"/>
      <c r="P597" s="24"/>
      <c r="Q597" s="24"/>
      <c r="R597" s="24"/>
      <c r="S597" s="24"/>
      <c r="T597" s="24"/>
      <c r="U597" s="24"/>
      <c r="V597" s="24"/>
      <c r="W597" s="24"/>
      <c r="X597" s="24"/>
      <c r="Y597" s="24"/>
      <c r="Z597" s="24"/>
      <c r="AA597" s="24"/>
      <c r="AB597" s="24"/>
      <c r="AC597" s="24"/>
    </row>
    <row r="598" spans="1:29" ht="12.9">
      <c r="A598" s="24"/>
      <c r="B598" s="24"/>
      <c r="C598" s="143"/>
      <c r="D598" s="24"/>
      <c r="E598" s="24"/>
      <c r="F598" s="24"/>
      <c r="G598" s="24"/>
      <c r="H598" s="117"/>
      <c r="I598" s="117"/>
      <c r="J598" s="24"/>
      <c r="K598" s="24"/>
      <c r="L598" s="24"/>
      <c r="M598" s="24"/>
      <c r="N598" s="24"/>
      <c r="O598" s="24"/>
      <c r="P598" s="24"/>
      <c r="Q598" s="24"/>
      <c r="R598" s="24"/>
      <c r="S598" s="24"/>
      <c r="T598" s="24"/>
      <c r="U598" s="24"/>
      <c r="V598" s="24"/>
      <c r="W598" s="24"/>
      <c r="X598" s="24"/>
      <c r="Y598" s="24"/>
      <c r="Z598" s="24"/>
      <c r="AA598" s="24"/>
      <c r="AB598" s="24"/>
      <c r="AC598" s="24"/>
    </row>
    <row r="599" spans="1:29" ht="12.9">
      <c r="A599" s="24"/>
      <c r="B599" s="24"/>
      <c r="C599" s="143"/>
      <c r="D599" s="24"/>
      <c r="E599" s="24"/>
      <c r="F599" s="24"/>
      <c r="G599" s="24"/>
      <c r="H599" s="117"/>
      <c r="I599" s="117"/>
      <c r="J599" s="24"/>
      <c r="K599" s="24"/>
      <c r="L599" s="24"/>
      <c r="M599" s="24"/>
      <c r="N599" s="24"/>
      <c r="O599" s="24"/>
      <c r="P599" s="24"/>
      <c r="Q599" s="24"/>
      <c r="R599" s="24"/>
      <c r="S599" s="24"/>
      <c r="T599" s="24"/>
      <c r="U599" s="24"/>
      <c r="V599" s="24"/>
      <c r="W599" s="24"/>
      <c r="X599" s="24"/>
      <c r="Y599" s="24"/>
      <c r="Z599" s="24"/>
      <c r="AA599" s="24"/>
      <c r="AB599" s="24"/>
      <c r="AC599" s="24"/>
    </row>
    <row r="600" spans="1:29" ht="12.9">
      <c r="A600" s="24"/>
      <c r="B600" s="24"/>
      <c r="C600" s="143"/>
      <c r="D600" s="24"/>
      <c r="E600" s="24"/>
      <c r="F600" s="24"/>
      <c r="G600" s="24"/>
      <c r="H600" s="117"/>
      <c r="I600" s="117"/>
      <c r="J600" s="24"/>
      <c r="K600" s="24"/>
      <c r="L600" s="24"/>
      <c r="M600" s="24"/>
      <c r="N600" s="24"/>
      <c r="O600" s="24"/>
      <c r="P600" s="24"/>
      <c r="Q600" s="24"/>
      <c r="R600" s="24"/>
      <c r="S600" s="24"/>
      <c r="T600" s="24"/>
      <c r="U600" s="24"/>
      <c r="V600" s="24"/>
      <c r="W600" s="24"/>
      <c r="X600" s="24"/>
      <c r="Y600" s="24"/>
      <c r="Z600" s="24"/>
      <c r="AA600" s="24"/>
      <c r="AB600" s="24"/>
      <c r="AC600" s="24"/>
    </row>
    <row r="601" spans="1:29" ht="12.9">
      <c r="A601" s="24"/>
      <c r="B601" s="24"/>
      <c r="C601" s="143"/>
      <c r="D601" s="24"/>
      <c r="E601" s="24"/>
      <c r="F601" s="24"/>
      <c r="G601" s="24"/>
      <c r="H601" s="117"/>
      <c r="I601" s="117"/>
      <c r="J601" s="24"/>
      <c r="K601" s="24"/>
      <c r="L601" s="24"/>
      <c r="M601" s="24"/>
      <c r="N601" s="24"/>
      <c r="O601" s="24"/>
      <c r="P601" s="24"/>
      <c r="Q601" s="24"/>
      <c r="R601" s="24"/>
      <c r="S601" s="24"/>
      <c r="T601" s="24"/>
      <c r="U601" s="24"/>
      <c r="V601" s="24"/>
      <c r="W601" s="24"/>
      <c r="X601" s="24"/>
      <c r="Y601" s="24"/>
      <c r="Z601" s="24"/>
      <c r="AA601" s="24"/>
      <c r="AB601" s="24"/>
      <c r="AC601" s="24"/>
    </row>
    <row r="602" spans="1:29" ht="12.9">
      <c r="A602" s="24"/>
      <c r="B602" s="24"/>
      <c r="C602" s="143"/>
      <c r="D602" s="24"/>
      <c r="E602" s="24"/>
      <c r="F602" s="24"/>
      <c r="G602" s="24"/>
      <c r="H602" s="117"/>
      <c r="I602" s="117"/>
      <c r="J602" s="24"/>
      <c r="K602" s="24"/>
      <c r="L602" s="24"/>
      <c r="M602" s="24"/>
      <c r="N602" s="24"/>
      <c r="O602" s="24"/>
      <c r="P602" s="24"/>
      <c r="Q602" s="24"/>
      <c r="R602" s="24"/>
      <c r="S602" s="24"/>
      <c r="T602" s="24"/>
      <c r="U602" s="24"/>
      <c r="V602" s="24"/>
      <c r="W602" s="24"/>
      <c r="X602" s="24"/>
      <c r="Y602" s="24"/>
      <c r="Z602" s="24"/>
      <c r="AA602" s="24"/>
      <c r="AB602" s="24"/>
      <c r="AC602" s="24"/>
    </row>
    <row r="603" spans="1:29" ht="12.9">
      <c r="A603" s="24"/>
      <c r="B603" s="24"/>
      <c r="C603" s="143"/>
      <c r="D603" s="24"/>
      <c r="E603" s="24"/>
      <c r="F603" s="24"/>
      <c r="G603" s="24"/>
      <c r="H603" s="117"/>
      <c r="I603" s="117"/>
      <c r="J603" s="24"/>
      <c r="K603" s="24"/>
      <c r="L603" s="24"/>
      <c r="M603" s="24"/>
      <c r="N603" s="24"/>
      <c r="O603" s="24"/>
      <c r="P603" s="24"/>
      <c r="Q603" s="24"/>
      <c r="R603" s="24"/>
      <c r="S603" s="24"/>
      <c r="T603" s="24"/>
      <c r="U603" s="24"/>
      <c r="V603" s="24"/>
      <c r="W603" s="24"/>
      <c r="X603" s="24"/>
      <c r="Y603" s="24"/>
      <c r="Z603" s="24"/>
      <c r="AA603" s="24"/>
      <c r="AB603" s="24"/>
      <c r="AC603" s="24"/>
    </row>
    <row r="604" spans="1:29" ht="12.9">
      <c r="A604" s="24"/>
      <c r="B604" s="24"/>
      <c r="C604" s="143"/>
      <c r="D604" s="24"/>
      <c r="E604" s="24"/>
      <c r="F604" s="24"/>
      <c r="G604" s="24"/>
      <c r="H604" s="117"/>
      <c r="I604" s="117"/>
      <c r="J604" s="24"/>
      <c r="K604" s="24"/>
      <c r="L604" s="24"/>
      <c r="M604" s="24"/>
      <c r="N604" s="24"/>
      <c r="O604" s="24"/>
      <c r="P604" s="24"/>
      <c r="Q604" s="24"/>
      <c r="R604" s="24"/>
      <c r="S604" s="24"/>
      <c r="T604" s="24"/>
      <c r="U604" s="24"/>
      <c r="V604" s="24"/>
      <c r="W604" s="24"/>
      <c r="X604" s="24"/>
      <c r="Y604" s="24"/>
      <c r="Z604" s="24"/>
      <c r="AA604" s="24"/>
      <c r="AB604" s="24"/>
      <c r="AC604" s="24"/>
    </row>
    <row r="605" spans="1:29" ht="12.9">
      <c r="A605" s="24"/>
      <c r="B605" s="24"/>
      <c r="C605" s="143"/>
      <c r="D605" s="24"/>
      <c r="E605" s="24"/>
      <c r="F605" s="24"/>
      <c r="G605" s="24"/>
      <c r="H605" s="117"/>
      <c r="I605" s="117"/>
      <c r="J605" s="24"/>
      <c r="K605" s="24"/>
      <c r="L605" s="24"/>
      <c r="M605" s="24"/>
      <c r="N605" s="24"/>
      <c r="O605" s="24"/>
      <c r="P605" s="24"/>
      <c r="Q605" s="24"/>
      <c r="R605" s="24"/>
      <c r="S605" s="24"/>
      <c r="T605" s="24"/>
      <c r="U605" s="24"/>
      <c r="V605" s="24"/>
      <c r="W605" s="24"/>
      <c r="X605" s="24"/>
      <c r="Y605" s="24"/>
      <c r="Z605" s="24"/>
      <c r="AA605" s="24"/>
      <c r="AB605" s="24"/>
      <c r="AC605" s="24"/>
    </row>
    <row r="606" spans="1:29" ht="12.9">
      <c r="A606" s="24"/>
      <c r="B606" s="24"/>
      <c r="C606" s="143"/>
      <c r="D606" s="24"/>
      <c r="E606" s="24"/>
      <c r="F606" s="24"/>
      <c r="G606" s="24"/>
      <c r="H606" s="117"/>
      <c r="I606" s="117"/>
      <c r="J606" s="24"/>
      <c r="K606" s="24"/>
      <c r="L606" s="24"/>
      <c r="M606" s="24"/>
      <c r="N606" s="24"/>
      <c r="O606" s="24"/>
      <c r="P606" s="24"/>
      <c r="Q606" s="24"/>
      <c r="R606" s="24"/>
      <c r="S606" s="24"/>
      <c r="T606" s="24"/>
      <c r="U606" s="24"/>
      <c r="V606" s="24"/>
      <c r="W606" s="24"/>
      <c r="X606" s="24"/>
      <c r="Y606" s="24"/>
      <c r="Z606" s="24"/>
      <c r="AA606" s="24"/>
      <c r="AB606" s="24"/>
      <c r="AC606" s="24"/>
    </row>
    <row r="607" spans="1:29" ht="12.9">
      <c r="A607" s="24"/>
      <c r="B607" s="24"/>
      <c r="C607" s="143"/>
      <c r="D607" s="24"/>
      <c r="E607" s="24"/>
      <c r="F607" s="24"/>
      <c r="G607" s="24"/>
      <c r="H607" s="117"/>
      <c r="I607" s="117"/>
      <c r="J607" s="24"/>
      <c r="K607" s="24"/>
      <c r="L607" s="24"/>
      <c r="M607" s="24"/>
      <c r="N607" s="24"/>
      <c r="O607" s="24"/>
      <c r="P607" s="24"/>
      <c r="Q607" s="24"/>
      <c r="R607" s="24"/>
      <c r="S607" s="24"/>
      <c r="T607" s="24"/>
      <c r="U607" s="24"/>
      <c r="V607" s="24"/>
      <c r="W607" s="24"/>
      <c r="X607" s="24"/>
      <c r="Y607" s="24"/>
      <c r="Z607" s="24"/>
      <c r="AA607" s="24"/>
      <c r="AB607" s="24"/>
      <c r="AC607" s="24"/>
    </row>
    <row r="608" spans="1:29" ht="12.9">
      <c r="A608" s="24"/>
      <c r="B608" s="24"/>
      <c r="C608" s="143"/>
      <c r="D608" s="24"/>
      <c r="E608" s="24"/>
      <c r="F608" s="24"/>
      <c r="G608" s="24"/>
      <c r="H608" s="117"/>
      <c r="I608" s="117"/>
      <c r="J608" s="24"/>
      <c r="K608" s="24"/>
      <c r="L608" s="24"/>
      <c r="M608" s="24"/>
      <c r="N608" s="24"/>
      <c r="O608" s="24"/>
      <c r="P608" s="24"/>
      <c r="Q608" s="24"/>
      <c r="R608" s="24"/>
      <c r="S608" s="24"/>
      <c r="T608" s="24"/>
      <c r="U608" s="24"/>
      <c r="V608" s="24"/>
      <c r="W608" s="24"/>
      <c r="X608" s="24"/>
      <c r="Y608" s="24"/>
      <c r="Z608" s="24"/>
      <c r="AA608" s="24"/>
      <c r="AB608" s="24"/>
      <c r="AC608" s="24"/>
    </row>
    <row r="609" spans="1:29" ht="12.9">
      <c r="A609" s="24"/>
      <c r="B609" s="24"/>
      <c r="C609" s="143"/>
      <c r="D609" s="24"/>
      <c r="E609" s="24"/>
      <c r="F609" s="24"/>
      <c r="G609" s="24"/>
      <c r="H609" s="117"/>
      <c r="I609" s="117"/>
      <c r="J609" s="24"/>
      <c r="K609" s="24"/>
      <c r="L609" s="24"/>
      <c r="M609" s="24"/>
      <c r="N609" s="24"/>
      <c r="O609" s="24"/>
      <c r="P609" s="24"/>
      <c r="Q609" s="24"/>
      <c r="R609" s="24"/>
      <c r="S609" s="24"/>
      <c r="T609" s="24"/>
      <c r="U609" s="24"/>
      <c r="V609" s="24"/>
      <c r="W609" s="24"/>
      <c r="X609" s="24"/>
      <c r="Y609" s="24"/>
      <c r="Z609" s="24"/>
      <c r="AA609" s="24"/>
      <c r="AB609" s="24"/>
      <c r="AC609" s="24"/>
    </row>
    <row r="610" spans="1:29" ht="12.9">
      <c r="A610" s="24"/>
      <c r="B610" s="24"/>
      <c r="C610" s="143"/>
      <c r="D610" s="24"/>
      <c r="E610" s="24"/>
      <c r="F610" s="24"/>
      <c r="G610" s="24"/>
      <c r="H610" s="117"/>
      <c r="I610" s="117"/>
      <c r="J610" s="24"/>
      <c r="K610" s="24"/>
      <c r="L610" s="24"/>
      <c r="M610" s="24"/>
      <c r="N610" s="24"/>
      <c r="O610" s="24"/>
      <c r="P610" s="24"/>
      <c r="Q610" s="24"/>
      <c r="R610" s="24"/>
      <c r="S610" s="24"/>
      <c r="T610" s="24"/>
      <c r="U610" s="24"/>
      <c r="V610" s="24"/>
      <c r="W610" s="24"/>
      <c r="X610" s="24"/>
      <c r="Y610" s="24"/>
      <c r="Z610" s="24"/>
      <c r="AA610" s="24"/>
      <c r="AB610" s="24"/>
      <c r="AC610" s="24"/>
    </row>
    <row r="611" spans="1:29" ht="12.9">
      <c r="A611" s="24"/>
      <c r="B611" s="24"/>
      <c r="C611" s="143"/>
      <c r="D611" s="24"/>
      <c r="E611" s="24"/>
      <c r="F611" s="24"/>
      <c r="G611" s="24"/>
      <c r="H611" s="117"/>
      <c r="I611" s="117"/>
      <c r="J611" s="24"/>
      <c r="K611" s="24"/>
      <c r="L611" s="24"/>
      <c r="M611" s="24"/>
      <c r="N611" s="24"/>
      <c r="O611" s="24"/>
      <c r="P611" s="24"/>
      <c r="Q611" s="24"/>
      <c r="R611" s="24"/>
      <c r="S611" s="24"/>
      <c r="T611" s="24"/>
      <c r="U611" s="24"/>
      <c r="V611" s="24"/>
      <c r="W611" s="24"/>
      <c r="X611" s="24"/>
      <c r="Y611" s="24"/>
      <c r="Z611" s="24"/>
      <c r="AA611" s="24"/>
      <c r="AB611" s="24"/>
      <c r="AC611" s="24"/>
    </row>
    <row r="612" spans="1:29" ht="12.9">
      <c r="A612" s="24"/>
      <c r="B612" s="24"/>
      <c r="C612" s="143"/>
      <c r="D612" s="24"/>
      <c r="E612" s="24"/>
      <c r="F612" s="24"/>
      <c r="G612" s="24"/>
      <c r="H612" s="117"/>
      <c r="I612" s="117"/>
      <c r="J612" s="24"/>
      <c r="K612" s="24"/>
      <c r="L612" s="24"/>
      <c r="M612" s="24"/>
      <c r="N612" s="24"/>
      <c r="O612" s="24"/>
      <c r="P612" s="24"/>
      <c r="Q612" s="24"/>
      <c r="R612" s="24"/>
      <c r="S612" s="24"/>
      <c r="T612" s="24"/>
      <c r="U612" s="24"/>
      <c r="V612" s="24"/>
      <c r="W612" s="24"/>
      <c r="X612" s="24"/>
      <c r="Y612" s="24"/>
      <c r="Z612" s="24"/>
      <c r="AA612" s="24"/>
      <c r="AB612" s="24"/>
      <c r="AC612" s="24"/>
    </row>
    <row r="613" spans="1:29" ht="12.9">
      <c r="A613" s="24"/>
      <c r="B613" s="24"/>
      <c r="C613" s="143"/>
      <c r="D613" s="24"/>
      <c r="E613" s="24"/>
      <c r="F613" s="24"/>
      <c r="G613" s="24"/>
      <c r="H613" s="117"/>
      <c r="I613" s="117"/>
      <c r="J613" s="24"/>
      <c r="K613" s="24"/>
      <c r="L613" s="24"/>
      <c r="M613" s="24"/>
      <c r="N613" s="24"/>
      <c r="O613" s="24"/>
      <c r="P613" s="24"/>
      <c r="Q613" s="24"/>
      <c r="R613" s="24"/>
      <c r="S613" s="24"/>
      <c r="T613" s="24"/>
      <c r="U613" s="24"/>
      <c r="V613" s="24"/>
      <c r="W613" s="24"/>
      <c r="X613" s="24"/>
      <c r="Y613" s="24"/>
      <c r="Z613" s="24"/>
      <c r="AA613" s="24"/>
      <c r="AB613" s="24"/>
      <c r="AC613" s="24"/>
    </row>
    <row r="614" spans="1:29" ht="12.9">
      <c r="A614" s="24"/>
      <c r="B614" s="24"/>
      <c r="C614" s="143"/>
      <c r="D614" s="24"/>
      <c r="E614" s="24"/>
      <c r="F614" s="24"/>
      <c r="G614" s="24"/>
      <c r="H614" s="117"/>
      <c r="I614" s="117"/>
      <c r="J614" s="24"/>
      <c r="K614" s="24"/>
      <c r="L614" s="24"/>
      <c r="M614" s="24"/>
      <c r="N614" s="24"/>
      <c r="O614" s="24"/>
      <c r="P614" s="24"/>
      <c r="Q614" s="24"/>
      <c r="R614" s="24"/>
      <c r="S614" s="24"/>
      <c r="T614" s="24"/>
      <c r="U614" s="24"/>
      <c r="V614" s="24"/>
      <c r="W614" s="24"/>
      <c r="X614" s="24"/>
      <c r="Y614" s="24"/>
      <c r="Z614" s="24"/>
      <c r="AA614" s="24"/>
      <c r="AB614" s="24"/>
      <c r="AC614" s="24"/>
    </row>
    <row r="615" spans="1:29" ht="12.9">
      <c r="A615" s="24"/>
      <c r="B615" s="24"/>
      <c r="C615" s="143"/>
      <c r="D615" s="24"/>
      <c r="E615" s="24"/>
      <c r="F615" s="24"/>
      <c r="G615" s="24"/>
      <c r="H615" s="117"/>
      <c r="I615" s="117"/>
      <c r="J615" s="24"/>
      <c r="K615" s="24"/>
      <c r="L615" s="24"/>
      <c r="M615" s="24"/>
      <c r="N615" s="24"/>
      <c r="O615" s="24"/>
      <c r="P615" s="24"/>
      <c r="Q615" s="24"/>
      <c r="R615" s="24"/>
      <c r="S615" s="24"/>
      <c r="T615" s="24"/>
      <c r="U615" s="24"/>
      <c r="V615" s="24"/>
      <c r="W615" s="24"/>
      <c r="X615" s="24"/>
      <c r="Y615" s="24"/>
      <c r="Z615" s="24"/>
      <c r="AA615" s="24"/>
      <c r="AB615" s="24"/>
      <c r="AC615" s="24"/>
    </row>
    <row r="616" spans="1:29" ht="12.9">
      <c r="A616" s="24"/>
      <c r="B616" s="24"/>
      <c r="C616" s="143"/>
      <c r="D616" s="24"/>
      <c r="E616" s="24"/>
      <c r="F616" s="24"/>
      <c r="G616" s="24"/>
      <c r="H616" s="117"/>
      <c r="I616" s="117"/>
      <c r="J616" s="24"/>
      <c r="K616" s="24"/>
      <c r="L616" s="24"/>
      <c r="M616" s="24"/>
      <c r="N616" s="24"/>
      <c r="O616" s="24"/>
      <c r="P616" s="24"/>
      <c r="Q616" s="24"/>
      <c r="R616" s="24"/>
      <c r="S616" s="24"/>
      <c r="T616" s="24"/>
      <c r="U616" s="24"/>
      <c r="V616" s="24"/>
      <c r="W616" s="24"/>
      <c r="X616" s="24"/>
      <c r="Y616" s="24"/>
      <c r="Z616" s="24"/>
      <c r="AA616" s="24"/>
      <c r="AB616" s="24"/>
      <c r="AC616" s="24"/>
    </row>
    <row r="617" spans="1:29" ht="12.9">
      <c r="A617" s="24"/>
      <c r="B617" s="24"/>
      <c r="C617" s="143"/>
      <c r="D617" s="24"/>
      <c r="E617" s="24"/>
      <c r="F617" s="24"/>
      <c r="G617" s="24"/>
      <c r="H617" s="117"/>
      <c r="I617" s="117"/>
      <c r="J617" s="24"/>
      <c r="K617" s="24"/>
      <c r="L617" s="24"/>
      <c r="M617" s="24"/>
      <c r="N617" s="24"/>
      <c r="O617" s="24"/>
      <c r="P617" s="24"/>
      <c r="Q617" s="24"/>
      <c r="R617" s="24"/>
      <c r="S617" s="24"/>
      <c r="T617" s="24"/>
      <c r="U617" s="24"/>
      <c r="V617" s="24"/>
      <c r="W617" s="24"/>
      <c r="X617" s="24"/>
      <c r="Y617" s="24"/>
      <c r="Z617" s="24"/>
      <c r="AA617" s="24"/>
      <c r="AB617" s="24"/>
      <c r="AC617" s="24"/>
    </row>
    <row r="618" spans="1:29" ht="12.9">
      <c r="A618" s="24"/>
      <c r="B618" s="24"/>
      <c r="C618" s="143"/>
      <c r="D618" s="24"/>
      <c r="E618" s="24"/>
      <c r="F618" s="24"/>
      <c r="G618" s="24"/>
      <c r="H618" s="117"/>
      <c r="I618" s="117"/>
      <c r="J618" s="24"/>
      <c r="K618" s="24"/>
      <c r="L618" s="24"/>
      <c r="M618" s="24"/>
      <c r="N618" s="24"/>
      <c r="O618" s="24"/>
      <c r="P618" s="24"/>
      <c r="Q618" s="24"/>
      <c r="R618" s="24"/>
      <c r="S618" s="24"/>
      <c r="T618" s="24"/>
      <c r="U618" s="24"/>
      <c r="V618" s="24"/>
      <c r="W618" s="24"/>
      <c r="X618" s="24"/>
      <c r="Y618" s="24"/>
      <c r="Z618" s="24"/>
      <c r="AA618" s="24"/>
      <c r="AB618" s="24"/>
      <c r="AC618" s="24"/>
    </row>
    <row r="619" spans="1:29" ht="12.9">
      <c r="A619" s="24"/>
      <c r="B619" s="24"/>
      <c r="C619" s="143"/>
      <c r="D619" s="24"/>
      <c r="E619" s="24"/>
      <c r="F619" s="24"/>
      <c r="G619" s="24"/>
      <c r="H619" s="117"/>
      <c r="I619" s="117"/>
      <c r="J619" s="24"/>
      <c r="K619" s="24"/>
      <c r="L619" s="24"/>
      <c r="M619" s="24"/>
      <c r="N619" s="24"/>
      <c r="O619" s="24"/>
      <c r="P619" s="24"/>
      <c r="Q619" s="24"/>
      <c r="R619" s="24"/>
      <c r="S619" s="24"/>
      <c r="T619" s="24"/>
      <c r="U619" s="24"/>
      <c r="V619" s="24"/>
      <c r="W619" s="24"/>
      <c r="X619" s="24"/>
      <c r="Y619" s="24"/>
      <c r="Z619" s="24"/>
      <c r="AA619" s="24"/>
      <c r="AB619" s="24"/>
      <c r="AC619" s="24"/>
    </row>
    <row r="620" spans="1:29" ht="12.9">
      <c r="A620" s="24"/>
      <c r="B620" s="24"/>
      <c r="C620" s="143"/>
      <c r="D620" s="24"/>
      <c r="E620" s="24"/>
      <c r="F620" s="24"/>
      <c r="G620" s="24"/>
      <c r="H620" s="117"/>
      <c r="I620" s="117"/>
      <c r="J620" s="24"/>
      <c r="K620" s="24"/>
      <c r="L620" s="24"/>
      <c r="M620" s="24"/>
      <c r="N620" s="24"/>
      <c r="O620" s="24"/>
      <c r="P620" s="24"/>
      <c r="Q620" s="24"/>
      <c r="R620" s="24"/>
      <c r="S620" s="24"/>
      <c r="T620" s="24"/>
      <c r="U620" s="24"/>
      <c r="V620" s="24"/>
      <c r="W620" s="24"/>
      <c r="X620" s="24"/>
      <c r="Y620" s="24"/>
      <c r="Z620" s="24"/>
      <c r="AA620" s="24"/>
      <c r="AB620" s="24"/>
      <c r="AC620" s="24"/>
    </row>
    <row r="621" spans="1:29" ht="12.9">
      <c r="A621" s="24"/>
      <c r="B621" s="24"/>
      <c r="C621" s="143"/>
      <c r="D621" s="24"/>
      <c r="E621" s="24"/>
      <c r="F621" s="24"/>
      <c r="G621" s="24"/>
      <c r="H621" s="117"/>
      <c r="I621" s="117"/>
      <c r="J621" s="24"/>
      <c r="K621" s="24"/>
      <c r="L621" s="24"/>
      <c r="M621" s="24"/>
      <c r="N621" s="24"/>
      <c r="O621" s="24"/>
      <c r="P621" s="24"/>
      <c r="Q621" s="24"/>
      <c r="R621" s="24"/>
      <c r="S621" s="24"/>
      <c r="T621" s="24"/>
      <c r="U621" s="24"/>
      <c r="V621" s="24"/>
      <c r="W621" s="24"/>
      <c r="X621" s="24"/>
      <c r="Y621" s="24"/>
      <c r="Z621" s="24"/>
      <c r="AA621" s="24"/>
      <c r="AB621" s="24"/>
      <c r="AC621" s="24"/>
    </row>
    <row r="622" spans="1:29" ht="12.9">
      <c r="A622" s="24"/>
      <c r="B622" s="24"/>
      <c r="C622" s="143"/>
      <c r="D622" s="24"/>
      <c r="E622" s="24"/>
      <c r="F622" s="24"/>
      <c r="G622" s="24"/>
      <c r="H622" s="117"/>
      <c r="I622" s="117"/>
      <c r="J622" s="24"/>
      <c r="K622" s="24"/>
      <c r="L622" s="24"/>
      <c r="M622" s="24"/>
      <c r="N622" s="24"/>
      <c r="O622" s="24"/>
      <c r="P622" s="24"/>
      <c r="Q622" s="24"/>
      <c r="R622" s="24"/>
      <c r="S622" s="24"/>
      <c r="T622" s="24"/>
      <c r="U622" s="24"/>
      <c r="V622" s="24"/>
      <c r="W622" s="24"/>
      <c r="X622" s="24"/>
      <c r="Y622" s="24"/>
      <c r="Z622" s="24"/>
      <c r="AA622" s="24"/>
      <c r="AB622" s="24"/>
      <c r="AC622" s="24"/>
    </row>
    <row r="623" spans="1:29" ht="12.9">
      <c r="A623" s="24"/>
      <c r="B623" s="24"/>
      <c r="C623" s="143"/>
      <c r="D623" s="24"/>
      <c r="E623" s="24"/>
      <c r="F623" s="24"/>
      <c r="G623" s="24"/>
      <c r="H623" s="117"/>
      <c r="I623" s="117"/>
      <c r="J623" s="24"/>
      <c r="K623" s="24"/>
      <c r="L623" s="24"/>
      <c r="M623" s="24"/>
      <c r="N623" s="24"/>
      <c r="O623" s="24"/>
      <c r="P623" s="24"/>
      <c r="Q623" s="24"/>
      <c r="R623" s="24"/>
      <c r="S623" s="24"/>
      <c r="T623" s="24"/>
      <c r="U623" s="24"/>
      <c r="V623" s="24"/>
      <c r="W623" s="24"/>
      <c r="X623" s="24"/>
      <c r="Y623" s="24"/>
      <c r="Z623" s="24"/>
      <c r="AA623" s="24"/>
      <c r="AB623" s="24"/>
      <c r="AC623" s="24"/>
    </row>
    <row r="624" spans="1:29" ht="12.9">
      <c r="A624" s="24"/>
      <c r="B624" s="24"/>
      <c r="C624" s="143"/>
      <c r="D624" s="24"/>
      <c r="E624" s="24"/>
      <c r="F624" s="24"/>
      <c r="G624" s="24"/>
      <c r="H624" s="117"/>
      <c r="I624" s="117"/>
      <c r="J624" s="24"/>
      <c r="K624" s="24"/>
      <c r="L624" s="24"/>
      <c r="M624" s="24"/>
      <c r="N624" s="24"/>
      <c r="O624" s="24"/>
      <c r="P624" s="24"/>
      <c r="Q624" s="24"/>
      <c r="R624" s="24"/>
      <c r="S624" s="24"/>
      <c r="T624" s="24"/>
      <c r="U624" s="24"/>
      <c r="V624" s="24"/>
      <c r="W624" s="24"/>
      <c r="X624" s="24"/>
      <c r="Y624" s="24"/>
      <c r="Z624" s="24"/>
      <c r="AA624" s="24"/>
      <c r="AB624" s="24"/>
      <c r="AC624" s="24"/>
    </row>
    <row r="625" spans="1:29" ht="12.9">
      <c r="A625" s="24"/>
      <c r="B625" s="24"/>
      <c r="C625" s="143"/>
      <c r="D625" s="24"/>
      <c r="E625" s="24"/>
      <c r="F625" s="24"/>
      <c r="G625" s="24"/>
      <c r="H625" s="117"/>
      <c r="I625" s="117"/>
      <c r="J625" s="24"/>
      <c r="K625" s="24"/>
      <c r="L625" s="24"/>
      <c r="M625" s="24"/>
      <c r="N625" s="24"/>
      <c r="O625" s="24"/>
      <c r="P625" s="24"/>
      <c r="Q625" s="24"/>
      <c r="R625" s="24"/>
      <c r="S625" s="24"/>
      <c r="T625" s="24"/>
      <c r="U625" s="24"/>
      <c r="V625" s="24"/>
      <c r="W625" s="24"/>
      <c r="X625" s="24"/>
      <c r="Y625" s="24"/>
      <c r="Z625" s="24"/>
      <c r="AA625" s="24"/>
      <c r="AB625" s="24"/>
      <c r="AC625" s="24"/>
    </row>
    <row r="626" spans="1:29" ht="12.9">
      <c r="A626" s="24"/>
      <c r="B626" s="24"/>
      <c r="C626" s="143"/>
      <c r="D626" s="24"/>
      <c r="E626" s="24"/>
      <c r="F626" s="24"/>
      <c r="G626" s="24"/>
      <c r="H626" s="117"/>
      <c r="I626" s="117"/>
      <c r="J626" s="24"/>
      <c r="K626" s="24"/>
      <c r="L626" s="24"/>
      <c r="M626" s="24"/>
      <c r="N626" s="24"/>
      <c r="O626" s="24"/>
      <c r="P626" s="24"/>
      <c r="Q626" s="24"/>
      <c r="R626" s="24"/>
      <c r="S626" s="24"/>
      <c r="T626" s="24"/>
      <c r="U626" s="24"/>
      <c r="V626" s="24"/>
      <c r="W626" s="24"/>
      <c r="X626" s="24"/>
      <c r="Y626" s="24"/>
      <c r="Z626" s="24"/>
      <c r="AA626" s="24"/>
      <c r="AB626" s="24"/>
      <c r="AC626" s="24"/>
    </row>
    <row r="627" spans="1:29" ht="12.9">
      <c r="A627" s="24"/>
      <c r="B627" s="24"/>
      <c r="C627" s="143"/>
      <c r="D627" s="24"/>
      <c r="E627" s="24"/>
      <c r="F627" s="24"/>
      <c r="G627" s="24"/>
      <c r="H627" s="117"/>
      <c r="I627" s="117"/>
      <c r="J627" s="24"/>
      <c r="K627" s="24"/>
      <c r="L627" s="24"/>
      <c r="M627" s="24"/>
      <c r="N627" s="24"/>
      <c r="O627" s="24"/>
      <c r="P627" s="24"/>
      <c r="Q627" s="24"/>
      <c r="R627" s="24"/>
      <c r="S627" s="24"/>
      <c r="T627" s="24"/>
      <c r="U627" s="24"/>
      <c r="V627" s="24"/>
      <c r="W627" s="24"/>
      <c r="X627" s="24"/>
      <c r="Y627" s="24"/>
      <c r="Z627" s="24"/>
      <c r="AA627" s="24"/>
      <c r="AB627" s="24"/>
      <c r="AC627" s="24"/>
    </row>
    <row r="628" spans="1:29" ht="12.9">
      <c r="A628" s="24"/>
      <c r="B628" s="24"/>
      <c r="C628" s="143"/>
      <c r="D628" s="24"/>
      <c r="E628" s="24"/>
      <c r="F628" s="24"/>
      <c r="G628" s="24"/>
      <c r="H628" s="117"/>
      <c r="I628" s="117"/>
      <c r="J628" s="24"/>
      <c r="K628" s="24"/>
      <c r="L628" s="24"/>
      <c r="M628" s="24"/>
      <c r="N628" s="24"/>
      <c r="O628" s="24"/>
      <c r="P628" s="24"/>
      <c r="Q628" s="24"/>
      <c r="R628" s="24"/>
      <c r="S628" s="24"/>
      <c r="T628" s="24"/>
      <c r="U628" s="24"/>
      <c r="V628" s="24"/>
      <c r="W628" s="24"/>
      <c r="X628" s="24"/>
      <c r="Y628" s="24"/>
      <c r="Z628" s="24"/>
      <c r="AA628" s="24"/>
      <c r="AB628" s="24"/>
      <c r="AC628" s="24"/>
    </row>
    <row r="629" spans="1:29" ht="12.9">
      <c r="A629" s="24"/>
      <c r="B629" s="24"/>
      <c r="C629" s="143"/>
      <c r="D629" s="24"/>
      <c r="E629" s="24"/>
      <c r="F629" s="24"/>
      <c r="G629" s="24"/>
      <c r="H629" s="117"/>
      <c r="I629" s="117"/>
      <c r="J629" s="24"/>
      <c r="K629" s="24"/>
      <c r="L629" s="24"/>
      <c r="M629" s="24"/>
      <c r="N629" s="24"/>
      <c r="O629" s="24"/>
      <c r="P629" s="24"/>
      <c r="Q629" s="24"/>
      <c r="R629" s="24"/>
      <c r="S629" s="24"/>
      <c r="T629" s="24"/>
      <c r="U629" s="24"/>
      <c r="V629" s="24"/>
      <c r="W629" s="24"/>
      <c r="X629" s="24"/>
      <c r="Y629" s="24"/>
      <c r="Z629" s="24"/>
      <c r="AA629" s="24"/>
      <c r="AB629" s="24"/>
      <c r="AC629" s="24"/>
    </row>
    <row r="630" spans="1:29" ht="12.9">
      <c r="A630" s="24"/>
      <c r="B630" s="24"/>
      <c r="C630" s="143"/>
      <c r="D630" s="24"/>
      <c r="E630" s="24"/>
      <c r="F630" s="24"/>
      <c r="G630" s="24"/>
      <c r="H630" s="117"/>
      <c r="I630" s="117"/>
      <c r="J630" s="24"/>
      <c r="K630" s="24"/>
      <c r="L630" s="24"/>
      <c r="M630" s="24"/>
      <c r="N630" s="24"/>
      <c r="O630" s="24"/>
      <c r="P630" s="24"/>
      <c r="Q630" s="24"/>
      <c r="R630" s="24"/>
      <c r="S630" s="24"/>
      <c r="T630" s="24"/>
      <c r="U630" s="24"/>
      <c r="V630" s="24"/>
      <c r="W630" s="24"/>
      <c r="X630" s="24"/>
      <c r="Y630" s="24"/>
      <c r="Z630" s="24"/>
      <c r="AA630" s="24"/>
      <c r="AB630" s="24"/>
      <c r="AC630" s="24"/>
    </row>
    <row r="631" spans="1:29" ht="12.9">
      <c r="A631" s="24"/>
      <c r="B631" s="24"/>
      <c r="C631" s="143"/>
      <c r="D631" s="24"/>
      <c r="E631" s="24"/>
      <c r="F631" s="24"/>
      <c r="G631" s="24"/>
      <c r="H631" s="117"/>
      <c r="I631" s="117"/>
      <c r="J631" s="24"/>
      <c r="K631" s="24"/>
      <c r="L631" s="24"/>
      <c r="M631" s="24"/>
      <c r="N631" s="24"/>
      <c r="O631" s="24"/>
      <c r="P631" s="24"/>
      <c r="Q631" s="24"/>
      <c r="R631" s="24"/>
      <c r="S631" s="24"/>
      <c r="T631" s="24"/>
      <c r="U631" s="24"/>
      <c r="V631" s="24"/>
      <c r="W631" s="24"/>
      <c r="X631" s="24"/>
      <c r="Y631" s="24"/>
      <c r="Z631" s="24"/>
      <c r="AA631" s="24"/>
      <c r="AB631" s="24"/>
      <c r="AC631" s="24"/>
    </row>
    <row r="632" spans="1:29" ht="12.9">
      <c r="A632" s="24"/>
      <c r="B632" s="24"/>
      <c r="C632" s="143"/>
      <c r="D632" s="24"/>
      <c r="E632" s="24"/>
      <c r="F632" s="24"/>
      <c r="G632" s="24"/>
      <c r="H632" s="117"/>
      <c r="I632" s="117"/>
      <c r="J632" s="24"/>
      <c r="K632" s="24"/>
      <c r="L632" s="24"/>
      <c r="M632" s="24"/>
      <c r="N632" s="24"/>
      <c r="O632" s="24"/>
      <c r="P632" s="24"/>
      <c r="Q632" s="24"/>
      <c r="R632" s="24"/>
      <c r="S632" s="24"/>
      <c r="T632" s="24"/>
      <c r="U632" s="24"/>
      <c r="V632" s="24"/>
      <c r="W632" s="24"/>
      <c r="X632" s="24"/>
      <c r="Y632" s="24"/>
      <c r="Z632" s="24"/>
      <c r="AA632" s="24"/>
      <c r="AB632" s="24"/>
      <c r="AC632" s="24"/>
    </row>
    <row r="633" spans="1:29" ht="12.9">
      <c r="A633" s="24"/>
      <c r="B633" s="24"/>
      <c r="C633" s="143"/>
      <c r="D633" s="24"/>
      <c r="E633" s="24"/>
      <c r="F633" s="24"/>
      <c r="G633" s="24"/>
      <c r="H633" s="117"/>
      <c r="I633" s="117"/>
      <c r="J633" s="24"/>
      <c r="K633" s="24"/>
      <c r="L633" s="24"/>
      <c r="M633" s="24"/>
      <c r="N633" s="24"/>
      <c r="O633" s="24"/>
      <c r="P633" s="24"/>
      <c r="Q633" s="24"/>
      <c r="R633" s="24"/>
      <c r="S633" s="24"/>
      <c r="T633" s="24"/>
      <c r="U633" s="24"/>
      <c r="V633" s="24"/>
      <c r="W633" s="24"/>
      <c r="X633" s="24"/>
      <c r="Y633" s="24"/>
      <c r="Z633" s="24"/>
      <c r="AA633" s="24"/>
      <c r="AB633" s="24"/>
      <c r="AC633" s="24"/>
    </row>
    <row r="634" spans="1:29" ht="12.9">
      <c r="A634" s="24"/>
      <c r="B634" s="24"/>
      <c r="C634" s="143"/>
      <c r="D634" s="24"/>
      <c r="E634" s="24"/>
      <c r="F634" s="24"/>
      <c r="G634" s="24"/>
      <c r="H634" s="117"/>
      <c r="I634" s="117"/>
      <c r="J634" s="24"/>
      <c r="K634" s="24"/>
      <c r="L634" s="24"/>
      <c r="M634" s="24"/>
      <c r="N634" s="24"/>
      <c r="O634" s="24"/>
      <c r="P634" s="24"/>
      <c r="Q634" s="24"/>
      <c r="R634" s="24"/>
      <c r="S634" s="24"/>
      <c r="T634" s="24"/>
      <c r="U634" s="24"/>
      <c r="V634" s="24"/>
      <c r="W634" s="24"/>
      <c r="X634" s="24"/>
      <c r="Y634" s="24"/>
      <c r="Z634" s="24"/>
      <c r="AA634" s="24"/>
      <c r="AB634" s="24"/>
      <c r="AC634" s="24"/>
    </row>
    <row r="635" spans="1:29" ht="12.9">
      <c r="A635" s="24"/>
      <c r="B635" s="24"/>
      <c r="C635" s="143"/>
      <c r="D635" s="24"/>
      <c r="E635" s="24"/>
      <c r="F635" s="24"/>
      <c r="G635" s="24"/>
      <c r="H635" s="117"/>
      <c r="I635" s="117"/>
      <c r="J635" s="24"/>
      <c r="K635" s="24"/>
      <c r="L635" s="24"/>
      <c r="M635" s="24"/>
      <c r="N635" s="24"/>
      <c r="O635" s="24"/>
      <c r="P635" s="24"/>
      <c r="Q635" s="24"/>
      <c r="R635" s="24"/>
      <c r="S635" s="24"/>
      <c r="T635" s="24"/>
      <c r="U635" s="24"/>
      <c r="V635" s="24"/>
      <c r="W635" s="24"/>
      <c r="X635" s="24"/>
      <c r="Y635" s="24"/>
      <c r="Z635" s="24"/>
      <c r="AA635" s="24"/>
      <c r="AB635" s="24"/>
      <c r="AC635" s="24"/>
    </row>
    <row r="636" spans="1:29" ht="12.9">
      <c r="A636" s="24"/>
      <c r="B636" s="24"/>
      <c r="C636" s="143"/>
      <c r="D636" s="24"/>
      <c r="E636" s="24"/>
      <c r="F636" s="24"/>
      <c r="G636" s="24"/>
      <c r="H636" s="117"/>
      <c r="I636" s="117"/>
      <c r="J636" s="24"/>
      <c r="K636" s="24"/>
      <c r="L636" s="24"/>
      <c r="M636" s="24"/>
      <c r="N636" s="24"/>
      <c r="O636" s="24"/>
      <c r="P636" s="24"/>
      <c r="Q636" s="24"/>
      <c r="R636" s="24"/>
      <c r="S636" s="24"/>
      <c r="T636" s="24"/>
      <c r="U636" s="24"/>
      <c r="V636" s="24"/>
      <c r="W636" s="24"/>
      <c r="X636" s="24"/>
      <c r="Y636" s="24"/>
      <c r="Z636" s="24"/>
      <c r="AA636" s="24"/>
      <c r="AB636" s="24"/>
      <c r="AC636" s="24"/>
    </row>
    <row r="637" spans="1:29" ht="12.9">
      <c r="A637" s="24"/>
      <c r="B637" s="24"/>
      <c r="C637" s="143"/>
      <c r="D637" s="24"/>
      <c r="E637" s="24"/>
      <c r="F637" s="24"/>
      <c r="G637" s="24"/>
      <c r="H637" s="117"/>
      <c r="I637" s="117"/>
      <c r="J637" s="24"/>
      <c r="K637" s="24"/>
      <c r="L637" s="24"/>
      <c r="M637" s="24"/>
      <c r="N637" s="24"/>
      <c r="O637" s="24"/>
      <c r="P637" s="24"/>
      <c r="Q637" s="24"/>
      <c r="R637" s="24"/>
      <c r="S637" s="24"/>
      <c r="T637" s="24"/>
      <c r="U637" s="24"/>
      <c r="V637" s="24"/>
      <c r="W637" s="24"/>
      <c r="X637" s="24"/>
      <c r="Y637" s="24"/>
      <c r="Z637" s="24"/>
      <c r="AA637" s="24"/>
      <c r="AB637" s="24"/>
      <c r="AC637" s="24"/>
    </row>
    <row r="638" spans="1:29" ht="12.9">
      <c r="A638" s="24"/>
      <c r="B638" s="24"/>
      <c r="C638" s="143"/>
      <c r="D638" s="24"/>
      <c r="E638" s="24"/>
      <c r="F638" s="24"/>
      <c r="G638" s="24"/>
      <c r="H638" s="117"/>
      <c r="I638" s="117"/>
      <c r="J638" s="24"/>
      <c r="K638" s="24"/>
      <c r="L638" s="24"/>
      <c r="M638" s="24"/>
      <c r="N638" s="24"/>
      <c r="O638" s="24"/>
      <c r="P638" s="24"/>
      <c r="Q638" s="24"/>
      <c r="R638" s="24"/>
      <c r="S638" s="24"/>
      <c r="T638" s="24"/>
      <c r="U638" s="24"/>
      <c r="V638" s="24"/>
      <c r="W638" s="24"/>
      <c r="X638" s="24"/>
      <c r="Y638" s="24"/>
      <c r="Z638" s="24"/>
      <c r="AA638" s="24"/>
      <c r="AB638" s="24"/>
      <c r="AC638" s="24"/>
    </row>
    <row r="639" spans="1:29" ht="12.9">
      <c r="A639" s="24"/>
      <c r="B639" s="24"/>
      <c r="C639" s="143"/>
      <c r="D639" s="24"/>
      <c r="E639" s="24"/>
      <c r="F639" s="24"/>
      <c r="G639" s="24"/>
      <c r="H639" s="117"/>
      <c r="I639" s="117"/>
      <c r="J639" s="24"/>
      <c r="K639" s="24"/>
      <c r="L639" s="24"/>
      <c r="M639" s="24"/>
      <c r="N639" s="24"/>
      <c r="O639" s="24"/>
      <c r="P639" s="24"/>
      <c r="Q639" s="24"/>
      <c r="R639" s="24"/>
      <c r="S639" s="24"/>
      <c r="T639" s="24"/>
      <c r="U639" s="24"/>
      <c r="V639" s="24"/>
      <c r="W639" s="24"/>
      <c r="X639" s="24"/>
      <c r="Y639" s="24"/>
      <c r="Z639" s="24"/>
      <c r="AA639" s="24"/>
      <c r="AB639" s="24"/>
      <c r="AC639" s="24"/>
    </row>
    <row r="640" spans="1:29" ht="12.9">
      <c r="A640" s="24"/>
      <c r="B640" s="24"/>
      <c r="C640" s="143"/>
      <c r="D640" s="24"/>
      <c r="E640" s="24"/>
      <c r="F640" s="24"/>
      <c r="G640" s="24"/>
      <c r="H640" s="117"/>
      <c r="I640" s="117"/>
      <c r="J640" s="24"/>
      <c r="K640" s="24"/>
      <c r="L640" s="24"/>
      <c r="M640" s="24"/>
      <c r="N640" s="24"/>
      <c r="O640" s="24"/>
      <c r="P640" s="24"/>
      <c r="Q640" s="24"/>
      <c r="R640" s="24"/>
      <c r="S640" s="24"/>
      <c r="T640" s="24"/>
      <c r="U640" s="24"/>
      <c r="V640" s="24"/>
      <c r="W640" s="24"/>
      <c r="X640" s="24"/>
      <c r="Y640" s="24"/>
      <c r="Z640" s="24"/>
      <c r="AA640" s="24"/>
      <c r="AB640" s="24"/>
      <c r="AC640" s="24"/>
    </row>
    <row r="641" spans="1:29" ht="12.9">
      <c r="A641" s="24"/>
      <c r="B641" s="24"/>
      <c r="C641" s="143"/>
      <c r="D641" s="24"/>
      <c r="E641" s="24"/>
      <c r="F641" s="24"/>
      <c r="G641" s="24"/>
      <c r="H641" s="117"/>
      <c r="I641" s="117"/>
      <c r="J641" s="24"/>
      <c r="K641" s="24"/>
      <c r="L641" s="24"/>
      <c r="M641" s="24"/>
      <c r="N641" s="24"/>
      <c r="O641" s="24"/>
      <c r="P641" s="24"/>
      <c r="Q641" s="24"/>
      <c r="R641" s="24"/>
      <c r="S641" s="24"/>
      <c r="T641" s="24"/>
      <c r="U641" s="24"/>
      <c r="V641" s="24"/>
      <c r="W641" s="24"/>
      <c r="X641" s="24"/>
      <c r="Y641" s="24"/>
      <c r="Z641" s="24"/>
      <c r="AA641" s="24"/>
      <c r="AB641" s="24"/>
      <c r="AC641" s="24"/>
    </row>
    <row r="642" spans="1:29" ht="12.9">
      <c r="A642" s="24"/>
      <c r="B642" s="24"/>
      <c r="C642" s="143"/>
      <c r="D642" s="24"/>
      <c r="E642" s="24"/>
      <c r="F642" s="24"/>
      <c r="G642" s="24"/>
      <c r="H642" s="117"/>
      <c r="I642" s="117"/>
      <c r="J642" s="24"/>
      <c r="K642" s="24"/>
      <c r="L642" s="24"/>
      <c r="M642" s="24"/>
      <c r="N642" s="24"/>
      <c r="O642" s="24"/>
      <c r="P642" s="24"/>
      <c r="Q642" s="24"/>
      <c r="R642" s="24"/>
      <c r="S642" s="24"/>
      <c r="T642" s="24"/>
      <c r="U642" s="24"/>
      <c r="V642" s="24"/>
      <c r="W642" s="24"/>
      <c r="X642" s="24"/>
      <c r="Y642" s="24"/>
      <c r="Z642" s="24"/>
      <c r="AA642" s="24"/>
      <c r="AB642" s="24"/>
      <c r="AC642" s="24"/>
    </row>
    <row r="643" spans="1:29" ht="12.9">
      <c r="A643" s="24"/>
      <c r="B643" s="24"/>
      <c r="C643" s="143"/>
      <c r="D643" s="24"/>
      <c r="E643" s="24"/>
      <c r="F643" s="24"/>
      <c r="G643" s="24"/>
      <c r="H643" s="117"/>
      <c r="I643" s="117"/>
      <c r="J643" s="24"/>
      <c r="K643" s="24"/>
      <c r="L643" s="24"/>
      <c r="M643" s="24"/>
      <c r="N643" s="24"/>
      <c r="O643" s="24"/>
      <c r="P643" s="24"/>
      <c r="Q643" s="24"/>
      <c r="R643" s="24"/>
      <c r="S643" s="24"/>
      <c r="T643" s="24"/>
      <c r="U643" s="24"/>
      <c r="V643" s="24"/>
      <c r="W643" s="24"/>
      <c r="X643" s="24"/>
      <c r="Y643" s="24"/>
      <c r="Z643" s="24"/>
      <c r="AA643" s="24"/>
      <c r="AB643" s="24"/>
      <c r="AC643" s="24"/>
    </row>
    <row r="644" spans="1:29" ht="12.9">
      <c r="A644" s="24"/>
      <c r="B644" s="24"/>
      <c r="C644" s="143"/>
      <c r="D644" s="24"/>
      <c r="E644" s="24"/>
      <c r="F644" s="24"/>
      <c r="G644" s="24"/>
      <c r="H644" s="117"/>
      <c r="I644" s="117"/>
      <c r="J644" s="24"/>
      <c r="K644" s="24"/>
      <c r="L644" s="24"/>
      <c r="M644" s="24"/>
      <c r="N644" s="24"/>
      <c r="O644" s="24"/>
      <c r="P644" s="24"/>
      <c r="Q644" s="24"/>
      <c r="R644" s="24"/>
      <c r="S644" s="24"/>
      <c r="T644" s="24"/>
      <c r="U644" s="24"/>
      <c r="V644" s="24"/>
      <c r="W644" s="24"/>
      <c r="X644" s="24"/>
      <c r="Y644" s="24"/>
      <c r="Z644" s="24"/>
      <c r="AA644" s="24"/>
      <c r="AB644" s="24"/>
      <c r="AC644" s="24"/>
    </row>
    <row r="645" spans="1:29" ht="12.9">
      <c r="A645" s="24"/>
      <c r="B645" s="24"/>
      <c r="C645" s="143"/>
      <c r="D645" s="24"/>
      <c r="E645" s="24"/>
      <c r="F645" s="24"/>
      <c r="G645" s="24"/>
      <c r="H645" s="117"/>
      <c r="I645" s="117"/>
      <c r="J645" s="24"/>
      <c r="K645" s="24"/>
      <c r="L645" s="24"/>
      <c r="M645" s="24"/>
      <c r="N645" s="24"/>
      <c r="O645" s="24"/>
      <c r="P645" s="24"/>
      <c r="Q645" s="24"/>
      <c r="R645" s="24"/>
      <c r="S645" s="24"/>
      <c r="T645" s="24"/>
      <c r="U645" s="24"/>
      <c r="V645" s="24"/>
      <c r="W645" s="24"/>
      <c r="X645" s="24"/>
      <c r="Y645" s="24"/>
      <c r="Z645" s="24"/>
      <c r="AA645" s="24"/>
      <c r="AB645" s="24"/>
      <c r="AC645" s="24"/>
    </row>
    <row r="646" spans="1:29" ht="12.9">
      <c r="A646" s="24"/>
      <c r="B646" s="24"/>
      <c r="C646" s="143"/>
      <c r="D646" s="24"/>
      <c r="E646" s="24"/>
      <c r="F646" s="24"/>
      <c r="G646" s="24"/>
      <c r="H646" s="117"/>
      <c r="I646" s="117"/>
      <c r="J646" s="24"/>
      <c r="K646" s="24"/>
      <c r="L646" s="24"/>
      <c r="M646" s="24"/>
      <c r="N646" s="24"/>
      <c r="O646" s="24"/>
      <c r="P646" s="24"/>
      <c r="Q646" s="24"/>
      <c r="R646" s="24"/>
      <c r="S646" s="24"/>
      <c r="T646" s="24"/>
      <c r="U646" s="24"/>
      <c r="V646" s="24"/>
      <c r="W646" s="24"/>
      <c r="X646" s="24"/>
      <c r="Y646" s="24"/>
      <c r="Z646" s="24"/>
      <c r="AA646" s="24"/>
      <c r="AB646" s="24"/>
      <c r="AC646" s="24"/>
    </row>
    <row r="647" spans="1:29" ht="12.9">
      <c r="A647" s="24"/>
      <c r="B647" s="24"/>
      <c r="C647" s="143"/>
      <c r="D647" s="24"/>
      <c r="E647" s="24"/>
      <c r="F647" s="24"/>
      <c r="G647" s="24"/>
      <c r="H647" s="117"/>
      <c r="I647" s="117"/>
      <c r="J647" s="24"/>
      <c r="K647" s="24"/>
      <c r="L647" s="24"/>
      <c r="M647" s="24"/>
      <c r="N647" s="24"/>
      <c r="O647" s="24"/>
      <c r="P647" s="24"/>
      <c r="Q647" s="24"/>
      <c r="R647" s="24"/>
      <c r="S647" s="24"/>
      <c r="T647" s="24"/>
      <c r="U647" s="24"/>
      <c r="V647" s="24"/>
      <c r="W647" s="24"/>
      <c r="X647" s="24"/>
      <c r="Y647" s="24"/>
      <c r="Z647" s="24"/>
      <c r="AA647" s="24"/>
      <c r="AB647" s="24"/>
      <c r="AC647" s="24"/>
    </row>
    <row r="648" spans="1:29" ht="12.9">
      <c r="A648" s="24"/>
      <c r="B648" s="24"/>
      <c r="C648" s="143"/>
      <c r="D648" s="24"/>
      <c r="E648" s="24"/>
      <c r="F648" s="24"/>
      <c r="G648" s="24"/>
      <c r="H648" s="117"/>
      <c r="I648" s="117"/>
      <c r="J648" s="24"/>
      <c r="K648" s="24"/>
      <c r="L648" s="24"/>
      <c r="M648" s="24"/>
      <c r="N648" s="24"/>
      <c r="O648" s="24"/>
      <c r="P648" s="24"/>
      <c r="Q648" s="24"/>
      <c r="R648" s="24"/>
      <c r="S648" s="24"/>
      <c r="T648" s="24"/>
      <c r="U648" s="24"/>
      <c r="V648" s="24"/>
      <c r="W648" s="24"/>
      <c r="X648" s="24"/>
      <c r="Y648" s="24"/>
      <c r="Z648" s="24"/>
      <c r="AA648" s="24"/>
      <c r="AB648" s="24"/>
      <c r="AC648" s="24"/>
    </row>
    <row r="649" spans="1:29" ht="12.9">
      <c r="A649" s="24"/>
      <c r="B649" s="24"/>
      <c r="C649" s="143"/>
      <c r="D649" s="24"/>
      <c r="E649" s="24"/>
      <c r="F649" s="24"/>
      <c r="G649" s="24"/>
      <c r="H649" s="117"/>
      <c r="I649" s="117"/>
      <c r="J649" s="24"/>
      <c r="K649" s="24"/>
      <c r="L649" s="24"/>
      <c r="M649" s="24"/>
      <c r="N649" s="24"/>
      <c r="O649" s="24"/>
      <c r="P649" s="24"/>
      <c r="Q649" s="24"/>
      <c r="R649" s="24"/>
      <c r="S649" s="24"/>
      <c r="T649" s="24"/>
      <c r="U649" s="24"/>
      <c r="V649" s="24"/>
      <c r="W649" s="24"/>
      <c r="X649" s="24"/>
      <c r="Y649" s="24"/>
      <c r="Z649" s="24"/>
      <c r="AA649" s="24"/>
      <c r="AB649" s="24"/>
      <c r="AC649" s="24"/>
    </row>
    <row r="650" spans="1:29" ht="12.9">
      <c r="A650" s="24"/>
      <c r="B650" s="24"/>
      <c r="C650" s="143"/>
      <c r="D650" s="24"/>
      <c r="E650" s="24"/>
      <c r="F650" s="24"/>
      <c r="G650" s="24"/>
      <c r="H650" s="117"/>
      <c r="I650" s="117"/>
      <c r="J650" s="24"/>
      <c r="K650" s="24"/>
      <c r="L650" s="24"/>
      <c r="M650" s="24"/>
      <c r="N650" s="24"/>
      <c r="O650" s="24"/>
      <c r="P650" s="24"/>
      <c r="Q650" s="24"/>
      <c r="R650" s="24"/>
      <c r="S650" s="24"/>
      <c r="T650" s="24"/>
      <c r="U650" s="24"/>
      <c r="V650" s="24"/>
      <c r="W650" s="24"/>
      <c r="X650" s="24"/>
      <c r="Y650" s="24"/>
      <c r="Z650" s="24"/>
      <c r="AA650" s="24"/>
      <c r="AB650" s="24"/>
      <c r="AC650" s="24"/>
    </row>
    <row r="651" spans="1:29" ht="12.9">
      <c r="A651" s="24"/>
      <c r="B651" s="24"/>
      <c r="C651" s="143"/>
      <c r="D651" s="24"/>
      <c r="E651" s="24"/>
      <c r="F651" s="24"/>
      <c r="G651" s="24"/>
      <c r="H651" s="117"/>
      <c r="I651" s="117"/>
      <c r="J651" s="24"/>
      <c r="K651" s="24"/>
      <c r="L651" s="24"/>
      <c r="M651" s="24"/>
      <c r="N651" s="24"/>
      <c r="O651" s="24"/>
      <c r="P651" s="24"/>
      <c r="Q651" s="24"/>
      <c r="R651" s="24"/>
      <c r="S651" s="24"/>
      <c r="T651" s="24"/>
      <c r="U651" s="24"/>
      <c r="V651" s="24"/>
      <c r="W651" s="24"/>
      <c r="X651" s="24"/>
      <c r="Y651" s="24"/>
      <c r="Z651" s="24"/>
      <c r="AA651" s="24"/>
      <c r="AB651" s="24"/>
      <c r="AC651" s="24"/>
    </row>
    <row r="652" spans="1:29" ht="12.9">
      <c r="A652" s="24"/>
      <c r="B652" s="24"/>
      <c r="C652" s="143"/>
      <c r="D652" s="24"/>
      <c r="E652" s="24"/>
      <c r="F652" s="24"/>
      <c r="G652" s="24"/>
      <c r="H652" s="117"/>
      <c r="I652" s="117"/>
      <c r="J652" s="24"/>
      <c r="K652" s="24"/>
      <c r="L652" s="24"/>
      <c r="M652" s="24"/>
      <c r="N652" s="24"/>
      <c r="O652" s="24"/>
      <c r="P652" s="24"/>
      <c r="Q652" s="24"/>
      <c r="R652" s="24"/>
      <c r="S652" s="24"/>
      <c r="T652" s="24"/>
      <c r="U652" s="24"/>
      <c r="V652" s="24"/>
      <c r="W652" s="24"/>
      <c r="X652" s="24"/>
      <c r="Y652" s="24"/>
      <c r="Z652" s="24"/>
      <c r="AA652" s="24"/>
      <c r="AB652" s="24"/>
      <c r="AC652" s="24"/>
    </row>
    <row r="653" spans="1:29" ht="12.9">
      <c r="A653" s="24"/>
      <c r="B653" s="24"/>
      <c r="C653" s="143"/>
      <c r="D653" s="24"/>
      <c r="E653" s="24"/>
      <c r="F653" s="24"/>
      <c r="G653" s="24"/>
      <c r="H653" s="117"/>
      <c r="I653" s="117"/>
      <c r="J653" s="24"/>
      <c r="K653" s="24"/>
      <c r="L653" s="24"/>
      <c r="M653" s="24"/>
      <c r="N653" s="24"/>
      <c r="O653" s="24"/>
      <c r="P653" s="24"/>
      <c r="Q653" s="24"/>
      <c r="R653" s="24"/>
      <c r="S653" s="24"/>
      <c r="T653" s="24"/>
      <c r="U653" s="24"/>
      <c r="V653" s="24"/>
      <c r="W653" s="24"/>
      <c r="X653" s="24"/>
      <c r="Y653" s="24"/>
      <c r="Z653" s="24"/>
      <c r="AA653" s="24"/>
      <c r="AB653" s="24"/>
      <c r="AC653" s="24"/>
    </row>
    <row r="654" spans="1:29" ht="12.9">
      <c r="A654" s="24"/>
      <c r="B654" s="24"/>
      <c r="C654" s="143"/>
      <c r="D654" s="24"/>
      <c r="E654" s="24"/>
      <c r="F654" s="24"/>
      <c r="G654" s="24"/>
      <c r="H654" s="117"/>
      <c r="I654" s="117"/>
      <c r="J654" s="24"/>
      <c r="K654" s="24"/>
      <c r="L654" s="24"/>
      <c r="M654" s="24"/>
      <c r="N654" s="24"/>
      <c r="O654" s="24"/>
      <c r="P654" s="24"/>
      <c r="Q654" s="24"/>
      <c r="R654" s="24"/>
      <c r="S654" s="24"/>
      <c r="T654" s="24"/>
      <c r="U654" s="24"/>
      <c r="V654" s="24"/>
      <c r="W654" s="24"/>
      <c r="X654" s="24"/>
      <c r="Y654" s="24"/>
      <c r="Z654" s="24"/>
      <c r="AA654" s="24"/>
      <c r="AB654" s="24"/>
      <c r="AC654" s="24"/>
    </row>
    <row r="655" spans="1:29" ht="12.9">
      <c r="A655" s="24"/>
      <c r="B655" s="24"/>
      <c r="C655" s="143"/>
      <c r="D655" s="24"/>
      <c r="E655" s="24"/>
      <c r="F655" s="24"/>
      <c r="G655" s="24"/>
      <c r="H655" s="117"/>
      <c r="I655" s="117"/>
      <c r="J655" s="24"/>
      <c r="K655" s="24"/>
      <c r="L655" s="24"/>
      <c r="M655" s="24"/>
      <c r="N655" s="24"/>
      <c r="O655" s="24"/>
      <c r="P655" s="24"/>
      <c r="Q655" s="24"/>
      <c r="R655" s="24"/>
      <c r="S655" s="24"/>
      <c r="T655" s="24"/>
      <c r="U655" s="24"/>
      <c r="V655" s="24"/>
      <c r="W655" s="24"/>
      <c r="X655" s="24"/>
      <c r="Y655" s="24"/>
      <c r="Z655" s="24"/>
      <c r="AA655" s="24"/>
      <c r="AB655" s="24"/>
      <c r="AC655" s="24"/>
    </row>
    <row r="656" spans="1:29" ht="12.9">
      <c r="A656" s="24"/>
      <c r="B656" s="24"/>
      <c r="C656" s="143"/>
      <c r="D656" s="24"/>
      <c r="E656" s="24"/>
      <c r="F656" s="24"/>
      <c r="G656" s="24"/>
      <c r="H656" s="117"/>
      <c r="I656" s="117"/>
      <c r="J656" s="24"/>
      <c r="K656" s="24"/>
      <c r="L656" s="24"/>
      <c r="M656" s="24"/>
      <c r="N656" s="24"/>
      <c r="O656" s="24"/>
      <c r="P656" s="24"/>
      <c r="Q656" s="24"/>
      <c r="R656" s="24"/>
      <c r="S656" s="24"/>
      <c r="T656" s="24"/>
      <c r="U656" s="24"/>
      <c r="V656" s="24"/>
      <c r="W656" s="24"/>
      <c r="X656" s="24"/>
      <c r="Y656" s="24"/>
      <c r="Z656" s="24"/>
      <c r="AA656" s="24"/>
      <c r="AB656" s="24"/>
      <c r="AC656" s="24"/>
    </row>
    <row r="657" spans="1:29" ht="12.9">
      <c r="A657" s="24"/>
      <c r="B657" s="24"/>
      <c r="C657" s="143"/>
      <c r="D657" s="24"/>
      <c r="E657" s="24"/>
      <c r="F657" s="24"/>
      <c r="G657" s="24"/>
      <c r="H657" s="117"/>
      <c r="I657" s="117"/>
      <c r="J657" s="24"/>
      <c r="K657" s="24"/>
      <c r="L657" s="24"/>
      <c r="M657" s="24"/>
      <c r="N657" s="24"/>
      <c r="O657" s="24"/>
      <c r="P657" s="24"/>
      <c r="Q657" s="24"/>
      <c r="R657" s="24"/>
      <c r="S657" s="24"/>
      <c r="T657" s="24"/>
      <c r="U657" s="24"/>
      <c r="V657" s="24"/>
      <c r="W657" s="24"/>
      <c r="X657" s="24"/>
      <c r="Y657" s="24"/>
      <c r="Z657" s="24"/>
      <c r="AA657" s="24"/>
      <c r="AB657" s="24"/>
      <c r="AC657" s="24"/>
    </row>
    <row r="658" spans="1:29" ht="12.9">
      <c r="A658" s="24"/>
      <c r="B658" s="24"/>
      <c r="C658" s="143"/>
      <c r="D658" s="24"/>
      <c r="E658" s="24"/>
      <c r="F658" s="24"/>
      <c r="G658" s="24"/>
      <c r="H658" s="117"/>
      <c r="I658" s="117"/>
      <c r="J658" s="24"/>
      <c r="K658" s="24"/>
      <c r="L658" s="24"/>
      <c r="M658" s="24"/>
      <c r="N658" s="24"/>
      <c r="O658" s="24"/>
      <c r="P658" s="24"/>
      <c r="Q658" s="24"/>
      <c r="R658" s="24"/>
      <c r="S658" s="24"/>
      <c r="T658" s="24"/>
      <c r="U658" s="24"/>
      <c r="V658" s="24"/>
      <c r="W658" s="24"/>
      <c r="X658" s="24"/>
      <c r="Y658" s="24"/>
      <c r="Z658" s="24"/>
      <c r="AA658" s="24"/>
      <c r="AB658" s="24"/>
      <c r="AC658" s="24"/>
    </row>
    <row r="659" spans="1:29" ht="12.9">
      <c r="A659" s="24"/>
      <c r="B659" s="24"/>
      <c r="C659" s="143"/>
      <c r="D659" s="24"/>
      <c r="E659" s="24"/>
      <c r="F659" s="24"/>
      <c r="G659" s="24"/>
      <c r="H659" s="117"/>
      <c r="I659" s="117"/>
      <c r="J659" s="24"/>
      <c r="K659" s="24"/>
      <c r="L659" s="24"/>
      <c r="M659" s="24"/>
      <c r="N659" s="24"/>
      <c r="O659" s="24"/>
      <c r="P659" s="24"/>
      <c r="Q659" s="24"/>
      <c r="R659" s="24"/>
      <c r="S659" s="24"/>
      <c r="T659" s="24"/>
      <c r="U659" s="24"/>
      <c r="V659" s="24"/>
      <c r="W659" s="24"/>
      <c r="X659" s="24"/>
      <c r="Y659" s="24"/>
      <c r="Z659" s="24"/>
      <c r="AA659" s="24"/>
      <c r="AB659" s="24"/>
      <c r="AC659" s="24"/>
    </row>
    <row r="660" spans="1:29" ht="12.9">
      <c r="A660" s="24"/>
      <c r="B660" s="24"/>
      <c r="C660" s="143"/>
      <c r="D660" s="24"/>
      <c r="E660" s="24"/>
      <c r="F660" s="24"/>
      <c r="G660" s="24"/>
      <c r="H660" s="117"/>
      <c r="I660" s="117"/>
      <c r="J660" s="24"/>
      <c r="K660" s="24"/>
      <c r="L660" s="24"/>
      <c r="M660" s="24"/>
      <c r="N660" s="24"/>
      <c r="O660" s="24"/>
      <c r="P660" s="24"/>
      <c r="Q660" s="24"/>
      <c r="R660" s="24"/>
      <c r="S660" s="24"/>
      <c r="T660" s="24"/>
      <c r="U660" s="24"/>
      <c r="V660" s="24"/>
      <c r="W660" s="24"/>
      <c r="X660" s="24"/>
      <c r="Y660" s="24"/>
      <c r="Z660" s="24"/>
      <c r="AA660" s="24"/>
      <c r="AB660" s="24"/>
      <c r="AC660" s="24"/>
    </row>
    <row r="661" spans="1:29" ht="12.9">
      <c r="A661" s="24"/>
      <c r="B661" s="24"/>
      <c r="C661" s="143"/>
      <c r="D661" s="24"/>
      <c r="E661" s="24"/>
      <c r="F661" s="24"/>
      <c r="G661" s="24"/>
      <c r="H661" s="117"/>
      <c r="I661" s="117"/>
      <c r="J661" s="24"/>
      <c r="K661" s="24"/>
      <c r="L661" s="24"/>
      <c r="M661" s="24"/>
      <c r="N661" s="24"/>
      <c r="O661" s="24"/>
      <c r="P661" s="24"/>
      <c r="Q661" s="24"/>
      <c r="R661" s="24"/>
      <c r="S661" s="24"/>
      <c r="T661" s="24"/>
      <c r="U661" s="24"/>
      <c r="V661" s="24"/>
      <c r="W661" s="24"/>
      <c r="X661" s="24"/>
      <c r="Y661" s="24"/>
      <c r="Z661" s="24"/>
      <c r="AA661" s="24"/>
      <c r="AB661" s="24"/>
      <c r="AC661" s="24"/>
    </row>
    <row r="662" spans="1:29" ht="12.9">
      <c r="A662" s="24"/>
      <c r="B662" s="24"/>
      <c r="C662" s="143"/>
      <c r="D662" s="24"/>
      <c r="E662" s="24"/>
      <c r="F662" s="24"/>
      <c r="G662" s="24"/>
      <c r="H662" s="117"/>
      <c r="I662" s="117"/>
      <c r="J662" s="24"/>
      <c r="K662" s="24"/>
      <c r="L662" s="24"/>
      <c r="M662" s="24"/>
      <c r="N662" s="24"/>
      <c r="O662" s="24"/>
      <c r="P662" s="24"/>
      <c r="Q662" s="24"/>
      <c r="R662" s="24"/>
      <c r="S662" s="24"/>
      <c r="T662" s="24"/>
      <c r="U662" s="24"/>
      <c r="V662" s="24"/>
      <c r="W662" s="24"/>
      <c r="X662" s="24"/>
      <c r="Y662" s="24"/>
      <c r="Z662" s="24"/>
      <c r="AA662" s="24"/>
      <c r="AB662" s="24"/>
      <c r="AC662" s="24"/>
    </row>
    <row r="663" spans="1:29" ht="12.9">
      <c r="A663" s="24"/>
      <c r="B663" s="24"/>
      <c r="C663" s="143"/>
      <c r="D663" s="24"/>
      <c r="E663" s="24"/>
      <c r="F663" s="24"/>
      <c r="G663" s="24"/>
      <c r="H663" s="117"/>
      <c r="I663" s="117"/>
      <c r="J663" s="24"/>
      <c r="K663" s="24"/>
      <c r="L663" s="24"/>
      <c r="M663" s="24"/>
      <c r="N663" s="24"/>
      <c r="O663" s="24"/>
      <c r="P663" s="24"/>
      <c r="Q663" s="24"/>
      <c r="R663" s="24"/>
      <c r="S663" s="24"/>
      <c r="T663" s="24"/>
      <c r="U663" s="24"/>
      <c r="V663" s="24"/>
      <c r="W663" s="24"/>
      <c r="X663" s="24"/>
      <c r="Y663" s="24"/>
      <c r="Z663" s="24"/>
      <c r="AA663" s="24"/>
      <c r="AB663" s="24"/>
      <c r="AC663" s="24"/>
    </row>
    <row r="664" spans="1:29" ht="12.9">
      <c r="A664" s="24"/>
      <c r="B664" s="24"/>
      <c r="C664" s="143"/>
      <c r="D664" s="24"/>
      <c r="E664" s="24"/>
      <c r="F664" s="24"/>
      <c r="G664" s="24"/>
      <c r="H664" s="117"/>
      <c r="I664" s="117"/>
      <c r="J664" s="24"/>
      <c r="K664" s="24"/>
      <c r="L664" s="24"/>
      <c r="M664" s="24"/>
      <c r="N664" s="24"/>
      <c r="O664" s="24"/>
      <c r="P664" s="24"/>
      <c r="Q664" s="24"/>
      <c r="R664" s="24"/>
      <c r="S664" s="24"/>
      <c r="T664" s="24"/>
      <c r="U664" s="24"/>
      <c r="V664" s="24"/>
      <c r="W664" s="24"/>
      <c r="X664" s="24"/>
      <c r="Y664" s="24"/>
      <c r="Z664" s="24"/>
      <c r="AA664" s="24"/>
      <c r="AB664" s="24"/>
      <c r="AC664" s="24"/>
    </row>
    <row r="665" spans="1:29" ht="12.9">
      <c r="A665" s="24"/>
      <c r="B665" s="24"/>
      <c r="C665" s="143"/>
      <c r="D665" s="24"/>
      <c r="E665" s="24"/>
      <c r="F665" s="24"/>
      <c r="G665" s="24"/>
      <c r="H665" s="117"/>
      <c r="I665" s="117"/>
      <c r="J665" s="24"/>
      <c r="K665" s="24"/>
      <c r="L665" s="24"/>
      <c r="M665" s="24"/>
      <c r="N665" s="24"/>
      <c r="O665" s="24"/>
      <c r="P665" s="24"/>
      <c r="Q665" s="24"/>
      <c r="R665" s="24"/>
      <c r="S665" s="24"/>
      <c r="T665" s="24"/>
      <c r="U665" s="24"/>
      <c r="V665" s="24"/>
      <c r="W665" s="24"/>
      <c r="X665" s="24"/>
      <c r="Y665" s="24"/>
      <c r="Z665" s="24"/>
      <c r="AA665" s="24"/>
      <c r="AB665" s="24"/>
      <c r="AC665" s="24"/>
    </row>
    <row r="666" spans="1:29" ht="12.9">
      <c r="A666" s="24"/>
      <c r="B666" s="24"/>
      <c r="C666" s="143"/>
      <c r="D666" s="24"/>
      <c r="E666" s="24"/>
      <c r="F666" s="24"/>
      <c r="G666" s="24"/>
      <c r="H666" s="117"/>
      <c r="I666" s="117"/>
      <c r="J666" s="24"/>
      <c r="K666" s="24"/>
      <c r="L666" s="24"/>
      <c r="M666" s="24"/>
      <c r="N666" s="24"/>
      <c r="O666" s="24"/>
      <c r="P666" s="24"/>
      <c r="Q666" s="24"/>
      <c r="R666" s="24"/>
      <c r="S666" s="24"/>
      <c r="T666" s="24"/>
      <c r="U666" s="24"/>
      <c r="V666" s="24"/>
      <c r="W666" s="24"/>
      <c r="X666" s="24"/>
      <c r="Y666" s="24"/>
      <c r="Z666" s="24"/>
      <c r="AA666" s="24"/>
      <c r="AB666" s="24"/>
      <c r="AC666" s="24"/>
    </row>
    <row r="667" spans="1:29" ht="12.9">
      <c r="A667" s="24"/>
      <c r="B667" s="24"/>
      <c r="C667" s="143"/>
      <c r="D667" s="24"/>
      <c r="E667" s="24"/>
      <c r="F667" s="24"/>
      <c r="G667" s="24"/>
      <c r="H667" s="117"/>
      <c r="I667" s="117"/>
      <c r="J667" s="24"/>
      <c r="K667" s="24"/>
      <c r="L667" s="24"/>
      <c r="M667" s="24"/>
      <c r="N667" s="24"/>
      <c r="O667" s="24"/>
      <c r="P667" s="24"/>
      <c r="Q667" s="24"/>
      <c r="R667" s="24"/>
      <c r="S667" s="24"/>
      <c r="T667" s="24"/>
      <c r="U667" s="24"/>
      <c r="V667" s="24"/>
      <c r="W667" s="24"/>
      <c r="X667" s="24"/>
      <c r="Y667" s="24"/>
      <c r="Z667" s="24"/>
      <c r="AA667" s="24"/>
      <c r="AB667" s="24"/>
      <c r="AC667" s="24"/>
    </row>
    <row r="668" spans="1:29" ht="12.9">
      <c r="A668" s="24"/>
      <c r="B668" s="24"/>
      <c r="C668" s="143"/>
      <c r="D668" s="24"/>
      <c r="E668" s="24"/>
      <c r="F668" s="24"/>
      <c r="G668" s="24"/>
      <c r="H668" s="117"/>
      <c r="I668" s="117"/>
      <c r="J668" s="24"/>
      <c r="K668" s="24"/>
      <c r="L668" s="24"/>
      <c r="M668" s="24"/>
      <c r="N668" s="24"/>
      <c r="O668" s="24"/>
      <c r="P668" s="24"/>
      <c r="Q668" s="24"/>
      <c r="R668" s="24"/>
      <c r="S668" s="24"/>
      <c r="T668" s="24"/>
      <c r="U668" s="24"/>
      <c r="V668" s="24"/>
      <c r="W668" s="24"/>
      <c r="X668" s="24"/>
      <c r="Y668" s="24"/>
      <c r="Z668" s="24"/>
      <c r="AA668" s="24"/>
      <c r="AB668" s="24"/>
      <c r="AC668" s="24"/>
    </row>
    <row r="669" spans="1:29" ht="12.9">
      <c r="A669" s="24"/>
      <c r="B669" s="24"/>
      <c r="C669" s="143"/>
      <c r="D669" s="24"/>
      <c r="E669" s="24"/>
      <c r="F669" s="24"/>
      <c r="G669" s="24"/>
      <c r="H669" s="117"/>
      <c r="I669" s="117"/>
      <c r="J669" s="24"/>
      <c r="K669" s="24"/>
      <c r="L669" s="24"/>
      <c r="M669" s="24"/>
      <c r="N669" s="24"/>
      <c r="O669" s="24"/>
      <c r="P669" s="24"/>
      <c r="Q669" s="24"/>
      <c r="R669" s="24"/>
      <c r="S669" s="24"/>
      <c r="T669" s="24"/>
      <c r="U669" s="24"/>
      <c r="V669" s="24"/>
      <c r="W669" s="24"/>
      <c r="X669" s="24"/>
      <c r="Y669" s="24"/>
      <c r="Z669" s="24"/>
      <c r="AA669" s="24"/>
      <c r="AB669" s="24"/>
      <c r="AC669" s="24"/>
    </row>
    <row r="670" spans="1:29" ht="12.9">
      <c r="A670" s="24"/>
      <c r="B670" s="24"/>
      <c r="C670" s="143"/>
      <c r="D670" s="24"/>
      <c r="E670" s="24"/>
      <c r="F670" s="24"/>
      <c r="G670" s="24"/>
      <c r="H670" s="117"/>
      <c r="I670" s="117"/>
      <c r="J670" s="24"/>
      <c r="K670" s="24"/>
      <c r="L670" s="24"/>
      <c r="M670" s="24"/>
      <c r="N670" s="24"/>
      <c r="O670" s="24"/>
      <c r="P670" s="24"/>
      <c r="Q670" s="24"/>
      <c r="R670" s="24"/>
      <c r="S670" s="24"/>
      <c r="T670" s="24"/>
      <c r="U670" s="24"/>
      <c r="V670" s="24"/>
      <c r="W670" s="24"/>
      <c r="X670" s="24"/>
      <c r="Y670" s="24"/>
      <c r="Z670" s="24"/>
      <c r="AA670" s="24"/>
      <c r="AB670" s="24"/>
      <c r="AC670" s="24"/>
    </row>
    <row r="671" spans="1:29" ht="12.9">
      <c r="A671" s="24"/>
      <c r="B671" s="24"/>
      <c r="C671" s="143"/>
      <c r="D671" s="24"/>
      <c r="E671" s="24"/>
      <c r="F671" s="24"/>
      <c r="G671" s="24"/>
      <c r="H671" s="117"/>
      <c r="I671" s="117"/>
      <c r="J671" s="24"/>
      <c r="K671" s="24"/>
      <c r="L671" s="24"/>
      <c r="M671" s="24"/>
      <c r="N671" s="24"/>
      <c r="O671" s="24"/>
      <c r="P671" s="24"/>
      <c r="Q671" s="24"/>
      <c r="R671" s="24"/>
      <c r="S671" s="24"/>
      <c r="T671" s="24"/>
      <c r="U671" s="24"/>
      <c r="V671" s="24"/>
      <c r="W671" s="24"/>
      <c r="X671" s="24"/>
      <c r="Y671" s="24"/>
      <c r="Z671" s="24"/>
      <c r="AA671" s="24"/>
      <c r="AB671" s="24"/>
      <c r="AC671" s="24"/>
    </row>
    <row r="672" spans="1:29" ht="12.9">
      <c r="A672" s="24"/>
      <c r="B672" s="24"/>
      <c r="C672" s="143"/>
      <c r="D672" s="24"/>
      <c r="E672" s="24"/>
      <c r="F672" s="24"/>
      <c r="G672" s="24"/>
      <c r="H672" s="117"/>
      <c r="I672" s="117"/>
      <c r="J672" s="24"/>
      <c r="K672" s="24"/>
      <c r="L672" s="24"/>
      <c r="M672" s="24"/>
      <c r="N672" s="24"/>
      <c r="O672" s="24"/>
      <c r="P672" s="24"/>
      <c r="Q672" s="24"/>
      <c r="R672" s="24"/>
      <c r="S672" s="24"/>
      <c r="T672" s="24"/>
      <c r="U672" s="24"/>
      <c r="V672" s="24"/>
      <c r="W672" s="24"/>
      <c r="X672" s="24"/>
      <c r="Y672" s="24"/>
      <c r="Z672" s="24"/>
      <c r="AA672" s="24"/>
      <c r="AB672" s="24"/>
      <c r="AC672" s="24"/>
    </row>
    <row r="673" spans="1:29" ht="12.9">
      <c r="A673" s="24"/>
      <c r="B673" s="24"/>
      <c r="C673" s="143"/>
      <c r="D673" s="24"/>
      <c r="E673" s="24"/>
      <c r="F673" s="24"/>
      <c r="G673" s="24"/>
      <c r="H673" s="117"/>
      <c r="I673" s="117"/>
      <c r="J673" s="24"/>
      <c r="K673" s="24"/>
      <c r="L673" s="24"/>
      <c r="M673" s="24"/>
      <c r="N673" s="24"/>
      <c r="O673" s="24"/>
      <c r="P673" s="24"/>
      <c r="Q673" s="24"/>
      <c r="R673" s="24"/>
      <c r="S673" s="24"/>
      <c r="T673" s="24"/>
      <c r="U673" s="24"/>
      <c r="V673" s="24"/>
      <c r="W673" s="24"/>
      <c r="X673" s="24"/>
      <c r="Y673" s="24"/>
      <c r="Z673" s="24"/>
      <c r="AA673" s="24"/>
      <c r="AB673" s="24"/>
      <c r="AC673" s="24"/>
    </row>
    <row r="674" spans="1:29" ht="12.9">
      <c r="A674" s="24"/>
      <c r="B674" s="24"/>
      <c r="C674" s="143"/>
      <c r="D674" s="24"/>
      <c r="E674" s="24"/>
      <c r="F674" s="24"/>
      <c r="G674" s="24"/>
      <c r="H674" s="117"/>
      <c r="I674" s="117"/>
      <c r="J674" s="24"/>
      <c r="K674" s="24"/>
      <c r="L674" s="24"/>
      <c r="M674" s="24"/>
      <c r="N674" s="24"/>
      <c r="O674" s="24"/>
      <c r="P674" s="24"/>
      <c r="Q674" s="24"/>
      <c r="R674" s="24"/>
      <c r="S674" s="24"/>
      <c r="T674" s="24"/>
      <c r="U674" s="24"/>
      <c r="V674" s="24"/>
      <c r="W674" s="24"/>
      <c r="X674" s="24"/>
      <c r="Y674" s="24"/>
      <c r="Z674" s="24"/>
      <c r="AA674" s="24"/>
      <c r="AB674" s="24"/>
      <c r="AC674" s="24"/>
    </row>
    <row r="675" spans="1:29" ht="12.9">
      <c r="A675" s="24"/>
      <c r="B675" s="24"/>
      <c r="C675" s="143"/>
      <c r="D675" s="24"/>
      <c r="E675" s="24"/>
      <c r="F675" s="24"/>
      <c r="G675" s="24"/>
      <c r="H675" s="117"/>
      <c r="I675" s="117"/>
      <c r="J675" s="24"/>
      <c r="K675" s="24"/>
      <c r="L675" s="24"/>
      <c r="M675" s="24"/>
      <c r="N675" s="24"/>
      <c r="O675" s="24"/>
      <c r="P675" s="24"/>
      <c r="Q675" s="24"/>
      <c r="R675" s="24"/>
      <c r="S675" s="24"/>
      <c r="T675" s="24"/>
      <c r="U675" s="24"/>
      <c r="V675" s="24"/>
      <c r="W675" s="24"/>
      <c r="X675" s="24"/>
      <c r="Y675" s="24"/>
      <c r="Z675" s="24"/>
      <c r="AA675" s="24"/>
      <c r="AB675" s="24"/>
      <c r="AC675" s="24"/>
    </row>
    <row r="676" spans="1:29" ht="12.9">
      <c r="A676" s="24"/>
      <c r="B676" s="24"/>
      <c r="C676" s="143"/>
      <c r="D676" s="24"/>
      <c r="E676" s="24"/>
      <c r="F676" s="24"/>
      <c r="G676" s="24"/>
      <c r="H676" s="117"/>
      <c r="I676" s="117"/>
      <c r="J676" s="24"/>
      <c r="K676" s="24"/>
      <c r="L676" s="24"/>
      <c r="M676" s="24"/>
      <c r="N676" s="24"/>
      <c r="O676" s="24"/>
      <c r="P676" s="24"/>
      <c r="Q676" s="24"/>
      <c r="R676" s="24"/>
      <c r="S676" s="24"/>
      <c r="T676" s="24"/>
      <c r="U676" s="24"/>
      <c r="V676" s="24"/>
      <c r="W676" s="24"/>
      <c r="X676" s="24"/>
      <c r="Y676" s="24"/>
      <c r="Z676" s="24"/>
      <c r="AA676" s="24"/>
      <c r="AB676" s="24"/>
      <c r="AC676" s="24"/>
    </row>
    <row r="677" spans="1:29" ht="12.9">
      <c r="A677" s="24"/>
      <c r="B677" s="24"/>
      <c r="C677" s="143"/>
      <c r="D677" s="24"/>
      <c r="E677" s="24"/>
      <c r="F677" s="24"/>
      <c r="G677" s="24"/>
      <c r="H677" s="117"/>
      <c r="I677" s="117"/>
      <c r="J677" s="24"/>
      <c r="K677" s="24"/>
      <c r="L677" s="24"/>
      <c r="M677" s="24"/>
      <c r="N677" s="24"/>
      <c r="O677" s="24"/>
      <c r="P677" s="24"/>
      <c r="Q677" s="24"/>
      <c r="R677" s="24"/>
      <c r="S677" s="24"/>
      <c r="T677" s="24"/>
      <c r="U677" s="24"/>
      <c r="V677" s="24"/>
      <c r="W677" s="24"/>
      <c r="X677" s="24"/>
      <c r="Y677" s="24"/>
      <c r="Z677" s="24"/>
      <c r="AA677" s="24"/>
      <c r="AB677" s="24"/>
      <c r="AC677" s="24"/>
    </row>
    <row r="678" spans="1:29" ht="12.9">
      <c r="A678" s="24"/>
      <c r="B678" s="24"/>
      <c r="C678" s="143"/>
      <c r="D678" s="24"/>
      <c r="E678" s="24"/>
      <c r="F678" s="24"/>
      <c r="G678" s="24"/>
      <c r="H678" s="117"/>
      <c r="I678" s="117"/>
      <c r="J678" s="24"/>
      <c r="K678" s="24"/>
      <c r="L678" s="24"/>
      <c r="M678" s="24"/>
      <c r="N678" s="24"/>
      <c r="O678" s="24"/>
      <c r="P678" s="24"/>
      <c r="Q678" s="24"/>
      <c r="R678" s="24"/>
      <c r="S678" s="24"/>
      <c r="T678" s="24"/>
      <c r="U678" s="24"/>
      <c r="V678" s="24"/>
      <c r="W678" s="24"/>
      <c r="X678" s="24"/>
      <c r="Y678" s="24"/>
      <c r="Z678" s="24"/>
      <c r="AA678" s="24"/>
      <c r="AB678" s="24"/>
      <c r="AC678" s="24"/>
    </row>
    <row r="679" spans="1:29" ht="12.9">
      <c r="A679" s="24"/>
      <c r="B679" s="24"/>
      <c r="C679" s="143"/>
      <c r="D679" s="24"/>
      <c r="E679" s="24"/>
      <c r="F679" s="24"/>
      <c r="G679" s="24"/>
      <c r="H679" s="117"/>
      <c r="I679" s="117"/>
      <c r="J679" s="24"/>
      <c r="K679" s="24"/>
      <c r="L679" s="24"/>
      <c r="M679" s="24"/>
      <c r="N679" s="24"/>
      <c r="O679" s="24"/>
      <c r="P679" s="24"/>
      <c r="Q679" s="24"/>
      <c r="R679" s="24"/>
      <c r="S679" s="24"/>
      <c r="T679" s="24"/>
      <c r="U679" s="24"/>
      <c r="V679" s="24"/>
      <c r="W679" s="24"/>
      <c r="X679" s="24"/>
      <c r="Y679" s="24"/>
      <c r="Z679" s="24"/>
      <c r="AA679" s="24"/>
      <c r="AB679" s="24"/>
      <c r="AC679" s="24"/>
    </row>
    <row r="680" spans="1:29" ht="12.9">
      <c r="A680" s="24"/>
      <c r="B680" s="24"/>
      <c r="C680" s="143"/>
      <c r="D680" s="24"/>
      <c r="E680" s="24"/>
      <c r="F680" s="24"/>
      <c r="G680" s="24"/>
      <c r="H680" s="117"/>
      <c r="I680" s="117"/>
      <c r="J680" s="24"/>
      <c r="K680" s="24"/>
      <c r="L680" s="24"/>
      <c r="M680" s="24"/>
      <c r="N680" s="24"/>
      <c r="O680" s="24"/>
      <c r="P680" s="24"/>
      <c r="Q680" s="24"/>
      <c r="R680" s="24"/>
      <c r="S680" s="24"/>
      <c r="T680" s="24"/>
      <c r="U680" s="24"/>
      <c r="V680" s="24"/>
      <c r="W680" s="24"/>
      <c r="X680" s="24"/>
      <c r="Y680" s="24"/>
      <c r="Z680" s="24"/>
      <c r="AA680" s="24"/>
      <c r="AB680" s="24"/>
      <c r="AC680" s="24"/>
    </row>
    <row r="681" spans="1:29" ht="12.9">
      <c r="A681" s="24"/>
      <c r="B681" s="24"/>
      <c r="C681" s="143"/>
      <c r="D681" s="24"/>
      <c r="E681" s="24"/>
      <c r="F681" s="24"/>
      <c r="G681" s="24"/>
      <c r="H681" s="117"/>
      <c r="I681" s="117"/>
      <c r="J681" s="24"/>
      <c r="K681" s="24"/>
      <c r="L681" s="24"/>
      <c r="M681" s="24"/>
      <c r="N681" s="24"/>
      <c r="O681" s="24"/>
      <c r="P681" s="24"/>
      <c r="Q681" s="24"/>
      <c r="R681" s="24"/>
      <c r="S681" s="24"/>
      <c r="T681" s="24"/>
      <c r="U681" s="24"/>
      <c r="V681" s="24"/>
      <c r="W681" s="24"/>
      <c r="X681" s="24"/>
      <c r="Y681" s="24"/>
      <c r="Z681" s="24"/>
      <c r="AA681" s="24"/>
      <c r="AB681" s="24"/>
      <c r="AC681" s="24"/>
    </row>
    <row r="682" spans="1:29" ht="12.9">
      <c r="A682" s="24"/>
      <c r="B682" s="24"/>
      <c r="C682" s="143"/>
      <c r="D682" s="24"/>
      <c r="E682" s="24"/>
      <c r="F682" s="24"/>
      <c r="G682" s="24"/>
      <c r="H682" s="117"/>
      <c r="I682" s="117"/>
      <c r="J682" s="24"/>
      <c r="K682" s="24"/>
      <c r="L682" s="24"/>
      <c r="M682" s="24"/>
      <c r="N682" s="24"/>
      <c r="O682" s="24"/>
      <c r="P682" s="24"/>
      <c r="Q682" s="24"/>
      <c r="R682" s="24"/>
      <c r="S682" s="24"/>
      <c r="T682" s="24"/>
      <c r="U682" s="24"/>
      <c r="V682" s="24"/>
      <c r="W682" s="24"/>
      <c r="X682" s="24"/>
      <c r="Y682" s="24"/>
      <c r="Z682" s="24"/>
      <c r="AA682" s="24"/>
      <c r="AB682" s="24"/>
      <c r="AC682" s="24"/>
    </row>
    <row r="683" spans="1:29" ht="12.9">
      <c r="A683" s="24"/>
      <c r="B683" s="24"/>
      <c r="C683" s="143"/>
      <c r="D683" s="24"/>
      <c r="E683" s="24"/>
      <c r="F683" s="24"/>
      <c r="G683" s="24"/>
      <c r="H683" s="117"/>
      <c r="I683" s="117"/>
      <c r="J683" s="24"/>
      <c r="K683" s="24"/>
      <c r="L683" s="24"/>
      <c r="M683" s="24"/>
      <c r="N683" s="24"/>
      <c r="O683" s="24"/>
      <c r="P683" s="24"/>
      <c r="Q683" s="24"/>
      <c r="R683" s="24"/>
      <c r="S683" s="24"/>
      <c r="T683" s="24"/>
      <c r="U683" s="24"/>
      <c r="V683" s="24"/>
      <c r="W683" s="24"/>
      <c r="X683" s="24"/>
      <c r="Y683" s="24"/>
      <c r="Z683" s="24"/>
      <c r="AA683" s="24"/>
      <c r="AB683" s="24"/>
      <c r="AC683" s="24"/>
    </row>
    <row r="684" spans="1:29" ht="12.9">
      <c r="A684" s="24"/>
      <c r="B684" s="24"/>
      <c r="C684" s="143"/>
      <c r="D684" s="24"/>
      <c r="E684" s="24"/>
      <c r="F684" s="24"/>
      <c r="G684" s="24"/>
      <c r="H684" s="117"/>
      <c r="I684" s="117"/>
      <c r="J684" s="24"/>
      <c r="K684" s="24"/>
      <c r="L684" s="24"/>
      <c r="M684" s="24"/>
      <c r="N684" s="24"/>
      <c r="O684" s="24"/>
      <c r="P684" s="24"/>
      <c r="Q684" s="24"/>
      <c r="R684" s="24"/>
      <c r="S684" s="24"/>
      <c r="T684" s="24"/>
      <c r="U684" s="24"/>
      <c r="V684" s="24"/>
      <c r="W684" s="24"/>
      <c r="X684" s="24"/>
      <c r="Y684" s="24"/>
      <c r="Z684" s="24"/>
      <c r="AA684" s="24"/>
      <c r="AB684" s="24"/>
      <c r="AC684" s="24"/>
    </row>
    <row r="685" spans="1:29" ht="12.9">
      <c r="A685" s="24"/>
      <c r="B685" s="24"/>
      <c r="C685" s="143"/>
      <c r="D685" s="24"/>
      <c r="E685" s="24"/>
      <c r="F685" s="24"/>
      <c r="G685" s="24"/>
      <c r="H685" s="117"/>
      <c r="I685" s="117"/>
      <c r="J685" s="24"/>
      <c r="K685" s="24"/>
      <c r="L685" s="24"/>
      <c r="M685" s="24"/>
      <c r="N685" s="24"/>
      <c r="O685" s="24"/>
      <c r="P685" s="24"/>
      <c r="Q685" s="24"/>
      <c r="R685" s="24"/>
      <c r="S685" s="24"/>
      <c r="T685" s="24"/>
      <c r="U685" s="24"/>
      <c r="V685" s="24"/>
      <c r="W685" s="24"/>
      <c r="X685" s="24"/>
      <c r="Y685" s="24"/>
      <c r="Z685" s="24"/>
      <c r="AA685" s="24"/>
      <c r="AB685" s="24"/>
      <c r="AC685" s="24"/>
    </row>
    <row r="686" spans="1:29" ht="12.9">
      <c r="A686" s="24"/>
      <c r="B686" s="24"/>
      <c r="C686" s="143"/>
      <c r="D686" s="24"/>
      <c r="E686" s="24"/>
      <c r="F686" s="24"/>
      <c r="G686" s="24"/>
      <c r="H686" s="117"/>
      <c r="I686" s="117"/>
      <c r="J686" s="24"/>
      <c r="K686" s="24"/>
      <c r="L686" s="24"/>
      <c r="M686" s="24"/>
      <c r="N686" s="24"/>
      <c r="O686" s="24"/>
      <c r="P686" s="24"/>
      <c r="Q686" s="24"/>
      <c r="R686" s="24"/>
      <c r="S686" s="24"/>
      <c r="T686" s="24"/>
      <c r="U686" s="24"/>
      <c r="V686" s="24"/>
      <c r="W686" s="24"/>
      <c r="X686" s="24"/>
      <c r="Y686" s="24"/>
      <c r="Z686" s="24"/>
      <c r="AA686" s="24"/>
      <c r="AB686" s="24"/>
      <c r="AC686" s="24"/>
    </row>
    <row r="687" spans="1:29" ht="12.9">
      <c r="A687" s="24"/>
      <c r="B687" s="24"/>
      <c r="C687" s="143"/>
      <c r="D687" s="24"/>
      <c r="E687" s="24"/>
      <c r="F687" s="24"/>
      <c r="G687" s="24"/>
      <c r="H687" s="117"/>
      <c r="I687" s="117"/>
      <c r="J687" s="24"/>
      <c r="K687" s="24"/>
      <c r="L687" s="24"/>
      <c r="M687" s="24"/>
      <c r="N687" s="24"/>
      <c r="O687" s="24"/>
      <c r="P687" s="24"/>
      <c r="Q687" s="24"/>
      <c r="R687" s="24"/>
      <c r="S687" s="24"/>
      <c r="T687" s="24"/>
      <c r="U687" s="24"/>
      <c r="V687" s="24"/>
      <c r="W687" s="24"/>
      <c r="X687" s="24"/>
      <c r="Y687" s="24"/>
      <c r="Z687" s="24"/>
      <c r="AA687" s="24"/>
      <c r="AB687" s="24"/>
      <c r="AC687" s="24"/>
    </row>
    <row r="688" spans="1:29" ht="12.9">
      <c r="A688" s="24"/>
      <c r="B688" s="24"/>
      <c r="C688" s="143"/>
      <c r="D688" s="24"/>
      <c r="E688" s="24"/>
      <c r="F688" s="24"/>
      <c r="G688" s="24"/>
      <c r="H688" s="117"/>
      <c r="I688" s="117"/>
      <c r="J688" s="24"/>
      <c r="K688" s="24"/>
      <c r="L688" s="24"/>
      <c r="M688" s="24"/>
      <c r="N688" s="24"/>
      <c r="O688" s="24"/>
      <c r="P688" s="24"/>
      <c r="Q688" s="24"/>
      <c r="R688" s="24"/>
      <c r="S688" s="24"/>
      <c r="T688" s="24"/>
      <c r="U688" s="24"/>
      <c r="V688" s="24"/>
      <c r="W688" s="24"/>
      <c r="X688" s="24"/>
      <c r="Y688" s="24"/>
      <c r="Z688" s="24"/>
      <c r="AA688" s="24"/>
      <c r="AB688" s="24"/>
      <c r="AC688" s="24"/>
    </row>
    <row r="689" spans="1:29" ht="12.9">
      <c r="A689" s="24"/>
      <c r="B689" s="24"/>
      <c r="C689" s="143"/>
      <c r="D689" s="24"/>
      <c r="E689" s="24"/>
      <c r="F689" s="24"/>
      <c r="G689" s="24"/>
      <c r="H689" s="117"/>
      <c r="I689" s="117"/>
      <c r="J689" s="24"/>
      <c r="K689" s="24"/>
      <c r="L689" s="24"/>
      <c r="M689" s="24"/>
      <c r="N689" s="24"/>
      <c r="O689" s="24"/>
      <c r="P689" s="24"/>
      <c r="Q689" s="24"/>
      <c r="R689" s="24"/>
      <c r="S689" s="24"/>
      <c r="T689" s="24"/>
      <c r="U689" s="24"/>
      <c r="V689" s="24"/>
      <c r="W689" s="24"/>
      <c r="X689" s="24"/>
      <c r="Y689" s="24"/>
      <c r="Z689" s="24"/>
      <c r="AA689" s="24"/>
      <c r="AB689" s="24"/>
      <c r="AC689" s="24"/>
    </row>
    <row r="690" spans="1:29" ht="12.9">
      <c r="A690" s="24"/>
      <c r="B690" s="24"/>
      <c r="C690" s="143"/>
      <c r="D690" s="24"/>
      <c r="E690" s="24"/>
      <c r="F690" s="24"/>
      <c r="G690" s="24"/>
      <c r="H690" s="117"/>
      <c r="I690" s="117"/>
      <c r="J690" s="24"/>
      <c r="K690" s="24"/>
      <c r="L690" s="24"/>
      <c r="M690" s="24"/>
      <c r="N690" s="24"/>
      <c r="O690" s="24"/>
      <c r="P690" s="24"/>
      <c r="Q690" s="24"/>
      <c r="R690" s="24"/>
      <c r="S690" s="24"/>
      <c r="T690" s="24"/>
      <c r="U690" s="24"/>
      <c r="V690" s="24"/>
      <c r="W690" s="24"/>
      <c r="X690" s="24"/>
      <c r="Y690" s="24"/>
      <c r="Z690" s="24"/>
      <c r="AA690" s="24"/>
      <c r="AB690" s="24"/>
      <c r="AC690" s="24"/>
    </row>
    <row r="691" spans="1:29" ht="12.9">
      <c r="A691" s="24"/>
      <c r="B691" s="24"/>
      <c r="C691" s="143"/>
      <c r="D691" s="24"/>
      <c r="E691" s="24"/>
      <c r="F691" s="24"/>
      <c r="G691" s="24"/>
      <c r="H691" s="117"/>
      <c r="I691" s="117"/>
      <c r="J691" s="24"/>
      <c r="K691" s="24"/>
      <c r="L691" s="24"/>
      <c r="M691" s="24"/>
      <c r="N691" s="24"/>
      <c r="O691" s="24"/>
      <c r="P691" s="24"/>
      <c r="Q691" s="24"/>
      <c r="R691" s="24"/>
      <c r="S691" s="24"/>
      <c r="T691" s="24"/>
      <c r="U691" s="24"/>
      <c r="V691" s="24"/>
      <c r="W691" s="24"/>
      <c r="X691" s="24"/>
      <c r="Y691" s="24"/>
      <c r="Z691" s="24"/>
      <c r="AA691" s="24"/>
      <c r="AB691" s="24"/>
      <c r="AC691" s="24"/>
    </row>
    <row r="692" spans="1:29" ht="12.9">
      <c r="A692" s="24"/>
      <c r="B692" s="24"/>
      <c r="C692" s="143"/>
      <c r="D692" s="24"/>
      <c r="E692" s="24"/>
      <c r="F692" s="24"/>
      <c r="G692" s="24"/>
      <c r="H692" s="117"/>
      <c r="I692" s="117"/>
      <c r="J692" s="24"/>
      <c r="K692" s="24"/>
      <c r="L692" s="24"/>
      <c r="M692" s="24"/>
      <c r="N692" s="24"/>
      <c r="O692" s="24"/>
      <c r="P692" s="24"/>
      <c r="Q692" s="24"/>
      <c r="R692" s="24"/>
      <c r="S692" s="24"/>
      <c r="T692" s="24"/>
      <c r="U692" s="24"/>
      <c r="V692" s="24"/>
      <c r="W692" s="24"/>
      <c r="X692" s="24"/>
      <c r="Y692" s="24"/>
      <c r="Z692" s="24"/>
      <c r="AA692" s="24"/>
      <c r="AB692" s="24"/>
      <c r="AC692" s="24"/>
    </row>
    <row r="693" spans="1:29" ht="12.9">
      <c r="A693" s="24"/>
      <c r="B693" s="24"/>
      <c r="C693" s="143"/>
      <c r="D693" s="24"/>
      <c r="E693" s="24"/>
      <c r="F693" s="24"/>
      <c r="G693" s="24"/>
      <c r="H693" s="117"/>
      <c r="I693" s="117"/>
      <c r="J693" s="24"/>
      <c r="K693" s="24"/>
      <c r="L693" s="24"/>
      <c r="M693" s="24"/>
      <c r="N693" s="24"/>
      <c r="O693" s="24"/>
      <c r="P693" s="24"/>
      <c r="Q693" s="24"/>
      <c r="R693" s="24"/>
      <c r="S693" s="24"/>
      <c r="T693" s="24"/>
      <c r="U693" s="24"/>
      <c r="V693" s="24"/>
      <c r="W693" s="24"/>
      <c r="X693" s="24"/>
      <c r="Y693" s="24"/>
      <c r="Z693" s="24"/>
      <c r="AA693" s="24"/>
      <c r="AB693" s="24"/>
      <c r="AC693" s="24"/>
    </row>
    <row r="694" spans="1:29" ht="12.9">
      <c r="A694" s="24"/>
      <c r="B694" s="24"/>
      <c r="C694" s="143"/>
      <c r="D694" s="24"/>
      <c r="E694" s="24"/>
      <c r="F694" s="24"/>
      <c r="G694" s="24"/>
      <c r="H694" s="117"/>
      <c r="I694" s="117"/>
      <c r="J694" s="24"/>
      <c r="K694" s="24"/>
      <c r="L694" s="24"/>
      <c r="M694" s="24"/>
      <c r="N694" s="24"/>
      <c r="O694" s="24"/>
      <c r="P694" s="24"/>
      <c r="Q694" s="24"/>
      <c r="R694" s="24"/>
      <c r="S694" s="24"/>
      <c r="T694" s="24"/>
      <c r="U694" s="24"/>
      <c r="V694" s="24"/>
      <c r="W694" s="24"/>
      <c r="X694" s="24"/>
      <c r="Y694" s="24"/>
      <c r="Z694" s="24"/>
      <c r="AA694" s="24"/>
      <c r="AB694" s="24"/>
      <c r="AC694" s="24"/>
    </row>
    <row r="695" spans="1:29" ht="12.9">
      <c r="A695" s="24"/>
      <c r="B695" s="24"/>
      <c r="C695" s="143"/>
      <c r="D695" s="24"/>
      <c r="E695" s="24"/>
      <c r="F695" s="24"/>
      <c r="G695" s="24"/>
      <c r="H695" s="117"/>
      <c r="I695" s="117"/>
      <c r="J695" s="24"/>
      <c r="K695" s="24"/>
      <c r="L695" s="24"/>
      <c r="M695" s="24"/>
      <c r="N695" s="24"/>
      <c r="O695" s="24"/>
      <c r="P695" s="24"/>
      <c r="Q695" s="24"/>
      <c r="R695" s="24"/>
      <c r="S695" s="24"/>
      <c r="T695" s="24"/>
      <c r="U695" s="24"/>
      <c r="V695" s="24"/>
      <c r="W695" s="24"/>
      <c r="X695" s="24"/>
      <c r="Y695" s="24"/>
      <c r="Z695" s="24"/>
      <c r="AA695" s="24"/>
      <c r="AB695" s="24"/>
      <c r="AC695" s="24"/>
    </row>
    <row r="696" spans="1:29" ht="12.9">
      <c r="A696" s="24"/>
      <c r="B696" s="24"/>
      <c r="C696" s="143"/>
      <c r="D696" s="24"/>
      <c r="E696" s="24"/>
      <c r="F696" s="24"/>
      <c r="G696" s="24"/>
      <c r="H696" s="117"/>
      <c r="I696" s="117"/>
      <c r="J696" s="24"/>
      <c r="K696" s="24"/>
      <c r="L696" s="24"/>
      <c r="M696" s="24"/>
      <c r="N696" s="24"/>
      <c r="O696" s="24"/>
      <c r="P696" s="24"/>
      <c r="Q696" s="24"/>
      <c r="R696" s="24"/>
      <c r="S696" s="24"/>
      <c r="T696" s="24"/>
      <c r="U696" s="24"/>
      <c r="V696" s="24"/>
      <c r="W696" s="24"/>
      <c r="X696" s="24"/>
      <c r="Y696" s="24"/>
      <c r="Z696" s="24"/>
      <c r="AA696" s="24"/>
      <c r="AB696" s="24"/>
      <c r="AC696" s="24"/>
    </row>
    <row r="697" spans="1:29" ht="12.9">
      <c r="A697" s="24"/>
      <c r="B697" s="24"/>
      <c r="C697" s="143"/>
      <c r="D697" s="24"/>
      <c r="E697" s="24"/>
      <c r="F697" s="24"/>
      <c r="G697" s="24"/>
      <c r="H697" s="117"/>
      <c r="I697" s="117"/>
      <c r="J697" s="24"/>
      <c r="K697" s="24"/>
      <c r="L697" s="24"/>
      <c r="M697" s="24"/>
      <c r="N697" s="24"/>
      <c r="O697" s="24"/>
      <c r="P697" s="24"/>
      <c r="Q697" s="24"/>
      <c r="R697" s="24"/>
      <c r="S697" s="24"/>
      <c r="T697" s="24"/>
      <c r="U697" s="24"/>
      <c r="V697" s="24"/>
      <c r="W697" s="24"/>
      <c r="X697" s="24"/>
      <c r="Y697" s="24"/>
      <c r="Z697" s="24"/>
      <c r="AA697" s="24"/>
      <c r="AB697" s="24"/>
      <c r="AC697" s="24"/>
    </row>
    <row r="698" spans="1:29" ht="12.9">
      <c r="A698" s="24"/>
      <c r="B698" s="24"/>
      <c r="C698" s="143"/>
      <c r="D698" s="24"/>
      <c r="E698" s="24"/>
      <c r="F698" s="24"/>
      <c r="G698" s="24"/>
      <c r="H698" s="117"/>
      <c r="I698" s="117"/>
      <c r="J698" s="24"/>
      <c r="K698" s="24"/>
      <c r="L698" s="24"/>
      <c r="M698" s="24"/>
      <c r="N698" s="24"/>
      <c r="O698" s="24"/>
      <c r="P698" s="24"/>
      <c r="Q698" s="24"/>
      <c r="R698" s="24"/>
      <c r="S698" s="24"/>
      <c r="T698" s="24"/>
      <c r="U698" s="24"/>
      <c r="V698" s="24"/>
      <c r="W698" s="24"/>
      <c r="X698" s="24"/>
      <c r="Y698" s="24"/>
      <c r="Z698" s="24"/>
      <c r="AA698" s="24"/>
      <c r="AB698" s="24"/>
      <c r="AC698" s="24"/>
    </row>
    <row r="699" spans="1:29" ht="12.9">
      <c r="A699" s="24"/>
      <c r="B699" s="24"/>
      <c r="C699" s="143"/>
      <c r="D699" s="24"/>
      <c r="E699" s="24"/>
      <c r="F699" s="24"/>
      <c r="G699" s="24"/>
      <c r="H699" s="117"/>
      <c r="I699" s="117"/>
      <c r="J699" s="24"/>
      <c r="K699" s="24"/>
      <c r="L699" s="24"/>
      <c r="M699" s="24"/>
      <c r="N699" s="24"/>
      <c r="O699" s="24"/>
      <c r="P699" s="24"/>
      <c r="Q699" s="24"/>
      <c r="R699" s="24"/>
      <c r="S699" s="24"/>
      <c r="T699" s="24"/>
      <c r="U699" s="24"/>
      <c r="V699" s="24"/>
      <c r="W699" s="24"/>
      <c r="X699" s="24"/>
      <c r="Y699" s="24"/>
      <c r="Z699" s="24"/>
      <c r="AA699" s="24"/>
      <c r="AB699" s="24"/>
      <c r="AC699" s="24"/>
    </row>
    <row r="700" spans="1:29" ht="12.9">
      <c r="A700" s="24"/>
      <c r="B700" s="24"/>
      <c r="C700" s="143"/>
      <c r="D700" s="24"/>
      <c r="E700" s="24"/>
      <c r="F700" s="24"/>
      <c r="G700" s="24"/>
      <c r="H700" s="117"/>
      <c r="I700" s="117"/>
      <c r="J700" s="24"/>
      <c r="K700" s="24"/>
      <c r="L700" s="24"/>
      <c r="M700" s="24"/>
      <c r="N700" s="24"/>
      <c r="O700" s="24"/>
      <c r="P700" s="24"/>
      <c r="Q700" s="24"/>
      <c r="R700" s="24"/>
      <c r="S700" s="24"/>
      <c r="T700" s="24"/>
      <c r="U700" s="24"/>
      <c r="V700" s="24"/>
      <c r="W700" s="24"/>
      <c r="X700" s="24"/>
      <c r="Y700" s="24"/>
      <c r="Z700" s="24"/>
      <c r="AA700" s="24"/>
      <c r="AB700" s="24"/>
      <c r="AC700" s="24"/>
    </row>
    <row r="701" spans="1:29" ht="12.9">
      <c r="A701" s="24"/>
      <c r="B701" s="24"/>
      <c r="C701" s="143"/>
      <c r="D701" s="24"/>
      <c r="E701" s="24"/>
      <c r="F701" s="24"/>
      <c r="G701" s="24"/>
      <c r="H701" s="117"/>
      <c r="I701" s="117"/>
      <c r="J701" s="24"/>
      <c r="K701" s="24"/>
      <c r="L701" s="24"/>
      <c r="M701" s="24"/>
      <c r="N701" s="24"/>
      <c r="O701" s="24"/>
      <c r="P701" s="24"/>
      <c r="Q701" s="24"/>
      <c r="R701" s="24"/>
      <c r="S701" s="24"/>
      <c r="T701" s="24"/>
      <c r="U701" s="24"/>
      <c r="V701" s="24"/>
      <c r="W701" s="24"/>
      <c r="X701" s="24"/>
      <c r="Y701" s="24"/>
      <c r="Z701" s="24"/>
      <c r="AA701" s="24"/>
      <c r="AB701" s="24"/>
      <c r="AC701" s="24"/>
    </row>
    <row r="702" spans="1:29" ht="12.9">
      <c r="A702" s="24"/>
      <c r="B702" s="24"/>
      <c r="C702" s="143"/>
      <c r="D702" s="24"/>
      <c r="E702" s="24"/>
      <c r="F702" s="24"/>
      <c r="G702" s="24"/>
      <c r="H702" s="117"/>
      <c r="I702" s="117"/>
      <c r="J702" s="24"/>
      <c r="K702" s="24"/>
      <c r="L702" s="24"/>
      <c r="M702" s="24"/>
      <c r="N702" s="24"/>
      <c r="O702" s="24"/>
      <c r="P702" s="24"/>
      <c r="Q702" s="24"/>
      <c r="R702" s="24"/>
      <c r="S702" s="24"/>
      <c r="T702" s="24"/>
      <c r="U702" s="24"/>
      <c r="V702" s="24"/>
      <c r="W702" s="24"/>
      <c r="X702" s="24"/>
      <c r="Y702" s="24"/>
      <c r="Z702" s="24"/>
      <c r="AA702" s="24"/>
      <c r="AB702" s="24"/>
      <c r="AC702" s="24"/>
    </row>
    <row r="703" spans="1:29" ht="12.9">
      <c r="A703" s="24"/>
      <c r="B703" s="24"/>
      <c r="C703" s="143"/>
      <c r="D703" s="24"/>
      <c r="E703" s="24"/>
      <c r="F703" s="24"/>
      <c r="G703" s="24"/>
      <c r="H703" s="117"/>
      <c r="I703" s="117"/>
      <c r="J703" s="24"/>
      <c r="K703" s="24"/>
      <c r="L703" s="24"/>
      <c r="M703" s="24"/>
      <c r="N703" s="24"/>
      <c r="O703" s="24"/>
      <c r="P703" s="24"/>
      <c r="Q703" s="24"/>
      <c r="R703" s="24"/>
      <c r="S703" s="24"/>
      <c r="T703" s="24"/>
      <c r="U703" s="24"/>
      <c r="V703" s="24"/>
      <c r="W703" s="24"/>
      <c r="X703" s="24"/>
      <c r="Y703" s="24"/>
      <c r="Z703" s="24"/>
      <c r="AA703" s="24"/>
      <c r="AB703" s="24"/>
      <c r="AC703" s="24"/>
    </row>
    <row r="704" spans="1:29" ht="12.9">
      <c r="A704" s="24"/>
      <c r="B704" s="24"/>
      <c r="C704" s="143"/>
      <c r="D704" s="24"/>
      <c r="E704" s="24"/>
      <c r="F704" s="24"/>
      <c r="G704" s="24"/>
      <c r="H704" s="117"/>
      <c r="I704" s="117"/>
      <c r="J704" s="24"/>
      <c r="K704" s="24"/>
      <c r="L704" s="24"/>
      <c r="M704" s="24"/>
      <c r="N704" s="24"/>
      <c r="O704" s="24"/>
      <c r="P704" s="24"/>
      <c r="Q704" s="24"/>
      <c r="R704" s="24"/>
      <c r="S704" s="24"/>
      <c r="T704" s="24"/>
      <c r="U704" s="24"/>
      <c r="V704" s="24"/>
      <c r="W704" s="24"/>
      <c r="X704" s="24"/>
      <c r="Y704" s="24"/>
      <c r="Z704" s="24"/>
      <c r="AA704" s="24"/>
      <c r="AB704" s="24"/>
      <c r="AC704" s="24"/>
    </row>
    <row r="705" spans="1:29" ht="12.9">
      <c r="A705" s="24"/>
      <c r="B705" s="24"/>
      <c r="C705" s="143"/>
      <c r="D705" s="24"/>
      <c r="E705" s="24"/>
      <c r="F705" s="24"/>
      <c r="G705" s="24"/>
      <c r="H705" s="117"/>
      <c r="I705" s="117"/>
      <c r="J705" s="24"/>
      <c r="K705" s="24"/>
      <c r="L705" s="24"/>
      <c r="M705" s="24"/>
      <c r="N705" s="24"/>
      <c r="O705" s="24"/>
      <c r="P705" s="24"/>
      <c r="Q705" s="24"/>
      <c r="R705" s="24"/>
      <c r="S705" s="24"/>
      <c r="T705" s="24"/>
      <c r="U705" s="24"/>
      <c r="V705" s="24"/>
      <c r="W705" s="24"/>
      <c r="X705" s="24"/>
      <c r="Y705" s="24"/>
      <c r="Z705" s="24"/>
      <c r="AA705" s="24"/>
      <c r="AB705" s="24"/>
      <c r="AC705" s="24"/>
    </row>
    <row r="706" spans="1:29" ht="12.9">
      <c r="A706" s="24"/>
      <c r="B706" s="24"/>
      <c r="C706" s="143"/>
      <c r="D706" s="24"/>
      <c r="E706" s="24"/>
      <c r="F706" s="24"/>
      <c r="G706" s="24"/>
      <c r="H706" s="117"/>
      <c r="I706" s="117"/>
      <c r="J706" s="24"/>
      <c r="K706" s="24"/>
      <c r="L706" s="24"/>
      <c r="M706" s="24"/>
      <c r="N706" s="24"/>
      <c r="O706" s="24"/>
      <c r="P706" s="24"/>
      <c r="Q706" s="24"/>
      <c r="R706" s="24"/>
      <c r="S706" s="24"/>
      <c r="T706" s="24"/>
      <c r="U706" s="24"/>
      <c r="V706" s="24"/>
      <c r="W706" s="24"/>
      <c r="X706" s="24"/>
      <c r="Y706" s="24"/>
      <c r="Z706" s="24"/>
      <c r="AA706" s="24"/>
      <c r="AB706" s="24"/>
      <c r="AC706" s="24"/>
    </row>
    <row r="707" spans="1:29" ht="12.9">
      <c r="A707" s="24"/>
      <c r="B707" s="24"/>
      <c r="C707" s="143"/>
      <c r="D707" s="24"/>
      <c r="E707" s="24"/>
      <c r="F707" s="24"/>
      <c r="G707" s="24"/>
      <c r="H707" s="117"/>
      <c r="I707" s="117"/>
      <c r="J707" s="24"/>
      <c r="K707" s="24"/>
      <c r="L707" s="24"/>
      <c r="M707" s="24"/>
      <c r="N707" s="24"/>
      <c r="O707" s="24"/>
      <c r="P707" s="24"/>
      <c r="Q707" s="24"/>
      <c r="R707" s="24"/>
      <c r="S707" s="24"/>
      <c r="T707" s="24"/>
      <c r="U707" s="24"/>
      <c r="V707" s="24"/>
      <c r="W707" s="24"/>
      <c r="X707" s="24"/>
      <c r="Y707" s="24"/>
      <c r="Z707" s="24"/>
      <c r="AA707" s="24"/>
      <c r="AB707" s="24"/>
      <c r="AC707" s="24"/>
    </row>
    <row r="708" spans="1:29" ht="12.9">
      <c r="A708" s="24"/>
      <c r="B708" s="24"/>
      <c r="C708" s="143"/>
      <c r="D708" s="24"/>
      <c r="E708" s="24"/>
      <c r="F708" s="24"/>
      <c r="G708" s="24"/>
      <c r="H708" s="117"/>
      <c r="I708" s="117"/>
      <c r="J708" s="24"/>
      <c r="K708" s="24"/>
      <c r="L708" s="24"/>
      <c r="M708" s="24"/>
      <c r="N708" s="24"/>
      <c r="O708" s="24"/>
      <c r="P708" s="24"/>
      <c r="Q708" s="24"/>
      <c r="R708" s="24"/>
      <c r="S708" s="24"/>
      <c r="T708" s="24"/>
      <c r="U708" s="24"/>
      <c r="V708" s="24"/>
      <c r="W708" s="24"/>
      <c r="X708" s="24"/>
      <c r="Y708" s="24"/>
      <c r="Z708" s="24"/>
      <c r="AA708" s="24"/>
      <c r="AB708" s="24"/>
      <c r="AC708" s="24"/>
    </row>
    <row r="709" spans="1:29" ht="12.9">
      <c r="A709" s="24"/>
      <c r="B709" s="24"/>
      <c r="C709" s="143"/>
      <c r="D709" s="24"/>
      <c r="E709" s="24"/>
      <c r="F709" s="24"/>
      <c r="G709" s="24"/>
      <c r="H709" s="117"/>
      <c r="I709" s="117"/>
      <c r="J709" s="24"/>
      <c r="K709" s="24"/>
      <c r="L709" s="24"/>
      <c r="M709" s="24"/>
      <c r="N709" s="24"/>
      <c r="O709" s="24"/>
      <c r="P709" s="24"/>
      <c r="Q709" s="24"/>
      <c r="R709" s="24"/>
      <c r="S709" s="24"/>
      <c r="T709" s="24"/>
      <c r="U709" s="24"/>
      <c r="V709" s="24"/>
      <c r="W709" s="24"/>
      <c r="X709" s="24"/>
      <c r="Y709" s="24"/>
      <c r="Z709" s="24"/>
      <c r="AA709" s="24"/>
      <c r="AB709" s="24"/>
      <c r="AC709" s="24"/>
    </row>
    <row r="710" spans="1:29" ht="12.9">
      <c r="A710" s="24"/>
      <c r="B710" s="24"/>
      <c r="C710" s="143"/>
      <c r="D710" s="24"/>
      <c r="E710" s="24"/>
      <c r="F710" s="24"/>
      <c r="G710" s="24"/>
      <c r="H710" s="117"/>
      <c r="I710" s="117"/>
      <c r="J710" s="24"/>
      <c r="K710" s="24"/>
      <c r="L710" s="24"/>
      <c r="M710" s="24"/>
      <c r="N710" s="24"/>
      <c r="O710" s="24"/>
      <c r="P710" s="24"/>
      <c r="Q710" s="24"/>
      <c r="R710" s="24"/>
      <c r="S710" s="24"/>
      <c r="T710" s="24"/>
      <c r="U710" s="24"/>
      <c r="V710" s="24"/>
      <c r="W710" s="24"/>
      <c r="X710" s="24"/>
      <c r="Y710" s="24"/>
      <c r="Z710" s="24"/>
      <c r="AA710" s="24"/>
      <c r="AB710" s="24"/>
      <c r="AC710" s="24"/>
    </row>
    <row r="711" spans="1:29" ht="12.9">
      <c r="A711" s="24"/>
      <c r="B711" s="24"/>
      <c r="C711" s="143"/>
      <c r="D711" s="24"/>
      <c r="E711" s="24"/>
      <c r="F711" s="24"/>
      <c r="G711" s="24"/>
      <c r="H711" s="117"/>
      <c r="I711" s="117"/>
      <c r="J711" s="24"/>
      <c r="K711" s="24"/>
      <c r="L711" s="24"/>
      <c r="M711" s="24"/>
      <c r="N711" s="24"/>
      <c r="O711" s="24"/>
      <c r="P711" s="24"/>
      <c r="Q711" s="24"/>
      <c r="R711" s="24"/>
      <c r="S711" s="24"/>
      <c r="T711" s="24"/>
      <c r="U711" s="24"/>
      <c r="V711" s="24"/>
      <c r="W711" s="24"/>
      <c r="X711" s="24"/>
      <c r="Y711" s="24"/>
      <c r="Z711" s="24"/>
      <c r="AA711" s="24"/>
      <c r="AB711" s="24"/>
      <c r="AC711" s="24"/>
    </row>
    <row r="712" spans="1:29" ht="12.9">
      <c r="A712" s="24"/>
      <c r="B712" s="24"/>
      <c r="C712" s="143"/>
      <c r="D712" s="24"/>
      <c r="E712" s="24"/>
      <c r="F712" s="24"/>
      <c r="G712" s="24"/>
      <c r="H712" s="117"/>
      <c r="I712" s="117"/>
      <c r="J712" s="24"/>
      <c r="K712" s="24"/>
      <c r="L712" s="24"/>
      <c r="M712" s="24"/>
      <c r="N712" s="24"/>
      <c r="O712" s="24"/>
      <c r="P712" s="24"/>
      <c r="Q712" s="24"/>
      <c r="R712" s="24"/>
      <c r="S712" s="24"/>
      <c r="T712" s="24"/>
      <c r="U712" s="24"/>
      <c r="V712" s="24"/>
      <c r="W712" s="24"/>
      <c r="X712" s="24"/>
      <c r="Y712" s="24"/>
      <c r="Z712" s="24"/>
      <c r="AA712" s="24"/>
      <c r="AB712" s="24"/>
      <c r="AC712" s="24"/>
    </row>
    <row r="713" spans="1:29" ht="12.9">
      <c r="A713" s="24"/>
      <c r="B713" s="24"/>
      <c r="C713" s="143"/>
      <c r="D713" s="24"/>
      <c r="E713" s="24"/>
      <c r="F713" s="24"/>
      <c r="G713" s="24"/>
      <c r="H713" s="117"/>
      <c r="I713" s="117"/>
      <c r="J713" s="24"/>
      <c r="K713" s="24"/>
      <c r="L713" s="24"/>
      <c r="M713" s="24"/>
      <c r="N713" s="24"/>
      <c r="O713" s="24"/>
      <c r="P713" s="24"/>
      <c r="Q713" s="24"/>
      <c r="R713" s="24"/>
      <c r="S713" s="24"/>
      <c r="T713" s="24"/>
      <c r="U713" s="24"/>
      <c r="V713" s="24"/>
      <c r="W713" s="24"/>
      <c r="X713" s="24"/>
      <c r="Y713" s="24"/>
      <c r="Z713" s="24"/>
      <c r="AA713" s="24"/>
      <c r="AB713" s="24"/>
      <c r="AC713" s="24"/>
    </row>
    <row r="714" spans="1:29" ht="12.9">
      <c r="A714" s="24"/>
      <c r="B714" s="24"/>
      <c r="C714" s="143"/>
      <c r="D714" s="24"/>
      <c r="E714" s="24"/>
      <c r="F714" s="24"/>
      <c r="G714" s="24"/>
      <c r="H714" s="117"/>
      <c r="I714" s="117"/>
      <c r="J714" s="24"/>
      <c r="K714" s="24"/>
      <c r="L714" s="24"/>
      <c r="M714" s="24"/>
      <c r="N714" s="24"/>
      <c r="O714" s="24"/>
      <c r="P714" s="24"/>
      <c r="Q714" s="24"/>
      <c r="R714" s="24"/>
      <c r="S714" s="24"/>
      <c r="T714" s="24"/>
      <c r="U714" s="24"/>
      <c r="V714" s="24"/>
      <c r="W714" s="24"/>
      <c r="X714" s="24"/>
      <c r="Y714" s="24"/>
      <c r="Z714" s="24"/>
      <c r="AA714" s="24"/>
      <c r="AB714" s="24"/>
      <c r="AC714" s="24"/>
    </row>
    <row r="715" spans="1:29" ht="12.9">
      <c r="A715" s="24"/>
      <c r="B715" s="24"/>
      <c r="C715" s="143"/>
      <c r="D715" s="24"/>
      <c r="E715" s="24"/>
      <c r="F715" s="24"/>
      <c r="G715" s="24"/>
      <c r="H715" s="117"/>
      <c r="I715" s="117"/>
      <c r="J715" s="24"/>
      <c r="K715" s="24"/>
      <c r="L715" s="24"/>
      <c r="M715" s="24"/>
      <c r="N715" s="24"/>
      <c r="O715" s="24"/>
      <c r="P715" s="24"/>
      <c r="Q715" s="24"/>
      <c r="R715" s="24"/>
      <c r="S715" s="24"/>
      <c r="T715" s="24"/>
      <c r="U715" s="24"/>
      <c r="V715" s="24"/>
      <c r="W715" s="24"/>
      <c r="X715" s="24"/>
      <c r="Y715" s="24"/>
      <c r="Z715" s="24"/>
      <c r="AA715" s="24"/>
      <c r="AB715" s="24"/>
      <c r="AC715" s="24"/>
    </row>
    <row r="716" spans="1:29" ht="12.9">
      <c r="A716" s="24"/>
      <c r="B716" s="24"/>
      <c r="C716" s="143"/>
      <c r="D716" s="24"/>
      <c r="E716" s="24"/>
      <c r="F716" s="24"/>
      <c r="G716" s="24"/>
      <c r="H716" s="117"/>
      <c r="I716" s="117"/>
      <c r="J716" s="24"/>
      <c r="K716" s="24"/>
      <c r="L716" s="24"/>
      <c r="M716" s="24"/>
      <c r="N716" s="24"/>
      <c r="O716" s="24"/>
      <c r="P716" s="24"/>
      <c r="Q716" s="24"/>
      <c r="R716" s="24"/>
      <c r="S716" s="24"/>
      <c r="T716" s="24"/>
      <c r="U716" s="24"/>
      <c r="V716" s="24"/>
      <c r="W716" s="24"/>
      <c r="X716" s="24"/>
      <c r="Y716" s="24"/>
      <c r="Z716" s="24"/>
      <c r="AA716" s="24"/>
      <c r="AB716" s="24"/>
      <c r="AC716" s="24"/>
    </row>
    <row r="717" spans="1:29" ht="12.9">
      <c r="A717" s="24"/>
      <c r="B717" s="24"/>
      <c r="C717" s="143"/>
      <c r="D717" s="24"/>
      <c r="E717" s="24"/>
      <c r="F717" s="24"/>
      <c r="G717" s="24"/>
      <c r="H717" s="117"/>
      <c r="I717" s="117"/>
      <c r="J717" s="24"/>
      <c r="K717" s="24"/>
      <c r="L717" s="24"/>
      <c r="M717" s="24"/>
      <c r="N717" s="24"/>
      <c r="O717" s="24"/>
      <c r="P717" s="24"/>
      <c r="Q717" s="24"/>
      <c r="R717" s="24"/>
      <c r="S717" s="24"/>
      <c r="T717" s="24"/>
      <c r="U717" s="24"/>
      <c r="V717" s="24"/>
      <c r="W717" s="24"/>
      <c r="X717" s="24"/>
      <c r="Y717" s="24"/>
      <c r="Z717" s="24"/>
      <c r="AA717" s="24"/>
      <c r="AB717" s="24"/>
      <c r="AC717" s="24"/>
    </row>
    <row r="718" spans="1:29" ht="12.9">
      <c r="A718" s="24"/>
      <c r="B718" s="24"/>
      <c r="C718" s="143"/>
      <c r="D718" s="24"/>
      <c r="E718" s="24"/>
      <c r="F718" s="24"/>
      <c r="G718" s="24"/>
      <c r="H718" s="117"/>
      <c r="I718" s="117"/>
      <c r="J718" s="24"/>
      <c r="K718" s="24"/>
      <c r="L718" s="24"/>
      <c r="M718" s="24"/>
      <c r="N718" s="24"/>
      <c r="O718" s="24"/>
      <c r="P718" s="24"/>
      <c r="Q718" s="24"/>
      <c r="R718" s="24"/>
      <c r="S718" s="24"/>
      <c r="T718" s="24"/>
      <c r="U718" s="24"/>
      <c r="V718" s="24"/>
      <c r="W718" s="24"/>
      <c r="X718" s="24"/>
      <c r="Y718" s="24"/>
      <c r="Z718" s="24"/>
      <c r="AA718" s="24"/>
      <c r="AB718" s="24"/>
      <c r="AC718" s="24"/>
    </row>
    <row r="719" spans="1:29" ht="12.9">
      <c r="A719" s="24"/>
      <c r="B719" s="24"/>
      <c r="C719" s="143"/>
      <c r="D719" s="24"/>
      <c r="E719" s="24"/>
      <c r="F719" s="24"/>
      <c r="G719" s="24"/>
      <c r="H719" s="117"/>
      <c r="I719" s="117"/>
      <c r="J719" s="24"/>
      <c r="K719" s="24"/>
      <c r="L719" s="24"/>
      <c r="M719" s="24"/>
      <c r="N719" s="24"/>
      <c r="O719" s="24"/>
      <c r="P719" s="24"/>
      <c r="Q719" s="24"/>
      <c r="R719" s="24"/>
      <c r="S719" s="24"/>
      <c r="T719" s="24"/>
      <c r="U719" s="24"/>
      <c r="V719" s="24"/>
      <c r="W719" s="24"/>
      <c r="X719" s="24"/>
      <c r="Y719" s="24"/>
      <c r="Z719" s="24"/>
      <c r="AA719" s="24"/>
      <c r="AB719" s="24"/>
      <c r="AC719" s="24"/>
    </row>
    <row r="720" spans="1:29" ht="12.9">
      <c r="A720" s="24"/>
      <c r="B720" s="24"/>
      <c r="C720" s="143"/>
      <c r="D720" s="24"/>
      <c r="E720" s="24"/>
      <c r="F720" s="24"/>
      <c r="G720" s="24"/>
      <c r="H720" s="117"/>
      <c r="I720" s="117"/>
      <c r="J720" s="24"/>
      <c r="K720" s="24"/>
      <c r="L720" s="24"/>
      <c r="M720" s="24"/>
      <c r="N720" s="24"/>
      <c r="O720" s="24"/>
      <c r="P720" s="24"/>
      <c r="Q720" s="24"/>
      <c r="R720" s="24"/>
      <c r="S720" s="24"/>
      <c r="T720" s="24"/>
      <c r="U720" s="24"/>
      <c r="V720" s="24"/>
      <c r="W720" s="24"/>
      <c r="X720" s="24"/>
      <c r="Y720" s="24"/>
      <c r="Z720" s="24"/>
      <c r="AA720" s="24"/>
      <c r="AB720" s="24"/>
      <c r="AC720" s="24"/>
    </row>
    <row r="721" spans="1:29" ht="12.9">
      <c r="A721" s="24"/>
      <c r="B721" s="24"/>
      <c r="C721" s="143"/>
      <c r="D721" s="24"/>
      <c r="E721" s="24"/>
      <c r="F721" s="24"/>
      <c r="G721" s="24"/>
      <c r="H721" s="117"/>
      <c r="I721" s="117"/>
      <c r="J721" s="24"/>
      <c r="K721" s="24"/>
      <c r="L721" s="24"/>
      <c r="M721" s="24"/>
      <c r="N721" s="24"/>
      <c r="O721" s="24"/>
      <c r="P721" s="24"/>
      <c r="Q721" s="24"/>
      <c r="R721" s="24"/>
      <c r="S721" s="24"/>
      <c r="T721" s="24"/>
      <c r="U721" s="24"/>
      <c r="V721" s="24"/>
      <c r="W721" s="24"/>
      <c r="X721" s="24"/>
      <c r="Y721" s="24"/>
      <c r="Z721" s="24"/>
      <c r="AA721" s="24"/>
      <c r="AB721" s="24"/>
      <c r="AC721" s="24"/>
    </row>
    <row r="722" spans="1:29" ht="12.9">
      <c r="A722" s="24"/>
      <c r="B722" s="24"/>
      <c r="C722" s="143"/>
      <c r="D722" s="24"/>
      <c r="E722" s="24"/>
      <c r="F722" s="24"/>
      <c r="G722" s="24"/>
      <c r="H722" s="117"/>
      <c r="I722" s="117"/>
      <c r="J722" s="24"/>
      <c r="K722" s="24"/>
      <c r="L722" s="24"/>
      <c r="M722" s="24"/>
      <c r="N722" s="24"/>
      <c r="O722" s="24"/>
      <c r="P722" s="24"/>
      <c r="Q722" s="24"/>
      <c r="R722" s="24"/>
      <c r="S722" s="24"/>
      <c r="T722" s="24"/>
      <c r="U722" s="24"/>
      <c r="V722" s="24"/>
      <c r="W722" s="24"/>
      <c r="X722" s="24"/>
      <c r="Y722" s="24"/>
      <c r="Z722" s="24"/>
      <c r="AA722" s="24"/>
      <c r="AB722" s="24"/>
      <c r="AC722" s="24"/>
    </row>
    <row r="723" spans="1:29" ht="12.9">
      <c r="A723" s="24"/>
      <c r="B723" s="24"/>
      <c r="C723" s="143"/>
      <c r="D723" s="24"/>
      <c r="E723" s="24"/>
      <c r="F723" s="24"/>
      <c r="G723" s="24"/>
      <c r="H723" s="117"/>
      <c r="I723" s="117"/>
      <c r="J723" s="24"/>
      <c r="K723" s="24"/>
      <c r="L723" s="24"/>
      <c r="M723" s="24"/>
      <c r="N723" s="24"/>
      <c r="O723" s="24"/>
      <c r="P723" s="24"/>
      <c r="Q723" s="24"/>
      <c r="R723" s="24"/>
      <c r="S723" s="24"/>
      <c r="T723" s="24"/>
      <c r="U723" s="24"/>
      <c r="V723" s="24"/>
      <c r="W723" s="24"/>
      <c r="X723" s="24"/>
      <c r="Y723" s="24"/>
      <c r="Z723" s="24"/>
      <c r="AA723" s="24"/>
      <c r="AB723" s="24"/>
      <c r="AC723" s="24"/>
    </row>
    <row r="724" spans="1:29" ht="12.9">
      <c r="A724" s="24"/>
      <c r="B724" s="24"/>
      <c r="C724" s="143"/>
      <c r="D724" s="24"/>
      <c r="E724" s="24"/>
      <c r="F724" s="24"/>
      <c r="G724" s="24"/>
      <c r="H724" s="117"/>
      <c r="I724" s="117"/>
      <c r="J724" s="24"/>
      <c r="K724" s="24"/>
      <c r="L724" s="24"/>
      <c r="M724" s="24"/>
      <c r="N724" s="24"/>
      <c r="O724" s="24"/>
      <c r="P724" s="24"/>
      <c r="Q724" s="24"/>
      <c r="R724" s="24"/>
      <c r="S724" s="24"/>
      <c r="T724" s="24"/>
      <c r="U724" s="24"/>
      <c r="V724" s="24"/>
      <c r="W724" s="24"/>
      <c r="X724" s="24"/>
      <c r="Y724" s="24"/>
      <c r="Z724" s="24"/>
      <c r="AA724" s="24"/>
      <c r="AB724" s="24"/>
      <c r="AC724" s="24"/>
    </row>
    <row r="725" spans="1:29" ht="12.9">
      <c r="A725" s="24"/>
      <c r="B725" s="24"/>
      <c r="C725" s="143"/>
      <c r="D725" s="24"/>
      <c r="E725" s="24"/>
      <c r="F725" s="24"/>
      <c r="G725" s="24"/>
      <c r="H725" s="117"/>
      <c r="I725" s="117"/>
      <c r="J725" s="24"/>
      <c r="K725" s="24"/>
      <c r="L725" s="24"/>
      <c r="M725" s="24"/>
      <c r="N725" s="24"/>
      <c r="O725" s="24"/>
      <c r="P725" s="24"/>
      <c r="Q725" s="24"/>
      <c r="R725" s="24"/>
      <c r="S725" s="24"/>
      <c r="T725" s="24"/>
      <c r="U725" s="24"/>
      <c r="V725" s="24"/>
      <c r="W725" s="24"/>
      <c r="X725" s="24"/>
      <c r="Y725" s="24"/>
      <c r="Z725" s="24"/>
      <c r="AA725" s="24"/>
      <c r="AB725" s="24"/>
      <c r="AC725" s="24"/>
    </row>
    <row r="726" spans="1:29" ht="12.9">
      <c r="A726" s="24"/>
      <c r="B726" s="24"/>
      <c r="C726" s="143"/>
      <c r="D726" s="24"/>
      <c r="E726" s="24"/>
      <c r="F726" s="24"/>
      <c r="G726" s="24"/>
      <c r="H726" s="117"/>
      <c r="I726" s="117"/>
      <c r="J726" s="24"/>
      <c r="K726" s="24"/>
      <c r="L726" s="24"/>
      <c r="M726" s="24"/>
      <c r="N726" s="24"/>
      <c r="O726" s="24"/>
      <c r="P726" s="24"/>
      <c r="Q726" s="24"/>
      <c r="R726" s="24"/>
      <c r="S726" s="24"/>
      <c r="T726" s="24"/>
      <c r="U726" s="24"/>
      <c r="V726" s="24"/>
      <c r="W726" s="24"/>
      <c r="X726" s="24"/>
      <c r="Y726" s="24"/>
      <c r="Z726" s="24"/>
      <c r="AA726" s="24"/>
      <c r="AB726" s="24"/>
      <c r="AC726" s="24"/>
    </row>
    <row r="727" spans="1:29" ht="12.9">
      <c r="A727" s="24"/>
      <c r="B727" s="24"/>
      <c r="C727" s="143"/>
      <c r="D727" s="24"/>
      <c r="E727" s="24"/>
      <c r="F727" s="24"/>
      <c r="G727" s="24"/>
      <c r="H727" s="117"/>
      <c r="I727" s="117"/>
      <c r="J727" s="24"/>
      <c r="K727" s="24"/>
      <c r="L727" s="24"/>
      <c r="M727" s="24"/>
      <c r="N727" s="24"/>
      <c r="O727" s="24"/>
      <c r="P727" s="24"/>
      <c r="Q727" s="24"/>
      <c r="R727" s="24"/>
      <c r="S727" s="24"/>
      <c r="T727" s="24"/>
      <c r="U727" s="24"/>
      <c r="V727" s="24"/>
      <c r="W727" s="24"/>
      <c r="X727" s="24"/>
      <c r="Y727" s="24"/>
      <c r="Z727" s="24"/>
      <c r="AA727" s="24"/>
      <c r="AB727" s="24"/>
      <c r="AC727" s="24"/>
    </row>
    <row r="728" spans="1:29" ht="12.9">
      <c r="A728" s="24"/>
      <c r="B728" s="24"/>
      <c r="C728" s="143"/>
      <c r="D728" s="24"/>
      <c r="E728" s="24"/>
      <c r="F728" s="24"/>
      <c r="G728" s="24"/>
      <c r="H728" s="117"/>
      <c r="I728" s="117"/>
      <c r="J728" s="24"/>
      <c r="K728" s="24"/>
      <c r="L728" s="24"/>
      <c r="M728" s="24"/>
      <c r="N728" s="24"/>
      <c r="O728" s="24"/>
      <c r="P728" s="24"/>
      <c r="Q728" s="24"/>
      <c r="R728" s="24"/>
      <c r="S728" s="24"/>
      <c r="T728" s="24"/>
      <c r="U728" s="24"/>
      <c r="V728" s="24"/>
      <c r="W728" s="24"/>
      <c r="X728" s="24"/>
      <c r="Y728" s="24"/>
      <c r="Z728" s="24"/>
      <c r="AA728" s="24"/>
      <c r="AB728" s="24"/>
      <c r="AC728" s="24"/>
    </row>
    <row r="729" spans="1:29" ht="12.9">
      <c r="A729" s="24"/>
      <c r="B729" s="24"/>
      <c r="C729" s="143"/>
      <c r="D729" s="24"/>
      <c r="E729" s="24"/>
      <c r="F729" s="24"/>
      <c r="G729" s="24"/>
      <c r="H729" s="117"/>
      <c r="I729" s="117"/>
      <c r="J729" s="24"/>
      <c r="K729" s="24"/>
      <c r="L729" s="24"/>
      <c r="M729" s="24"/>
      <c r="N729" s="24"/>
      <c r="O729" s="24"/>
      <c r="P729" s="24"/>
      <c r="Q729" s="24"/>
      <c r="R729" s="24"/>
      <c r="S729" s="24"/>
      <c r="T729" s="24"/>
      <c r="U729" s="24"/>
      <c r="V729" s="24"/>
      <c r="W729" s="24"/>
      <c r="X729" s="24"/>
      <c r="Y729" s="24"/>
      <c r="Z729" s="24"/>
      <c r="AA729" s="24"/>
      <c r="AB729" s="24"/>
      <c r="AC729" s="24"/>
    </row>
    <row r="730" spans="1:29" ht="12.9">
      <c r="A730" s="24"/>
      <c r="B730" s="24"/>
      <c r="C730" s="143"/>
      <c r="D730" s="24"/>
      <c r="E730" s="24"/>
      <c r="F730" s="24"/>
      <c r="G730" s="24"/>
      <c r="H730" s="117"/>
      <c r="I730" s="117"/>
      <c r="J730" s="24"/>
      <c r="K730" s="24"/>
      <c r="L730" s="24"/>
      <c r="M730" s="24"/>
      <c r="N730" s="24"/>
      <c r="O730" s="24"/>
      <c r="P730" s="24"/>
      <c r="Q730" s="24"/>
      <c r="R730" s="24"/>
      <c r="S730" s="24"/>
      <c r="T730" s="24"/>
      <c r="U730" s="24"/>
      <c r="V730" s="24"/>
      <c r="W730" s="24"/>
      <c r="X730" s="24"/>
      <c r="Y730" s="24"/>
      <c r="Z730" s="24"/>
      <c r="AA730" s="24"/>
      <c r="AB730" s="24"/>
      <c r="AC730" s="24"/>
    </row>
    <row r="731" spans="1:29" ht="12.9">
      <c r="A731" s="24"/>
      <c r="B731" s="24"/>
      <c r="C731" s="143"/>
      <c r="D731" s="24"/>
      <c r="E731" s="24"/>
      <c r="F731" s="24"/>
      <c r="G731" s="24"/>
      <c r="H731" s="117"/>
      <c r="I731" s="117"/>
      <c r="J731" s="24"/>
      <c r="K731" s="24"/>
      <c r="L731" s="24"/>
      <c r="M731" s="24"/>
      <c r="N731" s="24"/>
      <c r="O731" s="24"/>
      <c r="P731" s="24"/>
      <c r="Q731" s="24"/>
      <c r="R731" s="24"/>
      <c r="S731" s="24"/>
      <c r="T731" s="24"/>
      <c r="U731" s="24"/>
      <c r="V731" s="24"/>
      <c r="W731" s="24"/>
      <c r="X731" s="24"/>
      <c r="Y731" s="24"/>
      <c r="Z731" s="24"/>
      <c r="AA731" s="24"/>
      <c r="AB731" s="24"/>
      <c r="AC731" s="24"/>
    </row>
    <row r="732" spans="1:29" ht="12.9">
      <c r="A732" s="24"/>
      <c r="B732" s="24"/>
      <c r="C732" s="143"/>
      <c r="D732" s="24"/>
      <c r="E732" s="24"/>
      <c r="F732" s="24"/>
      <c r="G732" s="24"/>
      <c r="H732" s="117"/>
      <c r="I732" s="117"/>
      <c r="J732" s="24"/>
      <c r="K732" s="24"/>
      <c r="L732" s="24"/>
      <c r="M732" s="24"/>
      <c r="N732" s="24"/>
      <c r="O732" s="24"/>
      <c r="P732" s="24"/>
      <c r="Q732" s="24"/>
      <c r="R732" s="24"/>
      <c r="S732" s="24"/>
      <c r="T732" s="24"/>
      <c r="U732" s="24"/>
      <c r="V732" s="24"/>
      <c r="W732" s="24"/>
      <c r="X732" s="24"/>
      <c r="Y732" s="24"/>
      <c r="Z732" s="24"/>
      <c r="AA732" s="24"/>
      <c r="AB732" s="24"/>
      <c r="AC732" s="24"/>
    </row>
    <row r="733" spans="1:29" ht="12.9">
      <c r="A733" s="24"/>
      <c r="B733" s="24"/>
      <c r="C733" s="143"/>
      <c r="D733" s="24"/>
      <c r="E733" s="24"/>
      <c r="F733" s="24"/>
      <c r="G733" s="24"/>
      <c r="H733" s="117"/>
      <c r="I733" s="117"/>
      <c r="J733" s="24"/>
      <c r="K733" s="24"/>
      <c r="L733" s="24"/>
      <c r="M733" s="24"/>
      <c r="N733" s="24"/>
      <c r="O733" s="24"/>
      <c r="P733" s="24"/>
      <c r="Q733" s="24"/>
      <c r="R733" s="24"/>
      <c r="S733" s="24"/>
      <c r="T733" s="24"/>
      <c r="U733" s="24"/>
      <c r="V733" s="24"/>
      <c r="W733" s="24"/>
      <c r="X733" s="24"/>
      <c r="Y733" s="24"/>
      <c r="Z733" s="24"/>
      <c r="AA733" s="24"/>
      <c r="AB733" s="24"/>
      <c r="AC733" s="24"/>
    </row>
    <row r="734" spans="1:29" ht="12.9">
      <c r="A734" s="24"/>
      <c r="B734" s="24"/>
      <c r="C734" s="143"/>
      <c r="D734" s="24"/>
      <c r="E734" s="24"/>
      <c r="F734" s="24"/>
      <c r="G734" s="24"/>
      <c r="H734" s="117"/>
      <c r="I734" s="117"/>
      <c r="J734" s="24"/>
      <c r="K734" s="24"/>
      <c r="L734" s="24"/>
      <c r="M734" s="24"/>
      <c r="N734" s="24"/>
      <c r="O734" s="24"/>
      <c r="P734" s="24"/>
      <c r="Q734" s="24"/>
      <c r="R734" s="24"/>
      <c r="S734" s="24"/>
      <c r="T734" s="24"/>
      <c r="U734" s="24"/>
      <c r="V734" s="24"/>
      <c r="W734" s="24"/>
      <c r="X734" s="24"/>
      <c r="Y734" s="24"/>
      <c r="Z734" s="24"/>
      <c r="AA734" s="24"/>
      <c r="AB734" s="24"/>
      <c r="AC734" s="24"/>
    </row>
    <row r="735" spans="1:29" ht="12.9">
      <c r="A735" s="24"/>
      <c r="B735" s="24"/>
      <c r="C735" s="143"/>
      <c r="D735" s="24"/>
      <c r="E735" s="24"/>
      <c r="F735" s="24"/>
      <c r="G735" s="24"/>
      <c r="H735" s="117"/>
      <c r="I735" s="117"/>
      <c r="J735" s="24"/>
      <c r="K735" s="24"/>
      <c r="L735" s="24"/>
      <c r="M735" s="24"/>
      <c r="N735" s="24"/>
      <c r="O735" s="24"/>
      <c r="P735" s="24"/>
      <c r="Q735" s="24"/>
      <c r="R735" s="24"/>
      <c r="S735" s="24"/>
      <c r="T735" s="24"/>
      <c r="U735" s="24"/>
      <c r="V735" s="24"/>
      <c r="W735" s="24"/>
      <c r="X735" s="24"/>
      <c r="Y735" s="24"/>
      <c r="Z735" s="24"/>
      <c r="AA735" s="24"/>
      <c r="AB735" s="24"/>
      <c r="AC735" s="24"/>
    </row>
    <row r="736" spans="1:29" ht="12.9">
      <c r="A736" s="24"/>
      <c r="B736" s="24"/>
      <c r="C736" s="143"/>
      <c r="D736" s="24"/>
      <c r="E736" s="24"/>
      <c r="F736" s="24"/>
      <c r="G736" s="24"/>
      <c r="H736" s="117"/>
      <c r="I736" s="117"/>
      <c r="J736" s="24"/>
      <c r="K736" s="24"/>
      <c r="L736" s="24"/>
      <c r="M736" s="24"/>
      <c r="N736" s="24"/>
      <c r="O736" s="24"/>
      <c r="P736" s="24"/>
      <c r="Q736" s="24"/>
      <c r="R736" s="24"/>
      <c r="S736" s="24"/>
      <c r="T736" s="24"/>
      <c r="U736" s="24"/>
      <c r="V736" s="24"/>
      <c r="W736" s="24"/>
      <c r="X736" s="24"/>
      <c r="Y736" s="24"/>
      <c r="Z736" s="24"/>
      <c r="AA736" s="24"/>
      <c r="AB736" s="24"/>
      <c r="AC736" s="24"/>
    </row>
    <row r="737" spans="1:29" ht="12.9">
      <c r="A737" s="24"/>
      <c r="B737" s="24"/>
      <c r="C737" s="143"/>
      <c r="D737" s="24"/>
      <c r="E737" s="24"/>
      <c r="F737" s="24"/>
      <c r="G737" s="24"/>
      <c r="H737" s="117"/>
      <c r="I737" s="117"/>
      <c r="J737" s="24"/>
      <c r="K737" s="24"/>
      <c r="L737" s="24"/>
      <c r="M737" s="24"/>
      <c r="N737" s="24"/>
      <c r="O737" s="24"/>
      <c r="P737" s="24"/>
      <c r="Q737" s="24"/>
      <c r="R737" s="24"/>
      <c r="S737" s="24"/>
      <c r="T737" s="24"/>
      <c r="U737" s="24"/>
      <c r="V737" s="24"/>
      <c r="W737" s="24"/>
      <c r="X737" s="24"/>
      <c r="Y737" s="24"/>
      <c r="Z737" s="24"/>
      <c r="AA737" s="24"/>
      <c r="AB737" s="24"/>
      <c r="AC737" s="24"/>
    </row>
    <row r="738" spans="1:29" ht="12.9">
      <c r="A738" s="24"/>
      <c r="B738" s="24"/>
      <c r="C738" s="143"/>
      <c r="D738" s="24"/>
      <c r="E738" s="24"/>
      <c r="F738" s="24"/>
      <c r="G738" s="24"/>
      <c r="H738" s="117"/>
      <c r="I738" s="117"/>
      <c r="J738" s="24"/>
      <c r="K738" s="24"/>
      <c r="L738" s="24"/>
      <c r="M738" s="24"/>
      <c r="N738" s="24"/>
      <c r="O738" s="24"/>
      <c r="P738" s="24"/>
      <c r="Q738" s="24"/>
      <c r="R738" s="24"/>
      <c r="S738" s="24"/>
      <c r="T738" s="24"/>
      <c r="U738" s="24"/>
      <c r="V738" s="24"/>
      <c r="W738" s="24"/>
      <c r="X738" s="24"/>
      <c r="Y738" s="24"/>
      <c r="Z738" s="24"/>
      <c r="AA738" s="24"/>
      <c r="AB738" s="24"/>
      <c r="AC738" s="24"/>
    </row>
    <row r="739" spans="1:29" ht="12.9">
      <c r="A739" s="24"/>
      <c r="B739" s="24"/>
      <c r="C739" s="143"/>
      <c r="D739" s="24"/>
      <c r="E739" s="24"/>
      <c r="F739" s="24"/>
      <c r="G739" s="24"/>
      <c r="H739" s="117"/>
      <c r="I739" s="117"/>
      <c r="J739" s="24"/>
      <c r="K739" s="24"/>
      <c r="L739" s="24"/>
      <c r="M739" s="24"/>
      <c r="N739" s="24"/>
      <c r="O739" s="24"/>
      <c r="P739" s="24"/>
      <c r="Q739" s="24"/>
      <c r="R739" s="24"/>
      <c r="S739" s="24"/>
      <c r="T739" s="24"/>
      <c r="U739" s="24"/>
      <c r="V739" s="24"/>
      <c r="W739" s="24"/>
      <c r="X739" s="24"/>
      <c r="Y739" s="24"/>
      <c r="Z739" s="24"/>
      <c r="AA739" s="24"/>
      <c r="AB739" s="24"/>
      <c r="AC739" s="24"/>
    </row>
    <row r="740" spans="1:29" ht="12.9">
      <c r="A740" s="24"/>
      <c r="B740" s="24"/>
      <c r="C740" s="143"/>
      <c r="D740" s="24"/>
      <c r="E740" s="24"/>
      <c r="F740" s="24"/>
      <c r="G740" s="24"/>
      <c r="H740" s="117"/>
      <c r="I740" s="117"/>
      <c r="J740" s="24"/>
      <c r="K740" s="24"/>
      <c r="L740" s="24"/>
      <c r="M740" s="24"/>
      <c r="N740" s="24"/>
      <c r="O740" s="24"/>
      <c r="P740" s="24"/>
      <c r="Q740" s="24"/>
      <c r="R740" s="24"/>
      <c r="S740" s="24"/>
      <c r="T740" s="24"/>
      <c r="U740" s="24"/>
      <c r="V740" s="24"/>
      <c r="W740" s="24"/>
      <c r="X740" s="24"/>
      <c r="Y740" s="24"/>
      <c r="Z740" s="24"/>
      <c r="AA740" s="24"/>
      <c r="AB740" s="24"/>
      <c r="AC740" s="24"/>
    </row>
    <row r="741" spans="1:29" ht="12.9">
      <c r="A741" s="24"/>
      <c r="B741" s="24"/>
      <c r="C741" s="143"/>
      <c r="D741" s="24"/>
      <c r="E741" s="24"/>
      <c r="F741" s="24"/>
      <c r="G741" s="24"/>
      <c r="H741" s="117"/>
      <c r="I741" s="117"/>
      <c r="J741" s="24"/>
      <c r="K741" s="24"/>
      <c r="L741" s="24"/>
      <c r="M741" s="24"/>
      <c r="N741" s="24"/>
      <c r="O741" s="24"/>
      <c r="P741" s="24"/>
      <c r="Q741" s="24"/>
      <c r="R741" s="24"/>
      <c r="S741" s="24"/>
      <c r="T741" s="24"/>
      <c r="U741" s="24"/>
      <c r="V741" s="24"/>
      <c r="W741" s="24"/>
      <c r="X741" s="24"/>
      <c r="Y741" s="24"/>
      <c r="Z741" s="24"/>
      <c r="AA741" s="24"/>
      <c r="AB741" s="24"/>
      <c r="AC741" s="24"/>
    </row>
    <row r="742" spans="1:29" ht="12.9">
      <c r="A742" s="24"/>
      <c r="B742" s="24"/>
      <c r="C742" s="143"/>
      <c r="D742" s="24"/>
      <c r="E742" s="24"/>
      <c r="F742" s="24"/>
      <c r="G742" s="24"/>
      <c r="H742" s="117"/>
      <c r="I742" s="117"/>
      <c r="J742" s="24"/>
      <c r="K742" s="24"/>
      <c r="L742" s="24"/>
      <c r="M742" s="24"/>
      <c r="N742" s="24"/>
      <c r="O742" s="24"/>
      <c r="P742" s="24"/>
      <c r="Q742" s="24"/>
      <c r="R742" s="24"/>
      <c r="S742" s="24"/>
      <c r="T742" s="24"/>
      <c r="U742" s="24"/>
      <c r="V742" s="24"/>
      <c r="W742" s="24"/>
      <c r="X742" s="24"/>
      <c r="Y742" s="24"/>
      <c r="Z742" s="24"/>
      <c r="AA742" s="24"/>
      <c r="AB742" s="24"/>
      <c r="AC742" s="24"/>
    </row>
    <row r="743" spans="1:29" ht="12.9">
      <c r="A743" s="24"/>
      <c r="B743" s="24"/>
      <c r="C743" s="143"/>
      <c r="D743" s="24"/>
      <c r="E743" s="24"/>
      <c r="F743" s="24"/>
      <c r="G743" s="24"/>
      <c r="H743" s="117"/>
      <c r="I743" s="117"/>
      <c r="J743" s="24"/>
      <c r="K743" s="24"/>
      <c r="L743" s="24"/>
      <c r="M743" s="24"/>
      <c r="N743" s="24"/>
      <c r="O743" s="24"/>
      <c r="P743" s="24"/>
      <c r="Q743" s="24"/>
      <c r="R743" s="24"/>
      <c r="S743" s="24"/>
      <c r="T743" s="24"/>
      <c r="U743" s="24"/>
      <c r="V743" s="24"/>
      <c r="W743" s="24"/>
      <c r="X743" s="24"/>
      <c r="Y743" s="24"/>
      <c r="Z743" s="24"/>
      <c r="AA743" s="24"/>
      <c r="AB743" s="24"/>
      <c r="AC743" s="24"/>
    </row>
    <row r="744" spans="1:29" ht="12.9">
      <c r="A744" s="24"/>
      <c r="B744" s="24"/>
      <c r="C744" s="143"/>
      <c r="D744" s="24"/>
      <c r="E744" s="24"/>
      <c r="F744" s="24"/>
      <c r="G744" s="24"/>
      <c r="H744" s="117"/>
      <c r="I744" s="117"/>
      <c r="J744" s="24"/>
      <c r="K744" s="24"/>
      <c r="L744" s="24"/>
      <c r="M744" s="24"/>
      <c r="N744" s="24"/>
      <c r="O744" s="24"/>
      <c r="P744" s="24"/>
      <c r="Q744" s="24"/>
      <c r="R744" s="24"/>
      <c r="S744" s="24"/>
      <c r="T744" s="24"/>
      <c r="U744" s="24"/>
      <c r="V744" s="24"/>
      <c r="W744" s="24"/>
      <c r="X744" s="24"/>
      <c r="Y744" s="24"/>
      <c r="Z744" s="24"/>
      <c r="AA744" s="24"/>
      <c r="AB744" s="24"/>
      <c r="AC744" s="24"/>
    </row>
    <row r="745" spans="1:29" ht="12.9">
      <c r="A745" s="24"/>
      <c r="B745" s="24"/>
      <c r="C745" s="143"/>
      <c r="D745" s="24"/>
      <c r="E745" s="24"/>
      <c r="F745" s="24"/>
      <c r="G745" s="24"/>
      <c r="H745" s="117"/>
      <c r="I745" s="117"/>
      <c r="J745" s="24"/>
      <c r="K745" s="24"/>
      <c r="L745" s="24"/>
      <c r="M745" s="24"/>
      <c r="N745" s="24"/>
      <c r="O745" s="24"/>
      <c r="P745" s="24"/>
      <c r="Q745" s="24"/>
      <c r="R745" s="24"/>
      <c r="S745" s="24"/>
      <c r="T745" s="24"/>
      <c r="U745" s="24"/>
      <c r="V745" s="24"/>
      <c r="W745" s="24"/>
      <c r="X745" s="24"/>
      <c r="Y745" s="24"/>
      <c r="Z745" s="24"/>
      <c r="AA745" s="24"/>
      <c r="AB745" s="24"/>
      <c r="AC745" s="24"/>
    </row>
    <row r="746" spans="1:29" ht="12.9">
      <c r="A746" s="24"/>
      <c r="B746" s="24"/>
      <c r="C746" s="143"/>
      <c r="D746" s="24"/>
      <c r="E746" s="24"/>
      <c r="F746" s="24"/>
      <c r="G746" s="24"/>
      <c r="H746" s="117"/>
      <c r="I746" s="117"/>
      <c r="J746" s="24"/>
      <c r="K746" s="24"/>
      <c r="L746" s="24"/>
      <c r="M746" s="24"/>
      <c r="N746" s="24"/>
      <c r="O746" s="24"/>
      <c r="P746" s="24"/>
      <c r="Q746" s="24"/>
      <c r="R746" s="24"/>
      <c r="S746" s="24"/>
      <c r="T746" s="24"/>
      <c r="U746" s="24"/>
      <c r="V746" s="24"/>
      <c r="W746" s="24"/>
      <c r="X746" s="24"/>
      <c r="Y746" s="24"/>
      <c r="Z746" s="24"/>
      <c r="AA746" s="24"/>
      <c r="AB746" s="24"/>
      <c r="AC746" s="24"/>
    </row>
    <row r="747" spans="1:29" ht="12.9">
      <c r="A747" s="24"/>
      <c r="B747" s="24"/>
      <c r="C747" s="143"/>
      <c r="D747" s="24"/>
      <c r="E747" s="24"/>
      <c r="F747" s="24"/>
      <c r="G747" s="24"/>
      <c r="H747" s="117"/>
      <c r="I747" s="117"/>
      <c r="J747" s="24"/>
      <c r="K747" s="24"/>
      <c r="L747" s="24"/>
      <c r="M747" s="24"/>
      <c r="N747" s="24"/>
      <c r="O747" s="24"/>
      <c r="P747" s="24"/>
      <c r="Q747" s="24"/>
      <c r="R747" s="24"/>
      <c r="S747" s="24"/>
      <c r="T747" s="24"/>
      <c r="U747" s="24"/>
      <c r="V747" s="24"/>
      <c r="W747" s="24"/>
      <c r="X747" s="24"/>
      <c r="Y747" s="24"/>
      <c r="Z747" s="24"/>
      <c r="AA747" s="24"/>
      <c r="AB747" s="24"/>
      <c r="AC747" s="24"/>
    </row>
    <row r="748" spans="1:29" ht="12.9">
      <c r="A748" s="24"/>
      <c r="B748" s="24"/>
      <c r="C748" s="143"/>
      <c r="D748" s="24"/>
      <c r="E748" s="24"/>
      <c r="F748" s="24"/>
      <c r="G748" s="24"/>
      <c r="H748" s="117"/>
      <c r="I748" s="117"/>
      <c r="J748" s="24"/>
      <c r="K748" s="24"/>
      <c r="L748" s="24"/>
      <c r="M748" s="24"/>
      <c r="N748" s="24"/>
      <c r="O748" s="24"/>
      <c r="P748" s="24"/>
      <c r="Q748" s="24"/>
      <c r="R748" s="24"/>
      <c r="S748" s="24"/>
      <c r="T748" s="24"/>
      <c r="U748" s="24"/>
      <c r="V748" s="24"/>
      <c r="W748" s="24"/>
      <c r="X748" s="24"/>
      <c r="Y748" s="24"/>
      <c r="Z748" s="24"/>
      <c r="AA748" s="24"/>
      <c r="AB748" s="24"/>
      <c r="AC748" s="24"/>
    </row>
    <row r="749" spans="1:29" ht="12.9">
      <c r="A749" s="24"/>
      <c r="B749" s="24"/>
      <c r="C749" s="143"/>
      <c r="D749" s="24"/>
      <c r="E749" s="24"/>
      <c r="F749" s="24"/>
      <c r="G749" s="24"/>
      <c r="H749" s="117"/>
      <c r="I749" s="117"/>
      <c r="J749" s="24"/>
      <c r="K749" s="24"/>
      <c r="L749" s="24"/>
      <c r="M749" s="24"/>
      <c r="N749" s="24"/>
      <c r="O749" s="24"/>
      <c r="P749" s="24"/>
      <c r="Q749" s="24"/>
      <c r="R749" s="24"/>
      <c r="S749" s="24"/>
      <c r="T749" s="24"/>
      <c r="U749" s="24"/>
      <c r="V749" s="24"/>
      <c r="W749" s="24"/>
      <c r="X749" s="24"/>
      <c r="Y749" s="24"/>
      <c r="Z749" s="24"/>
      <c r="AA749" s="24"/>
      <c r="AB749" s="24"/>
      <c r="AC749" s="24"/>
    </row>
    <row r="750" spans="1:29" ht="12.9">
      <c r="A750" s="24"/>
      <c r="B750" s="24"/>
      <c r="C750" s="143"/>
      <c r="D750" s="24"/>
      <c r="E750" s="24"/>
      <c r="F750" s="24"/>
      <c r="G750" s="24"/>
      <c r="H750" s="117"/>
      <c r="I750" s="117"/>
      <c r="J750" s="24"/>
      <c r="K750" s="24"/>
      <c r="L750" s="24"/>
      <c r="M750" s="24"/>
      <c r="N750" s="24"/>
      <c r="O750" s="24"/>
      <c r="P750" s="24"/>
      <c r="Q750" s="24"/>
      <c r="R750" s="24"/>
      <c r="S750" s="24"/>
      <c r="T750" s="24"/>
      <c r="U750" s="24"/>
      <c r="V750" s="24"/>
      <c r="W750" s="24"/>
      <c r="X750" s="24"/>
      <c r="Y750" s="24"/>
      <c r="Z750" s="24"/>
      <c r="AA750" s="24"/>
      <c r="AB750" s="24"/>
      <c r="AC750" s="24"/>
    </row>
    <row r="751" spans="1:29" ht="12.9">
      <c r="A751" s="24"/>
      <c r="B751" s="24"/>
      <c r="C751" s="143"/>
      <c r="D751" s="24"/>
      <c r="E751" s="24"/>
      <c r="F751" s="24"/>
      <c r="G751" s="24"/>
      <c r="H751" s="117"/>
      <c r="I751" s="117"/>
      <c r="J751" s="24"/>
      <c r="K751" s="24"/>
      <c r="L751" s="24"/>
      <c r="M751" s="24"/>
      <c r="N751" s="24"/>
      <c r="O751" s="24"/>
      <c r="P751" s="24"/>
      <c r="Q751" s="24"/>
      <c r="R751" s="24"/>
      <c r="S751" s="24"/>
      <c r="T751" s="24"/>
      <c r="U751" s="24"/>
      <c r="V751" s="24"/>
      <c r="W751" s="24"/>
      <c r="X751" s="24"/>
      <c r="Y751" s="24"/>
      <c r="Z751" s="24"/>
      <c r="AA751" s="24"/>
      <c r="AB751" s="24"/>
      <c r="AC751" s="24"/>
    </row>
    <row r="752" spans="1:29" ht="12.9">
      <c r="A752" s="24"/>
      <c r="B752" s="24"/>
      <c r="C752" s="143"/>
      <c r="D752" s="24"/>
      <c r="E752" s="24"/>
      <c r="F752" s="24"/>
      <c r="G752" s="24"/>
      <c r="H752" s="117"/>
      <c r="I752" s="117"/>
      <c r="J752" s="24"/>
      <c r="K752" s="24"/>
      <c r="L752" s="24"/>
      <c r="M752" s="24"/>
      <c r="N752" s="24"/>
      <c r="O752" s="24"/>
      <c r="P752" s="24"/>
      <c r="Q752" s="24"/>
      <c r="R752" s="24"/>
      <c r="S752" s="24"/>
      <c r="T752" s="24"/>
      <c r="U752" s="24"/>
      <c r="V752" s="24"/>
      <c r="W752" s="24"/>
      <c r="X752" s="24"/>
      <c r="Y752" s="24"/>
      <c r="Z752" s="24"/>
      <c r="AA752" s="24"/>
      <c r="AB752" s="24"/>
      <c r="AC752" s="24"/>
    </row>
    <row r="753" spans="1:29" ht="12.9">
      <c r="A753" s="24"/>
      <c r="B753" s="24"/>
      <c r="C753" s="143"/>
      <c r="D753" s="24"/>
      <c r="E753" s="24"/>
      <c r="F753" s="24"/>
      <c r="G753" s="24"/>
      <c r="H753" s="117"/>
      <c r="I753" s="117"/>
      <c r="J753" s="24"/>
      <c r="K753" s="24"/>
      <c r="L753" s="24"/>
      <c r="M753" s="24"/>
      <c r="N753" s="24"/>
      <c r="O753" s="24"/>
      <c r="P753" s="24"/>
      <c r="Q753" s="24"/>
      <c r="R753" s="24"/>
      <c r="S753" s="24"/>
      <c r="T753" s="24"/>
      <c r="U753" s="24"/>
      <c r="V753" s="24"/>
      <c r="W753" s="24"/>
      <c r="X753" s="24"/>
      <c r="Y753" s="24"/>
      <c r="Z753" s="24"/>
      <c r="AA753" s="24"/>
      <c r="AB753" s="24"/>
      <c r="AC753" s="24"/>
    </row>
    <row r="754" spans="1:29" ht="12.9">
      <c r="A754" s="24"/>
      <c r="B754" s="24"/>
      <c r="C754" s="143"/>
      <c r="D754" s="24"/>
      <c r="E754" s="24"/>
      <c r="F754" s="24"/>
      <c r="G754" s="24"/>
      <c r="H754" s="117"/>
      <c r="I754" s="117"/>
      <c r="J754" s="24"/>
      <c r="K754" s="24"/>
      <c r="L754" s="24"/>
      <c r="M754" s="24"/>
      <c r="N754" s="24"/>
      <c r="O754" s="24"/>
      <c r="P754" s="24"/>
      <c r="Q754" s="24"/>
      <c r="R754" s="24"/>
      <c r="S754" s="24"/>
      <c r="T754" s="24"/>
      <c r="U754" s="24"/>
      <c r="V754" s="24"/>
      <c r="W754" s="24"/>
      <c r="X754" s="24"/>
      <c r="Y754" s="24"/>
      <c r="Z754" s="24"/>
      <c r="AA754" s="24"/>
      <c r="AB754" s="24"/>
      <c r="AC754" s="24"/>
    </row>
    <row r="755" spans="1:29" ht="12.9">
      <c r="A755" s="24"/>
      <c r="B755" s="24"/>
      <c r="C755" s="143"/>
      <c r="D755" s="24"/>
      <c r="E755" s="24"/>
      <c r="F755" s="24"/>
      <c r="G755" s="24"/>
      <c r="H755" s="117"/>
      <c r="I755" s="117"/>
      <c r="J755" s="24"/>
      <c r="K755" s="24"/>
      <c r="L755" s="24"/>
      <c r="M755" s="24"/>
      <c r="N755" s="24"/>
      <c r="O755" s="24"/>
      <c r="P755" s="24"/>
      <c r="Q755" s="24"/>
      <c r="R755" s="24"/>
      <c r="S755" s="24"/>
      <c r="T755" s="24"/>
      <c r="U755" s="24"/>
      <c r="V755" s="24"/>
      <c r="W755" s="24"/>
      <c r="X755" s="24"/>
      <c r="Y755" s="24"/>
      <c r="Z755" s="24"/>
      <c r="AA755" s="24"/>
      <c r="AB755" s="24"/>
      <c r="AC755" s="24"/>
    </row>
    <row r="756" spans="1:29" ht="12.9">
      <c r="A756" s="24"/>
      <c r="B756" s="24"/>
      <c r="C756" s="143"/>
      <c r="D756" s="24"/>
      <c r="E756" s="24"/>
      <c r="F756" s="24"/>
      <c r="G756" s="24"/>
      <c r="H756" s="117"/>
      <c r="I756" s="117"/>
      <c r="J756" s="24"/>
      <c r="K756" s="24"/>
      <c r="L756" s="24"/>
      <c r="M756" s="24"/>
      <c r="N756" s="24"/>
      <c r="O756" s="24"/>
      <c r="P756" s="24"/>
      <c r="Q756" s="24"/>
      <c r="R756" s="24"/>
      <c r="S756" s="24"/>
      <c r="T756" s="24"/>
      <c r="U756" s="24"/>
      <c r="V756" s="24"/>
      <c r="W756" s="24"/>
      <c r="X756" s="24"/>
      <c r="Y756" s="24"/>
      <c r="Z756" s="24"/>
      <c r="AA756" s="24"/>
      <c r="AB756" s="24"/>
      <c r="AC756" s="24"/>
    </row>
    <row r="757" spans="1:29" ht="12.9">
      <c r="A757" s="24"/>
      <c r="B757" s="24"/>
      <c r="C757" s="143"/>
      <c r="D757" s="24"/>
      <c r="E757" s="24"/>
      <c r="F757" s="24"/>
      <c r="G757" s="24"/>
      <c r="H757" s="117"/>
      <c r="I757" s="117"/>
      <c r="J757" s="24"/>
      <c r="K757" s="24"/>
      <c r="L757" s="24"/>
      <c r="M757" s="24"/>
      <c r="N757" s="24"/>
      <c r="O757" s="24"/>
      <c r="P757" s="24"/>
      <c r="Q757" s="24"/>
      <c r="R757" s="24"/>
      <c r="S757" s="24"/>
      <c r="T757" s="24"/>
      <c r="U757" s="24"/>
      <c r="V757" s="24"/>
      <c r="W757" s="24"/>
      <c r="X757" s="24"/>
      <c r="Y757" s="24"/>
      <c r="Z757" s="24"/>
      <c r="AA757" s="24"/>
      <c r="AB757" s="24"/>
      <c r="AC757" s="24"/>
    </row>
    <row r="758" spans="1:29" ht="12.9">
      <c r="A758" s="24"/>
      <c r="B758" s="24"/>
      <c r="C758" s="143"/>
      <c r="D758" s="24"/>
      <c r="E758" s="24"/>
      <c r="F758" s="24"/>
      <c r="G758" s="24"/>
      <c r="H758" s="117"/>
      <c r="I758" s="117"/>
      <c r="J758" s="24"/>
      <c r="K758" s="24"/>
      <c r="L758" s="24"/>
      <c r="M758" s="24"/>
      <c r="N758" s="24"/>
      <c r="O758" s="24"/>
      <c r="P758" s="24"/>
      <c r="Q758" s="24"/>
      <c r="R758" s="24"/>
      <c r="S758" s="24"/>
      <c r="T758" s="24"/>
      <c r="U758" s="24"/>
      <c r="V758" s="24"/>
      <c r="W758" s="24"/>
      <c r="X758" s="24"/>
      <c r="Y758" s="24"/>
      <c r="Z758" s="24"/>
      <c r="AA758" s="24"/>
      <c r="AB758" s="24"/>
      <c r="AC758" s="24"/>
    </row>
    <row r="759" spans="1:29" ht="12.9">
      <c r="A759" s="24"/>
      <c r="B759" s="24"/>
      <c r="C759" s="143"/>
      <c r="D759" s="24"/>
      <c r="E759" s="24"/>
      <c r="F759" s="24"/>
      <c r="G759" s="24"/>
      <c r="H759" s="117"/>
      <c r="I759" s="117"/>
      <c r="J759" s="24"/>
      <c r="K759" s="24"/>
      <c r="L759" s="24"/>
      <c r="M759" s="24"/>
      <c r="N759" s="24"/>
      <c r="O759" s="24"/>
      <c r="P759" s="24"/>
      <c r="Q759" s="24"/>
      <c r="R759" s="24"/>
      <c r="S759" s="24"/>
      <c r="T759" s="24"/>
      <c r="U759" s="24"/>
      <c r="V759" s="24"/>
      <c r="W759" s="24"/>
      <c r="X759" s="24"/>
      <c r="Y759" s="24"/>
      <c r="Z759" s="24"/>
      <c r="AA759" s="24"/>
      <c r="AB759" s="24"/>
      <c r="AC759" s="24"/>
    </row>
    <row r="760" spans="1:29" ht="12.9">
      <c r="A760" s="24"/>
      <c r="B760" s="24"/>
      <c r="C760" s="143"/>
      <c r="D760" s="24"/>
      <c r="E760" s="24"/>
      <c r="F760" s="24"/>
      <c r="G760" s="24"/>
      <c r="H760" s="117"/>
      <c r="I760" s="117"/>
      <c r="J760" s="24"/>
      <c r="K760" s="24"/>
      <c r="L760" s="24"/>
      <c r="M760" s="24"/>
      <c r="N760" s="24"/>
      <c r="O760" s="24"/>
      <c r="P760" s="24"/>
      <c r="Q760" s="24"/>
      <c r="R760" s="24"/>
      <c r="S760" s="24"/>
      <c r="T760" s="24"/>
      <c r="U760" s="24"/>
      <c r="V760" s="24"/>
      <c r="W760" s="24"/>
      <c r="X760" s="24"/>
      <c r="Y760" s="24"/>
      <c r="Z760" s="24"/>
      <c r="AA760" s="24"/>
      <c r="AB760" s="24"/>
      <c r="AC760" s="24"/>
    </row>
    <row r="761" spans="1:29" ht="12.9">
      <c r="A761" s="24"/>
      <c r="B761" s="24"/>
      <c r="C761" s="143"/>
      <c r="D761" s="24"/>
      <c r="E761" s="24"/>
      <c r="F761" s="24"/>
      <c r="G761" s="24"/>
      <c r="H761" s="117"/>
      <c r="I761" s="117"/>
      <c r="J761" s="24"/>
      <c r="K761" s="24"/>
      <c r="L761" s="24"/>
      <c r="M761" s="24"/>
      <c r="N761" s="24"/>
      <c r="O761" s="24"/>
      <c r="P761" s="24"/>
      <c r="Q761" s="24"/>
      <c r="R761" s="24"/>
      <c r="S761" s="24"/>
      <c r="T761" s="24"/>
      <c r="U761" s="24"/>
      <c r="V761" s="24"/>
      <c r="W761" s="24"/>
      <c r="X761" s="24"/>
      <c r="Y761" s="24"/>
      <c r="Z761" s="24"/>
      <c r="AA761" s="24"/>
      <c r="AB761" s="24"/>
      <c r="AC761" s="24"/>
    </row>
    <row r="762" spans="1:29" ht="12.9">
      <c r="A762" s="24"/>
      <c r="B762" s="24"/>
      <c r="C762" s="143"/>
      <c r="D762" s="24"/>
      <c r="E762" s="24"/>
      <c r="F762" s="24"/>
      <c r="G762" s="24"/>
      <c r="H762" s="117"/>
      <c r="I762" s="117"/>
      <c r="J762" s="24"/>
      <c r="K762" s="24"/>
      <c r="L762" s="24"/>
      <c r="M762" s="24"/>
      <c r="N762" s="24"/>
      <c r="O762" s="24"/>
      <c r="P762" s="24"/>
      <c r="Q762" s="24"/>
      <c r="R762" s="24"/>
      <c r="S762" s="24"/>
      <c r="T762" s="24"/>
      <c r="U762" s="24"/>
      <c r="V762" s="24"/>
      <c r="W762" s="24"/>
      <c r="X762" s="24"/>
      <c r="Y762" s="24"/>
      <c r="Z762" s="24"/>
      <c r="AA762" s="24"/>
      <c r="AB762" s="24"/>
      <c r="AC762" s="24"/>
    </row>
    <row r="763" spans="1:29" ht="12.9">
      <c r="A763" s="24"/>
      <c r="B763" s="24"/>
      <c r="C763" s="143"/>
      <c r="D763" s="24"/>
      <c r="E763" s="24"/>
      <c r="F763" s="24"/>
      <c r="G763" s="24"/>
      <c r="H763" s="117"/>
      <c r="I763" s="117"/>
      <c r="J763" s="24"/>
      <c r="K763" s="24"/>
      <c r="L763" s="24"/>
      <c r="M763" s="24"/>
      <c r="N763" s="24"/>
      <c r="O763" s="24"/>
      <c r="P763" s="24"/>
      <c r="Q763" s="24"/>
      <c r="R763" s="24"/>
      <c r="S763" s="24"/>
      <c r="T763" s="24"/>
      <c r="U763" s="24"/>
      <c r="V763" s="24"/>
      <c r="W763" s="24"/>
      <c r="X763" s="24"/>
      <c r="Y763" s="24"/>
      <c r="Z763" s="24"/>
      <c r="AA763" s="24"/>
      <c r="AB763" s="24"/>
      <c r="AC763" s="24"/>
    </row>
    <row r="764" spans="1:29" ht="12.9">
      <c r="A764" s="24"/>
      <c r="B764" s="24"/>
      <c r="C764" s="143"/>
      <c r="D764" s="24"/>
      <c r="E764" s="24"/>
      <c r="F764" s="24"/>
      <c r="G764" s="24"/>
      <c r="H764" s="117"/>
      <c r="I764" s="117"/>
      <c r="J764" s="24"/>
      <c r="K764" s="24"/>
      <c r="L764" s="24"/>
      <c r="M764" s="24"/>
      <c r="N764" s="24"/>
      <c r="O764" s="24"/>
      <c r="P764" s="24"/>
      <c r="Q764" s="24"/>
      <c r="R764" s="24"/>
      <c r="S764" s="24"/>
      <c r="T764" s="24"/>
      <c r="U764" s="24"/>
      <c r="V764" s="24"/>
      <c r="W764" s="24"/>
      <c r="X764" s="24"/>
      <c r="Y764" s="24"/>
      <c r="Z764" s="24"/>
      <c r="AA764" s="24"/>
      <c r="AB764" s="24"/>
      <c r="AC764" s="24"/>
    </row>
    <row r="765" spans="1:29" ht="12.9">
      <c r="A765" s="24"/>
      <c r="B765" s="24"/>
      <c r="C765" s="143"/>
      <c r="D765" s="24"/>
      <c r="E765" s="24"/>
      <c r="F765" s="24"/>
      <c r="G765" s="24"/>
      <c r="H765" s="117"/>
      <c r="I765" s="117"/>
      <c r="J765" s="24"/>
      <c r="K765" s="24"/>
      <c r="L765" s="24"/>
      <c r="M765" s="24"/>
      <c r="N765" s="24"/>
      <c r="O765" s="24"/>
      <c r="P765" s="24"/>
      <c r="Q765" s="24"/>
      <c r="R765" s="24"/>
      <c r="S765" s="24"/>
      <c r="T765" s="24"/>
      <c r="U765" s="24"/>
      <c r="V765" s="24"/>
      <c r="W765" s="24"/>
      <c r="X765" s="24"/>
      <c r="Y765" s="24"/>
      <c r="Z765" s="24"/>
      <c r="AA765" s="24"/>
      <c r="AB765" s="24"/>
      <c r="AC765" s="24"/>
    </row>
    <row r="766" spans="1:29" ht="12.9">
      <c r="A766" s="24"/>
      <c r="B766" s="24"/>
      <c r="C766" s="143"/>
      <c r="D766" s="24"/>
      <c r="E766" s="24"/>
      <c r="F766" s="24"/>
      <c r="G766" s="24"/>
      <c r="H766" s="117"/>
      <c r="I766" s="117"/>
      <c r="J766" s="24"/>
      <c r="K766" s="24"/>
      <c r="L766" s="24"/>
      <c r="M766" s="24"/>
      <c r="N766" s="24"/>
      <c r="O766" s="24"/>
      <c r="P766" s="24"/>
      <c r="Q766" s="24"/>
      <c r="R766" s="24"/>
      <c r="S766" s="24"/>
      <c r="T766" s="24"/>
      <c r="U766" s="24"/>
      <c r="V766" s="24"/>
      <c r="W766" s="24"/>
      <c r="X766" s="24"/>
      <c r="Y766" s="24"/>
      <c r="Z766" s="24"/>
      <c r="AA766" s="24"/>
      <c r="AB766" s="24"/>
      <c r="AC766" s="24"/>
    </row>
    <row r="767" spans="1:29" ht="12.9">
      <c r="A767" s="24"/>
      <c r="B767" s="24"/>
      <c r="C767" s="143"/>
      <c r="D767" s="24"/>
      <c r="E767" s="24"/>
      <c r="F767" s="24"/>
      <c r="G767" s="24"/>
      <c r="H767" s="117"/>
      <c r="I767" s="117"/>
      <c r="J767" s="24"/>
      <c r="K767" s="24"/>
      <c r="L767" s="24"/>
      <c r="M767" s="24"/>
      <c r="N767" s="24"/>
      <c r="O767" s="24"/>
      <c r="P767" s="24"/>
      <c r="Q767" s="24"/>
      <c r="R767" s="24"/>
      <c r="S767" s="24"/>
      <c r="T767" s="24"/>
      <c r="U767" s="24"/>
      <c r="V767" s="24"/>
      <c r="W767" s="24"/>
      <c r="X767" s="24"/>
      <c r="Y767" s="24"/>
      <c r="Z767" s="24"/>
      <c r="AA767" s="24"/>
      <c r="AB767" s="24"/>
      <c r="AC767" s="24"/>
    </row>
    <row r="768" spans="1:29" ht="12.9">
      <c r="A768" s="24"/>
      <c r="B768" s="24"/>
      <c r="C768" s="143"/>
      <c r="D768" s="24"/>
      <c r="E768" s="24"/>
      <c r="F768" s="24"/>
      <c r="G768" s="24"/>
      <c r="H768" s="117"/>
      <c r="I768" s="117"/>
      <c r="J768" s="24"/>
      <c r="K768" s="24"/>
      <c r="L768" s="24"/>
      <c r="M768" s="24"/>
      <c r="N768" s="24"/>
      <c r="O768" s="24"/>
      <c r="P768" s="24"/>
      <c r="Q768" s="24"/>
      <c r="R768" s="24"/>
      <c r="S768" s="24"/>
      <c r="T768" s="24"/>
      <c r="U768" s="24"/>
      <c r="V768" s="24"/>
      <c r="W768" s="24"/>
      <c r="X768" s="24"/>
      <c r="Y768" s="24"/>
      <c r="Z768" s="24"/>
      <c r="AA768" s="24"/>
      <c r="AB768" s="24"/>
      <c r="AC768" s="24"/>
    </row>
    <row r="769" spans="1:29" ht="12.9">
      <c r="A769" s="24"/>
      <c r="B769" s="24"/>
      <c r="C769" s="143"/>
      <c r="D769" s="24"/>
      <c r="E769" s="24"/>
      <c r="F769" s="24"/>
      <c r="G769" s="24"/>
      <c r="H769" s="117"/>
      <c r="I769" s="117"/>
      <c r="J769" s="24"/>
      <c r="K769" s="24"/>
      <c r="L769" s="24"/>
      <c r="M769" s="24"/>
      <c r="N769" s="24"/>
      <c r="O769" s="24"/>
      <c r="P769" s="24"/>
      <c r="Q769" s="24"/>
      <c r="R769" s="24"/>
      <c r="S769" s="24"/>
      <c r="T769" s="24"/>
      <c r="U769" s="24"/>
      <c r="V769" s="24"/>
      <c r="W769" s="24"/>
      <c r="X769" s="24"/>
      <c r="Y769" s="24"/>
      <c r="Z769" s="24"/>
      <c r="AA769" s="24"/>
      <c r="AB769" s="24"/>
      <c r="AC769" s="24"/>
    </row>
    <row r="770" spans="1:29" ht="12.9">
      <c r="A770" s="24"/>
      <c r="B770" s="24"/>
      <c r="C770" s="143"/>
      <c r="D770" s="24"/>
      <c r="E770" s="24"/>
      <c r="F770" s="24"/>
      <c r="G770" s="24"/>
      <c r="H770" s="117"/>
      <c r="I770" s="117"/>
      <c r="J770" s="24"/>
      <c r="K770" s="24"/>
      <c r="L770" s="24"/>
      <c r="M770" s="24"/>
      <c r="N770" s="24"/>
      <c r="O770" s="24"/>
      <c r="P770" s="24"/>
      <c r="Q770" s="24"/>
      <c r="R770" s="24"/>
      <c r="S770" s="24"/>
      <c r="T770" s="24"/>
      <c r="U770" s="24"/>
      <c r="V770" s="24"/>
      <c r="W770" s="24"/>
      <c r="X770" s="24"/>
      <c r="Y770" s="24"/>
      <c r="Z770" s="24"/>
      <c r="AA770" s="24"/>
      <c r="AB770" s="24"/>
      <c r="AC770" s="24"/>
    </row>
    <row r="771" spans="1:29" ht="12.9">
      <c r="A771" s="24"/>
      <c r="B771" s="24"/>
      <c r="C771" s="143"/>
      <c r="D771" s="24"/>
      <c r="E771" s="24"/>
      <c r="F771" s="24"/>
      <c r="G771" s="24"/>
      <c r="H771" s="117"/>
      <c r="I771" s="117"/>
      <c r="J771" s="24"/>
      <c r="K771" s="24"/>
      <c r="L771" s="24"/>
      <c r="M771" s="24"/>
      <c r="N771" s="24"/>
      <c r="O771" s="24"/>
      <c r="P771" s="24"/>
      <c r="Q771" s="24"/>
      <c r="R771" s="24"/>
      <c r="S771" s="24"/>
      <c r="T771" s="24"/>
      <c r="U771" s="24"/>
      <c r="V771" s="24"/>
      <c r="W771" s="24"/>
      <c r="X771" s="24"/>
      <c r="Y771" s="24"/>
      <c r="Z771" s="24"/>
      <c r="AA771" s="24"/>
      <c r="AB771" s="24"/>
      <c r="AC771" s="24"/>
    </row>
    <row r="772" spans="1:29" ht="12.9">
      <c r="A772" s="24"/>
      <c r="B772" s="24"/>
      <c r="C772" s="143"/>
      <c r="D772" s="24"/>
      <c r="E772" s="24"/>
      <c r="F772" s="24"/>
      <c r="G772" s="24"/>
      <c r="H772" s="117"/>
      <c r="I772" s="117"/>
      <c r="J772" s="24"/>
      <c r="K772" s="24"/>
      <c r="L772" s="24"/>
      <c r="M772" s="24"/>
      <c r="N772" s="24"/>
      <c r="O772" s="24"/>
      <c r="P772" s="24"/>
      <c r="Q772" s="24"/>
      <c r="R772" s="24"/>
      <c r="S772" s="24"/>
      <c r="T772" s="24"/>
      <c r="U772" s="24"/>
      <c r="V772" s="24"/>
      <c r="W772" s="24"/>
      <c r="X772" s="24"/>
      <c r="Y772" s="24"/>
      <c r="Z772" s="24"/>
      <c r="AA772" s="24"/>
      <c r="AB772" s="24"/>
      <c r="AC772" s="24"/>
    </row>
    <row r="773" spans="1:29" ht="12.9">
      <c r="A773" s="24"/>
      <c r="B773" s="24"/>
      <c r="C773" s="143"/>
      <c r="D773" s="24"/>
      <c r="E773" s="24"/>
      <c r="F773" s="24"/>
      <c r="G773" s="24"/>
      <c r="H773" s="117"/>
      <c r="I773" s="117"/>
      <c r="J773" s="24"/>
      <c r="K773" s="24"/>
      <c r="L773" s="24"/>
      <c r="M773" s="24"/>
      <c r="N773" s="24"/>
      <c r="O773" s="24"/>
      <c r="P773" s="24"/>
      <c r="Q773" s="24"/>
      <c r="R773" s="24"/>
      <c r="S773" s="24"/>
      <c r="T773" s="24"/>
      <c r="U773" s="24"/>
      <c r="V773" s="24"/>
      <c r="W773" s="24"/>
      <c r="X773" s="24"/>
      <c r="Y773" s="24"/>
      <c r="Z773" s="24"/>
      <c r="AA773" s="24"/>
      <c r="AB773" s="24"/>
      <c r="AC773" s="24"/>
    </row>
    <row r="774" spans="1:29" ht="12.9">
      <c r="A774" s="24"/>
      <c r="B774" s="24"/>
      <c r="C774" s="143"/>
      <c r="D774" s="24"/>
      <c r="E774" s="24"/>
      <c r="F774" s="24"/>
      <c r="G774" s="24"/>
      <c r="H774" s="117"/>
      <c r="I774" s="117"/>
      <c r="J774" s="24"/>
      <c r="K774" s="24"/>
      <c r="L774" s="24"/>
      <c r="M774" s="24"/>
      <c r="N774" s="24"/>
      <c r="O774" s="24"/>
      <c r="P774" s="24"/>
      <c r="Q774" s="24"/>
      <c r="R774" s="24"/>
      <c r="S774" s="24"/>
      <c r="T774" s="24"/>
      <c r="U774" s="24"/>
      <c r="V774" s="24"/>
      <c r="W774" s="24"/>
      <c r="X774" s="24"/>
      <c r="Y774" s="24"/>
      <c r="Z774" s="24"/>
      <c r="AA774" s="24"/>
      <c r="AB774" s="24"/>
      <c r="AC774" s="24"/>
    </row>
    <row r="775" spans="1:29" ht="12.9">
      <c r="A775" s="24"/>
      <c r="B775" s="24"/>
      <c r="C775" s="143"/>
      <c r="D775" s="24"/>
      <c r="E775" s="24"/>
      <c r="F775" s="24"/>
      <c r="G775" s="24"/>
      <c r="H775" s="117"/>
      <c r="I775" s="117"/>
      <c r="J775" s="24"/>
      <c r="K775" s="24"/>
      <c r="L775" s="24"/>
      <c r="M775" s="24"/>
      <c r="N775" s="24"/>
      <c r="O775" s="24"/>
      <c r="P775" s="24"/>
      <c r="Q775" s="24"/>
      <c r="R775" s="24"/>
      <c r="S775" s="24"/>
      <c r="T775" s="24"/>
      <c r="U775" s="24"/>
      <c r="V775" s="24"/>
      <c r="W775" s="24"/>
      <c r="X775" s="24"/>
      <c r="Y775" s="24"/>
      <c r="Z775" s="24"/>
      <c r="AA775" s="24"/>
      <c r="AB775" s="24"/>
      <c r="AC775" s="24"/>
    </row>
    <row r="776" spans="1:29" ht="12.9">
      <c r="A776" s="24"/>
      <c r="B776" s="24"/>
      <c r="C776" s="143"/>
      <c r="D776" s="24"/>
      <c r="E776" s="24"/>
      <c r="F776" s="24"/>
      <c r="G776" s="24"/>
      <c r="H776" s="117"/>
      <c r="I776" s="117"/>
      <c r="J776" s="24"/>
      <c r="K776" s="24"/>
      <c r="L776" s="24"/>
      <c r="M776" s="24"/>
      <c r="N776" s="24"/>
      <c r="O776" s="24"/>
      <c r="P776" s="24"/>
      <c r="Q776" s="24"/>
      <c r="R776" s="24"/>
      <c r="S776" s="24"/>
      <c r="T776" s="24"/>
      <c r="U776" s="24"/>
      <c r="V776" s="24"/>
      <c r="W776" s="24"/>
      <c r="X776" s="24"/>
      <c r="Y776" s="24"/>
      <c r="Z776" s="24"/>
      <c r="AA776" s="24"/>
      <c r="AB776" s="24"/>
      <c r="AC776" s="24"/>
    </row>
    <row r="777" spans="1:29" ht="12.9">
      <c r="A777" s="24"/>
      <c r="B777" s="24"/>
      <c r="C777" s="143"/>
      <c r="D777" s="24"/>
      <c r="E777" s="24"/>
      <c r="F777" s="24"/>
      <c r="G777" s="24"/>
      <c r="H777" s="117"/>
      <c r="I777" s="117"/>
      <c r="J777" s="24"/>
      <c r="K777" s="24"/>
      <c r="L777" s="24"/>
      <c r="M777" s="24"/>
      <c r="N777" s="24"/>
      <c r="O777" s="24"/>
      <c r="P777" s="24"/>
      <c r="Q777" s="24"/>
      <c r="R777" s="24"/>
      <c r="S777" s="24"/>
      <c r="T777" s="24"/>
      <c r="U777" s="24"/>
      <c r="V777" s="24"/>
      <c r="W777" s="24"/>
      <c r="X777" s="24"/>
      <c r="Y777" s="24"/>
      <c r="Z777" s="24"/>
      <c r="AA777" s="24"/>
      <c r="AB777" s="24"/>
      <c r="AC777" s="24"/>
    </row>
    <row r="778" spans="1:29" ht="12.9">
      <c r="A778" s="24"/>
      <c r="B778" s="24"/>
      <c r="C778" s="143"/>
      <c r="D778" s="24"/>
      <c r="E778" s="24"/>
      <c r="F778" s="24"/>
      <c r="G778" s="24"/>
      <c r="H778" s="117"/>
      <c r="I778" s="117"/>
      <c r="J778" s="24"/>
      <c r="K778" s="24"/>
      <c r="L778" s="24"/>
      <c r="M778" s="24"/>
      <c r="N778" s="24"/>
      <c r="O778" s="24"/>
      <c r="P778" s="24"/>
      <c r="Q778" s="24"/>
      <c r="R778" s="24"/>
      <c r="S778" s="24"/>
      <c r="T778" s="24"/>
      <c r="U778" s="24"/>
      <c r="V778" s="24"/>
      <c r="W778" s="24"/>
      <c r="X778" s="24"/>
      <c r="Y778" s="24"/>
      <c r="Z778" s="24"/>
      <c r="AA778" s="24"/>
      <c r="AB778" s="24"/>
      <c r="AC778" s="24"/>
    </row>
    <row r="779" spans="1:29" ht="12.9">
      <c r="A779" s="24"/>
      <c r="B779" s="24"/>
      <c r="C779" s="143"/>
      <c r="D779" s="24"/>
      <c r="E779" s="24"/>
      <c r="F779" s="24"/>
      <c r="G779" s="24"/>
      <c r="H779" s="117"/>
      <c r="I779" s="117"/>
      <c r="J779" s="24"/>
      <c r="K779" s="24"/>
      <c r="L779" s="24"/>
      <c r="M779" s="24"/>
      <c r="N779" s="24"/>
      <c r="O779" s="24"/>
      <c r="P779" s="24"/>
      <c r="Q779" s="24"/>
      <c r="R779" s="24"/>
      <c r="S779" s="24"/>
      <c r="T779" s="24"/>
      <c r="U779" s="24"/>
      <c r="V779" s="24"/>
      <c r="W779" s="24"/>
      <c r="X779" s="24"/>
      <c r="Y779" s="24"/>
      <c r="Z779" s="24"/>
      <c r="AA779" s="24"/>
      <c r="AB779" s="24"/>
      <c r="AC779" s="24"/>
    </row>
    <row r="780" spans="1:29" ht="12.9">
      <c r="A780" s="24"/>
      <c r="B780" s="24"/>
      <c r="C780" s="143"/>
      <c r="D780" s="24"/>
      <c r="E780" s="24"/>
      <c r="F780" s="24"/>
      <c r="G780" s="24"/>
      <c r="H780" s="117"/>
      <c r="I780" s="117"/>
      <c r="J780" s="24"/>
      <c r="K780" s="24"/>
      <c r="L780" s="24"/>
      <c r="M780" s="24"/>
      <c r="N780" s="24"/>
      <c r="O780" s="24"/>
      <c r="P780" s="24"/>
      <c r="Q780" s="24"/>
      <c r="R780" s="24"/>
      <c r="S780" s="24"/>
      <c r="T780" s="24"/>
      <c r="U780" s="24"/>
      <c r="V780" s="24"/>
      <c r="W780" s="24"/>
      <c r="X780" s="24"/>
      <c r="Y780" s="24"/>
      <c r="Z780" s="24"/>
      <c r="AA780" s="24"/>
      <c r="AB780" s="24"/>
      <c r="AC780" s="24"/>
    </row>
    <row r="781" spans="1:29" ht="12.9">
      <c r="A781" s="24"/>
      <c r="B781" s="24"/>
      <c r="C781" s="143"/>
      <c r="D781" s="24"/>
      <c r="E781" s="24"/>
      <c r="F781" s="24"/>
      <c r="G781" s="24"/>
      <c r="H781" s="117"/>
      <c r="I781" s="117"/>
      <c r="J781" s="24"/>
      <c r="K781" s="24"/>
      <c r="L781" s="24"/>
      <c r="M781" s="24"/>
      <c r="N781" s="24"/>
      <c r="O781" s="24"/>
      <c r="P781" s="24"/>
      <c r="Q781" s="24"/>
      <c r="R781" s="24"/>
      <c r="S781" s="24"/>
      <c r="T781" s="24"/>
      <c r="U781" s="24"/>
      <c r="V781" s="24"/>
      <c r="W781" s="24"/>
      <c r="X781" s="24"/>
      <c r="Y781" s="24"/>
      <c r="Z781" s="24"/>
      <c r="AA781" s="24"/>
      <c r="AB781" s="24"/>
      <c r="AC781" s="24"/>
    </row>
    <row r="782" spans="1:29" ht="12.9">
      <c r="A782" s="24"/>
      <c r="B782" s="24"/>
      <c r="C782" s="143"/>
      <c r="D782" s="24"/>
      <c r="E782" s="24"/>
      <c r="F782" s="24"/>
      <c r="G782" s="24"/>
      <c r="H782" s="117"/>
      <c r="I782" s="117"/>
      <c r="J782" s="24"/>
      <c r="K782" s="24"/>
      <c r="L782" s="24"/>
      <c r="M782" s="24"/>
      <c r="N782" s="24"/>
      <c r="O782" s="24"/>
      <c r="P782" s="24"/>
      <c r="Q782" s="24"/>
      <c r="R782" s="24"/>
      <c r="S782" s="24"/>
      <c r="T782" s="24"/>
      <c r="U782" s="24"/>
      <c r="V782" s="24"/>
      <c r="W782" s="24"/>
      <c r="X782" s="24"/>
      <c r="Y782" s="24"/>
      <c r="Z782" s="24"/>
      <c r="AA782" s="24"/>
      <c r="AB782" s="24"/>
      <c r="AC782" s="24"/>
    </row>
    <row r="783" spans="1:29" ht="12.9">
      <c r="A783" s="24"/>
      <c r="B783" s="24"/>
      <c r="C783" s="143"/>
      <c r="D783" s="24"/>
      <c r="E783" s="24"/>
      <c r="F783" s="24"/>
      <c r="G783" s="24"/>
      <c r="H783" s="117"/>
      <c r="I783" s="117"/>
      <c r="J783" s="24"/>
      <c r="K783" s="24"/>
      <c r="L783" s="24"/>
      <c r="M783" s="24"/>
      <c r="N783" s="24"/>
      <c r="O783" s="24"/>
      <c r="P783" s="24"/>
      <c r="Q783" s="24"/>
      <c r="R783" s="24"/>
      <c r="S783" s="24"/>
      <c r="T783" s="24"/>
      <c r="U783" s="24"/>
      <c r="V783" s="24"/>
      <c r="W783" s="24"/>
      <c r="X783" s="24"/>
      <c r="Y783" s="24"/>
      <c r="Z783" s="24"/>
      <c r="AA783" s="24"/>
      <c r="AB783" s="24"/>
      <c r="AC783" s="24"/>
    </row>
    <row r="784" spans="1:29" ht="12.9">
      <c r="A784" s="24"/>
      <c r="B784" s="24"/>
      <c r="C784" s="143"/>
      <c r="D784" s="24"/>
      <c r="E784" s="24"/>
      <c r="F784" s="24"/>
      <c r="G784" s="24"/>
      <c r="H784" s="117"/>
      <c r="I784" s="117"/>
      <c r="J784" s="24"/>
      <c r="K784" s="24"/>
      <c r="L784" s="24"/>
      <c r="M784" s="24"/>
      <c r="N784" s="24"/>
      <c r="O784" s="24"/>
      <c r="P784" s="24"/>
      <c r="Q784" s="24"/>
      <c r="R784" s="24"/>
      <c r="S784" s="24"/>
      <c r="T784" s="24"/>
      <c r="U784" s="24"/>
      <c r="V784" s="24"/>
      <c r="W784" s="24"/>
      <c r="X784" s="24"/>
      <c r="Y784" s="24"/>
      <c r="Z784" s="24"/>
      <c r="AA784" s="24"/>
      <c r="AB784" s="24"/>
      <c r="AC784" s="24"/>
    </row>
    <row r="785" spans="1:29" ht="12.9">
      <c r="A785" s="24"/>
      <c r="B785" s="24"/>
      <c r="C785" s="143"/>
      <c r="D785" s="24"/>
      <c r="E785" s="24"/>
      <c r="F785" s="24"/>
      <c r="G785" s="24"/>
      <c r="H785" s="117"/>
      <c r="I785" s="117"/>
      <c r="J785" s="24"/>
      <c r="K785" s="24"/>
      <c r="L785" s="24"/>
      <c r="M785" s="24"/>
      <c r="N785" s="24"/>
      <c r="O785" s="24"/>
      <c r="P785" s="24"/>
      <c r="Q785" s="24"/>
      <c r="R785" s="24"/>
      <c r="S785" s="24"/>
      <c r="T785" s="24"/>
      <c r="U785" s="24"/>
      <c r="V785" s="24"/>
      <c r="W785" s="24"/>
      <c r="X785" s="24"/>
      <c r="Y785" s="24"/>
      <c r="Z785" s="24"/>
      <c r="AA785" s="24"/>
      <c r="AB785" s="24"/>
      <c r="AC785" s="24"/>
    </row>
    <row r="786" spans="1:29" ht="12.9">
      <c r="A786" s="24"/>
      <c r="B786" s="24"/>
      <c r="C786" s="143"/>
      <c r="D786" s="24"/>
      <c r="E786" s="24"/>
      <c r="F786" s="24"/>
      <c r="G786" s="24"/>
      <c r="H786" s="117"/>
      <c r="I786" s="117"/>
      <c r="J786" s="24"/>
      <c r="K786" s="24"/>
      <c r="L786" s="24"/>
      <c r="M786" s="24"/>
      <c r="N786" s="24"/>
      <c r="O786" s="24"/>
      <c r="P786" s="24"/>
      <c r="Q786" s="24"/>
      <c r="R786" s="24"/>
      <c r="S786" s="24"/>
      <c r="T786" s="24"/>
      <c r="U786" s="24"/>
      <c r="V786" s="24"/>
      <c r="W786" s="24"/>
      <c r="X786" s="24"/>
      <c r="Y786" s="24"/>
      <c r="Z786" s="24"/>
      <c r="AA786" s="24"/>
      <c r="AB786" s="24"/>
      <c r="AC786" s="24"/>
    </row>
    <row r="787" spans="1:29" ht="12.9">
      <c r="A787" s="24"/>
      <c r="B787" s="24"/>
      <c r="C787" s="143"/>
      <c r="D787" s="24"/>
      <c r="E787" s="24"/>
      <c r="F787" s="24"/>
      <c r="G787" s="24"/>
      <c r="H787" s="117"/>
      <c r="I787" s="117"/>
      <c r="J787" s="24"/>
      <c r="K787" s="24"/>
      <c r="L787" s="24"/>
      <c r="M787" s="24"/>
      <c r="N787" s="24"/>
      <c r="O787" s="24"/>
      <c r="P787" s="24"/>
      <c r="Q787" s="24"/>
      <c r="R787" s="24"/>
      <c r="S787" s="24"/>
      <c r="T787" s="24"/>
      <c r="U787" s="24"/>
      <c r="V787" s="24"/>
      <c r="W787" s="24"/>
      <c r="X787" s="24"/>
      <c r="Y787" s="24"/>
      <c r="Z787" s="24"/>
      <c r="AA787" s="24"/>
      <c r="AB787" s="24"/>
      <c r="AC787" s="24"/>
    </row>
    <row r="788" spans="1:29" ht="12.9">
      <c r="A788" s="24"/>
      <c r="B788" s="24"/>
      <c r="C788" s="143"/>
      <c r="D788" s="24"/>
      <c r="E788" s="24"/>
      <c r="F788" s="24"/>
      <c r="G788" s="24"/>
      <c r="H788" s="117"/>
      <c r="I788" s="117"/>
      <c r="J788" s="24"/>
      <c r="K788" s="24"/>
      <c r="L788" s="24"/>
      <c r="M788" s="24"/>
      <c r="N788" s="24"/>
      <c r="O788" s="24"/>
      <c r="P788" s="24"/>
      <c r="Q788" s="24"/>
      <c r="R788" s="24"/>
      <c r="S788" s="24"/>
      <c r="T788" s="24"/>
      <c r="U788" s="24"/>
      <c r="V788" s="24"/>
      <c r="W788" s="24"/>
      <c r="X788" s="24"/>
      <c r="Y788" s="24"/>
      <c r="Z788" s="24"/>
      <c r="AA788" s="24"/>
      <c r="AB788" s="24"/>
      <c r="AC788" s="24"/>
    </row>
    <row r="789" spans="1:29" ht="12.9">
      <c r="A789" s="24"/>
      <c r="B789" s="24"/>
      <c r="C789" s="143"/>
      <c r="D789" s="24"/>
      <c r="E789" s="24"/>
      <c r="F789" s="24"/>
      <c r="G789" s="24"/>
      <c r="H789" s="117"/>
      <c r="I789" s="117"/>
      <c r="J789" s="24"/>
      <c r="K789" s="24"/>
      <c r="L789" s="24"/>
      <c r="M789" s="24"/>
      <c r="N789" s="24"/>
      <c r="O789" s="24"/>
      <c r="P789" s="24"/>
      <c r="Q789" s="24"/>
      <c r="R789" s="24"/>
      <c r="S789" s="24"/>
      <c r="T789" s="24"/>
      <c r="U789" s="24"/>
      <c r="V789" s="24"/>
      <c r="W789" s="24"/>
      <c r="X789" s="24"/>
      <c r="Y789" s="24"/>
      <c r="Z789" s="24"/>
      <c r="AA789" s="24"/>
      <c r="AB789" s="24"/>
      <c r="AC789" s="24"/>
    </row>
    <row r="790" spans="1:29" ht="12.9">
      <c r="A790" s="24"/>
      <c r="B790" s="24"/>
      <c r="C790" s="143"/>
      <c r="D790" s="24"/>
      <c r="E790" s="24"/>
      <c r="F790" s="24"/>
      <c r="G790" s="24"/>
      <c r="H790" s="117"/>
      <c r="I790" s="117"/>
      <c r="J790" s="24"/>
      <c r="K790" s="24"/>
      <c r="L790" s="24"/>
      <c r="M790" s="24"/>
      <c r="N790" s="24"/>
      <c r="O790" s="24"/>
      <c r="P790" s="24"/>
      <c r="Q790" s="24"/>
      <c r="R790" s="24"/>
      <c r="S790" s="24"/>
      <c r="T790" s="24"/>
      <c r="U790" s="24"/>
      <c r="V790" s="24"/>
      <c r="W790" s="24"/>
      <c r="X790" s="24"/>
      <c r="Y790" s="24"/>
      <c r="Z790" s="24"/>
      <c r="AA790" s="24"/>
      <c r="AB790" s="24"/>
      <c r="AC790" s="24"/>
    </row>
    <row r="791" spans="1:29" ht="12.9">
      <c r="A791" s="24"/>
      <c r="B791" s="24"/>
      <c r="C791" s="143"/>
      <c r="D791" s="24"/>
      <c r="E791" s="24"/>
      <c r="F791" s="24"/>
      <c r="G791" s="24"/>
      <c r="H791" s="117"/>
      <c r="I791" s="117"/>
      <c r="J791" s="24"/>
      <c r="K791" s="24"/>
      <c r="L791" s="24"/>
      <c r="M791" s="24"/>
      <c r="N791" s="24"/>
      <c r="O791" s="24"/>
      <c r="P791" s="24"/>
      <c r="Q791" s="24"/>
      <c r="R791" s="24"/>
      <c r="S791" s="24"/>
      <c r="T791" s="24"/>
      <c r="U791" s="24"/>
      <c r="V791" s="24"/>
      <c r="W791" s="24"/>
      <c r="X791" s="24"/>
      <c r="Y791" s="24"/>
      <c r="Z791" s="24"/>
      <c r="AA791" s="24"/>
      <c r="AB791" s="24"/>
      <c r="AC791" s="24"/>
    </row>
    <row r="792" spans="1:29" ht="12.9">
      <c r="A792" s="24"/>
      <c r="B792" s="24"/>
      <c r="C792" s="143"/>
      <c r="D792" s="24"/>
      <c r="E792" s="24"/>
      <c r="F792" s="24"/>
      <c r="G792" s="24"/>
      <c r="H792" s="117"/>
      <c r="I792" s="117"/>
      <c r="J792" s="24"/>
      <c r="K792" s="24"/>
      <c r="L792" s="24"/>
      <c r="M792" s="24"/>
      <c r="N792" s="24"/>
      <c r="O792" s="24"/>
      <c r="P792" s="24"/>
      <c r="Q792" s="24"/>
      <c r="R792" s="24"/>
      <c r="S792" s="24"/>
      <c r="T792" s="24"/>
      <c r="U792" s="24"/>
      <c r="V792" s="24"/>
      <c r="W792" s="24"/>
      <c r="X792" s="24"/>
      <c r="Y792" s="24"/>
      <c r="Z792" s="24"/>
      <c r="AA792" s="24"/>
      <c r="AB792" s="24"/>
      <c r="AC792" s="24"/>
    </row>
    <row r="793" spans="1:29" ht="12.9">
      <c r="A793" s="24"/>
      <c r="B793" s="24"/>
      <c r="C793" s="143"/>
      <c r="D793" s="24"/>
      <c r="E793" s="24"/>
      <c r="F793" s="24"/>
      <c r="G793" s="24"/>
      <c r="H793" s="117"/>
      <c r="I793" s="117"/>
      <c r="J793" s="24"/>
      <c r="K793" s="24"/>
      <c r="L793" s="24"/>
      <c r="M793" s="24"/>
      <c r="N793" s="24"/>
      <c r="O793" s="24"/>
      <c r="P793" s="24"/>
      <c r="Q793" s="24"/>
      <c r="R793" s="24"/>
      <c r="S793" s="24"/>
      <c r="T793" s="24"/>
      <c r="U793" s="24"/>
      <c r="V793" s="24"/>
      <c r="W793" s="24"/>
      <c r="X793" s="24"/>
      <c r="Y793" s="24"/>
      <c r="Z793" s="24"/>
      <c r="AA793" s="24"/>
      <c r="AB793" s="24"/>
      <c r="AC793" s="24"/>
    </row>
    <row r="794" spans="1:29" ht="12.9">
      <c r="A794" s="24"/>
      <c r="B794" s="24"/>
      <c r="C794" s="143"/>
      <c r="D794" s="24"/>
      <c r="E794" s="24"/>
      <c r="F794" s="24"/>
      <c r="G794" s="24"/>
      <c r="H794" s="117"/>
      <c r="I794" s="117"/>
      <c r="J794" s="24"/>
      <c r="K794" s="24"/>
      <c r="L794" s="24"/>
      <c r="M794" s="24"/>
      <c r="N794" s="24"/>
      <c r="O794" s="24"/>
      <c r="P794" s="24"/>
      <c r="Q794" s="24"/>
      <c r="R794" s="24"/>
      <c r="S794" s="24"/>
      <c r="T794" s="24"/>
      <c r="U794" s="24"/>
      <c r="V794" s="24"/>
      <c r="W794" s="24"/>
      <c r="X794" s="24"/>
      <c r="Y794" s="24"/>
      <c r="Z794" s="24"/>
      <c r="AA794" s="24"/>
      <c r="AB794" s="24"/>
      <c r="AC794" s="24"/>
    </row>
    <row r="795" spans="1:29" ht="12.9">
      <c r="A795" s="24"/>
      <c r="B795" s="24"/>
      <c r="C795" s="143"/>
      <c r="D795" s="24"/>
      <c r="E795" s="24"/>
      <c r="F795" s="24"/>
      <c r="G795" s="24"/>
      <c r="H795" s="117"/>
      <c r="I795" s="117"/>
      <c r="J795" s="24"/>
      <c r="K795" s="24"/>
      <c r="L795" s="24"/>
      <c r="M795" s="24"/>
      <c r="N795" s="24"/>
      <c r="O795" s="24"/>
      <c r="P795" s="24"/>
      <c r="Q795" s="24"/>
      <c r="R795" s="24"/>
      <c r="S795" s="24"/>
      <c r="T795" s="24"/>
      <c r="U795" s="24"/>
      <c r="V795" s="24"/>
      <c r="W795" s="24"/>
      <c r="X795" s="24"/>
      <c r="Y795" s="24"/>
      <c r="Z795" s="24"/>
      <c r="AA795" s="24"/>
      <c r="AB795" s="24"/>
      <c r="AC795" s="24"/>
    </row>
    <row r="796" spans="1:29" ht="12.9">
      <c r="A796" s="24"/>
      <c r="B796" s="24"/>
      <c r="C796" s="143"/>
      <c r="D796" s="24"/>
      <c r="E796" s="24"/>
      <c r="F796" s="24"/>
      <c r="G796" s="24"/>
      <c r="H796" s="117"/>
      <c r="I796" s="117"/>
      <c r="J796" s="24"/>
      <c r="K796" s="24"/>
      <c r="L796" s="24"/>
      <c r="M796" s="24"/>
      <c r="N796" s="24"/>
      <c r="O796" s="24"/>
      <c r="P796" s="24"/>
      <c r="Q796" s="24"/>
      <c r="R796" s="24"/>
      <c r="S796" s="24"/>
      <c r="T796" s="24"/>
      <c r="U796" s="24"/>
      <c r="V796" s="24"/>
      <c r="W796" s="24"/>
      <c r="X796" s="24"/>
      <c r="Y796" s="24"/>
      <c r="Z796" s="24"/>
      <c r="AA796" s="24"/>
      <c r="AB796" s="24"/>
      <c r="AC796" s="24"/>
    </row>
    <row r="797" spans="1:29" ht="12.9">
      <c r="A797" s="24"/>
      <c r="B797" s="24"/>
      <c r="C797" s="143"/>
      <c r="D797" s="24"/>
      <c r="E797" s="24"/>
      <c r="F797" s="24"/>
      <c r="G797" s="24"/>
      <c r="H797" s="117"/>
      <c r="I797" s="117"/>
      <c r="J797" s="24"/>
      <c r="K797" s="24"/>
      <c r="L797" s="24"/>
      <c r="M797" s="24"/>
      <c r="N797" s="24"/>
      <c r="O797" s="24"/>
      <c r="P797" s="24"/>
      <c r="Q797" s="24"/>
      <c r="R797" s="24"/>
      <c r="S797" s="24"/>
      <c r="T797" s="24"/>
      <c r="U797" s="24"/>
      <c r="V797" s="24"/>
      <c r="W797" s="24"/>
      <c r="X797" s="24"/>
      <c r="Y797" s="24"/>
      <c r="Z797" s="24"/>
      <c r="AA797" s="24"/>
      <c r="AB797" s="24"/>
      <c r="AC797" s="24"/>
    </row>
    <row r="798" spans="1:29" ht="12.9">
      <c r="A798" s="24"/>
      <c r="B798" s="24"/>
      <c r="C798" s="143"/>
      <c r="D798" s="24"/>
      <c r="E798" s="24"/>
      <c r="F798" s="24"/>
      <c r="G798" s="24"/>
      <c r="H798" s="117"/>
      <c r="I798" s="117"/>
      <c r="J798" s="24"/>
      <c r="K798" s="24"/>
      <c r="L798" s="24"/>
      <c r="M798" s="24"/>
      <c r="N798" s="24"/>
      <c r="O798" s="24"/>
      <c r="P798" s="24"/>
      <c r="Q798" s="24"/>
      <c r="R798" s="24"/>
      <c r="S798" s="24"/>
      <c r="T798" s="24"/>
      <c r="U798" s="24"/>
      <c r="V798" s="24"/>
      <c r="W798" s="24"/>
      <c r="X798" s="24"/>
      <c r="Y798" s="24"/>
      <c r="Z798" s="24"/>
      <c r="AA798" s="24"/>
      <c r="AB798" s="24"/>
      <c r="AC798" s="24"/>
    </row>
    <row r="799" spans="1:29" ht="12.9">
      <c r="A799" s="24"/>
      <c r="B799" s="24"/>
      <c r="C799" s="143"/>
      <c r="D799" s="24"/>
      <c r="E799" s="24"/>
      <c r="F799" s="24"/>
      <c r="G799" s="24"/>
      <c r="H799" s="117"/>
      <c r="I799" s="117"/>
      <c r="J799" s="24"/>
      <c r="K799" s="24"/>
      <c r="L799" s="24"/>
      <c r="M799" s="24"/>
      <c r="N799" s="24"/>
      <c r="O799" s="24"/>
      <c r="P799" s="24"/>
      <c r="Q799" s="24"/>
      <c r="R799" s="24"/>
      <c r="S799" s="24"/>
      <c r="T799" s="24"/>
      <c r="U799" s="24"/>
      <c r="V799" s="24"/>
      <c r="W799" s="24"/>
      <c r="X799" s="24"/>
      <c r="Y799" s="24"/>
      <c r="Z799" s="24"/>
      <c r="AA799" s="24"/>
      <c r="AB799" s="24"/>
      <c r="AC799" s="24"/>
    </row>
    <row r="800" spans="1:29" ht="12.9">
      <c r="A800" s="24"/>
      <c r="B800" s="24"/>
      <c r="C800" s="143"/>
      <c r="D800" s="24"/>
      <c r="E800" s="24"/>
      <c r="F800" s="24"/>
      <c r="G800" s="24"/>
      <c r="H800" s="117"/>
      <c r="I800" s="117"/>
      <c r="J800" s="24"/>
      <c r="K800" s="24"/>
      <c r="L800" s="24"/>
      <c r="M800" s="24"/>
      <c r="N800" s="24"/>
      <c r="O800" s="24"/>
      <c r="P800" s="24"/>
      <c r="Q800" s="24"/>
      <c r="R800" s="24"/>
      <c r="S800" s="24"/>
      <c r="T800" s="24"/>
      <c r="U800" s="24"/>
      <c r="V800" s="24"/>
      <c r="W800" s="24"/>
      <c r="X800" s="24"/>
      <c r="Y800" s="24"/>
      <c r="Z800" s="24"/>
      <c r="AA800" s="24"/>
      <c r="AB800" s="24"/>
      <c r="AC800" s="24"/>
    </row>
    <row r="801" spans="1:29" ht="12.9">
      <c r="A801" s="24"/>
      <c r="B801" s="24"/>
      <c r="C801" s="143"/>
      <c r="D801" s="24"/>
      <c r="E801" s="24"/>
      <c r="F801" s="24"/>
      <c r="G801" s="24"/>
      <c r="H801" s="117"/>
      <c r="I801" s="117"/>
      <c r="J801" s="24"/>
      <c r="K801" s="24"/>
      <c r="L801" s="24"/>
      <c r="M801" s="24"/>
      <c r="N801" s="24"/>
      <c r="O801" s="24"/>
      <c r="P801" s="24"/>
      <c r="Q801" s="24"/>
      <c r="R801" s="24"/>
      <c r="S801" s="24"/>
      <c r="T801" s="24"/>
      <c r="U801" s="24"/>
      <c r="V801" s="24"/>
      <c r="W801" s="24"/>
      <c r="X801" s="24"/>
      <c r="Y801" s="24"/>
      <c r="Z801" s="24"/>
      <c r="AA801" s="24"/>
      <c r="AB801" s="24"/>
      <c r="AC801" s="24"/>
    </row>
    <row r="802" spans="1:29" ht="12.9">
      <c r="A802" s="24"/>
      <c r="B802" s="24"/>
      <c r="C802" s="143"/>
      <c r="D802" s="24"/>
      <c r="E802" s="24"/>
      <c r="F802" s="24"/>
      <c r="G802" s="24"/>
      <c r="H802" s="117"/>
      <c r="I802" s="117"/>
      <c r="J802" s="24"/>
      <c r="K802" s="24"/>
      <c r="L802" s="24"/>
      <c r="M802" s="24"/>
      <c r="N802" s="24"/>
      <c r="O802" s="24"/>
      <c r="P802" s="24"/>
      <c r="Q802" s="24"/>
      <c r="R802" s="24"/>
      <c r="S802" s="24"/>
      <c r="T802" s="24"/>
      <c r="U802" s="24"/>
      <c r="V802" s="24"/>
      <c r="W802" s="24"/>
      <c r="X802" s="24"/>
      <c r="Y802" s="24"/>
      <c r="Z802" s="24"/>
      <c r="AA802" s="24"/>
      <c r="AB802" s="24"/>
      <c r="AC802" s="24"/>
    </row>
    <row r="803" spans="1:29" ht="12.9">
      <c r="A803" s="24"/>
      <c r="B803" s="24"/>
      <c r="C803" s="143"/>
      <c r="D803" s="24"/>
      <c r="E803" s="24"/>
      <c r="F803" s="24"/>
      <c r="G803" s="24"/>
      <c r="H803" s="117"/>
      <c r="I803" s="117"/>
      <c r="J803" s="24"/>
      <c r="K803" s="24"/>
      <c r="L803" s="24"/>
      <c r="M803" s="24"/>
      <c r="N803" s="24"/>
      <c r="O803" s="24"/>
      <c r="P803" s="24"/>
      <c r="Q803" s="24"/>
      <c r="R803" s="24"/>
      <c r="S803" s="24"/>
      <c r="T803" s="24"/>
      <c r="U803" s="24"/>
      <c r="V803" s="24"/>
      <c r="W803" s="24"/>
      <c r="X803" s="24"/>
      <c r="Y803" s="24"/>
      <c r="Z803" s="24"/>
      <c r="AA803" s="24"/>
      <c r="AB803" s="24"/>
      <c r="AC803" s="24"/>
    </row>
    <row r="804" spans="1:29" ht="12.9">
      <c r="A804" s="24"/>
      <c r="B804" s="24"/>
      <c r="C804" s="143"/>
      <c r="D804" s="24"/>
      <c r="E804" s="24"/>
      <c r="F804" s="24"/>
      <c r="G804" s="24"/>
      <c r="H804" s="117"/>
      <c r="I804" s="117"/>
      <c r="J804" s="24"/>
      <c r="K804" s="24"/>
      <c r="L804" s="24"/>
      <c r="M804" s="24"/>
      <c r="N804" s="24"/>
      <c r="O804" s="24"/>
      <c r="P804" s="24"/>
      <c r="Q804" s="24"/>
      <c r="R804" s="24"/>
      <c r="S804" s="24"/>
      <c r="T804" s="24"/>
      <c r="U804" s="24"/>
      <c r="V804" s="24"/>
      <c r="W804" s="24"/>
      <c r="X804" s="24"/>
      <c r="Y804" s="24"/>
      <c r="Z804" s="24"/>
      <c r="AA804" s="24"/>
      <c r="AB804" s="24"/>
      <c r="AC804" s="24"/>
    </row>
    <row r="805" spans="1:29" ht="12.9">
      <c r="A805" s="24"/>
      <c r="B805" s="24"/>
      <c r="C805" s="143"/>
      <c r="D805" s="24"/>
      <c r="E805" s="24"/>
      <c r="F805" s="24"/>
      <c r="G805" s="24"/>
      <c r="H805" s="117"/>
      <c r="I805" s="117"/>
      <c r="J805" s="24"/>
      <c r="K805" s="24"/>
      <c r="L805" s="24"/>
      <c r="M805" s="24"/>
      <c r="N805" s="24"/>
      <c r="O805" s="24"/>
      <c r="P805" s="24"/>
      <c r="Q805" s="24"/>
      <c r="R805" s="24"/>
      <c r="S805" s="24"/>
      <c r="T805" s="24"/>
      <c r="U805" s="24"/>
      <c r="V805" s="24"/>
      <c r="W805" s="24"/>
      <c r="X805" s="24"/>
      <c r="Y805" s="24"/>
      <c r="Z805" s="24"/>
      <c r="AA805" s="24"/>
      <c r="AB805" s="24"/>
      <c r="AC805" s="24"/>
    </row>
    <row r="806" spans="1:29" ht="12.9">
      <c r="A806" s="24"/>
      <c r="B806" s="24"/>
      <c r="C806" s="143"/>
      <c r="D806" s="24"/>
      <c r="E806" s="24"/>
      <c r="F806" s="24"/>
      <c r="G806" s="24"/>
      <c r="H806" s="117"/>
      <c r="I806" s="117"/>
      <c r="J806" s="24"/>
      <c r="K806" s="24"/>
      <c r="L806" s="24"/>
      <c r="M806" s="24"/>
      <c r="N806" s="24"/>
      <c r="O806" s="24"/>
      <c r="P806" s="24"/>
      <c r="Q806" s="24"/>
      <c r="R806" s="24"/>
      <c r="S806" s="24"/>
      <c r="T806" s="24"/>
      <c r="U806" s="24"/>
      <c r="V806" s="24"/>
      <c r="W806" s="24"/>
      <c r="X806" s="24"/>
      <c r="Y806" s="24"/>
      <c r="Z806" s="24"/>
      <c r="AA806" s="24"/>
      <c r="AB806" s="24"/>
      <c r="AC806" s="24"/>
    </row>
    <row r="807" spans="1:29" ht="12.9">
      <c r="A807" s="24"/>
      <c r="B807" s="24"/>
      <c r="C807" s="143"/>
      <c r="D807" s="24"/>
      <c r="E807" s="24"/>
      <c r="F807" s="24"/>
      <c r="G807" s="24"/>
      <c r="H807" s="117"/>
      <c r="I807" s="117"/>
      <c r="J807" s="24"/>
      <c r="K807" s="24"/>
      <c r="L807" s="24"/>
      <c r="M807" s="24"/>
      <c r="N807" s="24"/>
      <c r="O807" s="24"/>
      <c r="P807" s="24"/>
      <c r="Q807" s="24"/>
      <c r="R807" s="24"/>
      <c r="S807" s="24"/>
      <c r="T807" s="24"/>
      <c r="U807" s="24"/>
      <c r="V807" s="24"/>
      <c r="W807" s="24"/>
      <c r="X807" s="24"/>
      <c r="Y807" s="24"/>
      <c r="Z807" s="24"/>
      <c r="AA807" s="24"/>
      <c r="AB807" s="24"/>
      <c r="AC807" s="24"/>
    </row>
    <row r="808" spans="1:29" ht="12.9">
      <c r="A808" s="24"/>
      <c r="B808" s="24"/>
      <c r="C808" s="143"/>
      <c r="D808" s="24"/>
      <c r="E808" s="24"/>
      <c r="F808" s="24"/>
      <c r="G808" s="24"/>
      <c r="H808" s="117"/>
      <c r="I808" s="117"/>
      <c r="J808" s="24"/>
      <c r="K808" s="24"/>
      <c r="L808" s="24"/>
      <c r="M808" s="24"/>
      <c r="N808" s="24"/>
      <c r="O808" s="24"/>
      <c r="P808" s="24"/>
      <c r="Q808" s="24"/>
      <c r="R808" s="24"/>
      <c r="S808" s="24"/>
      <c r="T808" s="24"/>
      <c r="U808" s="24"/>
      <c r="V808" s="24"/>
      <c r="W808" s="24"/>
      <c r="X808" s="24"/>
      <c r="Y808" s="24"/>
      <c r="Z808" s="24"/>
      <c r="AA808" s="24"/>
      <c r="AB808" s="24"/>
      <c r="AC808" s="24"/>
    </row>
    <row r="809" spans="1:29" ht="12.9">
      <c r="A809" s="24"/>
      <c r="B809" s="24"/>
      <c r="C809" s="143"/>
      <c r="D809" s="24"/>
      <c r="E809" s="24"/>
      <c r="F809" s="24"/>
      <c r="G809" s="24"/>
      <c r="H809" s="117"/>
      <c r="I809" s="117"/>
      <c r="J809" s="24"/>
      <c r="K809" s="24"/>
      <c r="L809" s="24"/>
      <c r="M809" s="24"/>
      <c r="N809" s="24"/>
      <c r="O809" s="24"/>
      <c r="P809" s="24"/>
      <c r="Q809" s="24"/>
      <c r="R809" s="24"/>
      <c r="S809" s="24"/>
      <c r="T809" s="24"/>
      <c r="U809" s="24"/>
      <c r="V809" s="24"/>
      <c r="W809" s="24"/>
      <c r="X809" s="24"/>
      <c r="Y809" s="24"/>
      <c r="Z809" s="24"/>
      <c r="AA809" s="24"/>
      <c r="AB809" s="24"/>
      <c r="AC809" s="24"/>
    </row>
    <row r="810" spans="1:29" ht="12.9">
      <c r="A810" s="24"/>
      <c r="B810" s="24"/>
      <c r="C810" s="143"/>
      <c r="D810" s="24"/>
      <c r="E810" s="24"/>
      <c r="F810" s="24"/>
      <c r="G810" s="24"/>
      <c r="H810" s="117"/>
      <c r="I810" s="117"/>
      <c r="J810" s="24"/>
      <c r="K810" s="24"/>
      <c r="L810" s="24"/>
      <c r="M810" s="24"/>
      <c r="N810" s="24"/>
      <c r="O810" s="24"/>
      <c r="P810" s="24"/>
      <c r="Q810" s="24"/>
      <c r="R810" s="24"/>
      <c r="S810" s="24"/>
      <c r="T810" s="24"/>
      <c r="U810" s="24"/>
      <c r="V810" s="24"/>
      <c r="W810" s="24"/>
      <c r="X810" s="24"/>
      <c r="Y810" s="24"/>
      <c r="Z810" s="24"/>
      <c r="AA810" s="24"/>
      <c r="AB810" s="24"/>
      <c r="AC810" s="24"/>
    </row>
    <row r="811" spans="1:29" ht="12.9">
      <c r="A811" s="24"/>
      <c r="B811" s="24"/>
      <c r="C811" s="143"/>
      <c r="D811" s="24"/>
      <c r="E811" s="24"/>
      <c r="F811" s="24"/>
      <c r="G811" s="24"/>
      <c r="H811" s="117"/>
      <c r="I811" s="117"/>
      <c r="J811" s="24"/>
      <c r="K811" s="24"/>
      <c r="L811" s="24"/>
      <c r="M811" s="24"/>
      <c r="N811" s="24"/>
      <c r="O811" s="24"/>
      <c r="P811" s="24"/>
      <c r="Q811" s="24"/>
      <c r="R811" s="24"/>
      <c r="S811" s="24"/>
      <c r="T811" s="24"/>
      <c r="U811" s="24"/>
      <c r="V811" s="24"/>
      <c r="W811" s="24"/>
      <c r="X811" s="24"/>
      <c r="Y811" s="24"/>
      <c r="Z811" s="24"/>
      <c r="AA811" s="24"/>
      <c r="AB811" s="24"/>
      <c r="AC811" s="24"/>
    </row>
    <row r="812" spans="1:29" ht="12.9">
      <c r="A812" s="24"/>
      <c r="B812" s="24"/>
      <c r="C812" s="143"/>
      <c r="D812" s="24"/>
      <c r="E812" s="24"/>
      <c r="F812" s="24"/>
      <c r="G812" s="24"/>
      <c r="H812" s="117"/>
      <c r="I812" s="117"/>
      <c r="J812" s="24"/>
      <c r="K812" s="24"/>
      <c r="L812" s="24"/>
      <c r="M812" s="24"/>
      <c r="N812" s="24"/>
      <c r="O812" s="24"/>
      <c r="P812" s="24"/>
      <c r="Q812" s="24"/>
      <c r="R812" s="24"/>
      <c r="S812" s="24"/>
      <c r="T812" s="24"/>
      <c r="U812" s="24"/>
      <c r="V812" s="24"/>
      <c r="W812" s="24"/>
      <c r="X812" s="24"/>
      <c r="Y812" s="24"/>
      <c r="Z812" s="24"/>
      <c r="AA812" s="24"/>
      <c r="AB812" s="24"/>
      <c r="AC812" s="24"/>
    </row>
    <row r="813" spans="1:29" ht="12.9">
      <c r="A813" s="24"/>
      <c r="B813" s="24"/>
      <c r="C813" s="143"/>
      <c r="D813" s="24"/>
      <c r="E813" s="24"/>
      <c r="F813" s="24"/>
      <c r="G813" s="24"/>
      <c r="H813" s="117"/>
      <c r="I813" s="117"/>
      <c r="J813" s="24"/>
      <c r="K813" s="24"/>
      <c r="L813" s="24"/>
      <c r="M813" s="24"/>
      <c r="N813" s="24"/>
      <c r="O813" s="24"/>
      <c r="P813" s="24"/>
      <c r="Q813" s="24"/>
      <c r="R813" s="24"/>
      <c r="S813" s="24"/>
      <c r="T813" s="24"/>
      <c r="U813" s="24"/>
      <c r="V813" s="24"/>
      <c r="W813" s="24"/>
      <c r="X813" s="24"/>
      <c r="Y813" s="24"/>
      <c r="Z813" s="24"/>
      <c r="AA813" s="24"/>
      <c r="AB813" s="24"/>
      <c r="AC813" s="24"/>
    </row>
    <row r="814" spans="1:29" ht="12.9">
      <c r="A814" s="24"/>
      <c r="B814" s="24"/>
      <c r="C814" s="143"/>
      <c r="D814" s="24"/>
      <c r="E814" s="24"/>
      <c r="F814" s="24"/>
      <c r="G814" s="24"/>
      <c r="H814" s="117"/>
      <c r="I814" s="117"/>
      <c r="J814" s="24"/>
      <c r="K814" s="24"/>
      <c r="L814" s="24"/>
      <c r="M814" s="24"/>
      <c r="N814" s="24"/>
      <c r="O814" s="24"/>
      <c r="P814" s="24"/>
      <c r="Q814" s="24"/>
      <c r="R814" s="24"/>
      <c r="S814" s="24"/>
      <c r="T814" s="24"/>
      <c r="U814" s="24"/>
      <c r="V814" s="24"/>
      <c r="W814" s="24"/>
      <c r="X814" s="24"/>
      <c r="Y814" s="24"/>
      <c r="Z814" s="24"/>
      <c r="AA814" s="24"/>
      <c r="AB814" s="24"/>
      <c r="AC814" s="24"/>
    </row>
    <row r="815" spans="1:29" ht="12.9">
      <c r="A815" s="24"/>
      <c r="B815" s="24"/>
      <c r="C815" s="143"/>
      <c r="D815" s="24"/>
      <c r="E815" s="24"/>
      <c r="F815" s="24"/>
      <c r="G815" s="24"/>
      <c r="H815" s="117"/>
      <c r="I815" s="117"/>
      <c r="J815" s="24"/>
      <c r="K815" s="24"/>
      <c r="L815" s="24"/>
      <c r="M815" s="24"/>
      <c r="N815" s="24"/>
      <c r="O815" s="24"/>
      <c r="P815" s="24"/>
      <c r="Q815" s="24"/>
      <c r="R815" s="24"/>
      <c r="S815" s="24"/>
      <c r="T815" s="24"/>
      <c r="U815" s="24"/>
      <c r="V815" s="24"/>
      <c r="W815" s="24"/>
      <c r="X815" s="24"/>
      <c r="Y815" s="24"/>
      <c r="Z815" s="24"/>
      <c r="AA815" s="24"/>
      <c r="AB815" s="24"/>
      <c r="AC815" s="24"/>
    </row>
    <row r="816" spans="1:29" ht="12.9">
      <c r="A816" s="24"/>
      <c r="B816" s="24"/>
      <c r="C816" s="143"/>
      <c r="D816" s="24"/>
      <c r="E816" s="24"/>
      <c r="F816" s="24"/>
      <c r="G816" s="24"/>
      <c r="H816" s="117"/>
      <c r="I816" s="117"/>
      <c r="J816" s="24"/>
      <c r="K816" s="24"/>
      <c r="L816" s="24"/>
      <c r="M816" s="24"/>
      <c r="N816" s="24"/>
      <c r="O816" s="24"/>
      <c r="P816" s="24"/>
      <c r="Q816" s="24"/>
      <c r="R816" s="24"/>
      <c r="S816" s="24"/>
      <c r="T816" s="24"/>
      <c r="U816" s="24"/>
      <c r="V816" s="24"/>
      <c r="W816" s="24"/>
      <c r="X816" s="24"/>
      <c r="Y816" s="24"/>
      <c r="Z816" s="24"/>
      <c r="AA816" s="24"/>
      <c r="AB816" s="24"/>
      <c r="AC816" s="24"/>
    </row>
    <row r="817" spans="1:29" ht="12.9">
      <c r="A817" s="24"/>
      <c r="B817" s="24"/>
      <c r="C817" s="143"/>
      <c r="D817" s="24"/>
      <c r="E817" s="24"/>
      <c r="F817" s="24"/>
      <c r="G817" s="24"/>
      <c r="H817" s="117"/>
      <c r="I817" s="117"/>
      <c r="J817" s="24"/>
      <c r="K817" s="24"/>
      <c r="L817" s="24"/>
      <c r="M817" s="24"/>
      <c r="N817" s="24"/>
      <c r="O817" s="24"/>
      <c r="P817" s="24"/>
      <c r="Q817" s="24"/>
      <c r="R817" s="24"/>
      <c r="S817" s="24"/>
      <c r="T817" s="24"/>
      <c r="U817" s="24"/>
      <c r="V817" s="24"/>
      <c r="W817" s="24"/>
      <c r="X817" s="24"/>
      <c r="Y817" s="24"/>
      <c r="Z817" s="24"/>
      <c r="AA817" s="24"/>
      <c r="AB817" s="24"/>
      <c r="AC817" s="24"/>
    </row>
    <row r="818" spans="1:29" ht="12.9">
      <c r="A818" s="24"/>
      <c r="B818" s="24"/>
      <c r="C818" s="143"/>
      <c r="D818" s="24"/>
      <c r="E818" s="24"/>
      <c r="F818" s="24"/>
      <c r="G818" s="24"/>
      <c r="H818" s="117"/>
      <c r="I818" s="117"/>
      <c r="J818" s="24"/>
      <c r="K818" s="24"/>
      <c r="L818" s="24"/>
      <c r="M818" s="24"/>
      <c r="N818" s="24"/>
      <c r="O818" s="24"/>
      <c r="P818" s="24"/>
      <c r="Q818" s="24"/>
      <c r="R818" s="24"/>
      <c r="S818" s="24"/>
      <c r="T818" s="24"/>
      <c r="U818" s="24"/>
      <c r="V818" s="24"/>
      <c r="W818" s="24"/>
      <c r="X818" s="24"/>
      <c r="Y818" s="24"/>
      <c r="Z818" s="24"/>
      <c r="AA818" s="24"/>
      <c r="AB818" s="24"/>
      <c r="AC818" s="24"/>
    </row>
    <row r="819" spans="1:29" ht="12.9">
      <c r="A819" s="24"/>
      <c r="B819" s="24"/>
      <c r="C819" s="143"/>
      <c r="D819" s="24"/>
      <c r="E819" s="24"/>
      <c r="F819" s="24"/>
      <c r="G819" s="24"/>
      <c r="H819" s="117"/>
      <c r="I819" s="117"/>
      <c r="J819" s="24"/>
      <c r="K819" s="24"/>
      <c r="L819" s="24"/>
      <c r="M819" s="24"/>
      <c r="N819" s="24"/>
      <c r="O819" s="24"/>
      <c r="P819" s="24"/>
      <c r="Q819" s="24"/>
      <c r="R819" s="24"/>
      <c r="S819" s="24"/>
      <c r="T819" s="24"/>
      <c r="U819" s="24"/>
      <c r="V819" s="24"/>
      <c r="W819" s="24"/>
      <c r="X819" s="24"/>
      <c r="Y819" s="24"/>
      <c r="Z819" s="24"/>
      <c r="AA819" s="24"/>
      <c r="AB819" s="24"/>
      <c r="AC819" s="24"/>
    </row>
    <row r="820" spans="1:29" ht="12.9">
      <c r="A820" s="24"/>
      <c r="B820" s="24"/>
      <c r="C820" s="143"/>
      <c r="D820" s="24"/>
      <c r="E820" s="24"/>
      <c r="F820" s="24"/>
      <c r="G820" s="24"/>
      <c r="H820" s="117"/>
      <c r="I820" s="117"/>
      <c r="J820" s="24"/>
      <c r="K820" s="24"/>
      <c r="L820" s="24"/>
      <c r="M820" s="24"/>
      <c r="N820" s="24"/>
      <c r="O820" s="24"/>
      <c r="P820" s="24"/>
      <c r="Q820" s="24"/>
      <c r="R820" s="24"/>
      <c r="S820" s="24"/>
      <c r="T820" s="24"/>
      <c r="U820" s="24"/>
      <c r="V820" s="24"/>
      <c r="W820" s="24"/>
      <c r="X820" s="24"/>
      <c r="Y820" s="24"/>
      <c r="Z820" s="24"/>
      <c r="AA820" s="24"/>
      <c r="AB820" s="24"/>
      <c r="AC820" s="24"/>
    </row>
    <row r="821" spans="1:29" ht="12.9">
      <c r="A821" s="24"/>
      <c r="B821" s="24"/>
      <c r="C821" s="143"/>
      <c r="D821" s="24"/>
      <c r="E821" s="24"/>
      <c r="F821" s="24"/>
      <c r="G821" s="24"/>
      <c r="H821" s="117"/>
      <c r="I821" s="117"/>
      <c r="J821" s="24"/>
      <c r="K821" s="24"/>
      <c r="L821" s="24"/>
      <c r="M821" s="24"/>
      <c r="N821" s="24"/>
      <c r="O821" s="24"/>
      <c r="P821" s="24"/>
      <c r="Q821" s="24"/>
      <c r="R821" s="24"/>
      <c r="S821" s="24"/>
      <c r="T821" s="24"/>
      <c r="U821" s="24"/>
      <c r="V821" s="24"/>
      <c r="W821" s="24"/>
      <c r="X821" s="24"/>
      <c r="Y821" s="24"/>
      <c r="Z821" s="24"/>
      <c r="AA821" s="24"/>
      <c r="AB821" s="24"/>
      <c r="AC821" s="24"/>
    </row>
    <row r="822" spans="1:29" ht="12.9">
      <c r="A822" s="24"/>
      <c r="B822" s="24"/>
      <c r="C822" s="143"/>
      <c r="D822" s="24"/>
      <c r="E822" s="24"/>
      <c r="F822" s="24"/>
      <c r="G822" s="24"/>
      <c r="H822" s="117"/>
      <c r="I822" s="117"/>
      <c r="J822" s="24"/>
      <c r="K822" s="24"/>
      <c r="L822" s="24"/>
      <c r="M822" s="24"/>
      <c r="N822" s="24"/>
      <c r="O822" s="24"/>
      <c r="P822" s="24"/>
      <c r="Q822" s="24"/>
      <c r="R822" s="24"/>
      <c r="S822" s="24"/>
      <c r="T822" s="24"/>
      <c r="U822" s="24"/>
      <c r="V822" s="24"/>
      <c r="W822" s="24"/>
      <c r="X822" s="24"/>
      <c r="Y822" s="24"/>
      <c r="Z822" s="24"/>
      <c r="AA822" s="24"/>
      <c r="AB822" s="24"/>
      <c r="AC822" s="24"/>
    </row>
    <row r="823" spans="1:29" ht="12.9">
      <c r="A823" s="24"/>
      <c r="B823" s="24"/>
      <c r="C823" s="143"/>
      <c r="D823" s="24"/>
      <c r="E823" s="24"/>
      <c r="F823" s="24"/>
      <c r="G823" s="24"/>
      <c r="H823" s="117"/>
      <c r="I823" s="117"/>
      <c r="J823" s="24"/>
      <c r="K823" s="24"/>
      <c r="L823" s="24"/>
      <c r="M823" s="24"/>
      <c r="N823" s="24"/>
      <c r="O823" s="24"/>
      <c r="P823" s="24"/>
      <c r="Q823" s="24"/>
      <c r="R823" s="24"/>
      <c r="S823" s="24"/>
      <c r="T823" s="24"/>
      <c r="U823" s="24"/>
      <c r="V823" s="24"/>
      <c r="W823" s="24"/>
      <c r="X823" s="24"/>
      <c r="Y823" s="24"/>
      <c r="Z823" s="24"/>
      <c r="AA823" s="24"/>
      <c r="AB823" s="24"/>
      <c r="AC823" s="24"/>
    </row>
    <row r="824" spans="1:29" ht="12.9">
      <c r="A824" s="24"/>
      <c r="B824" s="24"/>
      <c r="C824" s="143"/>
      <c r="D824" s="24"/>
      <c r="E824" s="24"/>
      <c r="F824" s="24"/>
      <c r="G824" s="24"/>
      <c r="H824" s="117"/>
      <c r="I824" s="117"/>
      <c r="J824" s="24"/>
      <c r="K824" s="24"/>
      <c r="L824" s="24"/>
      <c r="M824" s="24"/>
      <c r="N824" s="24"/>
      <c r="O824" s="24"/>
      <c r="P824" s="24"/>
      <c r="Q824" s="24"/>
      <c r="R824" s="24"/>
      <c r="S824" s="24"/>
      <c r="T824" s="24"/>
      <c r="U824" s="24"/>
      <c r="V824" s="24"/>
      <c r="W824" s="24"/>
      <c r="X824" s="24"/>
      <c r="Y824" s="24"/>
      <c r="Z824" s="24"/>
      <c r="AA824" s="24"/>
      <c r="AB824" s="24"/>
      <c r="AC824" s="24"/>
    </row>
    <row r="825" spans="1:29" ht="12.9">
      <c r="A825" s="24"/>
      <c r="B825" s="24"/>
      <c r="C825" s="143"/>
      <c r="D825" s="24"/>
      <c r="E825" s="24"/>
      <c r="F825" s="24"/>
      <c r="G825" s="24"/>
      <c r="H825" s="117"/>
      <c r="I825" s="117"/>
      <c r="J825" s="24"/>
      <c r="K825" s="24"/>
      <c r="L825" s="24"/>
      <c r="M825" s="24"/>
      <c r="N825" s="24"/>
      <c r="O825" s="24"/>
      <c r="P825" s="24"/>
      <c r="Q825" s="24"/>
      <c r="R825" s="24"/>
      <c r="S825" s="24"/>
      <c r="T825" s="24"/>
      <c r="U825" s="24"/>
      <c r="V825" s="24"/>
      <c r="W825" s="24"/>
      <c r="X825" s="24"/>
      <c r="Y825" s="24"/>
      <c r="Z825" s="24"/>
      <c r="AA825" s="24"/>
      <c r="AB825" s="24"/>
      <c r="AC825" s="24"/>
    </row>
    <row r="826" spans="1:29" ht="12.9">
      <c r="A826" s="24"/>
      <c r="B826" s="24"/>
      <c r="C826" s="143"/>
      <c r="D826" s="24"/>
      <c r="E826" s="24"/>
      <c r="F826" s="24"/>
      <c r="G826" s="24"/>
      <c r="H826" s="117"/>
      <c r="I826" s="117"/>
      <c r="J826" s="24"/>
      <c r="K826" s="24"/>
      <c r="L826" s="24"/>
      <c r="M826" s="24"/>
      <c r="N826" s="24"/>
      <c r="O826" s="24"/>
      <c r="P826" s="24"/>
      <c r="Q826" s="24"/>
      <c r="R826" s="24"/>
      <c r="S826" s="24"/>
      <c r="T826" s="24"/>
      <c r="U826" s="24"/>
      <c r="V826" s="24"/>
      <c r="W826" s="24"/>
      <c r="X826" s="24"/>
      <c r="Y826" s="24"/>
      <c r="Z826" s="24"/>
      <c r="AA826" s="24"/>
      <c r="AB826" s="24"/>
      <c r="AC826" s="24"/>
    </row>
    <row r="827" spans="1:29" ht="12.9">
      <c r="A827" s="24"/>
      <c r="B827" s="24"/>
      <c r="C827" s="143"/>
      <c r="D827" s="24"/>
      <c r="E827" s="24"/>
      <c r="F827" s="24"/>
      <c r="G827" s="24"/>
      <c r="H827" s="117"/>
      <c r="I827" s="117"/>
      <c r="J827" s="24"/>
      <c r="K827" s="24"/>
      <c r="L827" s="24"/>
      <c r="M827" s="24"/>
      <c r="N827" s="24"/>
      <c r="O827" s="24"/>
      <c r="P827" s="24"/>
      <c r="Q827" s="24"/>
      <c r="R827" s="24"/>
      <c r="S827" s="24"/>
      <c r="T827" s="24"/>
      <c r="U827" s="24"/>
      <c r="V827" s="24"/>
      <c r="W827" s="24"/>
      <c r="X827" s="24"/>
      <c r="Y827" s="24"/>
      <c r="Z827" s="24"/>
      <c r="AA827" s="24"/>
      <c r="AB827" s="24"/>
      <c r="AC827" s="24"/>
    </row>
    <row r="828" spans="1:29" ht="12.9">
      <c r="A828" s="24"/>
      <c r="B828" s="24"/>
      <c r="C828" s="143"/>
      <c r="D828" s="24"/>
      <c r="E828" s="24"/>
      <c r="F828" s="24"/>
      <c r="G828" s="24"/>
      <c r="H828" s="117"/>
      <c r="I828" s="117"/>
      <c r="J828" s="24"/>
      <c r="K828" s="24"/>
      <c r="L828" s="24"/>
      <c r="M828" s="24"/>
      <c r="N828" s="24"/>
      <c r="O828" s="24"/>
      <c r="P828" s="24"/>
      <c r="Q828" s="24"/>
      <c r="R828" s="24"/>
      <c r="S828" s="24"/>
      <c r="T828" s="24"/>
      <c r="U828" s="24"/>
      <c r="V828" s="24"/>
      <c r="W828" s="24"/>
      <c r="X828" s="24"/>
      <c r="Y828" s="24"/>
      <c r="Z828" s="24"/>
      <c r="AA828" s="24"/>
      <c r="AB828" s="24"/>
      <c r="AC828" s="24"/>
    </row>
    <row r="829" spans="1:29" ht="12.9">
      <c r="A829" s="24"/>
      <c r="B829" s="24"/>
      <c r="C829" s="143"/>
      <c r="D829" s="24"/>
      <c r="E829" s="24"/>
      <c r="F829" s="24"/>
      <c r="G829" s="24"/>
      <c r="H829" s="117"/>
      <c r="I829" s="117"/>
      <c r="J829" s="24"/>
      <c r="K829" s="24"/>
      <c r="L829" s="24"/>
      <c r="M829" s="24"/>
      <c r="N829" s="24"/>
      <c r="O829" s="24"/>
      <c r="P829" s="24"/>
      <c r="Q829" s="24"/>
      <c r="R829" s="24"/>
      <c r="S829" s="24"/>
      <c r="T829" s="24"/>
      <c r="U829" s="24"/>
      <c r="V829" s="24"/>
      <c r="W829" s="24"/>
      <c r="X829" s="24"/>
      <c r="Y829" s="24"/>
      <c r="Z829" s="24"/>
      <c r="AA829" s="24"/>
      <c r="AB829" s="24"/>
      <c r="AC829" s="24"/>
    </row>
    <row r="830" spans="1:29" ht="12.9">
      <c r="A830" s="24"/>
      <c r="B830" s="24"/>
      <c r="C830" s="143"/>
      <c r="D830" s="24"/>
      <c r="E830" s="24"/>
      <c r="F830" s="24"/>
      <c r="G830" s="24"/>
      <c r="H830" s="117"/>
      <c r="I830" s="117"/>
      <c r="J830" s="24"/>
      <c r="K830" s="24"/>
      <c r="L830" s="24"/>
      <c r="M830" s="24"/>
      <c r="N830" s="24"/>
      <c r="O830" s="24"/>
      <c r="P830" s="24"/>
      <c r="Q830" s="24"/>
      <c r="R830" s="24"/>
      <c r="S830" s="24"/>
      <c r="T830" s="24"/>
      <c r="U830" s="24"/>
      <c r="V830" s="24"/>
      <c r="W830" s="24"/>
      <c r="X830" s="24"/>
      <c r="Y830" s="24"/>
      <c r="Z830" s="24"/>
      <c r="AA830" s="24"/>
      <c r="AB830" s="24"/>
      <c r="AC830" s="24"/>
    </row>
    <row r="831" spans="1:29" ht="12.9">
      <c r="A831" s="24"/>
      <c r="B831" s="24"/>
      <c r="C831" s="143"/>
      <c r="D831" s="24"/>
      <c r="E831" s="24"/>
      <c r="F831" s="24"/>
      <c r="G831" s="24"/>
      <c r="H831" s="117"/>
      <c r="I831" s="117"/>
      <c r="J831" s="24"/>
      <c r="K831" s="24"/>
      <c r="L831" s="24"/>
      <c r="M831" s="24"/>
      <c r="N831" s="24"/>
      <c r="O831" s="24"/>
      <c r="P831" s="24"/>
      <c r="Q831" s="24"/>
      <c r="R831" s="24"/>
      <c r="S831" s="24"/>
      <c r="T831" s="24"/>
      <c r="U831" s="24"/>
      <c r="V831" s="24"/>
      <c r="W831" s="24"/>
      <c r="X831" s="24"/>
      <c r="Y831" s="24"/>
      <c r="Z831" s="24"/>
      <c r="AA831" s="24"/>
      <c r="AB831" s="24"/>
      <c r="AC831" s="24"/>
    </row>
    <row r="832" spans="1:29" ht="12.9">
      <c r="A832" s="24"/>
      <c r="B832" s="24"/>
      <c r="C832" s="143"/>
      <c r="D832" s="24"/>
      <c r="E832" s="24"/>
      <c r="F832" s="24"/>
      <c r="G832" s="24"/>
      <c r="H832" s="117"/>
      <c r="I832" s="117"/>
      <c r="J832" s="24"/>
      <c r="K832" s="24"/>
      <c r="L832" s="24"/>
      <c r="M832" s="24"/>
      <c r="N832" s="24"/>
      <c r="O832" s="24"/>
      <c r="P832" s="24"/>
      <c r="Q832" s="24"/>
      <c r="R832" s="24"/>
      <c r="S832" s="24"/>
      <c r="T832" s="24"/>
      <c r="U832" s="24"/>
      <c r="V832" s="24"/>
      <c r="W832" s="24"/>
      <c r="X832" s="24"/>
      <c r="Y832" s="24"/>
      <c r="Z832" s="24"/>
      <c r="AA832" s="24"/>
      <c r="AB832" s="24"/>
      <c r="AC832" s="24"/>
    </row>
    <row r="833" spans="1:29" ht="12.9">
      <c r="A833" s="24"/>
      <c r="B833" s="24"/>
      <c r="C833" s="143"/>
      <c r="D833" s="24"/>
      <c r="E833" s="24"/>
      <c r="F833" s="24"/>
      <c r="G833" s="24"/>
      <c r="H833" s="117"/>
      <c r="I833" s="117"/>
      <c r="J833" s="24"/>
      <c r="K833" s="24"/>
      <c r="L833" s="24"/>
      <c r="M833" s="24"/>
      <c r="N833" s="24"/>
      <c r="O833" s="24"/>
      <c r="P833" s="24"/>
      <c r="Q833" s="24"/>
      <c r="R833" s="24"/>
      <c r="S833" s="24"/>
      <c r="T833" s="24"/>
      <c r="U833" s="24"/>
      <c r="V833" s="24"/>
      <c r="W833" s="24"/>
      <c r="X833" s="24"/>
      <c r="Y833" s="24"/>
      <c r="Z833" s="24"/>
      <c r="AA833" s="24"/>
      <c r="AB833" s="24"/>
      <c r="AC833" s="24"/>
    </row>
    <row r="834" spans="1:29" ht="12.9">
      <c r="A834" s="24"/>
      <c r="B834" s="24"/>
      <c r="C834" s="143"/>
      <c r="D834" s="24"/>
      <c r="E834" s="24"/>
      <c r="F834" s="24"/>
      <c r="G834" s="24"/>
      <c r="H834" s="117"/>
      <c r="I834" s="117"/>
      <c r="J834" s="24"/>
      <c r="K834" s="24"/>
      <c r="L834" s="24"/>
      <c r="M834" s="24"/>
      <c r="N834" s="24"/>
      <c r="O834" s="24"/>
      <c r="P834" s="24"/>
      <c r="Q834" s="24"/>
      <c r="R834" s="24"/>
      <c r="S834" s="24"/>
      <c r="T834" s="24"/>
      <c r="U834" s="24"/>
      <c r="V834" s="24"/>
      <c r="W834" s="24"/>
      <c r="X834" s="24"/>
      <c r="Y834" s="24"/>
      <c r="Z834" s="24"/>
      <c r="AA834" s="24"/>
      <c r="AB834" s="24"/>
      <c r="AC834" s="24"/>
    </row>
    <row r="835" spans="1:29" ht="12.9">
      <c r="A835" s="24"/>
      <c r="B835" s="24"/>
      <c r="C835" s="143"/>
      <c r="D835" s="24"/>
      <c r="E835" s="24"/>
      <c r="F835" s="24"/>
      <c r="G835" s="24"/>
      <c r="H835" s="117"/>
      <c r="I835" s="117"/>
      <c r="J835" s="24"/>
      <c r="K835" s="24"/>
      <c r="L835" s="24"/>
      <c r="M835" s="24"/>
      <c r="N835" s="24"/>
      <c r="O835" s="24"/>
      <c r="P835" s="24"/>
      <c r="Q835" s="24"/>
      <c r="R835" s="24"/>
      <c r="S835" s="24"/>
      <c r="T835" s="24"/>
      <c r="U835" s="24"/>
      <c r="V835" s="24"/>
      <c r="W835" s="24"/>
      <c r="X835" s="24"/>
      <c r="Y835" s="24"/>
      <c r="Z835" s="24"/>
      <c r="AA835" s="24"/>
      <c r="AB835" s="24"/>
      <c r="AC835" s="24"/>
    </row>
    <row r="836" spans="1:29" ht="12.9">
      <c r="A836" s="24"/>
      <c r="B836" s="24"/>
      <c r="C836" s="143"/>
      <c r="D836" s="24"/>
      <c r="E836" s="24"/>
      <c r="F836" s="24"/>
      <c r="G836" s="24"/>
      <c r="H836" s="117"/>
      <c r="I836" s="117"/>
      <c r="J836" s="24"/>
      <c r="K836" s="24"/>
      <c r="L836" s="24"/>
      <c r="M836" s="24"/>
      <c r="N836" s="24"/>
      <c r="O836" s="24"/>
      <c r="P836" s="24"/>
      <c r="Q836" s="24"/>
      <c r="R836" s="24"/>
      <c r="S836" s="24"/>
      <c r="T836" s="24"/>
      <c r="U836" s="24"/>
      <c r="V836" s="24"/>
      <c r="W836" s="24"/>
      <c r="X836" s="24"/>
      <c r="Y836" s="24"/>
      <c r="Z836" s="24"/>
      <c r="AA836" s="24"/>
      <c r="AB836" s="24"/>
      <c r="AC836" s="24"/>
    </row>
    <row r="837" spans="1:29" ht="12.9">
      <c r="A837" s="24"/>
      <c r="B837" s="24"/>
      <c r="C837" s="143"/>
      <c r="D837" s="24"/>
      <c r="E837" s="24"/>
      <c r="F837" s="24"/>
      <c r="G837" s="24"/>
      <c r="H837" s="117"/>
      <c r="I837" s="117"/>
      <c r="J837" s="24"/>
      <c r="K837" s="24"/>
      <c r="L837" s="24"/>
      <c r="M837" s="24"/>
      <c r="N837" s="24"/>
      <c r="O837" s="24"/>
      <c r="P837" s="24"/>
      <c r="Q837" s="24"/>
      <c r="R837" s="24"/>
      <c r="S837" s="24"/>
      <c r="T837" s="24"/>
      <c r="U837" s="24"/>
      <c r="V837" s="24"/>
      <c r="W837" s="24"/>
      <c r="X837" s="24"/>
      <c r="Y837" s="24"/>
      <c r="Z837" s="24"/>
      <c r="AA837" s="24"/>
      <c r="AB837" s="24"/>
      <c r="AC837" s="24"/>
    </row>
    <row r="838" spans="1:29" ht="12.9">
      <c r="A838" s="24"/>
      <c r="B838" s="24"/>
      <c r="C838" s="143"/>
      <c r="D838" s="24"/>
      <c r="E838" s="24"/>
      <c r="F838" s="24"/>
      <c r="G838" s="24"/>
      <c r="H838" s="117"/>
      <c r="I838" s="117"/>
      <c r="J838" s="24"/>
      <c r="K838" s="24"/>
      <c r="L838" s="24"/>
      <c r="M838" s="24"/>
      <c r="N838" s="24"/>
      <c r="O838" s="24"/>
      <c r="P838" s="24"/>
      <c r="Q838" s="24"/>
      <c r="R838" s="24"/>
      <c r="S838" s="24"/>
      <c r="T838" s="24"/>
      <c r="U838" s="24"/>
      <c r="V838" s="24"/>
      <c r="W838" s="24"/>
      <c r="X838" s="24"/>
      <c r="Y838" s="24"/>
      <c r="Z838" s="24"/>
      <c r="AA838" s="24"/>
      <c r="AB838" s="24"/>
      <c r="AC838" s="24"/>
    </row>
    <row r="839" spans="1:29" ht="12.9">
      <c r="A839" s="24"/>
      <c r="B839" s="24"/>
      <c r="C839" s="143"/>
      <c r="D839" s="24"/>
      <c r="E839" s="24"/>
      <c r="F839" s="24"/>
      <c r="G839" s="24"/>
      <c r="H839" s="117"/>
      <c r="I839" s="117"/>
      <c r="J839" s="24"/>
      <c r="K839" s="24"/>
      <c r="L839" s="24"/>
      <c r="M839" s="24"/>
      <c r="N839" s="24"/>
      <c r="O839" s="24"/>
      <c r="P839" s="24"/>
      <c r="Q839" s="24"/>
      <c r="R839" s="24"/>
      <c r="S839" s="24"/>
      <c r="T839" s="24"/>
      <c r="U839" s="24"/>
      <c r="V839" s="24"/>
      <c r="W839" s="24"/>
      <c r="X839" s="24"/>
      <c r="Y839" s="24"/>
      <c r="Z839" s="24"/>
      <c r="AA839" s="24"/>
      <c r="AB839" s="24"/>
      <c r="AC839" s="24"/>
    </row>
    <row r="840" spans="1:29" ht="12.9">
      <c r="A840" s="24"/>
      <c r="B840" s="24"/>
      <c r="C840" s="143"/>
      <c r="D840" s="24"/>
      <c r="E840" s="24"/>
      <c r="F840" s="24"/>
      <c r="G840" s="24"/>
      <c r="H840" s="117"/>
      <c r="I840" s="117"/>
      <c r="J840" s="24"/>
      <c r="K840" s="24"/>
      <c r="L840" s="24"/>
      <c r="M840" s="24"/>
      <c r="N840" s="24"/>
      <c r="O840" s="24"/>
      <c r="P840" s="24"/>
      <c r="Q840" s="24"/>
      <c r="R840" s="24"/>
      <c r="S840" s="24"/>
      <c r="T840" s="24"/>
      <c r="U840" s="24"/>
      <c r="V840" s="24"/>
      <c r="W840" s="24"/>
      <c r="X840" s="24"/>
      <c r="Y840" s="24"/>
      <c r="Z840" s="24"/>
      <c r="AA840" s="24"/>
      <c r="AB840" s="24"/>
      <c r="AC840" s="24"/>
    </row>
    <row r="841" spans="1:29" ht="12.9">
      <c r="A841" s="24"/>
      <c r="B841" s="24"/>
      <c r="C841" s="143"/>
      <c r="D841" s="24"/>
      <c r="E841" s="24"/>
      <c r="F841" s="24"/>
      <c r="G841" s="24"/>
      <c r="H841" s="117"/>
      <c r="I841" s="117"/>
      <c r="J841" s="24"/>
      <c r="K841" s="24"/>
      <c r="L841" s="24"/>
      <c r="M841" s="24"/>
      <c r="N841" s="24"/>
      <c r="O841" s="24"/>
      <c r="P841" s="24"/>
      <c r="Q841" s="24"/>
      <c r="R841" s="24"/>
      <c r="S841" s="24"/>
      <c r="T841" s="24"/>
      <c r="U841" s="24"/>
      <c r="V841" s="24"/>
      <c r="W841" s="24"/>
      <c r="X841" s="24"/>
      <c r="Y841" s="24"/>
      <c r="Z841" s="24"/>
      <c r="AA841" s="24"/>
      <c r="AB841" s="24"/>
      <c r="AC841" s="24"/>
    </row>
    <row r="842" spans="1:29" ht="12.9">
      <c r="A842" s="24"/>
      <c r="B842" s="24"/>
      <c r="C842" s="143"/>
      <c r="D842" s="24"/>
      <c r="E842" s="24"/>
      <c r="F842" s="24"/>
      <c r="G842" s="24"/>
      <c r="H842" s="117"/>
      <c r="I842" s="117"/>
      <c r="J842" s="24"/>
      <c r="K842" s="24"/>
      <c r="L842" s="24"/>
      <c r="M842" s="24"/>
      <c r="N842" s="24"/>
      <c r="O842" s="24"/>
      <c r="P842" s="24"/>
      <c r="Q842" s="24"/>
      <c r="R842" s="24"/>
      <c r="S842" s="24"/>
      <c r="T842" s="24"/>
      <c r="U842" s="24"/>
      <c r="V842" s="24"/>
      <c r="W842" s="24"/>
      <c r="X842" s="24"/>
      <c r="Y842" s="24"/>
      <c r="Z842" s="24"/>
      <c r="AA842" s="24"/>
      <c r="AB842" s="24"/>
      <c r="AC842" s="24"/>
    </row>
    <row r="843" spans="1:29" ht="12.9">
      <c r="A843" s="24"/>
      <c r="B843" s="24"/>
      <c r="C843" s="143"/>
      <c r="D843" s="24"/>
      <c r="E843" s="24"/>
      <c r="F843" s="24"/>
      <c r="G843" s="24"/>
      <c r="H843" s="117"/>
      <c r="I843" s="117"/>
      <c r="J843" s="24"/>
      <c r="K843" s="24"/>
      <c r="L843" s="24"/>
      <c r="M843" s="24"/>
      <c r="N843" s="24"/>
      <c r="O843" s="24"/>
      <c r="P843" s="24"/>
      <c r="Q843" s="24"/>
      <c r="R843" s="24"/>
      <c r="S843" s="24"/>
      <c r="T843" s="24"/>
      <c r="U843" s="24"/>
      <c r="V843" s="24"/>
      <c r="W843" s="24"/>
      <c r="X843" s="24"/>
      <c r="Y843" s="24"/>
      <c r="Z843" s="24"/>
      <c r="AA843" s="24"/>
      <c r="AB843" s="24"/>
      <c r="AC843" s="24"/>
    </row>
    <row r="844" spans="1:29" ht="12.9">
      <c r="A844" s="24"/>
      <c r="B844" s="24"/>
      <c r="C844" s="143"/>
      <c r="D844" s="24"/>
      <c r="E844" s="24"/>
      <c r="F844" s="24"/>
      <c r="G844" s="24"/>
      <c r="H844" s="117"/>
      <c r="I844" s="117"/>
      <c r="J844" s="24"/>
      <c r="K844" s="24"/>
      <c r="L844" s="24"/>
      <c r="M844" s="24"/>
      <c r="N844" s="24"/>
      <c r="O844" s="24"/>
      <c r="P844" s="24"/>
      <c r="Q844" s="24"/>
      <c r="R844" s="24"/>
      <c r="S844" s="24"/>
      <c r="T844" s="24"/>
      <c r="U844" s="24"/>
      <c r="V844" s="24"/>
      <c r="W844" s="24"/>
      <c r="X844" s="24"/>
      <c r="Y844" s="24"/>
      <c r="Z844" s="24"/>
      <c r="AA844" s="24"/>
      <c r="AB844" s="24"/>
      <c r="AC844" s="24"/>
    </row>
    <row r="845" spans="1:29" ht="12.9">
      <c r="A845" s="24"/>
      <c r="B845" s="24"/>
      <c r="C845" s="143"/>
      <c r="D845" s="24"/>
      <c r="E845" s="24"/>
      <c r="F845" s="24"/>
      <c r="G845" s="24"/>
      <c r="H845" s="117"/>
      <c r="I845" s="117"/>
      <c r="J845" s="24"/>
      <c r="K845" s="24"/>
      <c r="L845" s="24"/>
      <c r="M845" s="24"/>
      <c r="N845" s="24"/>
      <c r="O845" s="24"/>
      <c r="P845" s="24"/>
      <c r="Q845" s="24"/>
      <c r="R845" s="24"/>
      <c r="S845" s="24"/>
      <c r="T845" s="24"/>
      <c r="U845" s="24"/>
      <c r="V845" s="24"/>
      <c r="W845" s="24"/>
      <c r="X845" s="24"/>
      <c r="Y845" s="24"/>
      <c r="Z845" s="24"/>
      <c r="AA845" s="24"/>
      <c r="AB845" s="24"/>
      <c r="AC845" s="24"/>
    </row>
    <row r="846" spans="1:29" ht="12.9">
      <c r="A846" s="24"/>
      <c r="B846" s="24"/>
      <c r="C846" s="143"/>
      <c r="D846" s="24"/>
      <c r="E846" s="24"/>
      <c r="F846" s="24"/>
      <c r="G846" s="24"/>
      <c r="H846" s="117"/>
      <c r="I846" s="117"/>
      <c r="J846" s="24"/>
      <c r="K846" s="24"/>
      <c r="L846" s="24"/>
      <c r="M846" s="24"/>
      <c r="N846" s="24"/>
      <c r="O846" s="24"/>
      <c r="P846" s="24"/>
      <c r="Q846" s="24"/>
      <c r="R846" s="24"/>
      <c r="S846" s="24"/>
      <c r="T846" s="24"/>
      <c r="U846" s="24"/>
      <c r="V846" s="24"/>
      <c r="W846" s="24"/>
      <c r="X846" s="24"/>
      <c r="Y846" s="24"/>
      <c r="Z846" s="24"/>
      <c r="AA846" s="24"/>
      <c r="AB846" s="24"/>
      <c r="AC846" s="24"/>
    </row>
    <row r="847" spans="1:29" ht="12.9">
      <c r="A847" s="24"/>
      <c r="B847" s="24"/>
      <c r="C847" s="143"/>
      <c r="D847" s="24"/>
      <c r="E847" s="24"/>
      <c r="F847" s="24"/>
      <c r="G847" s="24"/>
      <c r="H847" s="117"/>
      <c r="I847" s="117"/>
      <c r="J847" s="24"/>
      <c r="K847" s="24"/>
      <c r="L847" s="24"/>
      <c r="M847" s="24"/>
      <c r="N847" s="24"/>
      <c r="O847" s="24"/>
      <c r="P847" s="24"/>
      <c r="Q847" s="24"/>
      <c r="R847" s="24"/>
      <c r="S847" s="24"/>
      <c r="T847" s="24"/>
      <c r="U847" s="24"/>
      <c r="V847" s="24"/>
      <c r="W847" s="24"/>
      <c r="X847" s="24"/>
      <c r="Y847" s="24"/>
      <c r="Z847" s="24"/>
      <c r="AA847" s="24"/>
      <c r="AB847" s="24"/>
      <c r="AC847" s="24"/>
    </row>
    <row r="848" spans="1:29" ht="12.9">
      <c r="A848" s="24"/>
      <c r="B848" s="24"/>
      <c r="C848" s="143"/>
      <c r="D848" s="24"/>
      <c r="E848" s="24"/>
      <c r="F848" s="24"/>
      <c r="G848" s="24"/>
      <c r="H848" s="117"/>
      <c r="I848" s="117"/>
      <c r="J848" s="24"/>
      <c r="K848" s="24"/>
      <c r="L848" s="24"/>
      <c r="M848" s="24"/>
      <c r="N848" s="24"/>
      <c r="O848" s="24"/>
      <c r="P848" s="24"/>
      <c r="Q848" s="24"/>
      <c r="R848" s="24"/>
      <c r="S848" s="24"/>
      <c r="T848" s="24"/>
      <c r="U848" s="24"/>
      <c r="V848" s="24"/>
      <c r="W848" s="24"/>
      <c r="X848" s="24"/>
      <c r="Y848" s="24"/>
      <c r="Z848" s="24"/>
      <c r="AA848" s="24"/>
      <c r="AB848" s="24"/>
      <c r="AC848" s="24"/>
    </row>
    <row r="849" spans="1:29" ht="12.9">
      <c r="A849" s="24"/>
      <c r="B849" s="24"/>
      <c r="C849" s="143"/>
      <c r="D849" s="24"/>
      <c r="E849" s="24"/>
      <c r="F849" s="24"/>
      <c r="G849" s="24"/>
      <c r="H849" s="117"/>
      <c r="I849" s="117"/>
      <c r="J849" s="24"/>
      <c r="K849" s="24"/>
      <c r="L849" s="24"/>
      <c r="M849" s="24"/>
      <c r="N849" s="24"/>
      <c r="O849" s="24"/>
      <c r="P849" s="24"/>
      <c r="Q849" s="24"/>
      <c r="R849" s="24"/>
      <c r="S849" s="24"/>
      <c r="T849" s="24"/>
      <c r="U849" s="24"/>
      <c r="V849" s="24"/>
      <c r="W849" s="24"/>
      <c r="X849" s="24"/>
      <c r="Y849" s="24"/>
      <c r="Z849" s="24"/>
      <c r="AA849" s="24"/>
      <c r="AB849" s="24"/>
      <c r="AC849" s="24"/>
    </row>
    <row r="850" spans="1:29" ht="12.9">
      <c r="A850" s="24"/>
      <c r="B850" s="24"/>
      <c r="C850" s="143"/>
      <c r="D850" s="24"/>
      <c r="E850" s="24"/>
      <c r="F850" s="24"/>
      <c r="G850" s="24"/>
      <c r="H850" s="117"/>
      <c r="I850" s="117"/>
      <c r="J850" s="24"/>
      <c r="K850" s="24"/>
      <c r="L850" s="24"/>
      <c r="M850" s="24"/>
      <c r="N850" s="24"/>
      <c r="O850" s="24"/>
      <c r="P850" s="24"/>
      <c r="Q850" s="24"/>
      <c r="R850" s="24"/>
      <c r="S850" s="24"/>
      <c r="T850" s="24"/>
      <c r="U850" s="24"/>
      <c r="V850" s="24"/>
      <c r="W850" s="24"/>
      <c r="X850" s="24"/>
      <c r="Y850" s="24"/>
      <c r="Z850" s="24"/>
      <c r="AA850" s="24"/>
      <c r="AB850" s="24"/>
      <c r="AC850" s="24"/>
    </row>
    <row r="851" spans="1:29" ht="12.9">
      <c r="A851" s="24"/>
      <c r="B851" s="24"/>
      <c r="C851" s="143"/>
      <c r="D851" s="24"/>
      <c r="E851" s="24"/>
      <c r="F851" s="24"/>
      <c r="G851" s="24"/>
      <c r="H851" s="117"/>
      <c r="I851" s="117"/>
      <c r="J851" s="24"/>
      <c r="K851" s="24"/>
      <c r="L851" s="24"/>
      <c r="M851" s="24"/>
      <c r="N851" s="24"/>
      <c r="O851" s="24"/>
      <c r="P851" s="24"/>
      <c r="Q851" s="24"/>
      <c r="R851" s="24"/>
      <c r="S851" s="24"/>
      <c r="T851" s="24"/>
      <c r="U851" s="24"/>
      <c r="V851" s="24"/>
      <c r="W851" s="24"/>
      <c r="X851" s="24"/>
      <c r="Y851" s="24"/>
      <c r="Z851" s="24"/>
      <c r="AA851" s="24"/>
      <c r="AB851" s="24"/>
      <c r="AC851" s="24"/>
    </row>
    <row r="852" spans="1:29" ht="12.9">
      <c r="A852" s="24"/>
      <c r="B852" s="24"/>
      <c r="C852" s="143"/>
      <c r="D852" s="24"/>
      <c r="E852" s="24"/>
      <c r="F852" s="24"/>
      <c r="G852" s="24"/>
      <c r="H852" s="117"/>
      <c r="I852" s="117"/>
      <c r="J852" s="24"/>
      <c r="K852" s="24"/>
      <c r="L852" s="24"/>
      <c r="M852" s="24"/>
      <c r="N852" s="24"/>
      <c r="O852" s="24"/>
      <c r="P852" s="24"/>
      <c r="Q852" s="24"/>
      <c r="R852" s="24"/>
      <c r="S852" s="24"/>
      <c r="T852" s="24"/>
      <c r="U852" s="24"/>
      <c r="V852" s="24"/>
      <c r="W852" s="24"/>
      <c r="X852" s="24"/>
      <c r="Y852" s="24"/>
      <c r="Z852" s="24"/>
      <c r="AA852" s="24"/>
      <c r="AB852" s="24"/>
      <c r="AC852" s="24"/>
    </row>
    <row r="853" spans="1:29" ht="12.9">
      <c r="A853" s="24"/>
      <c r="B853" s="24"/>
      <c r="C853" s="143"/>
      <c r="D853" s="24"/>
      <c r="E853" s="24"/>
      <c r="F853" s="24"/>
      <c r="G853" s="24"/>
      <c r="H853" s="117"/>
      <c r="I853" s="117"/>
      <c r="J853" s="24"/>
      <c r="K853" s="24"/>
      <c r="L853" s="24"/>
      <c r="M853" s="24"/>
      <c r="N853" s="24"/>
      <c r="O853" s="24"/>
      <c r="P853" s="24"/>
      <c r="Q853" s="24"/>
      <c r="R853" s="24"/>
      <c r="S853" s="24"/>
      <c r="T853" s="24"/>
      <c r="U853" s="24"/>
      <c r="V853" s="24"/>
      <c r="W853" s="24"/>
      <c r="X853" s="24"/>
      <c r="Y853" s="24"/>
      <c r="Z853" s="24"/>
      <c r="AA853" s="24"/>
      <c r="AB853" s="24"/>
      <c r="AC853" s="24"/>
    </row>
    <row r="854" spans="1:29" ht="12.9">
      <c r="A854" s="24"/>
      <c r="B854" s="24"/>
      <c r="C854" s="143"/>
      <c r="D854" s="24"/>
      <c r="E854" s="24"/>
      <c r="F854" s="24"/>
      <c r="G854" s="24"/>
      <c r="H854" s="117"/>
      <c r="I854" s="117"/>
      <c r="J854" s="24"/>
      <c r="K854" s="24"/>
      <c r="L854" s="24"/>
      <c r="M854" s="24"/>
      <c r="N854" s="24"/>
      <c r="O854" s="24"/>
      <c r="P854" s="24"/>
      <c r="Q854" s="24"/>
      <c r="R854" s="24"/>
      <c r="S854" s="24"/>
      <c r="T854" s="24"/>
      <c r="U854" s="24"/>
      <c r="V854" s="24"/>
      <c r="W854" s="24"/>
      <c r="X854" s="24"/>
      <c r="Y854" s="24"/>
      <c r="Z854" s="24"/>
      <c r="AA854" s="24"/>
      <c r="AB854" s="24"/>
      <c r="AC854" s="24"/>
    </row>
    <row r="855" spans="1:29" ht="12.9">
      <c r="A855" s="24"/>
      <c r="B855" s="24"/>
      <c r="C855" s="143"/>
      <c r="D855" s="24"/>
      <c r="E855" s="24"/>
      <c r="F855" s="24"/>
      <c r="G855" s="24"/>
      <c r="H855" s="117"/>
      <c r="I855" s="117"/>
      <c r="J855" s="24"/>
      <c r="K855" s="24"/>
      <c r="L855" s="24"/>
      <c r="M855" s="24"/>
      <c r="N855" s="24"/>
      <c r="O855" s="24"/>
      <c r="P855" s="24"/>
      <c r="Q855" s="24"/>
      <c r="R855" s="24"/>
      <c r="S855" s="24"/>
      <c r="T855" s="24"/>
      <c r="U855" s="24"/>
      <c r="V855" s="24"/>
      <c r="W855" s="24"/>
      <c r="X855" s="24"/>
      <c r="Y855" s="24"/>
      <c r="Z855" s="24"/>
      <c r="AA855" s="24"/>
      <c r="AB855" s="24"/>
      <c r="AC855" s="24"/>
    </row>
    <row r="856" spans="1:29" ht="12.9">
      <c r="A856" s="24"/>
      <c r="B856" s="24"/>
      <c r="C856" s="143"/>
      <c r="D856" s="24"/>
      <c r="E856" s="24"/>
      <c r="F856" s="24"/>
      <c r="G856" s="24"/>
      <c r="H856" s="117"/>
      <c r="I856" s="117"/>
      <c r="J856" s="24"/>
      <c r="K856" s="24"/>
      <c r="L856" s="24"/>
      <c r="M856" s="24"/>
      <c r="N856" s="24"/>
      <c r="O856" s="24"/>
      <c r="P856" s="24"/>
      <c r="Q856" s="24"/>
      <c r="R856" s="24"/>
      <c r="S856" s="24"/>
      <c r="T856" s="24"/>
      <c r="U856" s="24"/>
      <c r="V856" s="24"/>
      <c r="W856" s="24"/>
      <c r="X856" s="24"/>
      <c r="Y856" s="24"/>
      <c r="Z856" s="24"/>
      <c r="AA856" s="24"/>
      <c r="AB856" s="24"/>
      <c r="AC856" s="24"/>
    </row>
    <row r="857" spans="1:29" ht="12.9">
      <c r="A857" s="24"/>
      <c r="B857" s="24"/>
      <c r="C857" s="143"/>
      <c r="D857" s="24"/>
      <c r="E857" s="24"/>
      <c r="F857" s="24"/>
      <c r="G857" s="24"/>
      <c r="H857" s="117"/>
      <c r="I857" s="117"/>
      <c r="J857" s="24"/>
      <c r="K857" s="24"/>
      <c r="L857" s="24"/>
      <c r="M857" s="24"/>
      <c r="N857" s="24"/>
      <c r="O857" s="24"/>
      <c r="P857" s="24"/>
      <c r="Q857" s="24"/>
      <c r="R857" s="24"/>
      <c r="S857" s="24"/>
      <c r="T857" s="24"/>
      <c r="U857" s="24"/>
      <c r="V857" s="24"/>
      <c r="W857" s="24"/>
      <c r="X857" s="24"/>
      <c r="Y857" s="24"/>
      <c r="Z857" s="24"/>
      <c r="AA857" s="24"/>
      <c r="AB857" s="24"/>
      <c r="AC857" s="24"/>
    </row>
    <row r="858" spans="1:29" ht="12.9">
      <c r="A858" s="24"/>
      <c r="B858" s="24"/>
      <c r="C858" s="143"/>
      <c r="D858" s="24"/>
      <c r="E858" s="24"/>
      <c r="F858" s="24"/>
      <c r="G858" s="24"/>
      <c r="H858" s="117"/>
      <c r="I858" s="117"/>
      <c r="J858" s="24"/>
      <c r="K858" s="24"/>
      <c r="L858" s="24"/>
      <c r="M858" s="24"/>
      <c r="N858" s="24"/>
      <c r="O858" s="24"/>
      <c r="P858" s="24"/>
      <c r="Q858" s="24"/>
      <c r="R858" s="24"/>
      <c r="S858" s="24"/>
      <c r="T858" s="24"/>
      <c r="U858" s="24"/>
      <c r="V858" s="24"/>
      <c r="W858" s="24"/>
      <c r="X858" s="24"/>
      <c r="Y858" s="24"/>
      <c r="Z858" s="24"/>
      <c r="AA858" s="24"/>
      <c r="AB858" s="24"/>
      <c r="AC858" s="24"/>
    </row>
    <row r="859" spans="1:29" ht="12.9">
      <c r="A859" s="24"/>
      <c r="B859" s="24"/>
      <c r="C859" s="143"/>
      <c r="D859" s="24"/>
      <c r="E859" s="24"/>
      <c r="F859" s="24"/>
      <c r="G859" s="24"/>
      <c r="H859" s="117"/>
      <c r="I859" s="117"/>
      <c r="J859" s="24"/>
      <c r="K859" s="24"/>
      <c r="L859" s="24"/>
      <c r="M859" s="24"/>
      <c r="N859" s="24"/>
      <c r="O859" s="24"/>
      <c r="P859" s="24"/>
      <c r="Q859" s="24"/>
      <c r="R859" s="24"/>
      <c r="S859" s="24"/>
      <c r="T859" s="24"/>
      <c r="U859" s="24"/>
      <c r="V859" s="24"/>
      <c r="W859" s="24"/>
      <c r="X859" s="24"/>
      <c r="Y859" s="24"/>
      <c r="Z859" s="24"/>
      <c r="AA859" s="24"/>
      <c r="AB859" s="24"/>
      <c r="AC859" s="24"/>
    </row>
    <row r="860" spans="1:29" ht="12.9">
      <c r="A860" s="24"/>
      <c r="B860" s="24"/>
      <c r="C860" s="143"/>
      <c r="D860" s="24"/>
      <c r="E860" s="24"/>
      <c r="F860" s="24"/>
      <c r="G860" s="24"/>
      <c r="H860" s="117"/>
      <c r="I860" s="117"/>
      <c r="J860" s="24"/>
      <c r="K860" s="24"/>
      <c r="L860" s="24"/>
      <c r="M860" s="24"/>
      <c r="N860" s="24"/>
      <c r="O860" s="24"/>
      <c r="P860" s="24"/>
      <c r="Q860" s="24"/>
      <c r="R860" s="24"/>
      <c r="S860" s="24"/>
      <c r="T860" s="24"/>
      <c r="U860" s="24"/>
      <c r="V860" s="24"/>
      <c r="W860" s="24"/>
      <c r="X860" s="24"/>
      <c r="Y860" s="24"/>
      <c r="Z860" s="24"/>
      <c r="AA860" s="24"/>
      <c r="AB860" s="24"/>
      <c r="AC860" s="24"/>
    </row>
    <row r="861" spans="1:29" ht="12.9">
      <c r="A861" s="24"/>
      <c r="B861" s="24"/>
      <c r="C861" s="143"/>
      <c r="D861" s="24"/>
      <c r="E861" s="24"/>
      <c r="F861" s="24"/>
      <c r="G861" s="24"/>
      <c r="H861" s="117"/>
      <c r="I861" s="117"/>
      <c r="J861" s="24"/>
      <c r="K861" s="24"/>
      <c r="L861" s="24"/>
      <c r="M861" s="24"/>
      <c r="N861" s="24"/>
      <c r="O861" s="24"/>
      <c r="P861" s="24"/>
      <c r="Q861" s="24"/>
      <c r="R861" s="24"/>
      <c r="S861" s="24"/>
      <c r="T861" s="24"/>
      <c r="U861" s="24"/>
      <c r="V861" s="24"/>
      <c r="W861" s="24"/>
      <c r="X861" s="24"/>
      <c r="Y861" s="24"/>
      <c r="Z861" s="24"/>
      <c r="AA861" s="24"/>
      <c r="AB861" s="24"/>
      <c r="AC861" s="24"/>
    </row>
    <row r="862" spans="1:29" ht="12.9">
      <c r="A862" s="24"/>
      <c r="B862" s="24"/>
      <c r="C862" s="143"/>
      <c r="D862" s="24"/>
      <c r="E862" s="24"/>
      <c r="F862" s="24"/>
      <c r="G862" s="24"/>
      <c r="H862" s="117"/>
      <c r="I862" s="117"/>
      <c r="J862" s="24"/>
      <c r="K862" s="24"/>
      <c r="L862" s="24"/>
      <c r="M862" s="24"/>
      <c r="N862" s="24"/>
      <c r="O862" s="24"/>
      <c r="P862" s="24"/>
      <c r="Q862" s="24"/>
      <c r="R862" s="24"/>
      <c r="S862" s="24"/>
      <c r="T862" s="24"/>
      <c r="U862" s="24"/>
      <c r="V862" s="24"/>
      <c r="W862" s="24"/>
      <c r="X862" s="24"/>
      <c r="Y862" s="24"/>
      <c r="Z862" s="24"/>
      <c r="AA862" s="24"/>
      <c r="AB862" s="24"/>
      <c r="AC862" s="24"/>
    </row>
    <row r="863" spans="1:29" ht="12.9">
      <c r="A863" s="24"/>
      <c r="B863" s="24"/>
      <c r="C863" s="143"/>
      <c r="D863" s="24"/>
      <c r="E863" s="24"/>
      <c r="F863" s="24"/>
      <c r="G863" s="24"/>
      <c r="H863" s="117"/>
      <c r="I863" s="117"/>
      <c r="J863" s="24"/>
      <c r="K863" s="24"/>
      <c r="L863" s="24"/>
      <c r="M863" s="24"/>
      <c r="N863" s="24"/>
      <c r="O863" s="24"/>
      <c r="P863" s="24"/>
      <c r="Q863" s="24"/>
      <c r="R863" s="24"/>
      <c r="S863" s="24"/>
      <c r="T863" s="24"/>
      <c r="U863" s="24"/>
      <c r="V863" s="24"/>
      <c r="W863" s="24"/>
      <c r="X863" s="24"/>
      <c r="Y863" s="24"/>
      <c r="Z863" s="24"/>
      <c r="AA863" s="24"/>
      <c r="AB863" s="24"/>
      <c r="AC863" s="24"/>
    </row>
    <row r="864" spans="1:29" ht="12.9">
      <c r="A864" s="24"/>
      <c r="B864" s="24"/>
      <c r="C864" s="143"/>
      <c r="D864" s="24"/>
      <c r="E864" s="24"/>
      <c r="F864" s="24"/>
      <c r="G864" s="24"/>
      <c r="H864" s="117"/>
      <c r="I864" s="117"/>
      <c r="J864" s="24"/>
      <c r="K864" s="24"/>
      <c r="L864" s="24"/>
      <c r="M864" s="24"/>
      <c r="N864" s="24"/>
      <c r="O864" s="24"/>
      <c r="P864" s="24"/>
      <c r="Q864" s="24"/>
      <c r="R864" s="24"/>
      <c r="S864" s="24"/>
      <c r="T864" s="24"/>
      <c r="U864" s="24"/>
      <c r="V864" s="24"/>
      <c r="W864" s="24"/>
      <c r="X864" s="24"/>
      <c r="Y864" s="24"/>
      <c r="Z864" s="24"/>
      <c r="AA864" s="24"/>
      <c r="AB864" s="24"/>
      <c r="AC864" s="24"/>
    </row>
    <row r="865" spans="1:29" ht="12.9">
      <c r="A865" s="24"/>
      <c r="B865" s="24"/>
      <c r="C865" s="143"/>
      <c r="D865" s="24"/>
      <c r="E865" s="24"/>
      <c r="F865" s="24"/>
      <c r="G865" s="24"/>
      <c r="H865" s="117"/>
      <c r="I865" s="117"/>
      <c r="J865" s="24"/>
      <c r="K865" s="24"/>
      <c r="L865" s="24"/>
      <c r="M865" s="24"/>
      <c r="N865" s="24"/>
      <c r="O865" s="24"/>
      <c r="P865" s="24"/>
      <c r="Q865" s="24"/>
      <c r="R865" s="24"/>
      <c r="S865" s="24"/>
      <c r="T865" s="24"/>
      <c r="U865" s="24"/>
      <c r="V865" s="24"/>
      <c r="W865" s="24"/>
      <c r="X865" s="24"/>
      <c r="Y865" s="24"/>
      <c r="Z865" s="24"/>
      <c r="AA865" s="24"/>
      <c r="AB865" s="24"/>
      <c r="AC865" s="24"/>
    </row>
    <row r="866" spans="1:29" ht="12.9">
      <c r="A866" s="24"/>
      <c r="B866" s="24"/>
      <c r="C866" s="143"/>
      <c r="D866" s="24"/>
      <c r="E866" s="24"/>
      <c r="F866" s="24"/>
      <c r="G866" s="24"/>
      <c r="H866" s="117"/>
      <c r="I866" s="117"/>
      <c r="J866" s="24"/>
      <c r="K866" s="24"/>
      <c r="L866" s="24"/>
      <c r="M866" s="24"/>
      <c r="N866" s="24"/>
      <c r="O866" s="24"/>
      <c r="P866" s="24"/>
      <c r="Q866" s="24"/>
      <c r="R866" s="24"/>
      <c r="S866" s="24"/>
      <c r="T866" s="24"/>
      <c r="U866" s="24"/>
      <c r="V866" s="24"/>
      <c r="W866" s="24"/>
      <c r="X866" s="24"/>
      <c r="Y866" s="24"/>
      <c r="Z866" s="24"/>
      <c r="AA866" s="24"/>
      <c r="AB866" s="24"/>
      <c r="AC866" s="24"/>
    </row>
    <row r="867" spans="1:29" ht="12.9">
      <c r="A867" s="24"/>
      <c r="B867" s="24"/>
      <c r="C867" s="143"/>
      <c r="D867" s="24"/>
      <c r="E867" s="24"/>
      <c r="F867" s="24"/>
      <c r="G867" s="24"/>
      <c r="H867" s="117"/>
      <c r="I867" s="117"/>
      <c r="J867" s="24"/>
      <c r="K867" s="24"/>
      <c r="L867" s="24"/>
      <c r="M867" s="24"/>
      <c r="N867" s="24"/>
      <c r="O867" s="24"/>
      <c r="P867" s="24"/>
      <c r="Q867" s="24"/>
      <c r="R867" s="24"/>
      <c r="S867" s="24"/>
      <c r="T867" s="24"/>
      <c r="U867" s="24"/>
      <c r="V867" s="24"/>
      <c r="W867" s="24"/>
      <c r="X867" s="24"/>
      <c r="Y867" s="24"/>
      <c r="Z867" s="24"/>
      <c r="AA867" s="24"/>
      <c r="AB867" s="24"/>
      <c r="AC867" s="24"/>
    </row>
    <row r="868" spans="1:29" ht="12.9">
      <c r="A868" s="24"/>
      <c r="B868" s="24"/>
      <c r="C868" s="143"/>
      <c r="D868" s="24"/>
      <c r="E868" s="24"/>
      <c r="F868" s="24"/>
      <c r="G868" s="24"/>
      <c r="H868" s="117"/>
      <c r="I868" s="117"/>
      <c r="J868" s="24"/>
      <c r="K868" s="24"/>
      <c r="L868" s="24"/>
      <c r="M868" s="24"/>
      <c r="N868" s="24"/>
      <c r="O868" s="24"/>
      <c r="P868" s="24"/>
      <c r="Q868" s="24"/>
      <c r="R868" s="24"/>
      <c r="S868" s="24"/>
      <c r="T868" s="24"/>
      <c r="U868" s="24"/>
      <c r="V868" s="24"/>
      <c r="W868" s="24"/>
      <c r="X868" s="24"/>
      <c r="Y868" s="24"/>
      <c r="Z868" s="24"/>
      <c r="AA868" s="24"/>
      <c r="AB868" s="24"/>
      <c r="AC868" s="24"/>
    </row>
    <row r="869" spans="1:29" ht="12.9">
      <c r="A869" s="24"/>
      <c r="B869" s="24"/>
      <c r="C869" s="143"/>
      <c r="D869" s="24"/>
      <c r="E869" s="24"/>
      <c r="F869" s="24"/>
      <c r="G869" s="24"/>
      <c r="H869" s="117"/>
      <c r="I869" s="117"/>
      <c r="J869" s="24"/>
      <c r="K869" s="24"/>
      <c r="L869" s="24"/>
      <c r="M869" s="24"/>
      <c r="N869" s="24"/>
      <c r="O869" s="24"/>
      <c r="P869" s="24"/>
      <c r="Q869" s="24"/>
      <c r="R869" s="24"/>
      <c r="S869" s="24"/>
      <c r="T869" s="24"/>
      <c r="U869" s="24"/>
      <c r="V869" s="24"/>
      <c r="W869" s="24"/>
      <c r="X869" s="24"/>
      <c r="Y869" s="24"/>
      <c r="Z869" s="24"/>
      <c r="AA869" s="24"/>
      <c r="AB869" s="24"/>
      <c r="AC869" s="24"/>
    </row>
    <row r="870" spans="1:29" ht="12.9">
      <c r="A870" s="24"/>
      <c r="B870" s="24"/>
      <c r="C870" s="143"/>
      <c r="D870" s="24"/>
      <c r="E870" s="24"/>
      <c r="F870" s="24"/>
      <c r="G870" s="24"/>
      <c r="H870" s="117"/>
      <c r="I870" s="117"/>
      <c r="J870" s="24"/>
      <c r="K870" s="24"/>
      <c r="L870" s="24"/>
      <c r="M870" s="24"/>
      <c r="N870" s="24"/>
      <c r="O870" s="24"/>
      <c r="P870" s="24"/>
      <c r="Q870" s="24"/>
      <c r="R870" s="24"/>
      <c r="S870" s="24"/>
      <c r="T870" s="24"/>
      <c r="U870" s="24"/>
      <c r="V870" s="24"/>
      <c r="W870" s="24"/>
      <c r="X870" s="24"/>
      <c r="Y870" s="24"/>
      <c r="Z870" s="24"/>
      <c r="AA870" s="24"/>
      <c r="AB870" s="24"/>
      <c r="AC870" s="24"/>
    </row>
    <row r="871" spans="1:29" ht="12.9">
      <c r="A871" s="24"/>
      <c r="B871" s="24"/>
      <c r="C871" s="143"/>
      <c r="D871" s="24"/>
      <c r="E871" s="24"/>
      <c r="F871" s="24"/>
      <c r="G871" s="24"/>
      <c r="H871" s="117"/>
      <c r="I871" s="117"/>
      <c r="J871" s="24"/>
      <c r="K871" s="24"/>
      <c r="L871" s="24"/>
      <c r="M871" s="24"/>
      <c r="N871" s="24"/>
      <c r="O871" s="24"/>
      <c r="P871" s="24"/>
      <c r="Q871" s="24"/>
      <c r="R871" s="24"/>
      <c r="S871" s="24"/>
      <c r="T871" s="24"/>
      <c r="U871" s="24"/>
      <c r="V871" s="24"/>
      <c r="W871" s="24"/>
      <c r="X871" s="24"/>
      <c r="Y871" s="24"/>
      <c r="Z871" s="24"/>
      <c r="AA871" s="24"/>
      <c r="AB871" s="24"/>
      <c r="AC871" s="24"/>
    </row>
    <row r="872" spans="1:29" ht="12.9">
      <c r="A872" s="24"/>
      <c r="B872" s="24"/>
      <c r="C872" s="143"/>
      <c r="D872" s="24"/>
      <c r="E872" s="24"/>
      <c r="F872" s="24"/>
      <c r="G872" s="24"/>
      <c r="H872" s="117"/>
      <c r="I872" s="117"/>
      <c r="J872" s="24"/>
      <c r="K872" s="24"/>
      <c r="L872" s="24"/>
      <c r="M872" s="24"/>
      <c r="N872" s="24"/>
      <c r="O872" s="24"/>
      <c r="P872" s="24"/>
      <c r="Q872" s="24"/>
      <c r="R872" s="24"/>
      <c r="S872" s="24"/>
      <c r="T872" s="24"/>
      <c r="U872" s="24"/>
      <c r="V872" s="24"/>
      <c r="W872" s="24"/>
      <c r="X872" s="24"/>
      <c r="Y872" s="24"/>
      <c r="Z872" s="24"/>
      <c r="AA872" s="24"/>
      <c r="AB872" s="24"/>
      <c r="AC872" s="24"/>
    </row>
    <row r="873" spans="1:29" ht="12.9">
      <c r="A873" s="24"/>
      <c r="B873" s="24"/>
      <c r="C873" s="143"/>
      <c r="D873" s="24"/>
      <c r="E873" s="24"/>
      <c r="F873" s="24"/>
      <c r="G873" s="24"/>
      <c r="H873" s="117"/>
      <c r="I873" s="117"/>
      <c r="J873" s="24"/>
      <c r="K873" s="24"/>
      <c r="L873" s="24"/>
      <c r="M873" s="24"/>
      <c r="N873" s="24"/>
      <c r="O873" s="24"/>
      <c r="P873" s="24"/>
      <c r="Q873" s="24"/>
      <c r="R873" s="24"/>
      <c r="S873" s="24"/>
      <c r="T873" s="24"/>
      <c r="U873" s="24"/>
      <c r="V873" s="24"/>
      <c r="W873" s="24"/>
      <c r="X873" s="24"/>
      <c r="Y873" s="24"/>
      <c r="Z873" s="24"/>
      <c r="AA873" s="24"/>
      <c r="AB873" s="24"/>
      <c r="AC873" s="24"/>
    </row>
    <row r="874" spans="1:29" ht="12.9">
      <c r="A874" s="24"/>
      <c r="B874" s="24"/>
      <c r="C874" s="143"/>
      <c r="D874" s="24"/>
      <c r="E874" s="24"/>
      <c r="F874" s="24"/>
      <c r="G874" s="24"/>
      <c r="H874" s="117"/>
      <c r="I874" s="117"/>
      <c r="J874" s="24"/>
      <c r="K874" s="24"/>
      <c r="L874" s="24"/>
      <c r="M874" s="24"/>
      <c r="N874" s="24"/>
      <c r="O874" s="24"/>
      <c r="P874" s="24"/>
      <c r="Q874" s="24"/>
      <c r="R874" s="24"/>
      <c r="S874" s="24"/>
      <c r="T874" s="24"/>
      <c r="U874" s="24"/>
      <c r="V874" s="24"/>
      <c r="W874" s="24"/>
      <c r="X874" s="24"/>
      <c r="Y874" s="24"/>
      <c r="Z874" s="24"/>
      <c r="AA874" s="24"/>
      <c r="AB874" s="24"/>
      <c r="AC874" s="24"/>
    </row>
    <row r="875" spans="1:29" ht="12.9">
      <c r="A875" s="24"/>
      <c r="B875" s="24"/>
      <c r="C875" s="143"/>
      <c r="D875" s="24"/>
      <c r="E875" s="24"/>
      <c r="F875" s="24"/>
      <c r="G875" s="24"/>
      <c r="H875" s="117"/>
      <c r="I875" s="117"/>
      <c r="J875" s="24"/>
      <c r="K875" s="24"/>
      <c r="L875" s="24"/>
      <c r="M875" s="24"/>
      <c r="N875" s="24"/>
      <c r="O875" s="24"/>
      <c r="P875" s="24"/>
      <c r="Q875" s="24"/>
      <c r="R875" s="24"/>
      <c r="S875" s="24"/>
      <c r="T875" s="24"/>
      <c r="U875" s="24"/>
      <c r="V875" s="24"/>
      <c r="W875" s="24"/>
      <c r="X875" s="24"/>
      <c r="Y875" s="24"/>
      <c r="Z875" s="24"/>
      <c r="AA875" s="24"/>
      <c r="AB875" s="24"/>
      <c r="AC875" s="24"/>
    </row>
    <row r="876" spans="1:29" ht="12.9">
      <c r="A876" s="24"/>
      <c r="B876" s="24"/>
      <c r="C876" s="143"/>
      <c r="D876" s="24"/>
      <c r="E876" s="24"/>
      <c r="F876" s="24"/>
      <c r="G876" s="24"/>
      <c r="H876" s="117"/>
      <c r="I876" s="117"/>
      <c r="J876" s="24"/>
      <c r="K876" s="24"/>
      <c r="L876" s="24"/>
      <c r="M876" s="24"/>
      <c r="N876" s="24"/>
      <c r="O876" s="24"/>
      <c r="P876" s="24"/>
      <c r="Q876" s="24"/>
      <c r="R876" s="24"/>
      <c r="S876" s="24"/>
      <c r="T876" s="24"/>
      <c r="U876" s="24"/>
      <c r="V876" s="24"/>
      <c r="W876" s="24"/>
      <c r="X876" s="24"/>
      <c r="Y876" s="24"/>
      <c r="Z876" s="24"/>
      <c r="AA876" s="24"/>
      <c r="AB876" s="24"/>
      <c r="AC876" s="24"/>
    </row>
    <row r="877" spans="1:29" ht="12.9">
      <c r="A877" s="24"/>
      <c r="B877" s="24"/>
      <c r="C877" s="143"/>
      <c r="D877" s="24"/>
      <c r="E877" s="24"/>
      <c r="F877" s="24"/>
      <c r="G877" s="24"/>
      <c r="H877" s="117"/>
      <c r="I877" s="117"/>
      <c r="J877" s="24"/>
      <c r="K877" s="24"/>
      <c r="L877" s="24"/>
      <c r="M877" s="24"/>
      <c r="N877" s="24"/>
      <c r="O877" s="24"/>
      <c r="P877" s="24"/>
      <c r="Q877" s="24"/>
      <c r="R877" s="24"/>
      <c r="S877" s="24"/>
      <c r="T877" s="24"/>
      <c r="U877" s="24"/>
      <c r="V877" s="24"/>
      <c r="W877" s="24"/>
      <c r="X877" s="24"/>
      <c r="Y877" s="24"/>
      <c r="Z877" s="24"/>
      <c r="AA877" s="24"/>
      <c r="AB877" s="24"/>
      <c r="AC877" s="24"/>
    </row>
    <row r="878" spans="1:29" ht="12.9">
      <c r="A878" s="24"/>
      <c r="B878" s="24"/>
      <c r="C878" s="143"/>
      <c r="D878" s="24"/>
      <c r="E878" s="24"/>
      <c r="F878" s="24"/>
      <c r="G878" s="24"/>
      <c r="H878" s="117"/>
      <c r="I878" s="117"/>
      <c r="J878" s="24"/>
      <c r="K878" s="24"/>
      <c r="L878" s="24"/>
      <c r="M878" s="24"/>
      <c r="N878" s="24"/>
      <c r="O878" s="24"/>
      <c r="P878" s="24"/>
      <c r="Q878" s="24"/>
      <c r="R878" s="24"/>
      <c r="S878" s="24"/>
      <c r="T878" s="24"/>
      <c r="U878" s="24"/>
      <c r="V878" s="24"/>
      <c r="W878" s="24"/>
      <c r="X878" s="24"/>
      <c r="Y878" s="24"/>
      <c r="Z878" s="24"/>
      <c r="AA878" s="24"/>
      <c r="AB878" s="24"/>
      <c r="AC878" s="24"/>
    </row>
    <row r="879" spans="1:29" ht="12.9">
      <c r="A879" s="24"/>
      <c r="B879" s="24"/>
      <c r="C879" s="143"/>
      <c r="D879" s="24"/>
      <c r="E879" s="24"/>
      <c r="F879" s="24"/>
      <c r="G879" s="24"/>
      <c r="H879" s="117"/>
      <c r="I879" s="117"/>
      <c r="J879" s="24"/>
      <c r="K879" s="24"/>
      <c r="L879" s="24"/>
      <c r="M879" s="24"/>
      <c r="N879" s="24"/>
      <c r="O879" s="24"/>
      <c r="P879" s="24"/>
      <c r="Q879" s="24"/>
      <c r="R879" s="24"/>
      <c r="S879" s="24"/>
      <c r="T879" s="24"/>
      <c r="U879" s="24"/>
      <c r="V879" s="24"/>
      <c r="W879" s="24"/>
      <c r="X879" s="24"/>
      <c r="Y879" s="24"/>
      <c r="Z879" s="24"/>
      <c r="AA879" s="24"/>
      <c r="AB879" s="24"/>
      <c r="AC879" s="24"/>
    </row>
    <row r="880" spans="1:29" ht="12.9">
      <c r="A880" s="24"/>
      <c r="B880" s="24"/>
      <c r="C880" s="143"/>
      <c r="D880" s="24"/>
      <c r="E880" s="24"/>
      <c r="F880" s="24"/>
      <c r="G880" s="24"/>
      <c r="H880" s="117"/>
      <c r="I880" s="117"/>
      <c r="J880" s="24"/>
      <c r="K880" s="24"/>
      <c r="L880" s="24"/>
      <c r="M880" s="24"/>
      <c r="N880" s="24"/>
      <c r="O880" s="24"/>
      <c r="P880" s="24"/>
      <c r="Q880" s="24"/>
      <c r="R880" s="24"/>
      <c r="S880" s="24"/>
      <c r="T880" s="24"/>
      <c r="U880" s="24"/>
      <c r="V880" s="24"/>
      <c r="W880" s="24"/>
      <c r="X880" s="24"/>
      <c r="Y880" s="24"/>
      <c r="Z880" s="24"/>
      <c r="AA880" s="24"/>
      <c r="AB880" s="24"/>
      <c r="AC880" s="24"/>
    </row>
    <row r="881" spans="1:29" ht="12.9">
      <c r="A881" s="24"/>
      <c r="B881" s="24"/>
      <c r="C881" s="143"/>
      <c r="D881" s="24"/>
      <c r="E881" s="24"/>
      <c r="F881" s="24"/>
      <c r="G881" s="24"/>
      <c r="H881" s="117"/>
      <c r="I881" s="117"/>
      <c r="J881" s="24"/>
      <c r="K881" s="24"/>
      <c r="L881" s="24"/>
      <c r="M881" s="24"/>
      <c r="N881" s="24"/>
      <c r="O881" s="24"/>
      <c r="P881" s="24"/>
      <c r="Q881" s="24"/>
      <c r="R881" s="24"/>
      <c r="S881" s="24"/>
      <c r="T881" s="24"/>
      <c r="U881" s="24"/>
      <c r="V881" s="24"/>
      <c r="W881" s="24"/>
      <c r="X881" s="24"/>
      <c r="Y881" s="24"/>
      <c r="Z881" s="24"/>
      <c r="AA881" s="24"/>
      <c r="AB881" s="24"/>
      <c r="AC881" s="24"/>
    </row>
    <row r="882" spans="1:29" ht="12.9">
      <c r="A882" s="24"/>
      <c r="B882" s="24"/>
      <c r="C882" s="143"/>
      <c r="D882" s="24"/>
      <c r="E882" s="24"/>
      <c r="F882" s="24"/>
      <c r="G882" s="24"/>
      <c r="H882" s="117"/>
      <c r="I882" s="117"/>
      <c r="J882" s="24"/>
      <c r="K882" s="24"/>
      <c r="L882" s="24"/>
      <c r="M882" s="24"/>
      <c r="N882" s="24"/>
      <c r="O882" s="24"/>
      <c r="P882" s="24"/>
      <c r="Q882" s="24"/>
      <c r="R882" s="24"/>
      <c r="S882" s="24"/>
      <c r="T882" s="24"/>
      <c r="U882" s="24"/>
      <c r="V882" s="24"/>
      <c r="W882" s="24"/>
      <c r="X882" s="24"/>
      <c r="Y882" s="24"/>
      <c r="Z882" s="24"/>
      <c r="AA882" s="24"/>
      <c r="AB882" s="24"/>
      <c r="AC882" s="24"/>
    </row>
    <row r="883" spans="1:29" ht="12.9">
      <c r="A883" s="24"/>
      <c r="B883" s="24"/>
      <c r="C883" s="143"/>
      <c r="D883" s="24"/>
      <c r="E883" s="24"/>
      <c r="F883" s="24"/>
      <c r="G883" s="24"/>
      <c r="H883" s="117"/>
      <c r="I883" s="117"/>
      <c r="J883" s="24"/>
      <c r="K883" s="24"/>
      <c r="L883" s="24"/>
      <c r="M883" s="24"/>
      <c r="N883" s="24"/>
      <c r="O883" s="24"/>
      <c r="P883" s="24"/>
      <c r="Q883" s="24"/>
      <c r="R883" s="24"/>
      <c r="S883" s="24"/>
      <c r="T883" s="24"/>
      <c r="U883" s="24"/>
      <c r="V883" s="24"/>
      <c r="W883" s="24"/>
      <c r="X883" s="24"/>
      <c r="Y883" s="24"/>
      <c r="Z883" s="24"/>
      <c r="AA883" s="24"/>
      <c r="AB883" s="24"/>
      <c r="AC883" s="24"/>
    </row>
    <row r="884" spans="1:29" ht="12.9">
      <c r="A884" s="24"/>
      <c r="B884" s="24"/>
      <c r="C884" s="143"/>
      <c r="D884" s="24"/>
      <c r="E884" s="24"/>
      <c r="F884" s="24"/>
      <c r="G884" s="24"/>
      <c r="H884" s="117"/>
      <c r="I884" s="117"/>
      <c r="J884" s="24"/>
      <c r="K884" s="24"/>
      <c r="L884" s="24"/>
      <c r="M884" s="24"/>
      <c r="N884" s="24"/>
      <c r="O884" s="24"/>
      <c r="P884" s="24"/>
      <c r="Q884" s="24"/>
      <c r="R884" s="24"/>
      <c r="S884" s="24"/>
      <c r="T884" s="24"/>
      <c r="U884" s="24"/>
      <c r="V884" s="24"/>
      <c r="W884" s="24"/>
      <c r="X884" s="24"/>
      <c r="Y884" s="24"/>
      <c r="Z884" s="24"/>
      <c r="AA884" s="24"/>
      <c r="AB884" s="24"/>
      <c r="AC884" s="24"/>
    </row>
    <row r="885" spans="1:29" ht="12.9">
      <c r="A885" s="24"/>
      <c r="B885" s="24"/>
      <c r="C885" s="143"/>
      <c r="D885" s="24"/>
      <c r="E885" s="24"/>
      <c r="F885" s="24"/>
      <c r="G885" s="24"/>
      <c r="H885" s="117"/>
      <c r="I885" s="117"/>
      <c r="J885" s="24"/>
      <c r="K885" s="24"/>
      <c r="L885" s="24"/>
      <c r="M885" s="24"/>
      <c r="N885" s="24"/>
      <c r="O885" s="24"/>
      <c r="P885" s="24"/>
      <c r="Q885" s="24"/>
      <c r="R885" s="24"/>
      <c r="S885" s="24"/>
      <c r="T885" s="24"/>
      <c r="U885" s="24"/>
      <c r="V885" s="24"/>
      <c r="W885" s="24"/>
      <c r="X885" s="24"/>
      <c r="Y885" s="24"/>
      <c r="Z885" s="24"/>
      <c r="AA885" s="24"/>
      <c r="AB885" s="24"/>
      <c r="AC885" s="24"/>
    </row>
    <row r="886" spans="1:29" ht="12.9">
      <c r="A886" s="24"/>
      <c r="B886" s="24"/>
      <c r="C886" s="143"/>
      <c r="D886" s="24"/>
      <c r="E886" s="24"/>
      <c r="F886" s="24"/>
      <c r="G886" s="24"/>
      <c r="H886" s="117"/>
      <c r="I886" s="117"/>
      <c r="J886" s="24"/>
      <c r="K886" s="24"/>
      <c r="L886" s="24"/>
      <c r="M886" s="24"/>
      <c r="N886" s="24"/>
      <c r="O886" s="24"/>
      <c r="P886" s="24"/>
      <c r="Q886" s="24"/>
      <c r="R886" s="24"/>
      <c r="S886" s="24"/>
      <c r="T886" s="24"/>
      <c r="U886" s="24"/>
      <c r="V886" s="24"/>
      <c r="W886" s="24"/>
      <c r="X886" s="24"/>
      <c r="Y886" s="24"/>
      <c r="Z886" s="24"/>
      <c r="AA886" s="24"/>
      <c r="AB886" s="24"/>
      <c r="AC886" s="24"/>
    </row>
    <row r="887" spans="1:29" ht="12.9">
      <c r="A887" s="24"/>
      <c r="B887" s="24"/>
      <c r="C887" s="143"/>
      <c r="D887" s="24"/>
      <c r="E887" s="24"/>
      <c r="F887" s="24"/>
      <c r="G887" s="24"/>
      <c r="H887" s="117"/>
      <c r="I887" s="117"/>
      <c r="J887" s="24"/>
      <c r="K887" s="24"/>
      <c r="L887" s="24"/>
      <c r="M887" s="24"/>
      <c r="N887" s="24"/>
      <c r="O887" s="24"/>
      <c r="P887" s="24"/>
      <c r="Q887" s="24"/>
      <c r="R887" s="24"/>
      <c r="S887" s="24"/>
      <c r="T887" s="24"/>
      <c r="U887" s="24"/>
      <c r="V887" s="24"/>
      <c r="W887" s="24"/>
      <c r="X887" s="24"/>
      <c r="Y887" s="24"/>
      <c r="Z887" s="24"/>
      <c r="AA887" s="24"/>
      <c r="AB887" s="24"/>
      <c r="AC887" s="24"/>
    </row>
    <row r="888" spans="1:29" ht="12.9">
      <c r="A888" s="24"/>
      <c r="B888" s="24"/>
      <c r="C888" s="143"/>
      <c r="D888" s="24"/>
      <c r="E888" s="24"/>
      <c r="F888" s="24"/>
      <c r="G888" s="24"/>
      <c r="H888" s="117"/>
      <c r="I888" s="117"/>
      <c r="J888" s="24"/>
      <c r="K888" s="24"/>
      <c r="L888" s="24"/>
      <c r="M888" s="24"/>
      <c r="N888" s="24"/>
      <c r="O888" s="24"/>
      <c r="P888" s="24"/>
      <c r="Q888" s="24"/>
      <c r="R888" s="24"/>
      <c r="S888" s="24"/>
      <c r="T888" s="24"/>
      <c r="U888" s="24"/>
      <c r="V888" s="24"/>
      <c r="W888" s="24"/>
      <c r="X888" s="24"/>
      <c r="Y888" s="24"/>
      <c r="Z888" s="24"/>
      <c r="AA888" s="24"/>
      <c r="AB888" s="24"/>
      <c r="AC888" s="24"/>
    </row>
    <row r="889" spans="1:29" ht="12.9">
      <c r="A889" s="24"/>
      <c r="B889" s="24"/>
      <c r="C889" s="143"/>
      <c r="D889" s="24"/>
      <c r="E889" s="24"/>
      <c r="F889" s="24"/>
      <c r="G889" s="24"/>
      <c r="H889" s="117"/>
      <c r="I889" s="117"/>
      <c r="J889" s="24"/>
      <c r="K889" s="24"/>
      <c r="L889" s="24"/>
      <c r="M889" s="24"/>
      <c r="N889" s="24"/>
      <c r="O889" s="24"/>
      <c r="P889" s="24"/>
      <c r="Q889" s="24"/>
      <c r="R889" s="24"/>
      <c r="S889" s="24"/>
      <c r="T889" s="24"/>
      <c r="U889" s="24"/>
      <c r="V889" s="24"/>
      <c r="W889" s="24"/>
      <c r="X889" s="24"/>
      <c r="Y889" s="24"/>
      <c r="Z889" s="24"/>
      <c r="AA889" s="24"/>
      <c r="AB889" s="24"/>
      <c r="AC889" s="24"/>
    </row>
    <row r="890" spans="1:29" ht="12.9">
      <c r="A890" s="24"/>
      <c r="B890" s="24"/>
      <c r="C890" s="143"/>
      <c r="D890" s="24"/>
      <c r="E890" s="24"/>
      <c r="F890" s="24"/>
      <c r="G890" s="24"/>
      <c r="H890" s="117"/>
      <c r="I890" s="117"/>
      <c r="J890" s="24"/>
      <c r="K890" s="24"/>
      <c r="L890" s="24"/>
      <c r="M890" s="24"/>
      <c r="N890" s="24"/>
      <c r="O890" s="24"/>
      <c r="P890" s="24"/>
      <c r="Q890" s="24"/>
      <c r="R890" s="24"/>
      <c r="S890" s="24"/>
      <c r="T890" s="24"/>
      <c r="U890" s="24"/>
      <c r="V890" s="24"/>
      <c r="W890" s="24"/>
      <c r="X890" s="24"/>
      <c r="Y890" s="24"/>
      <c r="Z890" s="24"/>
      <c r="AA890" s="24"/>
      <c r="AB890" s="24"/>
      <c r="AC890" s="24"/>
    </row>
    <row r="891" spans="1:29" ht="12.9">
      <c r="A891" s="24"/>
      <c r="B891" s="24"/>
      <c r="C891" s="143"/>
      <c r="D891" s="24"/>
      <c r="E891" s="24"/>
      <c r="F891" s="24"/>
      <c r="G891" s="24"/>
      <c r="H891" s="117"/>
      <c r="I891" s="117"/>
      <c r="J891" s="24"/>
      <c r="K891" s="24"/>
      <c r="L891" s="24"/>
      <c r="M891" s="24"/>
      <c r="N891" s="24"/>
      <c r="O891" s="24"/>
      <c r="P891" s="24"/>
      <c r="Q891" s="24"/>
      <c r="R891" s="24"/>
      <c r="S891" s="24"/>
      <c r="T891" s="24"/>
      <c r="U891" s="24"/>
      <c r="V891" s="24"/>
      <c r="W891" s="24"/>
      <c r="X891" s="24"/>
      <c r="Y891" s="24"/>
      <c r="Z891" s="24"/>
      <c r="AA891" s="24"/>
      <c r="AB891" s="24"/>
      <c r="AC891" s="24"/>
    </row>
    <row r="892" spans="1:29" ht="12.9">
      <c r="A892" s="24"/>
      <c r="B892" s="24"/>
      <c r="C892" s="143"/>
      <c r="D892" s="24"/>
      <c r="E892" s="24"/>
      <c r="F892" s="24"/>
      <c r="G892" s="24"/>
      <c r="H892" s="117"/>
      <c r="I892" s="117"/>
      <c r="J892" s="24"/>
      <c r="K892" s="24"/>
      <c r="L892" s="24"/>
      <c r="M892" s="24"/>
      <c r="N892" s="24"/>
      <c r="O892" s="24"/>
      <c r="P892" s="24"/>
      <c r="Q892" s="24"/>
      <c r="R892" s="24"/>
      <c r="S892" s="24"/>
      <c r="T892" s="24"/>
      <c r="U892" s="24"/>
      <c r="V892" s="24"/>
      <c r="W892" s="24"/>
      <c r="X892" s="24"/>
      <c r="Y892" s="24"/>
      <c r="Z892" s="24"/>
      <c r="AA892" s="24"/>
      <c r="AB892" s="24"/>
      <c r="AC892" s="24"/>
    </row>
    <row r="893" spans="1:29" ht="12.9">
      <c r="A893" s="24"/>
      <c r="B893" s="24"/>
      <c r="C893" s="143"/>
      <c r="D893" s="24"/>
      <c r="E893" s="24"/>
      <c r="F893" s="24"/>
      <c r="G893" s="24"/>
      <c r="H893" s="117"/>
      <c r="I893" s="117"/>
      <c r="J893" s="24"/>
      <c r="K893" s="24"/>
      <c r="L893" s="24"/>
      <c r="M893" s="24"/>
      <c r="N893" s="24"/>
      <c r="O893" s="24"/>
      <c r="P893" s="24"/>
      <c r="Q893" s="24"/>
      <c r="R893" s="24"/>
      <c r="S893" s="24"/>
      <c r="T893" s="24"/>
      <c r="U893" s="24"/>
      <c r="V893" s="24"/>
      <c r="W893" s="24"/>
      <c r="X893" s="24"/>
      <c r="Y893" s="24"/>
      <c r="Z893" s="24"/>
      <c r="AA893" s="24"/>
      <c r="AB893" s="24"/>
      <c r="AC893" s="24"/>
    </row>
    <row r="894" spans="1:29" ht="12.9">
      <c r="A894" s="24"/>
      <c r="B894" s="24"/>
      <c r="C894" s="143"/>
      <c r="D894" s="24"/>
      <c r="E894" s="24"/>
      <c r="F894" s="24"/>
      <c r="G894" s="24"/>
      <c r="H894" s="117"/>
      <c r="I894" s="117"/>
      <c r="J894" s="24"/>
      <c r="K894" s="24"/>
      <c r="L894" s="24"/>
      <c r="M894" s="24"/>
      <c r="N894" s="24"/>
      <c r="O894" s="24"/>
      <c r="P894" s="24"/>
      <c r="Q894" s="24"/>
      <c r="R894" s="24"/>
      <c r="S894" s="24"/>
      <c r="T894" s="24"/>
      <c r="U894" s="24"/>
      <c r="V894" s="24"/>
      <c r="W894" s="24"/>
      <c r="X894" s="24"/>
      <c r="Y894" s="24"/>
      <c r="Z894" s="24"/>
      <c r="AA894" s="24"/>
      <c r="AB894" s="24"/>
      <c r="AC894" s="24"/>
    </row>
    <row r="895" spans="1:29" ht="12.9">
      <c r="A895" s="24"/>
      <c r="B895" s="24"/>
      <c r="C895" s="143"/>
      <c r="D895" s="24"/>
      <c r="E895" s="24"/>
      <c r="F895" s="24"/>
      <c r="G895" s="24"/>
      <c r="H895" s="117"/>
      <c r="I895" s="117"/>
      <c r="J895" s="24"/>
      <c r="K895" s="24"/>
      <c r="L895" s="24"/>
      <c r="M895" s="24"/>
      <c r="N895" s="24"/>
      <c r="O895" s="24"/>
      <c r="P895" s="24"/>
      <c r="Q895" s="24"/>
      <c r="R895" s="24"/>
      <c r="S895" s="24"/>
      <c r="T895" s="24"/>
      <c r="U895" s="24"/>
      <c r="V895" s="24"/>
      <c r="W895" s="24"/>
      <c r="X895" s="24"/>
      <c r="Y895" s="24"/>
      <c r="Z895" s="24"/>
      <c r="AA895" s="24"/>
      <c r="AB895" s="24"/>
      <c r="AC895" s="24"/>
    </row>
    <row r="896" spans="1:29" ht="12.9">
      <c r="A896" s="24"/>
      <c r="B896" s="24"/>
      <c r="C896" s="143"/>
      <c r="D896" s="24"/>
      <c r="E896" s="24"/>
      <c r="F896" s="24"/>
      <c r="G896" s="24"/>
      <c r="H896" s="117"/>
      <c r="I896" s="117"/>
      <c r="J896" s="24"/>
      <c r="K896" s="24"/>
      <c r="L896" s="24"/>
      <c r="M896" s="24"/>
      <c r="N896" s="24"/>
      <c r="O896" s="24"/>
      <c r="P896" s="24"/>
      <c r="Q896" s="24"/>
      <c r="R896" s="24"/>
      <c r="S896" s="24"/>
      <c r="T896" s="24"/>
      <c r="U896" s="24"/>
      <c r="V896" s="24"/>
      <c r="W896" s="24"/>
      <c r="X896" s="24"/>
      <c r="Y896" s="24"/>
      <c r="Z896" s="24"/>
      <c r="AA896" s="24"/>
      <c r="AB896" s="24"/>
      <c r="AC896" s="24"/>
    </row>
    <row r="897" spans="1:29" ht="12.9">
      <c r="A897" s="24"/>
      <c r="B897" s="24"/>
      <c r="C897" s="143"/>
      <c r="D897" s="24"/>
      <c r="E897" s="24"/>
      <c r="F897" s="24"/>
      <c r="G897" s="24"/>
      <c r="H897" s="117"/>
      <c r="I897" s="117"/>
      <c r="J897" s="24"/>
      <c r="K897" s="24"/>
      <c r="L897" s="24"/>
      <c r="M897" s="24"/>
      <c r="N897" s="24"/>
      <c r="O897" s="24"/>
      <c r="P897" s="24"/>
      <c r="Q897" s="24"/>
      <c r="R897" s="24"/>
      <c r="S897" s="24"/>
      <c r="T897" s="24"/>
      <c r="U897" s="24"/>
      <c r="V897" s="24"/>
      <c r="W897" s="24"/>
      <c r="X897" s="24"/>
      <c r="Y897" s="24"/>
      <c r="Z897" s="24"/>
      <c r="AA897" s="24"/>
      <c r="AB897" s="24"/>
      <c r="AC897" s="24"/>
    </row>
    <row r="898" spans="1:29" ht="12.9">
      <c r="A898" s="24"/>
      <c r="B898" s="24"/>
      <c r="C898" s="143"/>
      <c r="D898" s="24"/>
      <c r="E898" s="24"/>
      <c r="F898" s="24"/>
      <c r="G898" s="24"/>
      <c r="H898" s="117"/>
      <c r="I898" s="117"/>
      <c r="J898" s="24"/>
      <c r="K898" s="24"/>
      <c r="L898" s="24"/>
      <c r="M898" s="24"/>
      <c r="N898" s="24"/>
      <c r="O898" s="24"/>
      <c r="P898" s="24"/>
      <c r="Q898" s="24"/>
      <c r="R898" s="24"/>
      <c r="S898" s="24"/>
      <c r="T898" s="24"/>
      <c r="U898" s="24"/>
      <c r="V898" s="24"/>
      <c r="W898" s="24"/>
      <c r="X898" s="24"/>
      <c r="Y898" s="24"/>
      <c r="Z898" s="24"/>
      <c r="AA898" s="24"/>
      <c r="AB898" s="24"/>
      <c r="AC898" s="24"/>
    </row>
    <row r="899" spans="1:29" ht="12.9">
      <c r="A899" s="24"/>
      <c r="B899" s="24"/>
      <c r="C899" s="143"/>
      <c r="D899" s="24"/>
      <c r="E899" s="24"/>
      <c r="F899" s="24"/>
      <c r="G899" s="24"/>
      <c r="H899" s="117"/>
      <c r="I899" s="117"/>
      <c r="J899" s="24"/>
      <c r="K899" s="24"/>
      <c r="L899" s="24"/>
      <c r="M899" s="24"/>
      <c r="N899" s="24"/>
      <c r="O899" s="24"/>
      <c r="P899" s="24"/>
      <c r="Q899" s="24"/>
      <c r="R899" s="24"/>
      <c r="S899" s="24"/>
      <c r="T899" s="24"/>
      <c r="U899" s="24"/>
      <c r="V899" s="24"/>
      <c r="W899" s="24"/>
      <c r="X899" s="24"/>
      <c r="Y899" s="24"/>
      <c r="Z899" s="24"/>
      <c r="AA899" s="24"/>
      <c r="AB899" s="24"/>
      <c r="AC899" s="24"/>
    </row>
    <row r="900" spans="1:29" ht="12.9">
      <c r="A900" s="24"/>
      <c r="B900" s="24"/>
      <c r="C900" s="143"/>
      <c r="D900" s="24"/>
      <c r="E900" s="24"/>
      <c r="F900" s="24"/>
      <c r="G900" s="24"/>
      <c r="H900" s="117"/>
      <c r="I900" s="117"/>
      <c r="J900" s="24"/>
      <c r="K900" s="24"/>
      <c r="L900" s="24"/>
      <c r="M900" s="24"/>
      <c r="N900" s="24"/>
      <c r="O900" s="24"/>
      <c r="P900" s="24"/>
      <c r="Q900" s="24"/>
      <c r="R900" s="24"/>
      <c r="S900" s="24"/>
      <c r="T900" s="24"/>
      <c r="U900" s="24"/>
      <c r="V900" s="24"/>
      <c r="W900" s="24"/>
      <c r="X900" s="24"/>
      <c r="Y900" s="24"/>
      <c r="Z900" s="24"/>
      <c r="AA900" s="24"/>
      <c r="AB900" s="24"/>
      <c r="AC900" s="24"/>
    </row>
    <row r="901" spans="1:29" ht="12.9">
      <c r="A901" s="24"/>
      <c r="B901" s="24"/>
      <c r="C901" s="143"/>
      <c r="D901" s="24"/>
      <c r="E901" s="24"/>
      <c r="F901" s="24"/>
      <c r="G901" s="24"/>
      <c r="H901" s="117"/>
      <c r="I901" s="117"/>
      <c r="J901" s="24"/>
      <c r="K901" s="24"/>
      <c r="L901" s="24"/>
      <c r="M901" s="24"/>
      <c r="N901" s="24"/>
      <c r="O901" s="24"/>
      <c r="P901" s="24"/>
      <c r="Q901" s="24"/>
      <c r="R901" s="24"/>
      <c r="S901" s="24"/>
      <c r="T901" s="24"/>
      <c r="U901" s="24"/>
      <c r="V901" s="24"/>
      <c r="W901" s="24"/>
      <c r="X901" s="24"/>
      <c r="Y901" s="24"/>
      <c r="Z901" s="24"/>
      <c r="AA901" s="24"/>
      <c r="AB901" s="24"/>
      <c r="AC901" s="24"/>
    </row>
    <row r="902" spans="1:29" ht="12.9">
      <c r="A902" s="24"/>
      <c r="B902" s="24"/>
      <c r="C902" s="143"/>
      <c r="D902" s="24"/>
      <c r="E902" s="24"/>
      <c r="F902" s="24"/>
      <c r="G902" s="24"/>
      <c r="H902" s="117"/>
      <c r="I902" s="117"/>
      <c r="J902" s="24"/>
      <c r="K902" s="24"/>
      <c r="L902" s="24"/>
      <c r="M902" s="24"/>
      <c r="N902" s="24"/>
      <c r="O902" s="24"/>
      <c r="P902" s="24"/>
      <c r="Q902" s="24"/>
      <c r="R902" s="24"/>
      <c r="S902" s="24"/>
      <c r="T902" s="24"/>
      <c r="U902" s="24"/>
      <c r="V902" s="24"/>
      <c r="W902" s="24"/>
      <c r="X902" s="24"/>
      <c r="Y902" s="24"/>
      <c r="Z902" s="24"/>
      <c r="AA902" s="24"/>
      <c r="AB902" s="24"/>
      <c r="AC902" s="24"/>
    </row>
    <row r="903" spans="1:29" ht="12.9">
      <c r="A903" s="24"/>
      <c r="B903" s="24"/>
      <c r="C903" s="143"/>
      <c r="D903" s="24"/>
      <c r="E903" s="24"/>
      <c r="F903" s="24"/>
      <c r="G903" s="24"/>
      <c r="H903" s="117"/>
      <c r="I903" s="117"/>
      <c r="J903" s="24"/>
      <c r="K903" s="24"/>
      <c r="L903" s="24"/>
      <c r="M903" s="24"/>
      <c r="N903" s="24"/>
      <c r="O903" s="24"/>
      <c r="P903" s="24"/>
      <c r="Q903" s="24"/>
      <c r="R903" s="24"/>
      <c r="S903" s="24"/>
      <c r="T903" s="24"/>
      <c r="U903" s="24"/>
      <c r="V903" s="24"/>
      <c r="W903" s="24"/>
      <c r="X903" s="24"/>
      <c r="Y903" s="24"/>
      <c r="Z903" s="24"/>
      <c r="AA903" s="24"/>
      <c r="AB903" s="24"/>
      <c r="AC903" s="24"/>
    </row>
    <row r="904" spans="1:29" ht="12.9">
      <c r="A904" s="24"/>
      <c r="B904" s="24"/>
      <c r="C904" s="143"/>
      <c r="D904" s="24"/>
      <c r="E904" s="24"/>
      <c r="F904" s="24"/>
      <c r="G904" s="24"/>
      <c r="H904" s="117"/>
      <c r="I904" s="117"/>
      <c r="J904" s="24"/>
      <c r="K904" s="24"/>
      <c r="L904" s="24"/>
      <c r="M904" s="24"/>
      <c r="N904" s="24"/>
      <c r="O904" s="24"/>
      <c r="P904" s="24"/>
      <c r="Q904" s="24"/>
      <c r="R904" s="24"/>
      <c r="S904" s="24"/>
      <c r="T904" s="24"/>
      <c r="U904" s="24"/>
      <c r="V904" s="24"/>
      <c r="W904" s="24"/>
      <c r="X904" s="24"/>
      <c r="Y904" s="24"/>
      <c r="Z904" s="24"/>
      <c r="AA904" s="24"/>
      <c r="AB904" s="24"/>
      <c r="AC904" s="24"/>
    </row>
    <row r="905" spans="1:29" ht="12.9">
      <c r="A905" s="24"/>
      <c r="B905" s="24"/>
      <c r="C905" s="143"/>
      <c r="D905" s="24"/>
      <c r="E905" s="24"/>
      <c r="F905" s="24"/>
      <c r="G905" s="24"/>
      <c r="H905" s="117"/>
      <c r="I905" s="117"/>
      <c r="J905" s="24"/>
      <c r="K905" s="24"/>
      <c r="L905" s="24"/>
      <c r="M905" s="24"/>
      <c r="N905" s="24"/>
      <c r="O905" s="24"/>
      <c r="P905" s="24"/>
      <c r="Q905" s="24"/>
      <c r="R905" s="24"/>
      <c r="S905" s="24"/>
      <c r="T905" s="24"/>
      <c r="U905" s="24"/>
      <c r="V905" s="24"/>
      <c r="W905" s="24"/>
      <c r="X905" s="24"/>
      <c r="Y905" s="24"/>
      <c r="Z905" s="24"/>
      <c r="AA905" s="24"/>
      <c r="AB905" s="24"/>
      <c r="AC905" s="24"/>
    </row>
    <row r="906" spans="1:29" ht="12.9">
      <c r="A906" s="24"/>
      <c r="B906" s="24"/>
      <c r="C906" s="143"/>
      <c r="D906" s="24"/>
      <c r="E906" s="24"/>
      <c r="F906" s="24"/>
      <c r="G906" s="24"/>
      <c r="H906" s="117"/>
      <c r="I906" s="117"/>
      <c r="J906" s="24"/>
      <c r="K906" s="24"/>
      <c r="L906" s="24"/>
      <c r="M906" s="24"/>
      <c r="N906" s="24"/>
      <c r="O906" s="24"/>
      <c r="P906" s="24"/>
      <c r="Q906" s="24"/>
      <c r="R906" s="24"/>
      <c r="S906" s="24"/>
      <c r="T906" s="24"/>
      <c r="U906" s="24"/>
      <c r="V906" s="24"/>
      <c r="W906" s="24"/>
      <c r="X906" s="24"/>
      <c r="Y906" s="24"/>
      <c r="Z906" s="24"/>
      <c r="AA906" s="24"/>
      <c r="AB906" s="24"/>
      <c r="AC906" s="24"/>
    </row>
    <row r="907" spans="1:29" ht="12.9">
      <c r="A907" s="24"/>
      <c r="B907" s="24"/>
      <c r="C907" s="143"/>
      <c r="D907" s="24"/>
      <c r="E907" s="24"/>
      <c r="F907" s="24"/>
      <c r="G907" s="24"/>
      <c r="H907" s="117"/>
      <c r="I907" s="117"/>
      <c r="J907" s="24"/>
      <c r="K907" s="24"/>
      <c r="L907" s="24"/>
      <c r="M907" s="24"/>
      <c r="N907" s="24"/>
      <c r="O907" s="24"/>
      <c r="P907" s="24"/>
      <c r="Q907" s="24"/>
      <c r="R907" s="24"/>
      <c r="S907" s="24"/>
      <c r="T907" s="24"/>
      <c r="U907" s="24"/>
      <c r="V907" s="24"/>
      <c r="W907" s="24"/>
      <c r="X907" s="24"/>
      <c r="Y907" s="24"/>
      <c r="Z907" s="24"/>
      <c r="AA907" s="24"/>
      <c r="AB907" s="24"/>
      <c r="AC907" s="24"/>
    </row>
    <row r="908" spans="1:29" ht="12.9">
      <c r="A908" s="24"/>
      <c r="B908" s="24"/>
      <c r="C908" s="143"/>
      <c r="D908" s="24"/>
      <c r="E908" s="24"/>
      <c r="F908" s="24"/>
      <c r="G908" s="24"/>
      <c r="H908" s="117"/>
      <c r="I908" s="117"/>
      <c r="J908" s="24"/>
      <c r="K908" s="24"/>
      <c r="L908" s="24"/>
      <c r="M908" s="24"/>
      <c r="N908" s="24"/>
      <c r="O908" s="24"/>
      <c r="P908" s="24"/>
      <c r="Q908" s="24"/>
      <c r="R908" s="24"/>
      <c r="S908" s="24"/>
      <c r="T908" s="24"/>
      <c r="U908" s="24"/>
      <c r="V908" s="24"/>
      <c r="W908" s="24"/>
      <c r="X908" s="24"/>
      <c r="Y908" s="24"/>
      <c r="Z908" s="24"/>
      <c r="AA908" s="24"/>
      <c r="AB908" s="24"/>
      <c r="AC908" s="24"/>
    </row>
    <row r="909" spans="1:29" ht="12.9">
      <c r="A909" s="24"/>
      <c r="B909" s="24"/>
      <c r="C909" s="143"/>
      <c r="D909" s="24"/>
      <c r="E909" s="24"/>
      <c r="F909" s="24"/>
      <c r="G909" s="24"/>
      <c r="H909" s="117"/>
      <c r="I909" s="117"/>
      <c r="J909" s="24"/>
      <c r="K909" s="24"/>
      <c r="L909" s="24"/>
      <c r="M909" s="24"/>
      <c r="N909" s="24"/>
      <c r="O909" s="24"/>
      <c r="P909" s="24"/>
      <c r="Q909" s="24"/>
      <c r="R909" s="24"/>
      <c r="S909" s="24"/>
      <c r="T909" s="24"/>
      <c r="U909" s="24"/>
      <c r="V909" s="24"/>
      <c r="W909" s="24"/>
      <c r="X909" s="24"/>
      <c r="Y909" s="24"/>
      <c r="Z909" s="24"/>
      <c r="AA909" s="24"/>
      <c r="AB909" s="24"/>
      <c r="AC909" s="24"/>
    </row>
    <row r="910" spans="1:29" ht="12.9">
      <c r="A910" s="24"/>
      <c r="B910" s="24"/>
      <c r="C910" s="143"/>
      <c r="D910" s="24"/>
      <c r="E910" s="24"/>
      <c r="F910" s="24"/>
      <c r="G910" s="24"/>
      <c r="H910" s="117"/>
      <c r="I910" s="117"/>
      <c r="J910" s="24"/>
      <c r="K910" s="24"/>
      <c r="L910" s="24"/>
      <c r="M910" s="24"/>
      <c r="N910" s="24"/>
      <c r="O910" s="24"/>
      <c r="P910" s="24"/>
      <c r="Q910" s="24"/>
      <c r="R910" s="24"/>
      <c r="S910" s="24"/>
      <c r="T910" s="24"/>
      <c r="U910" s="24"/>
      <c r="V910" s="24"/>
      <c r="W910" s="24"/>
      <c r="X910" s="24"/>
      <c r="Y910" s="24"/>
      <c r="Z910" s="24"/>
      <c r="AA910" s="24"/>
      <c r="AB910" s="24"/>
      <c r="AC910" s="24"/>
    </row>
    <row r="911" spans="1:29" ht="12.9">
      <c r="A911" s="24"/>
      <c r="B911" s="24"/>
      <c r="C911" s="143"/>
      <c r="D911" s="24"/>
      <c r="E911" s="24"/>
      <c r="F911" s="24"/>
      <c r="G911" s="24"/>
      <c r="H911" s="117"/>
      <c r="I911" s="117"/>
      <c r="J911" s="24"/>
      <c r="K911" s="24"/>
      <c r="L911" s="24"/>
      <c r="M911" s="24"/>
      <c r="N911" s="24"/>
      <c r="O911" s="24"/>
      <c r="P911" s="24"/>
      <c r="Q911" s="24"/>
      <c r="R911" s="24"/>
      <c r="S911" s="24"/>
      <c r="T911" s="24"/>
      <c r="U911" s="24"/>
      <c r="V911" s="24"/>
      <c r="W911" s="24"/>
      <c r="X911" s="24"/>
      <c r="Y911" s="24"/>
      <c r="Z911" s="24"/>
      <c r="AA911" s="24"/>
      <c r="AB911" s="24"/>
      <c r="AC911" s="24"/>
    </row>
    <row r="912" spans="1:29" ht="12.9">
      <c r="A912" s="24"/>
      <c r="B912" s="24"/>
      <c r="C912" s="143"/>
      <c r="D912" s="24"/>
      <c r="E912" s="24"/>
      <c r="F912" s="24"/>
      <c r="G912" s="24"/>
      <c r="H912" s="117"/>
      <c r="I912" s="117"/>
      <c r="J912" s="24"/>
      <c r="K912" s="24"/>
      <c r="L912" s="24"/>
      <c r="M912" s="24"/>
      <c r="N912" s="24"/>
      <c r="O912" s="24"/>
      <c r="P912" s="24"/>
      <c r="Q912" s="24"/>
      <c r="R912" s="24"/>
      <c r="S912" s="24"/>
      <c r="T912" s="24"/>
      <c r="U912" s="24"/>
      <c r="V912" s="24"/>
      <c r="W912" s="24"/>
      <c r="X912" s="24"/>
      <c r="Y912" s="24"/>
      <c r="Z912" s="24"/>
      <c r="AA912" s="24"/>
      <c r="AB912" s="24"/>
      <c r="AC912" s="24"/>
    </row>
    <row r="913" spans="1:29" ht="12.9">
      <c r="A913" s="24"/>
      <c r="B913" s="24"/>
      <c r="C913" s="143"/>
      <c r="D913" s="24"/>
      <c r="E913" s="24"/>
      <c r="F913" s="24"/>
      <c r="G913" s="24"/>
      <c r="H913" s="117"/>
      <c r="I913" s="117"/>
      <c r="J913" s="24"/>
      <c r="K913" s="24"/>
      <c r="L913" s="24"/>
      <c r="M913" s="24"/>
      <c r="N913" s="24"/>
      <c r="O913" s="24"/>
      <c r="P913" s="24"/>
      <c r="Q913" s="24"/>
      <c r="R913" s="24"/>
      <c r="S913" s="24"/>
      <c r="T913" s="24"/>
      <c r="U913" s="24"/>
      <c r="V913" s="24"/>
      <c r="W913" s="24"/>
      <c r="X913" s="24"/>
      <c r="Y913" s="24"/>
      <c r="Z913" s="24"/>
      <c r="AA913" s="24"/>
      <c r="AB913" s="24"/>
      <c r="AC913" s="24"/>
    </row>
    <row r="914" spans="1:29" ht="12.9">
      <c r="A914" s="24"/>
      <c r="B914" s="24"/>
      <c r="C914" s="143"/>
      <c r="D914" s="24"/>
      <c r="E914" s="24"/>
      <c r="F914" s="24"/>
      <c r="G914" s="24"/>
      <c r="H914" s="117"/>
      <c r="I914" s="117"/>
      <c r="J914" s="24"/>
      <c r="K914" s="24"/>
      <c r="L914" s="24"/>
      <c r="M914" s="24"/>
      <c r="N914" s="24"/>
      <c r="O914" s="24"/>
      <c r="P914" s="24"/>
      <c r="Q914" s="24"/>
      <c r="R914" s="24"/>
      <c r="S914" s="24"/>
      <c r="T914" s="24"/>
      <c r="U914" s="24"/>
      <c r="V914" s="24"/>
      <c r="W914" s="24"/>
      <c r="X914" s="24"/>
      <c r="Y914" s="24"/>
      <c r="Z914" s="24"/>
      <c r="AA914" s="24"/>
      <c r="AB914" s="24"/>
      <c r="AC914" s="24"/>
    </row>
    <row r="915" spans="1:29" ht="12.9">
      <c r="A915" s="24"/>
      <c r="B915" s="24"/>
      <c r="C915" s="143"/>
      <c r="D915" s="24"/>
      <c r="E915" s="24"/>
      <c r="F915" s="24"/>
      <c r="G915" s="24"/>
      <c r="H915" s="117"/>
      <c r="I915" s="117"/>
      <c r="J915" s="24"/>
      <c r="K915" s="24"/>
      <c r="L915" s="24"/>
      <c r="M915" s="24"/>
      <c r="N915" s="24"/>
      <c r="O915" s="24"/>
      <c r="P915" s="24"/>
      <c r="Q915" s="24"/>
      <c r="R915" s="24"/>
      <c r="S915" s="24"/>
      <c r="T915" s="24"/>
      <c r="U915" s="24"/>
      <c r="V915" s="24"/>
      <c r="W915" s="24"/>
      <c r="X915" s="24"/>
      <c r="Y915" s="24"/>
      <c r="Z915" s="24"/>
      <c r="AA915" s="24"/>
      <c r="AB915" s="24"/>
      <c r="AC915" s="24"/>
    </row>
    <row r="916" spans="1:29" ht="12.9">
      <c r="A916" s="24"/>
      <c r="B916" s="24"/>
      <c r="C916" s="143"/>
      <c r="D916" s="24"/>
      <c r="E916" s="24"/>
      <c r="F916" s="24"/>
      <c r="G916" s="24"/>
      <c r="H916" s="117"/>
      <c r="I916" s="117"/>
      <c r="J916" s="24"/>
      <c r="K916" s="24"/>
      <c r="L916" s="24"/>
      <c r="M916" s="24"/>
      <c r="N916" s="24"/>
      <c r="O916" s="24"/>
      <c r="P916" s="24"/>
      <c r="Q916" s="24"/>
      <c r="R916" s="24"/>
      <c r="S916" s="24"/>
      <c r="T916" s="24"/>
      <c r="U916" s="24"/>
      <c r="V916" s="24"/>
      <c r="W916" s="24"/>
      <c r="X916" s="24"/>
      <c r="Y916" s="24"/>
      <c r="Z916" s="24"/>
      <c r="AA916" s="24"/>
      <c r="AB916" s="24"/>
      <c r="AC916" s="24"/>
    </row>
    <row r="917" spans="1:29" ht="12.9">
      <c r="A917" s="24"/>
      <c r="B917" s="24"/>
      <c r="C917" s="143"/>
      <c r="D917" s="24"/>
      <c r="E917" s="24"/>
      <c r="F917" s="24"/>
      <c r="G917" s="24"/>
      <c r="H917" s="117"/>
      <c r="I917" s="117"/>
      <c r="J917" s="24"/>
      <c r="K917" s="24"/>
      <c r="L917" s="24"/>
      <c r="M917" s="24"/>
      <c r="N917" s="24"/>
      <c r="O917" s="24"/>
      <c r="P917" s="24"/>
      <c r="Q917" s="24"/>
      <c r="R917" s="24"/>
      <c r="S917" s="24"/>
      <c r="T917" s="24"/>
      <c r="U917" s="24"/>
      <c r="V917" s="24"/>
      <c r="W917" s="24"/>
      <c r="X917" s="24"/>
      <c r="Y917" s="24"/>
      <c r="Z917" s="24"/>
      <c r="AA917" s="24"/>
      <c r="AB917" s="24"/>
      <c r="AC917" s="24"/>
    </row>
    <row r="918" spans="1:29" ht="12.9">
      <c r="A918" s="24"/>
      <c r="B918" s="24"/>
      <c r="C918" s="143"/>
      <c r="D918" s="24"/>
      <c r="E918" s="24"/>
      <c r="F918" s="24"/>
      <c r="G918" s="24"/>
      <c r="H918" s="117"/>
      <c r="I918" s="117"/>
      <c r="J918" s="24"/>
      <c r="K918" s="24"/>
      <c r="L918" s="24"/>
      <c r="M918" s="24"/>
      <c r="N918" s="24"/>
      <c r="O918" s="24"/>
      <c r="P918" s="24"/>
      <c r="Q918" s="24"/>
      <c r="R918" s="24"/>
      <c r="S918" s="24"/>
      <c r="T918" s="24"/>
      <c r="U918" s="24"/>
      <c r="V918" s="24"/>
      <c r="W918" s="24"/>
      <c r="X918" s="24"/>
      <c r="Y918" s="24"/>
      <c r="Z918" s="24"/>
      <c r="AA918" s="24"/>
      <c r="AB918" s="24"/>
      <c r="AC918" s="24"/>
    </row>
    <row r="919" spans="1:29" ht="12.9">
      <c r="A919" s="24"/>
      <c r="B919" s="24"/>
      <c r="C919" s="143"/>
      <c r="D919" s="24"/>
      <c r="E919" s="24"/>
      <c r="F919" s="24"/>
      <c r="G919" s="24"/>
      <c r="H919" s="117"/>
      <c r="I919" s="117"/>
      <c r="J919" s="24"/>
      <c r="K919" s="24"/>
      <c r="L919" s="24"/>
      <c r="M919" s="24"/>
      <c r="N919" s="24"/>
      <c r="O919" s="24"/>
      <c r="P919" s="24"/>
      <c r="Q919" s="24"/>
      <c r="R919" s="24"/>
      <c r="S919" s="24"/>
      <c r="T919" s="24"/>
      <c r="U919" s="24"/>
      <c r="V919" s="24"/>
      <c r="W919" s="24"/>
      <c r="X919" s="24"/>
      <c r="Y919" s="24"/>
      <c r="Z919" s="24"/>
      <c r="AA919" s="24"/>
      <c r="AB919" s="24"/>
      <c r="AC919" s="24"/>
    </row>
    <row r="920" spans="1:29" ht="12.9">
      <c r="A920" s="24"/>
      <c r="B920" s="24"/>
      <c r="C920" s="143"/>
      <c r="D920" s="24"/>
      <c r="E920" s="24"/>
      <c r="F920" s="24"/>
      <c r="G920" s="24"/>
      <c r="H920" s="117"/>
      <c r="I920" s="117"/>
      <c r="J920" s="24"/>
      <c r="K920" s="24"/>
      <c r="L920" s="24"/>
      <c r="M920" s="24"/>
      <c r="N920" s="24"/>
      <c r="O920" s="24"/>
      <c r="P920" s="24"/>
      <c r="Q920" s="24"/>
      <c r="R920" s="24"/>
      <c r="S920" s="24"/>
      <c r="T920" s="24"/>
      <c r="U920" s="24"/>
      <c r="V920" s="24"/>
      <c r="W920" s="24"/>
      <c r="X920" s="24"/>
      <c r="Y920" s="24"/>
      <c r="Z920" s="24"/>
      <c r="AA920" s="24"/>
      <c r="AB920" s="24"/>
      <c r="AC920" s="24"/>
    </row>
    <row r="921" spans="1:29" ht="12.9">
      <c r="A921" s="24"/>
      <c r="B921" s="24"/>
      <c r="C921" s="143"/>
      <c r="D921" s="24"/>
      <c r="E921" s="24"/>
      <c r="F921" s="24"/>
      <c r="G921" s="24"/>
      <c r="H921" s="117"/>
      <c r="I921" s="117"/>
      <c r="J921" s="24"/>
      <c r="K921" s="24"/>
      <c r="L921" s="24"/>
      <c r="M921" s="24"/>
      <c r="N921" s="24"/>
      <c r="O921" s="24"/>
      <c r="P921" s="24"/>
      <c r="Q921" s="24"/>
      <c r="R921" s="24"/>
      <c r="S921" s="24"/>
      <c r="T921" s="24"/>
      <c r="U921" s="24"/>
      <c r="V921" s="24"/>
      <c r="W921" s="24"/>
      <c r="X921" s="24"/>
      <c r="Y921" s="24"/>
      <c r="Z921" s="24"/>
      <c r="AA921" s="24"/>
      <c r="AB921" s="24"/>
      <c r="AC921" s="24"/>
    </row>
    <row r="922" spans="1:29" ht="12.9">
      <c r="A922" s="24"/>
      <c r="B922" s="24"/>
      <c r="C922" s="143"/>
      <c r="D922" s="24"/>
      <c r="E922" s="24"/>
      <c r="F922" s="24"/>
      <c r="G922" s="24"/>
      <c r="H922" s="117"/>
      <c r="I922" s="117"/>
      <c r="J922" s="24"/>
      <c r="K922" s="24"/>
      <c r="L922" s="24"/>
      <c r="M922" s="24"/>
      <c r="N922" s="24"/>
      <c r="O922" s="24"/>
      <c r="P922" s="24"/>
      <c r="Q922" s="24"/>
      <c r="R922" s="24"/>
      <c r="S922" s="24"/>
      <c r="T922" s="24"/>
      <c r="U922" s="24"/>
      <c r="V922" s="24"/>
      <c r="W922" s="24"/>
      <c r="X922" s="24"/>
      <c r="Y922" s="24"/>
      <c r="Z922" s="24"/>
      <c r="AA922" s="24"/>
      <c r="AB922" s="24"/>
      <c r="AC922" s="24"/>
    </row>
    <row r="923" spans="1:29" ht="12.9">
      <c r="A923" s="24"/>
      <c r="B923" s="24"/>
      <c r="C923" s="143"/>
      <c r="D923" s="24"/>
      <c r="E923" s="24"/>
      <c r="F923" s="24"/>
      <c r="G923" s="24"/>
      <c r="H923" s="117"/>
      <c r="I923" s="117"/>
      <c r="J923" s="24"/>
      <c r="K923" s="24"/>
      <c r="L923" s="24"/>
      <c r="M923" s="24"/>
      <c r="N923" s="24"/>
      <c r="O923" s="24"/>
      <c r="P923" s="24"/>
      <c r="Q923" s="24"/>
      <c r="R923" s="24"/>
      <c r="S923" s="24"/>
      <c r="T923" s="24"/>
      <c r="U923" s="24"/>
      <c r="V923" s="24"/>
      <c r="W923" s="24"/>
      <c r="X923" s="24"/>
      <c r="Y923" s="24"/>
      <c r="Z923" s="24"/>
      <c r="AA923" s="24"/>
      <c r="AB923" s="24"/>
      <c r="AC923" s="24"/>
    </row>
    <row r="924" spans="1:29" ht="12.9">
      <c r="A924" s="24"/>
      <c r="B924" s="24"/>
      <c r="C924" s="143"/>
      <c r="D924" s="24"/>
      <c r="E924" s="24"/>
      <c r="F924" s="24"/>
      <c r="G924" s="24"/>
      <c r="H924" s="117"/>
      <c r="I924" s="117"/>
      <c r="J924" s="24"/>
      <c r="K924" s="24"/>
      <c r="L924" s="24"/>
      <c r="M924" s="24"/>
      <c r="N924" s="24"/>
      <c r="O924" s="24"/>
      <c r="P924" s="24"/>
      <c r="Q924" s="24"/>
      <c r="R924" s="24"/>
      <c r="S924" s="24"/>
      <c r="T924" s="24"/>
      <c r="U924" s="24"/>
      <c r="V924" s="24"/>
      <c r="W924" s="24"/>
      <c r="X924" s="24"/>
      <c r="Y924" s="24"/>
      <c r="Z924" s="24"/>
      <c r="AA924" s="24"/>
      <c r="AB924" s="24"/>
      <c r="AC924" s="24"/>
    </row>
    <row r="925" spans="1:29" ht="12.9">
      <c r="A925" s="24"/>
      <c r="B925" s="24"/>
      <c r="C925" s="143"/>
      <c r="D925" s="24"/>
      <c r="E925" s="24"/>
      <c r="F925" s="24"/>
      <c r="G925" s="24"/>
      <c r="H925" s="117"/>
      <c r="I925" s="117"/>
      <c r="J925" s="24"/>
      <c r="K925" s="24"/>
      <c r="L925" s="24"/>
      <c r="M925" s="24"/>
      <c r="N925" s="24"/>
      <c r="O925" s="24"/>
      <c r="P925" s="24"/>
      <c r="Q925" s="24"/>
      <c r="R925" s="24"/>
      <c r="S925" s="24"/>
      <c r="T925" s="24"/>
      <c r="U925" s="24"/>
      <c r="V925" s="24"/>
      <c r="W925" s="24"/>
      <c r="X925" s="24"/>
      <c r="Y925" s="24"/>
      <c r="Z925" s="24"/>
      <c r="AA925" s="24"/>
      <c r="AB925" s="24"/>
      <c r="AC925" s="24"/>
    </row>
    <row r="926" spans="1:29" ht="12.9">
      <c r="A926" s="24"/>
      <c r="B926" s="24"/>
      <c r="C926" s="143"/>
      <c r="D926" s="24"/>
      <c r="E926" s="24"/>
      <c r="F926" s="24"/>
      <c r="G926" s="24"/>
      <c r="H926" s="117"/>
      <c r="I926" s="117"/>
      <c r="J926" s="24"/>
      <c r="K926" s="24"/>
      <c r="L926" s="24"/>
      <c r="M926" s="24"/>
      <c r="N926" s="24"/>
      <c r="O926" s="24"/>
      <c r="P926" s="24"/>
      <c r="Q926" s="24"/>
      <c r="R926" s="24"/>
      <c r="S926" s="24"/>
      <c r="T926" s="24"/>
      <c r="U926" s="24"/>
      <c r="V926" s="24"/>
      <c r="W926" s="24"/>
      <c r="X926" s="24"/>
      <c r="Y926" s="24"/>
      <c r="Z926" s="24"/>
      <c r="AA926" s="24"/>
      <c r="AB926" s="24"/>
      <c r="AC926" s="24"/>
    </row>
    <row r="927" spans="1:29" ht="12.9">
      <c r="A927" s="24"/>
      <c r="B927" s="24"/>
      <c r="C927" s="143"/>
      <c r="D927" s="24"/>
      <c r="E927" s="24"/>
      <c r="F927" s="24"/>
      <c r="G927" s="24"/>
      <c r="H927" s="117"/>
      <c r="I927" s="117"/>
      <c r="J927" s="24"/>
      <c r="K927" s="24"/>
      <c r="L927" s="24"/>
      <c r="M927" s="24"/>
      <c r="N927" s="24"/>
      <c r="O927" s="24"/>
      <c r="P927" s="24"/>
      <c r="Q927" s="24"/>
      <c r="R927" s="24"/>
      <c r="S927" s="24"/>
      <c r="T927" s="24"/>
      <c r="U927" s="24"/>
      <c r="V927" s="24"/>
      <c r="W927" s="24"/>
      <c r="X927" s="24"/>
      <c r="Y927" s="24"/>
      <c r="Z927" s="24"/>
      <c r="AA927" s="24"/>
      <c r="AB927" s="24"/>
      <c r="AC927" s="24"/>
    </row>
    <row r="928" spans="1:29" ht="12.9">
      <c r="A928" s="24"/>
      <c r="B928" s="24"/>
      <c r="C928" s="143"/>
      <c r="D928" s="24"/>
      <c r="E928" s="24"/>
      <c r="F928" s="24"/>
      <c r="G928" s="24"/>
      <c r="H928" s="117"/>
      <c r="I928" s="117"/>
      <c r="J928" s="24"/>
      <c r="K928" s="24"/>
      <c r="L928" s="24"/>
      <c r="M928" s="24"/>
      <c r="N928" s="24"/>
      <c r="O928" s="24"/>
      <c r="P928" s="24"/>
      <c r="Q928" s="24"/>
      <c r="R928" s="24"/>
      <c r="S928" s="24"/>
      <c r="T928" s="24"/>
      <c r="U928" s="24"/>
      <c r="V928" s="24"/>
      <c r="W928" s="24"/>
      <c r="X928" s="24"/>
      <c r="Y928" s="24"/>
      <c r="Z928" s="24"/>
      <c r="AA928" s="24"/>
      <c r="AB928" s="24"/>
      <c r="AC928" s="24"/>
    </row>
    <row r="929" spans="1:29" ht="12.9">
      <c r="A929" s="24"/>
      <c r="B929" s="24"/>
      <c r="C929" s="143"/>
      <c r="D929" s="24"/>
      <c r="E929" s="24"/>
      <c r="F929" s="24"/>
      <c r="G929" s="24"/>
      <c r="H929" s="117"/>
      <c r="I929" s="117"/>
      <c r="J929" s="24"/>
      <c r="K929" s="24"/>
      <c r="L929" s="24"/>
      <c r="M929" s="24"/>
      <c r="N929" s="24"/>
      <c r="O929" s="24"/>
      <c r="P929" s="24"/>
      <c r="Q929" s="24"/>
      <c r="R929" s="24"/>
      <c r="S929" s="24"/>
      <c r="T929" s="24"/>
      <c r="U929" s="24"/>
      <c r="V929" s="24"/>
      <c r="W929" s="24"/>
      <c r="X929" s="24"/>
      <c r="Y929" s="24"/>
      <c r="Z929" s="24"/>
      <c r="AA929" s="24"/>
      <c r="AB929" s="24"/>
      <c r="AC929" s="24"/>
    </row>
    <row r="930" spans="1:29" ht="12.9">
      <c r="A930" s="24"/>
      <c r="B930" s="24"/>
      <c r="C930" s="143"/>
      <c r="D930" s="24"/>
      <c r="E930" s="24"/>
      <c r="F930" s="24"/>
      <c r="G930" s="24"/>
      <c r="H930" s="117"/>
      <c r="I930" s="117"/>
      <c r="J930" s="24"/>
      <c r="K930" s="24"/>
      <c r="L930" s="24"/>
      <c r="M930" s="24"/>
      <c r="N930" s="24"/>
      <c r="O930" s="24"/>
      <c r="P930" s="24"/>
      <c r="Q930" s="24"/>
      <c r="R930" s="24"/>
      <c r="S930" s="24"/>
      <c r="T930" s="24"/>
      <c r="U930" s="24"/>
      <c r="V930" s="24"/>
      <c r="W930" s="24"/>
      <c r="X930" s="24"/>
      <c r="Y930" s="24"/>
      <c r="Z930" s="24"/>
      <c r="AA930" s="24"/>
      <c r="AB930" s="24"/>
      <c r="AC930" s="24"/>
    </row>
    <row r="931" spans="1:29" ht="12.9">
      <c r="A931" s="24"/>
      <c r="B931" s="24"/>
      <c r="C931" s="143"/>
      <c r="D931" s="24"/>
      <c r="E931" s="24"/>
      <c r="F931" s="24"/>
      <c r="G931" s="24"/>
      <c r="H931" s="117"/>
      <c r="I931" s="117"/>
      <c r="J931" s="24"/>
      <c r="K931" s="24"/>
      <c r="L931" s="24"/>
      <c r="M931" s="24"/>
      <c r="N931" s="24"/>
      <c r="O931" s="24"/>
      <c r="P931" s="24"/>
      <c r="Q931" s="24"/>
      <c r="R931" s="24"/>
      <c r="S931" s="24"/>
      <c r="T931" s="24"/>
      <c r="U931" s="24"/>
      <c r="V931" s="24"/>
      <c r="W931" s="24"/>
      <c r="X931" s="24"/>
      <c r="Y931" s="24"/>
      <c r="Z931" s="24"/>
      <c r="AA931" s="24"/>
      <c r="AB931" s="24"/>
      <c r="AC931" s="24"/>
    </row>
    <row r="932" spans="1:29" ht="12.9">
      <c r="A932" s="24"/>
      <c r="B932" s="24"/>
      <c r="C932" s="143"/>
      <c r="D932" s="24"/>
      <c r="E932" s="24"/>
      <c r="F932" s="24"/>
      <c r="G932" s="24"/>
      <c r="H932" s="117"/>
      <c r="I932" s="117"/>
      <c r="J932" s="24"/>
      <c r="K932" s="24"/>
      <c r="L932" s="24"/>
      <c r="M932" s="24"/>
      <c r="N932" s="24"/>
      <c r="O932" s="24"/>
      <c r="P932" s="24"/>
      <c r="Q932" s="24"/>
      <c r="R932" s="24"/>
      <c r="S932" s="24"/>
      <c r="T932" s="24"/>
      <c r="U932" s="24"/>
      <c r="V932" s="24"/>
      <c r="W932" s="24"/>
      <c r="X932" s="24"/>
      <c r="Y932" s="24"/>
      <c r="Z932" s="24"/>
      <c r="AA932" s="24"/>
      <c r="AB932" s="24"/>
      <c r="AC932" s="24"/>
    </row>
    <row r="933" spans="1:29" ht="12.9">
      <c r="A933" s="24"/>
      <c r="B933" s="24"/>
      <c r="C933" s="143"/>
      <c r="D933" s="24"/>
      <c r="E933" s="24"/>
      <c r="F933" s="24"/>
      <c r="G933" s="24"/>
      <c r="H933" s="117"/>
      <c r="I933" s="117"/>
      <c r="J933" s="24"/>
      <c r="K933" s="24"/>
      <c r="L933" s="24"/>
      <c r="M933" s="24"/>
      <c r="N933" s="24"/>
      <c r="O933" s="24"/>
      <c r="P933" s="24"/>
      <c r="Q933" s="24"/>
      <c r="R933" s="24"/>
      <c r="S933" s="24"/>
      <c r="T933" s="24"/>
      <c r="U933" s="24"/>
      <c r="V933" s="24"/>
      <c r="W933" s="24"/>
      <c r="X933" s="24"/>
      <c r="Y933" s="24"/>
      <c r="Z933" s="24"/>
      <c r="AA933" s="24"/>
      <c r="AB933" s="24"/>
      <c r="AC933" s="24"/>
    </row>
    <row r="934" spans="1:29" ht="12.9">
      <c r="A934" s="24"/>
      <c r="B934" s="24"/>
      <c r="C934" s="143"/>
      <c r="D934" s="24"/>
      <c r="E934" s="24"/>
      <c r="F934" s="24"/>
      <c r="G934" s="24"/>
      <c r="H934" s="117"/>
      <c r="I934" s="117"/>
      <c r="J934" s="24"/>
      <c r="K934" s="24"/>
      <c r="L934" s="24"/>
      <c r="M934" s="24"/>
      <c r="N934" s="24"/>
      <c r="O934" s="24"/>
      <c r="P934" s="24"/>
      <c r="Q934" s="24"/>
      <c r="R934" s="24"/>
      <c r="S934" s="24"/>
      <c r="T934" s="24"/>
      <c r="U934" s="24"/>
      <c r="V934" s="24"/>
      <c r="W934" s="24"/>
      <c r="X934" s="24"/>
      <c r="Y934" s="24"/>
      <c r="Z934" s="24"/>
      <c r="AA934" s="24"/>
      <c r="AB934" s="24"/>
      <c r="AC934" s="24"/>
    </row>
    <row r="935" spans="1:29" ht="12.9">
      <c r="A935" s="24"/>
      <c r="B935" s="24"/>
      <c r="C935" s="143"/>
      <c r="D935" s="24"/>
      <c r="E935" s="24"/>
      <c r="F935" s="24"/>
      <c r="G935" s="24"/>
      <c r="H935" s="117"/>
      <c r="I935" s="117"/>
      <c r="J935" s="24"/>
      <c r="K935" s="24"/>
      <c r="L935" s="24"/>
      <c r="M935" s="24"/>
      <c r="N935" s="24"/>
      <c r="O935" s="24"/>
      <c r="P935" s="24"/>
      <c r="Q935" s="24"/>
      <c r="R935" s="24"/>
      <c r="S935" s="24"/>
      <c r="T935" s="24"/>
      <c r="U935" s="24"/>
      <c r="V935" s="24"/>
      <c r="W935" s="24"/>
      <c r="X935" s="24"/>
      <c r="Y935" s="24"/>
      <c r="Z935" s="24"/>
      <c r="AA935" s="24"/>
      <c r="AB935" s="24"/>
      <c r="AC935" s="24"/>
    </row>
    <row r="936" spans="1:29" ht="12.9">
      <c r="A936" s="24"/>
      <c r="B936" s="24"/>
      <c r="C936" s="143"/>
      <c r="D936" s="24"/>
      <c r="E936" s="24"/>
      <c r="F936" s="24"/>
      <c r="G936" s="24"/>
      <c r="H936" s="117"/>
      <c r="I936" s="117"/>
      <c r="J936" s="24"/>
      <c r="K936" s="24"/>
      <c r="L936" s="24"/>
      <c r="M936" s="24"/>
      <c r="N936" s="24"/>
      <c r="O936" s="24"/>
      <c r="P936" s="24"/>
      <c r="Q936" s="24"/>
      <c r="R936" s="24"/>
      <c r="S936" s="24"/>
      <c r="T936" s="24"/>
      <c r="U936" s="24"/>
      <c r="V936" s="24"/>
      <c r="W936" s="24"/>
      <c r="X936" s="24"/>
      <c r="Y936" s="24"/>
      <c r="Z936" s="24"/>
      <c r="AA936" s="24"/>
      <c r="AB936" s="24"/>
      <c r="AC936" s="24"/>
    </row>
    <row r="937" spans="1:29" ht="12.9">
      <c r="A937" s="24"/>
      <c r="B937" s="24"/>
      <c r="C937" s="143"/>
      <c r="D937" s="24"/>
      <c r="E937" s="24"/>
      <c r="F937" s="24"/>
      <c r="G937" s="24"/>
      <c r="H937" s="117"/>
      <c r="I937" s="117"/>
      <c r="J937" s="24"/>
      <c r="K937" s="24"/>
      <c r="L937" s="24"/>
      <c r="M937" s="24"/>
      <c r="N937" s="24"/>
      <c r="O937" s="24"/>
      <c r="P937" s="24"/>
      <c r="Q937" s="24"/>
      <c r="R937" s="24"/>
      <c r="S937" s="24"/>
      <c r="T937" s="24"/>
      <c r="U937" s="24"/>
      <c r="V937" s="24"/>
      <c r="W937" s="24"/>
      <c r="X937" s="24"/>
      <c r="Y937" s="24"/>
      <c r="Z937" s="24"/>
      <c r="AA937" s="24"/>
      <c r="AB937" s="24"/>
      <c r="AC937" s="24"/>
    </row>
    <row r="938" spans="1:29" ht="12.9">
      <c r="A938" s="24"/>
      <c r="B938" s="24"/>
      <c r="C938" s="143"/>
      <c r="D938" s="24"/>
      <c r="E938" s="24"/>
      <c r="F938" s="24"/>
      <c r="G938" s="24"/>
      <c r="H938" s="117"/>
      <c r="I938" s="117"/>
      <c r="J938" s="24"/>
      <c r="K938" s="24"/>
      <c r="L938" s="24"/>
      <c r="M938" s="24"/>
      <c r="N938" s="24"/>
      <c r="O938" s="24"/>
      <c r="P938" s="24"/>
      <c r="Q938" s="24"/>
      <c r="R938" s="24"/>
      <c r="S938" s="24"/>
      <c r="T938" s="24"/>
      <c r="U938" s="24"/>
      <c r="V938" s="24"/>
      <c r="W938" s="24"/>
      <c r="X938" s="24"/>
      <c r="Y938" s="24"/>
      <c r="Z938" s="24"/>
      <c r="AA938" s="24"/>
      <c r="AB938" s="24"/>
      <c r="AC938" s="24"/>
    </row>
    <row r="939" spans="1:29" ht="12.9">
      <c r="A939" s="24"/>
      <c r="B939" s="24"/>
      <c r="C939" s="143"/>
      <c r="D939" s="24"/>
      <c r="E939" s="24"/>
      <c r="F939" s="24"/>
      <c r="G939" s="24"/>
      <c r="H939" s="117"/>
      <c r="I939" s="117"/>
      <c r="J939" s="24"/>
      <c r="K939" s="24"/>
      <c r="L939" s="24"/>
      <c r="M939" s="24"/>
      <c r="N939" s="24"/>
      <c r="O939" s="24"/>
      <c r="P939" s="24"/>
      <c r="Q939" s="24"/>
      <c r="R939" s="24"/>
      <c r="S939" s="24"/>
      <c r="T939" s="24"/>
      <c r="U939" s="24"/>
      <c r="V939" s="24"/>
      <c r="W939" s="24"/>
      <c r="X939" s="24"/>
      <c r="Y939" s="24"/>
      <c r="Z939" s="24"/>
      <c r="AA939" s="24"/>
      <c r="AB939" s="24"/>
      <c r="AC939" s="24"/>
    </row>
    <row r="940" spans="1:29" ht="12.9">
      <c r="A940" s="24"/>
      <c r="B940" s="24"/>
      <c r="C940" s="143"/>
      <c r="D940" s="24"/>
      <c r="E940" s="24"/>
      <c r="F940" s="24"/>
      <c r="G940" s="24"/>
      <c r="H940" s="117"/>
      <c r="I940" s="117"/>
      <c r="J940" s="24"/>
      <c r="K940" s="24"/>
      <c r="L940" s="24"/>
      <c r="M940" s="24"/>
      <c r="N940" s="24"/>
      <c r="O940" s="24"/>
      <c r="P940" s="24"/>
      <c r="Q940" s="24"/>
      <c r="R940" s="24"/>
      <c r="S940" s="24"/>
      <c r="T940" s="24"/>
      <c r="U940" s="24"/>
      <c r="V940" s="24"/>
      <c r="W940" s="24"/>
      <c r="X940" s="24"/>
      <c r="Y940" s="24"/>
      <c r="Z940" s="24"/>
      <c r="AA940" s="24"/>
      <c r="AB940" s="24"/>
      <c r="AC940" s="24"/>
    </row>
    <row r="941" spans="1:29" ht="12.9">
      <c r="A941" s="24"/>
      <c r="B941" s="24"/>
      <c r="C941" s="143"/>
      <c r="D941" s="24"/>
      <c r="E941" s="24"/>
      <c r="F941" s="24"/>
      <c r="G941" s="24"/>
      <c r="H941" s="117"/>
      <c r="I941" s="117"/>
      <c r="J941" s="24"/>
      <c r="K941" s="24"/>
      <c r="L941" s="24"/>
      <c r="M941" s="24"/>
      <c r="N941" s="24"/>
      <c r="O941" s="24"/>
      <c r="P941" s="24"/>
      <c r="Q941" s="24"/>
      <c r="R941" s="24"/>
      <c r="S941" s="24"/>
      <c r="T941" s="24"/>
      <c r="U941" s="24"/>
      <c r="V941" s="24"/>
      <c r="W941" s="24"/>
      <c r="X941" s="24"/>
      <c r="Y941" s="24"/>
      <c r="Z941" s="24"/>
      <c r="AA941" s="24"/>
      <c r="AB941" s="24"/>
      <c r="AC941" s="24"/>
    </row>
    <row r="942" spans="1:29" ht="12.9">
      <c r="A942" s="24"/>
      <c r="B942" s="24"/>
      <c r="C942" s="143"/>
      <c r="D942" s="24"/>
      <c r="E942" s="24"/>
      <c r="F942" s="24"/>
      <c r="G942" s="24"/>
      <c r="H942" s="117"/>
      <c r="I942" s="117"/>
      <c r="J942" s="24"/>
      <c r="K942" s="24"/>
      <c r="L942" s="24"/>
      <c r="M942" s="24"/>
      <c r="N942" s="24"/>
      <c r="O942" s="24"/>
      <c r="P942" s="24"/>
      <c r="Q942" s="24"/>
      <c r="R942" s="24"/>
      <c r="S942" s="24"/>
      <c r="T942" s="24"/>
      <c r="U942" s="24"/>
      <c r="V942" s="24"/>
      <c r="W942" s="24"/>
      <c r="X942" s="24"/>
      <c r="Y942" s="24"/>
      <c r="Z942" s="24"/>
      <c r="AA942" s="24"/>
      <c r="AB942" s="24"/>
      <c r="AC942" s="24"/>
    </row>
    <row r="943" spans="1:29" ht="12.9">
      <c r="A943" s="24"/>
      <c r="B943" s="24"/>
      <c r="C943" s="143"/>
      <c r="D943" s="24"/>
      <c r="E943" s="24"/>
      <c r="F943" s="24"/>
      <c r="G943" s="24"/>
      <c r="H943" s="117"/>
      <c r="I943" s="117"/>
      <c r="J943" s="24"/>
      <c r="K943" s="24"/>
      <c r="L943" s="24"/>
      <c r="M943" s="24"/>
      <c r="N943" s="24"/>
      <c r="O943" s="24"/>
      <c r="P943" s="24"/>
      <c r="Q943" s="24"/>
      <c r="R943" s="24"/>
      <c r="S943" s="24"/>
      <c r="T943" s="24"/>
      <c r="U943" s="24"/>
      <c r="V943" s="24"/>
      <c r="W943" s="24"/>
      <c r="X943" s="24"/>
      <c r="Y943" s="24"/>
      <c r="Z943" s="24"/>
      <c r="AA943" s="24"/>
      <c r="AB943" s="24"/>
      <c r="AC943" s="24"/>
    </row>
    <row r="944" spans="1:29" ht="12.9">
      <c r="A944" s="24"/>
      <c r="B944" s="24"/>
      <c r="C944" s="143"/>
      <c r="D944" s="24"/>
      <c r="E944" s="24"/>
      <c r="F944" s="24"/>
      <c r="G944" s="24"/>
      <c r="H944" s="117"/>
      <c r="I944" s="117"/>
      <c r="J944" s="24"/>
      <c r="K944" s="24"/>
      <c r="L944" s="24"/>
      <c r="M944" s="24"/>
      <c r="N944" s="24"/>
      <c r="O944" s="24"/>
      <c r="P944" s="24"/>
      <c r="Q944" s="24"/>
      <c r="R944" s="24"/>
      <c r="S944" s="24"/>
      <c r="T944" s="24"/>
      <c r="U944" s="24"/>
      <c r="V944" s="24"/>
      <c r="W944" s="24"/>
      <c r="X944" s="24"/>
      <c r="Y944" s="24"/>
      <c r="Z944" s="24"/>
      <c r="AA944" s="24"/>
      <c r="AB944" s="24"/>
      <c r="AC944" s="24"/>
    </row>
    <row r="945" spans="1:29" ht="12.9">
      <c r="A945" s="24"/>
      <c r="B945" s="24"/>
      <c r="C945" s="143"/>
      <c r="D945" s="24"/>
      <c r="E945" s="24"/>
      <c r="F945" s="24"/>
      <c r="G945" s="24"/>
      <c r="H945" s="117"/>
      <c r="I945" s="117"/>
      <c r="J945" s="24"/>
      <c r="K945" s="24"/>
      <c r="L945" s="24"/>
      <c r="M945" s="24"/>
      <c r="N945" s="24"/>
      <c r="O945" s="24"/>
      <c r="P945" s="24"/>
      <c r="Q945" s="24"/>
      <c r="R945" s="24"/>
      <c r="S945" s="24"/>
      <c r="T945" s="24"/>
      <c r="U945" s="24"/>
      <c r="V945" s="24"/>
      <c r="W945" s="24"/>
      <c r="X945" s="24"/>
      <c r="Y945" s="24"/>
      <c r="Z945" s="24"/>
      <c r="AA945" s="24"/>
      <c r="AB945" s="24"/>
      <c r="AC945" s="24"/>
    </row>
    <row r="946" spans="1:29" ht="12.9">
      <c r="A946" s="24"/>
      <c r="B946" s="24"/>
      <c r="C946" s="143"/>
      <c r="D946" s="24"/>
      <c r="E946" s="24"/>
      <c r="F946" s="24"/>
      <c r="G946" s="24"/>
      <c r="H946" s="117"/>
      <c r="I946" s="117"/>
      <c r="J946" s="24"/>
      <c r="K946" s="24"/>
      <c r="L946" s="24"/>
      <c r="M946" s="24"/>
      <c r="N946" s="24"/>
      <c r="O946" s="24"/>
      <c r="P946" s="24"/>
      <c r="Q946" s="24"/>
      <c r="R946" s="24"/>
      <c r="S946" s="24"/>
      <c r="T946" s="24"/>
      <c r="U946" s="24"/>
      <c r="V946" s="24"/>
      <c r="W946" s="24"/>
      <c r="X946" s="24"/>
      <c r="Y946" s="24"/>
      <c r="Z946" s="24"/>
      <c r="AA946" s="24"/>
      <c r="AB946" s="24"/>
      <c r="AC946" s="24"/>
    </row>
    <row r="947" spans="1:29" ht="12.9">
      <c r="A947" s="24"/>
      <c r="B947" s="24"/>
      <c r="C947" s="143"/>
      <c r="D947" s="24"/>
      <c r="E947" s="24"/>
      <c r="F947" s="24"/>
      <c r="G947" s="24"/>
      <c r="H947" s="117"/>
      <c r="I947" s="117"/>
      <c r="J947" s="24"/>
      <c r="K947" s="24"/>
      <c r="L947" s="24"/>
      <c r="M947" s="24"/>
      <c r="N947" s="24"/>
      <c r="O947" s="24"/>
      <c r="P947" s="24"/>
      <c r="Q947" s="24"/>
      <c r="R947" s="24"/>
      <c r="S947" s="24"/>
      <c r="T947" s="24"/>
      <c r="U947" s="24"/>
      <c r="V947" s="24"/>
      <c r="W947" s="24"/>
      <c r="X947" s="24"/>
      <c r="Y947" s="24"/>
      <c r="Z947" s="24"/>
      <c r="AA947" s="24"/>
      <c r="AB947" s="24"/>
      <c r="AC947" s="24"/>
    </row>
    <row r="948" spans="1:29" ht="12.9">
      <c r="A948" s="24"/>
      <c r="B948" s="24"/>
      <c r="C948" s="143"/>
      <c r="D948" s="24"/>
      <c r="E948" s="24"/>
      <c r="F948" s="24"/>
      <c r="G948" s="24"/>
      <c r="H948" s="117"/>
      <c r="I948" s="117"/>
      <c r="J948" s="24"/>
      <c r="K948" s="24"/>
      <c r="L948" s="24"/>
      <c r="M948" s="24"/>
      <c r="N948" s="24"/>
      <c r="O948" s="24"/>
      <c r="P948" s="24"/>
      <c r="Q948" s="24"/>
      <c r="R948" s="24"/>
      <c r="S948" s="24"/>
      <c r="T948" s="24"/>
      <c r="U948" s="24"/>
      <c r="V948" s="24"/>
      <c r="W948" s="24"/>
      <c r="X948" s="24"/>
      <c r="Y948" s="24"/>
      <c r="Z948" s="24"/>
      <c r="AA948" s="24"/>
      <c r="AB948" s="24"/>
      <c r="AC948" s="24"/>
    </row>
    <row r="949" spans="1:29" ht="12.9">
      <c r="A949" s="24"/>
      <c r="B949" s="24"/>
      <c r="C949" s="143"/>
      <c r="D949" s="24"/>
      <c r="E949" s="24"/>
      <c r="F949" s="24"/>
      <c r="G949" s="24"/>
      <c r="H949" s="117"/>
      <c r="I949" s="117"/>
      <c r="J949" s="24"/>
      <c r="K949" s="24"/>
      <c r="L949" s="24"/>
      <c r="M949" s="24"/>
      <c r="N949" s="24"/>
      <c r="O949" s="24"/>
      <c r="P949" s="24"/>
      <c r="Q949" s="24"/>
      <c r="R949" s="24"/>
      <c r="S949" s="24"/>
      <c r="T949" s="24"/>
      <c r="U949" s="24"/>
      <c r="V949" s="24"/>
      <c r="W949" s="24"/>
      <c r="X949" s="24"/>
      <c r="Y949" s="24"/>
      <c r="Z949" s="24"/>
      <c r="AA949" s="24"/>
      <c r="AB949" s="24"/>
      <c r="AC949" s="24"/>
    </row>
    <row r="950" spans="1:29" ht="12.9">
      <c r="A950" s="24"/>
      <c r="B950" s="24"/>
      <c r="C950" s="143"/>
      <c r="D950" s="24"/>
      <c r="E950" s="24"/>
      <c r="F950" s="24"/>
      <c r="G950" s="24"/>
      <c r="H950" s="117"/>
      <c r="I950" s="117"/>
      <c r="J950" s="24"/>
      <c r="K950" s="24"/>
      <c r="L950" s="24"/>
      <c r="M950" s="24"/>
      <c r="N950" s="24"/>
      <c r="O950" s="24"/>
      <c r="P950" s="24"/>
      <c r="Q950" s="24"/>
      <c r="R950" s="24"/>
      <c r="S950" s="24"/>
      <c r="T950" s="24"/>
      <c r="U950" s="24"/>
      <c r="V950" s="24"/>
      <c r="W950" s="24"/>
      <c r="X950" s="24"/>
      <c r="Y950" s="24"/>
      <c r="Z950" s="24"/>
      <c r="AA950" s="24"/>
      <c r="AB950" s="24"/>
      <c r="AC950" s="24"/>
    </row>
    <row r="951" spans="1:29" ht="12.9">
      <c r="A951" s="24"/>
      <c r="B951" s="24"/>
      <c r="C951" s="143"/>
      <c r="D951" s="24"/>
      <c r="E951" s="24"/>
      <c r="F951" s="24"/>
      <c r="G951" s="24"/>
      <c r="H951" s="117"/>
      <c r="I951" s="117"/>
      <c r="J951" s="24"/>
      <c r="K951" s="24"/>
      <c r="L951" s="24"/>
      <c r="M951" s="24"/>
      <c r="N951" s="24"/>
      <c r="O951" s="24"/>
      <c r="P951" s="24"/>
      <c r="Q951" s="24"/>
      <c r="R951" s="24"/>
      <c r="S951" s="24"/>
      <c r="T951" s="24"/>
      <c r="U951" s="24"/>
      <c r="V951" s="24"/>
      <c r="W951" s="24"/>
      <c r="X951" s="24"/>
      <c r="Y951" s="24"/>
      <c r="Z951" s="24"/>
      <c r="AA951" s="24"/>
      <c r="AB951" s="24"/>
      <c r="AC951" s="24"/>
    </row>
    <row r="952" spans="1:29" ht="12.9">
      <c r="A952" s="24"/>
      <c r="B952" s="24"/>
      <c r="C952" s="143"/>
      <c r="D952" s="24"/>
      <c r="E952" s="24"/>
      <c r="F952" s="24"/>
      <c r="G952" s="24"/>
      <c r="H952" s="117"/>
      <c r="I952" s="117"/>
      <c r="J952" s="24"/>
      <c r="K952" s="24"/>
      <c r="L952" s="24"/>
      <c r="M952" s="24"/>
      <c r="N952" s="24"/>
      <c r="O952" s="24"/>
      <c r="P952" s="24"/>
      <c r="Q952" s="24"/>
      <c r="R952" s="24"/>
      <c r="S952" s="24"/>
      <c r="T952" s="24"/>
      <c r="U952" s="24"/>
      <c r="V952" s="24"/>
      <c r="W952" s="24"/>
      <c r="X952" s="24"/>
      <c r="Y952" s="24"/>
      <c r="Z952" s="24"/>
      <c r="AA952" s="24"/>
      <c r="AB952" s="24"/>
      <c r="AC952" s="24"/>
    </row>
    <row r="953" spans="1:29" ht="12.9">
      <c r="A953" s="24"/>
      <c r="B953" s="24"/>
      <c r="C953" s="143"/>
      <c r="D953" s="24"/>
      <c r="E953" s="24"/>
      <c r="F953" s="24"/>
      <c r="G953" s="24"/>
      <c r="H953" s="117"/>
      <c r="I953" s="117"/>
      <c r="J953" s="24"/>
      <c r="K953" s="24"/>
      <c r="L953" s="24"/>
      <c r="M953" s="24"/>
      <c r="N953" s="24"/>
      <c r="O953" s="24"/>
      <c r="P953" s="24"/>
      <c r="Q953" s="24"/>
      <c r="R953" s="24"/>
      <c r="S953" s="24"/>
      <c r="T953" s="24"/>
      <c r="U953" s="24"/>
      <c r="V953" s="24"/>
      <c r="W953" s="24"/>
      <c r="X953" s="24"/>
      <c r="Y953" s="24"/>
      <c r="Z953" s="24"/>
      <c r="AA953" s="24"/>
      <c r="AB953" s="24"/>
      <c r="AC953" s="24"/>
    </row>
    <row r="954" spans="1:29" ht="12.9">
      <c r="A954" s="24"/>
      <c r="B954" s="24"/>
      <c r="C954" s="143"/>
      <c r="D954" s="24"/>
      <c r="E954" s="24"/>
      <c r="F954" s="24"/>
      <c r="G954" s="24"/>
      <c r="H954" s="117"/>
      <c r="I954" s="117"/>
      <c r="J954" s="24"/>
      <c r="K954" s="24"/>
      <c r="L954" s="24"/>
      <c r="M954" s="24"/>
      <c r="N954" s="24"/>
      <c r="O954" s="24"/>
      <c r="P954" s="24"/>
      <c r="Q954" s="24"/>
      <c r="R954" s="24"/>
      <c r="S954" s="24"/>
      <c r="T954" s="24"/>
      <c r="U954" s="24"/>
      <c r="V954" s="24"/>
      <c r="W954" s="24"/>
      <c r="X954" s="24"/>
      <c r="Y954" s="24"/>
      <c r="Z954" s="24"/>
      <c r="AA954" s="24"/>
      <c r="AB954" s="24"/>
      <c r="AC954" s="24"/>
    </row>
    <row r="955" spans="1:29" ht="12.9">
      <c r="A955" s="24"/>
      <c r="B955" s="24"/>
      <c r="C955" s="143"/>
      <c r="D955" s="24"/>
      <c r="E955" s="24"/>
      <c r="F955" s="24"/>
      <c r="G955" s="24"/>
      <c r="H955" s="117"/>
      <c r="I955" s="117"/>
      <c r="J955" s="24"/>
      <c r="K955" s="24"/>
      <c r="L955" s="24"/>
      <c r="M955" s="24"/>
      <c r="N955" s="24"/>
      <c r="O955" s="24"/>
      <c r="P955" s="24"/>
      <c r="Q955" s="24"/>
      <c r="R955" s="24"/>
      <c r="S955" s="24"/>
      <c r="T955" s="24"/>
      <c r="U955" s="24"/>
      <c r="V955" s="24"/>
      <c r="W955" s="24"/>
      <c r="X955" s="24"/>
      <c r="Y955" s="24"/>
      <c r="Z955" s="24"/>
      <c r="AA955" s="24"/>
      <c r="AB955" s="24"/>
      <c r="AC955" s="24"/>
    </row>
    <row r="956" spans="1:29" ht="12.9">
      <c r="A956" s="24"/>
      <c r="B956" s="24"/>
      <c r="C956" s="143"/>
      <c r="D956" s="24"/>
      <c r="E956" s="24"/>
      <c r="F956" s="24"/>
      <c r="G956" s="24"/>
      <c r="H956" s="117"/>
      <c r="I956" s="117"/>
      <c r="J956" s="24"/>
      <c r="K956" s="24"/>
      <c r="L956" s="24"/>
      <c r="M956" s="24"/>
      <c r="N956" s="24"/>
      <c r="O956" s="24"/>
      <c r="P956" s="24"/>
      <c r="Q956" s="24"/>
      <c r="R956" s="24"/>
      <c r="S956" s="24"/>
      <c r="T956" s="24"/>
      <c r="U956" s="24"/>
      <c r="V956" s="24"/>
      <c r="W956" s="24"/>
      <c r="X956" s="24"/>
      <c r="Y956" s="24"/>
      <c r="Z956" s="24"/>
      <c r="AA956" s="24"/>
      <c r="AB956" s="24"/>
      <c r="AC956" s="24"/>
    </row>
    <row r="957" spans="1:29" ht="12.9">
      <c r="A957" s="24"/>
      <c r="B957" s="24"/>
      <c r="C957" s="143"/>
      <c r="D957" s="24"/>
      <c r="E957" s="24"/>
      <c r="F957" s="24"/>
      <c r="G957" s="24"/>
      <c r="H957" s="117"/>
      <c r="I957" s="117"/>
      <c r="J957" s="24"/>
      <c r="K957" s="24"/>
      <c r="L957" s="24"/>
      <c r="M957" s="24"/>
      <c r="N957" s="24"/>
      <c r="O957" s="24"/>
      <c r="P957" s="24"/>
      <c r="Q957" s="24"/>
      <c r="R957" s="24"/>
      <c r="S957" s="24"/>
      <c r="T957" s="24"/>
      <c r="U957" s="24"/>
      <c r="V957" s="24"/>
      <c r="W957" s="24"/>
      <c r="X957" s="24"/>
      <c r="Y957" s="24"/>
      <c r="Z957" s="24"/>
      <c r="AA957" s="24"/>
      <c r="AB957" s="24"/>
      <c r="AC957" s="24"/>
    </row>
    <row r="958" spans="1:29" ht="12.9">
      <c r="A958" s="24"/>
      <c r="B958" s="24"/>
      <c r="C958" s="143"/>
      <c r="D958" s="24"/>
      <c r="E958" s="24"/>
      <c r="F958" s="24"/>
      <c r="G958" s="24"/>
      <c r="H958" s="117"/>
      <c r="I958" s="117"/>
      <c r="J958" s="24"/>
      <c r="K958" s="24"/>
      <c r="L958" s="24"/>
      <c r="M958" s="24"/>
      <c r="N958" s="24"/>
      <c r="O958" s="24"/>
      <c r="P958" s="24"/>
      <c r="Q958" s="24"/>
      <c r="R958" s="24"/>
      <c r="S958" s="24"/>
      <c r="T958" s="24"/>
      <c r="U958" s="24"/>
      <c r="V958" s="24"/>
      <c r="W958" s="24"/>
      <c r="X958" s="24"/>
      <c r="Y958" s="24"/>
      <c r="Z958" s="24"/>
      <c r="AA958" s="24"/>
      <c r="AB958" s="24"/>
      <c r="AC958" s="24"/>
    </row>
    <row r="959" spans="1:29" ht="12.9">
      <c r="A959" s="24"/>
      <c r="B959" s="24"/>
      <c r="C959" s="143"/>
      <c r="D959" s="24"/>
      <c r="E959" s="24"/>
      <c r="F959" s="24"/>
      <c r="G959" s="24"/>
      <c r="H959" s="117"/>
      <c r="I959" s="117"/>
      <c r="J959" s="24"/>
      <c r="K959" s="24"/>
      <c r="L959" s="24"/>
      <c r="M959" s="24"/>
      <c r="N959" s="24"/>
      <c r="O959" s="24"/>
      <c r="P959" s="24"/>
      <c r="Q959" s="24"/>
      <c r="R959" s="24"/>
      <c r="S959" s="24"/>
      <c r="T959" s="24"/>
      <c r="U959" s="24"/>
      <c r="V959" s="24"/>
      <c r="W959" s="24"/>
      <c r="X959" s="24"/>
      <c r="Y959" s="24"/>
      <c r="Z959" s="24"/>
      <c r="AA959" s="24"/>
      <c r="AB959" s="24"/>
      <c r="AC959" s="24"/>
    </row>
    <row r="960" spans="1:29" ht="12.9">
      <c r="A960" s="24"/>
      <c r="B960" s="24"/>
      <c r="C960" s="143"/>
      <c r="D960" s="24"/>
      <c r="E960" s="24"/>
      <c r="F960" s="24"/>
      <c r="G960" s="24"/>
      <c r="H960" s="117"/>
      <c r="I960" s="117"/>
      <c r="J960" s="24"/>
      <c r="K960" s="24"/>
      <c r="L960" s="24"/>
      <c r="M960" s="24"/>
      <c r="N960" s="24"/>
      <c r="O960" s="24"/>
      <c r="P960" s="24"/>
      <c r="Q960" s="24"/>
      <c r="R960" s="24"/>
      <c r="S960" s="24"/>
      <c r="T960" s="24"/>
      <c r="U960" s="24"/>
      <c r="V960" s="24"/>
      <c r="W960" s="24"/>
      <c r="X960" s="24"/>
      <c r="Y960" s="24"/>
      <c r="Z960" s="24"/>
      <c r="AA960" s="24"/>
      <c r="AB960" s="24"/>
      <c r="AC960" s="24"/>
    </row>
    <row r="961" spans="1:29" ht="12.9">
      <c r="A961" s="24"/>
      <c r="B961" s="24"/>
      <c r="C961" s="143"/>
      <c r="D961" s="24"/>
      <c r="E961" s="24"/>
      <c r="F961" s="24"/>
      <c r="G961" s="24"/>
      <c r="H961" s="117"/>
      <c r="I961" s="117"/>
      <c r="J961" s="24"/>
      <c r="K961" s="24"/>
      <c r="L961" s="24"/>
      <c r="M961" s="24"/>
      <c r="N961" s="24"/>
      <c r="O961" s="24"/>
      <c r="P961" s="24"/>
      <c r="Q961" s="24"/>
      <c r="R961" s="24"/>
      <c r="S961" s="24"/>
      <c r="T961" s="24"/>
      <c r="U961" s="24"/>
      <c r="V961" s="24"/>
      <c r="W961" s="24"/>
      <c r="X961" s="24"/>
      <c r="Y961" s="24"/>
      <c r="Z961" s="24"/>
      <c r="AA961" s="24"/>
      <c r="AB961" s="24"/>
      <c r="AC961" s="24"/>
    </row>
    <row r="962" spans="1:29" ht="12.9">
      <c r="A962" s="24"/>
      <c r="B962" s="24"/>
      <c r="C962" s="143"/>
      <c r="D962" s="24"/>
      <c r="E962" s="24"/>
      <c r="F962" s="24"/>
      <c r="G962" s="24"/>
      <c r="H962" s="117"/>
      <c r="I962" s="117"/>
      <c r="J962" s="24"/>
      <c r="K962" s="24"/>
      <c r="L962" s="24"/>
      <c r="M962" s="24"/>
      <c r="N962" s="24"/>
      <c r="O962" s="24"/>
      <c r="P962" s="24"/>
      <c r="Q962" s="24"/>
      <c r="R962" s="24"/>
      <c r="S962" s="24"/>
      <c r="T962" s="24"/>
      <c r="U962" s="24"/>
      <c r="V962" s="24"/>
      <c r="W962" s="24"/>
      <c r="X962" s="24"/>
      <c r="Y962" s="24"/>
      <c r="Z962" s="24"/>
      <c r="AA962" s="24"/>
      <c r="AB962" s="24"/>
      <c r="AC962" s="24"/>
    </row>
    <row r="963" spans="1:29" ht="12.9">
      <c r="A963" s="24"/>
      <c r="B963" s="24"/>
      <c r="C963" s="143"/>
      <c r="D963" s="24"/>
      <c r="E963" s="24"/>
      <c r="F963" s="24"/>
      <c r="G963" s="24"/>
      <c r="H963" s="117"/>
      <c r="I963" s="117"/>
      <c r="J963" s="24"/>
      <c r="K963" s="24"/>
      <c r="L963" s="24"/>
      <c r="M963" s="24"/>
      <c r="N963" s="24"/>
      <c r="O963" s="24"/>
      <c r="P963" s="24"/>
      <c r="Q963" s="24"/>
      <c r="R963" s="24"/>
      <c r="S963" s="24"/>
      <c r="T963" s="24"/>
      <c r="U963" s="24"/>
      <c r="V963" s="24"/>
      <c r="W963" s="24"/>
      <c r="X963" s="24"/>
      <c r="Y963" s="24"/>
      <c r="Z963" s="24"/>
      <c r="AA963" s="24"/>
      <c r="AB963" s="24"/>
      <c r="AC963" s="24"/>
    </row>
    <row r="964" spans="1:29" ht="12.9">
      <c r="A964" s="24"/>
      <c r="B964" s="24"/>
      <c r="C964" s="143"/>
      <c r="D964" s="24"/>
      <c r="E964" s="24"/>
      <c r="F964" s="24"/>
      <c r="G964" s="24"/>
      <c r="H964" s="117"/>
      <c r="I964" s="117"/>
      <c r="J964" s="24"/>
      <c r="K964" s="24"/>
      <c r="L964" s="24"/>
      <c r="M964" s="24"/>
      <c r="N964" s="24"/>
      <c r="O964" s="24"/>
      <c r="P964" s="24"/>
      <c r="Q964" s="24"/>
      <c r="R964" s="24"/>
      <c r="S964" s="24"/>
      <c r="T964" s="24"/>
      <c r="U964" s="24"/>
      <c r="V964" s="24"/>
      <c r="W964" s="24"/>
      <c r="X964" s="24"/>
      <c r="Y964" s="24"/>
      <c r="Z964" s="24"/>
      <c r="AA964" s="24"/>
      <c r="AB964" s="24"/>
      <c r="AC964" s="24"/>
    </row>
    <row r="965" spans="1:29" ht="12.9">
      <c r="A965" s="24"/>
      <c r="B965" s="24"/>
      <c r="C965" s="143"/>
      <c r="D965" s="24"/>
      <c r="E965" s="24"/>
      <c r="F965" s="24"/>
      <c r="G965" s="24"/>
      <c r="H965" s="117"/>
      <c r="I965" s="117"/>
      <c r="J965" s="24"/>
      <c r="K965" s="24"/>
      <c r="L965" s="24"/>
      <c r="M965" s="24"/>
      <c r="N965" s="24"/>
      <c r="O965" s="24"/>
      <c r="P965" s="24"/>
      <c r="Q965" s="24"/>
      <c r="R965" s="24"/>
      <c r="S965" s="24"/>
      <c r="T965" s="24"/>
      <c r="U965" s="24"/>
      <c r="V965" s="24"/>
      <c r="W965" s="24"/>
      <c r="X965" s="24"/>
      <c r="Y965" s="24"/>
      <c r="Z965" s="24"/>
      <c r="AA965" s="24"/>
      <c r="AB965" s="24"/>
      <c r="AC965" s="24"/>
    </row>
    <row r="966" spans="1:29" ht="12.9">
      <c r="A966" s="24"/>
      <c r="B966" s="24"/>
      <c r="C966" s="143"/>
      <c r="D966" s="24"/>
      <c r="E966" s="24"/>
      <c r="F966" s="24"/>
      <c r="G966" s="24"/>
      <c r="H966" s="117"/>
      <c r="I966" s="117"/>
      <c r="J966" s="24"/>
      <c r="K966" s="24"/>
      <c r="L966" s="24"/>
      <c r="M966" s="24"/>
      <c r="N966" s="24"/>
      <c r="O966" s="24"/>
      <c r="P966" s="24"/>
      <c r="Q966" s="24"/>
      <c r="R966" s="24"/>
      <c r="S966" s="24"/>
      <c r="T966" s="24"/>
      <c r="U966" s="24"/>
      <c r="V966" s="24"/>
      <c r="W966" s="24"/>
      <c r="X966" s="24"/>
      <c r="Y966" s="24"/>
      <c r="Z966" s="24"/>
      <c r="AA966" s="24"/>
      <c r="AB966" s="24"/>
      <c r="AC966" s="24"/>
    </row>
    <row r="967" spans="1:29" ht="12.9">
      <c r="A967" s="24"/>
      <c r="B967" s="24"/>
      <c r="C967" s="143"/>
      <c r="D967" s="24"/>
      <c r="E967" s="24"/>
      <c r="F967" s="24"/>
      <c r="G967" s="24"/>
      <c r="H967" s="117"/>
      <c r="I967" s="117"/>
      <c r="J967" s="24"/>
      <c r="K967" s="24"/>
      <c r="L967" s="24"/>
      <c r="M967" s="24"/>
      <c r="N967" s="24"/>
      <c r="O967" s="24"/>
      <c r="P967" s="24"/>
      <c r="Q967" s="24"/>
      <c r="R967" s="24"/>
      <c r="S967" s="24"/>
      <c r="T967" s="24"/>
      <c r="U967" s="24"/>
      <c r="V967" s="24"/>
      <c r="W967" s="24"/>
      <c r="X967" s="24"/>
      <c r="Y967" s="24"/>
      <c r="Z967" s="24"/>
      <c r="AA967" s="24"/>
      <c r="AB967" s="24"/>
      <c r="AC967" s="24"/>
    </row>
    <row r="968" spans="1:29" ht="12.9">
      <c r="A968" s="24"/>
      <c r="B968" s="24"/>
      <c r="C968" s="143"/>
      <c r="D968" s="24"/>
      <c r="E968" s="24"/>
      <c r="F968" s="24"/>
      <c r="G968" s="24"/>
      <c r="H968" s="117"/>
      <c r="I968" s="117"/>
      <c r="J968" s="24"/>
      <c r="K968" s="24"/>
      <c r="L968" s="24"/>
      <c r="M968" s="24"/>
      <c r="N968" s="24"/>
      <c r="O968" s="24"/>
      <c r="P968" s="24"/>
      <c r="Q968" s="24"/>
      <c r="R968" s="24"/>
      <c r="S968" s="24"/>
      <c r="T968" s="24"/>
      <c r="U968" s="24"/>
      <c r="V968" s="24"/>
      <c r="W968" s="24"/>
      <c r="X968" s="24"/>
      <c r="Y968" s="24"/>
      <c r="Z968" s="24"/>
      <c r="AA968" s="24"/>
      <c r="AB968" s="24"/>
      <c r="AC968" s="24"/>
    </row>
    <row r="969" spans="1:29" ht="12.9">
      <c r="A969" s="24"/>
      <c r="B969" s="24"/>
      <c r="C969" s="143"/>
      <c r="D969" s="24"/>
      <c r="E969" s="24"/>
      <c r="F969" s="24"/>
      <c r="G969" s="24"/>
      <c r="H969" s="117"/>
      <c r="I969" s="117"/>
      <c r="J969" s="24"/>
      <c r="K969" s="24"/>
      <c r="L969" s="24"/>
      <c r="M969" s="24"/>
      <c r="N969" s="24"/>
      <c r="O969" s="24"/>
      <c r="P969" s="24"/>
      <c r="Q969" s="24"/>
      <c r="R969" s="24"/>
      <c r="S969" s="24"/>
      <c r="T969" s="24"/>
      <c r="U969" s="24"/>
      <c r="V969" s="24"/>
      <c r="W969" s="24"/>
      <c r="X969" s="24"/>
      <c r="Y969" s="24"/>
      <c r="Z969" s="24"/>
      <c r="AA969" s="24"/>
      <c r="AB969" s="24"/>
      <c r="AC969" s="24"/>
    </row>
    <row r="970" spans="1:29" ht="12.9">
      <c r="A970" s="24"/>
      <c r="B970" s="24"/>
      <c r="C970" s="143"/>
      <c r="D970" s="24"/>
      <c r="E970" s="24"/>
      <c r="F970" s="24"/>
      <c r="G970" s="24"/>
      <c r="H970" s="117"/>
      <c r="I970" s="117"/>
      <c r="J970" s="24"/>
      <c r="K970" s="24"/>
      <c r="L970" s="24"/>
      <c r="M970" s="24"/>
      <c r="N970" s="24"/>
      <c r="O970" s="24"/>
      <c r="P970" s="24"/>
      <c r="Q970" s="24"/>
      <c r="R970" s="24"/>
      <c r="S970" s="24"/>
      <c r="T970" s="24"/>
      <c r="U970" s="24"/>
      <c r="V970" s="24"/>
      <c r="W970" s="24"/>
      <c r="X970" s="24"/>
      <c r="Y970" s="24"/>
      <c r="Z970" s="24"/>
      <c r="AA970" s="24"/>
      <c r="AB970" s="24"/>
      <c r="AC970" s="24"/>
    </row>
    <row r="971" spans="1:29" ht="12.9">
      <c r="A971" s="24"/>
      <c r="B971" s="24"/>
      <c r="C971" s="143"/>
      <c r="D971" s="24"/>
      <c r="E971" s="24"/>
      <c r="F971" s="24"/>
      <c r="G971" s="24"/>
      <c r="H971" s="117"/>
      <c r="I971" s="117"/>
      <c r="J971" s="24"/>
      <c r="K971" s="24"/>
      <c r="L971" s="24"/>
      <c r="M971" s="24"/>
      <c r="N971" s="24"/>
      <c r="O971" s="24"/>
      <c r="P971" s="24"/>
      <c r="Q971" s="24"/>
      <c r="R971" s="24"/>
      <c r="S971" s="24"/>
      <c r="T971" s="24"/>
      <c r="U971" s="24"/>
      <c r="V971" s="24"/>
      <c r="W971" s="24"/>
      <c r="X971" s="24"/>
      <c r="Y971" s="24"/>
      <c r="Z971" s="24"/>
      <c r="AA971" s="24"/>
      <c r="AB971" s="24"/>
      <c r="AC971" s="24"/>
    </row>
    <row r="972" spans="1:29" ht="12.9">
      <c r="A972" s="24"/>
      <c r="B972" s="24"/>
      <c r="C972" s="143"/>
      <c r="D972" s="24"/>
      <c r="E972" s="24"/>
      <c r="F972" s="24"/>
      <c r="G972" s="24"/>
      <c r="H972" s="117"/>
      <c r="I972" s="117"/>
      <c r="J972" s="24"/>
      <c r="K972" s="24"/>
      <c r="L972" s="24"/>
      <c r="M972" s="24"/>
      <c r="N972" s="24"/>
      <c r="O972" s="24"/>
      <c r="P972" s="24"/>
      <c r="Q972" s="24"/>
      <c r="R972" s="24"/>
      <c r="S972" s="24"/>
      <c r="T972" s="24"/>
      <c r="U972" s="24"/>
      <c r="V972" s="24"/>
      <c r="W972" s="24"/>
      <c r="X972" s="24"/>
      <c r="Y972" s="24"/>
      <c r="Z972" s="24"/>
      <c r="AA972" s="24"/>
      <c r="AB972" s="24"/>
      <c r="AC972" s="24"/>
    </row>
    <row r="973" spans="1:29" ht="12.9">
      <c r="A973" s="24"/>
      <c r="B973" s="24"/>
      <c r="C973" s="143"/>
      <c r="D973" s="24"/>
      <c r="E973" s="24"/>
      <c r="F973" s="24"/>
      <c r="G973" s="24"/>
      <c r="H973" s="117"/>
      <c r="I973" s="117"/>
      <c r="J973" s="24"/>
      <c r="K973" s="24"/>
      <c r="L973" s="24"/>
      <c r="M973" s="24"/>
      <c r="N973" s="24"/>
      <c r="O973" s="24"/>
      <c r="P973" s="24"/>
      <c r="Q973" s="24"/>
      <c r="R973" s="24"/>
      <c r="S973" s="24"/>
      <c r="T973" s="24"/>
      <c r="U973" s="24"/>
      <c r="V973" s="24"/>
      <c r="W973" s="24"/>
      <c r="X973" s="24"/>
      <c r="Y973" s="24"/>
      <c r="Z973" s="24"/>
      <c r="AA973" s="24"/>
      <c r="AB973" s="24"/>
      <c r="AC973" s="24"/>
    </row>
    <row r="974" spans="1:29" ht="12.9">
      <c r="A974" s="24"/>
      <c r="B974" s="24"/>
      <c r="C974" s="143"/>
      <c r="D974" s="24"/>
      <c r="E974" s="24"/>
      <c r="F974" s="24"/>
      <c r="G974" s="24"/>
      <c r="H974" s="117"/>
      <c r="I974" s="117"/>
      <c r="J974" s="24"/>
      <c r="K974" s="24"/>
      <c r="L974" s="24"/>
      <c r="M974" s="24"/>
      <c r="N974" s="24"/>
      <c r="O974" s="24"/>
      <c r="P974" s="24"/>
      <c r="Q974" s="24"/>
      <c r="R974" s="24"/>
      <c r="S974" s="24"/>
      <c r="T974" s="24"/>
      <c r="U974" s="24"/>
      <c r="V974" s="24"/>
      <c r="W974" s="24"/>
      <c r="X974" s="24"/>
      <c r="Y974" s="24"/>
      <c r="Z974" s="24"/>
      <c r="AA974" s="24"/>
      <c r="AB974" s="24"/>
      <c r="AC974" s="24"/>
    </row>
    <row r="975" spans="1:29" ht="12.9">
      <c r="A975" s="24"/>
      <c r="B975" s="24"/>
      <c r="C975" s="143"/>
      <c r="D975" s="24"/>
      <c r="E975" s="24"/>
      <c r="F975" s="24"/>
      <c r="G975" s="24"/>
      <c r="H975" s="117"/>
      <c r="I975" s="117"/>
      <c r="J975" s="24"/>
      <c r="K975" s="24"/>
      <c r="L975" s="24"/>
      <c r="M975" s="24"/>
      <c r="N975" s="24"/>
      <c r="O975" s="24"/>
      <c r="P975" s="24"/>
      <c r="Q975" s="24"/>
      <c r="R975" s="24"/>
      <c r="S975" s="24"/>
      <c r="T975" s="24"/>
      <c r="U975" s="24"/>
      <c r="V975" s="24"/>
      <c r="W975" s="24"/>
      <c r="X975" s="24"/>
      <c r="Y975" s="24"/>
      <c r="Z975" s="24"/>
      <c r="AA975" s="24"/>
      <c r="AB975" s="24"/>
      <c r="AC975" s="24"/>
    </row>
    <row r="976" spans="1:29" ht="12.9">
      <c r="A976" s="24"/>
      <c r="B976" s="24"/>
      <c r="C976" s="143"/>
      <c r="D976" s="24"/>
      <c r="E976" s="24"/>
      <c r="F976" s="24"/>
      <c r="G976" s="24"/>
      <c r="H976" s="117"/>
      <c r="I976" s="117"/>
      <c r="J976" s="24"/>
      <c r="K976" s="24"/>
      <c r="L976" s="24"/>
      <c r="M976" s="24"/>
      <c r="N976" s="24"/>
      <c r="O976" s="24"/>
      <c r="P976" s="24"/>
      <c r="Q976" s="24"/>
      <c r="R976" s="24"/>
      <c r="S976" s="24"/>
      <c r="T976" s="24"/>
      <c r="U976" s="24"/>
      <c r="V976" s="24"/>
      <c r="W976" s="24"/>
      <c r="X976" s="24"/>
      <c r="Y976" s="24"/>
      <c r="Z976" s="24"/>
      <c r="AA976" s="24"/>
      <c r="AB976" s="24"/>
      <c r="AC976" s="24"/>
    </row>
    <row r="977" spans="1:29" ht="12.9">
      <c r="A977" s="24"/>
      <c r="B977" s="24"/>
      <c r="C977" s="143"/>
      <c r="D977" s="24"/>
      <c r="E977" s="24"/>
      <c r="F977" s="24"/>
      <c r="G977" s="24"/>
      <c r="H977" s="117"/>
      <c r="I977" s="117"/>
      <c r="J977" s="24"/>
      <c r="K977" s="24"/>
      <c r="L977" s="24"/>
      <c r="M977" s="24"/>
      <c r="N977" s="24"/>
      <c r="O977" s="24"/>
      <c r="P977" s="24"/>
      <c r="Q977" s="24"/>
      <c r="R977" s="24"/>
      <c r="S977" s="24"/>
      <c r="T977" s="24"/>
      <c r="U977" s="24"/>
      <c r="V977" s="24"/>
      <c r="W977" s="24"/>
      <c r="X977" s="24"/>
      <c r="Y977" s="24"/>
      <c r="Z977" s="24"/>
      <c r="AA977" s="24"/>
      <c r="AB977" s="24"/>
      <c r="AC977" s="24"/>
    </row>
    <row r="978" spans="1:29" ht="12.9">
      <c r="A978" s="24"/>
      <c r="B978" s="24"/>
      <c r="C978" s="143"/>
      <c r="D978" s="24"/>
      <c r="E978" s="24"/>
      <c r="F978" s="24"/>
      <c r="G978" s="24"/>
      <c r="H978" s="117"/>
      <c r="I978" s="117"/>
      <c r="J978" s="24"/>
      <c r="K978" s="24"/>
      <c r="L978" s="24"/>
      <c r="M978" s="24"/>
      <c r="N978" s="24"/>
      <c r="O978" s="24"/>
      <c r="P978" s="24"/>
      <c r="Q978" s="24"/>
      <c r="R978" s="24"/>
      <c r="S978" s="24"/>
      <c r="T978" s="24"/>
      <c r="U978" s="24"/>
      <c r="V978" s="24"/>
      <c r="W978" s="24"/>
      <c r="X978" s="24"/>
      <c r="Y978" s="24"/>
      <c r="Z978" s="24"/>
      <c r="AA978" s="24"/>
      <c r="AB978" s="24"/>
      <c r="AC978" s="24"/>
    </row>
    <row r="979" spans="1:29" ht="12.9">
      <c r="A979" s="24"/>
      <c r="B979" s="24"/>
      <c r="C979" s="143"/>
      <c r="D979" s="24"/>
      <c r="E979" s="24"/>
      <c r="F979" s="24"/>
      <c r="G979" s="24"/>
      <c r="H979" s="117"/>
      <c r="I979" s="117"/>
      <c r="J979" s="24"/>
      <c r="K979" s="24"/>
      <c r="L979" s="24"/>
      <c r="M979" s="24"/>
      <c r="N979" s="24"/>
      <c r="O979" s="24"/>
      <c r="P979" s="24"/>
      <c r="Q979" s="24"/>
      <c r="R979" s="24"/>
      <c r="S979" s="24"/>
      <c r="T979" s="24"/>
      <c r="U979" s="24"/>
      <c r="V979" s="24"/>
      <c r="W979" s="24"/>
      <c r="X979" s="24"/>
      <c r="Y979" s="24"/>
      <c r="Z979" s="24"/>
      <c r="AA979" s="24"/>
      <c r="AB979" s="24"/>
      <c r="AC979" s="24"/>
    </row>
    <row r="980" spans="1:29" ht="12.9">
      <c r="A980" s="24"/>
      <c r="B980" s="24"/>
      <c r="C980" s="143"/>
      <c r="D980" s="24"/>
      <c r="E980" s="24"/>
      <c r="F980" s="24"/>
      <c r="G980" s="24"/>
      <c r="H980" s="117"/>
      <c r="I980" s="117"/>
      <c r="J980" s="24"/>
      <c r="K980" s="24"/>
      <c r="L980" s="24"/>
      <c r="M980" s="24"/>
      <c r="N980" s="24"/>
      <c r="O980" s="24"/>
      <c r="P980" s="24"/>
      <c r="Q980" s="24"/>
      <c r="R980" s="24"/>
      <c r="S980" s="24"/>
      <c r="T980" s="24"/>
      <c r="U980" s="24"/>
      <c r="V980" s="24"/>
      <c r="W980" s="24"/>
      <c r="X980" s="24"/>
      <c r="Y980" s="24"/>
      <c r="Z980" s="24"/>
      <c r="AA980" s="24"/>
      <c r="AB980" s="24"/>
      <c r="AC980" s="24"/>
    </row>
    <row r="981" spans="1:29" ht="12.9">
      <c r="A981" s="24"/>
      <c r="B981" s="24"/>
      <c r="C981" s="143"/>
      <c r="D981" s="24"/>
      <c r="E981" s="24"/>
      <c r="F981" s="24"/>
      <c r="G981" s="24"/>
      <c r="H981" s="117"/>
      <c r="I981" s="117"/>
      <c r="J981" s="24"/>
      <c r="K981" s="24"/>
      <c r="L981" s="24"/>
      <c r="M981" s="24"/>
      <c r="N981" s="24"/>
      <c r="O981" s="24"/>
      <c r="P981" s="24"/>
      <c r="Q981" s="24"/>
      <c r="R981" s="24"/>
      <c r="S981" s="24"/>
      <c r="T981" s="24"/>
      <c r="U981" s="24"/>
      <c r="V981" s="24"/>
      <c r="W981" s="24"/>
      <c r="X981" s="24"/>
      <c r="Y981" s="24"/>
      <c r="Z981" s="24"/>
      <c r="AA981" s="24"/>
      <c r="AB981" s="24"/>
      <c r="AC981" s="24"/>
    </row>
    <row r="982" spans="1:29" ht="12.9">
      <c r="A982" s="24"/>
      <c r="B982" s="24"/>
      <c r="C982" s="143"/>
      <c r="D982" s="24"/>
      <c r="E982" s="24"/>
      <c r="F982" s="24"/>
      <c r="G982" s="24"/>
      <c r="H982" s="117"/>
      <c r="I982" s="117"/>
      <c r="J982" s="24"/>
      <c r="K982" s="24"/>
      <c r="L982" s="24"/>
      <c r="M982" s="24"/>
      <c r="N982" s="24"/>
      <c r="O982" s="24"/>
      <c r="P982" s="24"/>
      <c r="Q982" s="24"/>
      <c r="R982" s="24"/>
      <c r="S982" s="24"/>
      <c r="T982" s="24"/>
      <c r="U982" s="24"/>
      <c r="V982" s="24"/>
      <c r="W982" s="24"/>
      <c r="X982" s="24"/>
      <c r="Y982" s="24"/>
      <c r="Z982" s="24"/>
      <c r="AA982" s="24"/>
      <c r="AB982" s="24"/>
      <c r="AC982" s="24"/>
    </row>
    <row r="983" spans="1:29" ht="12.9">
      <c r="A983" s="24"/>
      <c r="B983" s="24"/>
      <c r="C983" s="143"/>
      <c r="D983" s="24"/>
      <c r="E983" s="24"/>
      <c r="F983" s="24"/>
      <c r="G983" s="24"/>
      <c r="H983" s="117"/>
      <c r="I983" s="117"/>
      <c r="J983" s="24"/>
      <c r="K983" s="24"/>
      <c r="L983" s="24"/>
      <c r="M983" s="24"/>
      <c r="N983" s="24"/>
      <c r="O983" s="24"/>
      <c r="P983" s="24"/>
      <c r="Q983" s="24"/>
      <c r="R983" s="24"/>
      <c r="S983" s="24"/>
      <c r="T983" s="24"/>
      <c r="U983" s="24"/>
      <c r="V983" s="24"/>
      <c r="W983" s="24"/>
      <c r="X983" s="24"/>
      <c r="Y983" s="24"/>
      <c r="Z983" s="24"/>
      <c r="AA983" s="24"/>
      <c r="AB983" s="24"/>
      <c r="AC983" s="24"/>
    </row>
    <row r="984" spans="1:29" ht="12.9">
      <c r="A984" s="24"/>
      <c r="B984" s="24"/>
      <c r="C984" s="143"/>
      <c r="D984" s="24"/>
      <c r="E984" s="24"/>
      <c r="F984" s="24"/>
      <c r="G984" s="24"/>
      <c r="H984" s="117"/>
      <c r="I984" s="117"/>
      <c r="J984" s="24"/>
      <c r="K984" s="24"/>
      <c r="L984" s="24"/>
      <c r="M984" s="24"/>
      <c r="N984" s="24"/>
      <c r="O984" s="24"/>
      <c r="P984" s="24"/>
      <c r="Q984" s="24"/>
      <c r="R984" s="24"/>
      <c r="S984" s="24"/>
      <c r="T984" s="24"/>
      <c r="U984" s="24"/>
      <c r="V984" s="24"/>
      <c r="W984" s="24"/>
      <c r="X984" s="24"/>
      <c r="Y984" s="24"/>
      <c r="Z984" s="24"/>
      <c r="AA984" s="24"/>
      <c r="AB984" s="24"/>
      <c r="AC984" s="24"/>
    </row>
    <row r="985" spans="1:29" ht="12.9">
      <c r="A985" s="24"/>
      <c r="B985" s="24"/>
      <c r="C985" s="143"/>
      <c r="D985" s="24"/>
      <c r="E985" s="24"/>
      <c r="F985" s="24"/>
      <c r="G985" s="24"/>
      <c r="H985" s="117"/>
      <c r="I985" s="117"/>
      <c r="J985" s="24"/>
      <c r="K985" s="24"/>
      <c r="L985" s="24"/>
      <c r="M985" s="24"/>
      <c r="N985" s="24"/>
      <c r="O985" s="24"/>
      <c r="P985" s="24"/>
      <c r="Q985" s="24"/>
      <c r="R985" s="24"/>
      <c r="S985" s="24"/>
      <c r="T985" s="24"/>
      <c r="U985" s="24"/>
      <c r="V985" s="24"/>
      <c r="W985" s="24"/>
      <c r="X985" s="24"/>
      <c r="Y985" s="24"/>
      <c r="Z985" s="24"/>
      <c r="AA985" s="24"/>
      <c r="AB985" s="24"/>
      <c r="AC985" s="24"/>
    </row>
    <row r="986" spans="1:29" ht="12.9">
      <c r="A986" s="24"/>
      <c r="B986" s="24"/>
      <c r="C986" s="143"/>
      <c r="D986" s="24"/>
      <c r="E986" s="24"/>
      <c r="F986" s="24"/>
      <c r="G986" s="24"/>
      <c r="H986" s="117"/>
      <c r="I986" s="117"/>
      <c r="J986" s="24"/>
      <c r="K986" s="24"/>
      <c r="L986" s="24"/>
      <c r="M986" s="24"/>
      <c r="N986" s="24"/>
      <c r="O986" s="24"/>
      <c r="P986" s="24"/>
      <c r="Q986" s="24"/>
      <c r="R986" s="24"/>
      <c r="S986" s="24"/>
      <c r="T986" s="24"/>
      <c r="U986" s="24"/>
      <c r="V986" s="24"/>
      <c r="W986" s="24"/>
      <c r="X986" s="24"/>
      <c r="Y986" s="24"/>
      <c r="Z986" s="24"/>
      <c r="AA986" s="24"/>
      <c r="AB986" s="24"/>
      <c r="AC986" s="24"/>
    </row>
    <row r="987" spans="1:29" ht="12.9">
      <c r="A987" s="24"/>
      <c r="B987" s="24"/>
      <c r="C987" s="143"/>
      <c r="D987" s="24"/>
      <c r="E987" s="24"/>
      <c r="F987" s="24"/>
      <c r="G987" s="24"/>
      <c r="H987" s="117"/>
      <c r="I987" s="117"/>
      <c r="J987" s="24"/>
      <c r="K987" s="24"/>
      <c r="L987" s="24"/>
      <c r="M987" s="24"/>
      <c r="N987" s="24"/>
      <c r="O987" s="24"/>
      <c r="P987" s="24"/>
      <c r="Q987" s="24"/>
      <c r="R987" s="24"/>
      <c r="S987" s="24"/>
      <c r="T987" s="24"/>
      <c r="U987" s="24"/>
      <c r="V987" s="24"/>
      <c r="W987" s="24"/>
      <c r="X987" s="24"/>
      <c r="Y987" s="24"/>
      <c r="Z987" s="24"/>
      <c r="AA987" s="24"/>
      <c r="AB987" s="24"/>
      <c r="AC987" s="24"/>
    </row>
    <row r="988" spans="1:29" ht="12.9">
      <c r="A988" s="24"/>
      <c r="B988" s="24"/>
      <c r="C988" s="143"/>
      <c r="D988" s="24"/>
      <c r="E988" s="24"/>
      <c r="F988" s="24"/>
      <c r="G988" s="24"/>
      <c r="H988" s="117"/>
      <c r="I988" s="117"/>
      <c r="J988" s="24"/>
      <c r="K988" s="24"/>
      <c r="L988" s="24"/>
      <c r="M988" s="24"/>
      <c r="N988" s="24"/>
      <c r="O988" s="24"/>
      <c r="P988" s="24"/>
      <c r="Q988" s="24"/>
      <c r="R988" s="24"/>
      <c r="S988" s="24"/>
      <c r="T988" s="24"/>
      <c r="U988" s="24"/>
      <c r="V988" s="24"/>
      <c r="W988" s="24"/>
      <c r="X988" s="24"/>
      <c r="Y988" s="24"/>
      <c r="Z988" s="24"/>
      <c r="AA988" s="24"/>
      <c r="AB988" s="24"/>
      <c r="AC988" s="24"/>
    </row>
    <row r="989" spans="1:29" ht="12.9">
      <c r="A989" s="24"/>
      <c r="B989" s="24"/>
      <c r="C989" s="143"/>
      <c r="D989" s="24"/>
      <c r="E989" s="24"/>
      <c r="F989" s="24"/>
      <c r="G989" s="24"/>
      <c r="H989" s="117"/>
      <c r="I989" s="117"/>
      <c r="J989" s="24"/>
      <c r="K989" s="24"/>
      <c r="L989" s="24"/>
      <c r="M989" s="24"/>
      <c r="N989" s="24"/>
      <c r="O989" s="24"/>
      <c r="P989" s="24"/>
      <c r="Q989" s="24"/>
      <c r="R989" s="24"/>
      <c r="S989" s="24"/>
      <c r="T989" s="24"/>
      <c r="U989" s="24"/>
      <c r="V989" s="24"/>
      <c r="W989" s="24"/>
      <c r="X989" s="24"/>
      <c r="Y989" s="24"/>
      <c r="Z989" s="24"/>
      <c r="AA989" s="24"/>
      <c r="AB989" s="24"/>
      <c r="AC989" s="24"/>
    </row>
    <row r="990" spans="1:29" ht="12.9">
      <c r="A990" s="24"/>
      <c r="B990" s="24"/>
      <c r="C990" s="143"/>
      <c r="D990" s="24"/>
      <c r="E990" s="24"/>
      <c r="F990" s="24"/>
      <c r="G990" s="24"/>
      <c r="H990" s="117"/>
      <c r="I990" s="117"/>
      <c r="J990" s="24"/>
      <c r="K990" s="24"/>
      <c r="L990" s="24"/>
      <c r="M990" s="24"/>
      <c r="N990" s="24"/>
      <c r="O990" s="24"/>
      <c r="P990" s="24"/>
      <c r="Q990" s="24"/>
      <c r="R990" s="24"/>
      <c r="S990" s="24"/>
      <c r="T990" s="24"/>
      <c r="U990" s="24"/>
      <c r="V990" s="24"/>
      <c r="W990" s="24"/>
      <c r="X990" s="24"/>
      <c r="Y990" s="24"/>
      <c r="Z990" s="24"/>
      <c r="AA990" s="24"/>
      <c r="AB990" s="24"/>
      <c r="AC990" s="24"/>
    </row>
    <row r="991" spans="1:29" ht="12.9">
      <c r="A991" s="24"/>
      <c r="B991" s="24"/>
      <c r="C991" s="143"/>
      <c r="D991" s="24"/>
      <c r="E991" s="24"/>
      <c r="F991" s="24"/>
      <c r="G991" s="24"/>
      <c r="H991" s="117"/>
      <c r="I991" s="117"/>
      <c r="J991" s="24"/>
      <c r="K991" s="24"/>
      <c r="L991" s="24"/>
      <c r="M991" s="24"/>
      <c r="N991" s="24"/>
      <c r="O991" s="24"/>
      <c r="P991" s="24"/>
      <c r="Q991" s="24"/>
      <c r="R991" s="24"/>
      <c r="S991" s="24"/>
      <c r="T991" s="24"/>
      <c r="U991" s="24"/>
      <c r="V991" s="24"/>
      <c r="W991" s="24"/>
      <c r="X991" s="24"/>
      <c r="Y991" s="24"/>
      <c r="Z991" s="24"/>
      <c r="AA991" s="24"/>
      <c r="AB991" s="24"/>
      <c r="AC991" s="24"/>
    </row>
    <row r="992" spans="1:29" ht="12.9">
      <c r="A992" s="24"/>
      <c r="B992" s="24"/>
      <c r="C992" s="143"/>
      <c r="D992" s="24"/>
      <c r="E992" s="24"/>
      <c r="F992" s="24"/>
      <c r="G992" s="24"/>
      <c r="H992" s="117"/>
      <c r="I992" s="117"/>
      <c r="J992" s="24"/>
      <c r="K992" s="24"/>
      <c r="L992" s="24"/>
      <c r="M992" s="24"/>
      <c r="N992" s="24"/>
      <c r="O992" s="24"/>
      <c r="P992" s="24"/>
      <c r="Q992" s="24"/>
      <c r="R992" s="24"/>
      <c r="S992" s="24"/>
      <c r="T992" s="24"/>
      <c r="U992" s="24"/>
      <c r="V992" s="24"/>
      <c r="W992" s="24"/>
      <c r="X992" s="24"/>
      <c r="Y992" s="24"/>
      <c r="Z992" s="24"/>
      <c r="AA992" s="24"/>
      <c r="AB992" s="24"/>
      <c r="AC992" s="24"/>
    </row>
    <row r="993" spans="1:29" ht="12.9">
      <c r="A993" s="24"/>
      <c r="B993" s="24"/>
      <c r="C993" s="143"/>
      <c r="D993" s="24"/>
      <c r="E993" s="24"/>
      <c r="F993" s="24"/>
      <c r="G993" s="24"/>
      <c r="H993" s="117"/>
      <c r="I993" s="117"/>
      <c r="J993" s="24"/>
      <c r="K993" s="24"/>
      <c r="L993" s="24"/>
      <c r="M993" s="24"/>
      <c r="N993" s="24"/>
      <c r="O993" s="24"/>
      <c r="P993" s="24"/>
      <c r="Q993" s="24"/>
      <c r="R993" s="24"/>
      <c r="S993" s="24"/>
      <c r="T993" s="24"/>
      <c r="U993" s="24"/>
      <c r="V993" s="24"/>
      <c r="W993" s="24"/>
      <c r="X993" s="24"/>
      <c r="Y993" s="24"/>
      <c r="Z993" s="24"/>
      <c r="AA993" s="24"/>
      <c r="AB993" s="24"/>
      <c r="AC993" s="24"/>
    </row>
    <row r="994" spans="1:29" ht="12.9">
      <c r="A994" s="24"/>
      <c r="B994" s="24"/>
      <c r="C994" s="143"/>
      <c r="D994" s="24"/>
      <c r="E994" s="24"/>
      <c r="F994" s="24"/>
      <c r="G994" s="24"/>
      <c r="H994" s="117"/>
      <c r="I994" s="117"/>
      <c r="J994" s="24"/>
      <c r="K994" s="24"/>
      <c r="L994" s="24"/>
      <c r="M994" s="24"/>
      <c r="N994" s="24"/>
      <c r="O994" s="24"/>
      <c r="P994" s="24"/>
      <c r="Q994" s="24"/>
      <c r="R994" s="24"/>
      <c r="S994" s="24"/>
      <c r="T994" s="24"/>
      <c r="U994" s="24"/>
      <c r="V994" s="24"/>
      <c r="W994" s="24"/>
      <c r="X994" s="24"/>
      <c r="Y994" s="24"/>
      <c r="Z994" s="24"/>
      <c r="AA994" s="24"/>
      <c r="AB994" s="24"/>
      <c r="AC994" s="24"/>
    </row>
    <row r="995" spans="1:29" ht="12.9">
      <c r="A995" s="24"/>
      <c r="B995" s="24"/>
      <c r="C995" s="143"/>
      <c r="D995" s="24"/>
      <c r="E995" s="24"/>
      <c r="F995" s="24"/>
      <c r="G995" s="24"/>
      <c r="H995" s="117"/>
      <c r="I995" s="117"/>
      <c r="J995" s="24"/>
      <c r="K995" s="24"/>
      <c r="L995" s="24"/>
      <c r="M995" s="24"/>
      <c r="N995" s="24"/>
      <c r="O995" s="24"/>
      <c r="P995" s="24"/>
      <c r="Q995" s="24"/>
      <c r="R995" s="24"/>
      <c r="S995" s="24"/>
      <c r="T995" s="24"/>
      <c r="U995" s="24"/>
      <c r="V995" s="24"/>
      <c r="W995" s="24"/>
      <c r="X995" s="24"/>
      <c r="Y995" s="24"/>
      <c r="Z995" s="24"/>
      <c r="AA995" s="24"/>
      <c r="AB995" s="24"/>
      <c r="AC995" s="24"/>
    </row>
    <row r="996" spans="1:29" ht="12.9">
      <c r="A996" s="24"/>
      <c r="B996" s="24"/>
      <c r="C996" s="143"/>
      <c r="D996" s="24"/>
      <c r="E996" s="24"/>
      <c r="F996" s="24"/>
      <c r="G996" s="24"/>
      <c r="H996" s="117"/>
      <c r="I996" s="117"/>
      <c r="J996" s="24"/>
      <c r="K996" s="24"/>
      <c r="L996" s="24"/>
      <c r="M996" s="24"/>
      <c r="N996" s="24"/>
      <c r="O996" s="24"/>
      <c r="P996" s="24"/>
      <c r="Q996" s="24"/>
      <c r="R996" s="24"/>
      <c r="S996" s="24"/>
      <c r="T996" s="24"/>
      <c r="U996" s="24"/>
      <c r="V996" s="24"/>
      <c r="W996" s="24"/>
      <c r="X996" s="24"/>
      <c r="Y996" s="24"/>
      <c r="Z996" s="24"/>
      <c r="AA996" s="24"/>
      <c r="AB996" s="24"/>
      <c r="AC996" s="24"/>
    </row>
    <row r="997" spans="1:29" ht="12.9">
      <c r="A997" s="24"/>
      <c r="B997" s="24"/>
      <c r="C997" s="143"/>
      <c r="D997" s="24"/>
      <c r="E997" s="24"/>
      <c r="F997" s="24"/>
      <c r="G997" s="24"/>
      <c r="H997" s="117"/>
      <c r="I997" s="117"/>
      <c r="J997" s="24"/>
      <c r="K997" s="24"/>
      <c r="L997" s="24"/>
      <c r="M997" s="24"/>
      <c r="N997" s="24"/>
      <c r="O997" s="24"/>
      <c r="P997" s="24"/>
      <c r="Q997" s="24"/>
      <c r="R997" s="24"/>
      <c r="S997" s="24"/>
      <c r="T997" s="24"/>
      <c r="U997" s="24"/>
      <c r="V997" s="24"/>
      <c r="W997" s="24"/>
      <c r="X997" s="24"/>
      <c r="Y997" s="24"/>
      <c r="Z997" s="24"/>
      <c r="AA997" s="24"/>
      <c r="AB997" s="24"/>
      <c r="AC997" s="24"/>
    </row>
    <row r="998" spans="1:29" ht="12.9">
      <c r="A998" s="24"/>
      <c r="B998" s="24"/>
      <c r="C998" s="143"/>
      <c r="D998" s="24"/>
      <c r="E998" s="24"/>
      <c r="F998" s="24"/>
      <c r="G998" s="24"/>
      <c r="H998" s="117"/>
      <c r="I998" s="117"/>
      <c r="J998" s="24"/>
      <c r="K998" s="24"/>
      <c r="L998" s="24"/>
      <c r="M998" s="24"/>
      <c r="N998" s="24"/>
      <c r="O998" s="24"/>
      <c r="P998" s="24"/>
      <c r="Q998" s="24"/>
      <c r="R998" s="24"/>
      <c r="S998" s="24"/>
      <c r="T998" s="24"/>
      <c r="U998" s="24"/>
      <c r="V998" s="24"/>
      <c r="W998" s="24"/>
      <c r="X998" s="24"/>
      <c r="Y998" s="24"/>
      <c r="Z998" s="24"/>
      <c r="AA998" s="24"/>
      <c r="AB998" s="24"/>
      <c r="AC998" s="24"/>
    </row>
    <row r="999" spans="1:29" ht="12.9">
      <c r="A999" s="24"/>
      <c r="B999" s="24"/>
      <c r="C999" s="143"/>
      <c r="D999" s="24"/>
      <c r="E999" s="24"/>
      <c r="F999" s="24"/>
      <c r="G999" s="24"/>
      <c r="H999" s="117"/>
      <c r="I999" s="117"/>
      <c r="J999" s="24"/>
      <c r="K999" s="24"/>
      <c r="L999" s="24"/>
      <c r="M999" s="24"/>
      <c r="N999" s="24"/>
      <c r="O999" s="24"/>
      <c r="P999" s="24"/>
      <c r="Q999" s="24"/>
      <c r="R999" s="24"/>
      <c r="S999" s="24"/>
      <c r="T999" s="24"/>
      <c r="U999" s="24"/>
      <c r="V999" s="24"/>
      <c r="W999" s="24"/>
      <c r="X999" s="24"/>
      <c r="Y999" s="24"/>
      <c r="Z999" s="24"/>
      <c r="AA999" s="24"/>
      <c r="AB999" s="24"/>
      <c r="AC999" s="24"/>
    </row>
    <row r="1000" spans="1:29" ht="12.9">
      <c r="A1000" s="24"/>
      <c r="B1000" s="24"/>
      <c r="C1000" s="143"/>
      <c r="D1000" s="24"/>
      <c r="E1000" s="24"/>
      <c r="F1000" s="24"/>
      <c r="G1000" s="24"/>
      <c r="H1000" s="117"/>
      <c r="I1000" s="117"/>
      <c r="J1000" s="24"/>
      <c r="K1000" s="24"/>
      <c r="L1000" s="24"/>
      <c r="M1000" s="24"/>
      <c r="N1000" s="24"/>
      <c r="O1000" s="24"/>
      <c r="P1000" s="24"/>
      <c r="Q1000" s="24"/>
      <c r="R1000" s="24"/>
      <c r="S1000" s="24"/>
      <c r="T1000" s="24"/>
      <c r="U1000" s="24"/>
      <c r="V1000" s="24"/>
      <c r="W1000" s="24"/>
      <c r="X1000" s="24"/>
      <c r="Y1000" s="24"/>
      <c r="Z1000" s="24"/>
      <c r="AA1000" s="24"/>
      <c r="AB1000" s="24"/>
      <c r="AC1000" s="24"/>
    </row>
    <row r="1001" spans="1:29" ht="12.9">
      <c r="A1001" s="24"/>
      <c r="B1001" s="24"/>
      <c r="C1001" s="143"/>
      <c r="D1001" s="24"/>
      <c r="E1001" s="24"/>
      <c r="F1001" s="24"/>
      <c r="G1001" s="24"/>
      <c r="H1001" s="117"/>
      <c r="I1001" s="117"/>
      <c r="J1001" s="24"/>
      <c r="K1001" s="24"/>
      <c r="L1001" s="24"/>
      <c r="M1001" s="24"/>
      <c r="N1001" s="24"/>
      <c r="O1001" s="24"/>
      <c r="P1001" s="24"/>
      <c r="Q1001" s="24"/>
      <c r="R1001" s="24"/>
      <c r="S1001" s="24"/>
      <c r="T1001" s="24"/>
      <c r="U1001" s="24"/>
      <c r="V1001" s="24"/>
      <c r="W1001" s="24"/>
      <c r="X1001" s="24"/>
      <c r="Y1001" s="24"/>
      <c r="Z1001" s="24"/>
      <c r="AA1001" s="24"/>
      <c r="AB1001" s="24"/>
      <c r="AC1001" s="24"/>
    </row>
    <row r="1002" spans="1:29" ht="12.9">
      <c r="A1002" s="24"/>
      <c r="B1002" s="24"/>
      <c r="C1002" s="143"/>
      <c r="D1002" s="24"/>
      <c r="E1002" s="24"/>
      <c r="F1002" s="24"/>
      <c r="G1002" s="24"/>
      <c r="H1002" s="117"/>
      <c r="I1002" s="117"/>
      <c r="J1002" s="24"/>
      <c r="K1002" s="24"/>
      <c r="L1002" s="24"/>
      <c r="M1002" s="24"/>
      <c r="N1002" s="24"/>
      <c r="O1002" s="24"/>
      <c r="P1002" s="24"/>
      <c r="Q1002" s="24"/>
      <c r="R1002" s="24"/>
      <c r="S1002" s="24"/>
      <c r="T1002" s="24"/>
      <c r="U1002" s="24"/>
      <c r="V1002" s="24"/>
      <c r="W1002" s="24"/>
      <c r="X1002" s="24"/>
      <c r="Y1002" s="24"/>
      <c r="Z1002" s="24"/>
      <c r="AA1002" s="24"/>
      <c r="AB1002" s="24"/>
      <c r="AC1002" s="24"/>
    </row>
    <row r="1003" spans="1:29" ht="12.9">
      <c r="A1003" s="24"/>
      <c r="B1003" s="24"/>
      <c r="C1003" s="143"/>
      <c r="D1003" s="24"/>
      <c r="E1003" s="24"/>
      <c r="F1003" s="24"/>
      <c r="G1003" s="24"/>
      <c r="H1003" s="117"/>
      <c r="I1003" s="117"/>
      <c r="J1003" s="24"/>
      <c r="K1003" s="24"/>
      <c r="L1003" s="24"/>
      <c r="M1003" s="24"/>
      <c r="N1003" s="24"/>
      <c r="O1003" s="24"/>
      <c r="P1003" s="24"/>
      <c r="Q1003" s="24"/>
      <c r="R1003" s="24"/>
      <c r="S1003" s="24"/>
      <c r="T1003" s="24"/>
      <c r="U1003" s="24"/>
      <c r="V1003" s="24"/>
      <c r="W1003" s="24"/>
      <c r="X1003" s="24"/>
      <c r="Y1003" s="24"/>
      <c r="Z1003" s="24"/>
      <c r="AA1003" s="24"/>
      <c r="AB1003" s="24"/>
      <c r="AC1003" s="24"/>
    </row>
    <row r="1004" spans="1:29" ht="12.9">
      <c r="A1004" s="24"/>
      <c r="B1004" s="24"/>
      <c r="C1004" s="143"/>
      <c r="D1004" s="24"/>
      <c r="E1004" s="24"/>
      <c r="F1004" s="24"/>
      <c r="G1004" s="24"/>
      <c r="H1004" s="117"/>
      <c r="I1004" s="117"/>
      <c r="J1004" s="24"/>
      <c r="K1004" s="24"/>
      <c r="L1004" s="24"/>
      <c r="M1004" s="24"/>
      <c r="N1004" s="24"/>
      <c r="O1004" s="24"/>
      <c r="P1004" s="24"/>
      <c r="Q1004" s="24"/>
      <c r="R1004" s="24"/>
      <c r="S1004" s="24"/>
      <c r="T1004" s="24"/>
      <c r="U1004" s="24"/>
      <c r="V1004" s="24"/>
      <c r="W1004" s="24"/>
      <c r="X1004" s="24"/>
      <c r="Y1004" s="24"/>
      <c r="Z1004" s="24"/>
      <c r="AA1004" s="24"/>
      <c r="AB1004" s="24"/>
      <c r="AC1004" s="24"/>
    </row>
    <row r="1005" spans="1:29" ht="12.9">
      <c r="A1005" s="24"/>
      <c r="B1005" s="24"/>
      <c r="C1005" s="143"/>
      <c r="D1005" s="24"/>
      <c r="E1005" s="24"/>
      <c r="F1005" s="24"/>
      <c r="G1005" s="24"/>
      <c r="H1005" s="117"/>
      <c r="I1005" s="117"/>
      <c r="J1005" s="24"/>
      <c r="K1005" s="24"/>
      <c r="L1005" s="24"/>
      <c r="M1005" s="24"/>
      <c r="N1005" s="24"/>
      <c r="O1005" s="24"/>
      <c r="P1005" s="24"/>
      <c r="Q1005" s="24"/>
      <c r="R1005" s="24"/>
      <c r="S1005" s="24"/>
      <c r="T1005" s="24"/>
      <c r="U1005" s="24"/>
      <c r="V1005" s="24"/>
      <c r="W1005" s="24"/>
      <c r="X1005" s="24"/>
      <c r="Y1005" s="24"/>
      <c r="Z1005" s="24"/>
      <c r="AA1005" s="24"/>
      <c r="AB1005" s="24"/>
      <c r="AC1005" s="24"/>
    </row>
    <row r="1006" spans="1:29" ht="12.9">
      <c r="A1006" s="24"/>
      <c r="B1006" s="24"/>
      <c r="C1006" s="143"/>
      <c r="D1006" s="24"/>
      <c r="E1006" s="24"/>
      <c r="F1006" s="24"/>
      <c r="G1006" s="24"/>
      <c r="H1006" s="117"/>
      <c r="I1006" s="117"/>
      <c r="J1006" s="24"/>
      <c r="K1006" s="24"/>
      <c r="L1006" s="24"/>
      <c r="M1006" s="24"/>
      <c r="N1006" s="24"/>
      <c r="O1006" s="24"/>
      <c r="P1006" s="24"/>
      <c r="Q1006" s="24"/>
      <c r="R1006" s="24"/>
      <c r="S1006" s="24"/>
      <c r="T1006" s="24"/>
      <c r="U1006" s="24"/>
      <c r="V1006" s="24"/>
      <c r="W1006" s="24"/>
      <c r="X1006" s="24"/>
      <c r="Y1006" s="24"/>
      <c r="Z1006" s="24"/>
      <c r="AA1006" s="24"/>
      <c r="AB1006" s="24"/>
      <c r="AC1006" s="24"/>
    </row>
    <row r="1007" spans="1:29" ht="12.9">
      <c r="A1007" s="24"/>
      <c r="B1007" s="24"/>
      <c r="C1007" s="143"/>
      <c r="D1007" s="24"/>
      <c r="E1007" s="24"/>
      <c r="F1007" s="24"/>
      <c r="G1007" s="24"/>
      <c r="H1007" s="117"/>
      <c r="I1007" s="117"/>
      <c r="J1007" s="24"/>
      <c r="K1007" s="24"/>
      <c r="L1007" s="24"/>
      <c r="M1007" s="24"/>
      <c r="N1007" s="24"/>
      <c r="O1007" s="24"/>
      <c r="P1007" s="24"/>
      <c r="Q1007" s="24"/>
      <c r="R1007" s="24"/>
      <c r="S1007" s="24"/>
      <c r="T1007" s="24"/>
      <c r="U1007" s="24"/>
      <c r="V1007" s="24"/>
      <c r="W1007" s="24"/>
      <c r="X1007" s="24"/>
      <c r="Y1007" s="24"/>
      <c r="Z1007" s="24"/>
      <c r="AA1007" s="24"/>
      <c r="AB1007" s="24"/>
      <c r="AC1007" s="24"/>
    </row>
    <row r="1008" spans="1:29" ht="12.9">
      <c r="A1008" s="24"/>
      <c r="B1008" s="24"/>
      <c r="C1008" s="143"/>
      <c r="D1008" s="24"/>
      <c r="E1008" s="24"/>
      <c r="F1008" s="24"/>
      <c r="G1008" s="24"/>
      <c r="H1008" s="117"/>
      <c r="I1008" s="117"/>
      <c r="J1008" s="24"/>
      <c r="K1008" s="24"/>
      <c r="L1008" s="24"/>
      <c r="M1008" s="24"/>
      <c r="N1008" s="24"/>
      <c r="O1008" s="24"/>
      <c r="P1008" s="24"/>
      <c r="Q1008" s="24"/>
      <c r="R1008" s="24"/>
      <c r="S1008" s="24"/>
      <c r="T1008" s="24"/>
      <c r="U1008" s="24"/>
      <c r="V1008" s="24"/>
      <c r="W1008" s="24"/>
      <c r="X1008" s="24"/>
      <c r="Y1008" s="24"/>
      <c r="Z1008" s="24"/>
      <c r="AA1008" s="24"/>
      <c r="AB1008" s="24"/>
      <c r="AC1008" s="24"/>
    </row>
    <row r="1009" spans="1:29" ht="12.9">
      <c r="A1009" s="24"/>
      <c r="B1009" s="24"/>
      <c r="C1009" s="143"/>
      <c r="D1009" s="24"/>
      <c r="E1009" s="24"/>
      <c r="F1009" s="24"/>
      <c r="G1009" s="24"/>
      <c r="H1009" s="117"/>
      <c r="I1009" s="117"/>
      <c r="J1009" s="24"/>
      <c r="K1009" s="24"/>
      <c r="L1009" s="24"/>
      <c r="M1009" s="24"/>
      <c r="N1009" s="24"/>
      <c r="O1009" s="24"/>
      <c r="P1009" s="24"/>
      <c r="Q1009" s="24"/>
      <c r="R1009" s="24"/>
      <c r="S1009" s="24"/>
      <c r="T1009" s="24"/>
      <c r="U1009" s="24"/>
      <c r="V1009" s="24"/>
      <c r="W1009" s="24"/>
      <c r="X1009" s="24"/>
      <c r="Y1009" s="24"/>
      <c r="Z1009" s="24"/>
      <c r="AA1009" s="24"/>
      <c r="AB1009" s="24"/>
      <c r="AC1009" s="24"/>
    </row>
    <row r="1010" spans="1:29" ht="12.9">
      <c r="A1010" s="24"/>
      <c r="B1010" s="24"/>
      <c r="C1010" s="143"/>
      <c r="D1010" s="24"/>
      <c r="E1010" s="24"/>
      <c r="F1010" s="24"/>
      <c r="G1010" s="24"/>
      <c r="H1010" s="117"/>
      <c r="I1010" s="117"/>
      <c r="J1010" s="24"/>
      <c r="K1010" s="24"/>
      <c r="L1010" s="24"/>
      <c r="M1010" s="24"/>
      <c r="N1010" s="24"/>
      <c r="O1010" s="24"/>
      <c r="P1010" s="24"/>
      <c r="Q1010" s="24"/>
      <c r="R1010" s="24"/>
      <c r="S1010" s="24"/>
      <c r="T1010" s="24"/>
      <c r="U1010" s="24"/>
      <c r="V1010" s="24"/>
      <c r="W1010" s="24"/>
      <c r="X1010" s="24"/>
      <c r="Y1010" s="24"/>
      <c r="Z1010" s="24"/>
      <c r="AA1010" s="24"/>
      <c r="AB1010" s="24"/>
      <c r="AC1010" s="24"/>
    </row>
    <row r="1011" spans="1:29" ht="12.9">
      <c r="A1011" s="24"/>
      <c r="B1011" s="24"/>
      <c r="C1011" s="143"/>
      <c r="D1011" s="24"/>
      <c r="E1011" s="24"/>
      <c r="F1011" s="24"/>
      <c r="G1011" s="24"/>
      <c r="H1011" s="117"/>
      <c r="I1011" s="117"/>
      <c r="J1011" s="24"/>
      <c r="K1011" s="24"/>
      <c r="L1011" s="24"/>
      <c r="M1011" s="24"/>
      <c r="N1011" s="24"/>
      <c r="O1011" s="24"/>
      <c r="P1011" s="24"/>
      <c r="Q1011" s="24"/>
      <c r="R1011" s="24"/>
      <c r="S1011" s="24"/>
      <c r="T1011" s="24"/>
      <c r="U1011" s="24"/>
      <c r="V1011" s="24"/>
      <c r="W1011" s="24"/>
      <c r="X1011" s="24"/>
      <c r="Y1011" s="24"/>
      <c r="Z1011" s="24"/>
      <c r="AA1011" s="24"/>
      <c r="AB1011" s="24"/>
      <c r="AC1011" s="24"/>
    </row>
    <row r="1012" spans="1:29" ht="12.9">
      <c r="A1012" s="24"/>
      <c r="B1012" s="24"/>
      <c r="C1012" s="143"/>
      <c r="D1012" s="24"/>
      <c r="E1012" s="24"/>
      <c r="F1012" s="24"/>
      <c r="G1012" s="24"/>
      <c r="H1012" s="117"/>
      <c r="I1012" s="117"/>
      <c r="J1012" s="24"/>
      <c r="K1012" s="24"/>
      <c r="L1012" s="24"/>
      <c r="M1012" s="24"/>
      <c r="N1012" s="24"/>
      <c r="O1012" s="24"/>
      <c r="P1012" s="24"/>
      <c r="Q1012" s="24"/>
      <c r="R1012" s="24"/>
      <c r="S1012" s="24"/>
      <c r="T1012" s="24"/>
      <c r="U1012" s="24"/>
      <c r="V1012" s="24"/>
      <c r="W1012" s="24"/>
      <c r="X1012" s="24"/>
      <c r="Y1012" s="24"/>
      <c r="Z1012" s="24"/>
      <c r="AA1012" s="24"/>
      <c r="AB1012" s="24"/>
      <c r="AC1012" s="24"/>
    </row>
    <row r="1013" spans="1:29" ht="12.9">
      <c r="A1013" s="24"/>
      <c r="B1013" s="24"/>
      <c r="C1013" s="143"/>
      <c r="D1013" s="24"/>
      <c r="E1013" s="24"/>
      <c r="F1013" s="24"/>
      <c r="G1013" s="24"/>
      <c r="H1013" s="117"/>
      <c r="I1013" s="117"/>
      <c r="J1013" s="24"/>
      <c r="K1013" s="24"/>
      <c r="L1013" s="24"/>
      <c r="M1013" s="24"/>
      <c r="N1013" s="24"/>
      <c r="O1013" s="24"/>
      <c r="P1013" s="24"/>
      <c r="Q1013" s="24"/>
      <c r="R1013" s="24"/>
      <c r="S1013" s="24"/>
      <c r="T1013" s="24"/>
      <c r="U1013" s="24"/>
      <c r="V1013" s="24"/>
      <c r="W1013" s="24"/>
      <c r="X1013" s="24"/>
      <c r="Y1013" s="24"/>
      <c r="Z1013" s="24"/>
      <c r="AA1013" s="24"/>
      <c r="AB1013" s="24"/>
      <c r="AC1013" s="24"/>
    </row>
    <row r="1014" spans="1:29" ht="12.9">
      <c r="A1014" s="24"/>
      <c r="B1014" s="24"/>
      <c r="C1014" s="143"/>
      <c r="D1014" s="24"/>
      <c r="E1014" s="24"/>
      <c r="F1014" s="24"/>
      <c r="G1014" s="24"/>
      <c r="H1014" s="117"/>
      <c r="I1014" s="117"/>
      <c r="J1014" s="24"/>
      <c r="K1014" s="24"/>
      <c r="L1014" s="24"/>
      <c r="M1014" s="24"/>
      <c r="N1014" s="24"/>
      <c r="O1014" s="24"/>
      <c r="P1014" s="24"/>
      <c r="Q1014" s="24"/>
      <c r="R1014" s="24"/>
      <c r="S1014" s="24"/>
      <c r="T1014" s="24"/>
      <c r="U1014" s="24"/>
      <c r="V1014" s="24"/>
      <c r="W1014" s="24"/>
      <c r="X1014" s="24"/>
      <c r="Y1014" s="24"/>
      <c r="Z1014" s="24"/>
      <c r="AA1014" s="24"/>
      <c r="AB1014" s="24"/>
      <c r="AC1014" s="24"/>
    </row>
    <row r="1015" spans="1:29" ht="12.9">
      <c r="A1015" s="24"/>
      <c r="B1015" s="24"/>
      <c r="C1015" s="143"/>
      <c r="D1015" s="24"/>
      <c r="E1015" s="24"/>
      <c r="F1015" s="24"/>
      <c r="G1015" s="24"/>
      <c r="H1015" s="117"/>
      <c r="I1015" s="117"/>
      <c r="J1015" s="24"/>
      <c r="K1015" s="24"/>
      <c r="L1015" s="24"/>
      <c r="M1015" s="24"/>
      <c r="N1015" s="24"/>
      <c r="O1015" s="24"/>
      <c r="P1015" s="24"/>
      <c r="Q1015" s="24"/>
      <c r="R1015" s="24"/>
      <c r="S1015" s="24"/>
      <c r="T1015" s="24"/>
      <c r="U1015" s="24"/>
      <c r="V1015" s="24"/>
      <c r="W1015" s="24"/>
      <c r="X1015" s="24"/>
      <c r="Y1015" s="24"/>
      <c r="Z1015" s="24"/>
      <c r="AA1015" s="24"/>
      <c r="AB1015" s="24"/>
      <c r="AC1015" s="24"/>
    </row>
    <row r="1016" spans="1:29" ht="12.9">
      <c r="A1016" s="24"/>
      <c r="B1016" s="24"/>
      <c r="C1016" s="143"/>
      <c r="D1016" s="24"/>
      <c r="E1016" s="24"/>
      <c r="F1016" s="24"/>
      <c r="G1016" s="24"/>
      <c r="H1016" s="117"/>
      <c r="I1016" s="117"/>
      <c r="J1016" s="24"/>
      <c r="K1016" s="24"/>
      <c r="L1016" s="24"/>
      <c r="M1016" s="24"/>
      <c r="N1016" s="24"/>
      <c r="O1016" s="24"/>
      <c r="P1016" s="24"/>
      <c r="Q1016" s="24"/>
      <c r="R1016" s="24"/>
      <c r="S1016" s="24"/>
      <c r="T1016" s="24"/>
      <c r="U1016" s="24"/>
      <c r="V1016" s="24"/>
      <c r="W1016" s="24"/>
      <c r="X1016" s="24"/>
      <c r="Y1016" s="24"/>
      <c r="Z1016" s="24"/>
      <c r="AA1016" s="24"/>
      <c r="AB1016" s="24"/>
      <c r="AC1016" s="24"/>
    </row>
    <row r="1017" spans="1:29" ht="12.9">
      <c r="A1017" s="24"/>
      <c r="B1017" s="24"/>
      <c r="C1017" s="143"/>
      <c r="D1017" s="24"/>
      <c r="E1017" s="24"/>
      <c r="F1017" s="24"/>
      <c r="G1017" s="24"/>
      <c r="H1017" s="117"/>
      <c r="I1017" s="117"/>
      <c r="J1017" s="24"/>
      <c r="K1017" s="24"/>
      <c r="L1017" s="24"/>
      <c r="M1017" s="24"/>
      <c r="N1017" s="24"/>
      <c r="O1017" s="24"/>
      <c r="P1017" s="24"/>
      <c r="Q1017" s="24"/>
      <c r="R1017" s="24"/>
      <c r="S1017" s="24"/>
      <c r="T1017" s="24"/>
      <c r="U1017" s="24"/>
      <c r="V1017" s="24"/>
      <c r="W1017" s="24"/>
      <c r="X1017" s="24"/>
      <c r="Y1017" s="24"/>
      <c r="Z1017" s="24"/>
      <c r="AA1017" s="24"/>
      <c r="AB1017" s="24"/>
      <c r="AC1017" s="24"/>
    </row>
    <row r="1018" spans="1:29" ht="12.9">
      <c r="A1018" s="24"/>
      <c r="B1018" s="24"/>
      <c r="C1018" s="143"/>
      <c r="D1018" s="24"/>
      <c r="E1018" s="24"/>
      <c r="F1018" s="24"/>
      <c r="G1018" s="24"/>
      <c r="H1018" s="117"/>
      <c r="I1018" s="117"/>
      <c r="J1018" s="24"/>
      <c r="K1018" s="24"/>
      <c r="L1018" s="24"/>
      <c r="M1018" s="24"/>
      <c r="N1018" s="24"/>
      <c r="O1018" s="24"/>
      <c r="P1018" s="24"/>
      <c r="Q1018" s="24"/>
      <c r="R1018" s="24"/>
      <c r="S1018" s="24"/>
      <c r="T1018" s="24"/>
      <c r="U1018" s="24"/>
      <c r="V1018" s="24"/>
      <c r="W1018" s="24"/>
      <c r="X1018" s="24"/>
      <c r="Y1018" s="24"/>
      <c r="Z1018" s="24"/>
      <c r="AA1018" s="24"/>
      <c r="AB1018" s="24"/>
      <c r="AC1018" s="24"/>
    </row>
    <row r="1019" spans="1:29" ht="12.9">
      <c r="A1019" s="24"/>
      <c r="B1019" s="24"/>
      <c r="C1019" s="143"/>
      <c r="D1019" s="24"/>
      <c r="E1019" s="24"/>
      <c r="F1019" s="24"/>
      <c r="G1019" s="24"/>
      <c r="H1019" s="117"/>
      <c r="I1019" s="117"/>
      <c r="J1019" s="24"/>
      <c r="K1019" s="24"/>
      <c r="L1019" s="24"/>
      <c r="M1019" s="24"/>
      <c r="N1019" s="24"/>
      <c r="O1019" s="24"/>
      <c r="P1019" s="24"/>
      <c r="Q1019" s="24"/>
      <c r="R1019" s="24"/>
      <c r="S1019" s="24"/>
      <c r="T1019" s="24"/>
      <c r="U1019" s="24"/>
      <c r="V1019" s="24"/>
      <c r="W1019" s="24"/>
      <c r="X1019" s="24"/>
      <c r="Y1019" s="24"/>
      <c r="Z1019" s="24"/>
      <c r="AA1019" s="24"/>
      <c r="AB1019" s="24"/>
      <c r="AC1019" s="24"/>
    </row>
    <row r="1020" spans="1:29" ht="12.9">
      <c r="A1020" s="24"/>
      <c r="B1020" s="24"/>
      <c r="C1020" s="143"/>
      <c r="D1020" s="24"/>
      <c r="E1020" s="24"/>
      <c r="F1020" s="24"/>
      <c r="G1020" s="24"/>
      <c r="H1020" s="117"/>
      <c r="I1020" s="117"/>
      <c r="J1020" s="24"/>
      <c r="K1020" s="24"/>
      <c r="L1020" s="24"/>
      <c r="M1020" s="24"/>
      <c r="N1020" s="24"/>
      <c r="O1020" s="24"/>
      <c r="P1020" s="24"/>
      <c r="Q1020" s="24"/>
      <c r="R1020" s="24"/>
      <c r="S1020" s="24"/>
      <c r="T1020" s="24"/>
      <c r="U1020" s="24"/>
      <c r="V1020" s="24"/>
      <c r="W1020" s="24"/>
      <c r="X1020" s="24"/>
      <c r="Y1020" s="24"/>
      <c r="Z1020" s="24"/>
      <c r="AA1020" s="24"/>
      <c r="AB1020" s="24"/>
      <c r="AC1020" s="24"/>
    </row>
    <row r="1021" spans="1:29" ht="12.9">
      <c r="A1021" s="24"/>
      <c r="B1021" s="24"/>
      <c r="C1021" s="143"/>
      <c r="D1021" s="24"/>
      <c r="E1021" s="24"/>
      <c r="F1021" s="24"/>
      <c r="G1021" s="24"/>
      <c r="H1021" s="117"/>
      <c r="I1021" s="117"/>
      <c r="J1021" s="24"/>
      <c r="K1021" s="24"/>
      <c r="L1021" s="24"/>
      <c r="M1021" s="24"/>
      <c r="N1021" s="24"/>
      <c r="O1021" s="24"/>
      <c r="P1021" s="24"/>
      <c r="Q1021" s="24"/>
      <c r="R1021" s="24"/>
      <c r="S1021" s="24"/>
      <c r="T1021" s="24"/>
      <c r="U1021" s="24"/>
      <c r="V1021" s="24"/>
      <c r="W1021" s="24"/>
      <c r="X1021" s="24"/>
      <c r="Y1021" s="24"/>
      <c r="Z1021" s="24"/>
      <c r="AA1021" s="24"/>
      <c r="AB1021" s="24"/>
      <c r="AC1021" s="24"/>
    </row>
    <row r="1022" spans="1:29" ht="12.9">
      <c r="A1022" s="24"/>
      <c r="B1022" s="24"/>
      <c r="C1022" s="143"/>
      <c r="D1022" s="24"/>
      <c r="E1022" s="24"/>
      <c r="F1022" s="24"/>
      <c r="G1022" s="24"/>
      <c r="H1022" s="117"/>
      <c r="I1022" s="117"/>
      <c r="J1022" s="24"/>
      <c r="K1022" s="24"/>
      <c r="L1022" s="24"/>
      <c r="M1022" s="24"/>
      <c r="N1022" s="24"/>
      <c r="O1022" s="24"/>
      <c r="P1022" s="24"/>
      <c r="Q1022" s="24"/>
      <c r="R1022" s="24"/>
      <c r="S1022" s="24"/>
      <c r="T1022" s="24"/>
      <c r="U1022" s="24"/>
      <c r="V1022" s="24"/>
      <c r="W1022" s="24"/>
      <c r="X1022" s="24"/>
      <c r="Y1022" s="24"/>
      <c r="Z1022" s="24"/>
      <c r="AA1022" s="24"/>
      <c r="AB1022" s="24"/>
      <c r="AC1022" s="24"/>
    </row>
    <row r="1023" spans="1:29" ht="12.9">
      <c r="A1023" s="24"/>
      <c r="B1023" s="24"/>
      <c r="C1023" s="143"/>
      <c r="D1023" s="24"/>
      <c r="E1023" s="24"/>
      <c r="F1023" s="24"/>
      <c r="G1023" s="24"/>
      <c r="H1023" s="117"/>
      <c r="I1023" s="117"/>
      <c r="J1023" s="24"/>
      <c r="K1023" s="24"/>
      <c r="L1023" s="24"/>
      <c r="M1023" s="24"/>
      <c r="N1023" s="24"/>
      <c r="O1023" s="24"/>
      <c r="P1023" s="24"/>
      <c r="Q1023" s="24"/>
      <c r="R1023" s="24"/>
      <c r="S1023" s="24"/>
      <c r="T1023" s="24"/>
      <c r="U1023" s="24"/>
      <c r="V1023" s="24"/>
      <c r="W1023" s="24"/>
      <c r="X1023" s="24"/>
      <c r="Y1023" s="24"/>
      <c r="Z1023" s="24"/>
      <c r="AA1023" s="24"/>
      <c r="AB1023" s="24"/>
      <c r="AC1023" s="24"/>
    </row>
    <row r="1024" spans="1:29" ht="12.9">
      <c r="A1024" s="24"/>
      <c r="B1024" s="24"/>
      <c r="C1024" s="143"/>
      <c r="D1024" s="24"/>
      <c r="E1024" s="24"/>
      <c r="F1024" s="24"/>
      <c r="G1024" s="24"/>
      <c r="H1024" s="117"/>
      <c r="I1024" s="117"/>
      <c r="J1024" s="24"/>
      <c r="K1024" s="24"/>
      <c r="L1024" s="24"/>
      <c r="M1024" s="24"/>
      <c r="N1024" s="24"/>
      <c r="O1024" s="24"/>
      <c r="P1024" s="24"/>
      <c r="Q1024" s="24"/>
      <c r="R1024" s="24"/>
      <c r="S1024" s="24"/>
      <c r="T1024" s="24"/>
      <c r="U1024" s="24"/>
      <c r="V1024" s="24"/>
      <c r="W1024" s="24"/>
      <c r="X1024" s="24"/>
      <c r="Y1024" s="24"/>
      <c r="Z1024" s="24"/>
      <c r="AA1024" s="24"/>
      <c r="AB1024" s="24"/>
      <c r="AC1024" s="24"/>
    </row>
    <row r="1025" spans="1:29" ht="12.9">
      <c r="A1025" s="24"/>
      <c r="B1025" s="24"/>
      <c r="C1025" s="143"/>
      <c r="D1025" s="24"/>
      <c r="E1025" s="24"/>
      <c r="F1025" s="24"/>
      <c r="G1025" s="24"/>
      <c r="H1025" s="117"/>
      <c r="I1025" s="117"/>
      <c r="J1025" s="24"/>
      <c r="K1025" s="24"/>
      <c r="L1025" s="24"/>
      <c r="M1025" s="24"/>
      <c r="N1025" s="24"/>
      <c r="O1025" s="24"/>
      <c r="P1025" s="24"/>
      <c r="Q1025" s="24"/>
      <c r="R1025" s="24"/>
      <c r="S1025" s="24"/>
      <c r="T1025" s="24"/>
      <c r="U1025" s="24"/>
      <c r="V1025" s="24"/>
      <c r="W1025" s="24"/>
      <c r="X1025" s="24"/>
      <c r="Y1025" s="24"/>
      <c r="Z1025" s="24"/>
      <c r="AA1025" s="24"/>
      <c r="AB1025" s="24"/>
      <c r="AC1025" s="24"/>
    </row>
    <row r="1026" spans="1:29" ht="12.9">
      <c r="A1026" s="24"/>
      <c r="B1026" s="24"/>
      <c r="C1026" s="143"/>
      <c r="D1026" s="24"/>
      <c r="E1026" s="24"/>
      <c r="F1026" s="24"/>
      <c r="G1026" s="24"/>
      <c r="H1026" s="117"/>
      <c r="I1026" s="117"/>
      <c r="J1026" s="24"/>
      <c r="K1026" s="24"/>
      <c r="L1026" s="24"/>
      <c r="M1026" s="24"/>
      <c r="N1026" s="24"/>
      <c r="O1026" s="24"/>
      <c r="P1026" s="24"/>
      <c r="Q1026" s="24"/>
      <c r="R1026" s="24"/>
      <c r="S1026" s="24"/>
      <c r="T1026" s="24"/>
      <c r="U1026" s="24"/>
      <c r="V1026" s="24"/>
      <c r="W1026" s="24"/>
      <c r="X1026" s="24"/>
      <c r="Y1026" s="24"/>
      <c r="Z1026" s="24"/>
      <c r="AA1026" s="24"/>
      <c r="AB1026" s="24"/>
      <c r="AC1026" s="24"/>
    </row>
    <row r="1027" spans="1:29" ht="12.9">
      <c r="A1027" s="24"/>
      <c r="B1027" s="24"/>
      <c r="C1027" s="143"/>
      <c r="D1027" s="24"/>
      <c r="E1027" s="24"/>
      <c r="F1027" s="24"/>
      <c r="G1027" s="24"/>
      <c r="H1027" s="117"/>
      <c r="I1027" s="117"/>
      <c r="J1027" s="24"/>
      <c r="K1027" s="24"/>
      <c r="L1027" s="24"/>
      <c r="M1027" s="24"/>
      <c r="N1027" s="24"/>
      <c r="O1027" s="24"/>
      <c r="P1027" s="24"/>
      <c r="Q1027" s="24"/>
      <c r="R1027" s="24"/>
      <c r="S1027" s="24"/>
      <c r="T1027" s="24"/>
      <c r="U1027" s="24"/>
      <c r="V1027" s="24"/>
      <c r="W1027" s="24"/>
      <c r="X1027" s="24"/>
      <c r="Y1027" s="24"/>
      <c r="Z1027" s="24"/>
      <c r="AA1027" s="24"/>
      <c r="AB1027" s="24"/>
      <c r="AC1027" s="24"/>
    </row>
    <row r="1028" spans="1:29" ht="12.9">
      <c r="A1028" s="24"/>
      <c r="B1028" s="24"/>
      <c r="C1028" s="143"/>
      <c r="D1028" s="24"/>
      <c r="E1028" s="24"/>
      <c r="F1028" s="24"/>
      <c r="G1028" s="24"/>
      <c r="H1028" s="117"/>
      <c r="I1028" s="117"/>
      <c r="J1028" s="24"/>
      <c r="K1028" s="24"/>
      <c r="L1028" s="24"/>
      <c r="M1028" s="24"/>
      <c r="N1028" s="24"/>
      <c r="O1028" s="24"/>
      <c r="P1028" s="24"/>
      <c r="Q1028" s="24"/>
      <c r="R1028" s="24"/>
      <c r="S1028" s="24"/>
      <c r="T1028" s="24"/>
      <c r="U1028" s="24"/>
      <c r="V1028" s="24"/>
      <c r="W1028" s="24"/>
      <c r="X1028" s="24"/>
      <c r="Y1028" s="24"/>
      <c r="Z1028" s="24"/>
      <c r="AA1028" s="24"/>
      <c r="AB1028" s="24"/>
      <c r="AC1028" s="24"/>
    </row>
    <row r="1029" spans="1:29" ht="12.9">
      <c r="A1029" s="24"/>
      <c r="B1029" s="24"/>
      <c r="C1029" s="143"/>
      <c r="D1029" s="24"/>
      <c r="E1029" s="24"/>
      <c r="F1029" s="24"/>
      <c r="G1029" s="24"/>
      <c r="H1029" s="117"/>
      <c r="I1029" s="117"/>
      <c r="J1029" s="24"/>
      <c r="K1029" s="24"/>
      <c r="L1029" s="24"/>
      <c r="M1029" s="24"/>
      <c r="N1029" s="24"/>
      <c r="O1029" s="24"/>
      <c r="P1029" s="24"/>
      <c r="Q1029" s="24"/>
      <c r="R1029" s="24"/>
      <c r="S1029" s="24"/>
      <c r="T1029" s="24"/>
      <c r="U1029" s="24"/>
      <c r="V1029" s="24"/>
      <c r="W1029" s="24"/>
      <c r="X1029" s="24"/>
      <c r="Y1029" s="24"/>
      <c r="Z1029" s="24"/>
      <c r="AA1029" s="24"/>
      <c r="AB1029" s="24"/>
      <c r="AC1029" s="24"/>
    </row>
    <row r="1030" spans="1:29" ht="12.9">
      <c r="A1030" s="24"/>
      <c r="B1030" s="24"/>
      <c r="C1030" s="143"/>
      <c r="D1030" s="24"/>
      <c r="E1030" s="24"/>
      <c r="F1030" s="24"/>
      <c r="G1030" s="24"/>
      <c r="H1030" s="117"/>
      <c r="I1030" s="117"/>
      <c r="J1030" s="24"/>
      <c r="K1030" s="24"/>
      <c r="L1030" s="24"/>
      <c r="M1030" s="24"/>
      <c r="N1030" s="24"/>
      <c r="O1030" s="24"/>
      <c r="P1030" s="24"/>
      <c r="Q1030" s="24"/>
      <c r="R1030" s="24"/>
      <c r="S1030" s="24"/>
      <c r="T1030" s="24"/>
      <c r="U1030" s="24"/>
      <c r="V1030" s="24"/>
      <c r="W1030" s="24"/>
      <c r="X1030" s="24"/>
      <c r="Y1030" s="24"/>
      <c r="Z1030" s="24"/>
      <c r="AA1030" s="24"/>
      <c r="AB1030" s="24"/>
      <c r="AC1030" s="24"/>
    </row>
    <row r="1031" spans="1:29" ht="12.9">
      <c r="A1031" s="24"/>
      <c r="B1031" s="24"/>
      <c r="C1031" s="143"/>
      <c r="D1031" s="24"/>
      <c r="E1031" s="24"/>
      <c r="F1031" s="24"/>
      <c r="G1031" s="24"/>
      <c r="H1031" s="117"/>
      <c r="I1031" s="117"/>
      <c r="J1031" s="24"/>
      <c r="K1031" s="24"/>
      <c r="L1031" s="24"/>
      <c r="M1031" s="24"/>
      <c r="N1031" s="24"/>
      <c r="O1031" s="24"/>
      <c r="P1031" s="24"/>
      <c r="Q1031" s="24"/>
      <c r="R1031" s="24"/>
      <c r="S1031" s="24"/>
      <c r="T1031" s="24"/>
      <c r="U1031" s="24"/>
      <c r="V1031" s="24"/>
      <c r="W1031" s="24"/>
      <c r="X1031" s="24"/>
      <c r="Y1031" s="24"/>
      <c r="Z1031" s="24"/>
      <c r="AA1031" s="24"/>
      <c r="AB1031" s="24"/>
      <c r="AC1031" s="24"/>
    </row>
    <row r="1032" spans="1:29" ht="12.9">
      <c r="A1032" s="24"/>
      <c r="B1032" s="24"/>
      <c r="C1032" s="143"/>
      <c r="D1032" s="24"/>
      <c r="E1032" s="24"/>
      <c r="F1032" s="24"/>
      <c r="G1032" s="24"/>
      <c r="H1032" s="117"/>
      <c r="I1032" s="117"/>
      <c r="J1032" s="24"/>
      <c r="K1032" s="24"/>
      <c r="L1032" s="24"/>
      <c r="M1032" s="24"/>
      <c r="N1032" s="24"/>
      <c r="O1032" s="24"/>
      <c r="P1032" s="24"/>
      <c r="Q1032" s="24"/>
      <c r="R1032" s="24"/>
      <c r="S1032" s="24"/>
      <c r="T1032" s="24"/>
      <c r="U1032" s="24"/>
      <c r="V1032" s="24"/>
      <c r="W1032" s="24"/>
      <c r="X1032" s="24"/>
      <c r="Y1032" s="24"/>
      <c r="Z1032" s="24"/>
      <c r="AA1032" s="24"/>
      <c r="AB1032" s="24"/>
      <c r="AC1032" s="24"/>
    </row>
    <row r="1033" spans="1:29" ht="12.9">
      <c r="A1033" s="24"/>
      <c r="B1033" s="24"/>
      <c r="C1033" s="143"/>
      <c r="D1033" s="24"/>
      <c r="E1033" s="24"/>
      <c r="F1033" s="24"/>
      <c r="G1033" s="24"/>
      <c r="H1033" s="117"/>
      <c r="I1033" s="117"/>
      <c r="J1033" s="24"/>
      <c r="K1033" s="24"/>
      <c r="L1033" s="24"/>
      <c r="M1033" s="24"/>
      <c r="N1033" s="24"/>
      <c r="O1033" s="24"/>
      <c r="P1033" s="24"/>
      <c r="Q1033" s="24"/>
      <c r="R1033" s="24"/>
      <c r="S1033" s="24"/>
      <c r="T1033" s="24"/>
      <c r="U1033" s="24"/>
      <c r="V1033" s="24"/>
      <c r="W1033" s="24"/>
      <c r="X1033" s="24"/>
      <c r="Y1033" s="24"/>
      <c r="Z1033" s="24"/>
      <c r="AA1033" s="24"/>
      <c r="AB1033" s="24"/>
      <c r="AC1033" s="24"/>
    </row>
    <row r="1034" spans="1:29" ht="12.9">
      <c r="A1034" s="24"/>
      <c r="B1034" s="24"/>
      <c r="C1034" s="143"/>
      <c r="D1034" s="24"/>
      <c r="E1034" s="24"/>
      <c r="F1034" s="24"/>
      <c r="G1034" s="24"/>
      <c r="H1034" s="117"/>
      <c r="I1034" s="117"/>
      <c r="J1034" s="24"/>
      <c r="K1034" s="24"/>
      <c r="L1034" s="24"/>
      <c r="M1034" s="24"/>
      <c r="N1034" s="24"/>
      <c r="O1034" s="24"/>
      <c r="P1034" s="24"/>
      <c r="Q1034" s="24"/>
      <c r="R1034" s="24"/>
      <c r="S1034" s="24"/>
      <c r="T1034" s="24"/>
      <c r="U1034" s="24"/>
      <c r="V1034" s="24"/>
      <c r="W1034" s="24"/>
      <c r="X1034" s="24"/>
      <c r="Y1034" s="24"/>
      <c r="Z1034" s="24"/>
      <c r="AA1034" s="24"/>
      <c r="AB1034" s="24"/>
      <c r="AC1034" s="24"/>
    </row>
    <row r="1035" spans="1:29" ht="12.9">
      <c r="A1035" s="24"/>
      <c r="B1035" s="24"/>
      <c r="C1035" s="143"/>
      <c r="D1035" s="24"/>
      <c r="E1035" s="24"/>
      <c r="F1035" s="24"/>
      <c r="G1035" s="24"/>
      <c r="H1035" s="117"/>
      <c r="I1035" s="117"/>
      <c r="J1035" s="24"/>
      <c r="K1035" s="24"/>
      <c r="L1035" s="24"/>
      <c r="M1035" s="24"/>
      <c r="N1035" s="24"/>
      <c r="O1035" s="24"/>
      <c r="P1035" s="24"/>
      <c r="Q1035" s="24"/>
      <c r="R1035" s="24"/>
      <c r="S1035" s="24"/>
      <c r="T1035" s="24"/>
      <c r="U1035" s="24"/>
      <c r="V1035" s="24"/>
      <c r="W1035" s="24"/>
      <c r="X1035" s="24"/>
      <c r="Y1035" s="24"/>
      <c r="Z1035" s="24"/>
      <c r="AA1035" s="24"/>
      <c r="AB1035" s="24"/>
      <c r="AC1035" s="24"/>
    </row>
    <row r="1036" spans="1:29" ht="12.9">
      <c r="A1036" s="24"/>
      <c r="B1036" s="24"/>
      <c r="C1036" s="143"/>
      <c r="D1036" s="24"/>
      <c r="E1036" s="24"/>
      <c r="F1036" s="24"/>
      <c r="G1036" s="24"/>
      <c r="H1036" s="117"/>
      <c r="I1036" s="117"/>
      <c r="J1036" s="24"/>
      <c r="K1036" s="24"/>
      <c r="L1036" s="24"/>
      <c r="M1036" s="24"/>
      <c r="N1036" s="24"/>
      <c r="O1036" s="24"/>
      <c r="P1036" s="24"/>
      <c r="Q1036" s="24"/>
      <c r="R1036" s="24"/>
      <c r="S1036" s="24"/>
      <c r="T1036" s="24"/>
      <c r="U1036" s="24"/>
      <c r="V1036" s="24"/>
      <c r="W1036" s="24"/>
      <c r="X1036" s="24"/>
      <c r="Y1036" s="24"/>
      <c r="Z1036" s="24"/>
      <c r="AA1036" s="24"/>
      <c r="AB1036" s="24"/>
      <c r="AC1036" s="24"/>
    </row>
    <row r="1037" spans="1:29" ht="12.9">
      <c r="A1037" s="24"/>
      <c r="B1037" s="24"/>
      <c r="C1037" s="143"/>
      <c r="D1037" s="24"/>
      <c r="E1037" s="24"/>
      <c r="F1037" s="24"/>
      <c r="G1037" s="24"/>
      <c r="H1037" s="117"/>
      <c r="I1037" s="117"/>
      <c r="J1037" s="24"/>
      <c r="K1037" s="24"/>
      <c r="L1037" s="24"/>
      <c r="M1037" s="24"/>
      <c r="N1037" s="24"/>
      <c r="O1037" s="24"/>
      <c r="P1037" s="24"/>
      <c r="Q1037" s="24"/>
      <c r="R1037" s="24"/>
      <c r="S1037" s="24"/>
      <c r="T1037" s="24"/>
      <c r="U1037" s="24"/>
      <c r="V1037" s="24"/>
      <c r="W1037" s="24"/>
      <c r="X1037" s="24"/>
      <c r="Y1037" s="24"/>
      <c r="Z1037" s="24"/>
      <c r="AA1037" s="24"/>
      <c r="AB1037" s="24"/>
      <c r="AC1037" s="24"/>
    </row>
    <row r="1038" spans="1:29" ht="12.9">
      <c r="A1038" s="24"/>
      <c r="B1038" s="24"/>
      <c r="C1038" s="143"/>
      <c r="D1038" s="24"/>
      <c r="E1038" s="24"/>
      <c r="F1038" s="24"/>
      <c r="G1038" s="24"/>
      <c r="H1038" s="117"/>
      <c r="I1038" s="117"/>
      <c r="J1038" s="24"/>
      <c r="K1038" s="24"/>
      <c r="L1038" s="24"/>
      <c r="M1038" s="24"/>
      <c r="N1038" s="24"/>
      <c r="O1038" s="24"/>
      <c r="P1038" s="24"/>
      <c r="Q1038" s="24"/>
      <c r="R1038" s="24"/>
      <c r="S1038" s="24"/>
      <c r="T1038" s="24"/>
      <c r="U1038" s="24"/>
      <c r="V1038" s="24"/>
      <c r="W1038" s="24"/>
      <c r="X1038" s="24"/>
      <c r="Y1038" s="24"/>
      <c r="Z1038" s="24"/>
      <c r="AA1038" s="24"/>
      <c r="AB1038" s="24"/>
      <c r="AC1038" s="24"/>
    </row>
    <row r="1039" spans="1:29" ht="12.9">
      <c r="A1039" s="24"/>
      <c r="B1039" s="24"/>
      <c r="C1039" s="143"/>
      <c r="D1039" s="24"/>
      <c r="E1039" s="24"/>
      <c r="F1039" s="24"/>
      <c r="G1039" s="24"/>
      <c r="H1039" s="117"/>
      <c r="I1039" s="117"/>
      <c r="J1039" s="24"/>
      <c r="K1039" s="24"/>
      <c r="L1039" s="24"/>
      <c r="M1039" s="24"/>
      <c r="N1039" s="24"/>
      <c r="O1039" s="24"/>
      <c r="P1039" s="24"/>
      <c r="Q1039" s="24"/>
      <c r="R1039" s="24"/>
      <c r="S1039" s="24"/>
      <c r="T1039" s="24"/>
      <c r="U1039" s="24"/>
      <c r="V1039" s="24"/>
      <c r="W1039" s="24"/>
      <c r="X1039" s="24"/>
      <c r="Y1039" s="24"/>
      <c r="Z1039" s="24"/>
      <c r="AA1039" s="24"/>
      <c r="AB1039" s="24"/>
      <c r="AC1039" s="24"/>
    </row>
    <row r="1040" spans="1:29" ht="12.9">
      <c r="A1040" s="24"/>
      <c r="B1040" s="24"/>
      <c r="C1040" s="143"/>
      <c r="D1040" s="24"/>
      <c r="E1040" s="24"/>
      <c r="F1040" s="24"/>
      <c r="G1040" s="24"/>
      <c r="H1040" s="117"/>
      <c r="I1040" s="117"/>
      <c r="J1040" s="24"/>
      <c r="K1040" s="24"/>
      <c r="L1040" s="24"/>
      <c r="M1040" s="24"/>
      <c r="N1040" s="24"/>
      <c r="O1040" s="24"/>
      <c r="P1040" s="24"/>
      <c r="Q1040" s="24"/>
      <c r="R1040" s="24"/>
      <c r="S1040" s="24"/>
      <c r="T1040" s="24"/>
      <c r="U1040" s="24"/>
      <c r="V1040" s="24"/>
      <c r="W1040" s="24"/>
      <c r="X1040" s="24"/>
      <c r="Y1040" s="24"/>
      <c r="Z1040" s="24"/>
      <c r="AA1040" s="24"/>
      <c r="AB1040" s="24"/>
      <c r="AC1040" s="24"/>
    </row>
    <row r="1041" spans="1:29" ht="12.9">
      <c r="A1041" s="24"/>
      <c r="B1041" s="24"/>
      <c r="C1041" s="143"/>
      <c r="D1041" s="24"/>
      <c r="E1041" s="24"/>
      <c r="F1041" s="24"/>
      <c r="G1041" s="24"/>
      <c r="H1041" s="117"/>
      <c r="I1041" s="117"/>
      <c r="J1041" s="24"/>
      <c r="K1041" s="24"/>
      <c r="L1041" s="24"/>
      <c r="M1041" s="24"/>
      <c r="N1041" s="24"/>
      <c r="O1041" s="24"/>
      <c r="P1041" s="24"/>
      <c r="Q1041" s="24"/>
      <c r="R1041" s="24"/>
      <c r="S1041" s="24"/>
      <c r="T1041" s="24"/>
      <c r="U1041" s="24"/>
      <c r="V1041" s="24"/>
      <c r="W1041" s="24"/>
      <c r="X1041" s="24"/>
      <c r="Y1041" s="24"/>
      <c r="Z1041" s="24"/>
      <c r="AA1041" s="24"/>
      <c r="AB1041" s="24"/>
      <c r="AC1041" s="24"/>
    </row>
    <row r="1042" spans="1:29" ht="12.9">
      <c r="A1042" s="24"/>
      <c r="B1042" s="24"/>
      <c r="C1042" s="143"/>
      <c r="D1042" s="24"/>
      <c r="E1042" s="24"/>
      <c r="F1042" s="24"/>
      <c r="G1042" s="24"/>
      <c r="H1042" s="117"/>
      <c r="I1042" s="117"/>
      <c r="J1042" s="24"/>
      <c r="K1042" s="24"/>
      <c r="L1042" s="24"/>
      <c r="M1042" s="24"/>
      <c r="N1042" s="24"/>
      <c r="O1042" s="24"/>
      <c r="P1042" s="24"/>
      <c r="Q1042" s="24"/>
      <c r="R1042" s="24"/>
      <c r="S1042" s="24"/>
      <c r="T1042" s="24"/>
      <c r="U1042" s="24"/>
      <c r="V1042" s="24"/>
      <c r="W1042" s="24"/>
      <c r="X1042" s="24"/>
      <c r="Y1042" s="24"/>
      <c r="Z1042" s="24"/>
      <c r="AA1042" s="24"/>
      <c r="AB1042" s="24"/>
      <c r="AC1042" s="24"/>
    </row>
    <row r="1043" spans="1:29" ht="12.9">
      <c r="A1043" s="24"/>
      <c r="B1043" s="24"/>
      <c r="C1043" s="143"/>
      <c r="D1043" s="24"/>
      <c r="E1043" s="24"/>
      <c r="F1043" s="24"/>
      <c r="G1043" s="24"/>
      <c r="H1043" s="117"/>
      <c r="I1043" s="117"/>
      <c r="J1043" s="24"/>
      <c r="K1043" s="24"/>
      <c r="L1043" s="24"/>
      <c r="M1043" s="24"/>
      <c r="N1043" s="24"/>
      <c r="O1043" s="24"/>
      <c r="P1043" s="24"/>
      <c r="Q1043" s="24"/>
      <c r="R1043" s="24"/>
      <c r="S1043" s="24"/>
      <c r="T1043" s="24"/>
      <c r="U1043" s="24"/>
      <c r="V1043" s="24"/>
      <c r="W1043" s="24"/>
      <c r="X1043" s="24"/>
      <c r="Y1043" s="24"/>
      <c r="Z1043" s="24"/>
      <c r="AA1043" s="24"/>
      <c r="AB1043" s="24"/>
      <c r="AC1043" s="24"/>
    </row>
    <row r="1044" spans="1:29" ht="12.9">
      <c r="A1044" s="24"/>
      <c r="B1044" s="24"/>
      <c r="C1044" s="143"/>
      <c r="D1044" s="24"/>
      <c r="E1044" s="24"/>
      <c r="F1044" s="24"/>
      <c r="G1044" s="24"/>
      <c r="H1044" s="117"/>
      <c r="I1044" s="117"/>
      <c r="J1044" s="24"/>
      <c r="K1044" s="24"/>
      <c r="L1044" s="24"/>
      <c r="M1044" s="24"/>
      <c r="N1044" s="24"/>
      <c r="O1044" s="24"/>
      <c r="P1044" s="24"/>
      <c r="Q1044" s="24"/>
      <c r="R1044" s="24"/>
      <c r="S1044" s="24"/>
      <c r="T1044" s="24"/>
      <c r="U1044" s="24"/>
      <c r="V1044" s="24"/>
      <c r="W1044" s="24"/>
      <c r="X1044" s="24"/>
      <c r="Y1044" s="24"/>
      <c r="Z1044" s="24"/>
      <c r="AA1044" s="24"/>
      <c r="AB1044" s="24"/>
      <c r="AC1044" s="24"/>
    </row>
    <row r="1045" spans="1:29" ht="12.9">
      <c r="A1045" s="24"/>
      <c r="B1045" s="24"/>
      <c r="C1045" s="143"/>
      <c r="D1045" s="24"/>
      <c r="E1045" s="24"/>
      <c r="F1045" s="24"/>
      <c r="G1045" s="24"/>
      <c r="H1045" s="117"/>
      <c r="I1045" s="117"/>
      <c r="J1045" s="24"/>
      <c r="K1045" s="24"/>
      <c r="L1045" s="24"/>
      <c r="M1045" s="24"/>
      <c r="N1045" s="24"/>
      <c r="O1045" s="24"/>
      <c r="P1045" s="24"/>
      <c r="Q1045" s="24"/>
      <c r="R1045" s="24"/>
      <c r="S1045" s="24"/>
      <c r="T1045" s="24"/>
      <c r="U1045" s="24"/>
      <c r="V1045" s="24"/>
      <c r="W1045" s="24"/>
      <c r="X1045" s="24"/>
      <c r="Y1045" s="24"/>
      <c r="Z1045" s="24"/>
      <c r="AA1045" s="24"/>
      <c r="AB1045" s="24"/>
      <c r="AC1045" s="24"/>
    </row>
    <row r="1046" spans="1:29" ht="12.9">
      <c r="A1046" s="24"/>
      <c r="B1046" s="24"/>
      <c r="C1046" s="143"/>
      <c r="D1046" s="24"/>
      <c r="E1046" s="24"/>
      <c r="F1046" s="24"/>
      <c r="G1046" s="24"/>
      <c r="H1046" s="117"/>
      <c r="I1046" s="117"/>
      <c r="J1046" s="24"/>
      <c r="K1046" s="24"/>
      <c r="L1046" s="24"/>
      <c r="M1046" s="24"/>
      <c r="N1046" s="24"/>
      <c r="O1046" s="24"/>
      <c r="P1046" s="24"/>
      <c r="Q1046" s="24"/>
      <c r="R1046" s="24"/>
      <c r="S1046" s="24"/>
      <c r="T1046" s="24"/>
      <c r="U1046" s="24"/>
      <c r="V1046" s="24"/>
      <c r="W1046" s="24"/>
      <c r="X1046" s="24"/>
      <c r="Y1046" s="24"/>
      <c r="Z1046" s="24"/>
      <c r="AA1046" s="24"/>
      <c r="AB1046" s="24"/>
      <c r="AC1046" s="24"/>
    </row>
    <row r="1047" spans="1:29" ht="12.9">
      <c r="A1047" s="24"/>
      <c r="B1047" s="24"/>
      <c r="C1047" s="143"/>
      <c r="D1047" s="24"/>
      <c r="E1047" s="24"/>
      <c r="F1047" s="24"/>
      <c r="G1047" s="24"/>
      <c r="H1047" s="117"/>
      <c r="I1047" s="117"/>
      <c r="J1047" s="24"/>
      <c r="K1047" s="24"/>
      <c r="L1047" s="24"/>
      <c r="M1047" s="24"/>
      <c r="N1047" s="24"/>
      <c r="O1047" s="24"/>
      <c r="P1047" s="24"/>
      <c r="Q1047" s="24"/>
      <c r="R1047" s="24"/>
      <c r="S1047" s="24"/>
      <c r="T1047" s="24"/>
      <c r="U1047" s="24"/>
      <c r="V1047" s="24"/>
      <c r="W1047" s="24"/>
      <c r="X1047" s="24"/>
      <c r="Y1047" s="24"/>
      <c r="Z1047" s="24"/>
      <c r="AA1047" s="24"/>
      <c r="AB1047" s="24"/>
      <c r="AC1047" s="24"/>
    </row>
    <row r="1048" spans="1:29" ht="12.9">
      <c r="A1048" s="24"/>
      <c r="B1048" s="24"/>
      <c r="C1048" s="143"/>
      <c r="D1048" s="24"/>
      <c r="E1048" s="24"/>
      <c r="F1048" s="24"/>
      <c r="G1048" s="24"/>
      <c r="H1048" s="117"/>
      <c r="I1048" s="117"/>
      <c r="J1048" s="24"/>
      <c r="K1048" s="24"/>
      <c r="L1048" s="24"/>
      <c r="M1048" s="24"/>
      <c r="N1048" s="24"/>
      <c r="O1048" s="24"/>
      <c r="P1048" s="24"/>
      <c r="Q1048" s="24"/>
      <c r="R1048" s="24"/>
      <c r="S1048" s="24"/>
      <c r="T1048" s="24"/>
      <c r="U1048" s="24"/>
      <c r="V1048" s="24"/>
      <c r="W1048" s="24"/>
      <c r="X1048" s="24"/>
      <c r="Y1048" s="24"/>
      <c r="Z1048" s="24"/>
      <c r="AA1048" s="24"/>
      <c r="AB1048" s="24"/>
      <c r="AC1048" s="24"/>
    </row>
    <row r="1049" spans="1:29" ht="12.9">
      <c r="A1049" s="24"/>
      <c r="B1049" s="24"/>
      <c r="C1049" s="143"/>
      <c r="D1049" s="24"/>
      <c r="E1049" s="24"/>
      <c r="F1049" s="24"/>
      <c r="G1049" s="24"/>
      <c r="H1049" s="117"/>
      <c r="I1049" s="117"/>
      <c r="J1049" s="24"/>
      <c r="K1049" s="24"/>
      <c r="L1049" s="24"/>
      <c r="M1049" s="24"/>
      <c r="N1049" s="24"/>
      <c r="O1049" s="24"/>
      <c r="P1049" s="24"/>
      <c r="Q1049" s="24"/>
      <c r="R1049" s="24"/>
      <c r="S1049" s="24"/>
      <c r="T1049" s="24"/>
      <c r="U1049" s="24"/>
      <c r="V1049" s="24"/>
      <c r="W1049" s="24"/>
      <c r="X1049" s="24"/>
      <c r="Y1049" s="24"/>
      <c r="Z1049" s="24"/>
      <c r="AA1049" s="24"/>
      <c r="AB1049" s="24"/>
      <c r="AC1049" s="24"/>
    </row>
    <row r="1050" spans="1:29" ht="12.9">
      <c r="A1050" s="24"/>
      <c r="B1050" s="24"/>
      <c r="C1050" s="143"/>
      <c r="D1050" s="24"/>
      <c r="E1050" s="24"/>
      <c r="F1050" s="24"/>
      <c r="G1050" s="24"/>
      <c r="H1050" s="117"/>
      <c r="I1050" s="117"/>
      <c r="J1050" s="24"/>
      <c r="K1050" s="24"/>
      <c r="L1050" s="24"/>
      <c r="M1050" s="24"/>
      <c r="N1050" s="24"/>
      <c r="O1050" s="24"/>
      <c r="P1050" s="24"/>
      <c r="Q1050" s="24"/>
      <c r="R1050" s="24"/>
      <c r="S1050" s="24"/>
      <c r="T1050" s="24"/>
      <c r="U1050" s="24"/>
      <c r="V1050" s="24"/>
      <c r="W1050" s="24"/>
      <c r="X1050" s="24"/>
      <c r="Y1050" s="24"/>
      <c r="Z1050" s="24"/>
      <c r="AA1050" s="24"/>
      <c r="AB1050" s="24"/>
      <c r="AC1050" s="24"/>
    </row>
    <row r="1051" spans="1:29" ht="12.9">
      <c r="A1051" s="24"/>
      <c r="B1051" s="24"/>
      <c r="C1051" s="143"/>
      <c r="D1051" s="24"/>
      <c r="E1051" s="24"/>
      <c r="F1051" s="24"/>
      <c r="G1051" s="24"/>
      <c r="H1051" s="117"/>
      <c r="I1051" s="117"/>
      <c r="J1051" s="24"/>
      <c r="K1051" s="24"/>
      <c r="L1051" s="24"/>
      <c r="M1051" s="24"/>
      <c r="N1051" s="24"/>
      <c r="O1051" s="24"/>
      <c r="P1051" s="24"/>
      <c r="Q1051" s="24"/>
      <c r="R1051" s="24"/>
      <c r="S1051" s="24"/>
      <c r="T1051" s="24"/>
      <c r="U1051" s="24"/>
      <c r="V1051" s="24"/>
      <c r="W1051" s="24"/>
      <c r="X1051" s="24"/>
      <c r="Y1051" s="24"/>
      <c r="Z1051" s="24"/>
      <c r="AA1051" s="24"/>
      <c r="AB1051" s="24"/>
      <c r="AC1051" s="24"/>
    </row>
    <row r="1052" spans="1:29" ht="12.9">
      <c r="A1052" s="24"/>
      <c r="B1052" s="24"/>
      <c r="C1052" s="143"/>
      <c r="D1052" s="24"/>
      <c r="E1052" s="24"/>
      <c r="F1052" s="24"/>
      <c r="G1052" s="24"/>
      <c r="H1052" s="117"/>
      <c r="I1052" s="117"/>
      <c r="J1052" s="24"/>
      <c r="K1052" s="24"/>
      <c r="L1052" s="24"/>
      <c r="M1052" s="24"/>
      <c r="N1052" s="24"/>
      <c r="O1052" s="24"/>
      <c r="P1052" s="24"/>
      <c r="Q1052" s="24"/>
      <c r="R1052" s="24"/>
      <c r="S1052" s="24"/>
      <c r="T1052" s="24"/>
      <c r="U1052" s="24"/>
      <c r="V1052" s="24"/>
      <c r="W1052" s="24"/>
      <c r="X1052" s="24"/>
      <c r="Y1052" s="24"/>
      <c r="Z1052" s="24"/>
      <c r="AA1052" s="24"/>
      <c r="AB1052" s="24"/>
      <c r="AC1052" s="24"/>
    </row>
    <row r="1053" spans="1:29" ht="12.9">
      <c r="A1053" s="24"/>
      <c r="B1053" s="24"/>
      <c r="C1053" s="143"/>
      <c r="D1053" s="24"/>
      <c r="E1053" s="24"/>
      <c r="F1053" s="24"/>
      <c r="G1053" s="24"/>
      <c r="H1053" s="117"/>
      <c r="I1053" s="117"/>
      <c r="J1053" s="24"/>
      <c r="K1053" s="24"/>
      <c r="L1053" s="24"/>
      <c r="M1053" s="24"/>
      <c r="N1053" s="24"/>
      <c r="O1053" s="24"/>
      <c r="P1053" s="24"/>
      <c r="Q1053" s="24"/>
      <c r="R1053" s="24"/>
      <c r="S1053" s="24"/>
      <c r="T1053" s="24"/>
      <c r="U1053" s="24"/>
      <c r="V1053" s="24"/>
      <c r="W1053" s="24"/>
      <c r="X1053" s="24"/>
      <c r="Y1053" s="24"/>
      <c r="Z1053" s="24"/>
      <c r="AA1053" s="24"/>
      <c r="AB1053" s="24"/>
      <c r="AC1053" s="24"/>
    </row>
    <row r="1054" spans="1:29" ht="12.9">
      <c r="A1054" s="24"/>
      <c r="B1054" s="24"/>
      <c r="C1054" s="143"/>
      <c r="D1054" s="24"/>
      <c r="E1054" s="24"/>
      <c r="F1054" s="24"/>
      <c r="G1054" s="24"/>
      <c r="H1054" s="117"/>
      <c r="I1054" s="117"/>
      <c r="J1054" s="24"/>
      <c r="K1054" s="24"/>
      <c r="L1054" s="24"/>
      <c r="M1054" s="24"/>
      <c r="N1054" s="24"/>
      <c r="O1054" s="24"/>
      <c r="P1054" s="24"/>
      <c r="Q1054" s="24"/>
      <c r="R1054" s="24"/>
      <c r="S1054" s="24"/>
      <c r="T1054" s="24"/>
      <c r="U1054" s="24"/>
      <c r="V1054" s="24"/>
      <c r="W1054" s="24"/>
      <c r="X1054" s="24"/>
      <c r="Y1054" s="24"/>
      <c r="Z1054" s="24"/>
      <c r="AA1054" s="24"/>
      <c r="AB1054" s="24"/>
      <c r="AC1054" s="24"/>
    </row>
    <row r="1055" spans="1:29" ht="12.9">
      <c r="A1055" s="24"/>
      <c r="B1055" s="24"/>
      <c r="C1055" s="143"/>
      <c r="D1055" s="24"/>
      <c r="E1055" s="24"/>
      <c r="F1055" s="24"/>
      <c r="G1055" s="24"/>
      <c r="H1055" s="117"/>
      <c r="I1055" s="117"/>
      <c r="J1055" s="24"/>
      <c r="K1055" s="24"/>
      <c r="L1055" s="24"/>
      <c r="M1055" s="24"/>
      <c r="N1055" s="24"/>
      <c r="O1055" s="24"/>
      <c r="P1055" s="24"/>
      <c r="Q1055" s="24"/>
      <c r="R1055" s="24"/>
      <c r="S1055" s="24"/>
      <c r="T1055" s="24"/>
      <c r="U1055" s="24"/>
      <c r="V1055" s="24"/>
      <c r="W1055" s="24"/>
      <c r="X1055" s="24"/>
      <c r="Y1055" s="24"/>
      <c r="Z1055" s="24"/>
      <c r="AA1055" s="24"/>
      <c r="AB1055" s="24"/>
      <c r="AC1055" s="24"/>
    </row>
    <row r="1056" spans="1:29" ht="12.9">
      <c r="A1056" s="24"/>
      <c r="B1056" s="24"/>
      <c r="C1056" s="143"/>
      <c r="D1056" s="24"/>
      <c r="E1056" s="24"/>
      <c r="F1056" s="24"/>
      <c r="G1056" s="24"/>
      <c r="H1056" s="117"/>
      <c r="I1056" s="117"/>
      <c r="J1056" s="24"/>
      <c r="K1056" s="24"/>
      <c r="L1056" s="24"/>
      <c r="M1056" s="24"/>
      <c r="N1056" s="24"/>
      <c r="O1056" s="24"/>
      <c r="P1056" s="24"/>
      <c r="Q1056" s="24"/>
      <c r="R1056" s="24"/>
      <c r="S1056" s="24"/>
      <c r="T1056" s="24"/>
      <c r="U1056" s="24"/>
      <c r="V1056" s="24"/>
      <c r="W1056" s="24"/>
      <c r="X1056" s="24"/>
      <c r="Y1056" s="24"/>
      <c r="Z1056" s="24"/>
      <c r="AA1056" s="24"/>
      <c r="AB1056" s="24"/>
      <c r="AC1056" s="24"/>
    </row>
    <row r="1057" spans="1:29" ht="12.9">
      <c r="A1057" s="24"/>
      <c r="B1057" s="24"/>
      <c r="C1057" s="143"/>
      <c r="D1057" s="24"/>
      <c r="E1057" s="24"/>
      <c r="F1057" s="24"/>
      <c r="G1057" s="24"/>
      <c r="H1057" s="117"/>
      <c r="I1057" s="117"/>
      <c r="J1057" s="24"/>
      <c r="K1057" s="24"/>
      <c r="L1057" s="24"/>
      <c r="M1057" s="24"/>
      <c r="N1057" s="24"/>
      <c r="O1057" s="24"/>
      <c r="P1057" s="24"/>
      <c r="Q1057" s="24"/>
      <c r="R1057" s="24"/>
      <c r="S1057" s="24"/>
      <c r="T1057" s="24"/>
      <c r="U1057" s="24"/>
      <c r="V1057" s="24"/>
      <c r="W1057" s="24"/>
      <c r="X1057" s="24"/>
      <c r="Y1057" s="24"/>
      <c r="Z1057" s="24"/>
      <c r="AA1057" s="24"/>
      <c r="AB1057" s="24"/>
      <c r="AC1057" s="24"/>
    </row>
    <row r="1058" spans="1:29" ht="12.9">
      <c r="A1058" s="24"/>
      <c r="B1058" s="24"/>
      <c r="C1058" s="143"/>
      <c r="D1058" s="24"/>
      <c r="E1058" s="24"/>
      <c r="F1058" s="24"/>
      <c r="G1058" s="24"/>
      <c r="H1058" s="117"/>
      <c r="I1058" s="117"/>
      <c r="J1058" s="24"/>
      <c r="K1058" s="24"/>
      <c r="L1058" s="24"/>
      <c r="M1058" s="24"/>
      <c r="N1058" s="24"/>
      <c r="O1058" s="24"/>
      <c r="P1058" s="24"/>
      <c r="Q1058" s="24"/>
      <c r="R1058" s="24"/>
      <c r="S1058" s="24"/>
      <c r="T1058" s="24"/>
      <c r="U1058" s="24"/>
      <c r="V1058" s="24"/>
      <c r="W1058" s="24"/>
      <c r="X1058" s="24"/>
      <c r="Y1058" s="24"/>
      <c r="Z1058" s="24"/>
      <c r="AA1058" s="24"/>
      <c r="AB1058" s="24"/>
      <c r="AC1058" s="24"/>
    </row>
    <row r="1059" spans="1:29" ht="12.9">
      <c r="A1059" s="24"/>
      <c r="B1059" s="24"/>
      <c r="C1059" s="143"/>
      <c r="D1059" s="24"/>
      <c r="E1059" s="24"/>
      <c r="F1059" s="24"/>
      <c r="G1059" s="24"/>
      <c r="H1059" s="117"/>
      <c r="I1059" s="117"/>
      <c r="J1059" s="24"/>
      <c r="K1059" s="24"/>
      <c r="L1059" s="24"/>
      <c r="M1059" s="24"/>
      <c r="N1059" s="24"/>
      <c r="O1059" s="24"/>
      <c r="P1059" s="24"/>
      <c r="Q1059" s="24"/>
      <c r="R1059" s="24"/>
      <c r="S1059" s="24"/>
      <c r="T1059" s="24"/>
      <c r="U1059" s="24"/>
      <c r="V1059" s="24"/>
      <c r="W1059" s="24"/>
      <c r="X1059" s="24"/>
      <c r="Y1059" s="24"/>
      <c r="Z1059" s="24"/>
      <c r="AA1059" s="24"/>
      <c r="AB1059" s="24"/>
      <c r="AC1059" s="24"/>
    </row>
    <row r="1060" spans="1:29" ht="12.9">
      <c r="A1060" s="24"/>
      <c r="B1060" s="24"/>
      <c r="C1060" s="143"/>
      <c r="D1060" s="24"/>
      <c r="E1060" s="24"/>
      <c r="F1060" s="24"/>
      <c r="G1060" s="24"/>
      <c r="H1060" s="117"/>
      <c r="I1060" s="117"/>
      <c r="J1060" s="24"/>
      <c r="K1060" s="24"/>
      <c r="L1060" s="24"/>
      <c r="M1060" s="24"/>
      <c r="N1060" s="24"/>
      <c r="O1060" s="24"/>
      <c r="P1060" s="24"/>
      <c r="Q1060" s="24"/>
      <c r="R1060" s="24"/>
      <c r="S1060" s="24"/>
      <c r="T1060" s="24"/>
      <c r="U1060" s="24"/>
      <c r="V1060" s="24"/>
      <c r="W1060" s="24"/>
      <c r="X1060" s="24"/>
      <c r="Y1060" s="24"/>
      <c r="Z1060" s="24"/>
      <c r="AA1060" s="24"/>
      <c r="AB1060" s="24"/>
      <c r="AC1060" s="24"/>
    </row>
    <row r="1061" spans="1:29" ht="12.9">
      <c r="A1061" s="24"/>
      <c r="B1061" s="24"/>
      <c r="C1061" s="143"/>
      <c r="D1061" s="24"/>
      <c r="E1061" s="24"/>
      <c r="F1061" s="24"/>
      <c r="G1061" s="24"/>
      <c r="H1061" s="117"/>
      <c r="I1061" s="117"/>
      <c r="J1061" s="24"/>
      <c r="K1061" s="24"/>
      <c r="L1061" s="24"/>
      <c r="M1061" s="24"/>
      <c r="N1061" s="24"/>
      <c r="O1061" s="24"/>
      <c r="P1061" s="24"/>
      <c r="Q1061" s="24"/>
      <c r="R1061" s="24"/>
      <c r="S1061" s="24"/>
      <c r="T1061" s="24"/>
      <c r="U1061" s="24"/>
      <c r="V1061" s="24"/>
      <c r="W1061" s="24"/>
      <c r="X1061" s="24"/>
      <c r="Y1061" s="24"/>
      <c r="Z1061" s="24"/>
      <c r="AA1061" s="24"/>
      <c r="AB1061" s="24"/>
      <c r="AC1061" s="24"/>
    </row>
    <row r="1062" spans="1:29" ht="12.9">
      <c r="A1062" s="24"/>
      <c r="B1062" s="24"/>
      <c r="C1062" s="143"/>
      <c r="D1062" s="24"/>
      <c r="E1062" s="24"/>
      <c r="F1062" s="24"/>
      <c r="G1062" s="24"/>
      <c r="H1062" s="117"/>
      <c r="I1062" s="117"/>
      <c r="J1062" s="24"/>
      <c r="K1062" s="24"/>
      <c r="L1062" s="24"/>
      <c r="M1062" s="24"/>
      <c r="N1062" s="24"/>
      <c r="O1062" s="24"/>
      <c r="P1062" s="24"/>
      <c r="Q1062" s="24"/>
      <c r="R1062" s="24"/>
      <c r="S1062" s="24"/>
      <c r="T1062" s="24"/>
      <c r="U1062" s="24"/>
      <c r="V1062" s="24"/>
      <c r="W1062" s="24"/>
      <c r="X1062" s="24"/>
      <c r="Y1062" s="24"/>
      <c r="Z1062" s="24"/>
      <c r="AA1062" s="24"/>
      <c r="AB1062" s="24"/>
      <c r="AC1062" s="24"/>
    </row>
    <row r="1063" spans="1:29" ht="12.9">
      <c r="A1063" s="24"/>
      <c r="B1063" s="24"/>
      <c r="C1063" s="143"/>
      <c r="D1063" s="24"/>
      <c r="E1063" s="24"/>
      <c r="F1063" s="24"/>
      <c r="G1063" s="24"/>
      <c r="H1063" s="117"/>
      <c r="I1063" s="117"/>
      <c r="J1063" s="24"/>
      <c r="K1063" s="24"/>
      <c r="L1063" s="24"/>
      <c r="M1063" s="24"/>
      <c r="N1063" s="24"/>
      <c r="O1063" s="24"/>
      <c r="P1063" s="24"/>
      <c r="Q1063" s="24"/>
      <c r="R1063" s="24"/>
      <c r="S1063" s="24"/>
      <c r="T1063" s="24"/>
      <c r="U1063" s="24"/>
      <c r="V1063" s="24"/>
      <c r="W1063" s="24"/>
      <c r="X1063" s="24"/>
      <c r="Y1063" s="24"/>
      <c r="Z1063" s="24"/>
      <c r="AA1063" s="24"/>
      <c r="AB1063" s="24"/>
      <c r="AC1063" s="24"/>
    </row>
    <row r="1064" spans="1:29" ht="12.9">
      <c r="A1064" s="24"/>
      <c r="B1064" s="24"/>
      <c r="C1064" s="143"/>
      <c r="D1064" s="24"/>
      <c r="E1064" s="24"/>
      <c r="F1064" s="24"/>
      <c r="G1064" s="24"/>
      <c r="H1064" s="117"/>
      <c r="I1064" s="117"/>
      <c r="J1064" s="24"/>
      <c r="K1064" s="24"/>
      <c r="L1064" s="24"/>
      <c r="M1064" s="24"/>
      <c r="N1064" s="24"/>
      <c r="O1064" s="24"/>
      <c r="P1064" s="24"/>
      <c r="Q1064" s="24"/>
      <c r="R1064" s="24"/>
      <c r="S1064" s="24"/>
      <c r="T1064" s="24"/>
      <c r="U1064" s="24"/>
      <c r="V1064" s="24"/>
      <c r="W1064" s="24"/>
      <c r="X1064" s="24"/>
      <c r="Y1064" s="24"/>
      <c r="Z1064" s="24"/>
      <c r="AA1064" s="24"/>
      <c r="AB1064" s="24"/>
      <c r="AC1064" s="24"/>
    </row>
    <row r="1065" spans="1:29" ht="12.9">
      <c r="A1065" s="24"/>
      <c r="B1065" s="24"/>
      <c r="C1065" s="143"/>
      <c r="D1065" s="24"/>
      <c r="E1065" s="24"/>
      <c r="F1065" s="24"/>
      <c r="G1065" s="24"/>
      <c r="H1065" s="117"/>
      <c r="I1065" s="117"/>
      <c r="J1065" s="24"/>
      <c r="K1065" s="24"/>
      <c r="L1065" s="24"/>
      <c r="M1065" s="24"/>
      <c r="N1065" s="24"/>
      <c r="O1065" s="24"/>
      <c r="P1065" s="24"/>
      <c r="Q1065" s="24"/>
      <c r="R1065" s="24"/>
      <c r="S1065" s="24"/>
      <c r="T1065" s="24"/>
      <c r="U1065" s="24"/>
      <c r="V1065" s="24"/>
      <c r="W1065" s="24"/>
      <c r="X1065" s="24"/>
      <c r="Y1065" s="24"/>
      <c r="Z1065" s="24"/>
      <c r="AA1065" s="24"/>
      <c r="AB1065" s="24"/>
      <c r="AC1065" s="24"/>
    </row>
    <row r="1066" spans="1:29" ht="12.9">
      <c r="A1066" s="24"/>
      <c r="B1066" s="24"/>
      <c r="C1066" s="143"/>
      <c r="D1066" s="24"/>
      <c r="E1066" s="24"/>
      <c r="F1066" s="24"/>
      <c r="G1066" s="24"/>
      <c r="H1066" s="117"/>
      <c r="I1066" s="117"/>
      <c r="J1066" s="24"/>
      <c r="K1066" s="24"/>
      <c r="L1066" s="24"/>
      <c r="M1066" s="24"/>
      <c r="N1066" s="24"/>
      <c r="O1066" s="24"/>
      <c r="P1066" s="24"/>
      <c r="Q1066" s="24"/>
      <c r="R1066" s="24"/>
      <c r="S1066" s="24"/>
      <c r="T1066" s="24"/>
      <c r="U1066" s="24"/>
      <c r="V1066" s="24"/>
      <c r="W1066" s="24"/>
      <c r="X1066" s="24"/>
      <c r="Y1066" s="24"/>
      <c r="Z1066" s="24"/>
      <c r="AA1066" s="24"/>
      <c r="AB1066" s="24"/>
      <c r="AC1066" s="24"/>
    </row>
    <row r="1067" spans="1:29" ht="12.9">
      <c r="A1067" s="24"/>
      <c r="B1067" s="24"/>
      <c r="C1067" s="143"/>
      <c r="D1067" s="24"/>
      <c r="E1067" s="24"/>
      <c r="F1067" s="24"/>
      <c r="G1067" s="24"/>
      <c r="H1067" s="117"/>
      <c r="I1067" s="117"/>
      <c r="J1067" s="24"/>
      <c r="K1067" s="24"/>
      <c r="L1067" s="24"/>
      <c r="M1067" s="24"/>
      <c r="N1067" s="24"/>
      <c r="O1067" s="24"/>
      <c r="P1067" s="24"/>
      <c r="Q1067" s="24"/>
      <c r="R1067" s="24"/>
      <c r="S1067" s="24"/>
      <c r="T1067" s="24"/>
      <c r="U1067" s="24"/>
      <c r="V1067" s="24"/>
      <c r="W1067" s="24"/>
      <c r="X1067" s="24"/>
      <c r="Y1067" s="24"/>
      <c r="Z1067" s="24"/>
      <c r="AA1067" s="24"/>
      <c r="AB1067" s="24"/>
      <c r="AC1067" s="24"/>
    </row>
    <row r="1068" spans="1:29" ht="12.9">
      <c r="A1068" s="24"/>
      <c r="B1068" s="24"/>
      <c r="C1068" s="143"/>
      <c r="D1068" s="24"/>
      <c r="E1068" s="24"/>
      <c r="F1068" s="24"/>
      <c r="G1068" s="24"/>
      <c r="H1068" s="117"/>
      <c r="I1068" s="117"/>
      <c r="J1068" s="24"/>
      <c r="K1068" s="24"/>
      <c r="L1068" s="24"/>
      <c r="M1068" s="24"/>
      <c r="N1068" s="24"/>
      <c r="O1068" s="24"/>
      <c r="P1068" s="24"/>
      <c r="Q1068" s="24"/>
      <c r="R1068" s="24"/>
      <c r="S1068" s="24"/>
      <c r="T1068" s="24"/>
      <c r="U1068" s="24"/>
      <c r="V1068" s="24"/>
      <c r="W1068" s="24"/>
      <c r="X1068" s="24"/>
      <c r="Y1068" s="24"/>
      <c r="Z1068" s="24"/>
      <c r="AA1068" s="24"/>
      <c r="AB1068" s="24"/>
      <c r="AC1068" s="24"/>
    </row>
    <row r="1069" spans="1:29" ht="12.9">
      <c r="A1069" s="24"/>
      <c r="B1069" s="24"/>
      <c r="C1069" s="143"/>
      <c r="D1069" s="24"/>
      <c r="E1069" s="24"/>
      <c r="F1069" s="24"/>
      <c r="G1069" s="24"/>
      <c r="H1069" s="117"/>
      <c r="I1069" s="117"/>
      <c r="J1069" s="24"/>
      <c r="K1069" s="24"/>
      <c r="L1069" s="24"/>
      <c r="M1069" s="24"/>
      <c r="N1069" s="24"/>
      <c r="O1069" s="24"/>
      <c r="P1069" s="24"/>
      <c r="Q1069" s="24"/>
      <c r="R1069" s="24"/>
      <c r="S1069" s="24"/>
      <c r="T1069" s="24"/>
      <c r="U1069" s="24"/>
      <c r="V1069" s="24"/>
      <c r="W1069" s="24"/>
      <c r="X1069" s="24"/>
      <c r="Y1069" s="24"/>
      <c r="Z1069" s="24"/>
      <c r="AA1069" s="24"/>
      <c r="AB1069" s="24"/>
      <c r="AC1069" s="24"/>
    </row>
    <row r="1070" spans="1:29" ht="12.9">
      <c r="A1070" s="24"/>
      <c r="B1070" s="24"/>
      <c r="C1070" s="143"/>
      <c r="D1070" s="24"/>
      <c r="E1070" s="24"/>
      <c r="F1070" s="24"/>
      <c r="G1070" s="24"/>
      <c r="H1070" s="117"/>
      <c r="I1070" s="117"/>
      <c r="J1070" s="24"/>
      <c r="K1070" s="24"/>
      <c r="L1070" s="24"/>
      <c r="M1070" s="24"/>
      <c r="N1070" s="24"/>
      <c r="O1070" s="24"/>
      <c r="P1070" s="24"/>
      <c r="Q1070" s="24"/>
      <c r="R1070" s="24"/>
      <c r="S1070" s="24"/>
      <c r="T1070" s="24"/>
      <c r="U1070" s="24"/>
      <c r="V1070" s="24"/>
      <c r="W1070" s="24"/>
      <c r="X1070" s="24"/>
      <c r="Y1070" s="24"/>
      <c r="Z1070" s="24"/>
      <c r="AA1070" s="24"/>
      <c r="AB1070" s="24"/>
      <c r="AC1070" s="24"/>
    </row>
    <row r="1071" spans="1:29" ht="12.9">
      <c r="A1071" s="24"/>
      <c r="B1071" s="24"/>
      <c r="C1071" s="143"/>
      <c r="D1071" s="24"/>
      <c r="E1071" s="24"/>
      <c r="F1071" s="24"/>
      <c r="G1071" s="24"/>
      <c r="H1071" s="117"/>
      <c r="I1071" s="117"/>
      <c r="J1071" s="24"/>
      <c r="K1071" s="24"/>
      <c r="L1071" s="24"/>
      <c r="M1071" s="24"/>
      <c r="N1071" s="24"/>
      <c r="O1071" s="24"/>
      <c r="P1071" s="24"/>
      <c r="Q1071" s="24"/>
      <c r="R1071" s="24"/>
      <c r="S1071" s="24"/>
      <c r="T1071" s="24"/>
      <c r="U1071" s="24"/>
      <c r="V1071" s="24"/>
      <c r="W1071" s="24"/>
      <c r="X1071" s="24"/>
      <c r="Y1071" s="24"/>
      <c r="Z1071" s="24"/>
      <c r="AA1071" s="24"/>
      <c r="AB1071" s="24"/>
      <c r="AC1071" s="24"/>
    </row>
    <row r="1072" spans="1:29" ht="12.9">
      <c r="A1072" s="24"/>
      <c r="B1072" s="24"/>
      <c r="C1072" s="143"/>
      <c r="D1072" s="24"/>
      <c r="E1072" s="24"/>
      <c r="F1072" s="24"/>
      <c r="G1072" s="24"/>
      <c r="H1072" s="117"/>
      <c r="I1072" s="117"/>
      <c r="J1072" s="24"/>
      <c r="K1072" s="24"/>
      <c r="L1072" s="24"/>
      <c r="M1072" s="24"/>
      <c r="N1072" s="24"/>
      <c r="O1072" s="24"/>
      <c r="P1072" s="24"/>
      <c r="Q1072" s="24"/>
      <c r="R1072" s="24"/>
      <c r="S1072" s="24"/>
      <c r="T1072" s="24"/>
      <c r="U1072" s="24"/>
      <c r="V1072" s="24"/>
      <c r="W1072" s="24"/>
      <c r="X1072" s="24"/>
      <c r="Y1072" s="24"/>
      <c r="Z1072" s="24"/>
      <c r="AA1072" s="24"/>
      <c r="AB1072" s="24"/>
      <c r="AC1072" s="24"/>
    </row>
    <row r="1073" spans="1:29" ht="12.9">
      <c r="A1073" s="24"/>
      <c r="B1073" s="24"/>
      <c r="C1073" s="143"/>
      <c r="D1073" s="24"/>
      <c r="E1073" s="24"/>
      <c r="F1073" s="24"/>
      <c r="G1073" s="24"/>
      <c r="H1073" s="117"/>
      <c r="I1073" s="117"/>
      <c r="J1073" s="24"/>
      <c r="K1073" s="24"/>
      <c r="L1073" s="24"/>
      <c r="M1073" s="24"/>
      <c r="N1073" s="24"/>
      <c r="O1073" s="24"/>
      <c r="P1073" s="24"/>
      <c r="Q1073" s="24"/>
      <c r="R1073" s="24"/>
      <c r="S1073" s="24"/>
      <c r="T1073" s="24"/>
      <c r="U1073" s="24"/>
      <c r="V1073" s="24"/>
      <c r="W1073" s="24"/>
      <c r="X1073" s="24"/>
      <c r="Y1073" s="24"/>
      <c r="Z1073" s="24"/>
      <c r="AA1073" s="24"/>
      <c r="AB1073" s="24"/>
      <c r="AC1073" s="24"/>
    </row>
    <row r="1074" spans="1:29" ht="12.9">
      <c r="A1074" s="24"/>
      <c r="B1074" s="24"/>
      <c r="C1074" s="143"/>
      <c r="D1074" s="24"/>
      <c r="E1074" s="24"/>
      <c r="F1074" s="24"/>
      <c r="G1074" s="24"/>
      <c r="H1074" s="117"/>
      <c r="I1074" s="117"/>
      <c r="J1074" s="24"/>
      <c r="K1074" s="24"/>
      <c r="L1074" s="24"/>
      <c r="M1074" s="24"/>
      <c r="N1074" s="24"/>
      <c r="O1074" s="24"/>
      <c r="P1074" s="24"/>
      <c r="Q1074" s="24"/>
      <c r="R1074" s="24"/>
      <c r="S1074" s="24"/>
      <c r="T1074" s="24"/>
      <c r="U1074" s="24"/>
      <c r="V1074" s="24"/>
      <c r="W1074" s="24"/>
      <c r="X1074" s="24"/>
      <c r="Y1074" s="24"/>
      <c r="Z1074" s="24"/>
      <c r="AA1074" s="24"/>
      <c r="AB1074" s="24"/>
      <c r="AC1074" s="24"/>
    </row>
    <row r="1075" spans="1:29" ht="12.9">
      <c r="A1075" s="24"/>
      <c r="B1075" s="24"/>
      <c r="C1075" s="143"/>
      <c r="D1075" s="24"/>
      <c r="E1075" s="24"/>
      <c r="F1075" s="24"/>
      <c r="G1075" s="24"/>
      <c r="H1075" s="117"/>
      <c r="I1075" s="117"/>
      <c r="J1075" s="24"/>
      <c r="K1075" s="24"/>
      <c r="L1075" s="24"/>
      <c r="M1075" s="24"/>
      <c r="N1075" s="24"/>
      <c r="O1075" s="24"/>
      <c r="P1075" s="24"/>
      <c r="Q1075" s="24"/>
      <c r="R1075" s="24"/>
      <c r="S1075" s="24"/>
      <c r="T1075" s="24"/>
      <c r="U1075" s="24"/>
      <c r="V1075" s="24"/>
      <c r="W1075" s="24"/>
      <c r="X1075" s="24"/>
      <c r="Y1075" s="24"/>
      <c r="Z1075" s="24"/>
      <c r="AA1075" s="24"/>
      <c r="AB1075" s="24"/>
      <c r="AC1075" s="24"/>
    </row>
    <row r="1076" spans="1:29" ht="12.9">
      <c r="A1076" s="24"/>
      <c r="B1076" s="24"/>
      <c r="C1076" s="143"/>
      <c r="D1076" s="24"/>
      <c r="E1076" s="24"/>
      <c r="F1076" s="24"/>
      <c r="G1076" s="24"/>
      <c r="H1076" s="117"/>
      <c r="I1076" s="117"/>
      <c r="J1076" s="24"/>
      <c r="K1076" s="24"/>
      <c r="L1076" s="24"/>
      <c r="M1076" s="24"/>
      <c r="N1076" s="24"/>
      <c r="O1076" s="24"/>
      <c r="P1076" s="24"/>
      <c r="Q1076" s="24"/>
      <c r="R1076" s="24"/>
      <c r="S1076" s="24"/>
      <c r="T1076" s="24"/>
      <c r="U1076" s="24"/>
      <c r="V1076" s="24"/>
      <c r="W1076" s="24"/>
      <c r="X1076" s="24"/>
      <c r="Y1076" s="24"/>
      <c r="Z1076" s="24"/>
      <c r="AA1076" s="24"/>
      <c r="AB1076" s="24"/>
      <c r="AC1076" s="24"/>
    </row>
    <row r="1077" spans="1:29" ht="12.9">
      <c r="A1077" s="24"/>
      <c r="B1077" s="24"/>
      <c r="C1077" s="143"/>
      <c r="D1077" s="24"/>
      <c r="E1077" s="24"/>
      <c r="F1077" s="24"/>
      <c r="G1077" s="24"/>
      <c r="H1077" s="117"/>
      <c r="I1077" s="117"/>
      <c r="J1077" s="24"/>
      <c r="K1077" s="24"/>
      <c r="L1077" s="24"/>
      <c r="M1077" s="24"/>
      <c r="N1077" s="24"/>
      <c r="O1077" s="24"/>
      <c r="P1077" s="24"/>
      <c r="Q1077" s="24"/>
      <c r="R1077" s="24"/>
      <c r="S1077" s="24"/>
      <c r="T1077" s="24"/>
      <c r="U1077" s="24"/>
      <c r="V1077" s="24"/>
      <c r="W1077" s="24"/>
      <c r="X1077" s="24"/>
      <c r="Y1077" s="24"/>
      <c r="Z1077" s="24"/>
      <c r="AA1077" s="24"/>
      <c r="AB1077" s="24"/>
      <c r="AC1077" s="24"/>
    </row>
    <row r="1078" spans="1:29" ht="12.9">
      <c r="A1078" s="24"/>
      <c r="B1078" s="24"/>
      <c r="C1078" s="143"/>
      <c r="D1078" s="24"/>
      <c r="E1078" s="24"/>
      <c r="F1078" s="24"/>
      <c r="G1078" s="24"/>
      <c r="H1078" s="117"/>
      <c r="I1078" s="117"/>
      <c r="J1078" s="24"/>
      <c r="K1078" s="24"/>
      <c r="L1078" s="24"/>
      <c r="M1078" s="24"/>
      <c r="N1078" s="24"/>
      <c r="O1078" s="24"/>
      <c r="P1078" s="24"/>
      <c r="Q1078" s="24"/>
      <c r="R1078" s="24"/>
      <c r="S1078" s="24"/>
      <c r="T1078" s="24"/>
      <c r="U1078" s="24"/>
      <c r="V1078" s="24"/>
      <c r="W1078" s="24"/>
      <c r="X1078" s="24"/>
      <c r="Y1078" s="24"/>
      <c r="Z1078" s="24"/>
      <c r="AA1078" s="24"/>
      <c r="AB1078" s="24"/>
      <c r="AC1078" s="24"/>
    </row>
    <row r="1079" spans="1:29" ht="12.9">
      <c r="A1079" s="24"/>
      <c r="B1079" s="24"/>
      <c r="C1079" s="143"/>
      <c r="D1079" s="24"/>
      <c r="E1079" s="24"/>
      <c r="F1079" s="24"/>
      <c r="G1079" s="24"/>
      <c r="H1079" s="117"/>
      <c r="I1079" s="117"/>
      <c r="J1079" s="24"/>
      <c r="K1079" s="24"/>
      <c r="L1079" s="24"/>
      <c r="M1079" s="24"/>
      <c r="N1079" s="24"/>
      <c r="O1079" s="24"/>
      <c r="P1079" s="24"/>
      <c r="Q1079" s="24"/>
      <c r="R1079" s="24"/>
      <c r="S1079" s="24"/>
      <c r="T1079" s="24"/>
      <c r="U1079" s="24"/>
      <c r="V1079" s="24"/>
      <c r="W1079" s="24"/>
      <c r="X1079" s="24"/>
      <c r="Y1079" s="24"/>
      <c r="Z1079" s="24"/>
      <c r="AA1079" s="24"/>
      <c r="AB1079" s="24"/>
      <c r="AC1079" s="24"/>
    </row>
    <row r="1080" spans="1:29" ht="12.9">
      <c r="A1080" s="24"/>
      <c r="B1080" s="24"/>
      <c r="C1080" s="143"/>
      <c r="D1080" s="24"/>
      <c r="E1080" s="24"/>
      <c r="F1080" s="24"/>
      <c r="G1080" s="24"/>
      <c r="H1080" s="117"/>
      <c r="I1080" s="117"/>
      <c r="J1080" s="24"/>
      <c r="K1080" s="24"/>
      <c r="L1080" s="24"/>
      <c r="M1080" s="24"/>
      <c r="N1080" s="24"/>
      <c r="O1080" s="24"/>
      <c r="P1080" s="24"/>
      <c r="Q1080" s="24"/>
      <c r="R1080" s="24"/>
      <c r="S1080" s="24"/>
      <c r="T1080" s="24"/>
      <c r="U1080" s="24"/>
      <c r="V1080" s="24"/>
      <c r="W1080" s="24"/>
      <c r="X1080" s="24"/>
      <c r="Y1080" s="24"/>
      <c r="Z1080" s="24"/>
      <c r="AA1080" s="24"/>
      <c r="AB1080" s="24"/>
      <c r="AC1080" s="24"/>
    </row>
    <row r="1081" spans="1:29" ht="12.9">
      <c r="A1081" s="24"/>
      <c r="B1081" s="24"/>
      <c r="C1081" s="143"/>
      <c r="D1081" s="24"/>
      <c r="E1081" s="24"/>
      <c r="F1081" s="24"/>
      <c r="G1081" s="24"/>
      <c r="H1081" s="117"/>
      <c r="I1081" s="117"/>
      <c r="J1081" s="24"/>
      <c r="K1081" s="24"/>
      <c r="L1081" s="24"/>
      <c r="M1081" s="24"/>
      <c r="N1081" s="24"/>
      <c r="O1081" s="24"/>
      <c r="P1081" s="24"/>
      <c r="Q1081" s="24"/>
      <c r="R1081" s="24"/>
      <c r="S1081" s="24"/>
      <c r="T1081" s="24"/>
      <c r="U1081" s="24"/>
      <c r="V1081" s="24"/>
      <c r="W1081" s="24"/>
      <c r="X1081" s="24"/>
      <c r="Y1081" s="24"/>
      <c r="Z1081" s="24"/>
      <c r="AA1081" s="24"/>
      <c r="AB1081" s="24"/>
      <c r="AC1081" s="24"/>
    </row>
    <row r="1082" spans="1:29" ht="12.9">
      <c r="A1082" s="24"/>
      <c r="B1082" s="24"/>
      <c r="C1082" s="143"/>
      <c r="D1082" s="24"/>
      <c r="E1082" s="24"/>
      <c r="F1082" s="24"/>
      <c r="G1082" s="24"/>
      <c r="H1082" s="117"/>
      <c r="I1082" s="117"/>
      <c r="J1082" s="24"/>
      <c r="K1082" s="24"/>
      <c r="L1082" s="24"/>
      <c r="M1082" s="24"/>
      <c r="N1082" s="24"/>
      <c r="O1082" s="24"/>
      <c r="P1082" s="24"/>
      <c r="Q1082" s="24"/>
      <c r="R1082" s="24"/>
      <c r="S1082" s="24"/>
      <c r="T1082" s="24"/>
      <c r="U1082" s="24"/>
      <c r="V1082" s="24"/>
      <c r="W1082" s="24"/>
      <c r="X1082" s="24"/>
      <c r="Y1082" s="24"/>
      <c r="Z1082" s="24"/>
      <c r="AA1082" s="24"/>
      <c r="AB1082" s="24"/>
      <c r="AC1082" s="24"/>
    </row>
    <row r="1083" spans="1:29" ht="12.9">
      <c r="A1083" s="24"/>
      <c r="B1083" s="24"/>
      <c r="C1083" s="143"/>
      <c r="D1083" s="24"/>
      <c r="E1083" s="24"/>
      <c r="F1083" s="24"/>
      <c r="G1083" s="24"/>
      <c r="H1083" s="117"/>
      <c r="I1083" s="117"/>
      <c r="J1083" s="24"/>
      <c r="K1083" s="24"/>
      <c r="L1083" s="24"/>
      <c r="M1083" s="24"/>
      <c r="N1083" s="24"/>
      <c r="O1083" s="24"/>
      <c r="P1083" s="24"/>
      <c r="Q1083" s="24"/>
      <c r="R1083" s="24"/>
      <c r="S1083" s="24"/>
      <c r="T1083" s="24"/>
      <c r="U1083" s="24"/>
      <c r="V1083" s="24"/>
      <c r="W1083" s="24"/>
      <c r="X1083" s="24"/>
      <c r="Y1083" s="24"/>
      <c r="Z1083" s="24"/>
      <c r="AA1083" s="24"/>
      <c r="AB1083" s="24"/>
      <c r="AC1083" s="24"/>
    </row>
    <row r="1084" spans="1:29" ht="12.9">
      <c r="A1084" s="24"/>
      <c r="B1084" s="24"/>
      <c r="C1084" s="143"/>
      <c r="D1084" s="24"/>
      <c r="E1084" s="24"/>
      <c r="F1084" s="24"/>
      <c r="G1084" s="24"/>
      <c r="H1084" s="117"/>
      <c r="I1084" s="117"/>
      <c r="J1084" s="24"/>
      <c r="K1084" s="24"/>
      <c r="L1084" s="24"/>
      <c r="M1084" s="24"/>
      <c r="N1084" s="24"/>
      <c r="O1084" s="24"/>
      <c r="P1084" s="24"/>
      <c r="Q1084" s="24"/>
      <c r="R1084" s="24"/>
      <c r="S1084" s="24"/>
      <c r="T1084" s="24"/>
      <c r="U1084" s="24"/>
      <c r="V1084" s="24"/>
      <c r="W1084" s="24"/>
      <c r="X1084" s="24"/>
      <c r="Y1084" s="24"/>
      <c r="Z1084" s="24"/>
      <c r="AA1084" s="24"/>
      <c r="AB1084" s="24"/>
      <c r="AC1084" s="24"/>
    </row>
    <row r="1085" spans="1:29" ht="12.9">
      <c r="A1085" s="24"/>
      <c r="B1085" s="24"/>
      <c r="C1085" s="143"/>
      <c r="D1085" s="24"/>
      <c r="E1085" s="24"/>
      <c r="F1085" s="24"/>
      <c r="G1085" s="24"/>
      <c r="H1085" s="117"/>
      <c r="I1085" s="117"/>
      <c r="J1085" s="24"/>
      <c r="K1085" s="24"/>
      <c r="L1085" s="24"/>
      <c r="M1085" s="24"/>
      <c r="N1085" s="24"/>
      <c r="O1085" s="24"/>
      <c r="P1085" s="24"/>
      <c r="Q1085" s="24"/>
      <c r="R1085" s="24"/>
      <c r="S1085" s="24"/>
      <c r="T1085" s="24"/>
      <c r="U1085" s="24"/>
      <c r="V1085" s="24"/>
      <c r="W1085" s="24"/>
      <c r="X1085" s="24"/>
      <c r="Y1085" s="24"/>
      <c r="Z1085" s="24"/>
      <c r="AA1085" s="24"/>
      <c r="AB1085" s="24"/>
      <c r="AC1085" s="24"/>
    </row>
    <row r="1086" spans="1:29" ht="12.9">
      <c r="A1086" s="24"/>
      <c r="B1086" s="24"/>
      <c r="C1086" s="143"/>
      <c r="D1086" s="24"/>
      <c r="E1086" s="24"/>
      <c r="F1086" s="24"/>
      <c r="G1086" s="24"/>
      <c r="H1086" s="117"/>
      <c r="I1086" s="117"/>
      <c r="J1086" s="24"/>
      <c r="K1086" s="24"/>
      <c r="L1086" s="24"/>
      <c r="M1086" s="24"/>
      <c r="N1086" s="24"/>
      <c r="O1086" s="24"/>
      <c r="P1086" s="24"/>
      <c r="Q1086" s="24"/>
      <c r="R1086" s="24"/>
      <c r="S1086" s="24"/>
      <c r="T1086" s="24"/>
      <c r="U1086" s="24"/>
      <c r="V1086" s="24"/>
      <c r="W1086" s="24"/>
      <c r="X1086" s="24"/>
      <c r="Y1086" s="24"/>
      <c r="Z1086" s="24"/>
      <c r="AA1086" s="24"/>
      <c r="AB1086" s="24"/>
      <c r="AC1086" s="24"/>
    </row>
    <row r="1087" spans="1:29" ht="12.9">
      <c r="A1087" s="24"/>
      <c r="B1087" s="24"/>
      <c r="C1087" s="143"/>
      <c r="D1087" s="24"/>
      <c r="E1087" s="24"/>
      <c r="F1087" s="24"/>
      <c r="G1087" s="24"/>
      <c r="H1087" s="117"/>
      <c r="I1087" s="117"/>
      <c r="J1087" s="24"/>
      <c r="K1087" s="24"/>
      <c r="L1087" s="24"/>
      <c r="M1087" s="24"/>
      <c r="N1087" s="24"/>
      <c r="O1087" s="24"/>
      <c r="P1087" s="24"/>
      <c r="Q1087" s="24"/>
      <c r="R1087" s="24"/>
      <c r="S1087" s="24"/>
      <c r="T1087" s="24"/>
      <c r="U1087" s="24"/>
      <c r="V1087" s="24"/>
      <c r="W1087" s="24"/>
      <c r="X1087" s="24"/>
      <c r="Y1087" s="24"/>
      <c r="Z1087" s="24"/>
      <c r="AA1087" s="24"/>
      <c r="AB1087" s="24"/>
      <c r="AC1087" s="24"/>
    </row>
    <row r="1088" spans="1:29" ht="12.9">
      <c r="A1088" s="24"/>
      <c r="B1088" s="24"/>
      <c r="C1088" s="143"/>
      <c r="D1088" s="24"/>
      <c r="E1088" s="24"/>
      <c r="F1088" s="24"/>
      <c r="G1088" s="24"/>
      <c r="H1088" s="117"/>
      <c r="I1088" s="117"/>
      <c r="J1088" s="24"/>
      <c r="K1088" s="24"/>
      <c r="L1088" s="24"/>
      <c r="M1088" s="24"/>
      <c r="N1088" s="24"/>
      <c r="O1088" s="24"/>
      <c r="P1088" s="24"/>
      <c r="Q1088" s="24"/>
      <c r="R1088" s="24"/>
      <c r="S1088" s="24"/>
      <c r="T1088" s="24"/>
      <c r="U1088" s="24"/>
      <c r="V1088" s="24"/>
      <c r="W1088" s="24"/>
      <c r="X1088" s="24"/>
      <c r="Y1088" s="24"/>
      <c r="Z1088" s="24"/>
      <c r="AA1088" s="24"/>
      <c r="AB1088" s="24"/>
      <c r="AC1088" s="24"/>
    </row>
    <row r="1089" spans="1:29" ht="12.9">
      <c r="A1089" s="24"/>
      <c r="B1089" s="24"/>
      <c r="C1089" s="143"/>
      <c r="D1089" s="24"/>
      <c r="E1089" s="24"/>
      <c r="F1089" s="24"/>
      <c r="G1089" s="24"/>
      <c r="H1089" s="117"/>
      <c r="I1089" s="117"/>
      <c r="J1089" s="24"/>
      <c r="K1089" s="24"/>
      <c r="L1089" s="24"/>
      <c r="M1089" s="24"/>
      <c r="N1089" s="24"/>
      <c r="O1089" s="24"/>
      <c r="P1089" s="24"/>
      <c r="Q1089" s="24"/>
      <c r="R1089" s="24"/>
      <c r="S1089" s="24"/>
      <c r="T1089" s="24"/>
      <c r="U1089" s="24"/>
      <c r="V1089" s="24"/>
      <c r="W1089" s="24"/>
      <c r="X1089" s="24"/>
      <c r="Y1089" s="24"/>
      <c r="Z1089" s="24"/>
      <c r="AA1089" s="24"/>
      <c r="AB1089" s="24"/>
      <c r="AC1089" s="24"/>
    </row>
    <row r="1090" spans="1:29" ht="12.9">
      <c r="A1090" s="24"/>
      <c r="B1090" s="24"/>
      <c r="C1090" s="143"/>
      <c r="D1090" s="24"/>
      <c r="E1090" s="24"/>
      <c r="F1090" s="24"/>
      <c r="G1090" s="24"/>
      <c r="H1090" s="117"/>
      <c r="I1090" s="117"/>
      <c r="J1090" s="24"/>
      <c r="K1090" s="24"/>
      <c r="L1090" s="24"/>
      <c r="M1090" s="24"/>
      <c r="N1090" s="24"/>
      <c r="O1090" s="24"/>
      <c r="P1090" s="24"/>
      <c r="Q1090" s="24"/>
      <c r="R1090" s="24"/>
      <c r="S1090" s="24"/>
      <c r="T1090" s="24"/>
      <c r="U1090" s="24"/>
      <c r="V1090" s="24"/>
      <c r="W1090" s="24"/>
      <c r="X1090" s="24"/>
      <c r="Y1090" s="24"/>
      <c r="Z1090" s="24"/>
      <c r="AA1090" s="24"/>
      <c r="AB1090" s="24"/>
      <c r="AC1090" s="24"/>
    </row>
    <row r="1091" spans="1:29" ht="12.9">
      <c r="A1091" s="24"/>
      <c r="B1091" s="24"/>
      <c r="C1091" s="143"/>
      <c r="D1091" s="24"/>
      <c r="E1091" s="24"/>
      <c r="F1091" s="24"/>
      <c r="G1091" s="24"/>
      <c r="H1091" s="117"/>
      <c r="I1091" s="117"/>
      <c r="J1091" s="24"/>
      <c r="K1091" s="24"/>
      <c r="L1091" s="24"/>
      <c r="M1091" s="24"/>
      <c r="N1091" s="24"/>
      <c r="O1091" s="24"/>
      <c r="P1091" s="24"/>
      <c r="Q1091" s="24"/>
      <c r="R1091" s="24"/>
      <c r="S1091" s="24"/>
      <c r="T1091" s="24"/>
      <c r="U1091" s="24"/>
      <c r="V1091" s="24"/>
      <c r="W1091" s="24"/>
      <c r="X1091" s="24"/>
      <c r="Y1091" s="24"/>
      <c r="Z1091" s="24"/>
      <c r="AA1091" s="24"/>
      <c r="AB1091" s="24"/>
      <c r="AC1091" s="24"/>
    </row>
    <row r="1092" spans="1:29" ht="12.9">
      <c r="A1092" s="24"/>
      <c r="B1092" s="24"/>
      <c r="C1092" s="143"/>
      <c r="D1092" s="24"/>
      <c r="E1092" s="24"/>
      <c r="F1092" s="24"/>
      <c r="G1092" s="24"/>
      <c r="H1092" s="117"/>
      <c r="I1092" s="117"/>
      <c r="J1092" s="24"/>
      <c r="K1092" s="24"/>
      <c r="L1092" s="24"/>
      <c r="M1092" s="24"/>
      <c r="N1092" s="24"/>
      <c r="O1092" s="24"/>
      <c r="P1092" s="24"/>
      <c r="Q1092" s="24"/>
      <c r="R1092" s="24"/>
      <c r="S1092" s="24"/>
      <c r="T1092" s="24"/>
      <c r="U1092" s="24"/>
      <c r="V1092" s="24"/>
      <c r="W1092" s="24"/>
      <c r="X1092" s="24"/>
      <c r="Y1092" s="24"/>
      <c r="Z1092" s="24"/>
      <c r="AA1092" s="24"/>
      <c r="AB1092" s="24"/>
      <c r="AC1092" s="24"/>
    </row>
    <row r="1093" spans="1:29" ht="12.9">
      <c r="A1093" s="24"/>
      <c r="B1093" s="24"/>
      <c r="C1093" s="143"/>
      <c r="D1093" s="24"/>
      <c r="E1093" s="24"/>
      <c r="F1093" s="24"/>
      <c r="G1093" s="24"/>
      <c r="H1093" s="117"/>
      <c r="I1093" s="117"/>
      <c r="J1093" s="24"/>
      <c r="K1093" s="24"/>
      <c r="L1093" s="24"/>
      <c r="M1093" s="24"/>
      <c r="N1093" s="24"/>
      <c r="O1093" s="24"/>
      <c r="P1093" s="24"/>
      <c r="Q1093" s="24"/>
      <c r="R1093" s="24"/>
      <c r="S1093" s="24"/>
      <c r="T1093" s="24"/>
      <c r="U1093" s="24"/>
      <c r="V1093" s="24"/>
      <c r="W1093" s="24"/>
      <c r="X1093" s="24"/>
      <c r="Y1093" s="24"/>
      <c r="Z1093" s="24"/>
      <c r="AA1093" s="24"/>
      <c r="AB1093" s="24"/>
      <c r="AC1093" s="24"/>
    </row>
    <row r="1094" spans="1:29" ht="12.9">
      <c r="A1094" s="24"/>
      <c r="B1094" s="24"/>
      <c r="C1094" s="143"/>
      <c r="D1094" s="24"/>
      <c r="E1094" s="24"/>
      <c r="F1094" s="24"/>
      <c r="G1094" s="24"/>
      <c r="H1094" s="117"/>
      <c r="I1094" s="117"/>
      <c r="J1094" s="24"/>
      <c r="K1094" s="24"/>
      <c r="L1094" s="24"/>
      <c r="M1094" s="24"/>
      <c r="N1094" s="24"/>
      <c r="O1094" s="24"/>
      <c r="P1094" s="24"/>
      <c r="Q1094" s="24"/>
      <c r="R1094" s="24"/>
      <c r="S1094" s="24"/>
      <c r="T1094" s="24"/>
      <c r="U1094" s="24"/>
      <c r="V1094" s="24"/>
      <c r="W1094" s="24"/>
      <c r="X1094" s="24"/>
      <c r="Y1094" s="24"/>
      <c r="Z1094" s="24"/>
      <c r="AA1094" s="24"/>
      <c r="AB1094" s="24"/>
      <c r="AC1094" s="24"/>
    </row>
    <row r="1095" spans="1:29" ht="12.9">
      <c r="A1095" s="24"/>
      <c r="B1095" s="24"/>
      <c r="C1095" s="143"/>
      <c r="D1095" s="24"/>
      <c r="E1095" s="24"/>
      <c r="F1095" s="24"/>
      <c r="G1095" s="24"/>
      <c r="H1095" s="117"/>
      <c r="I1095" s="117"/>
      <c r="J1095" s="24"/>
      <c r="K1095" s="24"/>
      <c r="L1095" s="24"/>
      <c r="M1095" s="24"/>
      <c r="N1095" s="24"/>
      <c r="O1095" s="24"/>
      <c r="P1095" s="24"/>
      <c r="Q1095" s="24"/>
      <c r="R1095" s="24"/>
      <c r="S1095" s="24"/>
      <c r="T1095" s="24"/>
      <c r="U1095" s="24"/>
      <c r="V1095" s="24"/>
      <c r="W1095" s="24"/>
      <c r="X1095" s="24"/>
      <c r="Y1095" s="24"/>
      <c r="Z1095" s="24"/>
      <c r="AA1095" s="24"/>
      <c r="AB1095" s="24"/>
      <c r="AC1095" s="24"/>
    </row>
    <row r="1096" spans="1:29" ht="12.9">
      <c r="A1096" s="24"/>
      <c r="B1096" s="24"/>
      <c r="C1096" s="143"/>
      <c r="D1096" s="24"/>
      <c r="E1096" s="24"/>
      <c r="F1096" s="24"/>
      <c r="G1096" s="24"/>
      <c r="H1096" s="117"/>
      <c r="I1096" s="117"/>
      <c r="J1096" s="24"/>
      <c r="K1096" s="24"/>
      <c r="L1096" s="24"/>
      <c r="M1096" s="24"/>
      <c r="N1096" s="24"/>
      <c r="O1096" s="24"/>
      <c r="P1096" s="24"/>
      <c r="Q1096" s="24"/>
      <c r="R1096" s="24"/>
      <c r="S1096" s="24"/>
      <c r="T1096" s="24"/>
      <c r="U1096" s="24"/>
      <c r="V1096" s="24"/>
      <c r="W1096" s="24"/>
      <c r="X1096" s="24"/>
      <c r="Y1096" s="24"/>
      <c r="Z1096" s="24"/>
      <c r="AA1096" s="24"/>
      <c r="AB1096" s="24"/>
      <c r="AC1096" s="24"/>
    </row>
    <row r="1097" spans="1:29" ht="12.9">
      <c r="A1097" s="24"/>
      <c r="B1097" s="24"/>
      <c r="C1097" s="143"/>
      <c r="D1097" s="24"/>
      <c r="E1097" s="24"/>
      <c r="F1097" s="24"/>
      <c r="G1097" s="24"/>
      <c r="H1097" s="117"/>
      <c r="I1097" s="117"/>
      <c r="J1097" s="24"/>
      <c r="K1097" s="24"/>
      <c r="L1097" s="24"/>
      <c r="M1097" s="24"/>
      <c r="N1097" s="24"/>
      <c r="O1097" s="24"/>
      <c r="P1097" s="24"/>
      <c r="Q1097" s="24"/>
      <c r="R1097" s="24"/>
      <c r="S1097" s="24"/>
      <c r="T1097" s="24"/>
      <c r="U1097" s="24"/>
      <c r="V1097" s="24"/>
      <c r="W1097" s="24"/>
      <c r="X1097" s="24"/>
      <c r="Y1097" s="24"/>
      <c r="Z1097" s="24"/>
      <c r="AA1097" s="24"/>
      <c r="AB1097" s="24"/>
      <c r="AC1097" s="24"/>
    </row>
    <row r="1098" spans="1:29" ht="12.9">
      <c r="A1098" s="24"/>
      <c r="B1098" s="24"/>
      <c r="C1098" s="143"/>
      <c r="D1098" s="24"/>
      <c r="E1098" s="24"/>
      <c r="F1098" s="24"/>
      <c r="G1098" s="24"/>
      <c r="H1098" s="117"/>
      <c r="I1098" s="117"/>
      <c r="J1098" s="24"/>
      <c r="K1098" s="24"/>
      <c r="L1098" s="24"/>
      <c r="M1098" s="24"/>
      <c r="N1098" s="24"/>
      <c r="O1098" s="24"/>
      <c r="P1098" s="24"/>
      <c r="Q1098" s="24"/>
      <c r="R1098" s="24"/>
      <c r="S1098" s="24"/>
      <c r="T1098" s="24"/>
      <c r="U1098" s="24"/>
      <c r="V1098" s="24"/>
      <c r="W1098" s="24"/>
      <c r="X1098" s="24"/>
      <c r="Y1098" s="24"/>
      <c r="Z1098" s="24"/>
      <c r="AA1098" s="24"/>
      <c r="AB1098" s="24"/>
      <c r="AC1098" s="24"/>
    </row>
    <row r="1099" spans="1:29" ht="12.9">
      <c r="A1099" s="24"/>
      <c r="B1099" s="24"/>
      <c r="C1099" s="143"/>
      <c r="D1099" s="24"/>
      <c r="E1099" s="24"/>
      <c r="F1099" s="24"/>
      <c r="G1099" s="24"/>
      <c r="H1099" s="117"/>
      <c r="I1099" s="117"/>
      <c r="J1099" s="24"/>
      <c r="K1099" s="24"/>
      <c r="L1099" s="24"/>
      <c r="M1099" s="24"/>
      <c r="N1099" s="24"/>
      <c r="O1099" s="24"/>
      <c r="P1099" s="24"/>
      <c r="Q1099" s="24"/>
      <c r="R1099" s="24"/>
      <c r="S1099" s="24"/>
      <c r="T1099" s="24"/>
      <c r="U1099" s="24"/>
      <c r="V1099" s="24"/>
      <c r="W1099" s="24"/>
      <c r="X1099" s="24"/>
      <c r="Y1099" s="24"/>
      <c r="Z1099" s="24"/>
      <c r="AA1099" s="24"/>
      <c r="AB1099" s="24"/>
      <c r="AC1099" s="24"/>
    </row>
    <row r="1100" spans="1:29" ht="12.9">
      <c r="A1100" s="24"/>
      <c r="B1100" s="24"/>
      <c r="C1100" s="143"/>
      <c r="D1100" s="24"/>
      <c r="E1100" s="24"/>
      <c r="F1100" s="24"/>
      <c r="G1100" s="24"/>
      <c r="H1100" s="117"/>
      <c r="I1100" s="117"/>
      <c r="J1100" s="24"/>
      <c r="K1100" s="24"/>
      <c r="L1100" s="24"/>
      <c r="M1100" s="24"/>
      <c r="N1100" s="24"/>
      <c r="O1100" s="24"/>
      <c r="P1100" s="24"/>
      <c r="Q1100" s="24"/>
      <c r="R1100" s="24"/>
      <c r="S1100" s="24"/>
      <c r="T1100" s="24"/>
      <c r="U1100" s="24"/>
      <c r="V1100" s="24"/>
      <c r="W1100" s="24"/>
      <c r="X1100" s="24"/>
      <c r="Y1100" s="24"/>
      <c r="Z1100" s="24"/>
      <c r="AA1100" s="24"/>
      <c r="AB1100" s="24"/>
      <c r="AC1100" s="24"/>
    </row>
    <row r="1101" spans="1:29" ht="12.9">
      <c r="A1101" s="24"/>
      <c r="B1101" s="24"/>
      <c r="C1101" s="143"/>
      <c r="D1101" s="24"/>
      <c r="E1101" s="24"/>
      <c r="F1101" s="24"/>
      <c r="G1101" s="24"/>
      <c r="H1101" s="117"/>
      <c r="I1101" s="117"/>
      <c r="J1101" s="24"/>
      <c r="K1101" s="24"/>
      <c r="L1101" s="24"/>
      <c r="M1101" s="24"/>
      <c r="N1101" s="24"/>
      <c r="O1101" s="24"/>
      <c r="P1101" s="24"/>
      <c r="Q1101" s="24"/>
      <c r="R1101" s="24"/>
      <c r="S1101" s="24"/>
      <c r="T1101" s="24"/>
      <c r="U1101" s="24"/>
      <c r="V1101" s="24"/>
      <c r="W1101" s="24"/>
      <c r="X1101" s="24"/>
      <c r="Y1101" s="24"/>
      <c r="Z1101" s="24"/>
      <c r="AA1101" s="24"/>
      <c r="AB1101" s="24"/>
      <c r="AC1101" s="24"/>
    </row>
    <row r="1102" spans="1:29" ht="12.9">
      <c r="A1102" s="24"/>
      <c r="B1102" s="24"/>
      <c r="C1102" s="143"/>
      <c r="D1102" s="24"/>
      <c r="E1102" s="24"/>
      <c r="F1102" s="24"/>
      <c r="G1102" s="24"/>
      <c r="H1102" s="117"/>
      <c r="I1102" s="117"/>
      <c r="J1102" s="24"/>
      <c r="K1102" s="24"/>
      <c r="L1102" s="24"/>
      <c r="M1102" s="24"/>
      <c r="N1102" s="24"/>
      <c r="O1102" s="24"/>
      <c r="P1102" s="24"/>
      <c r="Q1102" s="24"/>
      <c r="R1102" s="24"/>
      <c r="S1102" s="24"/>
      <c r="T1102" s="24"/>
      <c r="U1102" s="24"/>
      <c r="V1102" s="24"/>
      <c r="W1102" s="24"/>
      <c r="X1102" s="24"/>
      <c r="Y1102" s="24"/>
      <c r="Z1102" s="24"/>
      <c r="AA1102" s="24"/>
      <c r="AB1102" s="24"/>
      <c r="AC1102" s="24"/>
    </row>
    <row r="1103" spans="1:29" ht="12.9">
      <c r="A1103" s="24"/>
      <c r="B1103" s="24"/>
      <c r="C1103" s="143"/>
      <c r="D1103" s="24"/>
      <c r="E1103" s="24"/>
      <c r="F1103" s="24"/>
      <c r="G1103" s="24"/>
      <c r="H1103" s="117"/>
      <c r="I1103" s="117"/>
      <c r="J1103" s="24"/>
      <c r="K1103" s="24"/>
      <c r="L1103" s="24"/>
      <c r="M1103" s="24"/>
      <c r="N1103" s="24"/>
      <c r="O1103" s="24"/>
      <c r="P1103" s="24"/>
      <c r="Q1103" s="24"/>
      <c r="R1103" s="24"/>
      <c r="S1103" s="24"/>
      <c r="T1103" s="24"/>
      <c r="U1103" s="24"/>
      <c r="V1103" s="24"/>
      <c r="W1103" s="24"/>
      <c r="X1103" s="24"/>
      <c r="Y1103" s="24"/>
      <c r="Z1103" s="24"/>
      <c r="AA1103" s="24"/>
      <c r="AB1103" s="24"/>
      <c r="AC1103" s="24"/>
    </row>
    <row r="1104" spans="1:29" ht="12.9">
      <c r="A1104" s="24"/>
      <c r="B1104" s="24"/>
      <c r="C1104" s="143"/>
      <c r="D1104" s="24"/>
      <c r="E1104" s="24"/>
      <c r="F1104" s="24"/>
      <c r="G1104" s="24"/>
      <c r="H1104" s="117"/>
      <c r="I1104" s="117"/>
      <c r="J1104" s="24"/>
      <c r="K1104" s="24"/>
      <c r="L1104" s="24"/>
      <c r="M1104" s="24"/>
      <c r="N1104" s="24"/>
      <c r="O1104" s="24"/>
      <c r="P1104" s="24"/>
      <c r="Q1104" s="24"/>
      <c r="R1104" s="24"/>
      <c r="S1104" s="24"/>
      <c r="T1104" s="24"/>
      <c r="U1104" s="24"/>
      <c r="V1104" s="24"/>
      <c r="W1104" s="24"/>
      <c r="X1104" s="24"/>
      <c r="Y1104" s="24"/>
      <c r="Z1104" s="24"/>
      <c r="AA1104" s="24"/>
      <c r="AB1104" s="24"/>
      <c r="AC1104" s="24"/>
    </row>
    <row r="1105" spans="1:29" ht="12.9">
      <c r="A1105" s="24"/>
      <c r="B1105" s="24"/>
      <c r="C1105" s="143"/>
      <c r="D1105" s="24"/>
      <c r="E1105" s="24"/>
      <c r="F1105" s="24"/>
      <c r="G1105" s="24"/>
      <c r="H1105" s="117"/>
      <c r="I1105" s="117"/>
      <c r="J1105" s="24"/>
      <c r="K1105" s="24"/>
      <c r="L1105" s="24"/>
      <c r="M1105" s="24"/>
      <c r="N1105" s="24"/>
      <c r="O1105" s="24"/>
      <c r="P1105" s="24"/>
      <c r="Q1105" s="24"/>
      <c r="R1105" s="24"/>
      <c r="S1105" s="24"/>
      <c r="T1105" s="24"/>
      <c r="U1105" s="24"/>
      <c r="V1105" s="24"/>
      <c r="W1105" s="24"/>
      <c r="X1105" s="24"/>
      <c r="Y1105" s="24"/>
      <c r="Z1105" s="24"/>
      <c r="AA1105" s="24"/>
      <c r="AB1105" s="24"/>
      <c r="AC1105" s="24"/>
    </row>
    <row r="1106" spans="1:29" ht="12.9">
      <c r="A1106" s="24"/>
      <c r="B1106" s="24"/>
      <c r="C1106" s="143"/>
      <c r="D1106" s="24"/>
      <c r="E1106" s="24"/>
      <c r="F1106" s="24"/>
      <c r="G1106" s="24"/>
      <c r="H1106" s="117"/>
      <c r="I1106" s="117"/>
      <c r="J1106" s="24"/>
      <c r="K1106" s="24"/>
      <c r="L1106" s="24"/>
      <c r="M1106" s="24"/>
      <c r="N1106" s="24"/>
      <c r="O1106" s="24"/>
      <c r="P1106" s="24"/>
      <c r="Q1106" s="24"/>
      <c r="R1106" s="24"/>
      <c r="S1106" s="24"/>
      <c r="T1106" s="24"/>
      <c r="U1106" s="24"/>
      <c r="V1106" s="24"/>
      <c r="W1106" s="24"/>
      <c r="X1106" s="24"/>
      <c r="Y1106" s="24"/>
      <c r="Z1106" s="24"/>
      <c r="AA1106" s="24"/>
      <c r="AB1106" s="24"/>
      <c r="AC1106" s="24"/>
    </row>
    <row r="1107" spans="1:29" ht="12.9">
      <c r="A1107" s="24"/>
      <c r="B1107" s="24"/>
      <c r="C1107" s="143"/>
      <c r="D1107" s="24"/>
      <c r="E1107" s="24"/>
      <c r="F1107" s="24"/>
      <c r="G1107" s="24"/>
      <c r="H1107" s="117"/>
      <c r="I1107" s="117"/>
      <c r="J1107" s="24"/>
      <c r="K1107" s="24"/>
      <c r="L1107" s="24"/>
      <c r="M1107" s="24"/>
      <c r="N1107" s="24"/>
      <c r="O1107" s="24"/>
      <c r="P1107" s="24"/>
      <c r="Q1107" s="24"/>
      <c r="R1107" s="24"/>
      <c r="S1107" s="24"/>
      <c r="T1107" s="24"/>
      <c r="U1107" s="24"/>
      <c r="V1107" s="24"/>
      <c r="W1107" s="24"/>
      <c r="X1107" s="24"/>
      <c r="Y1107" s="24"/>
      <c r="Z1107" s="24"/>
      <c r="AA1107" s="24"/>
      <c r="AB1107" s="24"/>
      <c r="AC1107" s="24"/>
    </row>
    <row r="1108" spans="1:29" ht="12.9">
      <c r="A1108" s="24"/>
      <c r="B1108" s="24"/>
      <c r="C1108" s="143"/>
      <c r="D1108" s="24"/>
      <c r="E1108" s="24"/>
      <c r="F1108" s="24"/>
      <c r="G1108" s="24"/>
      <c r="H1108" s="117"/>
      <c r="I1108" s="117"/>
      <c r="J1108" s="24"/>
      <c r="K1108" s="24"/>
      <c r="L1108" s="24"/>
      <c r="M1108" s="24"/>
      <c r="N1108" s="24"/>
      <c r="O1108" s="24"/>
      <c r="P1108" s="24"/>
      <c r="Q1108" s="24"/>
      <c r="R1108" s="24"/>
      <c r="S1108" s="24"/>
      <c r="T1108" s="24"/>
      <c r="U1108" s="24"/>
      <c r="V1108" s="24"/>
      <c r="W1108" s="24"/>
      <c r="X1108" s="24"/>
      <c r="Y1108" s="24"/>
      <c r="Z1108" s="24"/>
      <c r="AA1108" s="24"/>
      <c r="AB1108" s="24"/>
      <c r="AC1108" s="24"/>
    </row>
    <row r="1109" spans="1:29" ht="12.9">
      <c r="A1109" s="24"/>
      <c r="B1109" s="24"/>
      <c r="C1109" s="143"/>
      <c r="D1109" s="24"/>
      <c r="E1109" s="24"/>
      <c r="F1109" s="24"/>
      <c r="G1109" s="24"/>
      <c r="H1109" s="117"/>
      <c r="I1109" s="117"/>
      <c r="J1109" s="24"/>
      <c r="K1109" s="24"/>
      <c r="L1109" s="24"/>
      <c r="M1109" s="24"/>
      <c r="N1109" s="24"/>
      <c r="O1109" s="24"/>
      <c r="P1109" s="24"/>
      <c r="Q1109" s="24"/>
      <c r="R1109" s="24"/>
      <c r="S1109" s="24"/>
      <c r="T1109" s="24"/>
      <c r="U1109" s="24"/>
      <c r="V1109" s="24"/>
      <c r="W1109" s="24"/>
      <c r="X1109" s="24"/>
      <c r="Y1109" s="24"/>
      <c r="Z1109" s="24"/>
      <c r="AA1109" s="24"/>
      <c r="AB1109" s="24"/>
      <c r="AC1109" s="24"/>
    </row>
    <row r="1110" spans="1:29" ht="12.9">
      <c r="A1110" s="24"/>
      <c r="B1110" s="24"/>
      <c r="C1110" s="143"/>
      <c r="D1110" s="24"/>
      <c r="E1110" s="24"/>
      <c r="F1110" s="24"/>
      <c r="G1110" s="24"/>
      <c r="H1110" s="117"/>
      <c r="I1110" s="117"/>
      <c r="J1110" s="24"/>
      <c r="K1110" s="24"/>
      <c r="L1110" s="24"/>
      <c r="M1110" s="24"/>
      <c r="N1110" s="24"/>
      <c r="O1110" s="24"/>
      <c r="P1110" s="24"/>
      <c r="Q1110" s="24"/>
      <c r="R1110" s="24"/>
      <c r="S1110" s="24"/>
      <c r="T1110" s="24"/>
      <c r="U1110" s="24"/>
      <c r="V1110" s="24"/>
      <c r="W1110" s="24"/>
      <c r="X1110" s="24"/>
      <c r="Y1110" s="24"/>
      <c r="Z1110" s="24"/>
      <c r="AA1110" s="24"/>
      <c r="AB1110" s="24"/>
      <c r="AC1110" s="24"/>
    </row>
    <row r="1111" spans="1:29" ht="12.9">
      <c r="A1111" s="24"/>
      <c r="B1111" s="24"/>
      <c r="C1111" s="143"/>
      <c r="D1111" s="24"/>
      <c r="E1111" s="24"/>
      <c r="F1111" s="24"/>
      <c r="G1111" s="24"/>
      <c r="H1111" s="117"/>
      <c r="I1111" s="117"/>
      <c r="J1111" s="24"/>
      <c r="K1111" s="24"/>
      <c r="L1111" s="24"/>
      <c r="M1111" s="24"/>
      <c r="N1111" s="24"/>
      <c r="O1111" s="24"/>
      <c r="P1111" s="24"/>
      <c r="Q1111" s="24"/>
      <c r="R1111" s="24"/>
      <c r="S1111" s="24"/>
      <c r="T1111" s="24"/>
      <c r="U1111" s="24"/>
      <c r="V1111" s="24"/>
      <c r="W1111" s="24"/>
      <c r="X1111" s="24"/>
      <c r="Y1111" s="24"/>
      <c r="Z1111" s="24"/>
      <c r="AA1111" s="24"/>
      <c r="AB1111" s="24"/>
      <c r="AC1111" s="24"/>
    </row>
    <row r="1112" spans="1:29" ht="12.9">
      <c r="A1112" s="24"/>
      <c r="B1112" s="24"/>
      <c r="C1112" s="143"/>
      <c r="D1112" s="24"/>
      <c r="E1112" s="24"/>
      <c r="F1112" s="24"/>
      <c r="G1112" s="24"/>
      <c r="H1112" s="117"/>
      <c r="I1112" s="117"/>
      <c r="J1112" s="24"/>
      <c r="K1112" s="24"/>
      <c r="L1112" s="24"/>
      <c r="M1112" s="24"/>
      <c r="N1112" s="24"/>
      <c r="O1112" s="24"/>
      <c r="P1112" s="24"/>
      <c r="Q1112" s="24"/>
      <c r="R1112" s="24"/>
      <c r="S1112" s="24"/>
      <c r="T1112" s="24"/>
      <c r="U1112" s="24"/>
      <c r="V1112" s="24"/>
      <c r="W1112" s="24"/>
      <c r="X1112" s="24"/>
      <c r="Y1112" s="24"/>
      <c r="Z1112" s="24"/>
      <c r="AA1112" s="24"/>
      <c r="AB1112" s="24"/>
      <c r="AC1112" s="24"/>
    </row>
    <row r="1113" spans="1:29" ht="12.9">
      <c r="A1113" s="24"/>
      <c r="B1113" s="24"/>
      <c r="C1113" s="143"/>
      <c r="D1113" s="24"/>
      <c r="E1113" s="24"/>
      <c r="F1113" s="24"/>
      <c r="G1113" s="24"/>
      <c r="H1113" s="117"/>
      <c r="I1113" s="117"/>
      <c r="J1113" s="24"/>
      <c r="K1113" s="24"/>
      <c r="L1113" s="24"/>
      <c r="M1113" s="24"/>
      <c r="N1113" s="24"/>
      <c r="O1113" s="24"/>
      <c r="P1113" s="24"/>
      <c r="Q1113" s="24"/>
      <c r="R1113" s="24"/>
      <c r="S1113" s="24"/>
      <c r="T1113" s="24"/>
      <c r="U1113" s="24"/>
      <c r="V1113" s="24"/>
      <c r="W1113" s="24"/>
      <c r="X1113" s="24"/>
      <c r="Y1113" s="24"/>
      <c r="Z1113" s="24"/>
      <c r="AA1113" s="24"/>
      <c r="AB1113" s="24"/>
      <c r="AC1113" s="24"/>
    </row>
    <row r="1114" spans="1:29" ht="12.9">
      <c r="A1114" s="24"/>
      <c r="B1114" s="24"/>
      <c r="C1114" s="143"/>
      <c r="D1114" s="24"/>
      <c r="E1114" s="24"/>
      <c r="F1114" s="24"/>
      <c r="G1114" s="24"/>
      <c r="H1114" s="117"/>
      <c r="I1114" s="117"/>
      <c r="J1114" s="24"/>
      <c r="K1114" s="24"/>
      <c r="L1114" s="24"/>
      <c r="M1114" s="24"/>
      <c r="N1114" s="24"/>
      <c r="O1114" s="24"/>
      <c r="P1114" s="24"/>
      <c r="Q1114" s="24"/>
      <c r="R1114" s="24"/>
      <c r="S1114" s="24"/>
      <c r="T1114" s="24"/>
      <c r="U1114" s="24"/>
      <c r="V1114" s="24"/>
      <c r="W1114" s="24"/>
      <c r="X1114" s="24"/>
      <c r="Y1114" s="24"/>
      <c r="Z1114" s="24"/>
      <c r="AA1114" s="24"/>
      <c r="AB1114" s="24"/>
      <c r="AC1114" s="24"/>
    </row>
    <row r="1115" spans="1:29" ht="12.9">
      <c r="A1115" s="24"/>
      <c r="B1115" s="24"/>
      <c r="C1115" s="143"/>
      <c r="D1115" s="24"/>
      <c r="E1115" s="24"/>
      <c r="F1115" s="24"/>
      <c r="G1115" s="24"/>
      <c r="H1115" s="117"/>
      <c r="I1115" s="117"/>
      <c r="J1115" s="24"/>
      <c r="K1115" s="24"/>
      <c r="L1115" s="24"/>
      <c r="M1115" s="24"/>
      <c r="N1115" s="24"/>
      <c r="O1115" s="24"/>
      <c r="P1115" s="24"/>
      <c r="Q1115" s="24"/>
      <c r="R1115" s="24"/>
      <c r="S1115" s="24"/>
      <c r="T1115" s="24"/>
      <c r="U1115" s="24"/>
      <c r="V1115" s="24"/>
      <c r="W1115" s="24"/>
      <c r="X1115" s="24"/>
      <c r="Y1115" s="24"/>
      <c r="Z1115" s="24"/>
      <c r="AA1115" s="24"/>
      <c r="AB1115" s="24"/>
      <c r="AC1115" s="24"/>
    </row>
    <row r="1116" spans="1:29" ht="12.9">
      <c r="A1116" s="24"/>
      <c r="B1116" s="24"/>
      <c r="C1116" s="143"/>
      <c r="D1116" s="24"/>
      <c r="E1116" s="24"/>
      <c r="F1116" s="24"/>
      <c r="G1116" s="24"/>
      <c r="H1116" s="117"/>
      <c r="I1116" s="117"/>
      <c r="J1116" s="24"/>
      <c r="K1116" s="24"/>
      <c r="L1116" s="24"/>
      <c r="M1116" s="24"/>
      <c r="N1116" s="24"/>
      <c r="O1116" s="24"/>
      <c r="P1116" s="24"/>
      <c r="Q1116" s="24"/>
      <c r="R1116" s="24"/>
      <c r="S1116" s="24"/>
      <c r="T1116" s="24"/>
      <c r="U1116" s="24"/>
      <c r="V1116" s="24"/>
      <c r="W1116" s="24"/>
      <c r="X1116" s="24"/>
      <c r="Y1116" s="24"/>
      <c r="Z1116" s="24"/>
      <c r="AA1116" s="24"/>
      <c r="AB1116" s="24"/>
      <c r="AC1116" s="24"/>
    </row>
    <row r="1117" spans="1:29" ht="12.9">
      <c r="A1117" s="24"/>
      <c r="B1117" s="24"/>
      <c r="C1117" s="143"/>
      <c r="D1117" s="24"/>
      <c r="E1117" s="24"/>
      <c r="F1117" s="24"/>
      <c r="G1117" s="24"/>
      <c r="H1117" s="117"/>
      <c r="I1117" s="117"/>
      <c r="J1117" s="24"/>
      <c r="K1117" s="24"/>
      <c r="L1117" s="24"/>
      <c r="M1117" s="24"/>
      <c r="N1117" s="24"/>
      <c r="O1117" s="24"/>
      <c r="P1117" s="24"/>
      <c r="Q1117" s="24"/>
      <c r="R1117" s="24"/>
      <c r="S1117" s="24"/>
      <c r="T1117" s="24"/>
      <c r="U1117" s="24"/>
      <c r="V1117" s="24"/>
      <c r="W1117" s="24"/>
      <c r="X1117" s="24"/>
      <c r="Y1117" s="24"/>
      <c r="Z1117" s="24"/>
      <c r="AA1117" s="24"/>
      <c r="AB1117" s="24"/>
      <c r="AC1117" s="24"/>
    </row>
    <row r="1118" spans="1:29" ht="12.9">
      <c r="A1118" s="24"/>
      <c r="B1118" s="24"/>
      <c r="C1118" s="143"/>
      <c r="D1118" s="24"/>
      <c r="E1118" s="24"/>
      <c r="F1118" s="24"/>
      <c r="G1118" s="24"/>
      <c r="H1118" s="117"/>
      <c r="I1118" s="117"/>
      <c r="J1118" s="24"/>
      <c r="K1118" s="24"/>
      <c r="L1118" s="24"/>
      <c r="M1118" s="24"/>
      <c r="N1118" s="24"/>
      <c r="O1118" s="24"/>
      <c r="P1118" s="24"/>
      <c r="Q1118" s="24"/>
      <c r="R1118" s="24"/>
      <c r="S1118" s="24"/>
      <c r="T1118" s="24"/>
      <c r="U1118" s="24"/>
      <c r="V1118" s="24"/>
      <c r="W1118" s="24"/>
      <c r="X1118" s="24"/>
      <c r="Y1118" s="24"/>
      <c r="Z1118" s="24"/>
      <c r="AA1118" s="24"/>
      <c r="AB1118" s="24"/>
      <c r="AC1118" s="24"/>
    </row>
    <row r="1119" spans="1:29" ht="12.9">
      <c r="A1119" s="24"/>
      <c r="B1119" s="24"/>
      <c r="C1119" s="143"/>
      <c r="D1119" s="24"/>
      <c r="E1119" s="24"/>
      <c r="F1119" s="24"/>
      <c r="G1119" s="24"/>
      <c r="H1119" s="117"/>
      <c r="I1119" s="117"/>
      <c r="J1119" s="24"/>
      <c r="K1119" s="24"/>
      <c r="L1119" s="24"/>
      <c r="M1119" s="24"/>
      <c r="N1119" s="24"/>
      <c r="O1119" s="24"/>
      <c r="P1119" s="24"/>
      <c r="Q1119" s="24"/>
      <c r="R1119" s="24"/>
      <c r="S1119" s="24"/>
      <c r="T1119" s="24"/>
      <c r="U1119" s="24"/>
      <c r="V1119" s="24"/>
      <c r="W1119" s="24"/>
      <c r="X1119" s="24"/>
      <c r="Y1119" s="24"/>
      <c r="Z1119" s="24"/>
      <c r="AA1119" s="24"/>
      <c r="AB1119" s="24"/>
      <c r="AC1119" s="24"/>
    </row>
    <row r="1120" spans="1:29" ht="12.9">
      <c r="A1120" s="24"/>
      <c r="B1120" s="24"/>
      <c r="C1120" s="143"/>
      <c r="D1120" s="24"/>
      <c r="E1120" s="24"/>
      <c r="F1120" s="24"/>
      <c r="G1120" s="24"/>
      <c r="H1120" s="117"/>
      <c r="I1120" s="117"/>
      <c r="J1120" s="24"/>
      <c r="K1120" s="24"/>
      <c r="L1120" s="24"/>
      <c r="M1120" s="24"/>
      <c r="N1120" s="24"/>
      <c r="O1120" s="24"/>
      <c r="P1120" s="24"/>
      <c r="Q1120" s="24"/>
      <c r="R1120" s="24"/>
      <c r="S1120" s="24"/>
      <c r="T1120" s="24"/>
      <c r="U1120" s="24"/>
      <c r="V1120" s="24"/>
      <c r="W1120" s="24"/>
      <c r="X1120" s="24"/>
      <c r="Y1120" s="24"/>
      <c r="Z1120" s="24"/>
      <c r="AA1120" s="24"/>
      <c r="AB1120" s="24"/>
      <c r="AC1120" s="24"/>
    </row>
    <row r="1121" spans="1:29" ht="12.9">
      <c r="A1121" s="24"/>
      <c r="B1121" s="24"/>
      <c r="C1121" s="143"/>
      <c r="D1121" s="24"/>
      <c r="E1121" s="24"/>
      <c r="F1121" s="24"/>
      <c r="G1121" s="24"/>
      <c r="H1121" s="117"/>
      <c r="I1121" s="117"/>
      <c r="J1121" s="24"/>
      <c r="K1121" s="24"/>
      <c r="L1121" s="24"/>
      <c r="M1121" s="24"/>
      <c r="N1121" s="24"/>
      <c r="O1121" s="24"/>
      <c r="P1121" s="24"/>
      <c r="Q1121" s="24"/>
      <c r="R1121" s="24"/>
      <c r="S1121" s="24"/>
      <c r="T1121" s="24"/>
      <c r="U1121" s="24"/>
      <c r="V1121" s="24"/>
      <c r="W1121" s="24"/>
      <c r="X1121" s="24"/>
      <c r="Y1121" s="24"/>
      <c r="Z1121" s="24"/>
      <c r="AA1121" s="24"/>
      <c r="AB1121" s="24"/>
      <c r="AC1121" s="24"/>
    </row>
    <row r="1122" spans="1:29" ht="12.9">
      <c r="A1122" s="24"/>
      <c r="B1122" s="24"/>
      <c r="C1122" s="143"/>
      <c r="D1122" s="24"/>
      <c r="E1122" s="24"/>
      <c r="F1122" s="24"/>
      <c r="G1122" s="24"/>
      <c r="H1122" s="117"/>
      <c r="I1122" s="117"/>
      <c r="J1122" s="24"/>
      <c r="K1122" s="24"/>
      <c r="L1122" s="24"/>
      <c r="M1122" s="24"/>
      <c r="N1122" s="24"/>
      <c r="O1122" s="24"/>
      <c r="P1122" s="24"/>
      <c r="Q1122" s="24"/>
      <c r="R1122" s="24"/>
      <c r="S1122" s="24"/>
      <c r="T1122" s="24"/>
      <c r="U1122" s="24"/>
      <c r="V1122" s="24"/>
      <c r="W1122" s="24"/>
      <c r="X1122" s="24"/>
      <c r="Y1122" s="24"/>
      <c r="Z1122" s="24"/>
      <c r="AA1122" s="24"/>
      <c r="AB1122" s="24"/>
      <c r="AC1122" s="24"/>
    </row>
    <row r="1123" spans="1:29" ht="12.9">
      <c r="A1123" s="24"/>
      <c r="B1123" s="24"/>
      <c r="C1123" s="143"/>
      <c r="D1123" s="24"/>
      <c r="E1123" s="24"/>
      <c r="F1123" s="24"/>
      <c r="G1123" s="24"/>
      <c r="H1123" s="117"/>
      <c r="I1123" s="117"/>
      <c r="J1123" s="24"/>
      <c r="K1123" s="24"/>
      <c r="L1123" s="24"/>
      <c r="M1123" s="24"/>
      <c r="N1123" s="24"/>
      <c r="O1123" s="24"/>
      <c r="P1123" s="24"/>
      <c r="Q1123" s="24"/>
      <c r="R1123" s="24"/>
      <c r="S1123" s="24"/>
      <c r="T1123" s="24"/>
      <c r="U1123" s="24"/>
      <c r="V1123" s="24"/>
      <c r="W1123" s="24"/>
      <c r="X1123" s="24"/>
      <c r="Y1123" s="24"/>
      <c r="Z1123" s="24"/>
      <c r="AA1123" s="24"/>
      <c r="AB1123" s="24"/>
      <c r="AC1123" s="24"/>
    </row>
    <row r="1124" spans="1:29" ht="12.9">
      <c r="A1124" s="24"/>
      <c r="B1124" s="24"/>
      <c r="C1124" s="143"/>
      <c r="D1124" s="24"/>
      <c r="E1124" s="24"/>
      <c r="F1124" s="24"/>
      <c r="G1124" s="24"/>
      <c r="H1124" s="117"/>
      <c r="I1124" s="117"/>
      <c r="J1124" s="24"/>
      <c r="K1124" s="24"/>
      <c r="L1124" s="24"/>
      <c r="M1124" s="24"/>
      <c r="N1124" s="24"/>
      <c r="O1124" s="24"/>
      <c r="P1124" s="24"/>
      <c r="Q1124" s="24"/>
      <c r="R1124" s="24"/>
      <c r="S1124" s="24"/>
      <c r="T1124" s="24"/>
      <c r="U1124" s="24"/>
      <c r="V1124" s="24"/>
      <c r="W1124" s="24"/>
      <c r="X1124" s="24"/>
      <c r="Y1124" s="24"/>
      <c r="Z1124" s="24"/>
      <c r="AA1124" s="24"/>
      <c r="AB1124" s="24"/>
      <c r="AC1124" s="24"/>
    </row>
    <row r="1125" spans="1:29" ht="12.9">
      <c r="A1125" s="24"/>
      <c r="B1125" s="24"/>
      <c r="C1125" s="143"/>
      <c r="D1125" s="24"/>
      <c r="E1125" s="24"/>
      <c r="F1125" s="24"/>
      <c r="G1125" s="24"/>
      <c r="H1125" s="117"/>
      <c r="I1125" s="117"/>
      <c r="J1125" s="24"/>
      <c r="K1125" s="24"/>
      <c r="L1125" s="24"/>
      <c r="M1125" s="24"/>
      <c r="N1125" s="24"/>
      <c r="O1125" s="24"/>
      <c r="P1125" s="24"/>
      <c r="Q1125" s="24"/>
      <c r="R1125" s="24"/>
      <c r="S1125" s="24"/>
      <c r="T1125" s="24"/>
      <c r="U1125" s="24"/>
      <c r="V1125" s="24"/>
      <c r="W1125" s="24"/>
      <c r="X1125" s="24"/>
      <c r="Y1125" s="24"/>
      <c r="Z1125" s="24"/>
      <c r="AA1125" s="24"/>
      <c r="AB1125" s="24"/>
      <c r="AC1125" s="24"/>
    </row>
    <row r="1126" spans="1:29" ht="12.9">
      <c r="A1126" s="24"/>
      <c r="B1126" s="24"/>
      <c r="C1126" s="143"/>
      <c r="D1126" s="24"/>
      <c r="E1126" s="24"/>
      <c r="F1126" s="24"/>
      <c r="G1126" s="24"/>
      <c r="H1126" s="117"/>
      <c r="I1126" s="117"/>
      <c r="J1126" s="24"/>
      <c r="K1126" s="24"/>
      <c r="L1126" s="24"/>
      <c r="M1126" s="24"/>
      <c r="N1126" s="24"/>
      <c r="O1126" s="24"/>
      <c r="P1126" s="24"/>
      <c r="Q1126" s="24"/>
      <c r="R1126" s="24"/>
      <c r="S1126" s="24"/>
      <c r="T1126" s="24"/>
      <c r="U1126" s="24"/>
      <c r="V1126" s="24"/>
      <c r="W1126" s="24"/>
      <c r="X1126" s="24"/>
      <c r="Y1126" s="24"/>
      <c r="Z1126" s="24"/>
      <c r="AA1126" s="24"/>
      <c r="AB1126" s="24"/>
      <c r="AC1126" s="24"/>
    </row>
    <row r="1127" spans="1:29" ht="12.9">
      <c r="A1127" s="24"/>
      <c r="B1127" s="24"/>
      <c r="C1127" s="143"/>
      <c r="D1127" s="24"/>
      <c r="E1127" s="24"/>
      <c r="F1127" s="24"/>
      <c r="G1127" s="24"/>
      <c r="H1127" s="117"/>
      <c r="I1127" s="117"/>
      <c r="J1127" s="24"/>
      <c r="K1127" s="24"/>
      <c r="L1127" s="24"/>
      <c r="M1127" s="24"/>
      <c r="N1127" s="24"/>
      <c r="O1127" s="24"/>
      <c r="P1127" s="24"/>
      <c r="Q1127" s="24"/>
      <c r="R1127" s="24"/>
      <c r="S1127" s="24"/>
      <c r="T1127" s="24"/>
      <c r="U1127" s="24"/>
      <c r="V1127" s="24"/>
      <c r="W1127" s="24"/>
      <c r="X1127" s="24"/>
      <c r="Y1127" s="24"/>
      <c r="Z1127" s="24"/>
      <c r="AA1127" s="24"/>
      <c r="AB1127" s="24"/>
      <c r="AC1127" s="24"/>
    </row>
    <row r="1128" spans="1:29" ht="12.9">
      <c r="A1128" s="24"/>
      <c r="B1128" s="24"/>
      <c r="C1128" s="143"/>
      <c r="D1128" s="24"/>
      <c r="E1128" s="24"/>
      <c r="F1128" s="24"/>
      <c r="G1128" s="24"/>
      <c r="H1128" s="117"/>
      <c r="I1128" s="117"/>
      <c r="J1128" s="24"/>
      <c r="K1128" s="24"/>
      <c r="L1128" s="24"/>
      <c r="M1128" s="24"/>
      <c r="N1128" s="24"/>
      <c r="O1128" s="24"/>
      <c r="P1128" s="24"/>
      <c r="Q1128" s="24"/>
      <c r="R1128" s="24"/>
      <c r="S1128" s="24"/>
      <c r="T1128" s="24"/>
      <c r="U1128" s="24"/>
      <c r="V1128" s="24"/>
      <c r="W1128" s="24"/>
      <c r="X1128" s="24"/>
      <c r="Y1128" s="24"/>
      <c r="Z1128" s="24"/>
      <c r="AA1128" s="24"/>
      <c r="AB1128" s="24"/>
      <c r="AC1128" s="24"/>
    </row>
    <row r="1129" spans="1:29" ht="12.9">
      <c r="A1129" s="24"/>
      <c r="B1129" s="24"/>
      <c r="C1129" s="143"/>
      <c r="D1129" s="24"/>
      <c r="E1129" s="24"/>
      <c r="F1129" s="24"/>
      <c r="G1129" s="24"/>
      <c r="H1129" s="117"/>
      <c r="I1129" s="117"/>
      <c r="J1129" s="24"/>
      <c r="K1129" s="24"/>
      <c r="L1129" s="24"/>
      <c r="M1129" s="24"/>
      <c r="N1129" s="24"/>
      <c r="O1129" s="24"/>
      <c r="P1129" s="24"/>
      <c r="Q1129" s="24"/>
      <c r="R1129" s="24"/>
      <c r="S1129" s="24"/>
      <c r="T1129" s="24"/>
      <c r="U1129" s="24"/>
      <c r="V1129" s="24"/>
      <c r="W1129" s="24"/>
      <c r="X1129" s="24"/>
      <c r="Y1129" s="24"/>
      <c r="Z1129" s="24"/>
      <c r="AA1129" s="24"/>
      <c r="AB1129" s="24"/>
      <c r="AC1129" s="24"/>
    </row>
    <row r="1130" spans="1:29" ht="12.9">
      <c r="A1130" s="24"/>
      <c r="B1130" s="24"/>
      <c r="C1130" s="143"/>
      <c r="D1130" s="24"/>
      <c r="E1130" s="24"/>
      <c r="F1130" s="24"/>
      <c r="G1130" s="24"/>
      <c r="H1130" s="117"/>
      <c r="I1130" s="117"/>
      <c r="J1130" s="24"/>
      <c r="K1130" s="24"/>
      <c r="L1130" s="24"/>
      <c r="M1130" s="24"/>
      <c r="N1130" s="24"/>
      <c r="O1130" s="24"/>
      <c r="P1130" s="24"/>
      <c r="Q1130" s="24"/>
      <c r="R1130" s="24"/>
      <c r="S1130" s="24"/>
      <c r="T1130" s="24"/>
      <c r="U1130" s="24"/>
      <c r="V1130" s="24"/>
      <c r="W1130" s="24"/>
      <c r="X1130" s="24"/>
      <c r="Y1130" s="24"/>
      <c r="Z1130" s="24"/>
      <c r="AA1130" s="24"/>
      <c r="AB1130" s="24"/>
      <c r="AC1130" s="24"/>
    </row>
    <row r="1131" spans="1:29" ht="12.9">
      <c r="A1131" s="24"/>
      <c r="B1131" s="24"/>
      <c r="C1131" s="143"/>
      <c r="D1131" s="24"/>
      <c r="E1131" s="24"/>
      <c r="F1131" s="24"/>
      <c r="G1131" s="24"/>
      <c r="H1131" s="117"/>
      <c r="I1131" s="117"/>
      <c r="J1131" s="24"/>
      <c r="K1131" s="24"/>
      <c r="L1131" s="24"/>
      <c r="M1131" s="24"/>
      <c r="N1131" s="24"/>
      <c r="O1131" s="24"/>
      <c r="P1131" s="24"/>
      <c r="Q1131" s="24"/>
      <c r="R1131" s="24"/>
      <c r="S1131" s="24"/>
      <c r="T1131" s="24"/>
      <c r="U1131" s="24"/>
      <c r="V1131" s="24"/>
      <c r="W1131" s="24"/>
      <c r="X1131" s="24"/>
      <c r="Y1131" s="24"/>
      <c r="Z1131" s="24"/>
      <c r="AA1131" s="24"/>
      <c r="AB1131" s="24"/>
      <c r="AC1131" s="24"/>
    </row>
    <row r="1132" spans="1:29" ht="12.9">
      <c r="A1132" s="24"/>
      <c r="B1132" s="24"/>
      <c r="C1132" s="143"/>
      <c r="D1132" s="24"/>
      <c r="E1132" s="24"/>
      <c r="F1132" s="24"/>
      <c r="G1132" s="24"/>
      <c r="H1132" s="117"/>
      <c r="I1132" s="117"/>
      <c r="J1132" s="24"/>
      <c r="K1132" s="24"/>
      <c r="L1132" s="24"/>
      <c r="M1132" s="24"/>
      <c r="N1132" s="24"/>
      <c r="O1132" s="24"/>
      <c r="P1132" s="24"/>
      <c r="Q1132" s="24"/>
      <c r="R1132" s="24"/>
      <c r="S1132" s="24"/>
      <c r="T1132" s="24"/>
      <c r="U1132" s="24"/>
      <c r="V1132" s="24"/>
      <c r="W1132" s="24"/>
      <c r="X1132" s="24"/>
      <c r="Y1132" s="24"/>
      <c r="Z1132" s="24"/>
      <c r="AA1132" s="24"/>
      <c r="AB1132" s="24"/>
      <c r="AC1132" s="24"/>
    </row>
    <row r="1133" spans="1:29" ht="12.9">
      <c r="A1133" s="24"/>
      <c r="B1133" s="24"/>
      <c r="C1133" s="143"/>
      <c r="D1133" s="24"/>
      <c r="E1133" s="24"/>
      <c r="F1133" s="24"/>
      <c r="G1133" s="24"/>
      <c r="H1133" s="117"/>
      <c r="I1133" s="117"/>
      <c r="J1133" s="24"/>
      <c r="K1133" s="24"/>
      <c r="L1133" s="24"/>
      <c r="M1133" s="24"/>
      <c r="N1133" s="24"/>
      <c r="O1133" s="24"/>
      <c r="P1133" s="24"/>
      <c r="Q1133" s="24"/>
      <c r="R1133" s="24"/>
      <c r="S1133" s="24"/>
      <c r="T1133" s="24"/>
      <c r="U1133" s="24"/>
      <c r="V1133" s="24"/>
      <c r="W1133" s="24"/>
      <c r="X1133" s="24"/>
      <c r="Y1133" s="24"/>
      <c r="Z1133" s="24"/>
      <c r="AA1133" s="24"/>
      <c r="AB1133" s="24"/>
      <c r="AC1133" s="24"/>
    </row>
    <row r="1134" spans="1:29" ht="12.9">
      <c r="A1134" s="24"/>
      <c r="B1134" s="24"/>
      <c r="C1134" s="143"/>
      <c r="D1134" s="24"/>
      <c r="E1134" s="24"/>
      <c r="F1134" s="24"/>
      <c r="G1134" s="24"/>
      <c r="H1134" s="117"/>
      <c r="I1134" s="117"/>
      <c r="J1134" s="24"/>
      <c r="K1134" s="24"/>
      <c r="L1134" s="24"/>
      <c r="M1134" s="24"/>
      <c r="N1134" s="24"/>
      <c r="O1134" s="24"/>
      <c r="P1134" s="24"/>
      <c r="Q1134" s="24"/>
      <c r="R1134" s="24"/>
      <c r="S1134" s="24"/>
      <c r="T1134" s="24"/>
      <c r="U1134" s="24"/>
      <c r="V1134" s="24"/>
      <c r="W1134" s="24"/>
      <c r="X1134" s="24"/>
      <c r="Y1134" s="24"/>
      <c r="Z1134" s="24"/>
      <c r="AA1134" s="24"/>
      <c r="AB1134" s="24"/>
      <c r="AC1134" s="24"/>
    </row>
    <row r="1135" spans="1:29" ht="12.9">
      <c r="A1135" s="24"/>
      <c r="B1135" s="24"/>
      <c r="C1135" s="143"/>
      <c r="D1135" s="24"/>
      <c r="E1135" s="24"/>
      <c r="F1135" s="24"/>
      <c r="G1135" s="24"/>
      <c r="H1135" s="117"/>
      <c r="I1135" s="117"/>
      <c r="J1135" s="24"/>
      <c r="K1135" s="24"/>
      <c r="L1135" s="24"/>
      <c r="M1135" s="24"/>
      <c r="N1135" s="24"/>
      <c r="O1135" s="24"/>
      <c r="P1135" s="24"/>
      <c r="Q1135" s="24"/>
      <c r="R1135" s="24"/>
      <c r="S1135" s="24"/>
      <c r="T1135" s="24"/>
      <c r="U1135" s="24"/>
      <c r="V1135" s="24"/>
      <c r="W1135" s="24"/>
      <c r="X1135" s="24"/>
      <c r="Y1135" s="24"/>
      <c r="Z1135" s="24"/>
      <c r="AA1135" s="24"/>
      <c r="AB1135" s="24"/>
      <c r="AC1135" s="24"/>
    </row>
    <row r="1136" spans="1:29" ht="12.9">
      <c r="A1136" s="24"/>
      <c r="B1136" s="24"/>
      <c r="C1136" s="143"/>
      <c r="D1136" s="24"/>
      <c r="E1136" s="24"/>
      <c r="F1136" s="24"/>
      <c r="G1136" s="24"/>
      <c r="H1136" s="117"/>
      <c r="I1136" s="117"/>
      <c r="J1136" s="24"/>
      <c r="K1136" s="24"/>
      <c r="L1136" s="24"/>
      <c r="M1136" s="24"/>
      <c r="N1136" s="24"/>
      <c r="O1136" s="24"/>
      <c r="P1136" s="24"/>
      <c r="Q1136" s="24"/>
      <c r="R1136" s="24"/>
      <c r="S1136" s="24"/>
      <c r="T1136" s="24"/>
      <c r="U1136" s="24"/>
      <c r="V1136" s="24"/>
      <c r="W1136" s="24"/>
      <c r="X1136" s="24"/>
      <c r="Y1136" s="24"/>
      <c r="Z1136" s="24"/>
      <c r="AA1136" s="24"/>
      <c r="AB1136" s="24"/>
      <c r="AC1136" s="24"/>
    </row>
    <row r="1137" spans="1:29" ht="12.9">
      <c r="A1137" s="24"/>
      <c r="B1137" s="24"/>
      <c r="C1137" s="143"/>
      <c r="D1137" s="24"/>
      <c r="E1137" s="24"/>
      <c r="F1137" s="24"/>
      <c r="G1137" s="24"/>
      <c r="H1137" s="117"/>
      <c r="I1137" s="117"/>
      <c r="J1137" s="24"/>
      <c r="K1137" s="24"/>
      <c r="L1137" s="24"/>
      <c r="M1137" s="24"/>
      <c r="N1137" s="24"/>
      <c r="O1137" s="24"/>
      <c r="P1137" s="24"/>
      <c r="Q1137" s="24"/>
      <c r="R1137" s="24"/>
      <c r="S1137" s="24"/>
      <c r="T1137" s="24"/>
      <c r="U1137" s="24"/>
      <c r="V1137" s="24"/>
      <c r="W1137" s="24"/>
      <c r="X1137" s="24"/>
      <c r="Y1137" s="24"/>
      <c r="Z1137" s="24"/>
      <c r="AA1137" s="24"/>
      <c r="AB1137" s="24"/>
      <c r="AC1137" s="2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x14:formula1>
            <xm:f>'Self Assessment Total Score'!$C$18:$C$21</xm:f>
          </x14:formula1>
          <xm:sqref>J2:J81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D1147"/>
  <sheetViews>
    <sheetView workbookViewId="0">
      <pane ySplit="1" topLeftCell="A2" activePane="bottomLeft" state="frozen"/>
      <selection pane="bottomLeft" activeCell="H15" sqref="H2:H15"/>
    </sheetView>
  </sheetViews>
  <sheetFormatPr defaultColWidth="14.375" defaultRowHeight="15.8" customHeight="1"/>
  <cols>
    <col min="1" max="1" width="13.625" customWidth="1"/>
    <col min="2" max="2" width="16.25" customWidth="1"/>
    <col min="3" max="3" width="43" customWidth="1"/>
    <col min="4" max="4" width="31.625" customWidth="1"/>
    <col min="5" max="5" width="29.875" customWidth="1"/>
    <col min="6" max="6" width="16.375" customWidth="1"/>
    <col min="7" max="7" width="21.125" customWidth="1"/>
    <col min="8" max="8" width="25.75" customWidth="1"/>
    <col min="9" max="9" width="13" customWidth="1"/>
    <col min="10" max="30" width="62.375" customWidth="1"/>
  </cols>
  <sheetData>
    <row r="1" spans="1:30" ht="15.8" customHeight="1">
      <c r="A1" s="2" t="s">
        <v>3442</v>
      </c>
      <c r="B1" s="2" t="s">
        <v>3443</v>
      </c>
      <c r="C1" s="2" t="s">
        <v>3444</v>
      </c>
      <c r="D1" s="2" t="s">
        <v>36</v>
      </c>
      <c r="E1" s="2" t="s">
        <v>39</v>
      </c>
      <c r="F1" s="2" t="s">
        <v>3445</v>
      </c>
      <c r="G1" s="136" t="s">
        <v>3446</v>
      </c>
      <c r="H1" s="135" t="s">
        <v>44</v>
      </c>
      <c r="I1" s="135" t="s">
        <v>46</v>
      </c>
      <c r="J1" s="175"/>
      <c r="K1" s="175"/>
      <c r="L1" s="136"/>
      <c r="M1" s="136"/>
      <c r="N1" s="136"/>
      <c r="O1" s="136"/>
      <c r="P1" s="136"/>
      <c r="Q1" s="136"/>
      <c r="R1" s="196"/>
      <c r="S1" s="196"/>
      <c r="T1" s="196"/>
      <c r="U1" s="196"/>
      <c r="V1" s="196"/>
      <c r="W1" s="196"/>
      <c r="X1" s="196"/>
      <c r="Y1" s="196"/>
      <c r="Z1" s="196"/>
      <c r="AA1" s="196"/>
      <c r="AB1" s="196"/>
      <c r="AC1" s="196"/>
      <c r="AD1" s="196"/>
    </row>
    <row r="2" spans="1:30" ht="15.8" customHeight="1">
      <c r="A2" s="121" t="s">
        <v>7814</v>
      </c>
      <c r="B2" s="121" t="s">
        <v>28</v>
      </c>
      <c r="C2" s="79" t="s">
        <v>7815</v>
      </c>
      <c r="D2" s="25" t="s">
        <v>7816</v>
      </c>
      <c r="E2" s="25" t="s">
        <v>7817</v>
      </c>
      <c r="F2" s="141" t="str">
        <f>HYPERLINK("https://www.acquisition.gov/content/part-17-special-contracting-methods","FAR 17.5 and 17.7")</f>
        <v>FAR 17.5 and 17.7</v>
      </c>
      <c r="G2" s="141" t="str">
        <f>HYPERLINK("https://www.acquisition.gov/content/part-517-special-contracting-methods#Subpart_517-5","GSAM 517.5")</f>
        <v>GSAM 517.5</v>
      </c>
      <c r="H2" s="64"/>
      <c r="I2" s="45" t="b">
        <f t="shared" ref="I2:I15" si="0">IF(AND(H2="Meet the requirements traceability “out of the box”"), 10, IF(AND(H2="Can meet the requirements traceability with configuration or through the use of another commercial product “out of the box” or other arrangement as part of the service offering quoted (i.e. at no additional cost)"), 8, IF(AND(H2="Can meet the requirements traceability with customization at additional cost"), 3, IF(AND(H2="Cannot meet the requirements traceability requirement"), 0))))</f>
        <v>0</v>
      </c>
      <c r="J2" s="196"/>
      <c r="K2" s="196"/>
      <c r="L2" s="196"/>
      <c r="M2" s="196"/>
      <c r="N2" s="196"/>
      <c r="O2" s="196"/>
      <c r="P2" s="196"/>
      <c r="Q2" s="196"/>
      <c r="R2" s="196"/>
      <c r="S2" s="196"/>
      <c r="T2" s="196"/>
      <c r="U2" s="196"/>
      <c r="V2" s="196"/>
      <c r="W2" s="196"/>
      <c r="X2" s="196"/>
      <c r="Y2" s="196"/>
      <c r="Z2" s="196"/>
      <c r="AA2" s="196"/>
      <c r="AB2" s="196"/>
      <c r="AC2" s="196"/>
      <c r="AD2" s="196"/>
    </row>
    <row r="3" spans="1:30" ht="15.8" customHeight="1">
      <c r="A3" s="121" t="s">
        <v>7842</v>
      </c>
      <c r="B3" s="121" t="s">
        <v>28</v>
      </c>
      <c r="C3" s="142" t="s">
        <v>7844</v>
      </c>
      <c r="D3" s="25" t="s">
        <v>7846</v>
      </c>
      <c r="E3" s="25" t="s">
        <v>7848</v>
      </c>
      <c r="F3" s="93"/>
      <c r="G3" s="239"/>
      <c r="H3" s="64"/>
      <c r="I3" s="45" t="b">
        <f t="shared" si="0"/>
        <v>0</v>
      </c>
      <c r="J3" s="196"/>
      <c r="K3" s="196"/>
      <c r="L3" s="196"/>
      <c r="M3" s="196"/>
      <c r="N3" s="196"/>
      <c r="O3" s="196"/>
      <c r="P3" s="196"/>
      <c r="Q3" s="196"/>
      <c r="R3" s="196"/>
      <c r="S3" s="196"/>
      <c r="T3" s="196"/>
      <c r="U3" s="196"/>
      <c r="V3" s="196"/>
      <c r="W3" s="196"/>
      <c r="X3" s="196"/>
      <c r="Y3" s="196"/>
      <c r="Z3" s="196"/>
      <c r="AA3" s="196"/>
      <c r="AB3" s="196"/>
      <c r="AC3" s="196"/>
      <c r="AD3" s="196"/>
    </row>
    <row r="4" spans="1:30" ht="15.8" customHeight="1">
      <c r="A4" s="121" t="s">
        <v>7854</v>
      </c>
      <c r="B4" s="121" t="s">
        <v>28</v>
      </c>
      <c r="C4" s="142" t="s">
        <v>7855</v>
      </c>
      <c r="D4" s="25" t="s">
        <v>7856</v>
      </c>
      <c r="E4" s="25" t="s">
        <v>7857</v>
      </c>
      <c r="F4" s="131"/>
      <c r="G4" s="131"/>
      <c r="H4" s="64"/>
      <c r="I4" s="45" t="b">
        <f t="shared" si="0"/>
        <v>0</v>
      </c>
      <c r="J4" s="196"/>
      <c r="K4" s="196"/>
      <c r="L4" s="196"/>
      <c r="M4" s="196"/>
      <c r="N4" s="196"/>
      <c r="O4" s="196"/>
      <c r="P4" s="196"/>
      <c r="Q4" s="196"/>
      <c r="R4" s="196"/>
      <c r="S4" s="196"/>
      <c r="T4" s="196"/>
      <c r="U4" s="196"/>
      <c r="V4" s="196"/>
      <c r="W4" s="196"/>
      <c r="X4" s="196"/>
      <c r="Y4" s="196"/>
      <c r="Z4" s="196"/>
      <c r="AA4" s="196"/>
      <c r="AB4" s="196"/>
      <c r="AC4" s="196"/>
      <c r="AD4" s="196"/>
    </row>
    <row r="5" spans="1:30" ht="15.8" customHeight="1">
      <c r="A5" s="121" t="s">
        <v>7858</v>
      </c>
      <c r="B5" s="121" t="s">
        <v>28</v>
      </c>
      <c r="C5" s="142" t="s">
        <v>7859</v>
      </c>
      <c r="D5" s="25" t="s">
        <v>7860</v>
      </c>
      <c r="E5" s="25" t="s">
        <v>7861</v>
      </c>
      <c r="F5" s="79"/>
      <c r="G5" s="54"/>
      <c r="H5" s="64"/>
      <c r="I5" s="45" t="b">
        <f t="shared" si="0"/>
        <v>0</v>
      </c>
      <c r="J5" s="196"/>
      <c r="K5" s="196"/>
      <c r="L5" s="196"/>
      <c r="M5" s="196"/>
      <c r="N5" s="196"/>
      <c r="O5" s="196"/>
      <c r="P5" s="196"/>
      <c r="Q5" s="196"/>
      <c r="R5" s="196"/>
      <c r="S5" s="196"/>
      <c r="T5" s="196"/>
      <c r="U5" s="196"/>
      <c r="V5" s="196"/>
      <c r="W5" s="196"/>
      <c r="X5" s="196"/>
      <c r="Y5" s="196"/>
      <c r="Z5" s="196"/>
      <c r="AA5" s="196"/>
      <c r="AB5" s="196"/>
      <c r="AC5" s="196"/>
      <c r="AD5" s="196"/>
    </row>
    <row r="6" spans="1:30" ht="15.8" customHeight="1">
      <c r="A6" s="121" t="s">
        <v>7866</v>
      </c>
      <c r="B6" s="121" t="s">
        <v>28</v>
      </c>
      <c r="C6" s="142" t="s">
        <v>7867</v>
      </c>
      <c r="D6" s="25" t="s">
        <v>7868</v>
      </c>
      <c r="E6" s="79" t="s">
        <v>7869</v>
      </c>
      <c r="F6" s="141" t="str">
        <f t="shared" ref="F6:F7" si="1">HYPERLINK("https://www.acquisition.gov/content/part-17-special-contracting-methods","FAR 17.5 and 17.7")</f>
        <v>FAR 17.5 and 17.7</v>
      </c>
      <c r="G6" s="141" t="str">
        <f t="shared" ref="G6:G7" si="2">HYPERLINK("https://www.acquisition.gov/content/part-517-special-contracting-methods#Subpart_517-5","GSAM 517.5")</f>
        <v>GSAM 517.5</v>
      </c>
      <c r="H6" s="64"/>
      <c r="I6" s="45" t="b">
        <f t="shared" si="0"/>
        <v>0</v>
      </c>
      <c r="J6" s="196"/>
      <c r="K6" s="196"/>
      <c r="L6" s="196"/>
      <c r="M6" s="196"/>
      <c r="N6" s="196"/>
      <c r="O6" s="196"/>
      <c r="P6" s="196"/>
      <c r="Q6" s="196"/>
      <c r="R6" s="196"/>
      <c r="S6" s="196"/>
      <c r="T6" s="196"/>
      <c r="U6" s="196"/>
      <c r="V6" s="196"/>
      <c r="W6" s="196"/>
      <c r="X6" s="196"/>
      <c r="Y6" s="196"/>
      <c r="Z6" s="196"/>
      <c r="AA6" s="196"/>
      <c r="AB6" s="196"/>
      <c r="AC6" s="196"/>
      <c r="AD6" s="196"/>
    </row>
    <row r="7" spans="1:30" ht="15.8" customHeight="1">
      <c r="A7" s="121" t="s">
        <v>7882</v>
      </c>
      <c r="B7" s="121" t="s">
        <v>28</v>
      </c>
      <c r="C7" s="142" t="s">
        <v>7883</v>
      </c>
      <c r="D7" s="25" t="s">
        <v>7885</v>
      </c>
      <c r="E7" s="79" t="s">
        <v>7886</v>
      </c>
      <c r="F7" s="141" t="str">
        <f t="shared" si="1"/>
        <v>FAR 17.5 and 17.7</v>
      </c>
      <c r="G7" s="141" t="str">
        <f t="shared" si="2"/>
        <v>GSAM 517.5</v>
      </c>
      <c r="H7" s="64"/>
      <c r="I7" s="45" t="b">
        <f t="shared" si="0"/>
        <v>0</v>
      </c>
      <c r="J7" s="196"/>
      <c r="K7" s="196"/>
      <c r="L7" s="196"/>
      <c r="M7" s="196"/>
      <c r="N7" s="196"/>
      <c r="O7" s="196"/>
      <c r="P7" s="196"/>
      <c r="Q7" s="196"/>
      <c r="R7" s="196"/>
      <c r="S7" s="196"/>
      <c r="T7" s="196"/>
      <c r="U7" s="196"/>
      <c r="V7" s="196"/>
      <c r="W7" s="196"/>
      <c r="X7" s="196"/>
      <c r="Y7" s="196"/>
      <c r="Z7" s="196"/>
      <c r="AA7" s="196"/>
      <c r="AB7" s="196"/>
      <c r="AC7" s="196"/>
      <c r="AD7" s="196"/>
    </row>
    <row r="8" spans="1:30" ht="15.8" customHeight="1">
      <c r="A8" s="121" t="s">
        <v>7898</v>
      </c>
      <c r="B8" s="121" t="s">
        <v>28</v>
      </c>
      <c r="C8" s="142" t="s">
        <v>7899</v>
      </c>
      <c r="D8" s="79" t="s">
        <v>7900</v>
      </c>
      <c r="E8" s="79" t="s">
        <v>7902</v>
      </c>
      <c r="F8" s="79"/>
      <c r="G8" s="54"/>
      <c r="H8" s="64"/>
      <c r="I8" s="45" t="b">
        <f t="shared" si="0"/>
        <v>0</v>
      </c>
      <c r="J8" s="196"/>
      <c r="K8" s="196"/>
      <c r="L8" s="196"/>
      <c r="M8" s="196"/>
      <c r="N8" s="196"/>
      <c r="O8" s="196"/>
      <c r="P8" s="196"/>
      <c r="Q8" s="196"/>
      <c r="R8" s="196"/>
      <c r="S8" s="196"/>
      <c r="T8" s="196"/>
      <c r="U8" s="196"/>
      <c r="V8" s="196"/>
      <c r="W8" s="196"/>
      <c r="X8" s="196"/>
      <c r="Y8" s="196"/>
      <c r="Z8" s="196"/>
      <c r="AA8" s="196"/>
      <c r="AB8" s="196"/>
      <c r="AC8" s="196"/>
      <c r="AD8" s="196"/>
    </row>
    <row r="9" spans="1:30" ht="15.8" customHeight="1">
      <c r="A9" s="121" t="s">
        <v>7906</v>
      </c>
      <c r="B9" s="121" t="s">
        <v>28</v>
      </c>
      <c r="C9" s="142" t="s">
        <v>7907</v>
      </c>
      <c r="D9" s="79" t="s">
        <v>7908</v>
      </c>
      <c r="E9" s="25" t="s">
        <v>7909</v>
      </c>
      <c r="F9" s="141" t="str">
        <f>HYPERLINK("https://www.acquisition.gov/content/part-42-contract-administration-and-audit-services#i42_1502","FAR 42.1502")</f>
        <v>FAR 42.1502</v>
      </c>
      <c r="G9" s="141" t="str">
        <f>HYPERLINK("https://www.acquisition.gov/content/part-542-contract-administration-and-audit-services#KHIPSHFO","GSAM 542.1503")</f>
        <v>GSAM 542.1503</v>
      </c>
      <c r="H9" s="64"/>
      <c r="I9" s="45" t="b">
        <f t="shared" si="0"/>
        <v>0</v>
      </c>
      <c r="J9" s="196"/>
      <c r="K9" s="196"/>
      <c r="L9" s="196"/>
      <c r="M9" s="196"/>
      <c r="N9" s="196"/>
      <c r="O9" s="196"/>
      <c r="P9" s="196"/>
      <c r="Q9" s="196"/>
      <c r="R9" s="196"/>
      <c r="S9" s="196"/>
      <c r="T9" s="196"/>
      <c r="U9" s="196"/>
      <c r="V9" s="196"/>
      <c r="W9" s="196"/>
      <c r="X9" s="196"/>
      <c r="Y9" s="196"/>
      <c r="Z9" s="196"/>
      <c r="AA9" s="196"/>
      <c r="AB9" s="196"/>
      <c r="AC9" s="196"/>
      <c r="AD9" s="196"/>
    </row>
    <row r="10" spans="1:30" ht="15.8" customHeight="1">
      <c r="A10" s="121" t="s">
        <v>7918</v>
      </c>
      <c r="B10" s="121" t="s">
        <v>28</v>
      </c>
      <c r="C10" s="142" t="s">
        <v>7919</v>
      </c>
      <c r="D10" s="25" t="s">
        <v>7921</v>
      </c>
      <c r="E10" s="25" t="s">
        <v>7922</v>
      </c>
      <c r="F10" s="241"/>
      <c r="G10" s="54"/>
      <c r="H10" s="64"/>
      <c r="I10" s="45" t="b">
        <f t="shared" si="0"/>
        <v>0</v>
      </c>
      <c r="J10" s="196"/>
      <c r="K10" s="196"/>
      <c r="L10" s="196"/>
      <c r="M10" s="196"/>
      <c r="N10" s="196"/>
      <c r="O10" s="196"/>
      <c r="P10" s="196"/>
      <c r="Q10" s="196"/>
      <c r="R10" s="196"/>
      <c r="S10" s="196"/>
      <c r="T10" s="196"/>
      <c r="U10" s="196"/>
      <c r="V10" s="196"/>
      <c r="W10" s="196"/>
      <c r="X10" s="196"/>
      <c r="Y10" s="196"/>
      <c r="Z10" s="196"/>
      <c r="AA10" s="196"/>
      <c r="AB10" s="196"/>
      <c r="AC10" s="196"/>
      <c r="AD10" s="196"/>
    </row>
    <row r="11" spans="1:30" ht="15.8" customHeight="1">
      <c r="A11" s="121" t="s">
        <v>7930</v>
      </c>
      <c r="B11" s="121" t="s">
        <v>28</v>
      </c>
      <c r="C11" s="142" t="s">
        <v>7932</v>
      </c>
      <c r="D11" s="25" t="s">
        <v>7933</v>
      </c>
      <c r="E11" s="25" t="s">
        <v>7935</v>
      </c>
      <c r="F11" s="241"/>
      <c r="G11" s="54"/>
      <c r="H11" s="64"/>
      <c r="I11" s="45" t="b">
        <f t="shared" si="0"/>
        <v>0</v>
      </c>
      <c r="J11" s="196"/>
      <c r="K11" s="196"/>
      <c r="L11" s="196"/>
      <c r="M11" s="196"/>
      <c r="N11" s="196"/>
      <c r="O11" s="196"/>
      <c r="P11" s="196"/>
      <c r="Q11" s="196"/>
      <c r="R11" s="196"/>
      <c r="S11" s="196"/>
      <c r="T11" s="196"/>
      <c r="U11" s="196"/>
      <c r="V11" s="196"/>
      <c r="W11" s="196"/>
      <c r="X11" s="196"/>
      <c r="Y11" s="196"/>
      <c r="Z11" s="196"/>
      <c r="AA11" s="196"/>
      <c r="AB11" s="196"/>
      <c r="AC11" s="196"/>
      <c r="AD11" s="196"/>
    </row>
    <row r="12" spans="1:30" ht="15.8" customHeight="1">
      <c r="A12" s="121" t="s">
        <v>7939</v>
      </c>
      <c r="B12" s="121" t="s">
        <v>28</v>
      </c>
      <c r="C12" s="79" t="s">
        <v>7940</v>
      </c>
      <c r="D12" s="25" t="s">
        <v>7942</v>
      </c>
      <c r="E12" s="25" t="s">
        <v>7944</v>
      </c>
      <c r="F12" s="241"/>
      <c r="G12" s="54"/>
      <c r="H12" s="64"/>
      <c r="I12" s="45" t="b">
        <f t="shared" si="0"/>
        <v>0</v>
      </c>
      <c r="J12" s="196"/>
      <c r="K12" s="196"/>
      <c r="L12" s="196"/>
      <c r="M12" s="196"/>
      <c r="N12" s="196"/>
      <c r="O12" s="196"/>
      <c r="P12" s="196"/>
      <c r="Q12" s="196"/>
      <c r="R12" s="196"/>
      <c r="S12" s="196"/>
      <c r="T12" s="196"/>
      <c r="U12" s="196"/>
      <c r="V12" s="196"/>
      <c r="W12" s="196"/>
      <c r="X12" s="196"/>
      <c r="Y12" s="196"/>
      <c r="Z12" s="196"/>
      <c r="AA12" s="196"/>
      <c r="AB12" s="196"/>
      <c r="AC12" s="196"/>
      <c r="AD12" s="196"/>
    </row>
    <row r="13" spans="1:30" ht="15.8" customHeight="1">
      <c r="A13" s="121" t="s">
        <v>7948</v>
      </c>
      <c r="B13" s="121" t="s">
        <v>28</v>
      </c>
      <c r="C13" s="79" t="s">
        <v>7951</v>
      </c>
      <c r="D13" s="79" t="s">
        <v>7952</v>
      </c>
      <c r="E13" s="25" t="s">
        <v>7953</v>
      </c>
      <c r="F13" s="25"/>
      <c r="G13" s="54"/>
      <c r="H13" s="64"/>
      <c r="I13" s="45" t="b">
        <f t="shared" si="0"/>
        <v>0</v>
      </c>
      <c r="J13" s="196"/>
      <c r="K13" s="196"/>
      <c r="L13" s="196"/>
      <c r="M13" s="196"/>
      <c r="N13" s="196"/>
      <c r="O13" s="196"/>
      <c r="P13" s="196"/>
      <c r="Q13" s="196"/>
      <c r="R13" s="196"/>
      <c r="S13" s="196"/>
      <c r="T13" s="196"/>
      <c r="U13" s="196"/>
      <c r="V13" s="196"/>
      <c r="W13" s="196"/>
      <c r="X13" s="196"/>
      <c r="Y13" s="196"/>
      <c r="Z13" s="196"/>
      <c r="AA13" s="196"/>
      <c r="AB13" s="196"/>
      <c r="AC13" s="196"/>
      <c r="AD13" s="196"/>
    </row>
    <row r="14" spans="1:30" ht="15.8" customHeight="1">
      <c r="A14" s="121" t="s">
        <v>7958</v>
      </c>
      <c r="B14" s="121" t="s">
        <v>28</v>
      </c>
      <c r="C14" s="142" t="s">
        <v>7959</v>
      </c>
      <c r="D14" s="79" t="s">
        <v>7960</v>
      </c>
      <c r="E14" s="25" t="s">
        <v>7336</v>
      </c>
      <c r="F14" s="25"/>
      <c r="G14" s="54"/>
      <c r="H14" s="64"/>
      <c r="I14" s="45" t="b">
        <f t="shared" si="0"/>
        <v>0</v>
      </c>
      <c r="J14" s="196"/>
      <c r="K14" s="196"/>
      <c r="L14" s="196"/>
      <c r="M14" s="196"/>
      <c r="N14" s="196"/>
      <c r="O14" s="196"/>
      <c r="P14" s="196"/>
      <c r="Q14" s="196"/>
      <c r="R14" s="196"/>
      <c r="S14" s="196"/>
      <c r="T14" s="196"/>
      <c r="U14" s="196"/>
      <c r="V14" s="196"/>
      <c r="W14" s="196"/>
      <c r="X14" s="196"/>
      <c r="Y14" s="196"/>
      <c r="Z14" s="196"/>
      <c r="AA14" s="196"/>
      <c r="AB14" s="196"/>
      <c r="AC14" s="196"/>
      <c r="AD14" s="196"/>
    </row>
    <row r="15" spans="1:30" ht="15.8" customHeight="1">
      <c r="A15" s="121" t="s">
        <v>7965</v>
      </c>
      <c r="B15" s="121" t="s">
        <v>28</v>
      </c>
      <c r="C15" s="79" t="s">
        <v>7966</v>
      </c>
      <c r="D15" s="79" t="s">
        <v>7967</v>
      </c>
      <c r="E15" s="25" t="s">
        <v>7968</v>
      </c>
      <c r="F15" s="141" t="str">
        <f>HYPERLINK("https://www.acquisition.gov/content/part-32-contract-financing#i1081246","FAR 32.905(c)")</f>
        <v>FAR 32.905(c)</v>
      </c>
      <c r="G15" s="141" t="str">
        <f>HYPERLINK("https://www.acquisition.gov/content/part-532-contract-financing#HMUSUSIM","GSAM 532.905")</f>
        <v>GSAM 532.905</v>
      </c>
      <c r="H15" s="64"/>
      <c r="I15" s="45" t="b">
        <f t="shared" si="0"/>
        <v>0</v>
      </c>
      <c r="J15" s="196"/>
      <c r="K15" s="196"/>
      <c r="L15" s="196"/>
      <c r="M15" s="196"/>
      <c r="N15" s="196"/>
      <c r="O15" s="196"/>
      <c r="P15" s="196"/>
      <c r="Q15" s="196"/>
      <c r="R15" s="196"/>
      <c r="S15" s="196"/>
      <c r="T15" s="196"/>
      <c r="U15" s="196"/>
      <c r="V15" s="196"/>
      <c r="W15" s="196"/>
      <c r="X15" s="196"/>
      <c r="Y15" s="196"/>
      <c r="Z15" s="196"/>
      <c r="AA15" s="196"/>
      <c r="AB15" s="196"/>
      <c r="AC15" s="196"/>
      <c r="AD15" s="196"/>
    </row>
    <row r="16" spans="1:30" ht="15.8" customHeight="1">
      <c r="A16" s="168"/>
      <c r="B16" s="168"/>
      <c r="C16" s="70"/>
      <c r="D16" s="165"/>
      <c r="E16" s="70"/>
      <c r="F16" s="70"/>
      <c r="G16" s="24"/>
      <c r="H16" s="196"/>
      <c r="I16" s="196"/>
      <c r="J16" s="196"/>
      <c r="K16" s="196"/>
      <c r="L16" s="196"/>
      <c r="M16" s="196"/>
      <c r="N16" s="196"/>
      <c r="O16" s="196"/>
      <c r="P16" s="196"/>
      <c r="Q16" s="196"/>
      <c r="R16" s="196"/>
      <c r="S16" s="196"/>
      <c r="T16" s="196"/>
      <c r="U16" s="196"/>
      <c r="V16" s="196"/>
      <c r="W16" s="196"/>
      <c r="X16" s="196"/>
      <c r="Y16" s="196"/>
      <c r="Z16" s="196"/>
      <c r="AA16" s="196"/>
      <c r="AB16" s="196"/>
      <c r="AC16" s="196"/>
      <c r="AD16" s="196"/>
    </row>
    <row r="17" spans="1:30" ht="15.8" customHeight="1">
      <c r="A17" s="168"/>
      <c r="B17" s="168"/>
      <c r="C17" s="70"/>
      <c r="D17" s="165"/>
      <c r="E17" s="70"/>
      <c r="F17" s="70"/>
      <c r="G17" s="24"/>
      <c r="H17" s="196"/>
      <c r="I17" s="125">
        <f>SUM(I2:I15)</f>
        <v>0</v>
      </c>
      <c r="J17" s="196"/>
      <c r="K17" s="196"/>
      <c r="L17" s="196"/>
      <c r="M17" s="196"/>
      <c r="N17" s="196"/>
      <c r="O17" s="196"/>
      <c r="P17" s="196"/>
      <c r="Q17" s="196"/>
      <c r="R17" s="196"/>
      <c r="S17" s="196"/>
      <c r="T17" s="196"/>
      <c r="U17" s="196"/>
      <c r="V17" s="196"/>
      <c r="W17" s="196"/>
      <c r="X17" s="196"/>
      <c r="Y17" s="196"/>
      <c r="Z17" s="196"/>
      <c r="AA17" s="196"/>
      <c r="AB17" s="196"/>
      <c r="AC17" s="196"/>
      <c r="AD17" s="196"/>
    </row>
    <row r="18" spans="1:30" ht="15.8" customHeight="1">
      <c r="A18" s="168"/>
      <c r="B18" s="168"/>
      <c r="C18" s="70"/>
      <c r="D18" s="165"/>
      <c r="E18" s="70"/>
      <c r="F18" s="70"/>
      <c r="G18" s="24"/>
      <c r="H18" s="196"/>
      <c r="I18" s="196"/>
      <c r="J18" s="196"/>
      <c r="K18" s="196"/>
      <c r="L18" s="196"/>
      <c r="M18" s="196"/>
      <c r="N18" s="196"/>
      <c r="O18" s="196"/>
      <c r="P18" s="196"/>
      <c r="Q18" s="196"/>
      <c r="R18" s="196"/>
      <c r="S18" s="196"/>
      <c r="T18" s="196"/>
      <c r="U18" s="196"/>
      <c r="V18" s="196"/>
      <c r="W18" s="196"/>
      <c r="X18" s="196"/>
      <c r="Y18" s="196"/>
      <c r="Z18" s="196"/>
      <c r="AA18" s="196"/>
      <c r="AB18" s="196"/>
      <c r="AC18" s="196"/>
      <c r="AD18" s="196"/>
    </row>
    <row r="19" spans="1:30" ht="15.8" customHeight="1">
      <c r="A19" s="168"/>
      <c r="B19" s="168"/>
      <c r="C19" s="165"/>
      <c r="D19" s="165"/>
      <c r="E19" s="70"/>
      <c r="F19" s="70"/>
      <c r="G19" s="24"/>
      <c r="H19" s="70"/>
      <c r="I19" s="234"/>
      <c r="J19" s="196"/>
      <c r="K19" s="196"/>
      <c r="L19" s="196"/>
      <c r="M19" s="196"/>
      <c r="N19" s="196"/>
      <c r="O19" s="196"/>
      <c r="P19" s="196"/>
      <c r="Q19" s="196"/>
      <c r="R19" s="196"/>
      <c r="S19" s="196"/>
      <c r="T19" s="196"/>
      <c r="U19" s="196"/>
      <c r="V19" s="196"/>
      <c r="W19" s="196"/>
      <c r="X19" s="196"/>
      <c r="Y19" s="196"/>
      <c r="Z19" s="196"/>
      <c r="AA19" s="196"/>
      <c r="AB19" s="196"/>
      <c r="AC19" s="196"/>
      <c r="AD19" s="196"/>
    </row>
    <row r="20" spans="1:30" ht="15.8" customHeight="1">
      <c r="A20" s="168"/>
      <c r="B20" s="168"/>
      <c r="C20" s="165"/>
      <c r="D20" s="70"/>
      <c r="E20" s="70"/>
      <c r="F20" s="70"/>
      <c r="G20" s="24"/>
      <c r="H20" s="70"/>
      <c r="I20" s="234"/>
      <c r="J20" s="196"/>
      <c r="K20" s="196"/>
      <c r="L20" s="196"/>
      <c r="M20" s="196"/>
      <c r="N20" s="196"/>
      <c r="O20" s="196"/>
      <c r="P20" s="196"/>
      <c r="Q20" s="196"/>
      <c r="R20" s="196"/>
      <c r="S20" s="196"/>
      <c r="T20" s="196"/>
      <c r="U20" s="196"/>
      <c r="V20" s="196"/>
      <c r="W20" s="196"/>
      <c r="X20" s="196"/>
      <c r="Y20" s="196"/>
      <c r="Z20" s="196"/>
      <c r="AA20" s="196"/>
      <c r="AB20" s="196"/>
      <c r="AC20" s="196"/>
      <c r="AD20" s="196"/>
    </row>
    <row r="21" spans="1:30" ht="15.8" customHeight="1">
      <c r="A21" s="168"/>
      <c r="B21" s="168"/>
      <c r="C21" s="70"/>
      <c r="D21" s="70"/>
      <c r="E21" s="70"/>
      <c r="F21" s="70"/>
      <c r="G21" s="24"/>
      <c r="H21" s="70"/>
      <c r="I21" s="234"/>
      <c r="J21" s="196"/>
      <c r="K21" s="196"/>
      <c r="L21" s="196"/>
      <c r="M21" s="196"/>
      <c r="N21" s="196"/>
      <c r="O21" s="196"/>
      <c r="P21" s="196"/>
      <c r="Q21" s="196"/>
      <c r="R21" s="196"/>
      <c r="S21" s="196"/>
      <c r="T21" s="196"/>
      <c r="U21" s="196"/>
      <c r="V21" s="196"/>
      <c r="W21" s="196"/>
      <c r="X21" s="196"/>
      <c r="Y21" s="196"/>
      <c r="Z21" s="196"/>
      <c r="AA21" s="196"/>
      <c r="AB21" s="196"/>
      <c r="AC21" s="196"/>
      <c r="AD21" s="196"/>
    </row>
    <row r="22" spans="1:30" ht="15.8" customHeight="1">
      <c r="A22" s="168"/>
      <c r="B22" s="168"/>
      <c r="C22" s="70"/>
      <c r="D22" s="70"/>
      <c r="E22" s="70"/>
      <c r="F22" s="70"/>
      <c r="G22" s="24"/>
      <c r="H22" s="70"/>
      <c r="I22" s="234"/>
      <c r="J22" s="196"/>
      <c r="K22" s="196"/>
      <c r="L22" s="196"/>
      <c r="M22" s="196"/>
      <c r="N22" s="196"/>
      <c r="O22" s="196"/>
      <c r="P22" s="196"/>
      <c r="Q22" s="196"/>
      <c r="R22" s="196"/>
      <c r="S22" s="196"/>
      <c r="T22" s="196"/>
      <c r="U22" s="196"/>
      <c r="V22" s="196"/>
      <c r="W22" s="196"/>
      <c r="X22" s="196"/>
      <c r="Y22" s="196"/>
      <c r="Z22" s="196"/>
      <c r="AA22" s="196"/>
      <c r="AB22" s="196"/>
      <c r="AC22" s="196"/>
      <c r="AD22" s="196"/>
    </row>
    <row r="23" spans="1:30" ht="15.8" customHeight="1">
      <c r="A23" s="196"/>
      <c r="B23" s="243"/>
      <c r="C23" s="165"/>
      <c r="D23" s="70"/>
      <c r="E23" s="70"/>
      <c r="F23" s="70"/>
      <c r="G23" s="70"/>
      <c r="H23" s="70"/>
      <c r="I23" s="234"/>
      <c r="J23" s="196"/>
      <c r="K23" s="196"/>
      <c r="L23" s="196"/>
      <c r="M23" s="196"/>
      <c r="N23" s="196"/>
      <c r="O23" s="196"/>
      <c r="P23" s="196"/>
      <c r="Q23" s="196"/>
      <c r="R23" s="196"/>
      <c r="S23" s="196"/>
      <c r="T23" s="196"/>
      <c r="U23" s="196"/>
      <c r="V23" s="196"/>
      <c r="W23" s="196"/>
      <c r="X23" s="196"/>
      <c r="Y23" s="196"/>
      <c r="Z23" s="196"/>
      <c r="AA23" s="196"/>
      <c r="AB23" s="196"/>
      <c r="AC23" s="196"/>
      <c r="AD23" s="196"/>
    </row>
    <row r="24" spans="1:30" ht="15.8" customHeight="1">
      <c r="A24" s="234"/>
      <c r="B24" s="220"/>
      <c r="C24" s="165"/>
      <c r="D24" s="70"/>
      <c r="E24" s="70"/>
      <c r="F24" s="196"/>
      <c r="G24" s="70"/>
      <c r="H24" s="70"/>
      <c r="I24" s="234"/>
      <c r="J24" s="196"/>
      <c r="K24" s="196"/>
      <c r="L24" s="196"/>
      <c r="M24" s="196"/>
      <c r="N24" s="196"/>
      <c r="O24" s="196"/>
      <c r="P24" s="196"/>
      <c r="Q24" s="196"/>
      <c r="R24" s="196"/>
      <c r="S24" s="196"/>
      <c r="T24" s="196"/>
      <c r="U24" s="196"/>
      <c r="V24" s="196"/>
      <c r="W24" s="196"/>
      <c r="X24" s="196"/>
      <c r="Y24" s="196"/>
      <c r="Z24" s="196"/>
      <c r="AA24" s="196"/>
      <c r="AB24" s="196"/>
      <c r="AC24" s="196"/>
      <c r="AD24" s="196"/>
    </row>
    <row r="25" spans="1:30" ht="15.8" customHeight="1">
      <c r="A25" s="234"/>
      <c r="B25" s="220"/>
      <c r="C25" s="165"/>
      <c r="D25" s="70"/>
      <c r="E25" s="70"/>
      <c r="F25" s="196"/>
      <c r="G25" s="70"/>
      <c r="H25" s="70"/>
      <c r="I25" s="234"/>
      <c r="J25" s="196"/>
      <c r="K25" s="196"/>
      <c r="L25" s="196"/>
      <c r="M25" s="196"/>
      <c r="N25" s="196"/>
      <c r="O25" s="196"/>
      <c r="P25" s="196"/>
      <c r="Q25" s="196"/>
      <c r="R25" s="196"/>
      <c r="S25" s="196"/>
      <c r="T25" s="196"/>
      <c r="U25" s="196"/>
      <c r="V25" s="196"/>
      <c r="W25" s="196"/>
      <c r="X25" s="196"/>
      <c r="Y25" s="196"/>
      <c r="Z25" s="196"/>
      <c r="AA25" s="196"/>
      <c r="AB25" s="196"/>
      <c r="AC25" s="196"/>
      <c r="AD25" s="196"/>
    </row>
    <row r="26" spans="1:30" ht="15.8" customHeight="1">
      <c r="A26" s="234"/>
      <c r="B26" s="220"/>
      <c r="C26" s="165"/>
      <c r="D26" s="70"/>
      <c r="E26" s="70"/>
      <c r="F26" s="196"/>
      <c r="G26" s="70"/>
      <c r="H26" s="70"/>
      <c r="I26" s="234"/>
      <c r="J26" s="196"/>
      <c r="K26" s="196"/>
      <c r="L26" s="196"/>
      <c r="M26" s="196"/>
      <c r="N26" s="196"/>
      <c r="O26" s="196"/>
      <c r="P26" s="196"/>
      <c r="Q26" s="196"/>
      <c r="R26" s="196"/>
      <c r="S26" s="196"/>
      <c r="T26" s="196"/>
      <c r="U26" s="196"/>
      <c r="V26" s="196"/>
      <c r="W26" s="196"/>
      <c r="X26" s="196"/>
      <c r="Y26" s="196"/>
      <c r="Z26" s="196"/>
      <c r="AA26" s="196"/>
      <c r="AB26" s="196"/>
      <c r="AC26" s="196"/>
      <c r="AD26" s="196"/>
    </row>
    <row r="27" spans="1:30" ht="15.8" customHeight="1">
      <c r="A27" s="234"/>
      <c r="B27" s="220"/>
      <c r="C27" s="165"/>
      <c r="D27" s="70"/>
      <c r="E27" s="70"/>
      <c r="F27" s="196"/>
      <c r="G27" s="70"/>
      <c r="H27" s="70"/>
      <c r="I27" s="234"/>
      <c r="J27" s="196"/>
      <c r="K27" s="196"/>
      <c r="L27" s="196"/>
      <c r="M27" s="196"/>
      <c r="N27" s="196"/>
      <c r="O27" s="196"/>
      <c r="P27" s="196"/>
      <c r="Q27" s="196"/>
      <c r="R27" s="196"/>
      <c r="S27" s="196"/>
      <c r="T27" s="196"/>
      <c r="U27" s="196"/>
      <c r="V27" s="196"/>
      <c r="W27" s="196"/>
      <c r="X27" s="196"/>
      <c r="Y27" s="196"/>
      <c r="Z27" s="196"/>
      <c r="AA27" s="196"/>
      <c r="AB27" s="196"/>
      <c r="AC27" s="196"/>
      <c r="AD27" s="196"/>
    </row>
    <row r="28" spans="1:30" ht="15.8" customHeight="1">
      <c r="A28" s="234"/>
      <c r="B28" s="220"/>
      <c r="C28" s="70"/>
      <c r="D28" s="70"/>
      <c r="E28" s="70"/>
      <c r="F28" s="196"/>
      <c r="G28" s="70"/>
      <c r="H28" s="70"/>
      <c r="I28" s="234"/>
      <c r="J28" s="196"/>
      <c r="K28" s="196"/>
      <c r="L28" s="196"/>
      <c r="M28" s="196"/>
      <c r="N28" s="196"/>
      <c r="O28" s="196"/>
      <c r="P28" s="196"/>
      <c r="Q28" s="196"/>
      <c r="R28" s="196"/>
      <c r="S28" s="196"/>
      <c r="T28" s="196"/>
      <c r="U28" s="196"/>
      <c r="V28" s="196"/>
      <c r="W28" s="196"/>
      <c r="X28" s="196"/>
      <c r="Y28" s="196"/>
      <c r="Z28" s="196"/>
      <c r="AA28" s="196"/>
      <c r="AB28" s="196"/>
      <c r="AC28" s="196"/>
      <c r="AD28" s="196"/>
    </row>
    <row r="29" spans="1:30" ht="15.8" customHeight="1">
      <c r="A29" s="234"/>
      <c r="B29" s="220"/>
      <c r="C29" s="165"/>
      <c r="D29" s="70"/>
      <c r="E29" s="70"/>
      <c r="F29" s="196"/>
      <c r="G29" s="170"/>
      <c r="H29" s="70"/>
      <c r="I29" s="234"/>
      <c r="J29" s="196"/>
      <c r="K29" s="196"/>
      <c r="L29" s="196"/>
      <c r="M29" s="196"/>
      <c r="N29" s="196"/>
      <c r="O29" s="196"/>
      <c r="P29" s="196"/>
      <c r="Q29" s="196"/>
      <c r="R29" s="196"/>
      <c r="S29" s="196"/>
      <c r="T29" s="196"/>
      <c r="U29" s="196"/>
      <c r="V29" s="196"/>
      <c r="W29" s="196"/>
      <c r="X29" s="196"/>
      <c r="Y29" s="196"/>
      <c r="Z29" s="196"/>
      <c r="AA29" s="196"/>
      <c r="AB29" s="196"/>
      <c r="AC29" s="196"/>
      <c r="AD29" s="196"/>
    </row>
    <row r="30" spans="1:30" ht="15.8" customHeight="1">
      <c r="A30" s="234"/>
      <c r="B30" s="220"/>
      <c r="C30" s="165"/>
      <c r="D30" s="70"/>
      <c r="E30" s="70"/>
      <c r="F30" s="196"/>
      <c r="G30" s="170"/>
      <c r="H30" s="70"/>
      <c r="I30" s="234"/>
      <c r="J30" s="196"/>
      <c r="K30" s="196"/>
      <c r="L30" s="196"/>
      <c r="M30" s="196"/>
      <c r="N30" s="196"/>
      <c r="O30" s="196"/>
      <c r="P30" s="196"/>
      <c r="Q30" s="196"/>
      <c r="R30" s="196"/>
      <c r="S30" s="196"/>
      <c r="T30" s="196"/>
      <c r="U30" s="196"/>
      <c r="V30" s="196"/>
      <c r="W30" s="196"/>
      <c r="X30" s="196"/>
      <c r="Y30" s="196"/>
      <c r="Z30" s="196"/>
      <c r="AA30" s="196"/>
      <c r="AB30" s="196"/>
      <c r="AC30" s="196"/>
      <c r="AD30" s="196"/>
    </row>
    <row r="31" spans="1:30" ht="15.8" customHeight="1">
      <c r="A31" s="244"/>
      <c r="B31" s="220"/>
      <c r="C31" s="165"/>
      <c r="D31" s="70"/>
      <c r="E31" s="70"/>
      <c r="F31" s="245"/>
      <c r="G31" s="170"/>
      <c r="H31" s="70"/>
      <c r="I31" s="234"/>
      <c r="J31" s="245"/>
      <c r="K31" s="245"/>
      <c r="L31" s="245"/>
      <c r="M31" s="245"/>
      <c r="N31" s="245"/>
      <c r="O31" s="245"/>
      <c r="P31" s="245"/>
      <c r="Q31" s="245"/>
      <c r="R31" s="245"/>
      <c r="S31" s="245"/>
      <c r="T31" s="245"/>
      <c r="U31" s="245"/>
      <c r="V31" s="245"/>
      <c r="W31" s="245"/>
      <c r="X31" s="245"/>
      <c r="Y31" s="245"/>
      <c r="Z31" s="245"/>
      <c r="AA31" s="245"/>
      <c r="AB31" s="245"/>
      <c r="AC31" s="245"/>
      <c r="AD31" s="245"/>
    </row>
    <row r="32" spans="1:30" ht="15.8" customHeight="1">
      <c r="A32" s="234"/>
      <c r="B32" s="220"/>
      <c r="C32" s="165"/>
      <c r="D32" s="70"/>
      <c r="E32" s="70"/>
      <c r="F32" s="196"/>
      <c r="G32" s="170"/>
      <c r="H32" s="70"/>
      <c r="I32" s="234"/>
      <c r="J32" s="196"/>
      <c r="K32" s="196"/>
      <c r="L32" s="196"/>
      <c r="M32" s="196"/>
      <c r="N32" s="196"/>
      <c r="O32" s="196"/>
      <c r="P32" s="196"/>
      <c r="Q32" s="196"/>
      <c r="R32" s="196"/>
      <c r="S32" s="196"/>
      <c r="T32" s="196"/>
      <c r="U32" s="196"/>
      <c r="V32" s="196"/>
      <c r="W32" s="196"/>
      <c r="X32" s="196"/>
      <c r="Y32" s="196"/>
      <c r="Z32" s="196"/>
      <c r="AA32" s="196"/>
      <c r="AB32" s="196"/>
      <c r="AC32" s="196"/>
      <c r="AD32" s="196"/>
    </row>
    <row r="33" spans="1:30" ht="15.8" customHeight="1">
      <c r="A33" s="234"/>
      <c r="B33" s="220"/>
      <c r="C33" s="165"/>
      <c r="D33" s="70"/>
      <c r="E33" s="70"/>
      <c r="F33" s="196"/>
      <c r="G33" s="170"/>
      <c r="H33" s="170"/>
      <c r="I33" s="196"/>
      <c r="J33" s="196"/>
      <c r="K33" s="196"/>
      <c r="L33" s="196"/>
      <c r="M33" s="196"/>
      <c r="N33" s="196"/>
      <c r="O33" s="196"/>
      <c r="P33" s="196"/>
      <c r="Q33" s="196"/>
      <c r="R33" s="196"/>
      <c r="S33" s="196"/>
      <c r="T33" s="196"/>
      <c r="U33" s="196"/>
      <c r="V33" s="196"/>
      <c r="W33" s="196"/>
      <c r="X33" s="196"/>
      <c r="Y33" s="196"/>
      <c r="Z33" s="196"/>
      <c r="AA33" s="196"/>
      <c r="AB33" s="196"/>
      <c r="AC33" s="196"/>
      <c r="AD33" s="196"/>
    </row>
    <row r="34" spans="1:30" ht="15.8" customHeight="1">
      <c r="A34" s="196"/>
      <c r="B34" s="220"/>
      <c r="C34" s="165"/>
      <c r="D34" s="70"/>
      <c r="E34" s="70"/>
      <c r="F34" s="196"/>
      <c r="G34" s="170"/>
      <c r="H34" s="170"/>
      <c r="I34" s="196"/>
      <c r="J34" s="196"/>
      <c r="K34" s="196"/>
      <c r="L34" s="196"/>
      <c r="M34" s="196"/>
      <c r="N34" s="196"/>
      <c r="O34" s="196"/>
      <c r="P34" s="196"/>
      <c r="Q34" s="196"/>
      <c r="R34" s="196"/>
      <c r="S34" s="196"/>
      <c r="T34" s="196"/>
      <c r="U34" s="196"/>
      <c r="V34" s="196"/>
      <c r="W34" s="196"/>
      <c r="X34" s="196"/>
      <c r="Y34" s="196"/>
      <c r="Z34" s="196"/>
      <c r="AA34" s="196"/>
      <c r="AB34" s="196"/>
      <c r="AC34" s="196"/>
      <c r="AD34" s="196"/>
    </row>
    <row r="35" spans="1:30" ht="15.8" customHeight="1">
      <c r="A35" s="196"/>
      <c r="B35" s="220"/>
      <c r="C35" s="24"/>
      <c r="D35" s="24"/>
      <c r="E35" s="24"/>
      <c r="F35" s="196"/>
      <c r="G35" s="170"/>
      <c r="H35" s="170"/>
      <c r="I35" s="196"/>
      <c r="J35" s="196"/>
      <c r="K35" s="196"/>
      <c r="L35" s="196"/>
      <c r="M35" s="196"/>
      <c r="N35" s="196"/>
      <c r="O35" s="196"/>
      <c r="P35" s="196"/>
      <c r="Q35" s="196"/>
      <c r="R35" s="196"/>
      <c r="S35" s="196"/>
      <c r="T35" s="196"/>
      <c r="U35" s="196"/>
      <c r="V35" s="196"/>
      <c r="W35" s="196"/>
      <c r="X35" s="196"/>
      <c r="Y35" s="196"/>
      <c r="Z35" s="196"/>
      <c r="AA35" s="196"/>
      <c r="AB35" s="196"/>
      <c r="AC35" s="196"/>
      <c r="AD35" s="196"/>
    </row>
    <row r="36" spans="1:30" ht="15.8" customHeight="1">
      <c r="A36" s="196"/>
      <c r="B36" s="220"/>
      <c r="C36" s="24"/>
      <c r="D36" s="24"/>
      <c r="E36" s="24"/>
      <c r="F36" s="196"/>
      <c r="G36" s="170"/>
      <c r="H36" s="170"/>
      <c r="I36" s="196"/>
      <c r="J36" s="196"/>
      <c r="K36" s="196"/>
      <c r="L36" s="196"/>
      <c r="M36" s="196"/>
      <c r="N36" s="196"/>
      <c r="O36" s="196"/>
      <c r="P36" s="196"/>
      <c r="Q36" s="196"/>
      <c r="R36" s="196"/>
      <c r="S36" s="196"/>
      <c r="T36" s="196"/>
      <c r="U36" s="196"/>
      <c r="V36" s="196"/>
      <c r="W36" s="196"/>
      <c r="X36" s="196"/>
      <c r="Y36" s="196"/>
      <c r="Z36" s="196"/>
      <c r="AA36" s="196"/>
      <c r="AB36" s="196"/>
      <c r="AC36" s="196"/>
      <c r="AD36" s="196"/>
    </row>
    <row r="37" spans="1:30" ht="15.8" customHeight="1">
      <c r="A37" s="196"/>
      <c r="B37" s="220"/>
      <c r="C37" s="24"/>
      <c r="D37" s="24"/>
      <c r="E37" s="24"/>
      <c r="F37" s="196"/>
      <c r="G37" s="170"/>
      <c r="H37" s="170"/>
      <c r="I37" s="196"/>
      <c r="J37" s="196"/>
      <c r="K37" s="196"/>
      <c r="L37" s="196"/>
      <c r="M37" s="196"/>
      <c r="N37" s="196"/>
      <c r="O37" s="196"/>
      <c r="P37" s="196"/>
      <c r="Q37" s="196"/>
      <c r="R37" s="196"/>
      <c r="S37" s="196"/>
      <c r="T37" s="196"/>
      <c r="U37" s="196"/>
      <c r="V37" s="196"/>
      <c r="W37" s="196"/>
      <c r="X37" s="196"/>
      <c r="Y37" s="196"/>
      <c r="Z37" s="196"/>
      <c r="AA37" s="196"/>
      <c r="AB37" s="196"/>
      <c r="AC37" s="196"/>
      <c r="AD37" s="196"/>
    </row>
    <row r="38" spans="1:30" ht="12.9">
      <c r="A38" s="196"/>
      <c r="B38" s="220"/>
      <c r="C38" s="24"/>
      <c r="D38" s="24"/>
      <c r="E38" s="24"/>
      <c r="F38" s="196"/>
      <c r="G38" s="170"/>
      <c r="H38" s="170"/>
      <c r="I38" s="196"/>
      <c r="J38" s="196"/>
      <c r="K38" s="196"/>
      <c r="L38" s="196"/>
      <c r="M38" s="196"/>
      <c r="N38" s="196"/>
      <c r="O38" s="196"/>
      <c r="P38" s="196"/>
      <c r="Q38" s="196"/>
      <c r="R38" s="196"/>
      <c r="S38" s="196"/>
      <c r="T38" s="196"/>
      <c r="U38" s="196"/>
      <c r="V38" s="196"/>
      <c r="W38" s="196"/>
      <c r="X38" s="196"/>
      <c r="Y38" s="196"/>
      <c r="Z38" s="196"/>
      <c r="AA38" s="196"/>
      <c r="AB38" s="196"/>
      <c r="AC38" s="196"/>
      <c r="AD38" s="196"/>
    </row>
    <row r="39" spans="1:30" ht="12.9">
      <c r="A39" s="196"/>
      <c r="B39" s="220"/>
      <c r="C39" s="24"/>
      <c r="D39" s="24"/>
      <c r="E39" s="24"/>
      <c r="F39" s="196"/>
      <c r="G39" s="70"/>
      <c r="H39" s="70"/>
      <c r="I39" s="196"/>
      <c r="J39" s="196"/>
      <c r="K39" s="196"/>
      <c r="L39" s="196"/>
      <c r="M39" s="196"/>
      <c r="N39" s="196"/>
      <c r="O39" s="196"/>
      <c r="P39" s="196"/>
      <c r="Q39" s="196"/>
      <c r="R39" s="196"/>
      <c r="S39" s="196"/>
      <c r="T39" s="196"/>
      <c r="U39" s="196"/>
      <c r="V39" s="196"/>
      <c r="W39" s="196"/>
      <c r="X39" s="196"/>
      <c r="Y39" s="196"/>
      <c r="Z39" s="196"/>
      <c r="AA39" s="196"/>
      <c r="AB39" s="196"/>
      <c r="AC39" s="196"/>
      <c r="AD39" s="196"/>
    </row>
    <row r="40" spans="1:30" ht="12.9">
      <c r="A40" s="196"/>
      <c r="B40" s="220"/>
      <c r="C40" s="24"/>
      <c r="D40" s="24"/>
      <c r="E40" s="24"/>
      <c r="F40" s="196"/>
      <c r="G40" s="70"/>
      <c r="H40" s="70"/>
      <c r="I40" s="196"/>
      <c r="J40" s="196"/>
      <c r="K40" s="196"/>
      <c r="L40" s="196"/>
      <c r="M40" s="196"/>
      <c r="N40" s="196"/>
      <c r="O40" s="196"/>
      <c r="P40" s="196"/>
      <c r="Q40" s="196"/>
      <c r="R40" s="196"/>
      <c r="S40" s="196"/>
      <c r="T40" s="196"/>
      <c r="U40" s="196"/>
      <c r="V40" s="196"/>
      <c r="W40" s="196"/>
      <c r="X40" s="196"/>
      <c r="Y40" s="196"/>
      <c r="Z40" s="196"/>
      <c r="AA40" s="196"/>
      <c r="AB40" s="196"/>
      <c r="AC40" s="196"/>
      <c r="AD40" s="196"/>
    </row>
    <row r="41" spans="1:30" ht="12.9">
      <c r="A41" s="196"/>
      <c r="B41" s="168"/>
      <c r="C41" s="24"/>
      <c r="D41" s="24"/>
      <c r="E41" s="24"/>
      <c r="F41" s="196"/>
      <c r="G41" s="70"/>
      <c r="H41" s="70"/>
      <c r="I41" s="196"/>
      <c r="J41" s="196"/>
      <c r="K41" s="196"/>
      <c r="L41" s="196"/>
      <c r="M41" s="196"/>
      <c r="N41" s="196"/>
      <c r="O41" s="196"/>
      <c r="P41" s="196"/>
      <c r="Q41" s="196"/>
      <c r="R41" s="196"/>
      <c r="S41" s="196"/>
      <c r="T41" s="196"/>
      <c r="U41" s="196"/>
      <c r="V41" s="196"/>
      <c r="W41" s="196"/>
      <c r="X41" s="196"/>
      <c r="Y41" s="196"/>
      <c r="Z41" s="196"/>
      <c r="AA41" s="196"/>
      <c r="AB41" s="196"/>
      <c r="AC41" s="196"/>
      <c r="AD41" s="196"/>
    </row>
    <row r="42" spans="1:30" ht="12.9">
      <c r="A42" s="196"/>
      <c r="B42" s="168"/>
      <c r="C42" s="24"/>
      <c r="D42" s="24"/>
      <c r="E42" s="24"/>
      <c r="F42" s="196"/>
      <c r="G42" s="70"/>
      <c r="H42" s="70"/>
      <c r="I42" s="196"/>
      <c r="J42" s="196"/>
      <c r="K42" s="196"/>
      <c r="L42" s="196"/>
      <c r="M42" s="196"/>
      <c r="N42" s="196"/>
      <c r="O42" s="196"/>
      <c r="P42" s="196"/>
      <c r="Q42" s="196"/>
      <c r="R42" s="196"/>
      <c r="S42" s="196"/>
      <c r="T42" s="196"/>
      <c r="U42" s="196"/>
      <c r="V42" s="196"/>
      <c r="W42" s="196"/>
      <c r="X42" s="196"/>
      <c r="Y42" s="196"/>
      <c r="Z42" s="196"/>
      <c r="AA42" s="196"/>
      <c r="AB42" s="196"/>
      <c r="AC42" s="196"/>
      <c r="AD42" s="196"/>
    </row>
    <row r="43" spans="1:30" ht="12.9">
      <c r="A43" s="196"/>
      <c r="B43" s="168"/>
      <c r="C43" s="24"/>
      <c r="D43" s="24"/>
      <c r="E43" s="24"/>
      <c r="F43" s="196"/>
      <c r="G43" s="70"/>
      <c r="H43" s="70"/>
      <c r="I43" s="196"/>
      <c r="J43" s="196"/>
      <c r="K43" s="196"/>
      <c r="L43" s="196"/>
      <c r="M43" s="196"/>
      <c r="N43" s="196"/>
      <c r="O43" s="196"/>
      <c r="P43" s="196"/>
      <c r="Q43" s="196"/>
      <c r="R43" s="196"/>
      <c r="S43" s="196"/>
      <c r="T43" s="196"/>
      <c r="U43" s="196"/>
      <c r="V43" s="196"/>
      <c r="W43" s="196"/>
      <c r="X43" s="196"/>
      <c r="Y43" s="196"/>
      <c r="Z43" s="196"/>
      <c r="AA43" s="196"/>
      <c r="AB43" s="196"/>
      <c r="AC43" s="196"/>
      <c r="AD43" s="196"/>
    </row>
    <row r="44" spans="1:30" ht="12.9">
      <c r="A44" s="196"/>
      <c r="B44" s="168"/>
      <c r="C44" s="24"/>
      <c r="D44" s="24"/>
      <c r="E44" s="24"/>
      <c r="F44" s="196"/>
      <c r="G44" s="70"/>
      <c r="H44" s="70"/>
      <c r="I44" s="196"/>
      <c r="J44" s="196"/>
      <c r="K44" s="196"/>
      <c r="L44" s="196"/>
      <c r="M44" s="196"/>
      <c r="N44" s="196"/>
      <c r="O44" s="196"/>
      <c r="P44" s="196"/>
      <c r="Q44" s="196"/>
      <c r="R44" s="196"/>
      <c r="S44" s="196"/>
      <c r="T44" s="196"/>
      <c r="U44" s="196"/>
      <c r="V44" s="196"/>
      <c r="W44" s="196"/>
      <c r="X44" s="196"/>
      <c r="Y44" s="196"/>
      <c r="Z44" s="196"/>
      <c r="AA44" s="196"/>
      <c r="AB44" s="196"/>
      <c r="AC44" s="196"/>
      <c r="AD44" s="196"/>
    </row>
    <row r="45" spans="1:30" ht="12.9">
      <c r="A45" s="196"/>
      <c r="B45" s="168"/>
      <c r="C45" s="24"/>
      <c r="D45" s="24"/>
      <c r="E45" s="24"/>
      <c r="F45" s="196"/>
      <c r="G45" s="70"/>
      <c r="H45" s="70"/>
      <c r="I45" s="196"/>
      <c r="J45" s="196"/>
      <c r="K45" s="196"/>
      <c r="L45" s="196"/>
      <c r="M45" s="196"/>
      <c r="N45" s="196"/>
      <c r="O45" s="196"/>
      <c r="P45" s="196"/>
      <c r="Q45" s="196"/>
      <c r="R45" s="196"/>
      <c r="S45" s="196"/>
      <c r="T45" s="196"/>
      <c r="U45" s="196"/>
      <c r="V45" s="196"/>
      <c r="W45" s="196"/>
      <c r="X45" s="196"/>
      <c r="Y45" s="196"/>
      <c r="Z45" s="196"/>
      <c r="AA45" s="196"/>
      <c r="AB45" s="196"/>
      <c r="AC45" s="196"/>
      <c r="AD45" s="196"/>
    </row>
    <row r="46" spans="1:30" ht="12.9">
      <c r="A46" s="196"/>
      <c r="B46" s="168"/>
      <c r="C46" s="24"/>
      <c r="D46" s="24"/>
      <c r="E46" s="24"/>
      <c r="F46" s="196"/>
      <c r="G46" s="70"/>
      <c r="H46" s="70"/>
      <c r="I46" s="196"/>
      <c r="J46" s="196"/>
      <c r="K46" s="196"/>
      <c r="L46" s="196"/>
      <c r="M46" s="196"/>
      <c r="N46" s="196"/>
      <c r="O46" s="196"/>
      <c r="P46" s="196"/>
      <c r="Q46" s="196"/>
      <c r="R46" s="196"/>
      <c r="S46" s="196"/>
      <c r="T46" s="196"/>
      <c r="U46" s="196"/>
      <c r="V46" s="196"/>
      <c r="W46" s="196"/>
      <c r="X46" s="196"/>
      <c r="Y46" s="196"/>
      <c r="Z46" s="196"/>
      <c r="AA46" s="196"/>
      <c r="AB46" s="196"/>
      <c r="AC46" s="196"/>
      <c r="AD46" s="196"/>
    </row>
    <row r="47" spans="1:30" ht="12.9">
      <c r="A47" s="196"/>
      <c r="B47" s="168"/>
      <c r="C47" s="24"/>
      <c r="D47" s="24"/>
      <c r="E47" s="24"/>
      <c r="F47" s="196"/>
      <c r="G47" s="70"/>
      <c r="H47" s="70"/>
      <c r="I47" s="196"/>
      <c r="J47" s="196"/>
      <c r="K47" s="196"/>
      <c r="L47" s="196"/>
      <c r="M47" s="196"/>
      <c r="N47" s="196"/>
      <c r="O47" s="196"/>
      <c r="P47" s="196"/>
      <c r="Q47" s="196"/>
      <c r="R47" s="196"/>
      <c r="S47" s="196"/>
      <c r="T47" s="196"/>
      <c r="U47" s="196"/>
      <c r="V47" s="196"/>
      <c r="W47" s="196"/>
      <c r="X47" s="196"/>
      <c r="Y47" s="196"/>
      <c r="Z47" s="196"/>
      <c r="AA47" s="196"/>
      <c r="AB47" s="196"/>
      <c r="AC47" s="196"/>
      <c r="AD47" s="196"/>
    </row>
    <row r="48" spans="1:30" ht="12.9">
      <c r="A48" s="196"/>
      <c r="B48" s="168"/>
      <c r="C48" s="24"/>
      <c r="D48" s="24"/>
      <c r="E48" s="24"/>
      <c r="F48" s="196"/>
      <c r="G48" s="70"/>
      <c r="H48" s="70"/>
      <c r="I48" s="196"/>
      <c r="J48" s="196"/>
      <c r="K48" s="196"/>
      <c r="L48" s="196"/>
      <c r="M48" s="196"/>
      <c r="N48" s="196"/>
      <c r="O48" s="196"/>
      <c r="P48" s="196"/>
      <c r="Q48" s="196"/>
      <c r="R48" s="196"/>
      <c r="S48" s="196"/>
      <c r="T48" s="196"/>
      <c r="U48" s="196"/>
      <c r="V48" s="196"/>
      <c r="W48" s="196"/>
      <c r="X48" s="196"/>
      <c r="Y48" s="196"/>
      <c r="Z48" s="196"/>
      <c r="AA48" s="196"/>
      <c r="AB48" s="196"/>
      <c r="AC48" s="196"/>
      <c r="AD48" s="196"/>
    </row>
    <row r="49" spans="1:30" ht="12.9">
      <c r="A49" s="196"/>
      <c r="B49" s="168"/>
      <c r="C49" s="24"/>
      <c r="D49" s="24"/>
      <c r="E49" s="24"/>
      <c r="F49" s="196"/>
      <c r="G49" s="70"/>
      <c r="H49" s="70"/>
      <c r="I49" s="196"/>
      <c r="J49" s="196"/>
      <c r="K49" s="196"/>
      <c r="L49" s="196"/>
      <c r="M49" s="196"/>
      <c r="N49" s="196"/>
      <c r="O49" s="196"/>
      <c r="P49" s="196"/>
      <c r="Q49" s="196"/>
      <c r="R49" s="196"/>
      <c r="S49" s="196"/>
      <c r="T49" s="196"/>
      <c r="U49" s="196"/>
      <c r="V49" s="196"/>
      <c r="W49" s="196"/>
      <c r="X49" s="196"/>
      <c r="Y49" s="196"/>
      <c r="Z49" s="196"/>
      <c r="AA49" s="196"/>
      <c r="AB49" s="196"/>
      <c r="AC49" s="196"/>
      <c r="AD49" s="196"/>
    </row>
    <row r="50" spans="1:30" ht="12.9">
      <c r="A50" s="196"/>
      <c r="B50" s="168"/>
      <c r="C50" s="24"/>
      <c r="D50" s="24"/>
      <c r="E50" s="24"/>
      <c r="F50" s="196"/>
      <c r="G50" s="70"/>
      <c r="H50" s="70"/>
      <c r="I50" s="196"/>
      <c r="J50" s="196"/>
      <c r="K50" s="196"/>
      <c r="L50" s="196"/>
      <c r="M50" s="196"/>
      <c r="N50" s="196"/>
      <c r="O50" s="196"/>
      <c r="P50" s="196"/>
      <c r="Q50" s="196"/>
      <c r="R50" s="196"/>
      <c r="S50" s="196"/>
      <c r="T50" s="196"/>
      <c r="U50" s="196"/>
      <c r="V50" s="196"/>
      <c r="W50" s="196"/>
      <c r="X50" s="196"/>
      <c r="Y50" s="196"/>
      <c r="Z50" s="196"/>
      <c r="AA50" s="196"/>
      <c r="AB50" s="196"/>
      <c r="AC50" s="196"/>
      <c r="AD50" s="196"/>
    </row>
    <row r="51" spans="1:30" ht="12.9">
      <c r="A51" s="196"/>
      <c r="B51" s="168"/>
      <c r="C51" s="24"/>
      <c r="D51" s="24"/>
      <c r="E51" s="24"/>
      <c r="F51" s="196"/>
      <c r="G51" s="70"/>
      <c r="H51" s="70"/>
      <c r="I51" s="196"/>
      <c r="J51" s="196"/>
      <c r="K51" s="196"/>
      <c r="L51" s="196"/>
      <c r="M51" s="196"/>
      <c r="N51" s="196"/>
      <c r="O51" s="196"/>
      <c r="P51" s="196"/>
      <c r="Q51" s="196"/>
      <c r="R51" s="196"/>
      <c r="S51" s="196"/>
      <c r="T51" s="196"/>
      <c r="U51" s="196"/>
      <c r="V51" s="196"/>
      <c r="W51" s="196"/>
      <c r="X51" s="196"/>
      <c r="Y51" s="196"/>
      <c r="Z51" s="196"/>
      <c r="AA51" s="196"/>
      <c r="AB51" s="196"/>
      <c r="AC51" s="196"/>
      <c r="AD51" s="196"/>
    </row>
    <row r="52" spans="1:30" ht="12.9">
      <c r="A52" s="196"/>
      <c r="B52" s="168"/>
      <c r="C52" s="24"/>
      <c r="D52" s="24"/>
      <c r="E52" s="24"/>
      <c r="F52" s="196"/>
      <c r="G52" s="70"/>
      <c r="H52" s="70"/>
      <c r="I52" s="196"/>
      <c r="J52" s="196"/>
      <c r="K52" s="196"/>
      <c r="L52" s="196"/>
      <c r="M52" s="196"/>
      <c r="N52" s="196"/>
      <c r="O52" s="196"/>
      <c r="P52" s="196"/>
      <c r="Q52" s="196"/>
      <c r="R52" s="196"/>
      <c r="S52" s="196"/>
      <c r="T52" s="196"/>
      <c r="U52" s="196"/>
      <c r="V52" s="196"/>
      <c r="W52" s="196"/>
      <c r="X52" s="196"/>
      <c r="Y52" s="196"/>
      <c r="Z52" s="196"/>
      <c r="AA52" s="196"/>
      <c r="AB52" s="196"/>
      <c r="AC52" s="196"/>
      <c r="AD52" s="196"/>
    </row>
    <row r="53" spans="1:30" ht="12.9">
      <c r="A53" s="196"/>
      <c r="B53" s="168"/>
      <c r="C53" s="24"/>
      <c r="D53" s="24"/>
      <c r="E53" s="24"/>
      <c r="F53" s="196"/>
      <c r="G53" s="70"/>
      <c r="H53" s="70"/>
      <c r="I53" s="196"/>
      <c r="J53" s="196"/>
      <c r="K53" s="196"/>
      <c r="L53" s="196"/>
      <c r="M53" s="196"/>
      <c r="N53" s="196"/>
      <c r="O53" s="196"/>
      <c r="P53" s="196"/>
      <c r="Q53" s="196"/>
      <c r="R53" s="196"/>
      <c r="S53" s="196"/>
      <c r="T53" s="196"/>
      <c r="U53" s="196"/>
      <c r="V53" s="196"/>
      <c r="W53" s="196"/>
      <c r="X53" s="196"/>
      <c r="Y53" s="196"/>
      <c r="Z53" s="196"/>
      <c r="AA53" s="196"/>
      <c r="AB53" s="196"/>
      <c r="AC53" s="196"/>
      <c r="AD53" s="196"/>
    </row>
    <row r="54" spans="1:30" ht="12.9">
      <c r="A54" s="196"/>
      <c r="B54" s="168"/>
      <c r="C54" s="24"/>
      <c r="D54" s="24"/>
      <c r="E54" s="24"/>
      <c r="F54" s="196"/>
      <c r="G54" s="170"/>
      <c r="H54" s="170"/>
      <c r="I54" s="196"/>
      <c r="J54" s="196"/>
      <c r="K54" s="196"/>
      <c r="L54" s="196"/>
      <c r="M54" s="196"/>
      <c r="N54" s="196"/>
      <c r="O54" s="196"/>
      <c r="P54" s="196"/>
      <c r="Q54" s="196"/>
      <c r="R54" s="196"/>
      <c r="S54" s="196"/>
      <c r="T54" s="196"/>
      <c r="U54" s="196"/>
      <c r="V54" s="196"/>
      <c r="W54" s="196"/>
      <c r="X54" s="196"/>
      <c r="Y54" s="196"/>
      <c r="Z54" s="196"/>
      <c r="AA54" s="196"/>
      <c r="AB54" s="196"/>
      <c r="AC54" s="196"/>
      <c r="AD54" s="196"/>
    </row>
    <row r="55" spans="1:30" ht="12.9">
      <c r="A55" s="196"/>
      <c r="B55" s="168"/>
      <c r="C55" s="24"/>
      <c r="D55" s="24"/>
      <c r="E55" s="24"/>
      <c r="F55" s="196"/>
      <c r="G55" s="170"/>
      <c r="H55" s="170"/>
      <c r="I55" s="196"/>
      <c r="J55" s="196"/>
      <c r="K55" s="196"/>
      <c r="L55" s="196"/>
      <c r="M55" s="196"/>
      <c r="N55" s="196"/>
      <c r="O55" s="196"/>
      <c r="P55" s="196"/>
      <c r="Q55" s="196"/>
      <c r="R55" s="196"/>
      <c r="S55" s="196"/>
      <c r="T55" s="196"/>
      <c r="U55" s="196"/>
      <c r="V55" s="196"/>
      <c r="W55" s="196"/>
      <c r="X55" s="196"/>
      <c r="Y55" s="196"/>
      <c r="Z55" s="196"/>
      <c r="AA55" s="196"/>
      <c r="AB55" s="196"/>
      <c r="AC55" s="196"/>
      <c r="AD55" s="196"/>
    </row>
    <row r="56" spans="1:30" ht="12.9">
      <c r="A56" s="196"/>
      <c r="B56" s="168"/>
      <c r="C56" s="24"/>
      <c r="D56" s="24"/>
      <c r="E56" s="24"/>
      <c r="F56" s="196"/>
      <c r="G56" s="24"/>
      <c r="H56" s="24"/>
      <c r="I56" s="196"/>
      <c r="J56" s="196"/>
      <c r="K56" s="196"/>
      <c r="L56" s="196"/>
      <c r="M56" s="196"/>
      <c r="N56" s="196"/>
      <c r="O56" s="196"/>
      <c r="P56" s="196"/>
      <c r="Q56" s="196"/>
      <c r="R56" s="196"/>
      <c r="S56" s="196"/>
      <c r="T56" s="196"/>
      <c r="U56" s="196"/>
      <c r="V56" s="196"/>
      <c r="W56" s="196"/>
      <c r="X56" s="196"/>
      <c r="Y56" s="196"/>
      <c r="Z56" s="196"/>
      <c r="AA56" s="196"/>
      <c r="AB56" s="196"/>
      <c r="AC56" s="196"/>
      <c r="AD56" s="196"/>
    </row>
    <row r="57" spans="1:30" ht="12.9">
      <c r="A57" s="196"/>
      <c r="B57" s="168"/>
      <c r="C57" s="24"/>
      <c r="D57" s="24"/>
      <c r="E57" s="24"/>
      <c r="F57" s="196"/>
      <c r="G57" s="24"/>
      <c r="H57" s="24"/>
      <c r="I57" s="196"/>
      <c r="J57" s="196"/>
      <c r="K57" s="196"/>
      <c r="L57" s="196"/>
      <c r="M57" s="196"/>
      <c r="N57" s="196"/>
      <c r="O57" s="196"/>
      <c r="P57" s="196"/>
      <c r="Q57" s="196"/>
      <c r="R57" s="196"/>
      <c r="S57" s="196"/>
      <c r="T57" s="196"/>
      <c r="U57" s="196"/>
      <c r="V57" s="196"/>
      <c r="W57" s="196"/>
      <c r="X57" s="196"/>
      <c r="Y57" s="196"/>
      <c r="Z57" s="196"/>
      <c r="AA57" s="196"/>
      <c r="AB57" s="196"/>
      <c r="AC57" s="196"/>
      <c r="AD57" s="196"/>
    </row>
    <row r="58" spans="1:30" ht="12.9">
      <c r="A58" s="196"/>
      <c r="B58" s="168"/>
      <c r="C58" s="24"/>
      <c r="D58" s="24"/>
      <c r="E58" s="24"/>
      <c r="F58" s="196"/>
      <c r="G58" s="24"/>
      <c r="H58" s="24"/>
      <c r="I58" s="196"/>
      <c r="J58" s="196"/>
      <c r="K58" s="196"/>
      <c r="L58" s="196"/>
      <c r="M58" s="196"/>
      <c r="N58" s="196"/>
      <c r="O58" s="196"/>
      <c r="P58" s="196"/>
      <c r="Q58" s="196"/>
      <c r="R58" s="196"/>
      <c r="S58" s="196"/>
      <c r="T58" s="196"/>
      <c r="U58" s="196"/>
      <c r="V58" s="196"/>
      <c r="W58" s="196"/>
      <c r="X58" s="196"/>
      <c r="Y58" s="196"/>
      <c r="Z58" s="196"/>
      <c r="AA58" s="196"/>
      <c r="AB58" s="196"/>
      <c r="AC58" s="196"/>
      <c r="AD58" s="196"/>
    </row>
    <row r="59" spans="1:30" ht="12.9">
      <c r="A59" s="196"/>
      <c r="B59" s="168"/>
      <c r="C59" s="24"/>
      <c r="D59" s="24"/>
      <c r="E59" s="24"/>
      <c r="F59" s="196"/>
      <c r="G59" s="24"/>
      <c r="H59" s="24"/>
      <c r="I59" s="196"/>
      <c r="J59" s="196"/>
      <c r="K59" s="196"/>
      <c r="L59" s="196"/>
      <c r="M59" s="196"/>
      <c r="N59" s="196"/>
      <c r="O59" s="196"/>
      <c r="P59" s="196"/>
      <c r="Q59" s="196"/>
      <c r="R59" s="196"/>
      <c r="S59" s="196"/>
      <c r="T59" s="196"/>
      <c r="U59" s="196"/>
      <c r="V59" s="196"/>
      <c r="W59" s="196"/>
      <c r="X59" s="196"/>
      <c r="Y59" s="196"/>
      <c r="Z59" s="196"/>
      <c r="AA59" s="196"/>
      <c r="AB59" s="196"/>
      <c r="AC59" s="196"/>
      <c r="AD59" s="196"/>
    </row>
    <row r="60" spans="1:30" ht="12.9">
      <c r="A60" s="196"/>
      <c r="B60" s="168"/>
      <c r="C60" s="196"/>
      <c r="D60" s="196"/>
      <c r="E60" s="196"/>
      <c r="F60" s="196"/>
      <c r="G60" s="70"/>
      <c r="H60" s="70"/>
      <c r="I60" s="196"/>
      <c r="J60" s="196"/>
      <c r="K60" s="196"/>
      <c r="L60" s="196"/>
      <c r="M60" s="196"/>
      <c r="N60" s="196"/>
      <c r="O60" s="196"/>
      <c r="P60" s="196"/>
      <c r="Q60" s="196"/>
      <c r="R60" s="196"/>
      <c r="S60" s="196"/>
      <c r="T60" s="196"/>
      <c r="U60" s="196"/>
      <c r="V60" s="196"/>
      <c r="W60" s="196"/>
      <c r="X60" s="196"/>
      <c r="Y60" s="196"/>
      <c r="Z60" s="196"/>
      <c r="AA60" s="196"/>
      <c r="AB60" s="196"/>
      <c r="AC60" s="196"/>
      <c r="AD60" s="196"/>
    </row>
    <row r="61" spans="1:30" ht="12.9">
      <c r="A61" s="196"/>
      <c r="B61" s="168"/>
      <c r="C61" s="196"/>
      <c r="D61" s="196"/>
      <c r="E61" s="196"/>
      <c r="F61" s="196"/>
      <c r="G61" s="70"/>
      <c r="H61" s="70"/>
      <c r="I61" s="196"/>
      <c r="J61" s="196"/>
      <c r="K61" s="196"/>
      <c r="L61" s="196"/>
      <c r="M61" s="196"/>
      <c r="N61" s="196"/>
      <c r="O61" s="196"/>
      <c r="P61" s="196"/>
      <c r="Q61" s="196"/>
      <c r="R61" s="196"/>
      <c r="S61" s="196"/>
      <c r="T61" s="196"/>
      <c r="U61" s="196"/>
      <c r="V61" s="196"/>
      <c r="W61" s="196"/>
      <c r="X61" s="196"/>
      <c r="Y61" s="196"/>
      <c r="Z61" s="196"/>
      <c r="AA61" s="196"/>
      <c r="AB61" s="196"/>
      <c r="AC61" s="196"/>
      <c r="AD61" s="196"/>
    </row>
    <row r="62" spans="1:30" ht="12.9">
      <c r="A62" s="196"/>
      <c r="B62" s="168"/>
      <c r="C62" s="196"/>
      <c r="D62" s="196"/>
      <c r="E62" s="196"/>
      <c r="F62" s="196"/>
      <c r="G62" s="70"/>
      <c r="H62" s="70"/>
      <c r="I62" s="196"/>
      <c r="J62" s="196"/>
      <c r="K62" s="196"/>
      <c r="L62" s="196"/>
      <c r="M62" s="196"/>
      <c r="N62" s="196"/>
      <c r="O62" s="196"/>
      <c r="P62" s="196"/>
      <c r="Q62" s="196"/>
      <c r="R62" s="196"/>
      <c r="S62" s="196"/>
      <c r="T62" s="196"/>
      <c r="U62" s="196"/>
      <c r="V62" s="196"/>
      <c r="W62" s="196"/>
      <c r="X62" s="196"/>
      <c r="Y62" s="196"/>
      <c r="Z62" s="196"/>
      <c r="AA62" s="196"/>
      <c r="AB62" s="196"/>
      <c r="AC62" s="196"/>
      <c r="AD62" s="196"/>
    </row>
    <row r="63" spans="1:30" ht="12.9">
      <c r="A63" s="196"/>
      <c r="B63" s="168"/>
      <c r="C63" s="196"/>
      <c r="D63" s="196"/>
      <c r="E63" s="196"/>
      <c r="F63" s="196"/>
      <c r="G63" s="70"/>
      <c r="H63" s="70"/>
      <c r="I63" s="196"/>
      <c r="J63" s="196"/>
      <c r="K63" s="196"/>
      <c r="L63" s="196"/>
      <c r="M63" s="196"/>
      <c r="N63" s="196"/>
      <c r="O63" s="196"/>
      <c r="P63" s="196"/>
      <c r="Q63" s="196"/>
      <c r="R63" s="196"/>
      <c r="S63" s="196"/>
      <c r="T63" s="196"/>
      <c r="U63" s="196"/>
      <c r="V63" s="196"/>
      <c r="W63" s="196"/>
      <c r="X63" s="196"/>
      <c r="Y63" s="196"/>
      <c r="Z63" s="196"/>
      <c r="AA63" s="196"/>
      <c r="AB63" s="196"/>
      <c r="AC63" s="196"/>
      <c r="AD63" s="196"/>
    </row>
    <row r="64" spans="1:30" ht="12.9">
      <c r="A64" s="196"/>
      <c r="B64" s="168"/>
      <c r="C64" s="196"/>
      <c r="D64" s="196"/>
      <c r="E64" s="196"/>
      <c r="F64" s="196"/>
      <c r="G64" s="70"/>
      <c r="H64" s="70"/>
      <c r="I64" s="196"/>
      <c r="J64" s="196"/>
      <c r="K64" s="196"/>
      <c r="L64" s="196"/>
      <c r="M64" s="196"/>
      <c r="N64" s="196"/>
      <c r="O64" s="196"/>
      <c r="P64" s="196"/>
      <c r="Q64" s="196"/>
      <c r="R64" s="196"/>
      <c r="S64" s="196"/>
      <c r="T64" s="196"/>
      <c r="U64" s="196"/>
      <c r="V64" s="196"/>
      <c r="W64" s="196"/>
      <c r="X64" s="196"/>
      <c r="Y64" s="196"/>
      <c r="Z64" s="196"/>
      <c r="AA64" s="196"/>
      <c r="AB64" s="196"/>
      <c r="AC64" s="196"/>
      <c r="AD64" s="196"/>
    </row>
    <row r="65" spans="1:30" ht="12.9">
      <c r="A65" s="196"/>
      <c r="B65" s="168"/>
      <c r="C65" s="196"/>
      <c r="D65" s="196"/>
      <c r="E65" s="196"/>
      <c r="F65" s="196"/>
      <c r="G65" s="174"/>
      <c r="H65" s="174"/>
      <c r="I65" s="196"/>
      <c r="J65" s="196"/>
      <c r="K65" s="196"/>
      <c r="L65" s="196"/>
      <c r="M65" s="196"/>
      <c r="N65" s="196"/>
      <c r="O65" s="196"/>
      <c r="P65" s="196"/>
      <c r="Q65" s="196"/>
      <c r="R65" s="196"/>
      <c r="S65" s="196"/>
      <c r="T65" s="196"/>
      <c r="U65" s="196"/>
      <c r="V65" s="196"/>
      <c r="W65" s="196"/>
      <c r="X65" s="196"/>
      <c r="Y65" s="196"/>
      <c r="Z65" s="196"/>
      <c r="AA65" s="196"/>
      <c r="AB65" s="196"/>
      <c r="AC65" s="196"/>
      <c r="AD65" s="196"/>
    </row>
    <row r="66" spans="1:30" ht="12.9">
      <c r="A66" s="196"/>
      <c r="B66" s="168"/>
      <c r="C66" s="196"/>
      <c r="D66" s="196"/>
      <c r="E66" s="196"/>
      <c r="F66" s="196"/>
      <c r="G66" s="174"/>
      <c r="H66" s="174"/>
      <c r="I66" s="196"/>
      <c r="J66" s="196"/>
      <c r="K66" s="196"/>
      <c r="L66" s="196"/>
      <c r="M66" s="196"/>
      <c r="N66" s="196"/>
      <c r="O66" s="196"/>
      <c r="P66" s="196"/>
      <c r="Q66" s="196"/>
      <c r="R66" s="196"/>
      <c r="S66" s="196"/>
      <c r="T66" s="196"/>
      <c r="U66" s="196"/>
      <c r="V66" s="196"/>
      <c r="W66" s="196"/>
      <c r="X66" s="196"/>
      <c r="Y66" s="196"/>
      <c r="Z66" s="196"/>
      <c r="AA66" s="196"/>
      <c r="AB66" s="196"/>
      <c r="AC66" s="196"/>
      <c r="AD66" s="196"/>
    </row>
    <row r="67" spans="1:30" ht="12.9">
      <c r="A67" s="196"/>
      <c r="B67" s="168"/>
      <c r="C67" s="196"/>
      <c r="D67" s="196"/>
      <c r="E67" s="196"/>
      <c r="F67" s="196"/>
      <c r="G67" s="70"/>
      <c r="H67" s="70"/>
      <c r="I67" s="196"/>
      <c r="J67" s="196"/>
      <c r="K67" s="196"/>
      <c r="L67" s="196"/>
      <c r="M67" s="196"/>
      <c r="N67" s="196"/>
      <c r="O67" s="196"/>
      <c r="P67" s="196"/>
      <c r="Q67" s="196"/>
      <c r="R67" s="196"/>
      <c r="S67" s="196"/>
      <c r="T67" s="196"/>
      <c r="U67" s="196"/>
      <c r="V67" s="196"/>
      <c r="W67" s="196"/>
      <c r="X67" s="196"/>
      <c r="Y67" s="196"/>
      <c r="Z67" s="196"/>
      <c r="AA67" s="196"/>
      <c r="AB67" s="196"/>
      <c r="AC67" s="196"/>
      <c r="AD67" s="196"/>
    </row>
    <row r="68" spans="1:30" ht="12.9">
      <c r="A68" s="196"/>
      <c r="B68" s="168"/>
      <c r="C68" s="196"/>
      <c r="D68" s="196"/>
      <c r="E68" s="196"/>
      <c r="F68" s="196"/>
      <c r="G68" s="70"/>
      <c r="H68" s="70"/>
      <c r="I68" s="196"/>
      <c r="J68" s="196"/>
      <c r="K68" s="196"/>
      <c r="L68" s="196"/>
      <c r="M68" s="196"/>
      <c r="N68" s="196"/>
      <c r="O68" s="196"/>
      <c r="P68" s="196"/>
      <c r="Q68" s="196"/>
      <c r="R68" s="196"/>
      <c r="S68" s="196"/>
      <c r="T68" s="196"/>
      <c r="U68" s="196"/>
      <c r="V68" s="196"/>
      <c r="W68" s="196"/>
      <c r="X68" s="196"/>
      <c r="Y68" s="196"/>
      <c r="Z68" s="196"/>
      <c r="AA68" s="196"/>
      <c r="AB68" s="196"/>
      <c r="AC68" s="196"/>
      <c r="AD68" s="196"/>
    </row>
    <row r="69" spans="1:30" ht="12.9">
      <c r="A69" s="196"/>
      <c r="B69" s="168"/>
      <c r="C69" s="196"/>
      <c r="D69" s="196"/>
      <c r="E69" s="196"/>
      <c r="F69" s="196"/>
      <c r="G69" s="70"/>
      <c r="H69" s="70"/>
      <c r="I69" s="196"/>
      <c r="J69" s="196"/>
      <c r="K69" s="196"/>
      <c r="L69" s="196"/>
      <c r="M69" s="196"/>
      <c r="N69" s="196"/>
      <c r="O69" s="196"/>
      <c r="P69" s="196"/>
      <c r="Q69" s="196"/>
      <c r="R69" s="196"/>
      <c r="S69" s="196"/>
      <c r="T69" s="196"/>
      <c r="U69" s="196"/>
      <c r="V69" s="196"/>
      <c r="W69" s="196"/>
      <c r="X69" s="196"/>
      <c r="Y69" s="196"/>
      <c r="Z69" s="196"/>
      <c r="AA69" s="196"/>
      <c r="AB69" s="196"/>
      <c r="AC69" s="196"/>
      <c r="AD69" s="196"/>
    </row>
    <row r="70" spans="1:30" ht="12.9">
      <c r="A70" s="196"/>
      <c r="B70" s="168"/>
      <c r="C70" s="196"/>
      <c r="D70" s="196"/>
      <c r="E70" s="196"/>
      <c r="F70" s="196"/>
      <c r="G70" s="70"/>
      <c r="H70" s="70"/>
      <c r="I70" s="196"/>
      <c r="J70" s="196"/>
      <c r="K70" s="196"/>
      <c r="L70" s="196"/>
      <c r="M70" s="196"/>
      <c r="N70" s="196"/>
      <c r="O70" s="196"/>
      <c r="P70" s="196"/>
      <c r="Q70" s="196"/>
      <c r="R70" s="196"/>
      <c r="S70" s="196"/>
      <c r="T70" s="196"/>
      <c r="U70" s="196"/>
      <c r="V70" s="196"/>
      <c r="W70" s="196"/>
      <c r="X70" s="196"/>
      <c r="Y70" s="196"/>
      <c r="Z70" s="196"/>
      <c r="AA70" s="196"/>
      <c r="AB70" s="196"/>
      <c r="AC70" s="196"/>
      <c r="AD70" s="196"/>
    </row>
    <row r="71" spans="1:30" ht="12.9">
      <c r="A71" s="196"/>
      <c r="B71" s="168"/>
      <c r="C71" s="196"/>
      <c r="D71" s="196"/>
      <c r="E71" s="196"/>
      <c r="F71" s="196"/>
      <c r="G71" s="70"/>
      <c r="H71" s="70"/>
      <c r="I71" s="196"/>
      <c r="J71" s="196"/>
      <c r="K71" s="196"/>
      <c r="L71" s="196"/>
      <c r="M71" s="196"/>
      <c r="N71" s="196"/>
      <c r="O71" s="196"/>
      <c r="P71" s="196"/>
      <c r="Q71" s="196"/>
      <c r="R71" s="196"/>
      <c r="S71" s="196"/>
      <c r="T71" s="196"/>
      <c r="U71" s="196"/>
      <c r="V71" s="196"/>
      <c r="W71" s="196"/>
      <c r="X71" s="196"/>
      <c r="Y71" s="196"/>
      <c r="Z71" s="196"/>
      <c r="AA71" s="196"/>
      <c r="AB71" s="196"/>
      <c r="AC71" s="196"/>
      <c r="AD71" s="196"/>
    </row>
    <row r="72" spans="1:30" ht="12.9">
      <c r="A72" s="196"/>
      <c r="B72" s="168"/>
      <c r="C72" s="196"/>
      <c r="D72" s="196"/>
      <c r="E72" s="196"/>
      <c r="F72" s="196"/>
      <c r="G72" s="70"/>
      <c r="H72" s="70"/>
      <c r="I72" s="196"/>
      <c r="J72" s="196"/>
      <c r="K72" s="196"/>
      <c r="L72" s="196"/>
      <c r="M72" s="196"/>
      <c r="N72" s="196"/>
      <c r="O72" s="196"/>
      <c r="P72" s="196"/>
      <c r="Q72" s="196"/>
      <c r="R72" s="196"/>
      <c r="S72" s="196"/>
      <c r="T72" s="196"/>
      <c r="U72" s="196"/>
      <c r="V72" s="196"/>
      <c r="W72" s="196"/>
      <c r="X72" s="196"/>
      <c r="Y72" s="196"/>
      <c r="Z72" s="196"/>
      <c r="AA72" s="196"/>
      <c r="AB72" s="196"/>
      <c r="AC72" s="196"/>
      <c r="AD72" s="196"/>
    </row>
    <row r="73" spans="1:30" ht="12.9">
      <c r="A73" s="196"/>
      <c r="B73" s="168"/>
      <c r="C73" s="196"/>
      <c r="D73" s="196"/>
      <c r="E73" s="196"/>
      <c r="F73" s="196"/>
      <c r="G73" s="70"/>
      <c r="H73" s="70"/>
      <c r="I73" s="196"/>
      <c r="J73" s="196"/>
      <c r="K73" s="196"/>
      <c r="L73" s="196"/>
      <c r="M73" s="196"/>
      <c r="N73" s="196"/>
      <c r="O73" s="196"/>
      <c r="P73" s="196"/>
      <c r="Q73" s="196"/>
      <c r="R73" s="196"/>
      <c r="S73" s="196"/>
      <c r="T73" s="196"/>
      <c r="U73" s="196"/>
      <c r="V73" s="196"/>
      <c r="W73" s="196"/>
      <c r="X73" s="196"/>
      <c r="Y73" s="196"/>
      <c r="Z73" s="196"/>
      <c r="AA73" s="196"/>
      <c r="AB73" s="196"/>
      <c r="AC73" s="196"/>
      <c r="AD73" s="196"/>
    </row>
    <row r="74" spans="1:30" ht="12.9">
      <c r="A74" s="196"/>
      <c r="B74" s="168"/>
      <c r="C74" s="196"/>
      <c r="D74" s="196"/>
      <c r="E74" s="196"/>
      <c r="F74" s="196"/>
      <c r="G74" s="70"/>
      <c r="H74" s="70"/>
      <c r="I74" s="196"/>
      <c r="J74" s="196"/>
      <c r="K74" s="196"/>
      <c r="L74" s="196"/>
      <c r="M74" s="196"/>
      <c r="N74" s="196"/>
      <c r="O74" s="196"/>
      <c r="P74" s="196"/>
      <c r="Q74" s="196"/>
      <c r="R74" s="196"/>
      <c r="S74" s="196"/>
      <c r="T74" s="196"/>
      <c r="U74" s="196"/>
      <c r="V74" s="196"/>
      <c r="W74" s="196"/>
      <c r="X74" s="196"/>
      <c r="Y74" s="196"/>
      <c r="Z74" s="196"/>
      <c r="AA74" s="196"/>
      <c r="AB74" s="196"/>
      <c r="AC74" s="196"/>
      <c r="AD74" s="196"/>
    </row>
    <row r="75" spans="1:30" ht="12.9">
      <c r="A75" s="196"/>
      <c r="B75" s="168"/>
      <c r="C75" s="196"/>
      <c r="D75" s="196"/>
      <c r="E75" s="196"/>
      <c r="F75" s="196"/>
      <c r="G75" s="70"/>
      <c r="H75" s="70"/>
      <c r="I75" s="196"/>
      <c r="J75" s="196"/>
      <c r="K75" s="196"/>
      <c r="L75" s="196"/>
      <c r="M75" s="196"/>
      <c r="N75" s="196"/>
      <c r="O75" s="196"/>
      <c r="P75" s="196"/>
      <c r="Q75" s="196"/>
      <c r="R75" s="196"/>
      <c r="S75" s="196"/>
      <c r="T75" s="196"/>
      <c r="U75" s="196"/>
      <c r="V75" s="196"/>
      <c r="W75" s="196"/>
      <c r="X75" s="196"/>
      <c r="Y75" s="196"/>
      <c r="Z75" s="196"/>
      <c r="AA75" s="196"/>
      <c r="AB75" s="196"/>
      <c r="AC75" s="196"/>
      <c r="AD75" s="196"/>
    </row>
    <row r="76" spans="1:30" ht="12.9">
      <c r="A76" s="196"/>
      <c r="B76" s="168"/>
      <c r="C76" s="196"/>
      <c r="D76" s="196"/>
      <c r="E76" s="196"/>
      <c r="F76" s="196"/>
      <c r="G76" s="70"/>
      <c r="H76" s="70"/>
      <c r="I76" s="196"/>
      <c r="J76" s="196"/>
      <c r="K76" s="196"/>
      <c r="L76" s="196"/>
      <c r="M76" s="196"/>
      <c r="N76" s="196"/>
      <c r="O76" s="196"/>
      <c r="P76" s="196"/>
      <c r="Q76" s="196"/>
      <c r="R76" s="196"/>
      <c r="S76" s="196"/>
      <c r="T76" s="196"/>
      <c r="U76" s="196"/>
      <c r="V76" s="196"/>
      <c r="W76" s="196"/>
      <c r="X76" s="196"/>
      <c r="Y76" s="196"/>
      <c r="Z76" s="196"/>
      <c r="AA76" s="196"/>
      <c r="AB76" s="196"/>
      <c r="AC76" s="196"/>
      <c r="AD76" s="196"/>
    </row>
    <row r="77" spans="1:30" ht="12.9">
      <c r="A77" s="196"/>
      <c r="B77" s="168"/>
      <c r="C77" s="196"/>
      <c r="D77" s="196"/>
      <c r="E77" s="196"/>
      <c r="F77" s="196"/>
      <c r="G77" s="70"/>
      <c r="H77" s="70"/>
      <c r="I77" s="196"/>
      <c r="J77" s="196"/>
      <c r="K77" s="196"/>
      <c r="L77" s="196"/>
      <c r="M77" s="196"/>
      <c r="N77" s="196"/>
      <c r="O77" s="196"/>
      <c r="P77" s="196"/>
      <c r="Q77" s="196"/>
      <c r="R77" s="196"/>
      <c r="S77" s="196"/>
      <c r="T77" s="196"/>
      <c r="U77" s="196"/>
      <c r="V77" s="196"/>
      <c r="W77" s="196"/>
      <c r="X77" s="196"/>
      <c r="Y77" s="196"/>
      <c r="Z77" s="196"/>
      <c r="AA77" s="196"/>
      <c r="AB77" s="196"/>
      <c r="AC77" s="196"/>
      <c r="AD77" s="196"/>
    </row>
    <row r="78" spans="1:30" ht="12.9">
      <c r="A78" s="196"/>
      <c r="B78" s="168"/>
      <c r="C78" s="196"/>
      <c r="D78" s="196"/>
      <c r="E78" s="196"/>
      <c r="F78" s="196"/>
      <c r="G78" s="70"/>
      <c r="H78" s="70"/>
      <c r="I78" s="196"/>
      <c r="J78" s="196"/>
      <c r="K78" s="196"/>
      <c r="L78" s="196"/>
      <c r="M78" s="196"/>
      <c r="N78" s="196"/>
      <c r="O78" s="196"/>
      <c r="P78" s="196"/>
      <c r="Q78" s="196"/>
      <c r="R78" s="196"/>
      <c r="S78" s="196"/>
      <c r="T78" s="196"/>
      <c r="U78" s="196"/>
      <c r="V78" s="196"/>
      <c r="W78" s="196"/>
      <c r="X78" s="196"/>
      <c r="Y78" s="196"/>
      <c r="Z78" s="196"/>
      <c r="AA78" s="196"/>
      <c r="AB78" s="196"/>
      <c r="AC78" s="196"/>
      <c r="AD78" s="196"/>
    </row>
    <row r="79" spans="1:30" ht="12.9">
      <c r="A79" s="196"/>
      <c r="B79" s="168"/>
      <c r="C79" s="196"/>
      <c r="D79" s="196"/>
      <c r="E79" s="196"/>
      <c r="F79" s="196"/>
      <c r="G79" s="70"/>
      <c r="H79" s="70"/>
      <c r="I79" s="196"/>
      <c r="J79" s="196"/>
      <c r="K79" s="196"/>
      <c r="L79" s="196"/>
      <c r="M79" s="196"/>
      <c r="N79" s="196"/>
      <c r="O79" s="196"/>
      <c r="P79" s="196"/>
      <c r="Q79" s="196"/>
      <c r="R79" s="196"/>
      <c r="S79" s="196"/>
      <c r="T79" s="196"/>
      <c r="U79" s="196"/>
      <c r="V79" s="196"/>
      <c r="W79" s="196"/>
      <c r="X79" s="196"/>
      <c r="Y79" s="196"/>
      <c r="Z79" s="196"/>
      <c r="AA79" s="196"/>
      <c r="AB79" s="196"/>
      <c r="AC79" s="196"/>
      <c r="AD79" s="196"/>
    </row>
    <row r="80" spans="1:30" ht="12.9">
      <c r="A80" s="196"/>
      <c r="B80" s="168"/>
      <c r="C80" s="196"/>
      <c r="D80" s="196"/>
      <c r="E80" s="196"/>
      <c r="F80" s="196"/>
      <c r="G80" s="70"/>
      <c r="H80" s="70"/>
      <c r="I80" s="196"/>
      <c r="J80" s="196"/>
      <c r="K80" s="196"/>
      <c r="L80" s="196"/>
      <c r="M80" s="196"/>
      <c r="N80" s="196"/>
      <c r="O80" s="196"/>
      <c r="P80" s="196"/>
      <c r="Q80" s="196"/>
      <c r="R80" s="196"/>
      <c r="S80" s="196"/>
      <c r="T80" s="196"/>
      <c r="U80" s="196"/>
      <c r="V80" s="196"/>
      <c r="W80" s="196"/>
      <c r="X80" s="196"/>
      <c r="Y80" s="196"/>
      <c r="Z80" s="196"/>
      <c r="AA80" s="196"/>
      <c r="AB80" s="196"/>
      <c r="AC80" s="196"/>
      <c r="AD80" s="196"/>
    </row>
    <row r="81" spans="1:30" ht="12.9">
      <c r="A81" s="196"/>
      <c r="B81" s="168"/>
      <c r="C81" s="196"/>
      <c r="D81" s="196"/>
      <c r="E81" s="196"/>
      <c r="F81" s="196"/>
      <c r="G81" s="70"/>
      <c r="H81" s="70"/>
      <c r="I81" s="196"/>
      <c r="J81" s="196"/>
      <c r="K81" s="196"/>
      <c r="L81" s="196"/>
      <c r="M81" s="196"/>
      <c r="N81" s="196"/>
      <c r="O81" s="196"/>
      <c r="P81" s="196"/>
      <c r="Q81" s="196"/>
      <c r="R81" s="196"/>
      <c r="S81" s="196"/>
      <c r="T81" s="196"/>
      <c r="U81" s="196"/>
      <c r="V81" s="196"/>
      <c r="W81" s="196"/>
      <c r="X81" s="196"/>
      <c r="Y81" s="196"/>
      <c r="Z81" s="196"/>
      <c r="AA81" s="196"/>
      <c r="AB81" s="196"/>
      <c r="AC81" s="196"/>
      <c r="AD81" s="196"/>
    </row>
    <row r="82" spans="1:30" ht="12.9">
      <c r="A82" s="196"/>
      <c r="B82" s="168"/>
      <c r="C82" s="196"/>
      <c r="D82" s="196"/>
      <c r="E82" s="196"/>
      <c r="F82" s="196"/>
      <c r="G82" s="70"/>
      <c r="H82" s="70"/>
      <c r="I82" s="196"/>
      <c r="J82" s="196"/>
      <c r="K82" s="196"/>
      <c r="L82" s="196"/>
      <c r="M82" s="196"/>
      <c r="N82" s="196"/>
      <c r="O82" s="196"/>
      <c r="P82" s="196"/>
      <c r="Q82" s="196"/>
      <c r="R82" s="196"/>
      <c r="S82" s="196"/>
      <c r="T82" s="196"/>
      <c r="U82" s="196"/>
      <c r="V82" s="196"/>
      <c r="W82" s="196"/>
      <c r="X82" s="196"/>
      <c r="Y82" s="196"/>
      <c r="Z82" s="196"/>
      <c r="AA82" s="196"/>
      <c r="AB82" s="196"/>
      <c r="AC82" s="196"/>
      <c r="AD82" s="196"/>
    </row>
    <row r="83" spans="1:30" ht="12.9">
      <c r="A83" s="196"/>
      <c r="B83" s="168"/>
      <c r="C83" s="196"/>
      <c r="D83" s="196"/>
      <c r="E83" s="196"/>
      <c r="F83" s="196"/>
      <c r="G83" s="70"/>
      <c r="H83" s="70"/>
      <c r="I83" s="196"/>
      <c r="J83" s="196"/>
      <c r="K83" s="196"/>
      <c r="L83" s="196"/>
      <c r="M83" s="196"/>
      <c r="N83" s="196"/>
      <c r="O83" s="196"/>
      <c r="P83" s="196"/>
      <c r="Q83" s="196"/>
      <c r="R83" s="196"/>
      <c r="S83" s="196"/>
      <c r="T83" s="196"/>
      <c r="U83" s="196"/>
      <c r="V83" s="196"/>
      <c r="W83" s="196"/>
      <c r="X83" s="196"/>
      <c r="Y83" s="196"/>
      <c r="Z83" s="196"/>
      <c r="AA83" s="196"/>
      <c r="AB83" s="196"/>
      <c r="AC83" s="196"/>
      <c r="AD83" s="196"/>
    </row>
    <row r="84" spans="1:30" ht="12.9">
      <c r="A84" s="196"/>
      <c r="B84" s="168"/>
      <c r="C84" s="196"/>
      <c r="D84" s="196"/>
      <c r="E84" s="196"/>
      <c r="F84" s="196"/>
      <c r="G84" s="70"/>
      <c r="H84" s="70"/>
      <c r="I84" s="196"/>
      <c r="J84" s="196"/>
      <c r="K84" s="196"/>
      <c r="L84" s="196"/>
      <c r="M84" s="196"/>
      <c r="N84" s="196"/>
      <c r="O84" s="196"/>
      <c r="P84" s="196"/>
      <c r="Q84" s="196"/>
      <c r="R84" s="196"/>
      <c r="S84" s="196"/>
      <c r="T84" s="196"/>
      <c r="U84" s="196"/>
      <c r="V84" s="196"/>
      <c r="W84" s="196"/>
      <c r="X84" s="196"/>
      <c r="Y84" s="196"/>
      <c r="Z84" s="196"/>
      <c r="AA84" s="196"/>
      <c r="AB84" s="196"/>
      <c r="AC84" s="196"/>
      <c r="AD84" s="196"/>
    </row>
    <row r="85" spans="1:30" ht="12.9">
      <c r="A85" s="196"/>
      <c r="B85" s="168"/>
      <c r="C85" s="196"/>
      <c r="D85" s="196"/>
      <c r="E85" s="196"/>
      <c r="F85" s="196"/>
      <c r="G85" s="70"/>
      <c r="H85" s="70"/>
      <c r="I85" s="196"/>
      <c r="J85" s="196"/>
      <c r="K85" s="196"/>
      <c r="L85" s="196"/>
      <c r="M85" s="196"/>
      <c r="N85" s="196"/>
      <c r="O85" s="196"/>
      <c r="P85" s="196"/>
      <c r="Q85" s="196"/>
      <c r="R85" s="196"/>
      <c r="S85" s="196"/>
      <c r="T85" s="196"/>
      <c r="U85" s="196"/>
      <c r="V85" s="196"/>
      <c r="W85" s="196"/>
      <c r="X85" s="196"/>
      <c r="Y85" s="196"/>
      <c r="Z85" s="196"/>
      <c r="AA85" s="196"/>
      <c r="AB85" s="196"/>
      <c r="AC85" s="196"/>
      <c r="AD85" s="196"/>
    </row>
    <row r="86" spans="1:30" ht="12.9">
      <c r="A86" s="196"/>
      <c r="B86" s="168"/>
      <c r="C86" s="196"/>
      <c r="D86" s="196"/>
      <c r="E86" s="196"/>
      <c r="F86" s="196"/>
      <c r="G86" s="70"/>
      <c r="H86" s="70"/>
      <c r="I86" s="196"/>
      <c r="J86" s="196"/>
      <c r="K86" s="196"/>
      <c r="L86" s="196"/>
      <c r="M86" s="196"/>
      <c r="N86" s="196"/>
      <c r="O86" s="196"/>
      <c r="P86" s="196"/>
      <c r="Q86" s="196"/>
      <c r="R86" s="196"/>
      <c r="S86" s="196"/>
      <c r="T86" s="196"/>
      <c r="U86" s="196"/>
      <c r="V86" s="196"/>
      <c r="W86" s="196"/>
      <c r="X86" s="196"/>
      <c r="Y86" s="196"/>
      <c r="Z86" s="196"/>
      <c r="AA86" s="196"/>
      <c r="AB86" s="196"/>
      <c r="AC86" s="196"/>
      <c r="AD86" s="196"/>
    </row>
    <row r="87" spans="1:30" ht="12.9">
      <c r="A87" s="196"/>
      <c r="B87" s="168"/>
      <c r="C87" s="196"/>
      <c r="D87" s="196"/>
      <c r="E87" s="196"/>
      <c r="F87" s="196"/>
      <c r="G87" s="70"/>
      <c r="H87" s="70"/>
      <c r="I87" s="196"/>
      <c r="J87" s="196"/>
      <c r="K87" s="196"/>
      <c r="L87" s="196"/>
      <c r="M87" s="196"/>
      <c r="N87" s="196"/>
      <c r="O87" s="196"/>
      <c r="P87" s="196"/>
      <c r="Q87" s="196"/>
      <c r="R87" s="196"/>
      <c r="S87" s="196"/>
      <c r="T87" s="196"/>
      <c r="U87" s="196"/>
      <c r="V87" s="196"/>
      <c r="W87" s="196"/>
      <c r="X87" s="196"/>
      <c r="Y87" s="196"/>
      <c r="Z87" s="196"/>
      <c r="AA87" s="196"/>
      <c r="AB87" s="196"/>
      <c r="AC87" s="196"/>
      <c r="AD87" s="196"/>
    </row>
    <row r="88" spans="1:30" ht="12.9">
      <c r="A88" s="196"/>
      <c r="B88" s="168"/>
      <c r="C88" s="196"/>
      <c r="D88" s="196"/>
      <c r="E88" s="196"/>
      <c r="F88" s="196"/>
      <c r="G88" s="70"/>
      <c r="H88" s="70"/>
      <c r="I88" s="196"/>
      <c r="J88" s="196"/>
      <c r="K88" s="196"/>
      <c r="L88" s="196"/>
      <c r="M88" s="196"/>
      <c r="N88" s="196"/>
      <c r="O88" s="196"/>
      <c r="P88" s="196"/>
      <c r="Q88" s="196"/>
      <c r="R88" s="196"/>
      <c r="S88" s="196"/>
      <c r="T88" s="196"/>
      <c r="U88" s="196"/>
      <c r="V88" s="196"/>
      <c r="W88" s="196"/>
      <c r="X88" s="196"/>
      <c r="Y88" s="196"/>
      <c r="Z88" s="196"/>
      <c r="AA88" s="196"/>
      <c r="AB88" s="196"/>
      <c r="AC88" s="196"/>
      <c r="AD88" s="196"/>
    </row>
    <row r="89" spans="1:30" ht="12.9">
      <c r="A89" s="196"/>
      <c r="B89" s="168"/>
      <c r="C89" s="196"/>
      <c r="D89" s="196"/>
      <c r="E89" s="196"/>
      <c r="F89" s="196"/>
      <c r="G89" s="70"/>
      <c r="H89" s="70"/>
      <c r="I89" s="196"/>
      <c r="J89" s="196"/>
      <c r="K89" s="196"/>
      <c r="L89" s="196"/>
      <c r="M89" s="196"/>
      <c r="N89" s="196"/>
      <c r="O89" s="196"/>
      <c r="P89" s="196"/>
      <c r="Q89" s="196"/>
      <c r="R89" s="196"/>
      <c r="S89" s="196"/>
      <c r="T89" s="196"/>
      <c r="U89" s="196"/>
      <c r="V89" s="196"/>
      <c r="W89" s="196"/>
      <c r="X89" s="196"/>
      <c r="Y89" s="196"/>
      <c r="Z89" s="196"/>
      <c r="AA89" s="196"/>
      <c r="AB89" s="196"/>
      <c r="AC89" s="196"/>
      <c r="AD89" s="196"/>
    </row>
    <row r="90" spans="1:30" ht="12.9">
      <c r="A90" s="196"/>
      <c r="B90" s="168"/>
      <c r="C90" s="196"/>
      <c r="D90" s="196"/>
      <c r="E90" s="196"/>
      <c r="F90" s="196"/>
      <c r="G90" s="70"/>
      <c r="H90" s="70"/>
      <c r="I90" s="196"/>
      <c r="J90" s="196"/>
      <c r="K90" s="196"/>
      <c r="L90" s="196"/>
      <c r="M90" s="196"/>
      <c r="N90" s="196"/>
      <c r="O90" s="196"/>
      <c r="P90" s="196"/>
      <c r="Q90" s="196"/>
      <c r="R90" s="196"/>
      <c r="S90" s="196"/>
      <c r="T90" s="196"/>
      <c r="U90" s="196"/>
      <c r="V90" s="196"/>
      <c r="W90" s="196"/>
      <c r="X90" s="196"/>
      <c r="Y90" s="196"/>
      <c r="Z90" s="196"/>
      <c r="AA90" s="196"/>
      <c r="AB90" s="196"/>
      <c r="AC90" s="196"/>
      <c r="AD90" s="196"/>
    </row>
    <row r="91" spans="1:30" ht="12.9">
      <c r="A91" s="196"/>
      <c r="B91" s="168"/>
      <c r="C91" s="196"/>
      <c r="D91" s="196"/>
      <c r="E91" s="196"/>
      <c r="F91" s="196"/>
      <c r="G91" s="70"/>
      <c r="H91" s="70"/>
      <c r="I91" s="196"/>
      <c r="J91" s="196"/>
      <c r="K91" s="196"/>
      <c r="L91" s="196"/>
      <c r="M91" s="196"/>
      <c r="N91" s="196"/>
      <c r="O91" s="196"/>
      <c r="P91" s="196"/>
      <c r="Q91" s="196"/>
      <c r="R91" s="196"/>
      <c r="S91" s="196"/>
      <c r="T91" s="196"/>
      <c r="U91" s="196"/>
      <c r="V91" s="196"/>
      <c r="W91" s="196"/>
      <c r="X91" s="196"/>
      <c r="Y91" s="196"/>
      <c r="Z91" s="196"/>
      <c r="AA91" s="196"/>
      <c r="AB91" s="196"/>
      <c r="AC91" s="196"/>
      <c r="AD91" s="196"/>
    </row>
    <row r="92" spans="1:30" ht="12.9">
      <c r="A92" s="196"/>
      <c r="B92" s="168"/>
      <c r="C92" s="196"/>
      <c r="D92" s="196"/>
      <c r="E92" s="196"/>
      <c r="F92" s="196"/>
      <c r="G92" s="70"/>
      <c r="H92" s="70"/>
      <c r="I92" s="196"/>
      <c r="J92" s="196"/>
      <c r="K92" s="196"/>
      <c r="L92" s="196"/>
      <c r="M92" s="196"/>
      <c r="N92" s="196"/>
      <c r="O92" s="196"/>
      <c r="P92" s="196"/>
      <c r="Q92" s="196"/>
      <c r="R92" s="196"/>
      <c r="S92" s="196"/>
      <c r="T92" s="196"/>
      <c r="U92" s="196"/>
      <c r="V92" s="196"/>
      <c r="W92" s="196"/>
      <c r="X92" s="196"/>
      <c r="Y92" s="196"/>
      <c r="Z92" s="196"/>
      <c r="AA92" s="196"/>
      <c r="AB92" s="196"/>
      <c r="AC92" s="196"/>
      <c r="AD92" s="196"/>
    </row>
    <row r="93" spans="1:30" ht="12.9">
      <c r="A93" s="196"/>
      <c r="B93" s="168"/>
      <c r="C93" s="196"/>
      <c r="D93" s="196"/>
      <c r="E93" s="196"/>
      <c r="F93" s="196"/>
      <c r="G93" s="70"/>
      <c r="H93" s="70"/>
      <c r="I93" s="196"/>
      <c r="J93" s="196"/>
      <c r="K93" s="196"/>
      <c r="L93" s="196"/>
      <c r="M93" s="196"/>
      <c r="N93" s="196"/>
      <c r="O93" s="196"/>
      <c r="P93" s="196"/>
      <c r="Q93" s="196"/>
      <c r="R93" s="196"/>
      <c r="S93" s="196"/>
      <c r="T93" s="196"/>
      <c r="U93" s="196"/>
      <c r="V93" s="196"/>
      <c r="W93" s="196"/>
      <c r="X93" s="196"/>
      <c r="Y93" s="196"/>
      <c r="Z93" s="196"/>
      <c r="AA93" s="196"/>
      <c r="AB93" s="196"/>
      <c r="AC93" s="196"/>
      <c r="AD93" s="196"/>
    </row>
    <row r="94" spans="1:30" ht="12.9">
      <c r="A94" s="196"/>
      <c r="B94" s="168"/>
      <c r="C94" s="196"/>
      <c r="D94" s="196"/>
      <c r="E94" s="196"/>
      <c r="F94" s="196"/>
      <c r="G94" s="70"/>
      <c r="H94" s="70"/>
      <c r="I94" s="196"/>
      <c r="J94" s="196"/>
      <c r="K94" s="196"/>
      <c r="L94" s="196"/>
      <c r="M94" s="196"/>
      <c r="N94" s="196"/>
      <c r="O94" s="196"/>
      <c r="P94" s="196"/>
      <c r="Q94" s="196"/>
      <c r="R94" s="196"/>
      <c r="S94" s="196"/>
      <c r="T94" s="196"/>
      <c r="U94" s="196"/>
      <c r="V94" s="196"/>
      <c r="W94" s="196"/>
      <c r="X94" s="196"/>
      <c r="Y94" s="196"/>
      <c r="Z94" s="196"/>
      <c r="AA94" s="196"/>
      <c r="AB94" s="196"/>
      <c r="AC94" s="196"/>
      <c r="AD94" s="196"/>
    </row>
    <row r="95" spans="1:30" ht="12.9">
      <c r="A95" s="196"/>
      <c r="B95" s="168"/>
      <c r="C95" s="196"/>
      <c r="D95" s="196"/>
      <c r="E95" s="196"/>
      <c r="F95" s="196"/>
      <c r="G95" s="70"/>
      <c r="H95" s="70"/>
      <c r="I95" s="196"/>
      <c r="J95" s="196"/>
      <c r="K95" s="196"/>
      <c r="L95" s="196"/>
      <c r="M95" s="196"/>
      <c r="N95" s="196"/>
      <c r="O95" s="196"/>
      <c r="P95" s="196"/>
      <c r="Q95" s="196"/>
      <c r="R95" s="196"/>
      <c r="S95" s="196"/>
      <c r="T95" s="196"/>
      <c r="U95" s="196"/>
      <c r="V95" s="196"/>
      <c r="W95" s="196"/>
      <c r="X95" s="196"/>
      <c r="Y95" s="196"/>
      <c r="Z95" s="196"/>
      <c r="AA95" s="196"/>
      <c r="AB95" s="196"/>
      <c r="AC95" s="196"/>
      <c r="AD95" s="196"/>
    </row>
    <row r="96" spans="1:30" ht="12.9">
      <c r="A96" s="196"/>
      <c r="B96" s="168"/>
      <c r="C96" s="196"/>
      <c r="D96" s="196"/>
      <c r="E96" s="196"/>
      <c r="F96" s="196"/>
      <c r="G96" s="70"/>
      <c r="H96" s="70"/>
      <c r="I96" s="196"/>
      <c r="J96" s="196"/>
      <c r="K96" s="196"/>
      <c r="L96" s="196"/>
      <c r="M96" s="196"/>
      <c r="N96" s="196"/>
      <c r="O96" s="196"/>
      <c r="P96" s="196"/>
      <c r="Q96" s="196"/>
      <c r="R96" s="196"/>
      <c r="S96" s="196"/>
      <c r="T96" s="196"/>
      <c r="U96" s="196"/>
      <c r="V96" s="196"/>
      <c r="W96" s="196"/>
      <c r="X96" s="196"/>
      <c r="Y96" s="196"/>
      <c r="Z96" s="196"/>
      <c r="AA96" s="196"/>
      <c r="AB96" s="196"/>
      <c r="AC96" s="196"/>
      <c r="AD96" s="196"/>
    </row>
    <row r="97" spans="1:30" ht="12.9">
      <c r="A97" s="196"/>
      <c r="B97" s="168"/>
      <c r="C97" s="196"/>
      <c r="D97" s="196"/>
      <c r="E97" s="196"/>
      <c r="F97" s="196"/>
      <c r="G97" s="70"/>
      <c r="H97" s="70"/>
      <c r="I97" s="196"/>
      <c r="J97" s="196"/>
      <c r="K97" s="196"/>
      <c r="L97" s="196"/>
      <c r="M97" s="196"/>
      <c r="N97" s="196"/>
      <c r="O97" s="196"/>
      <c r="P97" s="196"/>
      <c r="Q97" s="196"/>
      <c r="R97" s="196"/>
      <c r="S97" s="196"/>
      <c r="T97" s="196"/>
      <c r="U97" s="196"/>
      <c r="V97" s="196"/>
      <c r="W97" s="196"/>
      <c r="X97" s="196"/>
      <c r="Y97" s="196"/>
      <c r="Z97" s="196"/>
      <c r="AA97" s="196"/>
      <c r="AB97" s="196"/>
      <c r="AC97" s="196"/>
      <c r="AD97" s="196"/>
    </row>
    <row r="98" spans="1:30" ht="12.9">
      <c r="A98" s="196"/>
      <c r="B98" s="168"/>
      <c r="C98" s="196"/>
      <c r="D98" s="196"/>
      <c r="E98" s="196"/>
      <c r="F98" s="196"/>
      <c r="G98" s="70"/>
      <c r="H98" s="70"/>
      <c r="I98" s="196"/>
      <c r="J98" s="196"/>
      <c r="K98" s="196"/>
      <c r="L98" s="196"/>
      <c r="M98" s="196"/>
      <c r="N98" s="196"/>
      <c r="O98" s="196"/>
      <c r="P98" s="196"/>
      <c r="Q98" s="196"/>
      <c r="R98" s="196"/>
      <c r="S98" s="196"/>
      <c r="T98" s="196"/>
      <c r="U98" s="196"/>
      <c r="V98" s="196"/>
      <c r="W98" s="196"/>
      <c r="X98" s="196"/>
      <c r="Y98" s="196"/>
      <c r="Z98" s="196"/>
      <c r="AA98" s="196"/>
      <c r="AB98" s="196"/>
      <c r="AC98" s="196"/>
      <c r="AD98" s="196"/>
    </row>
    <row r="99" spans="1:30" ht="12.9">
      <c r="A99" s="196"/>
      <c r="B99" s="168"/>
      <c r="C99" s="196"/>
      <c r="D99" s="196"/>
      <c r="E99" s="196"/>
      <c r="F99" s="196"/>
      <c r="G99" s="174"/>
      <c r="H99" s="174"/>
      <c r="I99" s="196"/>
      <c r="J99" s="196"/>
      <c r="K99" s="196"/>
      <c r="L99" s="196"/>
      <c r="M99" s="196"/>
      <c r="N99" s="196"/>
      <c r="O99" s="196"/>
      <c r="P99" s="196"/>
      <c r="Q99" s="196"/>
      <c r="R99" s="196"/>
      <c r="S99" s="196"/>
      <c r="T99" s="196"/>
      <c r="U99" s="196"/>
      <c r="V99" s="196"/>
      <c r="W99" s="196"/>
      <c r="X99" s="196"/>
      <c r="Y99" s="196"/>
      <c r="Z99" s="196"/>
      <c r="AA99" s="196"/>
      <c r="AB99" s="196"/>
      <c r="AC99" s="196"/>
      <c r="AD99" s="196"/>
    </row>
    <row r="100" spans="1:30" ht="12.9">
      <c r="A100" s="196"/>
      <c r="B100" s="168"/>
      <c r="C100" s="196"/>
      <c r="D100" s="196"/>
      <c r="E100" s="196"/>
      <c r="F100" s="196"/>
      <c r="G100" s="174"/>
      <c r="H100" s="174"/>
      <c r="I100" s="196"/>
      <c r="J100" s="196"/>
      <c r="K100" s="196"/>
      <c r="L100" s="196"/>
      <c r="M100" s="196"/>
      <c r="N100" s="196"/>
      <c r="O100" s="196"/>
      <c r="P100" s="196"/>
      <c r="Q100" s="196"/>
      <c r="R100" s="196"/>
      <c r="S100" s="196"/>
      <c r="T100" s="196"/>
      <c r="U100" s="196"/>
      <c r="V100" s="196"/>
      <c r="W100" s="196"/>
      <c r="X100" s="196"/>
      <c r="Y100" s="196"/>
      <c r="Z100" s="196"/>
      <c r="AA100" s="196"/>
      <c r="AB100" s="196"/>
      <c r="AC100" s="196"/>
      <c r="AD100" s="196"/>
    </row>
    <row r="101" spans="1:30" ht="12.9">
      <c r="A101" s="196"/>
      <c r="B101" s="168"/>
      <c r="C101" s="196"/>
      <c r="D101" s="196"/>
      <c r="E101" s="196"/>
      <c r="F101" s="196"/>
      <c r="G101" s="174"/>
      <c r="H101" s="174"/>
      <c r="I101" s="196"/>
      <c r="J101" s="196"/>
      <c r="K101" s="196"/>
      <c r="L101" s="196"/>
      <c r="M101" s="196"/>
      <c r="N101" s="196"/>
      <c r="O101" s="196"/>
      <c r="P101" s="196"/>
      <c r="Q101" s="196"/>
      <c r="R101" s="196"/>
      <c r="S101" s="196"/>
      <c r="T101" s="196"/>
      <c r="U101" s="196"/>
      <c r="V101" s="196"/>
      <c r="W101" s="196"/>
      <c r="X101" s="196"/>
      <c r="Y101" s="196"/>
      <c r="Z101" s="196"/>
      <c r="AA101" s="196"/>
      <c r="AB101" s="196"/>
      <c r="AC101" s="196"/>
      <c r="AD101" s="196"/>
    </row>
    <row r="102" spans="1:30" ht="12.9">
      <c r="A102" s="196"/>
      <c r="B102" s="168"/>
      <c r="C102" s="196"/>
      <c r="D102" s="196"/>
      <c r="E102" s="196"/>
      <c r="F102" s="196"/>
      <c r="G102" s="174"/>
      <c r="H102" s="174"/>
      <c r="I102" s="196"/>
      <c r="J102" s="196"/>
      <c r="K102" s="196"/>
      <c r="L102" s="196"/>
      <c r="M102" s="196"/>
      <c r="N102" s="196"/>
      <c r="O102" s="196"/>
      <c r="P102" s="196"/>
      <c r="Q102" s="196"/>
      <c r="R102" s="196"/>
      <c r="S102" s="196"/>
      <c r="T102" s="196"/>
      <c r="U102" s="196"/>
      <c r="V102" s="196"/>
      <c r="W102" s="196"/>
      <c r="X102" s="196"/>
      <c r="Y102" s="196"/>
      <c r="Z102" s="196"/>
      <c r="AA102" s="196"/>
      <c r="AB102" s="196"/>
      <c r="AC102" s="196"/>
      <c r="AD102" s="196"/>
    </row>
    <row r="103" spans="1:30" ht="12.9">
      <c r="A103" s="196"/>
      <c r="B103" s="168"/>
      <c r="C103" s="196"/>
      <c r="D103" s="196"/>
      <c r="E103" s="196"/>
      <c r="F103" s="196"/>
      <c r="G103" s="174"/>
      <c r="H103" s="174"/>
      <c r="I103" s="196"/>
      <c r="J103" s="196"/>
      <c r="K103" s="196"/>
      <c r="L103" s="196"/>
      <c r="M103" s="196"/>
      <c r="N103" s="196"/>
      <c r="O103" s="196"/>
      <c r="P103" s="196"/>
      <c r="Q103" s="196"/>
      <c r="R103" s="196"/>
      <c r="S103" s="196"/>
      <c r="T103" s="196"/>
      <c r="U103" s="196"/>
      <c r="V103" s="196"/>
      <c r="W103" s="196"/>
      <c r="X103" s="196"/>
      <c r="Y103" s="196"/>
      <c r="Z103" s="196"/>
      <c r="AA103" s="196"/>
      <c r="AB103" s="196"/>
      <c r="AC103" s="196"/>
      <c r="AD103" s="196"/>
    </row>
    <row r="104" spans="1:30" ht="12.9">
      <c r="A104" s="196"/>
      <c r="B104" s="168"/>
      <c r="C104" s="196"/>
      <c r="D104" s="196"/>
      <c r="E104" s="196"/>
      <c r="F104" s="196"/>
      <c r="G104" s="174"/>
      <c r="H104" s="174"/>
      <c r="I104" s="196"/>
      <c r="J104" s="196"/>
      <c r="K104" s="196"/>
      <c r="L104" s="196"/>
      <c r="M104" s="196"/>
      <c r="N104" s="196"/>
      <c r="O104" s="196"/>
      <c r="P104" s="196"/>
      <c r="Q104" s="196"/>
      <c r="R104" s="196"/>
      <c r="S104" s="196"/>
      <c r="T104" s="196"/>
      <c r="U104" s="196"/>
      <c r="V104" s="196"/>
      <c r="W104" s="196"/>
      <c r="X104" s="196"/>
      <c r="Y104" s="196"/>
      <c r="Z104" s="196"/>
      <c r="AA104" s="196"/>
      <c r="AB104" s="196"/>
      <c r="AC104" s="196"/>
      <c r="AD104" s="196"/>
    </row>
    <row r="105" spans="1:30" ht="12.9">
      <c r="A105" s="196"/>
      <c r="B105" s="168"/>
      <c r="C105" s="196"/>
      <c r="D105" s="196"/>
      <c r="E105" s="196"/>
      <c r="F105" s="196"/>
      <c r="G105" s="174"/>
      <c r="H105" s="174"/>
      <c r="I105" s="196"/>
      <c r="J105" s="196"/>
      <c r="K105" s="196"/>
      <c r="L105" s="196"/>
      <c r="M105" s="196"/>
      <c r="N105" s="196"/>
      <c r="O105" s="196"/>
      <c r="P105" s="196"/>
      <c r="Q105" s="196"/>
      <c r="R105" s="196"/>
      <c r="S105" s="196"/>
      <c r="T105" s="196"/>
      <c r="U105" s="196"/>
      <c r="V105" s="196"/>
      <c r="W105" s="196"/>
      <c r="X105" s="196"/>
      <c r="Y105" s="196"/>
      <c r="Z105" s="196"/>
      <c r="AA105" s="196"/>
      <c r="AB105" s="196"/>
      <c r="AC105" s="196"/>
      <c r="AD105" s="196"/>
    </row>
    <row r="106" spans="1:30" ht="12.9">
      <c r="A106" s="196"/>
      <c r="B106" s="168"/>
      <c r="C106" s="196"/>
      <c r="D106" s="196"/>
      <c r="E106" s="196"/>
      <c r="F106" s="196"/>
      <c r="G106" s="174"/>
      <c r="H106" s="174"/>
      <c r="I106" s="196"/>
      <c r="J106" s="196"/>
      <c r="K106" s="196"/>
      <c r="L106" s="196"/>
      <c r="M106" s="196"/>
      <c r="N106" s="196"/>
      <c r="O106" s="196"/>
      <c r="P106" s="196"/>
      <c r="Q106" s="196"/>
      <c r="R106" s="196"/>
      <c r="S106" s="196"/>
      <c r="T106" s="196"/>
      <c r="U106" s="196"/>
      <c r="V106" s="196"/>
      <c r="W106" s="196"/>
      <c r="X106" s="196"/>
      <c r="Y106" s="196"/>
      <c r="Z106" s="196"/>
      <c r="AA106" s="196"/>
      <c r="AB106" s="196"/>
      <c r="AC106" s="196"/>
      <c r="AD106" s="196"/>
    </row>
    <row r="107" spans="1:30" ht="12.9">
      <c r="A107" s="196"/>
      <c r="B107" s="168"/>
      <c r="C107" s="196"/>
      <c r="D107" s="196"/>
      <c r="E107" s="196"/>
      <c r="F107" s="196"/>
      <c r="G107" s="174"/>
      <c r="H107" s="174"/>
      <c r="I107" s="196"/>
      <c r="J107" s="196"/>
      <c r="K107" s="196"/>
      <c r="L107" s="196"/>
      <c r="M107" s="196"/>
      <c r="N107" s="196"/>
      <c r="O107" s="196"/>
      <c r="P107" s="196"/>
      <c r="Q107" s="196"/>
      <c r="R107" s="196"/>
      <c r="S107" s="196"/>
      <c r="T107" s="196"/>
      <c r="U107" s="196"/>
      <c r="V107" s="196"/>
      <c r="W107" s="196"/>
      <c r="X107" s="196"/>
      <c r="Y107" s="196"/>
      <c r="Z107" s="196"/>
      <c r="AA107" s="196"/>
      <c r="AB107" s="196"/>
      <c r="AC107" s="196"/>
      <c r="AD107" s="196"/>
    </row>
    <row r="108" spans="1:30" ht="12.9">
      <c r="A108" s="196"/>
      <c r="B108" s="168"/>
      <c r="C108" s="196"/>
      <c r="D108" s="196"/>
      <c r="E108" s="196"/>
      <c r="F108" s="196"/>
      <c r="G108" s="174"/>
      <c r="H108" s="174"/>
      <c r="I108" s="196"/>
      <c r="J108" s="196"/>
      <c r="K108" s="196"/>
      <c r="L108" s="196"/>
      <c r="M108" s="196"/>
      <c r="N108" s="196"/>
      <c r="O108" s="196"/>
      <c r="P108" s="196"/>
      <c r="Q108" s="196"/>
      <c r="R108" s="196"/>
      <c r="S108" s="196"/>
      <c r="T108" s="196"/>
      <c r="U108" s="196"/>
      <c r="V108" s="196"/>
      <c r="W108" s="196"/>
      <c r="X108" s="196"/>
      <c r="Y108" s="196"/>
      <c r="Z108" s="196"/>
      <c r="AA108" s="196"/>
      <c r="AB108" s="196"/>
      <c r="AC108" s="196"/>
      <c r="AD108" s="196"/>
    </row>
    <row r="109" spans="1:30" ht="12.9">
      <c r="A109" s="196"/>
      <c r="B109" s="168"/>
      <c r="C109" s="196"/>
      <c r="D109" s="196"/>
      <c r="E109" s="196"/>
      <c r="F109" s="196"/>
      <c r="G109" s="174"/>
      <c r="H109" s="174"/>
      <c r="I109" s="196"/>
      <c r="J109" s="196"/>
      <c r="K109" s="196"/>
      <c r="L109" s="196"/>
      <c r="M109" s="196"/>
      <c r="N109" s="196"/>
      <c r="O109" s="196"/>
      <c r="P109" s="196"/>
      <c r="Q109" s="196"/>
      <c r="R109" s="196"/>
      <c r="S109" s="196"/>
      <c r="T109" s="196"/>
      <c r="U109" s="196"/>
      <c r="V109" s="196"/>
      <c r="W109" s="196"/>
      <c r="X109" s="196"/>
      <c r="Y109" s="196"/>
      <c r="Z109" s="196"/>
      <c r="AA109" s="196"/>
      <c r="AB109" s="196"/>
      <c r="AC109" s="196"/>
      <c r="AD109" s="196"/>
    </row>
    <row r="110" spans="1:30" ht="12.9">
      <c r="A110" s="196"/>
      <c r="B110" s="168"/>
      <c r="C110" s="196"/>
      <c r="D110" s="196"/>
      <c r="E110" s="196"/>
      <c r="F110" s="196"/>
      <c r="G110" s="174"/>
      <c r="H110" s="174"/>
      <c r="I110" s="196"/>
      <c r="J110" s="196"/>
      <c r="K110" s="196"/>
      <c r="L110" s="196"/>
      <c r="M110" s="196"/>
      <c r="N110" s="196"/>
      <c r="O110" s="196"/>
      <c r="P110" s="196"/>
      <c r="Q110" s="196"/>
      <c r="R110" s="196"/>
      <c r="S110" s="196"/>
      <c r="T110" s="196"/>
      <c r="U110" s="196"/>
      <c r="V110" s="196"/>
      <c r="W110" s="196"/>
      <c r="X110" s="196"/>
      <c r="Y110" s="196"/>
      <c r="Z110" s="196"/>
      <c r="AA110" s="196"/>
      <c r="AB110" s="196"/>
      <c r="AC110" s="196"/>
      <c r="AD110" s="196"/>
    </row>
    <row r="111" spans="1:30" ht="12.9">
      <c r="A111" s="196"/>
      <c r="B111" s="168"/>
      <c r="C111" s="196"/>
      <c r="D111" s="196"/>
      <c r="E111" s="196"/>
      <c r="F111" s="196"/>
      <c r="G111" s="174"/>
      <c r="H111" s="174"/>
      <c r="I111" s="196"/>
      <c r="J111" s="196"/>
      <c r="K111" s="196"/>
      <c r="L111" s="196"/>
      <c r="M111" s="196"/>
      <c r="N111" s="196"/>
      <c r="O111" s="196"/>
      <c r="P111" s="196"/>
      <c r="Q111" s="196"/>
      <c r="R111" s="196"/>
      <c r="S111" s="196"/>
      <c r="T111" s="196"/>
      <c r="U111" s="196"/>
      <c r="V111" s="196"/>
      <c r="W111" s="196"/>
      <c r="X111" s="196"/>
      <c r="Y111" s="196"/>
      <c r="Z111" s="196"/>
      <c r="AA111" s="196"/>
      <c r="AB111" s="196"/>
      <c r="AC111" s="196"/>
      <c r="AD111" s="196"/>
    </row>
    <row r="112" spans="1:30" ht="12.9">
      <c r="A112" s="196"/>
      <c r="B112" s="168"/>
      <c r="C112" s="196"/>
      <c r="D112" s="196"/>
      <c r="E112" s="196"/>
      <c r="F112" s="196"/>
      <c r="G112" s="174"/>
      <c r="H112" s="174"/>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96"/>
    </row>
    <row r="113" spans="1:30" ht="12.9">
      <c r="A113" s="196"/>
      <c r="B113" s="168"/>
      <c r="C113" s="196"/>
      <c r="D113" s="196"/>
      <c r="E113" s="196"/>
      <c r="F113" s="196"/>
      <c r="G113" s="174"/>
      <c r="H113" s="174"/>
      <c r="I113" s="196"/>
      <c r="J113" s="196"/>
      <c r="K113" s="196"/>
      <c r="L113" s="196"/>
      <c r="M113" s="196"/>
      <c r="N113" s="196"/>
      <c r="O113" s="196"/>
      <c r="P113" s="196"/>
      <c r="Q113" s="196"/>
      <c r="R113" s="196"/>
      <c r="S113" s="196"/>
      <c r="T113" s="196"/>
      <c r="U113" s="196"/>
      <c r="V113" s="196"/>
      <c r="W113" s="196"/>
      <c r="X113" s="196"/>
      <c r="Y113" s="196"/>
      <c r="Z113" s="196"/>
      <c r="AA113" s="196"/>
      <c r="AB113" s="196"/>
      <c r="AC113" s="196"/>
      <c r="AD113" s="196"/>
    </row>
    <row r="114" spans="1:30" ht="12.9">
      <c r="A114" s="196"/>
      <c r="B114" s="168"/>
      <c r="C114" s="196"/>
      <c r="D114" s="196"/>
      <c r="E114" s="196"/>
      <c r="F114" s="196"/>
      <c r="G114" s="174"/>
      <c r="H114" s="174"/>
      <c r="I114" s="196"/>
      <c r="J114" s="196"/>
      <c r="K114" s="196"/>
      <c r="L114" s="196"/>
      <c r="M114" s="196"/>
      <c r="N114" s="196"/>
      <c r="O114" s="196"/>
      <c r="P114" s="196"/>
      <c r="Q114" s="196"/>
      <c r="R114" s="196"/>
      <c r="S114" s="196"/>
      <c r="T114" s="196"/>
      <c r="U114" s="196"/>
      <c r="V114" s="196"/>
      <c r="W114" s="196"/>
      <c r="X114" s="196"/>
      <c r="Y114" s="196"/>
      <c r="Z114" s="196"/>
      <c r="AA114" s="196"/>
      <c r="AB114" s="196"/>
      <c r="AC114" s="196"/>
      <c r="AD114" s="196"/>
    </row>
    <row r="115" spans="1:30" ht="12.9">
      <c r="A115" s="196"/>
      <c r="B115" s="168"/>
      <c r="C115" s="196"/>
      <c r="D115" s="196"/>
      <c r="E115" s="196"/>
      <c r="F115" s="196"/>
      <c r="G115" s="174"/>
      <c r="H115" s="174"/>
      <c r="I115" s="196"/>
      <c r="J115" s="196"/>
      <c r="K115" s="196"/>
      <c r="L115" s="196"/>
      <c r="M115" s="196"/>
      <c r="N115" s="196"/>
      <c r="O115" s="196"/>
      <c r="P115" s="196"/>
      <c r="Q115" s="196"/>
      <c r="R115" s="196"/>
      <c r="S115" s="196"/>
      <c r="T115" s="196"/>
      <c r="U115" s="196"/>
      <c r="V115" s="196"/>
      <c r="W115" s="196"/>
      <c r="X115" s="196"/>
      <c r="Y115" s="196"/>
      <c r="Z115" s="196"/>
      <c r="AA115" s="196"/>
      <c r="AB115" s="196"/>
      <c r="AC115" s="196"/>
      <c r="AD115" s="196"/>
    </row>
    <row r="116" spans="1:30" ht="12.9">
      <c r="A116" s="196"/>
      <c r="B116" s="168"/>
      <c r="C116" s="196"/>
      <c r="D116" s="196"/>
      <c r="E116" s="196"/>
      <c r="F116" s="196"/>
      <c r="G116" s="174"/>
      <c r="H116" s="174"/>
      <c r="I116" s="196"/>
      <c r="J116" s="196"/>
      <c r="K116" s="196"/>
      <c r="L116" s="196"/>
      <c r="M116" s="196"/>
      <c r="N116" s="196"/>
      <c r="O116" s="196"/>
      <c r="P116" s="196"/>
      <c r="Q116" s="196"/>
      <c r="R116" s="196"/>
      <c r="S116" s="196"/>
      <c r="T116" s="196"/>
      <c r="U116" s="196"/>
      <c r="V116" s="196"/>
      <c r="W116" s="196"/>
      <c r="X116" s="196"/>
      <c r="Y116" s="196"/>
      <c r="Z116" s="196"/>
      <c r="AA116" s="196"/>
      <c r="AB116" s="196"/>
      <c r="AC116" s="196"/>
      <c r="AD116" s="196"/>
    </row>
    <row r="117" spans="1:30" ht="12.9">
      <c r="A117" s="196"/>
      <c r="B117" s="168"/>
      <c r="C117" s="196"/>
      <c r="D117" s="196"/>
      <c r="E117" s="196"/>
      <c r="F117" s="196"/>
      <c r="G117" s="174"/>
      <c r="H117" s="174"/>
      <c r="I117" s="196"/>
      <c r="J117" s="196"/>
      <c r="K117" s="196"/>
      <c r="L117" s="196"/>
      <c r="M117" s="196"/>
      <c r="N117" s="196"/>
      <c r="O117" s="196"/>
      <c r="P117" s="196"/>
      <c r="Q117" s="196"/>
      <c r="R117" s="196"/>
      <c r="S117" s="196"/>
      <c r="T117" s="196"/>
      <c r="U117" s="196"/>
      <c r="V117" s="196"/>
      <c r="W117" s="196"/>
      <c r="X117" s="196"/>
      <c r="Y117" s="196"/>
      <c r="Z117" s="196"/>
      <c r="AA117" s="196"/>
      <c r="AB117" s="196"/>
      <c r="AC117" s="196"/>
      <c r="AD117" s="196"/>
    </row>
    <row r="118" spans="1:30" ht="12.9">
      <c r="A118" s="196"/>
      <c r="B118" s="168"/>
      <c r="C118" s="196"/>
      <c r="D118" s="196"/>
      <c r="E118" s="196"/>
      <c r="F118" s="196"/>
      <c r="G118" s="174"/>
      <c r="H118" s="174"/>
      <c r="I118" s="196"/>
      <c r="J118" s="196"/>
      <c r="K118" s="196"/>
      <c r="L118" s="196"/>
      <c r="M118" s="196"/>
      <c r="N118" s="196"/>
      <c r="O118" s="196"/>
      <c r="P118" s="196"/>
      <c r="Q118" s="196"/>
      <c r="R118" s="196"/>
      <c r="S118" s="196"/>
      <c r="T118" s="196"/>
      <c r="U118" s="196"/>
      <c r="V118" s="196"/>
      <c r="W118" s="196"/>
      <c r="X118" s="196"/>
      <c r="Y118" s="196"/>
      <c r="Z118" s="196"/>
      <c r="AA118" s="196"/>
      <c r="AB118" s="196"/>
      <c r="AC118" s="196"/>
      <c r="AD118" s="196"/>
    </row>
    <row r="119" spans="1:30" ht="12.9">
      <c r="A119" s="196"/>
      <c r="B119" s="168"/>
      <c r="C119" s="196"/>
      <c r="D119" s="196"/>
      <c r="E119" s="196"/>
      <c r="F119" s="196"/>
      <c r="G119" s="174"/>
      <c r="H119" s="174"/>
      <c r="I119" s="196"/>
      <c r="J119" s="196"/>
      <c r="K119" s="196"/>
      <c r="L119" s="196"/>
      <c r="M119" s="196"/>
      <c r="N119" s="196"/>
      <c r="O119" s="196"/>
      <c r="P119" s="196"/>
      <c r="Q119" s="196"/>
      <c r="R119" s="196"/>
      <c r="S119" s="196"/>
      <c r="T119" s="196"/>
      <c r="U119" s="196"/>
      <c r="V119" s="196"/>
      <c r="W119" s="196"/>
      <c r="X119" s="196"/>
      <c r="Y119" s="196"/>
      <c r="Z119" s="196"/>
      <c r="AA119" s="196"/>
      <c r="AB119" s="196"/>
      <c r="AC119" s="196"/>
      <c r="AD119" s="196"/>
    </row>
    <row r="120" spans="1:30" ht="12.9">
      <c r="A120" s="196"/>
      <c r="B120" s="168"/>
      <c r="C120" s="196"/>
      <c r="D120" s="196"/>
      <c r="E120" s="196"/>
      <c r="F120" s="196"/>
      <c r="G120" s="174"/>
      <c r="H120" s="174"/>
      <c r="I120" s="196"/>
      <c r="J120" s="196"/>
      <c r="K120" s="196"/>
      <c r="L120" s="196"/>
      <c r="M120" s="196"/>
      <c r="N120" s="196"/>
      <c r="O120" s="196"/>
      <c r="P120" s="196"/>
      <c r="Q120" s="196"/>
      <c r="R120" s="196"/>
      <c r="S120" s="196"/>
      <c r="T120" s="196"/>
      <c r="U120" s="196"/>
      <c r="V120" s="196"/>
      <c r="W120" s="196"/>
      <c r="X120" s="196"/>
      <c r="Y120" s="196"/>
      <c r="Z120" s="196"/>
      <c r="AA120" s="196"/>
      <c r="AB120" s="196"/>
      <c r="AC120" s="196"/>
      <c r="AD120" s="196"/>
    </row>
    <row r="121" spans="1:30" ht="12.9">
      <c r="A121" s="196"/>
      <c r="B121" s="168"/>
      <c r="C121" s="196"/>
      <c r="D121" s="196"/>
      <c r="E121" s="196"/>
      <c r="F121" s="196"/>
      <c r="G121" s="174"/>
      <c r="H121" s="174"/>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96"/>
    </row>
    <row r="122" spans="1:30" ht="12.9">
      <c r="A122" s="196"/>
      <c r="B122" s="168"/>
      <c r="C122" s="196"/>
      <c r="D122" s="196"/>
      <c r="E122" s="196"/>
      <c r="F122" s="196"/>
      <c r="G122" s="174"/>
      <c r="H122" s="174"/>
      <c r="I122" s="196"/>
      <c r="J122" s="196"/>
      <c r="K122" s="196"/>
      <c r="L122" s="196"/>
      <c r="M122" s="196"/>
      <c r="N122" s="196"/>
      <c r="O122" s="196"/>
      <c r="P122" s="196"/>
      <c r="Q122" s="196"/>
      <c r="R122" s="196"/>
      <c r="S122" s="196"/>
      <c r="T122" s="196"/>
      <c r="U122" s="196"/>
      <c r="V122" s="196"/>
      <c r="W122" s="196"/>
      <c r="X122" s="196"/>
      <c r="Y122" s="196"/>
      <c r="Z122" s="196"/>
      <c r="AA122" s="196"/>
      <c r="AB122" s="196"/>
      <c r="AC122" s="196"/>
      <c r="AD122" s="196"/>
    </row>
    <row r="123" spans="1:30" ht="12.9">
      <c r="A123" s="196"/>
      <c r="B123" s="168"/>
      <c r="C123" s="196"/>
      <c r="D123" s="196"/>
      <c r="E123" s="196"/>
      <c r="F123" s="196"/>
      <c r="G123" s="174"/>
      <c r="H123" s="174"/>
      <c r="I123" s="196"/>
      <c r="J123" s="196"/>
      <c r="K123" s="196"/>
      <c r="L123" s="196"/>
      <c r="M123" s="196"/>
      <c r="N123" s="196"/>
      <c r="O123" s="196"/>
      <c r="P123" s="196"/>
      <c r="Q123" s="196"/>
      <c r="R123" s="196"/>
      <c r="S123" s="196"/>
      <c r="T123" s="196"/>
      <c r="U123" s="196"/>
      <c r="V123" s="196"/>
      <c r="W123" s="196"/>
      <c r="X123" s="196"/>
      <c r="Y123" s="196"/>
      <c r="Z123" s="196"/>
      <c r="AA123" s="196"/>
      <c r="AB123" s="196"/>
      <c r="AC123" s="196"/>
      <c r="AD123" s="196"/>
    </row>
    <row r="124" spans="1:30" ht="12.9">
      <c r="A124" s="196"/>
      <c r="B124" s="168"/>
      <c r="C124" s="196"/>
      <c r="D124" s="196"/>
      <c r="E124" s="196"/>
      <c r="F124" s="196"/>
      <c r="G124" s="174"/>
      <c r="H124" s="174"/>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row>
    <row r="125" spans="1:30" ht="12.9">
      <c r="A125" s="196"/>
      <c r="B125" s="168"/>
      <c r="C125" s="196"/>
      <c r="D125" s="196"/>
      <c r="E125" s="196"/>
      <c r="F125" s="196"/>
      <c r="G125" s="174"/>
      <c r="H125" s="174"/>
      <c r="I125" s="196"/>
      <c r="J125" s="196"/>
      <c r="K125" s="196"/>
      <c r="L125" s="196"/>
      <c r="M125" s="196"/>
      <c r="N125" s="196"/>
      <c r="O125" s="196"/>
      <c r="P125" s="196"/>
      <c r="Q125" s="196"/>
      <c r="R125" s="196"/>
      <c r="S125" s="196"/>
      <c r="T125" s="196"/>
      <c r="U125" s="196"/>
      <c r="V125" s="196"/>
      <c r="W125" s="196"/>
      <c r="X125" s="196"/>
      <c r="Y125" s="196"/>
      <c r="Z125" s="196"/>
      <c r="AA125" s="196"/>
      <c r="AB125" s="196"/>
      <c r="AC125" s="196"/>
      <c r="AD125" s="196"/>
    </row>
    <row r="126" spans="1:30" ht="12.9">
      <c r="A126" s="196"/>
      <c r="B126" s="168"/>
      <c r="C126" s="196"/>
      <c r="D126" s="196"/>
      <c r="E126" s="196"/>
      <c r="F126" s="196"/>
      <c r="G126" s="174"/>
      <c r="H126" s="174"/>
      <c r="I126" s="196"/>
      <c r="J126" s="196"/>
      <c r="K126" s="196"/>
      <c r="L126" s="196"/>
      <c r="M126" s="196"/>
      <c r="N126" s="196"/>
      <c r="O126" s="196"/>
      <c r="P126" s="196"/>
      <c r="Q126" s="196"/>
      <c r="R126" s="196"/>
      <c r="S126" s="196"/>
      <c r="T126" s="196"/>
      <c r="U126" s="196"/>
      <c r="V126" s="196"/>
      <c r="W126" s="196"/>
      <c r="X126" s="196"/>
      <c r="Y126" s="196"/>
      <c r="Z126" s="196"/>
      <c r="AA126" s="196"/>
      <c r="AB126" s="196"/>
      <c r="AC126" s="196"/>
      <c r="AD126" s="196"/>
    </row>
    <row r="127" spans="1:30" ht="12.9">
      <c r="A127" s="196"/>
      <c r="B127" s="168"/>
      <c r="C127" s="196"/>
      <c r="D127" s="196"/>
      <c r="E127" s="196"/>
      <c r="F127" s="196"/>
      <c r="G127" s="174"/>
      <c r="H127" s="174"/>
      <c r="I127" s="196"/>
      <c r="J127" s="196"/>
      <c r="K127" s="196"/>
      <c r="L127" s="196"/>
      <c r="M127" s="196"/>
      <c r="N127" s="196"/>
      <c r="O127" s="196"/>
      <c r="P127" s="196"/>
      <c r="Q127" s="196"/>
      <c r="R127" s="196"/>
      <c r="S127" s="196"/>
      <c r="T127" s="196"/>
      <c r="U127" s="196"/>
      <c r="V127" s="196"/>
      <c r="W127" s="196"/>
      <c r="X127" s="196"/>
      <c r="Y127" s="196"/>
      <c r="Z127" s="196"/>
      <c r="AA127" s="196"/>
      <c r="AB127" s="196"/>
      <c r="AC127" s="196"/>
      <c r="AD127" s="196"/>
    </row>
    <row r="128" spans="1:30" ht="12.9">
      <c r="A128" s="196"/>
      <c r="B128" s="168"/>
      <c r="C128" s="196"/>
      <c r="D128" s="196"/>
      <c r="E128" s="196"/>
      <c r="F128" s="196"/>
      <c r="G128" s="174"/>
      <c r="H128" s="174"/>
      <c r="I128" s="196"/>
      <c r="J128" s="196"/>
      <c r="K128" s="196"/>
      <c r="L128" s="196"/>
      <c r="M128" s="196"/>
      <c r="N128" s="196"/>
      <c r="O128" s="196"/>
      <c r="P128" s="196"/>
      <c r="Q128" s="196"/>
      <c r="R128" s="196"/>
      <c r="S128" s="196"/>
      <c r="T128" s="196"/>
      <c r="U128" s="196"/>
      <c r="V128" s="196"/>
      <c r="W128" s="196"/>
      <c r="X128" s="196"/>
      <c r="Y128" s="196"/>
      <c r="Z128" s="196"/>
      <c r="AA128" s="196"/>
      <c r="AB128" s="196"/>
      <c r="AC128" s="196"/>
      <c r="AD128" s="196"/>
    </row>
    <row r="129" spans="1:30" ht="12.9">
      <c r="A129" s="196"/>
      <c r="B129" s="168"/>
      <c r="C129" s="196"/>
      <c r="D129" s="196"/>
      <c r="E129" s="196"/>
      <c r="F129" s="196"/>
      <c r="G129" s="174"/>
      <c r="H129" s="174"/>
      <c r="I129" s="196"/>
      <c r="J129" s="196"/>
      <c r="K129" s="196"/>
      <c r="L129" s="196"/>
      <c r="M129" s="196"/>
      <c r="N129" s="196"/>
      <c r="O129" s="196"/>
      <c r="P129" s="196"/>
      <c r="Q129" s="196"/>
      <c r="R129" s="196"/>
      <c r="S129" s="196"/>
      <c r="T129" s="196"/>
      <c r="U129" s="196"/>
      <c r="V129" s="196"/>
      <c r="W129" s="196"/>
      <c r="X129" s="196"/>
      <c r="Y129" s="196"/>
      <c r="Z129" s="196"/>
      <c r="AA129" s="196"/>
      <c r="AB129" s="196"/>
      <c r="AC129" s="196"/>
      <c r="AD129" s="196"/>
    </row>
    <row r="130" spans="1:30" ht="12.9">
      <c r="A130" s="196"/>
      <c r="B130" s="168"/>
      <c r="C130" s="196"/>
      <c r="D130" s="196"/>
      <c r="E130" s="196"/>
      <c r="F130" s="196"/>
      <c r="G130" s="174"/>
      <c r="H130" s="174"/>
      <c r="I130" s="196"/>
      <c r="J130" s="196"/>
      <c r="K130" s="196"/>
      <c r="L130" s="196"/>
      <c r="M130" s="196"/>
      <c r="N130" s="196"/>
      <c r="O130" s="196"/>
      <c r="P130" s="196"/>
      <c r="Q130" s="196"/>
      <c r="R130" s="196"/>
      <c r="S130" s="196"/>
      <c r="T130" s="196"/>
      <c r="U130" s="196"/>
      <c r="V130" s="196"/>
      <c r="W130" s="196"/>
      <c r="X130" s="196"/>
      <c r="Y130" s="196"/>
      <c r="Z130" s="196"/>
      <c r="AA130" s="196"/>
      <c r="AB130" s="196"/>
      <c r="AC130" s="196"/>
      <c r="AD130" s="196"/>
    </row>
    <row r="131" spans="1:30" ht="12.9">
      <c r="A131" s="196"/>
      <c r="B131" s="168"/>
      <c r="C131" s="196"/>
      <c r="D131" s="196"/>
      <c r="E131" s="196"/>
      <c r="F131" s="196"/>
      <c r="G131" s="174"/>
      <c r="H131" s="174"/>
      <c r="I131" s="196"/>
      <c r="J131" s="196"/>
      <c r="K131" s="196"/>
      <c r="L131" s="196"/>
      <c r="M131" s="196"/>
      <c r="N131" s="196"/>
      <c r="O131" s="196"/>
      <c r="P131" s="196"/>
      <c r="Q131" s="196"/>
      <c r="R131" s="196"/>
      <c r="S131" s="196"/>
      <c r="T131" s="196"/>
      <c r="U131" s="196"/>
      <c r="V131" s="196"/>
      <c r="W131" s="196"/>
      <c r="X131" s="196"/>
      <c r="Y131" s="196"/>
      <c r="Z131" s="196"/>
      <c r="AA131" s="196"/>
      <c r="AB131" s="196"/>
      <c r="AC131" s="196"/>
      <c r="AD131" s="196"/>
    </row>
    <row r="132" spans="1:30" ht="12.9">
      <c r="A132" s="196"/>
      <c r="B132" s="168"/>
      <c r="C132" s="196"/>
      <c r="D132" s="196"/>
      <c r="E132" s="196"/>
      <c r="F132" s="196"/>
      <c r="G132" s="174"/>
      <c r="H132" s="174"/>
      <c r="I132" s="196"/>
      <c r="J132" s="196"/>
      <c r="K132" s="196"/>
      <c r="L132" s="196"/>
      <c r="M132" s="196"/>
      <c r="N132" s="196"/>
      <c r="O132" s="196"/>
      <c r="P132" s="196"/>
      <c r="Q132" s="196"/>
      <c r="R132" s="196"/>
      <c r="S132" s="196"/>
      <c r="T132" s="196"/>
      <c r="U132" s="196"/>
      <c r="V132" s="196"/>
      <c r="W132" s="196"/>
      <c r="X132" s="196"/>
      <c r="Y132" s="196"/>
      <c r="Z132" s="196"/>
      <c r="AA132" s="196"/>
      <c r="AB132" s="196"/>
      <c r="AC132" s="196"/>
      <c r="AD132" s="196"/>
    </row>
    <row r="133" spans="1:30" ht="12.9">
      <c r="A133" s="196"/>
      <c r="B133" s="168"/>
      <c r="C133" s="196"/>
      <c r="D133" s="196"/>
      <c r="E133" s="196"/>
      <c r="F133" s="196"/>
      <c r="G133" s="174"/>
      <c r="H133" s="174"/>
      <c r="I133" s="196"/>
      <c r="J133" s="196"/>
      <c r="K133" s="196"/>
      <c r="L133" s="196"/>
      <c r="M133" s="196"/>
      <c r="N133" s="196"/>
      <c r="O133" s="196"/>
      <c r="P133" s="196"/>
      <c r="Q133" s="196"/>
      <c r="R133" s="196"/>
      <c r="S133" s="196"/>
      <c r="T133" s="196"/>
      <c r="U133" s="196"/>
      <c r="V133" s="196"/>
      <c r="W133" s="196"/>
      <c r="X133" s="196"/>
      <c r="Y133" s="196"/>
      <c r="Z133" s="196"/>
      <c r="AA133" s="196"/>
      <c r="AB133" s="196"/>
      <c r="AC133" s="196"/>
      <c r="AD133" s="196"/>
    </row>
    <row r="134" spans="1:30" ht="12.9">
      <c r="A134" s="196"/>
      <c r="B134" s="168"/>
      <c r="C134" s="196"/>
      <c r="D134" s="196"/>
      <c r="E134" s="196"/>
      <c r="F134" s="196"/>
      <c r="G134" s="174"/>
      <c r="H134" s="174"/>
      <c r="I134" s="196"/>
      <c r="J134" s="196"/>
      <c r="K134" s="196"/>
      <c r="L134" s="196"/>
      <c r="M134" s="196"/>
      <c r="N134" s="196"/>
      <c r="O134" s="196"/>
      <c r="P134" s="196"/>
      <c r="Q134" s="196"/>
      <c r="R134" s="196"/>
      <c r="S134" s="196"/>
      <c r="T134" s="196"/>
      <c r="U134" s="196"/>
      <c r="V134" s="196"/>
      <c r="W134" s="196"/>
      <c r="X134" s="196"/>
      <c r="Y134" s="196"/>
      <c r="Z134" s="196"/>
      <c r="AA134" s="196"/>
      <c r="AB134" s="196"/>
      <c r="AC134" s="196"/>
      <c r="AD134" s="196"/>
    </row>
    <row r="135" spans="1:30" ht="12.9">
      <c r="A135" s="196"/>
      <c r="B135" s="168"/>
      <c r="C135" s="196"/>
      <c r="D135" s="196"/>
      <c r="E135" s="196"/>
      <c r="F135" s="196"/>
      <c r="G135" s="174"/>
      <c r="H135" s="174"/>
      <c r="I135" s="196"/>
      <c r="J135" s="196"/>
      <c r="K135" s="196"/>
      <c r="L135" s="196"/>
      <c r="M135" s="196"/>
      <c r="N135" s="196"/>
      <c r="O135" s="196"/>
      <c r="P135" s="196"/>
      <c r="Q135" s="196"/>
      <c r="R135" s="196"/>
      <c r="S135" s="196"/>
      <c r="T135" s="196"/>
      <c r="U135" s="196"/>
      <c r="V135" s="196"/>
      <c r="W135" s="196"/>
      <c r="X135" s="196"/>
      <c r="Y135" s="196"/>
      <c r="Z135" s="196"/>
      <c r="AA135" s="196"/>
      <c r="AB135" s="196"/>
      <c r="AC135" s="196"/>
      <c r="AD135" s="196"/>
    </row>
    <row r="136" spans="1:30" ht="12.9">
      <c r="A136" s="196"/>
      <c r="B136" s="168"/>
      <c r="C136" s="196"/>
      <c r="D136" s="196"/>
      <c r="E136" s="196"/>
      <c r="F136" s="196"/>
      <c r="G136" s="174"/>
      <c r="H136" s="174"/>
      <c r="I136" s="196"/>
      <c r="J136" s="196"/>
      <c r="K136" s="196"/>
      <c r="L136" s="196"/>
      <c r="M136" s="196"/>
      <c r="N136" s="196"/>
      <c r="O136" s="196"/>
      <c r="P136" s="196"/>
      <c r="Q136" s="196"/>
      <c r="R136" s="196"/>
      <c r="S136" s="196"/>
      <c r="T136" s="196"/>
      <c r="U136" s="196"/>
      <c r="V136" s="196"/>
      <c r="W136" s="196"/>
      <c r="X136" s="196"/>
      <c r="Y136" s="196"/>
      <c r="Z136" s="196"/>
      <c r="AA136" s="196"/>
      <c r="AB136" s="196"/>
      <c r="AC136" s="196"/>
      <c r="AD136" s="196"/>
    </row>
    <row r="137" spans="1:30" ht="12.9">
      <c r="A137" s="196"/>
      <c r="B137" s="168"/>
      <c r="C137" s="196"/>
      <c r="D137" s="196"/>
      <c r="E137" s="196"/>
      <c r="F137" s="196"/>
      <c r="G137" s="70"/>
      <c r="H137" s="70"/>
      <c r="I137" s="196"/>
      <c r="J137" s="196"/>
      <c r="K137" s="196"/>
      <c r="L137" s="196"/>
      <c r="M137" s="196"/>
      <c r="N137" s="196"/>
      <c r="O137" s="196"/>
      <c r="P137" s="196"/>
      <c r="Q137" s="196"/>
      <c r="R137" s="196"/>
      <c r="S137" s="196"/>
      <c r="T137" s="196"/>
      <c r="U137" s="196"/>
      <c r="V137" s="196"/>
      <c r="W137" s="196"/>
      <c r="X137" s="196"/>
      <c r="Y137" s="196"/>
      <c r="Z137" s="196"/>
      <c r="AA137" s="196"/>
      <c r="AB137" s="196"/>
      <c r="AC137" s="196"/>
      <c r="AD137" s="196"/>
    </row>
    <row r="138" spans="1:30" ht="12.9">
      <c r="A138" s="196"/>
      <c r="B138" s="168"/>
      <c r="C138" s="196"/>
      <c r="D138" s="196"/>
      <c r="E138" s="196"/>
      <c r="F138" s="196"/>
      <c r="G138" s="70"/>
      <c r="H138" s="70"/>
      <c r="I138" s="196"/>
      <c r="J138" s="196"/>
      <c r="K138" s="196"/>
      <c r="L138" s="196"/>
      <c r="M138" s="196"/>
      <c r="N138" s="196"/>
      <c r="O138" s="196"/>
      <c r="P138" s="196"/>
      <c r="Q138" s="196"/>
      <c r="R138" s="196"/>
      <c r="S138" s="196"/>
      <c r="T138" s="196"/>
      <c r="U138" s="196"/>
      <c r="V138" s="196"/>
      <c r="W138" s="196"/>
      <c r="X138" s="196"/>
      <c r="Y138" s="196"/>
      <c r="Z138" s="196"/>
      <c r="AA138" s="196"/>
      <c r="AB138" s="196"/>
      <c r="AC138" s="196"/>
      <c r="AD138" s="196"/>
    </row>
    <row r="139" spans="1:30" ht="12.9">
      <c r="A139" s="196"/>
      <c r="B139" s="168"/>
      <c r="C139" s="196"/>
      <c r="D139" s="196"/>
      <c r="E139" s="196"/>
      <c r="F139" s="196"/>
      <c r="G139" s="70"/>
      <c r="H139" s="70"/>
      <c r="I139" s="196"/>
      <c r="J139" s="196"/>
      <c r="K139" s="196"/>
      <c r="L139" s="196"/>
      <c r="M139" s="196"/>
      <c r="N139" s="196"/>
      <c r="O139" s="196"/>
      <c r="P139" s="196"/>
      <c r="Q139" s="196"/>
      <c r="R139" s="196"/>
      <c r="S139" s="196"/>
      <c r="T139" s="196"/>
      <c r="U139" s="196"/>
      <c r="V139" s="196"/>
      <c r="W139" s="196"/>
      <c r="X139" s="196"/>
      <c r="Y139" s="196"/>
      <c r="Z139" s="196"/>
      <c r="AA139" s="196"/>
      <c r="AB139" s="196"/>
      <c r="AC139" s="196"/>
      <c r="AD139" s="196"/>
    </row>
    <row r="140" spans="1:30" ht="12.9">
      <c r="A140" s="196"/>
      <c r="B140" s="168"/>
      <c r="C140" s="196"/>
      <c r="D140" s="196"/>
      <c r="E140" s="196"/>
      <c r="F140" s="196"/>
      <c r="G140" s="70"/>
      <c r="H140" s="70"/>
      <c r="I140" s="196"/>
      <c r="J140" s="196"/>
      <c r="K140" s="196"/>
      <c r="L140" s="196"/>
      <c r="M140" s="196"/>
      <c r="N140" s="196"/>
      <c r="O140" s="196"/>
      <c r="P140" s="196"/>
      <c r="Q140" s="196"/>
      <c r="R140" s="196"/>
      <c r="S140" s="196"/>
      <c r="T140" s="196"/>
      <c r="U140" s="196"/>
      <c r="V140" s="196"/>
      <c r="W140" s="196"/>
      <c r="X140" s="196"/>
      <c r="Y140" s="196"/>
      <c r="Z140" s="196"/>
      <c r="AA140" s="196"/>
      <c r="AB140" s="196"/>
      <c r="AC140" s="196"/>
      <c r="AD140" s="196"/>
    </row>
    <row r="141" spans="1:30" ht="12.9">
      <c r="A141" s="196"/>
      <c r="B141" s="168"/>
      <c r="C141" s="196"/>
      <c r="D141" s="196"/>
      <c r="E141" s="196"/>
      <c r="F141" s="196"/>
      <c r="G141" s="70"/>
      <c r="H141" s="70"/>
      <c r="I141" s="196"/>
      <c r="J141" s="196"/>
      <c r="K141" s="196"/>
      <c r="L141" s="196"/>
      <c r="M141" s="196"/>
      <c r="N141" s="196"/>
      <c r="O141" s="196"/>
      <c r="P141" s="196"/>
      <c r="Q141" s="196"/>
      <c r="R141" s="196"/>
      <c r="S141" s="196"/>
      <c r="T141" s="196"/>
      <c r="U141" s="196"/>
      <c r="V141" s="196"/>
      <c r="W141" s="196"/>
      <c r="X141" s="196"/>
      <c r="Y141" s="196"/>
      <c r="Z141" s="196"/>
      <c r="AA141" s="196"/>
      <c r="AB141" s="196"/>
      <c r="AC141" s="196"/>
      <c r="AD141" s="196"/>
    </row>
    <row r="142" spans="1:30" ht="12.9">
      <c r="A142" s="196"/>
      <c r="B142" s="168"/>
      <c r="C142" s="196"/>
      <c r="D142" s="196"/>
      <c r="E142" s="196"/>
      <c r="F142" s="196"/>
      <c r="G142" s="70"/>
      <c r="H142" s="70"/>
      <c r="I142" s="196"/>
      <c r="J142" s="196"/>
      <c r="K142" s="196"/>
      <c r="L142" s="196"/>
      <c r="M142" s="196"/>
      <c r="N142" s="196"/>
      <c r="O142" s="196"/>
      <c r="P142" s="196"/>
      <c r="Q142" s="196"/>
      <c r="R142" s="196"/>
      <c r="S142" s="196"/>
      <c r="T142" s="196"/>
      <c r="U142" s="196"/>
      <c r="V142" s="196"/>
      <c r="W142" s="196"/>
      <c r="X142" s="196"/>
      <c r="Y142" s="196"/>
      <c r="Z142" s="196"/>
      <c r="AA142" s="196"/>
      <c r="AB142" s="196"/>
      <c r="AC142" s="196"/>
      <c r="AD142" s="196"/>
    </row>
    <row r="143" spans="1:30" ht="12.9">
      <c r="A143" s="196"/>
      <c r="B143" s="168"/>
      <c r="C143" s="196"/>
      <c r="D143" s="196"/>
      <c r="E143" s="196"/>
      <c r="F143" s="196"/>
      <c r="G143" s="70"/>
      <c r="H143" s="70"/>
      <c r="I143" s="196"/>
      <c r="J143" s="196"/>
      <c r="K143" s="196"/>
      <c r="L143" s="196"/>
      <c r="M143" s="196"/>
      <c r="N143" s="196"/>
      <c r="O143" s="196"/>
      <c r="P143" s="196"/>
      <c r="Q143" s="196"/>
      <c r="R143" s="196"/>
      <c r="S143" s="196"/>
      <c r="T143" s="196"/>
      <c r="U143" s="196"/>
      <c r="V143" s="196"/>
      <c r="W143" s="196"/>
      <c r="X143" s="196"/>
      <c r="Y143" s="196"/>
      <c r="Z143" s="196"/>
      <c r="AA143" s="196"/>
      <c r="AB143" s="196"/>
      <c r="AC143" s="196"/>
      <c r="AD143" s="196"/>
    </row>
    <row r="144" spans="1:30" ht="12.9">
      <c r="A144" s="196"/>
      <c r="B144" s="168"/>
      <c r="C144" s="196"/>
      <c r="D144" s="196"/>
      <c r="E144" s="196"/>
      <c r="F144" s="196"/>
      <c r="G144" s="70"/>
      <c r="H144" s="70"/>
      <c r="I144" s="196"/>
      <c r="J144" s="196"/>
      <c r="K144" s="196"/>
      <c r="L144" s="196"/>
      <c r="M144" s="196"/>
      <c r="N144" s="196"/>
      <c r="O144" s="196"/>
      <c r="P144" s="196"/>
      <c r="Q144" s="196"/>
      <c r="R144" s="196"/>
      <c r="S144" s="196"/>
      <c r="T144" s="196"/>
      <c r="U144" s="196"/>
      <c r="V144" s="196"/>
      <c r="W144" s="196"/>
      <c r="X144" s="196"/>
      <c r="Y144" s="196"/>
      <c r="Z144" s="196"/>
      <c r="AA144" s="196"/>
      <c r="AB144" s="196"/>
      <c r="AC144" s="196"/>
      <c r="AD144" s="196"/>
    </row>
    <row r="145" spans="1:30" ht="12.9">
      <c r="A145" s="196"/>
      <c r="B145" s="168"/>
      <c r="C145" s="196"/>
      <c r="D145" s="196"/>
      <c r="E145" s="196"/>
      <c r="F145" s="196"/>
      <c r="G145" s="70"/>
      <c r="H145" s="70"/>
      <c r="I145" s="196"/>
      <c r="J145" s="196"/>
      <c r="K145" s="196"/>
      <c r="L145" s="196"/>
      <c r="M145" s="196"/>
      <c r="N145" s="196"/>
      <c r="O145" s="196"/>
      <c r="P145" s="196"/>
      <c r="Q145" s="196"/>
      <c r="R145" s="196"/>
      <c r="S145" s="196"/>
      <c r="T145" s="196"/>
      <c r="U145" s="196"/>
      <c r="V145" s="196"/>
      <c r="W145" s="196"/>
      <c r="X145" s="196"/>
      <c r="Y145" s="196"/>
      <c r="Z145" s="196"/>
      <c r="AA145" s="196"/>
      <c r="AB145" s="196"/>
      <c r="AC145" s="196"/>
      <c r="AD145" s="196"/>
    </row>
    <row r="146" spans="1:30" ht="12.9">
      <c r="A146" s="196"/>
      <c r="B146" s="168"/>
      <c r="C146" s="196"/>
      <c r="D146" s="196"/>
      <c r="E146" s="196"/>
      <c r="F146" s="196"/>
      <c r="G146" s="70"/>
      <c r="H146" s="70"/>
      <c r="I146" s="196"/>
      <c r="J146" s="196"/>
      <c r="K146" s="196"/>
      <c r="L146" s="196"/>
      <c r="M146" s="196"/>
      <c r="N146" s="196"/>
      <c r="O146" s="196"/>
      <c r="P146" s="196"/>
      <c r="Q146" s="196"/>
      <c r="R146" s="196"/>
      <c r="S146" s="196"/>
      <c r="T146" s="196"/>
      <c r="U146" s="196"/>
      <c r="V146" s="196"/>
      <c r="W146" s="196"/>
      <c r="X146" s="196"/>
      <c r="Y146" s="196"/>
      <c r="Z146" s="196"/>
      <c r="AA146" s="196"/>
      <c r="AB146" s="196"/>
      <c r="AC146" s="196"/>
      <c r="AD146" s="196"/>
    </row>
    <row r="147" spans="1:30" ht="12.9">
      <c r="A147" s="196"/>
      <c r="B147" s="168"/>
      <c r="C147" s="196"/>
      <c r="D147" s="196"/>
      <c r="E147" s="196"/>
      <c r="F147" s="196"/>
      <c r="G147" s="70"/>
      <c r="H147" s="70"/>
      <c r="I147" s="196"/>
      <c r="J147" s="196"/>
      <c r="K147" s="196"/>
      <c r="L147" s="196"/>
      <c r="M147" s="196"/>
      <c r="N147" s="196"/>
      <c r="O147" s="196"/>
      <c r="P147" s="196"/>
      <c r="Q147" s="196"/>
      <c r="R147" s="196"/>
      <c r="S147" s="196"/>
      <c r="T147" s="196"/>
      <c r="U147" s="196"/>
      <c r="V147" s="196"/>
      <c r="W147" s="196"/>
      <c r="X147" s="196"/>
      <c r="Y147" s="196"/>
      <c r="Z147" s="196"/>
      <c r="AA147" s="196"/>
      <c r="AB147" s="196"/>
      <c r="AC147" s="196"/>
      <c r="AD147" s="196"/>
    </row>
    <row r="148" spans="1:30" ht="12.9">
      <c r="A148" s="196"/>
      <c r="B148" s="168"/>
      <c r="C148" s="196"/>
      <c r="D148" s="196"/>
      <c r="E148" s="196"/>
      <c r="F148" s="196"/>
      <c r="G148" s="70"/>
      <c r="H148" s="70"/>
      <c r="I148" s="196"/>
      <c r="J148" s="196"/>
      <c r="K148" s="196"/>
      <c r="L148" s="196"/>
      <c r="M148" s="196"/>
      <c r="N148" s="196"/>
      <c r="O148" s="196"/>
      <c r="P148" s="196"/>
      <c r="Q148" s="196"/>
      <c r="R148" s="196"/>
      <c r="S148" s="196"/>
      <c r="T148" s="196"/>
      <c r="U148" s="196"/>
      <c r="V148" s="196"/>
      <c r="W148" s="196"/>
      <c r="X148" s="196"/>
      <c r="Y148" s="196"/>
      <c r="Z148" s="196"/>
      <c r="AA148" s="196"/>
      <c r="AB148" s="196"/>
      <c r="AC148" s="196"/>
      <c r="AD148" s="196"/>
    </row>
    <row r="149" spans="1:30" ht="12.9">
      <c r="A149" s="196"/>
      <c r="B149" s="168"/>
      <c r="C149" s="196"/>
      <c r="D149" s="196"/>
      <c r="E149" s="196"/>
      <c r="F149" s="196"/>
      <c r="G149" s="70"/>
      <c r="H149" s="70"/>
      <c r="I149" s="196"/>
      <c r="J149" s="196"/>
      <c r="K149" s="196"/>
      <c r="L149" s="196"/>
      <c r="M149" s="196"/>
      <c r="N149" s="196"/>
      <c r="O149" s="196"/>
      <c r="P149" s="196"/>
      <c r="Q149" s="196"/>
      <c r="R149" s="196"/>
      <c r="S149" s="196"/>
      <c r="T149" s="196"/>
      <c r="U149" s="196"/>
      <c r="V149" s="196"/>
      <c r="W149" s="196"/>
      <c r="X149" s="196"/>
      <c r="Y149" s="196"/>
      <c r="Z149" s="196"/>
      <c r="AA149" s="196"/>
      <c r="AB149" s="196"/>
      <c r="AC149" s="196"/>
      <c r="AD149" s="196"/>
    </row>
    <row r="150" spans="1:30" ht="12.9">
      <c r="A150" s="196"/>
      <c r="B150" s="168"/>
      <c r="C150" s="196"/>
      <c r="D150" s="196"/>
      <c r="E150" s="196"/>
      <c r="F150" s="196"/>
      <c r="G150" s="70"/>
      <c r="H150" s="70"/>
      <c r="I150" s="196"/>
      <c r="J150" s="196"/>
      <c r="K150" s="196"/>
      <c r="L150" s="196"/>
      <c r="M150" s="196"/>
      <c r="N150" s="196"/>
      <c r="O150" s="196"/>
      <c r="P150" s="196"/>
      <c r="Q150" s="196"/>
      <c r="R150" s="196"/>
      <c r="S150" s="196"/>
      <c r="T150" s="196"/>
      <c r="U150" s="196"/>
      <c r="V150" s="196"/>
      <c r="W150" s="196"/>
      <c r="X150" s="196"/>
      <c r="Y150" s="196"/>
      <c r="Z150" s="196"/>
      <c r="AA150" s="196"/>
      <c r="AB150" s="196"/>
      <c r="AC150" s="196"/>
      <c r="AD150" s="196"/>
    </row>
    <row r="151" spans="1:30" ht="12.9">
      <c r="A151" s="196"/>
      <c r="B151" s="168"/>
      <c r="C151" s="196"/>
      <c r="D151" s="196"/>
      <c r="E151" s="196"/>
      <c r="F151" s="196"/>
      <c r="G151" s="70"/>
      <c r="H151" s="70"/>
      <c r="I151" s="196"/>
      <c r="J151" s="196"/>
      <c r="K151" s="196"/>
      <c r="L151" s="196"/>
      <c r="M151" s="196"/>
      <c r="N151" s="196"/>
      <c r="O151" s="196"/>
      <c r="P151" s="196"/>
      <c r="Q151" s="196"/>
      <c r="R151" s="196"/>
      <c r="S151" s="196"/>
      <c r="T151" s="196"/>
      <c r="U151" s="196"/>
      <c r="V151" s="196"/>
      <c r="W151" s="196"/>
      <c r="X151" s="196"/>
      <c r="Y151" s="196"/>
      <c r="Z151" s="196"/>
      <c r="AA151" s="196"/>
      <c r="AB151" s="196"/>
      <c r="AC151" s="196"/>
      <c r="AD151" s="196"/>
    </row>
    <row r="152" spans="1:30" ht="12.9">
      <c r="A152" s="196"/>
      <c r="B152" s="168"/>
      <c r="C152" s="196"/>
      <c r="D152" s="196"/>
      <c r="E152" s="196"/>
      <c r="F152" s="196"/>
      <c r="G152" s="70"/>
      <c r="H152" s="70"/>
      <c r="I152" s="196"/>
      <c r="J152" s="196"/>
      <c r="K152" s="196"/>
      <c r="L152" s="196"/>
      <c r="M152" s="196"/>
      <c r="N152" s="196"/>
      <c r="O152" s="196"/>
      <c r="P152" s="196"/>
      <c r="Q152" s="196"/>
      <c r="R152" s="196"/>
      <c r="S152" s="196"/>
      <c r="T152" s="196"/>
      <c r="U152" s="196"/>
      <c r="V152" s="196"/>
      <c r="W152" s="196"/>
      <c r="X152" s="196"/>
      <c r="Y152" s="196"/>
      <c r="Z152" s="196"/>
      <c r="AA152" s="196"/>
      <c r="AB152" s="196"/>
      <c r="AC152" s="196"/>
      <c r="AD152" s="196"/>
    </row>
    <row r="153" spans="1:30" ht="12.9">
      <c r="A153" s="196"/>
      <c r="B153" s="168"/>
      <c r="C153" s="196"/>
      <c r="D153" s="196"/>
      <c r="E153" s="196"/>
      <c r="F153" s="196"/>
      <c r="G153" s="70"/>
      <c r="H153" s="70"/>
      <c r="I153" s="196"/>
      <c r="J153" s="196"/>
      <c r="K153" s="196"/>
      <c r="L153" s="196"/>
      <c r="M153" s="196"/>
      <c r="N153" s="196"/>
      <c r="O153" s="196"/>
      <c r="P153" s="196"/>
      <c r="Q153" s="196"/>
      <c r="R153" s="196"/>
      <c r="S153" s="196"/>
      <c r="T153" s="196"/>
      <c r="U153" s="196"/>
      <c r="V153" s="196"/>
      <c r="W153" s="196"/>
      <c r="X153" s="196"/>
      <c r="Y153" s="196"/>
      <c r="Z153" s="196"/>
      <c r="AA153" s="196"/>
      <c r="AB153" s="196"/>
      <c r="AC153" s="196"/>
      <c r="AD153" s="196"/>
    </row>
    <row r="154" spans="1:30" ht="12.9">
      <c r="A154" s="196"/>
      <c r="B154" s="168"/>
      <c r="C154" s="196"/>
      <c r="D154" s="196"/>
      <c r="E154" s="196"/>
      <c r="F154" s="196"/>
      <c r="G154" s="70"/>
      <c r="H154" s="70"/>
      <c r="I154" s="196"/>
      <c r="J154" s="196"/>
      <c r="K154" s="196"/>
      <c r="L154" s="196"/>
      <c r="M154" s="196"/>
      <c r="N154" s="196"/>
      <c r="O154" s="196"/>
      <c r="P154" s="196"/>
      <c r="Q154" s="196"/>
      <c r="R154" s="196"/>
      <c r="S154" s="196"/>
      <c r="T154" s="196"/>
      <c r="U154" s="196"/>
      <c r="V154" s="196"/>
      <c r="W154" s="196"/>
      <c r="X154" s="196"/>
      <c r="Y154" s="196"/>
      <c r="Z154" s="196"/>
      <c r="AA154" s="196"/>
      <c r="AB154" s="196"/>
      <c r="AC154" s="196"/>
      <c r="AD154" s="196"/>
    </row>
    <row r="155" spans="1:30" ht="12.9">
      <c r="A155" s="196"/>
      <c r="B155" s="168"/>
      <c r="C155" s="196"/>
      <c r="D155" s="196"/>
      <c r="E155" s="196"/>
      <c r="F155" s="196"/>
      <c r="G155" s="70"/>
      <c r="H155" s="70"/>
      <c r="I155" s="196"/>
      <c r="J155" s="196"/>
      <c r="K155" s="196"/>
      <c r="L155" s="196"/>
      <c r="M155" s="196"/>
      <c r="N155" s="196"/>
      <c r="O155" s="196"/>
      <c r="P155" s="196"/>
      <c r="Q155" s="196"/>
      <c r="R155" s="196"/>
      <c r="S155" s="196"/>
      <c r="T155" s="196"/>
      <c r="U155" s="196"/>
      <c r="V155" s="196"/>
      <c r="W155" s="196"/>
      <c r="X155" s="196"/>
      <c r="Y155" s="196"/>
      <c r="Z155" s="196"/>
      <c r="AA155" s="196"/>
      <c r="AB155" s="196"/>
      <c r="AC155" s="196"/>
      <c r="AD155" s="196"/>
    </row>
    <row r="156" spans="1:30" ht="12.9">
      <c r="A156" s="196"/>
      <c r="B156" s="168"/>
      <c r="C156" s="196"/>
      <c r="D156" s="196"/>
      <c r="E156" s="196"/>
      <c r="F156" s="196"/>
      <c r="G156" s="24"/>
      <c r="H156" s="24"/>
      <c r="I156" s="196"/>
      <c r="J156" s="196"/>
      <c r="K156" s="196"/>
      <c r="L156" s="196"/>
      <c r="M156" s="196"/>
      <c r="N156" s="196"/>
      <c r="O156" s="196"/>
      <c r="P156" s="196"/>
      <c r="Q156" s="196"/>
      <c r="R156" s="196"/>
      <c r="S156" s="196"/>
      <c r="T156" s="196"/>
      <c r="U156" s="196"/>
      <c r="V156" s="196"/>
      <c r="W156" s="196"/>
      <c r="X156" s="196"/>
      <c r="Y156" s="196"/>
      <c r="Z156" s="196"/>
      <c r="AA156" s="196"/>
      <c r="AB156" s="196"/>
      <c r="AC156" s="196"/>
      <c r="AD156" s="196"/>
    </row>
    <row r="157" spans="1:30" ht="12.9">
      <c r="A157" s="196"/>
      <c r="B157" s="143"/>
      <c r="C157" s="196"/>
      <c r="D157" s="196"/>
      <c r="E157" s="196"/>
      <c r="F157" s="196"/>
      <c r="G157" s="24"/>
      <c r="H157" s="24"/>
      <c r="I157" s="196"/>
      <c r="J157" s="196"/>
      <c r="K157" s="196"/>
      <c r="L157" s="196"/>
      <c r="M157" s="196"/>
      <c r="N157" s="196"/>
      <c r="O157" s="196"/>
      <c r="P157" s="196"/>
      <c r="Q157" s="196"/>
      <c r="R157" s="196"/>
      <c r="S157" s="196"/>
      <c r="T157" s="196"/>
      <c r="U157" s="196"/>
      <c r="V157" s="196"/>
      <c r="W157" s="196"/>
      <c r="X157" s="196"/>
      <c r="Y157" s="196"/>
      <c r="Z157" s="196"/>
      <c r="AA157" s="196"/>
      <c r="AB157" s="196"/>
      <c r="AC157" s="196"/>
      <c r="AD157" s="196"/>
    </row>
    <row r="158" spans="1:30" ht="12.9">
      <c r="A158" s="196"/>
      <c r="B158" s="143"/>
      <c r="C158" s="196"/>
      <c r="D158" s="196"/>
      <c r="E158" s="196"/>
      <c r="F158" s="196"/>
      <c r="G158" s="24"/>
      <c r="H158" s="24"/>
      <c r="I158" s="196"/>
      <c r="J158" s="196"/>
      <c r="K158" s="196"/>
      <c r="L158" s="196"/>
      <c r="M158" s="196"/>
      <c r="N158" s="196"/>
      <c r="O158" s="196"/>
      <c r="P158" s="196"/>
      <c r="Q158" s="196"/>
      <c r="R158" s="196"/>
      <c r="S158" s="196"/>
      <c r="T158" s="196"/>
      <c r="U158" s="196"/>
      <c r="V158" s="196"/>
      <c r="W158" s="196"/>
      <c r="X158" s="196"/>
      <c r="Y158" s="196"/>
      <c r="Z158" s="196"/>
      <c r="AA158" s="196"/>
      <c r="AB158" s="196"/>
      <c r="AC158" s="196"/>
      <c r="AD158" s="196"/>
    </row>
    <row r="159" spans="1:30" ht="12.9">
      <c r="A159" s="196"/>
      <c r="B159" s="143"/>
      <c r="C159" s="196"/>
      <c r="D159" s="196"/>
      <c r="E159" s="196"/>
      <c r="F159" s="196"/>
      <c r="G159" s="24"/>
      <c r="H159" s="24"/>
      <c r="I159" s="196"/>
      <c r="J159" s="196"/>
      <c r="K159" s="196"/>
      <c r="L159" s="196"/>
      <c r="M159" s="196"/>
      <c r="N159" s="196"/>
      <c r="O159" s="196"/>
      <c r="P159" s="196"/>
      <c r="Q159" s="196"/>
      <c r="R159" s="196"/>
      <c r="S159" s="196"/>
      <c r="T159" s="196"/>
      <c r="U159" s="196"/>
      <c r="V159" s="196"/>
      <c r="W159" s="196"/>
      <c r="X159" s="196"/>
      <c r="Y159" s="196"/>
      <c r="Z159" s="196"/>
      <c r="AA159" s="196"/>
      <c r="AB159" s="196"/>
      <c r="AC159" s="196"/>
      <c r="AD159" s="196"/>
    </row>
    <row r="160" spans="1:30" ht="12.9">
      <c r="A160" s="196"/>
      <c r="B160" s="143"/>
      <c r="C160" s="196"/>
      <c r="D160" s="196"/>
      <c r="E160" s="196"/>
      <c r="F160" s="196"/>
      <c r="G160" s="24"/>
      <c r="H160" s="24"/>
      <c r="I160" s="196"/>
      <c r="J160" s="196"/>
      <c r="K160" s="196"/>
      <c r="L160" s="196"/>
      <c r="M160" s="196"/>
      <c r="N160" s="196"/>
      <c r="O160" s="196"/>
      <c r="P160" s="196"/>
      <c r="Q160" s="196"/>
      <c r="R160" s="196"/>
      <c r="S160" s="196"/>
      <c r="T160" s="196"/>
      <c r="U160" s="196"/>
      <c r="V160" s="196"/>
      <c r="W160" s="196"/>
      <c r="X160" s="196"/>
      <c r="Y160" s="196"/>
      <c r="Z160" s="196"/>
      <c r="AA160" s="196"/>
      <c r="AB160" s="196"/>
      <c r="AC160" s="196"/>
      <c r="AD160" s="196"/>
    </row>
    <row r="161" spans="1:30" ht="12.9">
      <c r="A161" s="196"/>
      <c r="B161" s="143"/>
      <c r="C161" s="196"/>
      <c r="D161" s="196"/>
      <c r="E161" s="196"/>
      <c r="F161" s="196"/>
      <c r="G161" s="24"/>
      <c r="H161" s="24"/>
      <c r="I161" s="196"/>
      <c r="J161" s="196"/>
      <c r="K161" s="196"/>
      <c r="L161" s="196"/>
      <c r="M161" s="196"/>
      <c r="N161" s="196"/>
      <c r="O161" s="196"/>
      <c r="P161" s="196"/>
      <c r="Q161" s="196"/>
      <c r="R161" s="196"/>
      <c r="S161" s="196"/>
      <c r="T161" s="196"/>
      <c r="U161" s="196"/>
      <c r="V161" s="196"/>
      <c r="W161" s="196"/>
      <c r="X161" s="196"/>
      <c r="Y161" s="196"/>
      <c r="Z161" s="196"/>
      <c r="AA161" s="196"/>
      <c r="AB161" s="196"/>
      <c r="AC161" s="196"/>
      <c r="AD161" s="196"/>
    </row>
    <row r="162" spans="1:30" ht="12.9">
      <c r="A162" s="196"/>
      <c r="B162" s="143"/>
      <c r="C162" s="196"/>
      <c r="D162" s="196"/>
      <c r="E162" s="196"/>
      <c r="F162" s="196"/>
      <c r="G162" s="24"/>
      <c r="H162" s="24"/>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row>
    <row r="163" spans="1:30" ht="12.9">
      <c r="A163" s="196"/>
      <c r="B163" s="143"/>
      <c r="C163" s="196"/>
      <c r="D163" s="196"/>
      <c r="E163" s="196"/>
      <c r="F163" s="196"/>
      <c r="G163" s="24"/>
      <c r="H163" s="24"/>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row>
    <row r="164" spans="1:30" ht="12.9">
      <c r="A164" s="196"/>
      <c r="B164" s="143"/>
      <c r="C164" s="196"/>
      <c r="D164" s="196"/>
      <c r="E164" s="196"/>
      <c r="F164" s="196"/>
      <c r="G164" s="24"/>
      <c r="H164" s="24"/>
      <c r="I164" s="196"/>
      <c r="J164" s="196"/>
      <c r="K164" s="196"/>
      <c r="L164" s="196"/>
      <c r="M164" s="196"/>
      <c r="N164" s="196"/>
      <c r="O164" s="196"/>
      <c r="P164" s="196"/>
      <c r="Q164" s="196"/>
      <c r="R164" s="196"/>
      <c r="S164" s="196"/>
      <c r="T164" s="196"/>
      <c r="U164" s="196"/>
      <c r="V164" s="196"/>
      <c r="W164" s="196"/>
      <c r="X164" s="196"/>
      <c r="Y164" s="196"/>
      <c r="Z164" s="196"/>
      <c r="AA164" s="196"/>
      <c r="AB164" s="196"/>
      <c r="AC164" s="196"/>
      <c r="AD164" s="196"/>
    </row>
    <row r="165" spans="1:30" ht="12.9">
      <c r="A165" s="196"/>
      <c r="B165" s="143"/>
      <c r="C165" s="196"/>
      <c r="D165" s="196"/>
      <c r="E165" s="196"/>
      <c r="F165" s="196"/>
      <c r="G165" s="24"/>
      <c r="H165" s="24"/>
      <c r="I165" s="196"/>
      <c r="J165" s="196"/>
      <c r="K165" s="196"/>
      <c r="L165" s="196"/>
      <c r="M165" s="196"/>
      <c r="N165" s="196"/>
      <c r="O165" s="196"/>
      <c r="P165" s="196"/>
      <c r="Q165" s="196"/>
      <c r="R165" s="196"/>
      <c r="S165" s="196"/>
      <c r="T165" s="196"/>
      <c r="U165" s="196"/>
      <c r="V165" s="196"/>
      <c r="W165" s="196"/>
      <c r="X165" s="196"/>
      <c r="Y165" s="196"/>
      <c r="Z165" s="196"/>
      <c r="AA165" s="196"/>
      <c r="AB165" s="196"/>
      <c r="AC165" s="196"/>
      <c r="AD165" s="196"/>
    </row>
    <row r="166" spans="1:30" ht="12.9">
      <c r="A166" s="196"/>
      <c r="B166" s="143"/>
      <c r="C166" s="196"/>
      <c r="D166" s="196"/>
      <c r="E166" s="196"/>
      <c r="F166" s="196"/>
      <c r="G166" s="24"/>
      <c r="H166" s="24"/>
      <c r="I166" s="196"/>
      <c r="J166" s="196"/>
      <c r="K166" s="196"/>
      <c r="L166" s="196"/>
      <c r="M166" s="196"/>
      <c r="N166" s="196"/>
      <c r="O166" s="196"/>
      <c r="P166" s="196"/>
      <c r="Q166" s="196"/>
      <c r="R166" s="196"/>
      <c r="S166" s="196"/>
      <c r="T166" s="196"/>
      <c r="U166" s="196"/>
      <c r="V166" s="196"/>
      <c r="W166" s="196"/>
      <c r="X166" s="196"/>
      <c r="Y166" s="196"/>
      <c r="Z166" s="196"/>
      <c r="AA166" s="196"/>
      <c r="AB166" s="196"/>
      <c r="AC166" s="196"/>
      <c r="AD166" s="196"/>
    </row>
    <row r="167" spans="1:30" ht="12.9">
      <c r="A167" s="196"/>
      <c r="B167" s="143"/>
      <c r="C167" s="196"/>
      <c r="D167" s="196"/>
      <c r="E167" s="196"/>
      <c r="F167" s="196"/>
      <c r="G167" s="24"/>
      <c r="H167" s="24"/>
      <c r="I167" s="196"/>
      <c r="J167" s="196"/>
      <c r="K167" s="196"/>
      <c r="L167" s="196"/>
      <c r="M167" s="196"/>
      <c r="N167" s="196"/>
      <c r="O167" s="196"/>
      <c r="P167" s="196"/>
      <c r="Q167" s="196"/>
      <c r="R167" s="196"/>
      <c r="S167" s="196"/>
      <c r="T167" s="196"/>
      <c r="U167" s="196"/>
      <c r="V167" s="196"/>
      <c r="W167" s="196"/>
      <c r="X167" s="196"/>
      <c r="Y167" s="196"/>
      <c r="Z167" s="196"/>
      <c r="AA167" s="196"/>
      <c r="AB167" s="196"/>
      <c r="AC167" s="196"/>
      <c r="AD167" s="196"/>
    </row>
    <row r="168" spans="1:30" ht="12.9">
      <c r="A168" s="196"/>
      <c r="B168" s="143"/>
      <c r="C168" s="196"/>
      <c r="D168" s="196"/>
      <c r="E168" s="196"/>
      <c r="F168" s="196"/>
      <c r="G168" s="24"/>
      <c r="H168" s="24"/>
      <c r="I168" s="196"/>
      <c r="J168" s="196"/>
      <c r="K168" s="196"/>
      <c r="L168" s="196"/>
      <c r="M168" s="196"/>
      <c r="N168" s="196"/>
      <c r="O168" s="196"/>
      <c r="P168" s="196"/>
      <c r="Q168" s="196"/>
      <c r="R168" s="196"/>
      <c r="S168" s="196"/>
      <c r="T168" s="196"/>
      <c r="U168" s="196"/>
      <c r="V168" s="196"/>
      <c r="W168" s="196"/>
      <c r="X168" s="196"/>
      <c r="Y168" s="196"/>
      <c r="Z168" s="196"/>
      <c r="AA168" s="196"/>
      <c r="AB168" s="196"/>
      <c r="AC168" s="196"/>
      <c r="AD168" s="196"/>
    </row>
    <row r="169" spans="1:30" ht="12.9">
      <c r="A169" s="196"/>
      <c r="B169" s="143"/>
      <c r="C169" s="196"/>
      <c r="D169" s="196"/>
      <c r="E169" s="196"/>
      <c r="F169" s="196"/>
      <c r="G169" s="24"/>
      <c r="H169" s="24"/>
      <c r="I169" s="196"/>
      <c r="J169" s="196"/>
      <c r="K169" s="196"/>
      <c r="L169" s="196"/>
      <c r="M169" s="196"/>
      <c r="N169" s="196"/>
      <c r="O169" s="196"/>
      <c r="P169" s="196"/>
      <c r="Q169" s="196"/>
      <c r="R169" s="196"/>
      <c r="S169" s="196"/>
      <c r="T169" s="196"/>
      <c r="U169" s="196"/>
      <c r="V169" s="196"/>
      <c r="W169" s="196"/>
      <c r="X169" s="196"/>
      <c r="Y169" s="196"/>
      <c r="Z169" s="196"/>
      <c r="AA169" s="196"/>
      <c r="AB169" s="196"/>
      <c r="AC169" s="196"/>
      <c r="AD169" s="196"/>
    </row>
    <row r="170" spans="1:30" ht="12.9">
      <c r="A170" s="196"/>
      <c r="B170" s="143"/>
      <c r="C170" s="196"/>
      <c r="D170" s="196"/>
      <c r="E170" s="196"/>
      <c r="F170" s="196"/>
      <c r="G170" s="24"/>
      <c r="H170" s="24"/>
      <c r="I170" s="196"/>
      <c r="J170" s="196"/>
      <c r="K170" s="196"/>
      <c r="L170" s="196"/>
      <c r="M170" s="196"/>
      <c r="N170" s="196"/>
      <c r="O170" s="196"/>
      <c r="P170" s="196"/>
      <c r="Q170" s="196"/>
      <c r="R170" s="196"/>
      <c r="S170" s="196"/>
      <c r="T170" s="196"/>
      <c r="U170" s="196"/>
      <c r="V170" s="196"/>
      <c r="W170" s="196"/>
      <c r="X170" s="196"/>
      <c r="Y170" s="196"/>
      <c r="Z170" s="196"/>
      <c r="AA170" s="196"/>
      <c r="AB170" s="196"/>
      <c r="AC170" s="196"/>
      <c r="AD170" s="196"/>
    </row>
    <row r="171" spans="1:30" ht="12.9">
      <c r="A171" s="196"/>
      <c r="B171" s="143"/>
      <c r="C171" s="196"/>
      <c r="D171" s="196"/>
      <c r="E171" s="196"/>
      <c r="F171" s="196"/>
      <c r="G171" s="24"/>
      <c r="H171" s="24"/>
      <c r="I171" s="196"/>
      <c r="J171" s="196"/>
      <c r="K171" s="196"/>
      <c r="L171" s="196"/>
      <c r="M171" s="196"/>
      <c r="N171" s="196"/>
      <c r="O171" s="196"/>
      <c r="P171" s="196"/>
      <c r="Q171" s="196"/>
      <c r="R171" s="196"/>
      <c r="S171" s="196"/>
      <c r="T171" s="196"/>
      <c r="U171" s="196"/>
      <c r="V171" s="196"/>
      <c r="W171" s="196"/>
      <c r="X171" s="196"/>
      <c r="Y171" s="196"/>
      <c r="Z171" s="196"/>
      <c r="AA171" s="196"/>
      <c r="AB171" s="196"/>
      <c r="AC171" s="196"/>
      <c r="AD171" s="196"/>
    </row>
    <row r="172" spans="1:30" ht="12.9">
      <c r="A172" s="196"/>
      <c r="B172" s="143"/>
      <c r="C172" s="196"/>
      <c r="D172" s="196"/>
      <c r="E172" s="196"/>
      <c r="F172" s="196"/>
      <c r="G172" s="24"/>
      <c r="H172" s="24"/>
      <c r="I172" s="196"/>
      <c r="J172" s="196"/>
      <c r="K172" s="196"/>
      <c r="L172" s="196"/>
      <c r="M172" s="196"/>
      <c r="N172" s="196"/>
      <c r="O172" s="196"/>
      <c r="P172" s="196"/>
      <c r="Q172" s="196"/>
      <c r="R172" s="196"/>
      <c r="S172" s="196"/>
      <c r="T172" s="196"/>
      <c r="U172" s="196"/>
      <c r="V172" s="196"/>
      <c r="W172" s="196"/>
      <c r="X172" s="196"/>
      <c r="Y172" s="196"/>
      <c r="Z172" s="196"/>
      <c r="AA172" s="196"/>
      <c r="AB172" s="196"/>
      <c r="AC172" s="196"/>
      <c r="AD172" s="196"/>
    </row>
    <row r="173" spans="1:30" ht="12.9">
      <c r="A173" s="196"/>
      <c r="B173" s="143"/>
      <c r="C173" s="196"/>
      <c r="D173" s="196"/>
      <c r="E173" s="196"/>
      <c r="F173" s="196"/>
      <c r="G173" s="24"/>
      <c r="H173" s="24"/>
      <c r="I173" s="196"/>
      <c r="J173" s="196"/>
      <c r="K173" s="196"/>
      <c r="L173" s="196"/>
      <c r="M173" s="196"/>
      <c r="N173" s="196"/>
      <c r="O173" s="196"/>
      <c r="P173" s="196"/>
      <c r="Q173" s="196"/>
      <c r="R173" s="196"/>
      <c r="S173" s="196"/>
      <c r="T173" s="196"/>
      <c r="U173" s="196"/>
      <c r="V173" s="196"/>
      <c r="W173" s="196"/>
      <c r="X173" s="196"/>
      <c r="Y173" s="196"/>
      <c r="Z173" s="196"/>
      <c r="AA173" s="196"/>
      <c r="AB173" s="196"/>
      <c r="AC173" s="196"/>
      <c r="AD173" s="196"/>
    </row>
    <row r="174" spans="1:30" ht="12.9">
      <c r="A174" s="196"/>
      <c r="B174" s="143"/>
      <c r="C174" s="196"/>
      <c r="D174" s="196"/>
      <c r="E174" s="196"/>
      <c r="F174" s="196"/>
      <c r="G174" s="24"/>
      <c r="H174" s="24"/>
      <c r="I174" s="196"/>
      <c r="J174" s="196"/>
      <c r="K174" s="196"/>
      <c r="L174" s="196"/>
      <c r="M174" s="196"/>
      <c r="N174" s="196"/>
      <c r="O174" s="196"/>
      <c r="P174" s="196"/>
      <c r="Q174" s="196"/>
      <c r="R174" s="196"/>
      <c r="S174" s="196"/>
      <c r="T174" s="196"/>
      <c r="U174" s="196"/>
      <c r="V174" s="196"/>
      <c r="W174" s="196"/>
      <c r="X174" s="196"/>
      <c r="Y174" s="196"/>
      <c r="Z174" s="196"/>
      <c r="AA174" s="196"/>
      <c r="AB174" s="196"/>
      <c r="AC174" s="196"/>
      <c r="AD174" s="196"/>
    </row>
    <row r="175" spans="1:30" ht="12.9">
      <c r="A175" s="196"/>
      <c r="B175" s="143"/>
      <c r="C175" s="196"/>
      <c r="D175" s="196"/>
      <c r="E175" s="196"/>
      <c r="F175" s="196"/>
      <c r="G175" s="24"/>
      <c r="H175" s="24"/>
      <c r="I175" s="196"/>
      <c r="J175" s="196"/>
      <c r="K175" s="196"/>
      <c r="L175" s="196"/>
      <c r="M175" s="196"/>
      <c r="N175" s="196"/>
      <c r="O175" s="196"/>
      <c r="P175" s="196"/>
      <c r="Q175" s="196"/>
      <c r="R175" s="196"/>
      <c r="S175" s="196"/>
      <c r="T175" s="196"/>
      <c r="U175" s="196"/>
      <c r="V175" s="196"/>
      <c r="W175" s="196"/>
      <c r="X175" s="196"/>
      <c r="Y175" s="196"/>
      <c r="Z175" s="196"/>
      <c r="AA175" s="196"/>
      <c r="AB175" s="196"/>
      <c r="AC175" s="196"/>
      <c r="AD175" s="196"/>
    </row>
    <row r="176" spans="1:30" ht="12.9">
      <c r="A176" s="196"/>
      <c r="B176" s="143"/>
      <c r="C176" s="196"/>
      <c r="D176" s="196"/>
      <c r="E176" s="196"/>
      <c r="F176" s="196"/>
      <c r="G176" s="24"/>
      <c r="H176" s="24"/>
      <c r="I176" s="196"/>
      <c r="J176" s="196"/>
      <c r="K176" s="196"/>
      <c r="L176" s="196"/>
      <c r="M176" s="196"/>
      <c r="N176" s="196"/>
      <c r="O176" s="196"/>
      <c r="P176" s="196"/>
      <c r="Q176" s="196"/>
      <c r="R176" s="196"/>
      <c r="S176" s="196"/>
      <c r="T176" s="196"/>
      <c r="U176" s="196"/>
      <c r="V176" s="196"/>
      <c r="W176" s="196"/>
      <c r="X176" s="196"/>
      <c r="Y176" s="196"/>
      <c r="Z176" s="196"/>
      <c r="AA176" s="196"/>
      <c r="AB176" s="196"/>
      <c r="AC176" s="196"/>
      <c r="AD176" s="196"/>
    </row>
    <row r="177" spans="1:30" ht="12.9">
      <c r="A177" s="196"/>
      <c r="B177" s="143"/>
      <c r="C177" s="196"/>
      <c r="D177" s="196"/>
      <c r="E177" s="196"/>
      <c r="F177" s="196"/>
      <c r="G177" s="24"/>
      <c r="H177" s="24"/>
      <c r="I177" s="196"/>
      <c r="J177" s="196"/>
      <c r="K177" s="196"/>
      <c r="L177" s="196"/>
      <c r="M177" s="196"/>
      <c r="N177" s="196"/>
      <c r="O177" s="196"/>
      <c r="P177" s="196"/>
      <c r="Q177" s="196"/>
      <c r="R177" s="196"/>
      <c r="S177" s="196"/>
      <c r="T177" s="196"/>
      <c r="U177" s="196"/>
      <c r="V177" s="196"/>
      <c r="W177" s="196"/>
      <c r="X177" s="196"/>
      <c r="Y177" s="196"/>
      <c r="Z177" s="196"/>
      <c r="AA177" s="196"/>
      <c r="AB177" s="196"/>
      <c r="AC177" s="196"/>
      <c r="AD177" s="196"/>
    </row>
    <row r="178" spans="1:30" ht="12.9">
      <c r="A178" s="196"/>
      <c r="B178" s="143"/>
      <c r="C178" s="196"/>
      <c r="D178" s="196"/>
      <c r="E178" s="196"/>
      <c r="F178" s="196"/>
      <c r="G178" s="24"/>
      <c r="H178" s="24"/>
      <c r="I178" s="196"/>
      <c r="J178" s="196"/>
      <c r="K178" s="196"/>
      <c r="L178" s="196"/>
      <c r="M178" s="196"/>
      <c r="N178" s="196"/>
      <c r="O178" s="196"/>
      <c r="P178" s="196"/>
      <c r="Q178" s="196"/>
      <c r="R178" s="196"/>
      <c r="S178" s="196"/>
      <c r="T178" s="196"/>
      <c r="U178" s="196"/>
      <c r="V178" s="196"/>
      <c r="W178" s="196"/>
      <c r="X178" s="196"/>
      <c r="Y178" s="196"/>
      <c r="Z178" s="196"/>
      <c r="AA178" s="196"/>
      <c r="AB178" s="196"/>
      <c r="AC178" s="196"/>
      <c r="AD178" s="196"/>
    </row>
    <row r="179" spans="1:30" ht="12.9">
      <c r="A179" s="196"/>
      <c r="B179" s="143"/>
      <c r="C179" s="196"/>
      <c r="D179" s="196"/>
      <c r="E179" s="196"/>
      <c r="F179" s="196"/>
      <c r="G179" s="24"/>
      <c r="H179" s="24"/>
      <c r="I179" s="196"/>
      <c r="J179" s="196"/>
      <c r="K179" s="196"/>
      <c r="L179" s="196"/>
      <c r="M179" s="196"/>
      <c r="N179" s="196"/>
      <c r="O179" s="196"/>
      <c r="P179" s="196"/>
      <c r="Q179" s="196"/>
      <c r="R179" s="196"/>
      <c r="S179" s="196"/>
      <c r="T179" s="196"/>
      <c r="U179" s="196"/>
      <c r="V179" s="196"/>
      <c r="W179" s="196"/>
      <c r="X179" s="196"/>
      <c r="Y179" s="196"/>
      <c r="Z179" s="196"/>
      <c r="AA179" s="196"/>
      <c r="AB179" s="196"/>
      <c r="AC179" s="196"/>
      <c r="AD179" s="196"/>
    </row>
    <row r="180" spans="1:30" ht="12.9">
      <c r="A180" s="196"/>
      <c r="B180" s="143"/>
      <c r="C180" s="196"/>
      <c r="D180" s="196"/>
      <c r="E180" s="196"/>
      <c r="F180" s="196"/>
      <c r="G180" s="24"/>
      <c r="H180" s="24"/>
      <c r="I180" s="196"/>
      <c r="J180" s="196"/>
      <c r="K180" s="196"/>
      <c r="L180" s="196"/>
      <c r="M180" s="196"/>
      <c r="N180" s="196"/>
      <c r="O180" s="196"/>
      <c r="P180" s="196"/>
      <c r="Q180" s="196"/>
      <c r="R180" s="196"/>
      <c r="S180" s="196"/>
      <c r="T180" s="196"/>
      <c r="U180" s="196"/>
      <c r="V180" s="196"/>
      <c r="W180" s="196"/>
      <c r="X180" s="196"/>
      <c r="Y180" s="196"/>
      <c r="Z180" s="196"/>
      <c r="AA180" s="196"/>
      <c r="AB180" s="196"/>
      <c r="AC180" s="196"/>
      <c r="AD180" s="196"/>
    </row>
    <row r="181" spans="1:30" ht="12.9">
      <c r="A181" s="196"/>
      <c r="B181" s="143"/>
      <c r="C181" s="196"/>
      <c r="D181" s="196"/>
      <c r="E181" s="196"/>
      <c r="F181" s="196"/>
      <c r="G181" s="24"/>
      <c r="H181" s="24"/>
      <c r="I181" s="196"/>
      <c r="J181" s="196"/>
      <c r="K181" s="196"/>
      <c r="L181" s="196"/>
      <c r="M181" s="196"/>
      <c r="N181" s="196"/>
      <c r="O181" s="196"/>
      <c r="P181" s="196"/>
      <c r="Q181" s="196"/>
      <c r="R181" s="196"/>
      <c r="S181" s="196"/>
      <c r="T181" s="196"/>
      <c r="U181" s="196"/>
      <c r="V181" s="196"/>
      <c r="W181" s="196"/>
      <c r="X181" s="196"/>
      <c r="Y181" s="196"/>
      <c r="Z181" s="196"/>
      <c r="AA181" s="196"/>
      <c r="AB181" s="196"/>
      <c r="AC181" s="196"/>
      <c r="AD181" s="196"/>
    </row>
    <row r="182" spans="1:30" ht="12.9">
      <c r="A182" s="196"/>
      <c r="B182" s="143"/>
      <c r="C182" s="196"/>
      <c r="D182" s="196"/>
      <c r="E182" s="196"/>
      <c r="F182" s="196"/>
      <c r="G182" s="24"/>
      <c r="H182" s="24"/>
      <c r="I182" s="196"/>
      <c r="J182" s="196"/>
      <c r="K182" s="196"/>
      <c r="L182" s="196"/>
      <c r="M182" s="196"/>
      <c r="N182" s="196"/>
      <c r="O182" s="196"/>
      <c r="P182" s="196"/>
      <c r="Q182" s="196"/>
      <c r="R182" s="196"/>
      <c r="S182" s="196"/>
      <c r="T182" s="196"/>
      <c r="U182" s="196"/>
      <c r="V182" s="196"/>
      <c r="W182" s="196"/>
      <c r="X182" s="196"/>
      <c r="Y182" s="196"/>
      <c r="Z182" s="196"/>
      <c r="AA182" s="196"/>
      <c r="AB182" s="196"/>
      <c r="AC182" s="196"/>
      <c r="AD182" s="196"/>
    </row>
    <row r="183" spans="1:30" ht="12.9">
      <c r="A183" s="196"/>
      <c r="B183" s="143"/>
      <c r="C183" s="196"/>
      <c r="D183" s="196"/>
      <c r="E183" s="196"/>
      <c r="F183" s="196"/>
      <c r="G183" s="24"/>
      <c r="H183" s="24"/>
      <c r="I183" s="196"/>
      <c r="J183" s="196"/>
      <c r="K183" s="196"/>
      <c r="L183" s="196"/>
      <c r="M183" s="196"/>
      <c r="N183" s="196"/>
      <c r="O183" s="196"/>
      <c r="P183" s="196"/>
      <c r="Q183" s="196"/>
      <c r="R183" s="196"/>
      <c r="S183" s="196"/>
      <c r="T183" s="196"/>
      <c r="U183" s="196"/>
      <c r="V183" s="196"/>
      <c r="W183" s="196"/>
      <c r="X183" s="196"/>
      <c r="Y183" s="196"/>
      <c r="Z183" s="196"/>
      <c r="AA183" s="196"/>
      <c r="AB183" s="196"/>
      <c r="AC183" s="196"/>
      <c r="AD183" s="196"/>
    </row>
    <row r="184" spans="1:30" ht="12.9">
      <c r="A184" s="196"/>
      <c r="B184" s="143"/>
      <c r="C184" s="196"/>
      <c r="D184" s="196"/>
      <c r="E184" s="196"/>
      <c r="F184" s="196"/>
      <c r="G184" s="24"/>
      <c r="H184" s="24"/>
      <c r="I184" s="196"/>
      <c r="J184" s="196"/>
      <c r="K184" s="196"/>
      <c r="L184" s="196"/>
      <c r="M184" s="196"/>
      <c r="N184" s="196"/>
      <c r="O184" s="196"/>
      <c r="P184" s="196"/>
      <c r="Q184" s="196"/>
      <c r="R184" s="196"/>
      <c r="S184" s="196"/>
      <c r="T184" s="196"/>
      <c r="U184" s="196"/>
      <c r="V184" s="196"/>
      <c r="W184" s="196"/>
      <c r="X184" s="196"/>
      <c r="Y184" s="196"/>
      <c r="Z184" s="196"/>
      <c r="AA184" s="196"/>
      <c r="AB184" s="196"/>
      <c r="AC184" s="196"/>
      <c r="AD184" s="196"/>
    </row>
    <row r="185" spans="1:30" ht="12.9">
      <c r="A185" s="196"/>
      <c r="B185" s="143"/>
      <c r="C185" s="196"/>
      <c r="D185" s="196"/>
      <c r="E185" s="196"/>
      <c r="F185" s="196"/>
      <c r="G185" s="24"/>
      <c r="H185" s="24"/>
      <c r="I185" s="196"/>
      <c r="J185" s="196"/>
      <c r="K185" s="196"/>
      <c r="L185" s="196"/>
      <c r="M185" s="196"/>
      <c r="N185" s="196"/>
      <c r="O185" s="196"/>
      <c r="P185" s="196"/>
      <c r="Q185" s="196"/>
      <c r="R185" s="196"/>
      <c r="S185" s="196"/>
      <c r="T185" s="196"/>
      <c r="U185" s="196"/>
      <c r="V185" s="196"/>
      <c r="W185" s="196"/>
      <c r="X185" s="196"/>
      <c r="Y185" s="196"/>
      <c r="Z185" s="196"/>
      <c r="AA185" s="196"/>
      <c r="AB185" s="196"/>
      <c r="AC185" s="196"/>
      <c r="AD185" s="196"/>
    </row>
    <row r="186" spans="1:30" ht="12.9">
      <c r="A186" s="196"/>
      <c r="B186" s="143"/>
      <c r="C186" s="196"/>
      <c r="D186" s="196"/>
      <c r="E186" s="196"/>
      <c r="F186" s="196"/>
      <c r="G186" s="24"/>
      <c r="H186" s="24"/>
      <c r="I186" s="196"/>
      <c r="J186" s="196"/>
      <c r="K186" s="196"/>
      <c r="L186" s="196"/>
      <c r="M186" s="196"/>
      <c r="N186" s="196"/>
      <c r="O186" s="196"/>
      <c r="P186" s="196"/>
      <c r="Q186" s="196"/>
      <c r="R186" s="196"/>
      <c r="S186" s="196"/>
      <c r="T186" s="196"/>
      <c r="U186" s="196"/>
      <c r="V186" s="196"/>
      <c r="W186" s="196"/>
      <c r="X186" s="196"/>
      <c r="Y186" s="196"/>
      <c r="Z186" s="196"/>
      <c r="AA186" s="196"/>
      <c r="AB186" s="196"/>
      <c r="AC186" s="196"/>
      <c r="AD186" s="196"/>
    </row>
    <row r="187" spans="1:30" ht="12.9">
      <c r="A187" s="196"/>
      <c r="B187" s="143"/>
      <c r="C187" s="196"/>
      <c r="D187" s="196"/>
      <c r="E187" s="196"/>
      <c r="F187" s="196"/>
      <c r="G187" s="24"/>
      <c r="H187" s="24"/>
      <c r="I187" s="196"/>
      <c r="J187" s="196"/>
      <c r="K187" s="196"/>
      <c r="L187" s="196"/>
      <c r="M187" s="196"/>
      <c r="N187" s="196"/>
      <c r="O187" s="196"/>
      <c r="P187" s="196"/>
      <c r="Q187" s="196"/>
      <c r="R187" s="196"/>
      <c r="S187" s="196"/>
      <c r="T187" s="196"/>
      <c r="U187" s="196"/>
      <c r="V187" s="196"/>
      <c r="W187" s="196"/>
      <c r="X187" s="196"/>
      <c r="Y187" s="196"/>
      <c r="Z187" s="196"/>
      <c r="AA187" s="196"/>
      <c r="AB187" s="196"/>
      <c r="AC187" s="196"/>
      <c r="AD187" s="196"/>
    </row>
    <row r="188" spans="1:30" ht="12.9">
      <c r="A188" s="196"/>
      <c r="B188" s="143"/>
      <c r="C188" s="196"/>
      <c r="D188" s="196"/>
      <c r="E188" s="196"/>
      <c r="F188" s="196"/>
      <c r="G188" s="24"/>
      <c r="H188" s="24"/>
      <c r="I188" s="196"/>
      <c r="J188" s="196"/>
      <c r="K188" s="196"/>
      <c r="L188" s="196"/>
      <c r="M188" s="196"/>
      <c r="N188" s="196"/>
      <c r="O188" s="196"/>
      <c r="P188" s="196"/>
      <c r="Q188" s="196"/>
      <c r="R188" s="196"/>
      <c r="S188" s="196"/>
      <c r="T188" s="196"/>
      <c r="U188" s="196"/>
      <c r="V188" s="196"/>
      <c r="W188" s="196"/>
      <c r="X188" s="196"/>
      <c r="Y188" s="196"/>
      <c r="Z188" s="196"/>
      <c r="AA188" s="196"/>
      <c r="AB188" s="196"/>
      <c r="AC188" s="196"/>
      <c r="AD188" s="196"/>
    </row>
    <row r="189" spans="1:30" ht="12.9">
      <c r="A189" s="196"/>
      <c r="B189" s="143"/>
      <c r="C189" s="196"/>
      <c r="D189" s="196"/>
      <c r="E189" s="196"/>
      <c r="F189" s="196"/>
      <c r="G189" s="24"/>
      <c r="H189" s="24"/>
      <c r="I189" s="196"/>
      <c r="J189" s="196"/>
      <c r="K189" s="196"/>
      <c r="L189" s="196"/>
      <c r="M189" s="196"/>
      <c r="N189" s="196"/>
      <c r="O189" s="196"/>
      <c r="P189" s="196"/>
      <c r="Q189" s="196"/>
      <c r="R189" s="196"/>
      <c r="S189" s="196"/>
      <c r="T189" s="196"/>
      <c r="U189" s="196"/>
      <c r="V189" s="196"/>
      <c r="W189" s="196"/>
      <c r="X189" s="196"/>
      <c r="Y189" s="196"/>
      <c r="Z189" s="196"/>
      <c r="AA189" s="196"/>
      <c r="AB189" s="196"/>
      <c r="AC189" s="196"/>
      <c r="AD189" s="196"/>
    </row>
    <row r="190" spans="1:30" ht="12.9">
      <c r="A190" s="196"/>
      <c r="B190" s="143"/>
      <c r="C190" s="196"/>
      <c r="D190" s="196"/>
      <c r="E190" s="196"/>
      <c r="F190" s="196"/>
      <c r="G190" s="24"/>
      <c r="H190" s="24"/>
      <c r="I190" s="196"/>
      <c r="J190" s="196"/>
      <c r="K190" s="196"/>
      <c r="L190" s="196"/>
      <c r="M190" s="196"/>
      <c r="N190" s="196"/>
      <c r="O190" s="196"/>
      <c r="P190" s="196"/>
      <c r="Q190" s="196"/>
      <c r="R190" s="196"/>
      <c r="S190" s="196"/>
      <c r="T190" s="196"/>
      <c r="U190" s="196"/>
      <c r="V190" s="196"/>
      <c r="W190" s="196"/>
      <c r="X190" s="196"/>
      <c r="Y190" s="196"/>
      <c r="Z190" s="196"/>
      <c r="AA190" s="196"/>
      <c r="AB190" s="196"/>
      <c r="AC190" s="196"/>
      <c r="AD190" s="196"/>
    </row>
    <row r="191" spans="1:30" ht="12.9">
      <c r="A191" s="196"/>
      <c r="B191" s="143"/>
      <c r="C191" s="196"/>
      <c r="D191" s="196"/>
      <c r="E191" s="196"/>
      <c r="F191" s="196"/>
      <c r="G191" s="24"/>
      <c r="H191" s="24"/>
      <c r="I191" s="196"/>
      <c r="J191" s="196"/>
      <c r="K191" s="196"/>
      <c r="L191" s="196"/>
      <c r="M191" s="196"/>
      <c r="N191" s="196"/>
      <c r="O191" s="196"/>
      <c r="P191" s="196"/>
      <c r="Q191" s="196"/>
      <c r="R191" s="196"/>
      <c r="S191" s="196"/>
      <c r="T191" s="196"/>
      <c r="U191" s="196"/>
      <c r="V191" s="196"/>
      <c r="W191" s="196"/>
      <c r="X191" s="196"/>
      <c r="Y191" s="196"/>
      <c r="Z191" s="196"/>
      <c r="AA191" s="196"/>
      <c r="AB191" s="196"/>
      <c r="AC191" s="196"/>
      <c r="AD191" s="196"/>
    </row>
    <row r="192" spans="1:30" ht="12.9">
      <c r="A192" s="196"/>
      <c r="B192" s="143"/>
      <c r="C192" s="196"/>
      <c r="D192" s="196"/>
      <c r="E192" s="196"/>
      <c r="F192" s="196"/>
      <c r="G192" s="24"/>
      <c r="H192" s="24"/>
      <c r="I192" s="196"/>
      <c r="J192" s="196"/>
      <c r="K192" s="196"/>
      <c r="L192" s="196"/>
      <c r="M192" s="196"/>
      <c r="N192" s="196"/>
      <c r="O192" s="196"/>
      <c r="P192" s="196"/>
      <c r="Q192" s="196"/>
      <c r="R192" s="196"/>
      <c r="S192" s="196"/>
      <c r="T192" s="196"/>
      <c r="U192" s="196"/>
      <c r="V192" s="196"/>
      <c r="W192" s="196"/>
      <c r="X192" s="196"/>
      <c r="Y192" s="196"/>
      <c r="Z192" s="196"/>
      <c r="AA192" s="196"/>
      <c r="AB192" s="196"/>
      <c r="AC192" s="196"/>
      <c r="AD192" s="196"/>
    </row>
    <row r="193" spans="1:30" ht="12.9">
      <c r="A193" s="196"/>
      <c r="B193" s="143"/>
      <c r="C193" s="196"/>
      <c r="D193" s="196"/>
      <c r="E193" s="196"/>
      <c r="F193" s="196"/>
      <c r="G193" s="24"/>
      <c r="H193" s="24"/>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row>
    <row r="194" spans="1:30" ht="12.9">
      <c r="A194" s="196"/>
      <c r="B194" s="143"/>
      <c r="C194" s="196"/>
      <c r="D194" s="196"/>
      <c r="E194" s="196"/>
      <c r="F194" s="196"/>
      <c r="G194" s="24"/>
      <c r="H194" s="24"/>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row>
    <row r="195" spans="1:30" ht="12.9">
      <c r="A195" s="196"/>
      <c r="B195" s="143"/>
      <c r="C195" s="196"/>
      <c r="D195" s="196"/>
      <c r="E195" s="196"/>
      <c r="F195" s="196"/>
      <c r="G195" s="24"/>
      <c r="H195" s="24"/>
      <c r="I195" s="196"/>
      <c r="J195" s="196"/>
      <c r="K195" s="196"/>
      <c r="L195" s="196"/>
      <c r="M195" s="196"/>
      <c r="N195" s="196"/>
      <c r="O195" s="196"/>
      <c r="P195" s="196"/>
      <c r="Q195" s="196"/>
      <c r="R195" s="196"/>
      <c r="S195" s="196"/>
      <c r="T195" s="196"/>
      <c r="U195" s="196"/>
      <c r="V195" s="196"/>
      <c r="W195" s="196"/>
      <c r="X195" s="196"/>
      <c r="Y195" s="196"/>
      <c r="Z195" s="196"/>
      <c r="AA195" s="196"/>
      <c r="AB195" s="196"/>
      <c r="AC195" s="196"/>
      <c r="AD195" s="196"/>
    </row>
    <row r="196" spans="1:30" ht="12.9">
      <c r="A196" s="196"/>
      <c r="B196" s="143"/>
      <c r="C196" s="196"/>
      <c r="D196" s="196"/>
      <c r="E196" s="196"/>
      <c r="F196" s="196"/>
      <c r="G196" s="24"/>
      <c r="H196" s="24"/>
      <c r="I196" s="196"/>
      <c r="J196" s="196"/>
      <c r="K196" s="196"/>
      <c r="L196" s="196"/>
      <c r="M196" s="196"/>
      <c r="N196" s="196"/>
      <c r="O196" s="196"/>
      <c r="P196" s="196"/>
      <c r="Q196" s="196"/>
      <c r="R196" s="196"/>
      <c r="S196" s="196"/>
      <c r="T196" s="196"/>
      <c r="U196" s="196"/>
      <c r="V196" s="196"/>
      <c r="W196" s="196"/>
      <c r="X196" s="196"/>
      <c r="Y196" s="196"/>
      <c r="Z196" s="196"/>
      <c r="AA196" s="196"/>
      <c r="AB196" s="196"/>
      <c r="AC196" s="196"/>
      <c r="AD196" s="196"/>
    </row>
    <row r="197" spans="1:30" ht="12.9">
      <c r="A197" s="196"/>
      <c r="B197" s="143"/>
      <c r="C197" s="196"/>
      <c r="D197" s="196"/>
      <c r="E197" s="196"/>
      <c r="F197" s="196"/>
      <c r="G197" s="24"/>
      <c r="H197" s="24"/>
      <c r="I197" s="196"/>
      <c r="J197" s="196"/>
      <c r="K197" s="196"/>
      <c r="L197" s="196"/>
      <c r="M197" s="196"/>
      <c r="N197" s="196"/>
      <c r="O197" s="196"/>
      <c r="P197" s="196"/>
      <c r="Q197" s="196"/>
      <c r="R197" s="196"/>
      <c r="S197" s="196"/>
      <c r="T197" s="196"/>
      <c r="U197" s="196"/>
      <c r="V197" s="196"/>
      <c r="W197" s="196"/>
      <c r="X197" s="196"/>
      <c r="Y197" s="196"/>
      <c r="Z197" s="196"/>
      <c r="AA197" s="196"/>
      <c r="AB197" s="196"/>
      <c r="AC197" s="196"/>
      <c r="AD197" s="196"/>
    </row>
    <row r="198" spans="1:30" ht="12.9">
      <c r="A198" s="196"/>
      <c r="B198" s="143"/>
      <c r="C198" s="196"/>
      <c r="D198" s="196"/>
      <c r="E198" s="196"/>
      <c r="F198" s="196"/>
      <c r="G198" s="24"/>
      <c r="H198" s="24"/>
      <c r="I198" s="196"/>
      <c r="J198" s="196"/>
      <c r="K198" s="196"/>
      <c r="L198" s="196"/>
      <c r="M198" s="196"/>
      <c r="N198" s="196"/>
      <c r="O198" s="196"/>
      <c r="P198" s="196"/>
      <c r="Q198" s="196"/>
      <c r="R198" s="196"/>
      <c r="S198" s="196"/>
      <c r="T198" s="196"/>
      <c r="U198" s="196"/>
      <c r="V198" s="196"/>
      <c r="W198" s="196"/>
      <c r="X198" s="196"/>
      <c r="Y198" s="196"/>
      <c r="Z198" s="196"/>
      <c r="AA198" s="196"/>
      <c r="AB198" s="196"/>
      <c r="AC198" s="196"/>
      <c r="AD198" s="196"/>
    </row>
    <row r="199" spans="1:30" ht="12.9">
      <c r="A199" s="196"/>
      <c r="B199" s="143"/>
      <c r="C199" s="196"/>
      <c r="D199" s="196"/>
      <c r="E199" s="196"/>
      <c r="F199" s="196"/>
      <c r="G199" s="24"/>
      <c r="H199" s="24"/>
      <c r="I199" s="196"/>
      <c r="J199" s="196"/>
      <c r="K199" s="196"/>
      <c r="L199" s="196"/>
      <c r="M199" s="196"/>
      <c r="N199" s="196"/>
      <c r="O199" s="196"/>
      <c r="P199" s="196"/>
      <c r="Q199" s="196"/>
      <c r="R199" s="196"/>
      <c r="S199" s="196"/>
      <c r="T199" s="196"/>
      <c r="U199" s="196"/>
      <c r="V199" s="196"/>
      <c r="W199" s="196"/>
      <c r="X199" s="196"/>
      <c r="Y199" s="196"/>
      <c r="Z199" s="196"/>
      <c r="AA199" s="196"/>
      <c r="AB199" s="196"/>
      <c r="AC199" s="196"/>
      <c r="AD199" s="196"/>
    </row>
    <row r="200" spans="1:30" ht="12.9">
      <c r="A200" s="196"/>
      <c r="B200" s="143"/>
      <c r="C200" s="196"/>
      <c r="D200" s="196"/>
      <c r="E200" s="196"/>
      <c r="F200" s="196"/>
      <c r="G200" s="24"/>
      <c r="H200" s="24"/>
      <c r="I200" s="196"/>
      <c r="J200" s="196"/>
      <c r="K200" s="196"/>
      <c r="L200" s="196"/>
      <c r="M200" s="196"/>
      <c r="N200" s="196"/>
      <c r="O200" s="196"/>
      <c r="P200" s="196"/>
      <c r="Q200" s="196"/>
      <c r="R200" s="196"/>
      <c r="S200" s="196"/>
      <c r="T200" s="196"/>
      <c r="U200" s="196"/>
      <c r="V200" s="196"/>
      <c r="W200" s="196"/>
      <c r="X200" s="196"/>
      <c r="Y200" s="196"/>
      <c r="Z200" s="196"/>
      <c r="AA200" s="196"/>
      <c r="AB200" s="196"/>
      <c r="AC200" s="196"/>
      <c r="AD200" s="196"/>
    </row>
    <row r="201" spans="1:30" ht="12.9">
      <c r="A201" s="196"/>
      <c r="B201" s="143"/>
      <c r="C201" s="196"/>
      <c r="D201" s="196"/>
      <c r="E201" s="196"/>
      <c r="F201" s="196"/>
      <c r="G201" s="24"/>
      <c r="H201" s="24"/>
      <c r="I201" s="196"/>
      <c r="J201" s="196"/>
      <c r="K201" s="196"/>
      <c r="L201" s="196"/>
      <c r="M201" s="196"/>
      <c r="N201" s="196"/>
      <c r="O201" s="196"/>
      <c r="P201" s="196"/>
      <c r="Q201" s="196"/>
      <c r="R201" s="196"/>
      <c r="S201" s="196"/>
      <c r="T201" s="196"/>
      <c r="U201" s="196"/>
      <c r="V201" s="196"/>
      <c r="W201" s="196"/>
      <c r="X201" s="196"/>
      <c r="Y201" s="196"/>
      <c r="Z201" s="196"/>
      <c r="AA201" s="196"/>
      <c r="AB201" s="196"/>
      <c r="AC201" s="196"/>
      <c r="AD201" s="196"/>
    </row>
    <row r="202" spans="1:30" ht="12.9">
      <c r="A202" s="196"/>
      <c r="B202" s="143"/>
      <c r="C202" s="196"/>
      <c r="D202" s="196"/>
      <c r="E202" s="196"/>
      <c r="F202" s="196"/>
      <c r="G202" s="24"/>
      <c r="H202" s="24"/>
      <c r="I202" s="196"/>
      <c r="J202" s="196"/>
      <c r="K202" s="196"/>
      <c r="L202" s="196"/>
      <c r="M202" s="196"/>
      <c r="N202" s="196"/>
      <c r="O202" s="196"/>
      <c r="P202" s="196"/>
      <c r="Q202" s="196"/>
      <c r="R202" s="196"/>
      <c r="S202" s="196"/>
      <c r="T202" s="196"/>
      <c r="U202" s="196"/>
      <c r="V202" s="196"/>
      <c r="W202" s="196"/>
      <c r="X202" s="196"/>
      <c r="Y202" s="196"/>
      <c r="Z202" s="196"/>
      <c r="AA202" s="196"/>
      <c r="AB202" s="196"/>
      <c r="AC202" s="196"/>
      <c r="AD202" s="196"/>
    </row>
    <row r="203" spans="1:30" ht="12.9">
      <c r="A203" s="196"/>
      <c r="B203" s="143"/>
      <c r="C203" s="196"/>
      <c r="D203" s="196"/>
      <c r="E203" s="196"/>
      <c r="F203" s="196"/>
      <c r="G203" s="24"/>
      <c r="H203" s="24"/>
      <c r="I203" s="196"/>
      <c r="J203" s="196"/>
      <c r="K203" s="196"/>
      <c r="L203" s="196"/>
      <c r="M203" s="196"/>
      <c r="N203" s="196"/>
      <c r="O203" s="196"/>
      <c r="P203" s="196"/>
      <c r="Q203" s="196"/>
      <c r="R203" s="196"/>
      <c r="S203" s="196"/>
      <c r="T203" s="196"/>
      <c r="U203" s="196"/>
      <c r="V203" s="196"/>
      <c r="W203" s="196"/>
      <c r="X203" s="196"/>
      <c r="Y203" s="196"/>
      <c r="Z203" s="196"/>
      <c r="AA203" s="196"/>
      <c r="AB203" s="196"/>
      <c r="AC203" s="196"/>
      <c r="AD203" s="196"/>
    </row>
    <row r="204" spans="1:30" ht="12.9">
      <c r="A204" s="196"/>
      <c r="B204" s="143"/>
      <c r="C204" s="196"/>
      <c r="D204" s="196"/>
      <c r="E204" s="196"/>
      <c r="F204" s="196"/>
      <c r="G204" s="24"/>
      <c r="H204" s="24"/>
      <c r="I204" s="196"/>
      <c r="J204" s="196"/>
      <c r="K204" s="196"/>
      <c r="L204" s="196"/>
      <c r="M204" s="196"/>
      <c r="N204" s="196"/>
      <c r="O204" s="196"/>
      <c r="P204" s="196"/>
      <c r="Q204" s="196"/>
      <c r="R204" s="196"/>
      <c r="S204" s="196"/>
      <c r="T204" s="196"/>
      <c r="U204" s="196"/>
      <c r="V204" s="196"/>
      <c r="W204" s="196"/>
      <c r="X204" s="196"/>
      <c r="Y204" s="196"/>
      <c r="Z204" s="196"/>
      <c r="AA204" s="196"/>
      <c r="AB204" s="196"/>
      <c r="AC204" s="196"/>
      <c r="AD204" s="196"/>
    </row>
    <row r="205" spans="1:30" ht="12.9">
      <c r="A205" s="196"/>
      <c r="B205" s="143"/>
      <c r="C205" s="196"/>
      <c r="D205" s="196"/>
      <c r="E205" s="196"/>
      <c r="F205" s="196"/>
      <c r="G205" s="24"/>
      <c r="H205" s="24"/>
      <c r="I205" s="196"/>
      <c r="J205" s="196"/>
      <c r="K205" s="196"/>
      <c r="L205" s="196"/>
      <c r="M205" s="196"/>
      <c r="N205" s="196"/>
      <c r="O205" s="196"/>
      <c r="P205" s="196"/>
      <c r="Q205" s="196"/>
      <c r="R205" s="196"/>
      <c r="S205" s="196"/>
      <c r="T205" s="196"/>
      <c r="U205" s="196"/>
      <c r="V205" s="196"/>
      <c r="W205" s="196"/>
      <c r="X205" s="196"/>
      <c r="Y205" s="196"/>
      <c r="Z205" s="196"/>
      <c r="AA205" s="196"/>
      <c r="AB205" s="196"/>
      <c r="AC205" s="196"/>
      <c r="AD205" s="196"/>
    </row>
    <row r="206" spans="1:30" ht="12.9">
      <c r="A206" s="196"/>
      <c r="B206" s="143"/>
      <c r="C206" s="196"/>
      <c r="D206" s="196"/>
      <c r="E206" s="196"/>
      <c r="F206" s="196"/>
      <c r="G206" s="24"/>
      <c r="H206" s="24"/>
      <c r="I206" s="196"/>
      <c r="J206" s="196"/>
      <c r="K206" s="196"/>
      <c r="L206" s="196"/>
      <c r="M206" s="196"/>
      <c r="N206" s="196"/>
      <c r="O206" s="196"/>
      <c r="P206" s="196"/>
      <c r="Q206" s="196"/>
      <c r="R206" s="196"/>
      <c r="S206" s="196"/>
      <c r="T206" s="196"/>
      <c r="U206" s="196"/>
      <c r="V206" s="196"/>
      <c r="W206" s="196"/>
      <c r="X206" s="196"/>
      <c r="Y206" s="196"/>
      <c r="Z206" s="196"/>
      <c r="AA206" s="196"/>
      <c r="AB206" s="196"/>
      <c r="AC206" s="196"/>
      <c r="AD206" s="196"/>
    </row>
    <row r="207" spans="1:30" ht="12.9">
      <c r="A207" s="196"/>
      <c r="B207" s="143"/>
      <c r="C207" s="196"/>
      <c r="D207" s="196"/>
      <c r="E207" s="196"/>
      <c r="F207" s="196"/>
      <c r="G207" s="24"/>
      <c r="H207" s="24"/>
      <c r="I207" s="196"/>
      <c r="J207" s="196"/>
      <c r="K207" s="196"/>
      <c r="L207" s="196"/>
      <c r="M207" s="196"/>
      <c r="N207" s="196"/>
      <c r="O207" s="196"/>
      <c r="P207" s="196"/>
      <c r="Q207" s="196"/>
      <c r="R207" s="196"/>
      <c r="S207" s="196"/>
      <c r="T207" s="196"/>
      <c r="U207" s="196"/>
      <c r="V207" s="196"/>
      <c r="W207" s="196"/>
      <c r="X207" s="196"/>
      <c r="Y207" s="196"/>
      <c r="Z207" s="196"/>
      <c r="AA207" s="196"/>
      <c r="AB207" s="196"/>
      <c r="AC207" s="196"/>
      <c r="AD207" s="196"/>
    </row>
    <row r="208" spans="1:30" ht="12.9">
      <c r="A208" s="196"/>
      <c r="B208" s="143"/>
      <c r="C208" s="196"/>
      <c r="D208" s="196"/>
      <c r="E208" s="196"/>
      <c r="F208" s="196"/>
      <c r="G208" s="24"/>
      <c r="H208" s="24"/>
      <c r="I208" s="196"/>
      <c r="J208" s="196"/>
      <c r="K208" s="196"/>
      <c r="L208" s="196"/>
      <c r="M208" s="196"/>
      <c r="N208" s="196"/>
      <c r="O208" s="196"/>
      <c r="P208" s="196"/>
      <c r="Q208" s="196"/>
      <c r="R208" s="196"/>
      <c r="S208" s="196"/>
      <c r="T208" s="196"/>
      <c r="U208" s="196"/>
      <c r="V208" s="196"/>
      <c r="W208" s="196"/>
      <c r="X208" s="196"/>
      <c r="Y208" s="196"/>
      <c r="Z208" s="196"/>
      <c r="AA208" s="196"/>
      <c r="AB208" s="196"/>
      <c r="AC208" s="196"/>
      <c r="AD208" s="196"/>
    </row>
    <row r="209" spans="1:30" ht="12.9">
      <c r="A209" s="196"/>
      <c r="B209" s="143"/>
      <c r="C209" s="196"/>
      <c r="D209" s="196"/>
      <c r="E209" s="196"/>
      <c r="F209" s="196"/>
      <c r="G209" s="24"/>
      <c r="H209" s="24"/>
      <c r="I209" s="196"/>
      <c r="J209" s="196"/>
      <c r="K209" s="196"/>
      <c r="L209" s="196"/>
      <c r="M209" s="196"/>
      <c r="N209" s="196"/>
      <c r="O209" s="196"/>
      <c r="P209" s="196"/>
      <c r="Q209" s="196"/>
      <c r="R209" s="196"/>
      <c r="S209" s="196"/>
      <c r="T209" s="196"/>
      <c r="U209" s="196"/>
      <c r="V209" s="196"/>
      <c r="W209" s="196"/>
      <c r="X209" s="196"/>
      <c r="Y209" s="196"/>
      <c r="Z209" s="196"/>
      <c r="AA209" s="196"/>
      <c r="AB209" s="196"/>
      <c r="AC209" s="196"/>
      <c r="AD209" s="196"/>
    </row>
    <row r="210" spans="1:30" ht="12.9">
      <c r="A210" s="196"/>
      <c r="B210" s="143"/>
      <c r="C210" s="196"/>
      <c r="D210" s="196"/>
      <c r="E210" s="196"/>
      <c r="F210" s="196"/>
      <c r="G210" s="24"/>
      <c r="H210" s="24"/>
      <c r="I210" s="196"/>
      <c r="J210" s="196"/>
      <c r="K210" s="196"/>
      <c r="L210" s="196"/>
      <c r="M210" s="196"/>
      <c r="N210" s="196"/>
      <c r="O210" s="196"/>
      <c r="P210" s="196"/>
      <c r="Q210" s="196"/>
      <c r="R210" s="196"/>
      <c r="S210" s="196"/>
      <c r="T210" s="196"/>
      <c r="U210" s="196"/>
      <c r="V210" s="196"/>
      <c r="W210" s="196"/>
      <c r="X210" s="196"/>
      <c r="Y210" s="196"/>
      <c r="Z210" s="196"/>
      <c r="AA210" s="196"/>
      <c r="AB210" s="196"/>
      <c r="AC210" s="196"/>
      <c r="AD210" s="196"/>
    </row>
    <row r="211" spans="1:30" ht="12.9">
      <c r="A211" s="196"/>
      <c r="B211" s="143"/>
      <c r="C211" s="196"/>
      <c r="D211" s="196"/>
      <c r="E211" s="196"/>
      <c r="F211" s="196"/>
      <c r="G211" s="24"/>
      <c r="H211" s="24"/>
      <c r="I211" s="196"/>
      <c r="J211" s="196"/>
      <c r="K211" s="196"/>
      <c r="L211" s="196"/>
      <c r="M211" s="196"/>
      <c r="N211" s="196"/>
      <c r="O211" s="196"/>
      <c r="P211" s="196"/>
      <c r="Q211" s="196"/>
      <c r="R211" s="196"/>
      <c r="S211" s="196"/>
      <c r="T211" s="196"/>
      <c r="U211" s="196"/>
      <c r="V211" s="196"/>
      <c r="W211" s="196"/>
      <c r="X211" s="196"/>
      <c r="Y211" s="196"/>
      <c r="Z211" s="196"/>
      <c r="AA211" s="196"/>
      <c r="AB211" s="196"/>
      <c r="AC211" s="196"/>
      <c r="AD211" s="196"/>
    </row>
    <row r="212" spans="1:30" ht="12.9">
      <c r="A212" s="196"/>
      <c r="B212" s="143"/>
      <c r="C212" s="196"/>
      <c r="D212" s="196"/>
      <c r="E212" s="196"/>
      <c r="F212" s="196"/>
      <c r="G212" s="24"/>
      <c r="H212" s="24"/>
      <c r="I212" s="196"/>
      <c r="J212" s="196"/>
      <c r="K212" s="196"/>
      <c r="L212" s="196"/>
      <c r="M212" s="196"/>
      <c r="N212" s="196"/>
      <c r="O212" s="196"/>
      <c r="P212" s="196"/>
      <c r="Q212" s="196"/>
      <c r="R212" s="196"/>
      <c r="S212" s="196"/>
      <c r="T212" s="196"/>
      <c r="U212" s="196"/>
      <c r="V212" s="196"/>
      <c r="W212" s="196"/>
      <c r="X212" s="196"/>
      <c r="Y212" s="196"/>
      <c r="Z212" s="196"/>
      <c r="AA212" s="196"/>
      <c r="AB212" s="196"/>
      <c r="AC212" s="196"/>
      <c r="AD212" s="196"/>
    </row>
    <row r="213" spans="1:30" ht="12.9">
      <c r="A213" s="196"/>
      <c r="B213" s="143"/>
      <c r="C213" s="196"/>
      <c r="D213" s="196"/>
      <c r="E213" s="196"/>
      <c r="F213" s="196"/>
      <c r="G213" s="24"/>
      <c r="H213" s="24"/>
      <c r="I213" s="196"/>
      <c r="J213" s="196"/>
      <c r="K213" s="196"/>
      <c r="L213" s="196"/>
      <c r="M213" s="196"/>
      <c r="N213" s="196"/>
      <c r="O213" s="196"/>
      <c r="P213" s="196"/>
      <c r="Q213" s="196"/>
      <c r="R213" s="196"/>
      <c r="S213" s="196"/>
      <c r="T213" s="196"/>
      <c r="U213" s="196"/>
      <c r="V213" s="196"/>
      <c r="W213" s="196"/>
      <c r="X213" s="196"/>
      <c r="Y213" s="196"/>
      <c r="Z213" s="196"/>
      <c r="AA213" s="196"/>
      <c r="AB213" s="196"/>
      <c r="AC213" s="196"/>
      <c r="AD213" s="196"/>
    </row>
    <row r="214" spans="1:30" ht="12.9">
      <c r="A214" s="196"/>
      <c r="B214" s="143"/>
      <c r="C214" s="196"/>
      <c r="D214" s="196"/>
      <c r="E214" s="196"/>
      <c r="F214" s="196"/>
      <c r="G214" s="24"/>
      <c r="H214" s="24"/>
      <c r="I214" s="196"/>
      <c r="J214" s="196"/>
      <c r="K214" s="196"/>
      <c r="L214" s="196"/>
      <c r="M214" s="196"/>
      <c r="N214" s="196"/>
      <c r="O214" s="196"/>
      <c r="P214" s="196"/>
      <c r="Q214" s="196"/>
      <c r="R214" s="196"/>
      <c r="S214" s="196"/>
      <c r="T214" s="196"/>
      <c r="U214" s="196"/>
      <c r="V214" s="196"/>
      <c r="W214" s="196"/>
      <c r="X214" s="196"/>
      <c r="Y214" s="196"/>
      <c r="Z214" s="196"/>
      <c r="AA214" s="196"/>
      <c r="AB214" s="196"/>
      <c r="AC214" s="196"/>
      <c r="AD214" s="196"/>
    </row>
    <row r="215" spans="1:30" ht="12.9">
      <c r="A215" s="196"/>
      <c r="B215" s="143"/>
      <c r="C215" s="196"/>
      <c r="D215" s="196"/>
      <c r="E215" s="196"/>
      <c r="F215" s="196"/>
      <c r="G215" s="24"/>
      <c r="H215" s="24"/>
      <c r="I215" s="196"/>
      <c r="J215" s="196"/>
      <c r="K215" s="196"/>
      <c r="L215" s="196"/>
      <c r="M215" s="196"/>
      <c r="N215" s="196"/>
      <c r="O215" s="196"/>
      <c r="P215" s="196"/>
      <c r="Q215" s="196"/>
      <c r="R215" s="196"/>
      <c r="S215" s="196"/>
      <c r="T215" s="196"/>
      <c r="U215" s="196"/>
      <c r="V215" s="196"/>
      <c r="W215" s="196"/>
      <c r="X215" s="196"/>
      <c r="Y215" s="196"/>
      <c r="Z215" s="196"/>
      <c r="AA215" s="196"/>
      <c r="AB215" s="196"/>
      <c r="AC215" s="196"/>
      <c r="AD215" s="196"/>
    </row>
    <row r="216" spans="1:30" ht="12.9">
      <c r="A216" s="196"/>
      <c r="B216" s="143"/>
      <c r="C216" s="196"/>
      <c r="D216" s="196"/>
      <c r="E216" s="196"/>
      <c r="F216" s="196"/>
      <c r="G216" s="24"/>
      <c r="H216" s="24"/>
      <c r="I216" s="196"/>
      <c r="J216" s="196"/>
      <c r="K216" s="196"/>
      <c r="L216" s="196"/>
      <c r="M216" s="196"/>
      <c r="N216" s="196"/>
      <c r="O216" s="196"/>
      <c r="P216" s="196"/>
      <c r="Q216" s="196"/>
      <c r="R216" s="196"/>
      <c r="S216" s="196"/>
      <c r="T216" s="196"/>
      <c r="U216" s="196"/>
      <c r="V216" s="196"/>
      <c r="W216" s="196"/>
      <c r="X216" s="196"/>
      <c r="Y216" s="196"/>
      <c r="Z216" s="196"/>
      <c r="AA216" s="196"/>
      <c r="AB216" s="196"/>
      <c r="AC216" s="196"/>
      <c r="AD216" s="196"/>
    </row>
    <row r="217" spans="1:30" ht="12.9">
      <c r="A217" s="196"/>
      <c r="B217" s="143"/>
      <c r="C217" s="196"/>
      <c r="D217" s="196"/>
      <c r="E217" s="196"/>
      <c r="F217" s="196"/>
      <c r="G217" s="24"/>
      <c r="H217" s="24"/>
      <c r="I217" s="196"/>
      <c r="J217" s="196"/>
      <c r="K217" s="196"/>
      <c r="L217" s="196"/>
      <c r="M217" s="196"/>
      <c r="N217" s="196"/>
      <c r="O217" s="196"/>
      <c r="P217" s="196"/>
      <c r="Q217" s="196"/>
      <c r="R217" s="196"/>
      <c r="S217" s="196"/>
      <c r="T217" s="196"/>
      <c r="U217" s="196"/>
      <c r="V217" s="196"/>
      <c r="W217" s="196"/>
      <c r="X217" s="196"/>
      <c r="Y217" s="196"/>
      <c r="Z217" s="196"/>
      <c r="AA217" s="196"/>
      <c r="AB217" s="196"/>
      <c r="AC217" s="196"/>
      <c r="AD217" s="196"/>
    </row>
    <row r="218" spans="1:30" ht="12.9">
      <c r="A218" s="196"/>
      <c r="B218" s="143"/>
      <c r="C218" s="196"/>
      <c r="D218" s="196"/>
      <c r="E218" s="196"/>
      <c r="F218" s="196"/>
      <c r="G218" s="24"/>
      <c r="H218" s="24"/>
      <c r="I218" s="196"/>
      <c r="J218" s="196"/>
      <c r="K218" s="196"/>
      <c r="L218" s="196"/>
      <c r="M218" s="196"/>
      <c r="N218" s="196"/>
      <c r="O218" s="196"/>
      <c r="P218" s="196"/>
      <c r="Q218" s="196"/>
      <c r="R218" s="196"/>
      <c r="S218" s="196"/>
      <c r="T218" s="196"/>
      <c r="U218" s="196"/>
      <c r="V218" s="196"/>
      <c r="W218" s="196"/>
      <c r="X218" s="196"/>
      <c r="Y218" s="196"/>
      <c r="Z218" s="196"/>
      <c r="AA218" s="196"/>
      <c r="AB218" s="196"/>
      <c r="AC218" s="196"/>
      <c r="AD218" s="196"/>
    </row>
    <row r="219" spans="1:30" ht="12.9">
      <c r="A219" s="196"/>
      <c r="B219" s="143"/>
      <c r="C219" s="196"/>
      <c r="D219" s="196"/>
      <c r="E219" s="196"/>
      <c r="F219" s="196"/>
      <c r="G219" s="24"/>
      <c r="H219" s="24"/>
      <c r="I219" s="196"/>
      <c r="J219" s="196"/>
      <c r="K219" s="196"/>
      <c r="L219" s="196"/>
      <c r="M219" s="196"/>
      <c r="N219" s="196"/>
      <c r="O219" s="196"/>
      <c r="P219" s="196"/>
      <c r="Q219" s="196"/>
      <c r="R219" s="196"/>
      <c r="S219" s="196"/>
      <c r="T219" s="196"/>
      <c r="U219" s="196"/>
      <c r="V219" s="196"/>
      <c r="W219" s="196"/>
      <c r="X219" s="196"/>
      <c r="Y219" s="196"/>
      <c r="Z219" s="196"/>
      <c r="AA219" s="196"/>
      <c r="AB219" s="196"/>
      <c r="AC219" s="196"/>
      <c r="AD219" s="196"/>
    </row>
    <row r="220" spans="1:30" ht="12.9">
      <c r="A220" s="196"/>
      <c r="B220" s="143"/>
      <c r="C220" s="196"/>
      <c r="D220" s="196"/>
      <c r="E220" s="196"/>
      <c r="F220" s="196"/>
      <c r="G220" s="24"/>
      <c r="H220" s="24"/>
      <c r="I220" s="196"/>
      <c r="J220" s="196"/>
      <c r="K220" s="196"/>
      <c r="L220" s="196"/>
      <c r="M220" s="196"/>
      <c r="N220" s="196"/>
      <c r="O220" s="196"/>
      <c r="P220" s="196"/>
      <c r="Q220" s="196"/>
      <c r="R220" s="196"/>
      <c r="S220" s="196"/>
      <c r="T220" s="196"/>
      <c r="U220" s="196"/>
      <c r="V220" s="196"/>
      <c r="W220" s="196"/>
      <c r="X220" s="196"/>
      <c r="Y220" s="196"/>
      <c r="Z220" s="196"/>
      <c r="AA220" s="196"/>
      <c r="AB220" s="196"/>
      <c r="AC220" s="196"/>
      <c r="AD220" s="196"/>
    </row>
    <row r="221" spans="1:30" ht="12.9">
      <c r="A221" s="196"/>
      <c r="B221" s="143"/>
      <c r="C221" s="196"/>
      <c r="D221" s="196"/>
      <c r="E221" s="196"/>
      <c r="F221" s="196"/>
      <c r="G221" s="24"/>
      <c r="H221" s="24"/>
      <c r="I221" s="196"/>
      <c r="J221" s="196"/>
      <c r="K221" s="196"/>
      <c r="L221" s="196"/>
      <c r="M221" s="196"/>
      <c r="N221" s="196"/>
      <c r="O221" s="196"/>
      <c r="P221" s="196"/>
      <c r="Q221" s="196"/>
      <c r="R221" s="196"/>
      <c r="S221" s="196"/>
      <c r="T221" s="196"/>
      <c r="U221" s="196"/>
      <c r="V221" s="196"/>
      <c r="W221" s="196"/>
      <c r="X221" s="196"/>
      <c r="Y221" s="196"/>
      <c r="Z221" s="196"/>
      <c r="AA221" s="196"/>
      <c r="AB221" s="196"/>
      <c r="AC221" s="196"/>
      <c r="AD221" s="196"/>
    </row>
    <row r="222" spans="1:30" ht="12.9">
      <c r="A222" s="196"/>
      <c r="B222" s="143"/>
      <c r="C222" s="196"/>
      <c r="D222" s="196"/>
      <c r="E222" s="196"/>
      <c r="F222" s="196"/>
      <c r="G222" s="24"/>
      <c r="H222" s="24"/>
      <c r="I222" s="196"/>
      <c r="J222" s="196"/>
      <c r="K222" s="196"/>
      <c r="L222" s="196"/>
      <c r="M222" s="196"/>
      <c r="N222" s="196"/>
      <c r="O222" s="196"/>
      <c r="P222" s="196"/>
      <c r="Q222" s="196"/>
      <c r="R222" s="196"/>
      <c r="S222" s="196"/>
      <c r="T222" s="196"/>
      <c r="U222" s="196"/>
      <c r="V222" s="196"/>
      <c r="W222" s="196"/>
      <c r="X222" s="196"/>
      <c r="Y222" s="196"/>
      <c r="Z222" s="196"/>
      <c r="AA222" s="196"/>
      <c r="AB222" s="196"/>
      <c r="AC222" s="196"/>
      <c r="AD222" s="196"/>
    </row>
    <row r="223" spans="1:30" ht="12.9">
      <c r="A223" s="196"/>
      <c r="B223" s="143"/>
      <c r="C223" s="196"/>
      <c r="D223" s="196"/>
      <c r="E223" s="196"/>
      <c r="F223" s="196"/>
      <c r="G223" s="24"/>
      <c r="H223" s="24"/>
      <c r="I223" s="196"/>
      <c r="J223" s="196"/>
      <c r="K223" s="196"/>
      <c r="L223" s="196"/>
      <c r="M223" s="196"/>
      <c r="N223" s="196"/>
      <c r="O223" s="196"/>
      <c r="P223" s="196"/>
      <c r="Q223" s="196"/>
      <c r="R223" s="196"/>
      <c r="S223" s="196"/>
      <c r="T223" s="196"/>
      <c r="U223" s="196"/>
      <c r="V223" s="196"/>
      <c r="W223" s="196"/>
      <c r="X223" s="196"/>
      <c r="Y223" s="196"/>
      <c r="Z223" s="196"/>
      <c r="AA223" s="196"/>
      <c r="AB223" s="196"/>
      <c r="AC223" s="196"/>
      <c r="AD223" s="196"/>
    </row>
    <row r="224" spans="1:30" ht="12.9">
      <c r="A224" s="196"/>
      <c r="B224" s="143"/>
      <c r="C224" s="196"/>
      <c r="D224" s="196"/>
      <c r="E224" s="196"/>
      <c r="F224" s="196"/>
      <c r="G224" s="24"/>
      <c r="H224" s="24"/>
      <c r="I224" s="196"/>
      <c r="J224" s="196"/>
      <c r="K224" s="196"/>
      <c r="L224" s="196"/>
      <c r="M224" s="196"/>
      <c r="N224" s="196"/>
      <c r="O224" s="196"/>
      <c r="P224" s="196"/>
      <c r="Q224" s="196"/>
      <c r="R224" s="196"/>
      <c r="S224" s="196"/>
      <c r="T224" s="196"/>
      <c r="U224" s="196"/>
      <c r="V224" s="196"/>
      <c r="W224" s="196"/>
      <c r="X224" s="196"/>
      <c r="Y224" s="196"/>
      <c r="Z224" s="196"/>
      <c r="AA224" s="196"/>
      <c r="AB224" s="196"/>
      <c r="AC224" s="196"/>
      <c r="AD224" s="196"/>
    </row>
    <row r="225" spans="1:30" ht="12.9">
      <c r="A225" s="196"/>
      <c r="B225" s="143"/>
      <c r="C225" s="196"/>
      <c r="D225" s="196"/>
      <c r="E225" s="196"/>
      <c r="F225" s="196"/>
      <c r="G225" s="24"/>
      <c r="H225" s="24"/>
      <c r="I225" s="196"/>
      <c r="J225" s="196"/>
      <c r="K225" s="196"/>
      <c r="L225" s="196"/>
      <c r="M225" s="196"/>
      <c r="N225" s="196"/>
      <c r="O225" s="196"/>
      <c r="P225" s="196"/>
      <c r="Q225" s="196"/>
      <c r="R225" s="196"/>
      <c r="S225" s="196"/>
      <c r="T225" s="196"/>
      <c r="U225" s="196"/>
      <c r="V225" s="196"/>
      <c r="W225" s="196"/>
      <c r="X225" s="196"/>
      <c r="Y225" s="196"/>
      <c r="Z225" s="196"/>
      <c r="AA225" s="196"/>
      <c r="AB225" s="196"/>
      <c r="AC225" s="196"/>
      <c r="AD225" s="196"/>
    </row>
    <row r="226" spans="1:30" ht="12.9">
      <c r="A226" s="196"/>
      <c r="B226" s="143"/>
      <c r="C226" s="196"/>
      <c r="D226" s="196"/>
      <c r="E226" s="196"/>
      <c r="F226" s="196"/>
      <c r="G226" s="24"/>
      <c r="H226" s="24"/>
      <c r="I226" s="196"/>
      <c r="J226" s="196"/>
      <c r="K226" s="196"/>
      <c r="L226" s="196"/>
      <c r="M226" s="196"/>
      <c r="N226" s="196"/>
      <c r="O226" s="196"/>
      <c r="P226" s="196"/>
      <c r="Q226" s="196"/>
      <c r="R226" s="196"/>
      <c r="S226" s="196"/>
      <c r="T226" s="196"/>
      <c r="U226" s="196"/>
      <c r="V226" s="196"/>
      <c r="W226" s="196"/>
      <c r="X226" s="196"/>
      <c r="Y226" s="196"/>
      <c r="Z226" s="196"/>
      <c r="AA226" s="196"/>
      <c r="AB226" s="196"/>
      <c r="AC226" s="196"/>
      <c r="AD226" s="196"/>
    </row>
    <row r="227" spans="1:30" ht="12.9">
      <c r="A227" s="196"/>
      <c r="B227" s="143"/>
      <c r="C227" s="196"/>
      <c r="D227" s="196"/>
      <c r="E227" s="196"/>
      <c r="F227" s="196"/>
      <c r="G227" s="24"/>
      <c r="H227" s="24"/>
      <c r="I227" s="196"/>
      <c r="J227" s="196"/>
      <c r="K227" s="196"/>
      <c r="L227" s="196"/>
      <c r="M227" s="196"/>
      <c r="N227" s="196"/>
      <c r="O227" s="196"/>
      <c r="P227" s="196"/>
      <c r="Q227" s="196"/>
      <c r="R227" s="196"/>
      <c r="S227" s="196"/>
      <c r="T227" s="196"/>
      <c r="U227" s="196"/>
      <c r="V227" s="196"/>
      <c r="W227" s="196"/>
      <c r="X227" s="196"/>
      <c r="Y227" s="196"/>
      <c r="Z227" s="196"/>
      <c r="AA227" s="196"/>
      <c r="AB227" s="196"/>
      <c r="AC227" s="196"/>
      <c r="AD227" s="196"/>
    </row>
    <row r="228" spans="1:30" ht="12.9">
      <c r="A228" s="196"/>
      <c r="B228" s="143"/>
      <c r="C228" s="196"/>
      <c r="D228" s="196"/>
      <c r="E228" s="196"/>
      <c r="F228" s="196"/>
      <c r="G228" s="24"/>
      <c r="H228" s="24"/>
      <c r="I228" s="196"/>
      <c r="J228" s="196"/>
      <c r="K228" s="196"/>
      <c r="L228" s="196"/>
      <c r="M228" s="196"/>
      <c r="N228" s="196"/>
      <c r="O228" s="196"/>
      <c r="P228" s="196"/>
      <c r="Q228" s="196"/>
      <c r="R228" s="196"/>
      <c r="S228" s="196"/>
      <c r="T228" s="196"/>
      <c r="U228" s="196"/>
      <c r="V228" s="196"/>
      <c r="W228" s="196"/>
      <c r="X228" s="196"/>
      <c r="Y228" s="196"/>
      <c r="Z228" s="196"/>
      <c r="AA228" s="196"/>
      <c r="AB228" s="196"/>
      <c r="AC228" s="196"/>
      <c r="AD228" s="196"/>
    </row>
    <row r="229" spans="1:30" ht="12.9">
      <c r="A229" s="196"/>
      <c r="B229" s="143"/>
      <c r="C229" s="196"/>
      <c r="D229" s="196"/>
      <c r="E229" s="196"/>
      <c r="F229" s="196"/>
      <c r="G229" s="24"/>
      <c r="H229" s="24"/>
      <c r="I229" s="196"/>
      <c r="J229" s="196"/>
      <c r="K229" s="196"/>
      <c r="L229" s="196"/>
      <c r="M229" s="196"/>
      <c r="N229" s="196"/>
      <c r="O229" s="196"/>
      <c r="P229" s="196"/>
      <c r="Q229" s="196"/>
      <c r="R229" s="196"/>
      <c r="S229" s="196"/>
      <c r="T229" s="196"/>
      <c r="U229" s="196"/>
      <c r="V229" s="196"/>
      <c r="W229" s="196"/>
      <c r="X229" s="196"/>
      <c r="Y229" s="196"/>
      <c r="Z229" s="196"/>
      <c r="AA229" s="196"/>
      <c r="AB229" s="196"/>
      <c r="AC229" s="196"/>
      <c r="AD229" s="196"/>
    </row>
    <row r="230" spans="1:30" ht="12.9">
      <c r="A230" s="196"/>
      <c r="B230" s="143"/>
      <c r="C230" s="196"/>
      <c r="D230" s="196"/>
      <c r="E230" s="196"/>
      <c r="F230" s="196"/>
      <c r="G230" s="24"/>
      <c r="H230" s="24"/>
      <c r="I230" s="196"/>
      <c r="J230" s="196"/>
      <c r="K230" s="196"/>
      <c r="L230" s="196"/>
      <c r="M230" s="196"/>
      <c r="N230" s="196"/>
      <c r="O230" s="196"/>
      <c r="P230" s="196"/>
      <c r="Q230" s="196"/>
      <c r="R230" s="196"/>
      <c r="S230" s="196"/>
      <c r="T230" s="196"/>
      <c r="U230" s="196"/>
      <c r="V230" s="196"/>
      <c r="W230" s="196"/>
      <c r="X230" s="196"/>
      <c r="Y230" s="196"/>
      <c r="Z230" s="196"/>
      <c r="AA230" s="196"/>
      <c r="AB230" s="196"/>
      <c r="AC230" s="196"/>
      <c r="AD230" s="196"/>
    </row>
    <row r="231" spans="1:30" ht="12.9">
      <c r="A231" s="196"/>
      <c r="B231" s="143"/>
      <c r="C231" s="196"/>
      <c r="D231" s="196"/>
      <c r="E231" s="196"/>
      <c r="F231" s="196"/>
      <c r="G231" s="24"/>
      <c r="H231" s="24"/>
      <c r="I231" s="196"/>
      <c r="J231" s="196"/>
      <c r="K231" s="196"/>
      <c r="L231" s="196"/>
      <c r="M231" s="196"/>
      <c r="N231" s="196"/>
      <c r="O231" s="196"/>
      <c r="P231" s="196"/>
      <c r="Q231" s="196"/>
      <c r="R231" s="196"/>
      <c r="S231" s="196"/>
      <c r="T231" s="196"/>
      <c r="U231" s="196"/>
      <c r="V231" s="196"/>
      <c r="W231" s="196"/>
      <c r="X231" s="196"/>
      <c r="Y231" s="196"/>
      <c r="Z231" s="196"/>
      <c r="AA231" s="196"/>
      <c r="AB231" s="196"/>
      <c r="AC231" s="196"/>
      <c r="AD231" s="196"/>
    </row>
    <row r="232" spans="1:30" ht="12.9">
      <c r="A232" s="196"/>
      <c r="B232" s="143"/>
      <c r="C232" s="196"/>
      <c r="D232" s="196"/>
      <c r="E232" s="196"/>
      <c r="F232" s="196"/>
      <c r="G232" s="24"/>
      <c r="H232" s="24"/>
      <c r="I232" s="196"/>
      <c r="J232" s="196"/>
      <c r="K232" s="196"/>
      <c r="L232" s="196"/>
      <c r="M232" s="196"/>
      <c r="N232" s="196"/>
      <c r="O232" s="196"/>
      <c r="P232" s="196"/>
      <c r="Q232" s="196"/>
      <c r="R232" s="196"/>
      <c r="S232" s="196"/>
      <c r="T232" s="196"/>
      <c r="U232" s="196"/>
      <c r="V232" s="196"/>
      <c r="W232" s="196"/>
      <c r="X232" s="196"/>
      <c r="Y232" s="196"/>
      <c r="Z232" s="196"/>
      <c r="AA232" s="196"/>
      <c r="AB232" s="196"/>
      <c r="AC232" s="196"/>
      <c r="AD232" s="196"/>
    </row>
    <row r="233" spans="1:30" ht="12.9">
      <c r="A233" s="196"/>
      <c r="B233" s="143"/>
      <c r="C233" s="196"/>
      <c r="D233" s="196"/>
      <c r="E233" s="196"/>
      <c r="F233" s="196"/>
      <c r="G233" s="24"/>
      <c r="H233" s="24"/>
      <c r="I233" s="196"/>
      <c r="J233" s="196"/>
      <c r="K233" s="196"/>
      <c r="L233" s="196"/>
      <c r="M233" s="196"/>
      <c r="N233" s="196"/>
      <c r="O233" s="196"/>
      <c r="P233" s="196"/>
      <c r="Q233" s="196"/>
      <c r="R233" s="196"/>
      <c r="S233" s="196"/>
      <c r="T233" s="196"/>
      <c r="U233" s="196"/>
      <c r="V233" s="196"/>
      <c r="W233" s="196"/>
      <c r="X233" s="196"/>
      <c r="Y233" s="196"/>
      <c r="Z233" s="196"/>
      <c r="AA233" s="196"/>
      <c r="AB233" s="196"/>
      <c r="AC233" s="196"/>
      <c r="AD233" s="196"/>
    </row>
    <row r="234" spans="1:30" ht="12.9">
      <c r="A234" s="196"/>
      <c r="B234" s="143"/>
      <c r="C234" s="196"/>
      <c r="D234" s="196"/>
      <c r="E234" s="196"/>
      <c r="F234" s="196"/>
      <c r="G234" s="24"/>
      <c r="H234" s="24"/>
      <c r="I234" s="196"/>
      <c r="J234" s="196"/>
      <c r="K234" s="196"/>
      <c r="L234" s="196"/>
      <c r="M234" s="196"/>
      <c r="N234" s="196"/>
      <c r="O234" s="196"/>
      <c r="P234" s="196"/>
      <c r="Q234" s="196"/>
      <c r="R234" s="196"/>
      <c r="S234" s="196"/>
      <c r="T234" s="196"/>
      <c r="U234" s="196"/>
      <c r="V234" s="196"/>
      <c r="W234" s="196"/>
      <c r="X234" s="196"/>
      <c r="Y234" s="196"/>
      <c r="Z234" s="196"/>
      <c r="AA234" s="196"/>
      <c r="AB234" s="196"/>
      <c r="AC234" s="196"/>
      <c r="AD234" s="196"/>
    </row>
    <row r="235" spans="1:30" ht="12.9">
      <c r="A235" s="196"/>
      <c r="B235" s="143"/>
      <c r="C235" s="196"/>
      <c r="D235" s="196"/>
      <c r="E235" s="196"/>
      <c r="F235" s="196"/>
      <c r="G235" s="24"/>
      <c r="H235" s="24"/>
      <c r="I235" s="196"/>
      <c r="J235" s="196"/>
      <c r="K235" s="196"/>
      <c r="L235" s="196"/>
      <c r="M235" s="196"/>
      <c r="N235" s="196"/>
      <c r="O235" s="196"/>
      <c r="P235" s="196"/>
      <c r="Q235" s="196"/>
      <c r="R235" s="196"/>
      <c r="S235" s="196"/>
      <c r="T235" s="196"/>
      <c r="U235" s="196"/>
      <c r="V235" s="196"/>
      <c r="W235" s="196"/>
      <c r="X235" s="196"/>
      <c r="Y235" s="196"/>
      <c r="Z235" s="196"/>
      <c r="AA235" s="196"/>
      <c r="AB235" s="196"/>
      <c r="AC235" s="196"/>
      <c r="AD235" s="196"/>
    </row>
    <row r="236" spans="1:30" ht="12.9">
      <c r="A236" s="196"/>
      <c r="B236" s="143"/>
      <c r="C236" s="196"/>
      <c r="D236" s="196"/>
      <c r="E236" s="196"/>
      <c r="F236" s="196"/>
      <c r="G236" s="24"/>
      <c r="H236" s="24"/>
      <c r="I236" s="196"/>
      <c r="J236" s="196"/>
      <c r="K236" s="196"/>
      <c r="L236" s="196"/>
      <c r="M236" s="196"/>
      <c r="N236" s="196"/>
      <c r="O236" s="196"/>
      <c r="P236" s="196"/>
      <c r="Q236" s="196"/>
      <c r="R236" s="196"/>
      <c r="S236" s="196"/>
      <c r="T236" s="196"/>
      <c r="U236" s="196"/>
      <c r="V236" s="196"/>
      <c r="W236" s="196"/>
      <c r="X236" s="196"/>
      <c r="Y236" s="196"/>
      <c r="Z236" s="196"/>
      <c r="AA236" s="196"/>
      <c r="AB236" s="196"/>
      <c r="AC236" s="196"/>
      <c r="AD236" s="196"/>
    </row>
    <row r="237" spans="1:30" ht="12.9">
      <c r="A237" s="196"/>
      <c r="B237" s="143"/>
      <c r="C237" s="196"/>
      <c r="D237" s="196"/>
      <c r="E237" s="196"/>
      <c r="F237" s="196"/>
      <c r="G237" s="24"/>
      <c r="H237" s="24"/>
      <c r="I237" s="196"/>
      <c r="J237" s="196"/>
      <c r="K237" s="196"/>
      <c r="L237" s="196"/>
      <c r="M237" s="196"/>
      <c r="N237" s="196"/>
      <c r="O237" s="196"/>
      <c r="P237" s="196"/>
      <c r="Q237" s="196"/>
      <c r="R237" s="196"/>
      <c r="S237" s="196"/>
      <c r="T237" s="196"/>
      <c r="U237" s="196"/>
      <c r="V237" s="196"/>
      <c r="W237" s="196"/>
      <c r="X237" s="196"/>
      <c r="Y237" s="196"/>
      <c r="Z237" s="196"/>
      <c r="AA237" s="196"/>
      <c r="AB237" s="196"/>
      <c r="AC237" s="196"/>
      <c r="AD237" s="196"/>
    </row>
    <row r="238" spans="1:30" ht="12.9">
      <c r="A238" s="196"/>
      <c r="B238" s="143"/>
      <c r="C238" s="196"/>
      <c r="D238" s="196"/>
      <c r="E238" s="196"/>
      <c r="F238" s="196"/>
      <c r="G238" s="24"/>
      <c r="H238" s="24"/>
      <c r="I238" s="196"/>
      <c r="J238" s="196"/>
      <c r="K238" s="196"/>
      <c r="L238" s="196"/>
      <c r="M238" s="196"/>
      <c r="N238" s="196"/>
      <c r="O238" s="196"/>
      <c r="P238" s="196"/>
      <c r="Q238" s="196"/>
      <c r="R238" s="196"/>
      <c r="S238" s="196"/>
      <c r="T238" s="196"/>
      <c r="U238" s="196"/>
      <c r="V238" s="196"/>
      <c r="W238" s="196"/>
      <c r="X238" s="196"/>
      <c r="Y238" s="196"/>
      <c r="Z238" s="196"/>
      <c r="AA238" s="196"/>
      <c r="AB238" s="196"/>
      <c r="AC238" s="196"/>
      <c r="AD238" s="196"/>
    </row>
    <row r="239" spans="1:30" ht="12.9">
      <c r="A239" s="196"/>
      <c r="B239" s="143"/>
      <c r="C239" s="196"/>
      <c r="D239" s="196"/>
      <c r="E239" s="196"/>
      <c r="F239" s="196"/>
      <c r="G239" s="24"/>
      <c r="H239" s="24"/>
      <c r="I239" s="196"/>
      <c r="J239" s="196"/>
      <c r="K239" s="196"/>
      <c r="L239" s="196"/>
      <c r="M239" s="196"/>
      <c r="N239" s="196"/>
      <c r="O239" s="196"/>
      <c r="P239" s="196"/>
      <c r="Q239" s="196"/>
      <c r="R239" s="196"/>
      <c r="S239" s="196"/>
      <c r="T239" s="196"/>
      <c r="U239" s="196"/>
      <c r="V239" s="196"/>
      <c r="W239" s="196"/>
      <c r="X239" s="196"/>
      <c r="Y239" s="196"/>
      <c r="Z239" s="196"/>
      <c r="AA239" s="196"/>
      <c r="AB239" s="196"/>
      <c r="AC239" s="196"/>
      <c r="AD239" s="196"/>
    </row>
    <row r="240" spans="1:30" ht="12.9">
      <c r="A240" s="196"/>
      <c r="B240" s="143"/>
      <c r="C240" s="196"/>
      <c r="D240" s="196"/>
      <c r="E240" s="196"/>
      <c r="F240" s="196"/>
      <c r="G240" s="24"/>
      <c r="H240" s="24"/>
      <c r="I240" s="196"/>
      <c r="J240" s="196"/>
      <c r="K240" s="196"/>
      <c r="L240" s="196"/>
      <c r="M240" s="196"/>
      <c r="N240" s="196"/>
      <c r="O240" s="196"/>
      <c r="P240" s="196"/>
      <c r="Q240" s="196"/>
      <c r="R240" s="196"/>
      <c r="S240" s="196"/>
      <c r="T240" s="196"/>
      <c r="U240" s="196"/>
      <c r="V240" s="196"/>
      <c r="W240" s="196"/>
      <c r="X240" s="196"/>
      <c r="Y240" s="196"/>
      <c r="Z240" s="196"/>
      <c r="AA240" s="196"/>
      <c r="AB240" s="196"/>
      <c r="AC240" s="196"/>
      <c r="AD240" s="196"/>
    </row>
    <row r="241" spans="1:30" ht="12.9">
      <c r="A241" s="196"/>
      <c r="B241" s="143"/>
      <c r="C241" s="196"/>
      <c r="D241" s="196"/>
      <c r="E241" s="196"/>
      <c r="F241" s="196"/>
      <c r="G241" s="24"/>
      <c r="H241" s="24"/>
      <c r="I241" s="196"/>
      <c r="J241" s="196"/>
      <c r="K241" s="196"/>
      <c r="L241" s="196"/>
      <c r="M241" s="196"/>
      <c r="N241" s="196"/>
      <c r="O241" s="196"/>
      <c r="P241" s="196"/>
      <c r="Q241" s="196"/>
      <c r="R241" s="196"/>
      <c r="S241" s="196"/>
      <c r="T241" s="196"/>
      <c r="U241" s="196"/>
      <c r="V241" s="196"/>
      <c r="W241" s="196"/>
      <c r="X241" s="196"/>
      <c r="Y241" s="196"/>
      <c r="Z241" s="196"/>
      <c r="AA241" s="196"/>
      <c r="AB241" s="196"/>
      <c r="AC241" s="196"/>
      <c r="AD241" s="196"/>
    </row>
    <row r="242" spans="1:30" ht="12.9">
      <c r="A242" s="196"/>
      <c r="B242" s="143"/>
      <c r="C242" s="196"/>
      <c r="D242" s="196"/>
      <c r="E242" s="196"/>
      <c r="F242" s="196"/>
      <c r="G242" s="24"/>
      <c r="H242" s="24"/>
      <c r="I242" s="196"/>
      <c r="J242" s="196"/>
      <c r="K242" s="196"/>
      <c r="L242" s="196"/>
      <c r="M242" s="196"/>
      <c r="N242" s="196"/>
      <c r="O242" s="196"/>
      <c r="P242" s="196"/>
      <c r="Q242" s="196"/>
      <c r="R242" s="196"/>
      <c r="S242" s="196"/>
      <c r="T242" s="196"/>
      <c r="U242" s="196"/>
      <c r="V242" s="196"/>
      <c r="W242" s="196"/>
      <c r="X242" s="196"/>
      <c r="Y242" s="196"/>
      <c r="Z242" s="196"/>
      <c r="AA242" s="196"/>
      <c r="AB242" s="196"/>
      <c r="AC242" s="196"/>
      <c r="AD242" s="196"/>
    </row>
    <row r="243" spans="1:30" ht="12.9">
      <c r="A243" s="196"/>
      <c r="B243" s="143"/>
      <c r="C243" s="196"/>
      <c r="D243" s="196"/>
      <c r="E243" s="196"/>
      <c r="F243" s="196"/>
      <c r="G243" s="24"/>
      <c r="H243" s="24"/>
      <c r="I243" s="196"/>
      <c r="J243" s="196"/>
      <c r="K243" s="196"/>
      <c r="L243" s="196"/>
      <c r="M243" s="196"/>
      <c r="N243" s="196"/>
      <c r="O243" s="196"/>
      <c r="P243" s="196"/>
      <c r="Q243" s="196"/>
      <c r="R243" s="196"/>
      <c r="S243" s="196"/>
      <c r="T243" s="196"/>
      <c r="U243" s="196"/>
      <c r="V243" s="196"/>
      <c r="W243" s="196"/>
      <c r="X243" s="196"/>
      <c r="Y243" s="196"/>
      <c r="Z243" s="196"/>
      <c r="AA243" s="196"/>
      <c r="AB243" s="196"/>
      <c r="AC243" s="196"/>
      <c r="AD243" s="196"/>
    </row>
    <row r="244" spans="1:30" ht="12.9">
      <c r="A244" s="196"/>
      <c r="B244" s="143"/>
      <c r="C244" s="196"/>
      <c r="D244" s="196"/>
      <c r="E244" s="196"/>
      <c r="F244" s="196"/>
      <c r="G244" s="24"/>
      <c r="H244" s="24"/>
      <c r="I244" s="196"/>
      <c r="J244" s="196"/>
      <c r="K244" s="196"/>
      <c r="L244" s="196"/>
      <c r="M244" s="196"/>
      <c r="N244" s="196"/>
      <c r="O244" s="196"/>
      <c r="P244" s="196"/>
      <c r="Q244" s="196"/>
      <c r="R244" s="196"/>
      <c r="S244" s="196"/>
      <c r="T244" s="196"/>
      <c r="U244" s="196"/>
      <c r="V244" s="196"/>
      <c r="W244" s="196"/>
      <c r="X244" s="196"/>
      <c r="Y244" s="196"/>
      <c r="Z244" s="196"/>
      <c r="AA244" s="196"/>
      <c r="AB244" s="196"/>
      <c r="AC244" s="196"/>
      <c r="AD244" s="196"/>
    </row>
    <row r="245" spans="1:30" ht="12.9">
      <c r="A245" s="196"/>
      <c r="B245" s="143"/>
      <c r="C245" s="196"/>
      <c r="D245" s="196"/>
      <c r="E245" s="196"/>
      <c r="F245" s="196"/>
      <c r="G245" s="24"/>
      <c r="H245" s="24"/>
      <c r="I245" s="196"/>
      <c r="J245" s="196"/>
      <c r="K245" s="196"/>
      <c r="L245" s="196"/>
      <c r="M245" s="196"/>
      <c r="N245" s="196"/>
      <c r="O245" s="196"/>
      <c r="P245" s="196"/>
      <c r="Q245" s="196"/>
      <c r="R245" s="196"/>
      <c r="S245" s="196"/>
      <c r="T245" s="196"/>
      <c r="U245" s="196"/>
      <c r="V245" s="196"/>
      <c r="W245" s="196"/>
      <c r="X245" s="196"/>
      <c r="Y245" s="196"/>
      <c r="Z245" s="196"/>
      <c r="AA245" s="196"/>
      <c r="AB245" s="196"/>
      <c r="AC245" s="196"/>
      <c r="AD245" s="196"/>
    </row>
    <row r="246" spans="1:30" ht="12.9">
      <c r="A246" s="196"/>
      <c r="B246" s="143"/>
      <c r="C246" s="196"/>
      <c r="D246" s="196"/>
      <c r="E246" s="196"/>
      <c r="F246" s="196"/>
      <c r="G246" s="24"/>
      <c r="H246" s="24"/>
      <c r="I246" s="196"/>
      <c r="J246" s="196"/>
      <c r="K246" s="196"/>
      <c r="L246" s="196"/>
      <c r="M246" s="196"/>
      <c r="N246" s="196"/>
      <c r="O246" s="196"/>
      <c r="P246" s="196"/>
      <c r="Q246" s="196"/>
      <c r="R246" s="196"/>
      <c r="S246" s="196"/>
      <c r="T246" s="196"/>
      <c r="U246" s="196"/>
      <c r="V246" s="196"/>
      <c r="W246" s="196"/>
      <c r="X246" s="196"/>
      <c r="Y246" s="196"/>
      <c r="Z246" s="196"/>
      <c r="AA246" s="196"/>
      <c r="AB246" s="196"/>
      <c r="AC246" s="196"/>
      <c r="AD246" s="196"/>
    </row>
    <row r="247" spans="1:30" ht="12.9">
      <c r="A247" s="196"/>
      <c r="B247" s="143"/>
      <c r="C247" s="196"/>
      <c r="D247" s="196"/>
      <c r="E247" s="196"/>
      <c r="F247" s="196"/>
      <c r="G247" s="24"/>
      <c r="H247" s="24"/>
      <c r="I247" s="196"/>
      <c r="J247" s="196"/>
      <c r="K247" s="196"/>
      <c r="L247" s="196"/>
      <c r="M247" s="196"/>
      <c r="N247" s="196"/>
      <c r="O247" s="196"/>
      <c r="P247" s="196"/>
      <c r="Q247" s="196"/>
      <c r="R247" s="196"/>
      <c r="S247" s="196"/>
      <c r="T247" s="196"/>
      <c r="U247" s="196"/>
      <c r="V247" s="196"/>
      <c r="W247" s="196"/>
      <c r="X247" s="196"/>
      <c r="Y247" s="196"/>
      <c r="Z247" s="196"/>
      <c r="AA247" s="196"/>
      <c r="AB247" s="196"/>
      <c r="AC247" s="196"/>
      <c r="AD247" s="196"/>
    </row>
    <row r="248" spans="1:30" ht="12.9">
      <c r="A248" s="196"/>
      <c r="B248" s="143"/>
      <c r="C248" s="196"/>
      <c r="D248" s="196"/>
      <c r="E248" s="196"/>
      <c r="F248" s="196"/>
      <c r="G248" s="24"/>
      <c r="H248" s="24"/>
      <c r="I248" s="196"/>
      <c r="J248" s="196"/>
      <c r="K248" s="196"/>
      <c r="L248" s="196"/>
      <c r="M248" s="196"/>
      <c r="N248" s="196"/>
      <c r="O248" s="196"/>
      <c r="P248" s="196"/>
      <c r="Q248" s="196"/>
      <c r="R248" s="196"/>
      <c r="S248" s="196"/>
      <c r="T248" s="196"/>
      <c r="U248" s="196"/>
      <c r="V248" s="196"/>
      <c r="W248" s="196"/>
      <c r="X248" s="196"/>
      <c r="Y248" s="196"/>
      <c r="Z248" s="196"/>
      <c r="AA248" s="196"/>
      <c r="AB248" s="196"/>
      <c r="AC248" s="196"/>
      <c r="AD248" s="196"/>
    </row>
    <row r="249" spans="1:30" ht="12.9">
      <c r="A249" s="196"/>
      <c r="B249" s="143"/>
      <c r="C249" s="196"/>
      <c r="D249" s="196"/>
      <c r="E249" s="196"/>
      <c r="F249" s="196"/>
      <c r="G249" s="24"/>
      <c r="H249" s="24"/>
      <c r="I249" s="196"/>
      <c r="J249" s="196"/>
      <c r="K249" s="196"/>
      <c r="L249" s="196"/>
      <c r="M249" s="196"/>
      <c r="N249" s="196"/>
      <c r="O249" s="196"/>
      <c r="P249" s="196"/>
      <c r="Q249" s="196"/>
      <c r="R249" s="196"/>
      <c r="S249" s="196"/>
      <c r="T249" s="196"/>
      <c r="U249" s="196"/>
      <c r="V249" s="196"/>
      <c r="W249" s="196"/>
      <c r="X249" s="196"/>
      <c r="Y249" s="196"/>
      <c r="Z249" s="196"/>
      <c r="AA249" s="196"/>
      <c r="AB249" s="196"/>
      <c r="AC249" s="196"/>
      <c r="AD249" s="196"/>
    </row>
    <row r="250" spans="1:30" ht="12.9">
      <c r="A250" s="196"/>
      <c r="B250" s="143"/>
      <c r="C250" s="196"/>
      <c r="D250" s="196"/>
      <c r="E250" s="196"/>
      <c r="F250" s="196"/>
      <c r="G250" s="24"/>
      <c r="H250" s="24"/>
      <c r="I250" s="196"/>
      <c r="J250" s="196"/>
      <c r="K250" s="196"/>
      <c r="L250" s="196"/>
      <c r="M250" s="196"/>
      <c r="N250" s="196"/>
      <c r="O250" s="196"/>
      <c r="P250" s="196"/>
      <c r="Q250" s="196"/>
      <c r="R250" s="196"/>
      <c r="S250" s="196"/>
      <c r="T250" s="196"/>
      <c r="U250" s="196"/>
      <c r="V250" s="196"/>
      <c r="W250" s="196"/>
      <c r="X250" s="196"/>
      <c r="Y250" s="196"/>
      <c r="Z250" s="196"/>
      <c r="AA250" s="196"/>
      <c r="AB250" s="196"/>
      <c r="AC250" s="196"/>
      <c r="AD250" s="196"/>
    </row>
    <row r="251" spans="1:30" ht="12.9">
      <c r="A251" s="196"/>
      <c r="B251" s="143"/>
      <c r="C251" s="196"/>
      <c r="D251" s="196"/>
      <c r="E251" s="196"/>
      <c r="F251" s="196"/>
      <c r="G251" s="24"/>
      <c r="H251" s="24"/>
      <c r="I251" s="196"/>
      <c r="J251" s="196"/>
      <c r="K251" s="196"/>
      <c r="L251" s="196"/>
      <c r="M251" s="196"/>
      <c r="N251" s="196"/>
      <c r="O251" s="196"/>
      <c r="P251" s="196"/>
      <c r="Q251" s="196"/>
      <c r="R251" s="196"/>
      <c r="S251" s="196"/>
      <c r="T251" s="196"/>
      <c r="U251" s="196"/>
      <c r="V251" s="196"/>
      <c r="W251" s="196"/>
      <c r="X251" s="196"/>
      <c r="Y251" s="196"/>
      <c r="Z251" s="196"/>
      <c r="AA251" s="196"/>
      <c r="AB251" s="196"/>
      <c r="AC251" s="196"/>
      <c r="AD251" s="196"/>
    </row>
    <row r="252" spans="1:30" ht="12.9">
      <c r="A252" s="196"/>
      <c r="B252" s="143"/>
      <c r="C252" s="196"/>
      <c r="D252" s="196"/>
      <c r="E252" s="196"/>
      <c r="F252" s="196"/>
      <c r="G252" s="24"/>
      <c r="H252" s="24"/>
      <c r="I252" s="196"/>
      <c r="J252" s="196"/>
      <c r="K252" s="196"/>
      <c r="L252" s="196"/>
      <c r="M252" s="196"/>
      <c r="N252" s="196"/>
      <c r="O252" s="196"/>
      <c r="P252" s="196"/>
      <c r="Q252" s="196"/>
      <c r="R252" s="196"/>
      <c r="S252" s="196"/>
      <c r="T252" s="196"/>
      <c r="U252" s="196"/>
      <c r="V252" s="196"/>
      <c r="W252" s="196"/>
      <c r="X252" s="196"/>
      <c r="Y252" s="196"/>
      <c r="Z252" s="196"/>
      <c r="AA252" s="196"/>
      <c r="AB252" s="196"/>
      <c r="AC252" s="196"/>
      <c r="AD252" s="196"/>
    </row>
    <row r="253" spans="1:30" ht="12.9">
      <c r="A253" s="196"/>
      <c r="B253" s="143"/>
      <c r="C253" s="196"/>
      <c r="D253" s="196"/>
      <c r="E253" s="196"/>
      <c r="F253" s="196"/>
      <c r="G253" s="24"/>
      <c r="H253" s="24"/>
      <c r="I253" s="196"/>
      <c r="J253" s="196"/>
      <c r="K253" s="196"/>
      <c r="L253" s="196"/>
      <c r="M253" s="196"/>
      <c r="N253" s="196"/>
      <c r="O253" s="196"/>
      <c r="P253" s="196"/>
      <c r="Q253" s="196"/>
      <c r="R253" s="196"/>
      <c r="S253" s="196"/>
      <c r="T253" s="196"/>
      <c r="U253" s="196"/>
      <c r="V253" s="196"/>
      <c r="W253" s="196"/>
      <c r="X253" s="196"/>
      <c r="Y253" s="196"/>
      <c r="Z253" s="196"/>
      <c r="AA253" s="196"/>
      <c r="AB253" s="196"/>
      <c r="AC253" s="196"/>
      <c r="AD253" s="196"/>
    </row>
    <row r="254" spans="1:30" ht="12.9">
      <c r="A254" s="196"/>
      <c r="B254" s="143"/>
      <c r="C254" s="196"/>
      <c r="D254" s="196"/>
      <c r="E254" s="196"/>
      <c r="F254" s="196"/>
      <c r="G254" s="24"/>
      <c r="H254" s="24"/>
      <c r="I254" s="196"/>
      <c r="J254" s="196"/>
      <c r="K254" s="196"/>
      <c r="L254" s="196"/>
      <c r="M254" s="196"/>
      <c r="N254" s="196"/>
      <c r="O254" s="196"/>
      <c r="P254" s="196"/>
      <c r="Q254" s="196"/>
      <c r="R254" s="196"/>
      <c r="S254" s="196"/>
      <c r="T254" s="196"/>
      <c r="U254" s="196"/>
      <c r="V254" s="196"/>
      <c r="W254" s="196"/>
      <c r="X254" s="196"/>
      <c r="Y254" s="196"/>
      <c r="Z254" s="196"/>
      <c r="AA254" s="196"/>
      <c r="AB254" s="196"/>
      <c r="AC254" s="196"/>
      <c r="AD254" s="196"/>
    </row>
    <row r="255" spans="1:30" ht="12.9">
      <c r="A255" s="196"/>
      <c r="B255" s="143"/>
      <c r="C255" s="196"/>
      <c r="D255" s="196"/>
      <c r="E255" s="196"/>
      <c r="F255" s="196"/>
      <c r="G255" s="24"/>
      <c r="H255" s="24"/>
      <c r="I255" s="196"/>
      <c r="J255" s="196"/>
      <c r="K255" s="196"/>
      <c r="L255" s="196"/>
      <c r="M255" s="196"/>
      <c r="N255" s="196"/>
      <c r="O255" s="196"/>
      <c r="P255" s="196"/>
      <c r="Q255" s="196"/>
      <c r="R255" s="196"/>
      <c r="S255" s="196"/>
      <c r="T255" s="196"/>
      <c r="U255" s="196"/>
      <c r="V255" s="196"/>
      <c r="W255" s="196"/>
      <c r="X255" s="196"/>
      <c r="Y255" s="196"/>
      <c r="Z255" s="196"/>
      <c r="AA255" s="196"/>
      <c r="AB255" s="196"/>
      <c r="AC255" s="196"/>
      <c r="AD255" s="196"/>
    </row>
    <row r="256" spans="1:30" ht="12.9">
      <c r="A256" s="196"/>
      <c r="B256" s="143"/>
      <c r="C256" s="196"/>
      <c r="D256" s="196"/>
      <c r="E256" s="196"/>
      <c r="F256" s="196"/>
      <c r="G256" s="24"/>
      <c r="H256" s="24"/>
      <c r="I256" s="196"/>
      <c r="J256" s="196"/>
      <c r="K256" s="196"/>
      <c r="L256" s="196"/>
      <c r="M256" s="196"/>
      <c r="N256" s="196"/>
      <c r="O256" s="196"/>
      <c r="P256" s="196"/>
      <c r="Q256" s="196"/>
      <c r="R256" s="196"/>
      <c r="S256" s="196"/>
      <c r="T256" s="196"/>
      <c r="U256" s="196"/>
      <c r="V256" s="196"/>
      <c r="W256" s="196"/>
      <c r="X256" s="196"/>
      <c r="Y256" s="196"/>
      <c r="Z256" s="196"/>
      <c r="AA256" s="196"/>
      <c r="AB256" s="196"/>
      <c r="AC256" s="196"/>
      <c r="AD256" s="196"/>
    </row>
    <row r="257" spans="1:30" ht="12.9">
      <c r="A257" s="196"/>
      <c r="B257" s="143"/>
      <c r="C257" s="196"/>
      <c r="D257" s="196"/>
      <c r="E257" s="196"/>
      <c r="F257" s="196"/>
      <c r="G257" s="24"/>
      <c r="H257" s="24"/>
      <c r="I257" s="196"/>
      <c r="J257" s="196"/>
      <c r="K257" s="196"/>
      <c r="L257" s="196"/>
      <c r="M257" s="196"/>
      <c r="N257" s="196"/>
      <c r="O257" s="196"/>
      <c r="P257" s="196"/>
      <c r="Q257" s="196"/>
      <c r="R257" s="196"/>
      <c r="S257" s="196"/>
      <c r="T257" s="196"/>
      <c r="U257" s="196"/>
      <c r="V257" s="196"/>
      <c r="W257" s="196"/>
      <c r="X257" s="196"/>
      <c r="Y257" s="196"/>
      <c r="Z257" s="196"/>
      <c r="AA257" s="196"/>
      <c r="AB257" s="196"/>
      <c r="AC257" s="196"/>
      <c r="AD257" s="196"/>
    </row>
    <row r="258" spans="1:30" ht="12.9">
      <c r="A258" s="196"/>
      <c r="B258" s="143"/>
      <c r="C258" s="196"/>
      <c r="D258" s="196"/>
      <c r="E258" s="196"/>
      <c r="F258" s="196"/>
      <c r="G258" s="24"/>
      <c r="H258" s="24"/>
      <c r="I258" s="196"/>
      <c r="J258" s="196"/>
      <c r="K258" s="196"/>
      <c r="L258" s="196"/>
      <c r="M258" s="196"/>
      <c r="N258" s="196"/>
      <c r="O258" s="196"/>
      <c r="P258" s="196"/>
      <c r="Q258" s="196"/>
      <c r="R258" s="196"/>
      <c r="S258" s="196"/>
      <c r="T258" s="196"/>
      <c r="U258" s="196"/>
      <c r="V258" s="196"/>
      <c r="W258" s="196"/>
      <c r="X258" s="196"/>
      <c r="Y258" s="196"/>
      <c r="Z258" s="196"/>
      <c r="AA258" s="196"/>
      <c r="AB258" s="196"/>
      <c r="AC258" s="196"/>
      <c r="AD258" s="196"/>
    </row>
    <row r="259" spans="1:30" ht="12.9">
      <c r="A259" s="196"/>
      <c r="B259" s="143"/>
      <c r="C259" s="196"/>
      <c r="D259" s="196"/>
      <c r="E259" s="196"/>
      <c r="F259" s="196"/>
      <c r="G259" s="24"/>
      <c r="H259" s="24"/>
      <c r="I259" s="196"/>
      <c r="J259" s="196"/>
      <c r="K259" s="196"/>
      <c r="L259" s="196"/>
      <c r="M259" s="196"/>
      <c r="N259" s="196"/>
      <c r="O259" s="196"/>
      <c r="P259" s="196"/>
      <c r="Q259" s="196"/>
      <c r="R259" s="196"/>
      <c r="S259" s="196"/>
      <c r="T259" s="196"/>
      <c r="U259" s="196"/>
      <c r="V259" s="196"/>
      <c r="W259" s="196"/>
      <c r="X259" s="196"/>
      <c r="Y259" s="196"/>
      <c r="Z259" s="196"/>
      <c r="AA259" s="196"/>
      <c r="AB259" s="196"/>
      <c r="AC259" s="196"/>
      <c r="AD259" s="196"/>
    </row>
    <row r="260" spans="1:30" ht="12.9">
      <c r="A260" s="196"/>
      <c r="B260" s="143"/>
      <c r="C260" s="196"/>
      <c r="D260" s="196"/>
      <c r="E260" s="196"/>
      <c r="F260" s="196"/>
      <c r="G260" s="24"/>
      <c r="H260" s="24"/>
      <c r="I260" s="196"/>
      <c r="J260" s="196"/>
      <c r="K260" s="196"/>
      <c r="L260" s="196"/>
      <c r="M260" s="196"/>
      <c r="N260" s="196"/>
      <c r="O260" s="196"/>
      <c r="P260" s="196"/>
      <c r="Q260" s="196"/>
      <c r="R260" s="196"/>
      <c r="S260" s="196"/>
      <c r="T260" s="196"/>
      <c r="U260" s="196"/>
      <c r="V260" s="196"/>
      <c r="W260" s="196"/>
      <c r="X260" s="196"/>
      <c r="Y260" s="196"/>
      <c r="Z260" s="196"/>
      <c r="AA260" s="196"/>
      <c r="AB260" s="196"/>
      <c r="AC260" s="196"/>
      <c r="AD260" s="196"/>
    </row>
    <row r="261" spans="1:30" ht="12.9">
      <c r="A261" s="196"/>
      <c r="B261" s="143"/>
      <c r="C261" s="196"/>
      <c r="D261" s="196"/>
      <c r="E261" s="196"/>
      <c r="F261" s="196"/>
      <c r="G261" s="24"/>
      <c r="H261" s="24"/>
      <c r="I261" s="196"/>
      <c r="J261" s="196"/>
      <c r="K261" s="196"/>
      <c r="L261" s="196"/>
      <c r="M261" s="196"/>
      <c r="N261" s="196"/>
      <c r="O261" s="196"/>
      <c r="P261" s="196"/>
      <c r="Q261" s="196"/>
      <c r="R261" s="196"/>
      <c r="S261" s="196"/>
      <c r="T261" s="196"/>
      <c r="U261" s="196"/>
      <c r="V261" s="196"/>
      <c r="W261" s="196"/>
      <c r="X261" s="196"/>
      <c r="Y261" s="196"/>
      <c r="Z261" s="196"/>
      <c r="AA261" s="196"/>
      <c r="AB261" s="196"/>
      <c r="AC261" s="196"/>
      <c r="AD261" s="196"/>
    </row>
    <row r="262" spans="1:30" ht="12.9">
      <c r="A262" s="196"/>
      <c r="B262" s="143"/>
      <c r="C262" s="196"/>
      <c r="D262" s="196"/>
      <c r="E262" s="196"/>
      <c r="F262" s="196"/>
      <c r="G262" s="24"/>
      <c r="H262" s="24"/>
      <c r="I262" s="196"/>
      <c r="J262" s="196"/>
      <c r="K262" s="196"/>
      <c r="L262" s="196"/>
      <c r="M262" s="196"/>
      <c r="N262" s="196"/>
      <c r="O262" s="196"/>
      <c r="P262" s="196"/>
      <c r="Q262" s="196"/>
      <c r="R262" s="196"/>
      <c r="S262" s="196"/>
      <c r="T262" s="196"/>
      <c r="U262" s="196"/>
      <c r="V262" s="196"/>
      <c r="W262" s="196"/>
      <c r="X262" s="196"/>
      <c r="Y262" s="196"/>
      <c r="Z262" s="196"/>
      <c r="AA262" s="196"/>
      <c r="AB262" s="196"/>
      <c r="AC262" s="196"/>
      <c r="AD262" s="196"/>
    </row>
    <row r="263" spans="1:30" ht="12.9">
      <c r="A263" s="196"/>
      <c r="B263" s="143"/>
      <c r="C263" s="196"/>
      <c r="D263" s="196"/>
      <c r="E263" s="196"/>
      <c r="F263" s="196"/>
      <c r="G263" s="24"/>
      <c r="H263" s="24"/>
      <c r="I263" s="196"/>
      <c r="J263" s="196"/>
      <c r="K263" s="196"/>
      <c r="L263" s="196"/>
      <c r="M263" s="196"/>
      <c r="N263" s="196"/>
      <c r="O263" s="196"/>
      <c r="P263" s="196"/>
      <c r="Q263" s="196"/>
      <c r="R263" s="196"/>
      <c r="S263" s="196"/>
      <c r="T263" s="196"/>
      <c r="U263" s="196"/>
      <c r="V263" s="196"/>
      <c r="W263" s="196"/>
      <c r="X263" s="196"/>
      <c r="Y263" s="196"/>
      <c r="Z263" s="196"/>
      <c r="AA263" s="196"/>
      <c r="AB263" s="196"/>
      <c r="AC263" s="196"/>
      <c r="AD263" s="196"/>
    </row>
    <row r="264" spans="1:30" ht="12.9">
      <c r="A264" s="196"/>
      <c r="B264" s="143"/>
      <c r="C264" s="196"/>
      <c r="D264" s="196"/>
      <c r="E264" s="196"/>
      <c r="F264" s="196"/>
      <c r="G264" s="24"/>
      <c r="H264" s="24"/>
      <c r="I264" s="196"/>
      <c r="J264" s="196"/>
      <c r="K264" s="196"/>
      <c r="L264" s="196"/>
      <c r="M264" s="196"/>
      <c r="N264" s="196"/>
      <c r="O264" s="196"/>
      <c r="P264" s="196"/>
      <c r="Q264" s="196"/>
      <c r="R264" s="196"/>
      <c r="S264" s="196"/>
      <c r="T264" s="196"/>
      <c r="U264" s="196"/>
      <c r="V264" s="196"/>
      <c r="W264" s="196"/>
      <c r="X264" s="196"/>
      <c r="Y264" s="196"/>
      <c r="Z264" s="196"/>
      <c r="AA264" s="196"/>
      <c r="AB264" s="196"/>
      <c r="AC264" s="196"/>
      <c r="AD264" s="196"/>
    </row>
    <row r="265" spans="1:30" ht="12.9">
      <c r="A265" s="196"/>
      <c r="B265" s="143"/>
      <c r="C265" s="196"/>
      <c r="D265" s="196"/>
      <c r="E265" s="196"/>
      <c r="F265" s="196"/>
      <c r="G265" s="24"/>
      <c r="H265" s="24"/>
      <c r="I265" s="196"/>
      <c r="J265" s="196"/>
      <c r="K265" s="196"/>
      <c r="L265" s="196"/>
      <c r="M265" s="196"/>
      <c r="N265" s="196"/>
      <c r="O265" s="196"/>
      <c r="P265" s="196"/>
      <c r="Q265" s="196"/>
      <c r="R265" s="196"/>
      <c r="S265" s="196"/>
      <c r="T265" s="196"/>
      <c r="U265" s="196"/>
      <c r="V265" s="196"/>
      <c r="W265" s="196"/>
      <c r="X265" s="196"/>
      <c r="Y265" s="196"/>
      <c r="Z265" s="196"/>
      <c r="AA265" s="196"/>
      <c r="AB265" s="196"/>
      <c r="AC265" s="196"/>
      <c r="AD265" s="196"/>
    </row>
    <row r="266" spans="1:30" ht="12.9">
      <c r="A266" s="196"/>
      <c r="B266" s="143"/>
      <c r="C266" s="196"/>
      <c r="D266" s="196"/>
      <c r="E266" s="196"/>
      <c r="F266" s="196"/>
      <c r="G266" s="24"/>
      <c r="H266" s="24"/>
      <c r="I266" s="196"/>
      <c r="J266" s="196"/>
      <c r="K266" s="196"/>
      <c r="L266" s="196"/>
      <c r="M266" s="196"/>
      <c r="N266" s="196"/>
      <c r="O266" s="196"/>
      <c r="P266" s="196"/>
      <c r="Q266" s="196"/>
      <c r="R266" s="196"/>
      <c r="S266" s="196"/>
      <c r="T266" s="196"/>
      <c r="U266" s="196"/>
      <c r="V266" s="196"/>
      <c r="W266" s="196"/>
      <c r="X266" s="196"/>
      <c r="Y266" s="196"/>
      <c r="Z266" s="196"/>
      <c r="AA266" s="196"/>
      <c r="AB266" s="196"/>
      <c r="AC266" s="196"/>
      <c r="AD266" s="196"/>
    </row>
    <row r="267" spans="1:30" ht="12.9">
      <c r="A267" s="196"/>
      <c r="B267" s="143"/>
      <c r="C267" s="196"/>
      <c r="D267" s="196"/>
      <c r="E267" s="196"/>
      <c r="F267" s="196"/>
      <c r="G267" s="24"/>
      <c r="H267" s="24"/>
      <c r="I267" s="196"/>
      <c r="J267" s="196"/>
      <c r="K267" s="196"/>
      <c r="L267" s="196"/>
      <c r="M267" s="196"/>
      <c r="N267" s="196"/>
      <c r="O267" s="196"/>
      <c r="P267" s="196"/>
      <c r="Q267" s="196"/>
      <c r="R267" s="196"/>
      <c r="S267" s="196"/>
      <c r="T267" s="196"/>
      <c r="U267" s="196"/>
      <c r="V267" s="196"/>
      <c r="W267" s="196"/>
      <c r="X267" s="196"/>
      <c r="Y267" s="196"/>
      <c r="Z267" s="196"/>
      <c r="AA267" s="196"/>
      <c r="AB267" s="196"/>
      <c r="AC267" s="196"/>
      <c r="AD267" s="196"/>
    </row>
    <row r="268" spans="1:30" ht="12.9">
      <c r="A268" s="196"/>
      <c r="B268" s="143"/>
      <c r="C268" s="196"/>
      <c r="D268" s="196"/>
      <c r="E268" s="196"/>
      <c r="F268" s="196"/>
      <c r="G268" s="24"/>
      <c r="H268" s="24"/>
      <c r="I268" s="196"/>
      <c r="J268" s="196"/>
      <c r="K268" s="196"/>
      <c r="L268" s="196"/>
      <c r="M268" s="196"/>
      <c r="N268" s="196"/>
      <c r="O268" s="196"/>
      <c r="P268" s="196"/>
      <c r="Q268" s="196"/>
      <c r="R268" s="196"/>
      <c r="S268" s="196"/>
      <c r="T268" s="196"/>
      <c r="U268" s="196"/>
      <c r="V268" s="196"/>
      <c r="W268" s="196"/>
      <c r="X268" s="196"/>
      <c r="Y268" s="196"/>
      <c r="Z268" s="196"/>
      <c r="AA268" s="196"/>
      <c r="AB268" s="196"/>
      <c r="AC268" s="196"/>
      <c r="AD268" s="196"/>
    </row>
    <row r="269" spans="1:30" ht="12.9">
      <c r="A269" s="196"/>
      <c r="B269" s="143"/>
      <c r="C269" s="196"/>
      <c r="D269" s="196"/>
      <c r="E269" s="196"/>
      <c r="F269" s="196"/>
      <c r="G269" s="24"/>
      <c r="H269" s="24"/>
      <c r="I269" s="196"/>
      <c r="J269" s="196"/>
      <c r="K269" s="196"/>
      <c r="L269" s="196"/>
      <c r="M269" s="196"/>
      <c r="N269" s="196"/>
      <c r="O269" s="196"/>
      <c r="P269" s="196"/>
      <c r="Q269" s="196"/>
      <c r="R269" s="196"/>
      <c r="S269" s="196"/>
      <c r="T269" s="196"/>
      <c r="U269" s="196"/>
      <c r="V269" s="196"/>
      <c r="W269" s="196"/>
      <c r="X269" s="196"/>
      <c r="Y269" s="196"/>
      <c r="Z269" s="196"/>
      <c r="AA269" s="196"/>
      <c r="AB269" s="196"/>
      <c r="AC269" s="196"/>
      <c r="AD269" s="196"/>
    </row>
    <row r="270" spans="1:30" ht="12.9">
      <c r="A270" s="196"/>
      <c r="B270" s="143"/>
      <c r="C270" s="196"/>
      <c r="D270" s="196"/>
      <c r="E270" s="196"/>
      <c r="F270" s="196"/>
      <c r="G270" s="24"/>
      <c r="H270" s="24"/>
      <c r="I270" s="196"/>
      <c r="J270" s="196"/>
      <c r="K270" s="196"/>
      <c r="L270" s="196"/>
      <c r="M270" s="196"/>
      <c r="N270" s="196"/>
      <c r="O270" s="196"/>
      <c r="P270" s="196"/>
      <c r="Q270" s="196"/>
      <c r="R270" s="196"/>
      <c r="S270" s="196"/>
      <c r="T270" s="196"/>
      <c r="U270" s="196"/>
      <c r="V270" s="196"/>
      <c r="W270" s="196"/>
      <c r="X270" s="196"/>
      <c r="Y270" s="196"/>
      <c r="Z270" s="196"/>
      <c r="AA270" s="196"/>
      <c r="AB270" s="196"/>
      <c r="AC270" s="196"/>
      <c r="AD270" s="196"/>
    </row>
    <row r="271" spans="1:30" ht="12.9">
      <c r="A271" s="196"/>
      <c r="B271" s="143"/>
      <c r="C271" s="196"/>
      <c r="D271" s="196"/>
      <c r="E271" s="196"/>
      <c r="F271" s="196"/>
      <c r="G271" s="24"/>
      <c r="H271" s="24"/>
      <c r="I271" s="196"/>
      <c r="J271" s="196"/>
      <c r="K271" s="196"/>
      <c r="L271" s="196"/>
      <c r="M271" s="196"/>
      <c r="N271" s="196"/>
      <c r="O271" s="196"/>
      <c r="P271" s="196"/>
      <c r="Q271" s="196"/>
      <c r="R271" s="196"/>
      <c r="S271" s="196"/>
      <c r="T271" s="196"/>
      <c r="U271" s="196"/>
      <c r="V271" s="196"/>
      <c r="W271" s="196"/>
      <c r="X271" s="196"/>
      <c r="Y271" s="196"/>
      <c r="Z271" s="196"/>
      <c r="AA271" s="196"/>
      <c r="AB271" s="196"/>
      <c r="AC271" s="196"/>
      <c r="AD271" s="196"/>
    </row>
    <row r="272" spans="1:30" ht="12.9">
      <c r="A272" s="196"/>
      <c r="B272" s="143"/>
      <c r="C272" s="196"/>
      <c r="D272" s="196"/>
      <c r="E272" s="196"/>
      <c r="F272" s="196"/>
      <c r="G272" s="24"/>
      <c r="H272" s="24"/>
      <c r="I272" s="196"/>
      <c r="J272" s="196"/>
      <c r="K272" s="196"/>
      <c r="L272" s="196"/>
      <c r="M272" s="196"/>
      <c r="N272" s="196"/>
      <c r="O272" s="196"/>
      <c r="P272" s="196"/>
      <c r="Q272" s="196"/>
      <c r="R272" s="196"/>
      <c r="S272" s="196"/>
      <c r="T272" s="196"/>
      <c r="U272" s="196"/>
      <c r="V272" s="196"/>
      <c r="W272" s="196"/>
      <c r="X272" s="196"/>
      <c r="Y272" s="196"/>
      <c r="Z272" s="196"/>
      <c r="AA272" s="196"/>
      <c r="AB272" s="196"/>
      <c r="AC272" s="196"/>
      <c r="AD272" s="196"/>
    </row>
    <row r="273" spans="1:30" ht="12.9">
      <c r="A273" s="196"/>
      <c r="B273" s="143"/>
      <c r="C273" s="196"/>
      <c r="D273" s="196"/>
      <c r="E273" s="196"/>
      <c r="F273" s="196"/>
      <c r="G273" s="24"/>
      <c r="H273" s="24"/>
      <c r="I273" s="196"/>
      <c r="J273" s="196"/>
      <c r="K273" s="196"/>
      <c r="L273" s="196"/>
      <c r="M273" s="196"/>
      <c r="N273" s="196"/>
      <c r="O273" s="196"/>
      <c r="P273" s="196"/>
      <c r="Q273" s="196"/>
      <c r="R273" s="196"/>
      <c r="S273" s="196"/>
      <c r="T273" s="196"/>
      <c r="U273" s="196"/>
      <c r="V273" s="196"/>
      <c r="W273" s="196"/>
      <c r="X273" s="196"/>
      <c r="Y273" s="196"/>
      <c r="Z273" s="196"/>
      <c r="AA273" s="196"/>
      <c r="AB273" s="196"/>
      <c r="AC273" s="196"/>
      <c r="AD273" s="196"/>
    </row>
    <row r="274" spans="1:30" ht="12.9">
      <c r="A274" s="196"/>
      <c r="B274" s="143"/>
      <c r="C274" s="196"/>
      <c r="D274" s="196"/>
      <c r="E274" s="196"/>
      <c r="F274" s="196"/>
      <c r="G274" s="24"/>
      <c r="H274" s="24"/>
      <c r="I274" s="196"/>
      <c r="J274" s="196"/>
      <c r="K274" s="196"/>
      <c r="L274" s="196"/>
      <c r="M274" s="196"/>
      <c r="N274" s="196"/>
      <c r="O274" s="196"/>
      <c r="P274" s="196"/>
      <c r="Q274" s="196"/>
      <c r="R274" s="196"/>
      <c r="S274" s="196"/>
      <c r="T274" s="196"/>
      <c r="U274" s="196"/>
      <c r="V274" s="196"/>
      <c r="W274" s="196"/>
      <c r="X274" s="196"/>
      <c r="Y274" s="196"/>
      <c r="Z274" s="196"/>
      <c r="AA274" s="196"/>
      <c r="AB274" s="196"/>
      <c r="AC274" s="196"/>
      <c r="AD274" s="196"/>
    </row>
    <row r="275" spans="1:30" ht="12.9">
      <c r="A275" s="196"/>
      <c r="B275" s="143"/>
      <c r="C275" s="196"/>
      <c r="D275" s="196"/>
      <c r="E275" s="196"/>
      <c r="F275" s="196"/>
      <c r="G275" s="24"/>
      <c r="H275" s="24"/>
      <c r="I275" s="196"/>
      <c r="J275" s="196"/>
      <c r="K275" s="196"/>
      <c r="L275" s="196"/>
      <c r="M275" s="196"/>
      <c r="N275" s="196"/>
      <c r="O275" s="196"/>
      <c r="P275" s="196"/>
      <c r="Q275" s="196"/>
      <c r="R275" s="196"/>
      <c r="S275" s="196"/>
      <c r="T275" s="196"/>
      <c r="U275" s="196"/>
      <c r="V275" s="196"/>
      <c r="W275" s="196"/>
      <c r="X275" s="196"/>
      <c r="Y275" s="196"/>
      <c r="Z275" s="196"/>
      <c r="AA275" s="196"/>
      <c r="AB275" s="196"/>
      <c r="AC275" s="196"/>
      <c r="AD275" s="196"/>
    </row>
    <row r="276" spans="1:30" ht="12.9">
      <c r="A276" s="196"/>
      <c r="B276" s="143"/>
      <c r="C276" s="196"/>
      <c r="D276" s="196"/>
      <c r="E276" s="196"/>
      <c r="F276" s="196"/>
      <c r="G276" s="24"/>
      <c r="H276" s="24"/>
      <c r="I276" s="196"/>
      <c r="J276" s="196"/>
      <c r="K276" s="196"/>
      <c r="L276" s="196"/>
      <c r="M276" s="196"/>
      <c r="N276" s="196"/>
      <c r="O276" s="196"/>
      <c r="P276" s="196"/>
      <c r="Q276" s="196"/>
      <c r="R276" s="196"/>
      <c r="S276" s="196"/>
      <c r="T276" s="196"/>
      <c r="U276" s="196"/>
      <c r="V276" s="196"/>
      <c r="W276" s="196"/>
      <c r="X276" s="196"/>
      <c r="Y276" s="196"/>
      <c r="Z276" s="196"/>
      <c r="AA276" s="196"/>
      <c r="AB276" s="196"/>
      <c r="AC276" s="196"/>
      <c r="AD276" s="196"/>
    </row>
    <row r="277" spans="1:30" ht="12.9">
      <c r="A277" s="196"/>
      <c r="B277" s="143"/>
      <c r="C277" s="196"/>
      <c r="D277" s="196"/>
      <c r="E277" s="196"/>
      <c r="F277" s="196"/>
      <c r="G277" s="24"/>
      <c r="H277" s="24"/>
      <c r="I277" s="196"/>
      <c r="J277" s="196"/>
      <c r="K277" s="196"/>
      <c r="L277" s="196"/>
      <c r="M277" s="196"/>
      <c r="N277" s="196"/>
      <c r="O277" s="196"/>
      <c r="P277" s="196"/>
      <c r="Q277" s="196"/>
      <c r="R277" s="196"/>
      <c r="S277" s="196"/>
      <c r="T277" s="196"/>
      <c r="U277" s="196"/>
      <c r="V277" s="196"/>
      <c r="W277" s="196"/>
      <c r="X277" s="196"/>
      <c r="Y277" s="196"/>
      <c r="Z277" s="196"/>
      <c r="AA277" s="196"/>
      <c r="AB277" s="196"/>
      <c r="AC277" s="196"/>
      <c r="AD277" s="196"/>
    </row>
    <row r="278" spans="1:30" ht="12.9">
      <c r="A278" s="196"/>
      <c r="B278" s="143"/>
      <c r="C278" s="196"/>
      <c r="D278" s="196"/>
      <c r="E278" s="196"/>
      <c r="F278" s="196"/>
      <c r="G278" s="24"/>
      <c r="H278" s="24"/>
      <c r="I278" s="196"/>
      <c r="J278" s="196"/>
      <c r="K278" s="196"/>
      <c r="L278" s="196"/>
      <c r="M278" s="196"/>
      <c r="N278" s="196"/>
      <c r="O278" s="196"/>
      <c r="P278" s="196"/>
      <c r="Q278" s="196"/>
      <c r="R278" s="196"/>
      <c r="S278" s="196"/>
      <c r="T278" s="196"/>
      <c r="U278" s="196"/>
      <c r="V278" s="196"/>
      <c r="W278" s="196"/>
      <c r="X278" s="196"/>
      <c r="Y278" s="196"/>
      <c r="Z278" s="196"/>
      <c r="AA278" s="196"/>
      <c r="AB278" s="196"/>
      <c r="AC278" s="196"/>
      <c r="AD278" s="196"/>
    </row>
    <row r="279" spans="1:30" ht="12.9">
      <c r="A279" s="196"/>
      <c r="B279" s="143"/>
      <c r="C279" s="196"/>
      <c r="D279" s="196"/>
      <c r="E279" s="196"/>
      <c r="F279" s="196"/>
      <c r="G279" s="24"/>
      <c r="H279" s="24"/>
      <c r="I279" s="196"/>
      <c r="J279" s="196"/>
      <c r="K279" s="196"/>
      <c r="L279" s="196"/>
      <c r="M279" s="196"/>
      <c r="N279" s="196"/>
      <c r="O279" s="196"/>
      <c r="P279" s="196"/>
      <c r="Q279" s="196"/>
      <c r="R279" s="196"/>
      <c r="S279" s="196"/>
      <c r="T279" s="196"/>
      <c r="U279" s="196"/>
      <c r="V279" s="196"/>
      <c r="W279" s="196"/>
      <c r="X279" s="196"/>
      <c r="Y279" s="196"/>
      <c r="Z279" s="196"/>
      <c r="AA279" s="196"/>
      <c r="AB279" s="196"/>
      <c r="AC279" s="196"/>
      <c r="AD279" s="196"/>
    </row>
    <row r="280" spans="1:30" ht="12.9">
      <c r="A280" s="196"/>
      <c r="B280" s="143"/>
      <c r="C280" s="196"/>
      <c r="D280" s="196"/>
      <c r="E280" s="196"/>
      <c r="F280" s="196"/>
      <c r="G280" s="24"/>
      <c r="H280" s="24"/>
      <c r="I280" s="196"/>
      <c r="J280" s="196"/>
      <c r="K280" s="196"/>
      <c r="L280" s="196"/>
      <c r="M280" s="196"/>
      <c r="N280" s="196"/>
      <c r="O280" s="196"/>
      <c r="P280" s="196"/>
      <c r="Q280" s="196"/>
      <c r="R280" s="196"/>
      <c r="S280" s="196"/>
      <c r="T280" s="196"/>
      <c r="U280" s="196"/>
      <c r="V280" s="196"/>
      <c r="W280" s="196"/>
      <c r="X280" s="196"/>
      <c r="Y280" s="196"/>
      <c r="Z280" s="196"/>
      <c r="AA280" s="196"/>
      <c r="AB280" s="196"/>
      <c r="AC280" s="196"/>
      <c r="AD280" s="196"/>
    </row>
    <row r="281" spans="1:30" ht="12.9">
      <c r="A281" s="196"/>
      <c r="B281" s="143"/>
      <c r="C281" s="196"/>
      <c r="D281" s="196"/>
      <c r="E281" s="196"/>
      <c r="F281" s="196"/>
      <c r="G281" s="24"/>
      <c r="H281" s="24"/>
      <c r="I281" s="196"/>
      <c r="J281" s="196"/>
      <c r="K281" s="196"/>
      <c r="L281" s="196"/>
      <c r="M281" s="196"/>
      <c r="N281" s="196"/>
      <c r="O281" s="196"/>
      <c r="P281" s="196"/>
      <c r="Q281" s="196"/>
      <c r="R281" s="196"/>
      <c r="S281" s="196"/>
      <c r="T281" s="196"/>
      <c r="U281" s="196"/>
      <c r="V281" s="196"/>
      <c r="W281" s="196"/>
      <c r="X281" s="196"/>
      <c r="Y281" s="196"/>
      <c r="Z281" s="196"/>
      <c r="AA281" s="196"/>
      <c r="AB281" s="196"/>
      <c r="AC281" s="196"/>
      <c r="AD281" s="196"/>
    </row>
    <row r="282" spans="1:30" ht="12.9">
      <c r="A282" s="196"/>
      <c r="B282" s="143"/>
      <c r="C282" s="196"/>
      <c r="D282" s="196"/>
      <c r="E282" s="196"/>
      <c r="F282" s="196"/>
      <c r="G282" s="24"/>
      <c r="H282" s="24"/>
      <c r="I282" s="196"/>
      <c r="J282" s="196"/>
      <c r="K282" s="196"/>
      <c r="L282" s="196"/>
      <c r="M282" s="196"/>
      <c r="N282" s="196"/>
      <c r="O282" s="196"/>
      <c r="P282" s="196"/>
      <c r="Q282" s="196"/>
      <c r="R282" s="196"/>
      <c r="S282" s="196"/>
      <c r="T282" s="196"/>
      <c r="U282" s="196"/>
      <c r="V282" s="196"/>
      <c r="W282" s="196"/>
      <c r="X282" s="196"/>
      <c r="Y282" s="196"/>
      <c r="Z282" s="196"/>
      <c r="AA282" s="196"/>
      <c r="AB282" s="196"/>
      <c r="AC282" s="196"/>
      <c r="AD282" s="196"/>
    </row>
    <row r="283" spans="1:30" ht="12.9">
      <c r="A283" s="196"/>
      <c r="B283" s="143"/>
      <c r="C283" s="196"/>
      <c r="D283" s="196"/>
      <c r="E283" s="196"/>
      <c r="F283" s="196"/>
      <c r="G283" s="24"/>
      <c r="H283" s="24"/>
      <c r="I283" s="196"/>
      <c r="J283" s="196"/>
      <c r="K283" s="196"/>
      <c r="L283" s="196"/>
      <c r="M283" s="196"/>
      <c r="N283" s="196"/>
      <c r="O283" s="196"/>
      <c r="P283" s="196"/>
      <c r="Q283" s="196"/>
      <c r="R283" s="196"/>
      <c r="S283" s="196"/>
      <c r="T283" s="196"/>
      <c r="U283" s="196"/>
      <c r="V283" s="196"/>
      <c r="W283" s="196"/>
      <c r="X283" s="196"/>
      <c r="Y283" s="196"/>
      <c r="Z283" s="196"/>
      <c r="AA283" s="196"/>
      <c r="AB283" s="196"/>
      <c r="AC283" s="196"/>
      <c r="AD283" s="196"/>
    </row>
    <row r="284" spans="1:30" ht="12.9">
      <c r="A284" s="196"/>
      <c r="B284" s="143"/>
      <c r="C284" s="196"/>
      <c r="D284" s="196"/>
      <c r="E284" s="196"/>
      <c r="F284" s="196"/>
      <c r="G284" s="24"/>
      <c r="H284" s="24"/>
      <c r="I284" s="196"/>
      <c r="J284" s="196"/>
      <c r="K284" s="196"/>
      <c r="L284" s="196"/>
      <c r="M284" s="196"/>
      <c r="N284" s="196"/>
      <c r="O284" s="196"/>
      <c r="P284" s="196"/>
      <c r="Q284" s="196"/>
      <c r="R284" s="196"/>
      <c r="S284" s="196"/>
      <c r="T284" s="196"/>
      <c r="U284" s="196"/>
      <c r="V284" s="196"/>
      <c r="W284" s="196"/>
      <c r="X284" s="196"/>
      <c r="Y284" s="196"/>
      <c r="Z284" s="196"/>
      <c r="AA284" s="196"/>
      <c r="AB284" s="196"/>
      <c r="AC284" s="196"/>
      <c r="AD284" s="196"/>
    </row>
    <row r="285" spans="1:30" ht="12.9">
      <c r="A285" s="196"/>
      <c r="B285" s="143"/>
      <c r="C285" s="196"/>
      <c r="D285" s="196"/>
      <c r="E285" s="196"/>
      <c r="F285" s="196"/>
      <c r="G285" s="24"/>
      <c r="H285" s="24"/>
      <c r="I285" s="196"/>
      <c r="J285" s="196"/>
      <c r="K285" s="196"/>
      <c r="L285" s="196"/>
      <c r="M285" s="196"/>
      <c r="N285" s="196"/>
      <c r="O285" s="196"/>
      <c r="P285" s="196"/>
      <c r="Q285" s="196"/>
      <c r="R285" s="196"/>
      <c r="S285" s="196"/>
      <c r="T285" s="196"/>
      <c r="U285" s="196"/>
      <c r="V285" s="196"/>
      <c r="W285" s="196"/>
      <c r="X285" s="196"/>
      <c r="Y285" s="196"/>
      <c r="Z285" s="196"/>
      <c r="AA285" s="196"/>
      <c r="AB285" s="196"/>
      <c r="AC285" s="196"/>
      <c r="AD285" s="196"/>
    </row>
    <row r="286" spans="1:30" ht="12.9">
      <c r="A286" s="196"/>
      <c r="B286" s="143"/>
      <c r="C286" s="196"/>
      <c r="D286" s="196"/>
      <c r="E286" s="196"/>
      <c r="F286" s="196"/>
      <c r="G286" s="24"/>
      <c r="H286" s="24"/>
      <c r="I286" s="196"/>
      <c r="J286" s="196"/>
      <c r="K286" s="196"/>
      <c r="L286" s="196"/>
      <c r="M286" s="196"/>
      <c r="N286" s="196"/>
      <c r="O286" s="196"/>
      <c r="P286" s="196"/>
      <c r="Q286" s="196"/>
      <c r="R286" s="196"/>
      <c r="S286" s="196"/>
      <c r="T286" s="196"/>
      <c r="U286" s="196"/>
      <c r="V286" s="196"/>
      <c r="W286" s="196"/>
      <c r="X286" s="196"/>
      <c r="Y286" s="196"/>
      <c r="Z286" s="196"/>
      <c r="AA286" s="196"/>
      <c r="AB286" s="196"/>
      <c r="AC286" s="196"/>
      <c r="AD286" s="196"/>
    </row>
    <row r="287" spans="1:30" ht="12.9">
      <c r="A287" s="196"/>
      <c r="B287" s="143"/>
      <c r="C287" s="196"/>
      <c r="D287" s="196"/>
      <c r="E287" s="196"/>
      <c r="F287" s="196"/>
      <c r="G287" s="24"/>
      <c r="H287" s="24"/>
      <c r="I287" s="196"/>
      <c r="J287" s="196"/>
      <c r="K287" s="196"/>
      <c r="L287" s="196"/>
      <c r="M287" s="196"/>
      <c r="N287" s="196"/>
      <c r="O287" s="196"/>
      <c r="P287" s="196"/>
      <c r="Q287" s="196"/>
      <c r="R287" s="196"/>
      <c r="S287" s="196"/>
      <c r="T287" s="196"/>
      <c r="U287" s="196"/>
      <c r="V287" s="196"/>
      <c r="W287" s="196"/>
      <c r="X287" s="196"/>
      <c r="Y287" s="196"/>
      <c r="Z287" s="196"/>
      <c r="AA287" s="196"/>
      <c r="AB287" s="196"/>
      <c r="AC287" s="196"/>
      <c r="AD287" s="196"/>
    </row>
    <row r="288" spans="1:30" ht="12.9">
      <c r="A288" s="196"/>
      <c r="B288" s="143"/>
      <c r="C288" s="196"/>
      <c r="D288" s="196"/>
      <c r="E288" s="196"/>
      <c r="F288" s="196"/>
      <c r="G288" s="24"/>
      <c r="H288" s="24"/>
      <c r="I288" s="196"/>
      <c r="J288" s="196"/>
      <c r="K288" s="196"/>
      <c r="L288" s="196"/>
      <c r="M288" s="196"/>
      <c r="N288" s="196"/>
      <c r="O288" s="196"/>
      <c r="P288" s="196"/>
      <c r="Q288" s="196"/>
      <c r="R288" s="196"/>
      <c r="S288" s="196"/>
      <c r="T288" s="196"/>
      <c r="U288" s="196"/>
      <c r="V288" s="196"/>
      <c r="W288" s="196"/>
      <c r="X288" s="196"/>
      <c r="Y288" s="196"/>
      <c r="Z288" s="196"/>
      <c r="AA288" s="196"/>
      <c r="AB288" s="196"/>
      <c r="AC288" s="196"/>
      <c r="AD288" s="196"/>
    </row>
    <row r="289" spans="1:30" ht="12.9">
      <c r="A289" s="196"/>
      <c r="B289" s="143"/>
      <c r="C289" s="196"/>
      <c r="D289" s="196"/>
      <c r="E289" s="196"/>
      <c r="F289" s="196"/>
      <c r="G289" s="24"/>
      <c r="H289" s="24"/>
      <c r="I289" s="196"/>
      <c r="J289" s="196"/>
      <c r="K289" s="196"/>
      <c r="L289" s="196"/>
      <c r="M289" s="196"/>
      <c r="N289" s="196"/>
      <c r="O289" s="196"/>
      <c r="P289" s="196"/>
      <c r="Q289" s="196"/>
      <c r="R289" s="196"/>
      <c r="S289" s="196"/>
      <c r="T289" s="196"/>
      <c r="U289" s="196"/>
      <c r="V289" s="196"/>
      <c r="W289" s="196"/>
      <c r="X289" s="196"/>
      <c r="Y289" s="196"/>
      <c r="Z289" s="196"/>
      <c r="AA289" s="196"/>
      <c r="AB289" s="196"/>
      <c r="AC289" s="196"/>
      <c r="AD289" s="196"/>
    </row>
    <row r="290" spans="1:30" ht="12.9">
      <c r="A290" s="196"/>
      <c r="B290" s="143"/>
      <c r="C290" s="196"/>
      <c r="D290" s="196"/>
      <c r="E290" s="196"/>
      <c r="F290" s="196"/>
      <c r="G290" s="24"/>
      <c r="H290" s="24"/>
      <c r="I290" s="196"/>
      <c r="J290" s="196"/>
      <c r="K290" s="196"/>
      <c r="L290" s="196"/>
      <c r="M290" s="196"/>
      <c r="N290" s="196"/>
      <c r="O290" s="196"/>
      <c r="P290" s="196"/>
      <c r="Q290" s="196"/>
      <c r="R290" s="196"/>
      <c r="S290" s="196"/>
      <c r="T290" s="196"/>
      <c r="U290" s="196"/>
      <c r="V290" s="196"/>
      <c r="W290" s="196"/>
      <c r="X290" s="196"/>
      <c r="Y290" s="196"/>
      <c r="Z290" s="196"/>
      <c r="AA290" s="196"/>
      <c r="AB290" s="196"/>
      <c r="AC290" s="196"/>
      <c r="AD290" s="196"/>
    </row>
    <row r="291" spans="1:30" ht="12.9">
      <c r="A291" s="196"/>
      <c r="B291" s="143"/>
      <c r="C291" s="196"/>
      <c r="D291" s="196"/>
      <c r="E291" s="196"/>
      <c r="F291" s="196"/>
      <c r="G291" s="24"/>
      <c r="H291" s="24"/>
      <c r="I291" s="196"/>
      <c r="J291" s="196"/>
      <c r="K291" s="196"/>
      <c r="L291" s="196"/>
      <c r="M291" s="196"/>
      <c r="N291" s="196"/>
      <c r="O291" s="196"/>
      <c r="P291" s="196"/>
      <c r="Q291" s="196"/>
      <c r="R291" s="196"/>
      <c r="S291" s="196"/>
      <c r="T291" s="196"/>
      <c r="U291" s="196"/>
      <c r="V291" s="196"/>
      <c r="W291" s="196"/>
      <c r="X291" s="196"/>
      <c r="Y291" s="196"/>
      <c r="Z291" s="196"/>
      <c r="AA291" s="196"/>
      <c r="AB291" s="196"/>
      <c r="AC291" s="196"/>
      <c r="AD291" s="196"/>
    </row>
    <row r="292" spans="1:30" ht="12.9">
      <c r="A292" s="196"/>
      <c r="B292" s="143"/>
      <c r="C292" s="196"/>
      <c r="D292" s="196"/>
      <c r="E292" s="196"/>
      <c r="F292" s="196"/>
      <c r="G292" s="24"/>
      <c r="H292" s="24"/>
      <c r="I292" s="196"/>
      <c r="J292" s="196"/>
      <c r="K292" s="196"/>
      <c r="L292" s="196"/>
      <c r="M292" s="196"/>
      <c r="N292" s="196"/>
      <c r="O292" s="196"/>
      <c r="P292" s="196"/>
      <c r="Q292" s="196"/>
      <c r="R292" s="196"/>
      <c r="S292" s="196"/>
      <c r="T292" s="196"/>
      <c r="U292" s="196"/>
      <c r="V292" s="196"/>
      <c r="W292" s="196"/>
      <c r="X292" s="196"/>
      <c r="Y292" s="196"/>
      <c r="Z292" s="196"/>
      <c r="AA292" s="196"/>
      <c r="AB292" s="196"/>
      <c r="AC292" s="196"/>
      <c r="AD292" s="196"/>
    </row>
    <row r="293" spans="1:30" ht="12.9">
      <c r="A293" s="196"/>
      <c r="B293" s="143"/>
      <c r="C293" s="196"/>
      <c r="D293" s="196"/>
      <c r="E293" s="196"/>
      <c r="F293" s="196"/>
      <c r="G293" s="24"/>
      <c r="H293" s="24"/>
      <c r="I293" s="196"/>
      <c r="J293" s="196"/>
      <c r="K293" s="196"/>
      <c r="L293" s="196"/>
      <c r="M293" s="196"/>
      <c r="N293" s="196"/>
      <c r="O293" s="196"/>
      <c r="P293" s="196"/>
      <c r="Q293" s="196"/>
      <c r="R293" s="196"/>
      <c r="S293" s="196"/>
      <c r="T293" s="196"/>
      <c r="U293" s="196"/>
      <c r="V293" s="196"/>
      <c r="W293" s="196"/>
      <c r="X293" s="196"/>
      <c r="Y293" s="196"/>
      <c r="Z293" s="196"/>
      <c r="AA293" s="196"/>
      <c r="AB293" s="196"/>
      <c r="AC293" s="196"/>
      <c r="AD293" s="196"/>
    </row>
    <row r="294" spans="1:30" ht="12.9">
      <c r="A294" s="196"/>
      <c r="B294" s="143"/>
      <c r="C294" s="196"/>
      <c r="D294" s="196"/>
      <c r="E294" s="196"/>
      <c r="F294" s="196"/>
      <c r="G294" s="24"/>
      <c r="H294" s="24"/>
      <c r="I294" s="196"/>
      <c r="J294" s="196"/>
      <c r="K294" s="196"/>
      <c r="L294" s="196"/>
      <c r="M294" s="196"/>
      <c r="N294" s="196"/>
      <c r="O294" s="196"/>
      <c r="P294" s="196"/>
      <c r="Q294" s="196"/>
      <c r="R294" s="196"/>
      <c r="S294" s="196"/>
      <c r="T294" s="196"/>
      <c r="U294" s="196"/>
      <c r="V294" s="196"/>
      <c r="W294" s="196"/>
      <c r="X294" s="196"/>
      <c r="Y294" s="196"/>
      <c r="Z294" s="196"/>
      <c r="AA294" s="196"/>
      <c r="AB294" s="196"/>
      <c r="AC294" s="196"/>
      <c r="AD294" s="196"/>
    </row>
    <row r="295" spans="1:30" ht="12.9">
      <c r="A295" s="196"/>
      <c r="B295" s="143"/>
      <c r="C295" s="196"/>
      <c r="D295" s="196"/>
      <c r="E295" s="196"/>
      <c r="F295" s="196"/>
      <c r="G295" s="24"/>
      <c r="H295" s="24"/>
      <c r="I295" s="196"/>
      <c r="J295" s="196"/>
      <c r="K295" s="196"/>
      <c r="L295" s="196"/>
      <c r="M295" s="196"/>
      <c r="N295" s="196"/>
      <c r="O295" s="196"/>
      <c r="P295" s="196"/>
      <c r="Q295" s="196"/>
      <c r="R295" s="196"/>
      <c r="S295" s="196"/>
      <c r="T295" s="196"/>
      <c r="U295" s="196"/>
      <c r="V295" s="196"/>
      <c r="W295" s="196"/>
      <c r="X295" s="196"/>
      <c r="Y295" s="196"/>
      <c r="Z295" s="196"/>
      <c r="AA295" s="196"/>
      <c r="AB295" s="196"/>
      <c r="AC295" s="196"/>
      <c r="AD295" s="196"/>
    </row>
    <row r="296" spans="1:30" ht="12.9">
      <c r="A296" s="196"/>
      <c r="B296" s="143"/>
      <c r="C296" s="196"/>
      <c r="D296" s="196"/>
      <c r="E296" s="196"/>
      <c r="F296" s="196"/>
      <c r="G296" s="24"/>
      <c r="H296" s="24"/>
      <c r="I296" s="196"/>
      <c r="J296" s="196"/>
      <c r="K296" s="196"/>
      <c r="L296" s="196"/>
      <c r="M296" s="196"/>
      <c r="N296" s="196"/>
      <c r="O296" s="196"/>
      <c r="P296" s="196"/>
      <c r="Q296" s="196"/>
      <c r="R296" s="196"/>
      <c r="S296" s="196"/>
      <c r="T296" s="196"/>
      <c r="U296" s="196"/>
      <c r="V296" s="196"/>
      <c r="W296" s="196"/>
      <c r="X296" s="196"/>
      <c r="Y296" s="196"/>
      <c r="Z296" s="196"/>
      <c r="AA296" s="196"/>
      <c r="AB296" s="196"/>
      <c r="AC296" s="196"/>
      <c r="AD296" s="196"/>
    </row>
    <row r="297" spans="1:30" ht="12.9">
      <c r="A297" s="196"/>
      <c r="B297" s="143"/>
      <c r="C297" s="196"/>
      <c r="D297" s="196"/>
      <c r="E297" s="196"/>
      <c r="F297" s="196"/>
      <c r="G297" s="24"/>
      <c r="H297" s="24"/>
      <c r="I297" s="196"/>
      <c r="J297" s="196"/>
      <c r="K297" s="196"/>
      <c r="L297" s="196"/>
      <c r="M297" s="196"/>
      <c r="N297" s="196"/>
      <c r="O297" s="196"/>
      <c r="P297" s="196"/>
      <c r="Q297" s="196"/>
      <c r="R297" s="196"/>
      <c r="S297" s="196"/>
      <c r="T297" s="196"/>
      <c r="U297" s="196"/>
      <c r="V297" s="196"/>
      <c r="W297" s="196"/>
      <c r="X297" s="196"/>
      <c r="Y297" s="196"/>
      <c r="Z297" s="196"/>
      <c r="AA297" s="196"/>
      <c r="AB297" s="196"/>
      <c r="AC297" s="196"/>
      <c r="AD297" s="196"/>
    </row>
    <row r="298" spans="1:30" ht="12.9">
      <c r="A298" s="196"/>
      <c r="B298" s="143"/>
      <c r="C298" s="196"/>
      <c r="D298" s="196"/>
      <c r="E298" s="196"/>
      <c r="F298" s="196"/>
      <c r="G298" s="24"/>
      <c r="H298" s="24"/>
      <c r="I298" s="196"/>
      <c r="J298" s="196"/>
      <c r="K298" s="196"/>
      <c r="L298" s="196"/>
      <c r="M298" s="196"/>
      <c r="N298" s="196"/>
      <c r="O298" s="196"/>
      <c r="P298" s="196"/>
      <c r="Q298" s="196"/>
      <c r="R298" s="196"/>
      <c r="S298" s="196"/>
      <c r="T298" s="196"/>
      <c r="U298" s="196"/>
      <c r="V298" s="196"/>
      <c r="W298" s="196"/>
      <c r="X298" s="196"/>
      <c r="Y298" s="196"/>
      <c r="Z298" s="196"/>
      <c r="AA298" s="196"/>
      <c r="AB298" s="196"/>
      <c r="AC298" s="196"/>
      <c r="AD298" s="196"/>
    </row>
    <row r="299" spans="1:30" ht="12.9">
      <c r="A299" s="196"/>
      <c r="B299" s="143"/>
      <c r="C299" s="196"/>
      <c r="D299" s="196"/>
      <c r="E299" s="196"/>
      <c r="F299" s="196"/>
      <c r="G299" s="24"/>
      <c r="H299" s="24"/>
      <c r="I299" s="196"/>
      <c r="J299" s="196"/>
      <c r="K299" s="196"/>
      <c r="L299" s="196"/>
      <c r="M299" s="196"/>
      <c r="N299" s="196"/>
      <c r="O299" s="196"/>
      <c r="P299" s="196"/>
      <c r="Q299" s="196"/>
      <c r="R299" s="196"/>
      <c r="S299" s="196"/>
      <c r="T299" s="196"/>
      <c r="U299" s="196"/>
      <c r="V299" s="196"/>
      <c r="W299" s="196"/>
      <c r="X299" s="196"/>
      <c r="Y299" s="196"/>
      <c r="Z299" s="196"/>
      <c r="AA299" s="196"/>
      <c r="AB299" s="196"/>
      <c r="AC299" s="196"/>
      <c r="AD299" s="196"/>
    </row>
    <row r="300" spans="1:30" ht="12.9">
      <c r="A300" s="196"/>
      <c r="B300" s="143"/>
      <c r="C300" s="196"/>
      <c r="D300" s="196"/>
      <c r="E300" s="196"/>
      <c r="F300" s="196"/>
      <c r="G300" s="24"/>
      <c r="H300" s="24"/>
      <c r="I300" s="196"/>
      <c r="J300" s="196"/>
      <c r="K300" s="196"/>
      <c r="L300" s="196"/>
      <c r="M300" s="196"/>
      <c r="N300" s="196"/>
      <c r="O300" s="196"/>
      <c r="P300" s="196"/>
      <c r="Q300" s="196"/>
      <c r="R300" s="196"/>
      <c r="S300" s="196"/>
      <c r="T300" s="196"/>
      <c r="U300" s="196"/>
      <c r="V300" s="196"/>
      <c r="W300" s="196"/>
      <c r="X300" s="196"/>
      <c r="Y300" s="196"/>
      <c r="Z300" s="196"/>
      <c r="AA300" s="196"/>
      <c r="AB300" s="196"/>
      <c r="AC300" s="196"/>
      <c r="AD300" s="196"/>
    </row>
    <row r="301" spans="1:30" ht="12.9">
      <c r="A301" s="196"/>
      <c r="B301" s="143"/>
      <c r="C301" s="196"/>
      <c r="D301" s="196"/>
      <c r="E301" s="196"/>
      <c r="F301" s="196"/>
      <c r="G301" s="24"/>
      <c r="H301" s="24"/>
      <c r="I301" s="196"/>
      <c r="J301" s="196"/>
      <c r="K301" s="196"/>
      <c r="L301" s="196"/>
      <c r="M301" s="196"/>
      <c r="N301" s="196"/>
      <c r="O301" s="196"/>
      <c r="P301" s="196"/>
      <c r="Q301" s="196"/>
      <c r="R301" s="196"/>
      <c r="S301" s="196"/>
      <c r="T301" s="196"/>
      <c r="U301" s="196"/>
      <c r="V301" s="196"/>
      <c r="W301" s="196"/>
      <c r="X301" s="196"/>
      <c r="Y301" s="196"/>
      <c r="Z301" s="196"/>
      <c r="AA301" s="196"/>
      <c r="AB301" s="196"/>
      <c r="AC301" s="196"/>
      <c r="AD301" s="196"/>
    </row>
    <row r="302" spans="1:30" ht="12.9">
      <c r="A302" s="196"/>
      <c r="B302" s="143"/>
      <c r="C302" s="196"/>
      <c r="D302" s="196"/>
      <c r="E302" s="196"/>
      <c r="F302" s="196"/>
      <c r="G302" s="24"/>
      <c r="H302" s="24"/>
      <c r="I302" s="196"/>
      <c r="J302" s="196"/>
      <c r="K302" s="196"/>
      <c r="L302" s="196"/>
      <c r="M302" s="196"/>
      <c r="N302" s="196"/>
      <c r="O302" s="196"/>
      <c r="P302" s="196"/>
      <c r="Q302" s="196"/>
      <c r="R302" s="196"/>
      <c r="S302" s="196"/>
      <c r="T302" s="196"/>
      <c r="U302" s="196"/>
      <c r="V302" s="196"/>
      <c r="W302" s="196"/>
      <c r="X302" s="196"/>
      <c r="Y302" s="196"/>
      <c r="Z302" s="196"/>
      <c r="AA302" s="196"/>
      <c r="AB302" s="196"/>
      <c r="AC302" s="196"/>
      <c r="AD302" s="196"/>
    </row>
    <row r="303" spans="1:30" ht="12.9">
      <c r="A303" s="196"/>
      <c r="B303" s="143"/>
      <c r="C303" s="196"/>
      <c r="D303" s="196"/>
      <c r="E303" s="196"/>
      <c r="F303" s="196"/>
      <c r="G303" s="24"/>
      <c r="H303" s="24"/>
      <c r="I303" s="196"/>
      <c r="J303" s="196"/>
      <c r="K303" s="196"/>
      <c r="L303" s="196"/>
      <c r="M303" s="196"/>
      <c r="N303" s="196"/>
      <c r="O303" s="196"/>
      <c r="P303" s="196"/>
      <c r="Q303" s="196"/>
      <c r="R303" s="196"/>
      <c r="S303" s="196"/>
      <c r="T303" s="196"/>
      <c r="U303" s="196"/>
      <c r="V303" s="196"/>
      <c r="W303" s="196"/>
      <c r="X303" s="196"/>
      <c r="Y303" s="196"/>
      <c r="Z303" s="196"/>
      <c r="AA303" s="196"/>
      <c r="AB303" s="196"/>
      <c r="AC303" s="196"/>
      <c r="AD303" s="196"/>
    </row>
    <row r="304" spans="1:30" ht="12.9">
      <c r="A304" s="196"/>
      <c r="B304" s="143"/>
      <c r="C304" s="196"/>
      <c r="D304" s="196"/>
      <c r="E304" s="196"/>
      <c r="F304" s="196"/>
      <c r="G304" s="24"/>
      <c r="H304" s="24"/>
      <c r="I304" s="196"/>
      <c r="J304" s="196"/>
      <c r="K304" s="196"/>
      <c r="L304" s="196"/>
      <c r="M304" s="196"/>
      <c r="N304" s="196"/>
      <c r="O304" s="196"/>
      <c r="P304" s="196"/>
      <c r="Q304" s="196"/>
      <c r="R304" s="196"/>
      <c r="S304" s="196"/>
      <c r="T304" s="196"/>
      <c r="U304" s="196"/>
      <c r="V304" s="196"/>
      <c r="W304" s="196"/>
      <c r="X304" s="196"/>
      <c r="Y304" s="196"/>
      <c r="Z304" s="196"/>
      <c r="AA304" s="196"/>
      <c r="AB304" s="196"/>
      <c r="AC304" s="196"/>
      <c r="AD304" s="196"/>
    </row>
    <row r="305" spans="1:30" ht="12.9">
      <c r="A305" s="196"/>
      <c r="B305" s="143"/>
      <c r="C305" s="196"/>
      <c r="D305" s="196"/>
      <c r="E305" s="196"/>
      <c r="F305" s="196"/>
      <c r="G305" s="24"/>
      <c r="H305" s="24"/>
      <c r="I305" s="196"/>
      <c r="J305" s="196"/>
      <c r="K305" s="196"/>
      <c r="L305" s="196"/>
      <c r="M305" s="196"/>
      <c r="N305" s="196"/>
      <c r="O305" s="196"/>
      <c r="P305" s="196"/>
      <c r="Q305" s="196"/>
      <c r="R305" s="196"/>
      <c r="S305" s="196"/>
      <c r="T305" s="196"/>
      <c r="U305" s="196"/>
      <c r="V305" s="196"/>
      <c r="W305" s="196"/>
      <c r="X305" s="196"/>
      <c r="Y305" s="196"/>
      <c r="Z305" s="196"/>
      <c r="AA305" s="196"/>
      <c r="AB305" s="196"/>
      <c r="AC305" s="196"/>
      <c r="AD305" s="196"/>
    </row>
    <row r="306" spans="1:30" ht="12.9">
      <c r="A306" s="196"/>
      <c r="B306" s="143"/>
      <c r="C306" s="196"/>
      <c r="D306" s="196"/>
      <c r="E306" s="196"/>
      <c r="F306" s="196"/>
      <c r="G306" s="24"/>
      <c r="H306" s="24"/>
      <c r="I306" s="196"/>
      <c r="J306" s="196"/>
      <c r="K306" s="196"/>
      <c r="L306" s="196"/>
      <c r="M306" s="196"/>
      <c r="N306" s="196"/>
      <c r="O306" s="196"/>
      <c r="P306" s="196"/>
      <c r="Q306" s="196"/>
      <c r="R306" s="196"/>
      <c r="S306" s="196"/>
      <c r="T306" s="196"/>
      <c r="U306" s="196"/>
      <c r="V306" s="196"/>
      <c r="W306" s="196"/>
      <c r="X306" s="196"/>
      <c r="Y306" s="196"/>
      <c r="Z306" s="196"/>
      <c r="AA306" s="196"/>
      <c r="AB306" s="196"/>
      <c r="AC306" s="196"/>
      <c r="AD306" s="196"/>
    </row>
    <row r="307" spans="1:30" ht="12.9">
      <c r="A307" s="196"/>
      <c r="B307" s="143"/>
      <c r="C307" s="196"/>
      <c r="D307" s="196"/>
      <c r="E307" s="196"/>
      <c r="F307" s="196"/>
      <c r="G307" s="24"/>
      <c r="H307" s="24"/>
      <c r="I307" s="196"/>
      <c r="J307" s="196"/>
      <c r="K307" s="196"/>
      <c r="L307" s="196"/>
      <c r="M307" s="196"/>
      <c r="N307" s="196"/>
      <c r="O307" s="196"/>
      <c r="P307" s="196"/>
      <c r="Q307" s="196"/>
      <c r="R307" s="196"/>
      <c r="S307" s="196"/>
      <c r="T307" s="196"/>
      <c r="U307" s="196"/>
      <c r="V307" s="196"/>
      <c r="W307" s="196"/>
      <c r="X307" s="196"/>
      <c r="Y307" s="196"/>
      <c r="Z307" s="196"/>
      <c r="AA307" s="196"/>
      <c r="AB307" s="196"/>
      <c r="AC307" s="196"/>
      <c r="AD307" s="196"/>
    </row>
    <row r="308" spans="1:30" ht="12.9">
      <c r="A308" s="196"/>
      <c r="B308" s="143"/>
      <c r="C308" s="196"/>
      <c r="D308" s="196"/>
      <c r="E308" s="196"/>
      <c r="F308" s="196"/>
      <c r="G308" s="24"/>
      <c r="H308" s="24"/>
      <c r="I308" s="196"/>
      <c r="J308" s="196"/>
      <c r="K308" s="196"/>
      <c r="L308" s="196"/>
      <c r="M308" s="196"/>
      <c r="N308" s="196"/>
      <c r="O308" s="196"/>
      <c r="P308" s="196"/>
      <c r="Q308" s="196"/>
      <c r="R308" s="196"/>
      <c r="S308" s="196"/>
      <c r="T308" s="196"/>
      <c r="U308" s="196"/>
      <c r="V308" s="196"/>
      <c r="W308" s="196"/>
      <c r="X308" s="196"/>
      <c r="Y308" s="196"/>
      <c r="Z308" s="196"/>
      <c r="AA308" s="196"/>
      <c r="AB308" s="196"/>
      <c r="AC308" s="196"/>
      <c r="AD308" s="196"/>
    </row>
    <row r="309" spans="1:30" ht="12.9">
      <c r="A309" s="196"/>
      <c r="B309" s="143"/>
      <c r="C309" s="196"/>
      <c r="D309" s="196"/>
      <c r="E309" s="196"/>
      <c r="F309" s="196"/>
      <c r="G309" s="24"/>
      <c r="H309" s="24"/>
      <c r="I309" s="196"/>
      <c r="J309" s="196"/>
      <c r="K309" s="196"/>
      <c r="L309" s="196"/>
      <c r="M309" s="196"/>
      <c r="N309" s="196"/>
      <c r="O309" s="196"/>
      <c r="P309" s="196"/>
      <c r="Q309" s="196"/>
      <c r="R309" s="196"/>
      <c r="S309" s="196"/>
      <c r="T309" s="196"/>
      <c r="U309" s="196"/>
      <c r="V309" s="196"/>
      <c r="W309" s="196"/>
      <c r="X309" s="196"/>
      <c r="Y309" s="196"/>
      <c r="Z309" s="196"/>
      <c r="AA309" s="196"/>
      <c r="AB309" s="196"/>
      <c r="AC309" s="196"/>
      <c r="AD309" s="196"/>
    </row>
    <row r="310" spans="1:30" ht="12.9">
      <c r="A310" s="196"/>
      <c r="B310" s="143"/>
      <c r="C310" s="196"/>
      <c r="D310" s="196"/>
      <c r="E310" s="196"/>
      <c r="F310" s="196"/>
      <c r="G310" s="24"/>
      <c r="H310" s="24"/>
      <c r="I310" s="196"/>
      <c r="J310" s="196"/>
      <c r="K310" s="196"/>
      <c r="L310" s="196"/>
      <c r="M310" s="196"/>
      <c r="N310" s="196"/>
      <c r="O310" s="196"/>
      <c r="P310" s="196"/>
      <c r="Q310" s="196"/>
      <c r="R310" s="196"/>
      <c r="S310" s="196"/>
      <c r="T310" s="196"/>
      <c r="U310" s="196"/>
      <c r="V310" s="196"/>
      <c r="W310" s="196"/>
      <c r="X310" s="196"/>
      <c r="Y310" s="196"/>
      <c r="Z310" s="196"/>
      <c r="AA310" s="196"/>
      <c r="AB310" s="196"/>
      <c r="AC310" s="196"/>
      <c r="AD310" s="196"/>
    </row>
    <row r="311" spans="1:30" ht="12.9">
      <c r="A311" s="196"/>
      <c r="B311" s="143"/>
      <c r="C311" s="196"/>
      <c r="D311" s="196"/>
      <c r="E311" s="196"/>
      <c r="F311" s="196"/>
      <c r="G311" s="24"/>
      <c r="H311" s="24"/>
      <c r="I311" s="196"/>
      <c r="J311" s="196"/>
      <c r="K311" s="196"/>
      <c r="L311" s="196"/>
      <c r="M311" s="196"/>
      <c r="N311" s="196"/>
      <c r="O311" s="196"/>
      <c r="P311" s="196"/>
      <c r="Q311" s="196"/>
      <c r="R311" s="196"/>
      <c r="S311" s="196"/>
      <c r="T311" s="196"/>
      <c r="U311" s="196"/>
      <c r="V311" s="196"/>
      <c r="W311" s="196"/>
      <c r="X311" s="196"/>
      <c r="Y311" s="196"/>
      <c r="Z311" s="196"/>
      <c r="AA311" s="196"/>
      <c r="AB311" s="196"/>
      <c r="AC311" s="196"/>
      <c r="AD311" s="196"/>
    </row>
    <row r="312" spans="1:30" ht="12.9">
      <c r="A312" s="196"/>
      <c r="B312" s="143"/>
      <c r="C312" s="196"/>
      <c r="D312" s="196"/>
      <c r="E312" s="196"/>
      <c r="F312" s="196"/>
      <c r="G312" s="24"/>
      <c r="H312" s="24"/>
      <c r="I312" s="196"/>
      <c r="J312" s="196"/>
      <c r="K312" s="196"/>
      <c r="L312" s="196"/>
      <c r="M312" s="196"/>
      <c r="N312" s="196"/>
      <c r="O312" s="196"/>
      <c r="P312" s="196"/>
      <c r="Q312" s="196"/>
      <c r="R312" s="196"/>
      <c r="S312" s="196"/>
      <c r="T312" s="196"/>
      <c r="U312" s="196"/>
      <c r="V312" s="196"/>
      <c r="W312" s="196"/>
      <c r="X312" s="196"/>
      <c r="Y312" s="196"/>
      <c r="Z312" s="196"/>
      <c r="AA312" s="196"/>
      <c r="AB312" s="196"/>
      <c r="AC312" s="196"/>
      <c r="AD312" s="196"/>
    </row>
    <row r="313" spans="1:30" ht="12.9">
      <c r="A313" s="196"/>
      <c r="B313" s="143"/>
      <c r="C313" s="196"/>
      <c r="D313" s="196"/>
      <c r="E313" s="196"/>
      <c r="F313" s="196"/>
      <c r="G313" s="24"/>
      <c r="H313" s="24"/>
      <c r="I313" s="196"/>
      <c r="J313" s="196"/>
      <c r="K313" s="196"/>
      <c r="L313" s="196"/>
      <c r="M313" s="196"/>
      <c r="N313" s="196"/>
      <c r="O313" s="196"/>
      <c r="P313" s="196"/>
      <c r="Q313" s="196"/>
      <c r="R313" s="196"/>
      <c r="S313" s="196"/>
      <c r="T313" s="196"/>
      <c r="U313" s="196"/>
      <c r="V313" s="196"/>
      <c r="W313" s="196"/>
      <c r="X313" s="196"/>
      <c r="Y313" s="196"/>
      <c r="Z313" s="196"/>
      <c r="AA313" s="196"/>
      <c r="AB313" s="196"/>
      <c r="AC313" s="196"/>
      <c r="AD313" s="196"/>
    </row>
    <row r="314" spans="1:30" ht="12.9">
      <c r="A314" s="196"/>
      <c r="B314" s="143"/>
      <c r="C314" s="196"/>
      <c r="D314" s="196"/>
      <c r="E314" s="196"/>
      <c r="F314" s="196"/>
      <c r="G314" s="24"/>
      <c r="H314" s="24"/>
      <c r="I314" s="196"/>
      <c r="J314" s="196"/>
      <c r="K314" s="196"/>
      <c r="L314" s="196"/>
      <c r="M314" s="196"/>
      <c r="N314" s="196"/>
      <c r="O314" s="196"/>
      <c r="P314" s="196"/>
      <c r="Q314" s="196"/>
      <c r="R314" s="196"/>
      <c r="S314" s="196"/>
      <c r="T314" s="196"/>
      <c r="U314" s="196"/>
      <c r="V314" s="196"/>
      <c r="W314" s="196"/>
      <c r="X314" s="196"/>
      <c r="Y314" s="196"/>
      <c r="Z314" s="196"/>
      <c r="AA314" s="196"/>
      <c r="AB314" s="196"/>
      <c r="AC314" s="196"/>
      <c r="AD314" s="196"/>
    </row>
    <row r="315" spans="1:30" ht="12.9">
      <c r="A315" s="196"/>
      <c r="B315" s="143"/>
      <c r="C315" s="196"/>
      <c r="D315" s="196"/>
      <c r="E315" s="196"/>
      <c r="F315" s="196"/>
      <c r="G315" s="24"/>
      <c r="H315" s="24"/>
      <c r="I315" s="196"/>
      <c r="J315" s="196"/>
      <c r="K315" s="196"/>
      <c r="L315" s="196"/>
      <c r="M315" s="196"/>
      <c r="N315" s="196"/>
      <c r="O315" s="196"/>
      <c r="P315" s="196"/>
      <c r="Q315" s="196"/>
      <c r="R315" s="196"/>
      <c r="S315" s="196"/>
      <c r="T315" s="196"/>
      <c r="U315" s="196"/>
      <c r="V315" s="196"/>
      <c r="W315" s="196"/>
      <c r="X315" s="196"/>
      <c r="Y315" s="196"/>
      <c r="Z315" s="196"/>
      <c r="AA315" s="196"/>
      <c r="AB315" s="196"/>
      <c r="AC315" s="196"/>
      <c r="AD315" s="196"/>
    </row>
    <row r="316" spans="1:30" ht="12.9">
      <c r="A316" s="196"/>
      <c r="B316" s="143"/>
      <c r="C316" s="196"/>
      <c r="D316" s="196"/>
      <c r="E316" s="196"/>
      <c r="F316" s="196"/>
      <c r="G316" s="24"/>
      <c r="H316" s="24"/>
      <c r="I316" s="196"/>
      <c r="J316" s="196"/>
      <c r="K316" s="196"/>
      <c r="L316" s="196"/>
      <c r="M316" s="196"/>
      <c r="N316" s="196"/>
      <c r="O316" s="196"/>
      <c r="P316" s="196"/>
      <c r="Q316" s="196"/>
      <c r="R316" s="196"/>
      <c r="S316" s="196"/>
      <c r="T316" s="196"/>
      <c r="U316" s="196"/>
      <c r="V316" s="196"/>
      <c r="W316" s="196"/>
      <c r="X316" s="196"/>
      <c r="Y316" s="196"/>
      <c r="Z316" s="196"/>
      <c r="AA316" s="196"/>
      <c r="AB316" s="196"/>
      <c r="AC316" s="196"/>
      <c r="AD316" s="196"/>
    </row>
    <row r="317" spans="1:30" ht="12.9">
      <c r="A317" s="196"/>
      <c r="B317" s="143"/>
      <c r="C317" s="196"/>
      <c r="D317" s="196"/>
      <c r="E317" s="196"/>
      <c r="F317" s="196"/>
      <c r="G317" s="24"/>
      <c r="H317" s="24"/>
      <c r="I317" s="196"/>
      <c r="J317" s="196"/>
      <c r="K317" s="196"/>
      <c r="L317" s="196"/>
      <c r="M317" s="196"/>
      <c r="N317" s="196"/>
      <c r="O317" s="196"/>
      <c r="P317" s="196"/>
      <c r="Q317" s="196"/>
      <c r="R317" s="196"/>
      <c r="S317" s="196"/>
      <c r="T317" s="196"/>
      <c r="U317" s="196"/>
      <c r="V317" s="196"/>
      <c r="W317" s="196"/>
      <c r="X317" s="196"/>
      <c r="Y317" s="196"/>
      <c r="Z317" s="196"/>
      <c r="AA317" s="196"/>
      <c r="AB317" s="196"/>
      <c r="AC317" s="196"/>
      <c r="AD317" s="196"/>
    </row>
    <row r="318" spans="1:30" ht="12.9">
      <c r="A318" s="196"/>
      <c r="B318" s="143"/>
      <c r="C318" s="196"/>
      <c r="D318" s="196"/>
      <c r="E318" s="196"/>
      <c r="F318" s="196"/>
      <c r="G318" s="24"/>
      <c r="H318" s="24"/>
      <c r="I318" s="196"/>
      <c r="J318" s="196"/>
      <c r="K318" s="196"/>
      <c r="L318" s="196"/>
      <c r="M318" s="196"/>
      <c r="N318" s="196"/>
      <c r="O318" s="196"/>
      <c r="P318" s="196"/>
      <c r="Q318" s="196"/>
      <c r="R318" s="196"/>
      <c r="S318" s="196"/>
      <c r="T318" s="196"/>
      <c r="U318" s="196"/>
      <c r="V318" s="196"/>
      <c r="W318" s="196"/>
      <c r="X318" s="196"/>
      <c r="Y318" s="196"/>
      <c r="Z318" s="196"/>
      <c r="AA318" s="196"/>
      <c r="AB318" s="196"/>
      <c r="AC318" s="196"/>
      <c r="AD318" s="196"/>
    </row>
    <row r="319" spans="1:30" ht="12.9">
      <c r="A319" s="196"/>
      <c r="B319" s="143"/>
      <c r="C319" s="196"/>
      <c r="D319" s="196"/>
      <c r="E319" s="196"/>
      <c r="F319" s="196"/>
      <c r="G319" s="24"/>
      <c r="H319" s="24"/>
      <c r="I319" s="196"/>
      <c r="J319" s="196"/>
      <c r="K319" s="196"/>
      <c r="L319" s="196"/>
      <c r="M319" s="196"/>
      <c r="N319" s="196"/>
      <c r="O319" s="196"/>
      <c r="P319" s="196"/>
      <c r="Q319" s="196"/>
      <c r="R319" s="196"/>
      <c r="S319" s="196"/>
      <c r="T319" s="196"/>
      <c r="U319" s="196"/>
      <c r="V319" s="196"/>
      <c r="W319" s="196"/>
      <c r="X319" s="196"/>
      <c r="Y319" s="196"/>
      <c r="Z319" s="196"/>
      <c r="AA319" s="196"/>
      <c r="AB319" s="196"/>
      <c r="AC319" s="196"/>
      <c r="AD319" s="196"/>
    </row>
    <row r="320" spans="1:30" ht="12.9">
      <c r="A320" s="196"/>
      <c r="B320" s="143"/>
      <c r="C320" s="196"/>
      <c r="D320" s="196"/>
      <c r="E320" s="196"/>
      <c r="F320" s="196"/>
      <c r="G320" s="24"/>
      <c r="H320" s="24"/>
      <c r="I320" s="196"/>
      <c r="J320" s="196"/>
      <c r="K320" s="196"/>
      <c r="L320" s="196"/>
      <c r="M320" s="196"/>
      <c r="N320" s="196"/>
      <c r="O320" s="196"/>
      <c r="P320" s="196"/>
      <c r="Q320" s="196"/>
      <c r="R320" s="196"/>
      <c r="S320" s="196"/>
      <c r="T320" s="196"/>
      <c r="U320" s="196"/>
      <c r="V320" s="196"/>
      <c r="W320" s="196"/>
      <c r="X320" s="196"/>
      <c r="Y320" s="196"/>
      <c r="Z320" s="196"/>
      <c r="AA320" s="196"/>
      <c r="AB320" s="196"/>
      <c r="AC320" s="196"/>
      <c r="AD320" s="196"/>
    </row>
    <row r="321" spans="1:30" ht="12.9">
      <c r="A321" s="196"/>
      <c r="B321" s="143"/>
      <c r="C321" s="196"/>
      <c r="D321" s="196"/>
      <c r="E321" s="196"/>
      <c r="F321" s="196"/>
      <c r="G321" s="24"/>
      <c r="H321" s="24"/>
      <c r="I321" s="196"/>
      <c r="J321" s="196"/>
      <c r="K321" s="196"/>
      <c r="L321" s="196"/>
      <c r="M321" s="196"/>
      <c r="N321" s="196"/>
      <c r="O321" s="196"/>
      <c r="P321" s="196"/>
      <c r="Q321" s="196"/>
      <c r="R321" s="196"/>
      <c r="S321" s="196"/>
      <c r="T321" s="196"/>
      <c r="U321" s="196"/>
      <c r="V321" s="196"/>
      <c r="W321" s="196"/>
      <c r="X321" s="196"/>
      <c r="Y321" s="196"/>
      <c r="Z321" s="196"/>
      <c r="AA321" s="196"/>
      <c r="AB321" s="196"/>
      <c r="AC321" s="196"/>
      <c r="AD321" s="196"/>
    </row>
    <row r="322" spans="1:30" ht="12.9">
      <c r="A322" s="196"/>
      <c r="B322" s="143"/>
      <c r="C322" s="196"/>
      <c r="D322" s="196"/>
      <c r="E322" s="196"/>
      <c r="F322" s="196"/>
      <c r="G322" s="24"/>
      <c r="H322" s="24"/>
      <c r="I322" s="196"/>
      <c r="J322" s="196"/>
      <c r="K322" s="196"/>
      <c r="L322" s="196"/>
      <c r="M322" s="196"/>
      <c r="N322" s="196"/>
      <c r="O322" s="196"/>
      <c r="P322" s="196"/>
      <c r="Q322" s="196"/>
      <c r="R322" s="196"/>
      <c r="S322" s="196"/>
      <c r="T322" s="196"/>
      <c r="U322" s="196"/>
      <c r="V322" s="196"/>
      <c r="W322" s="196"/>
      <c r="X322" s="196"/>
      <c r="Y322" s="196"/>
      <c r="Z322" s="196"/>
      <c r="AA322" s="196"/>
      <c r="AB322" s="196"/>
      <c r="AC322" s="196"/>
      <c r="AD322" s="196"/>
    </row>
    <row r="323" spans="1:30" ht="12.9">
      <c r="A323" s="196"/>
      <c r="B323" s="143"/>
      <c r="C323" s="196"/>
      <c r="D323" s="196"/>
      <c r="E323" s="196"/>
      <c r="F323" s="196"/>
      <c r="G323" s="24"/>
      <c r="H323" s="24"/>
      <c r="I323" s="196"/>
      <c r="J323" s="196"/>
      <c r="K323" s="196"/>
      <c r="L323" s="196"/>
      <c r="M323" s="196"/>
      <c r="N323" s="196"/>
      <c r="O323" s="196"/>
      <c r="P323" s="196"/>
      <c r="Q323" s="196"/>
      <c r="R323" s="196"/>
      <c r="S323" s="196"/>
      <c r="T323" s="196"/>
      <c r="U323" s="196"/>
      <c r="V323" s="196"/>
      <c r="W323" s="196"/>
      <c r="X323" s="196"/>
      <c r="Y323" s="196"/>
      <c r="Z323" s="196"/>
      <c r="AA323" s="196"/>
      <c r="AB323" s="196"/>
      <c r="AC323" s="196"/>
      <c r="AD323" s="196"/>
    </row>
    <row r="324" spans="1:30" ht="12.9">
      <c r="A324" s="196"/>
      <c r="B324" s="143"/>
      <c r="C324" s="196"/>
      <c r="D324" s="196"/>
      <c r="E324" s="196"/>
      <c r="F324" s="196"/>
      <c r="G324" s="24"/>
      <c r="H324" s="24"/>
      <c r="I324" s="196"/>
      <c r="J324" s="196"/>
      <c r="K324" s="196"/>
      <c r="L324" s="196"/>
      <c r="M324" s="196"/>
      <c r="N324" s="196"/>
      <c r="O324" s="196"/>
      <c r="P324" s="196"/>
      <c r="Q324" s="196"/>
      <c r="R324" s="196"/>
      <c r="S324" s="196"/>
      <c r="T324" s="196"/>
      <c r="U324" s="196"/>
      <c r="V324" s="196"/>
      <c r="W324" s="196"/>
      <c r="X324" s="196"/>
      <c r="Y324" s="196"/>
      <c r="Z324" s="196"/>
      <c r="AA324" s="196"/>
      <c r="AB324" s="196"/>
      <c r="AC324" s="196"/>
      <c r="AD324" s="196"/>
    </row>
    <row r="325" spans="1:30" ht="12.9">
      <c r="A325" s="196"/>
      <c r="B325" s="143"/>
      <c r="C325" s="196"/>
      <c r="D325" s="196"/>
      <c r="E325" s="196"/>
      <c r="F325" s="196"/>
      <c r="G325" s="24"/>
      <c r="H325" s="24"/>
      <c r="I325" s="196"/>
      <c r="J325" s="196"/>
      <c r="K325" s="196"/>
      <c r="L325" s="196"/>
      <c r="M325" s="196"/>
      <c r="N325" s="196"/>
      <c r="O325" s="196"/>
      <c r="P325" s="196"/>
      <c r="Q325" s="196"/>
      <c r="R325" s="196"/>
      <c r="S325" s="196"/>
      <c r="T325" s="196"/>
      <c r="U325" s="196"/>
      <c r="V325" s="196"/>
      <c r="W325" s="196"/>
      <c r="X325" s="196"/>
      <c r="Y325" s="196"/>
      <c r="Z325" s="196"/>
      <c r="AA325" s="196"/>
      <c r="AB325" s="196"/>
      <c r="AC325" s="196"/>
      <c r="AD325" s="196"/>
    </row>
    <row r="326" spans="1:30" ht="12.9">
      <c r="A326" s="196"/>
      <c r="B326" s="143"/>
      <c r="C326" s="196"/>
      <c r="D326" s="196"/>
      <c r="E326" s="196"/>
      <c r="F326" s="196"/>
      <c r="G326" s="24"/>
      <c r="H326" s="24"/>
      <c r="I326" s="196"/>
      <c r="J326" s="196"/>
      <c r="K326" s="196"/>
      <c r="L326" s="196"/>
      <c r="M326" s="196"/>
      <c r="N326" s="196"/>
      <c r="O326" s="196"/>
      <c r="P326" s="196"/>
      <c r="Q326" s="196"/>
      <c r="R326" s="196"/>
      <c r="S326" s="196"/>
      <c r="T326" s="196"/>
      <c r="U326" s="196"/>
      <c r="V326" s="196"/>
      <c r="W326" s="196"/>
      <c r="X326" s="196"/>
      <c r="Y326" s="196"/>
      <c r="Z326" s="196"/>
      <c r="AA326" s="196"/>
      <c r="AB326" s="196"/>
      <c r="AC326" s="196"/>
      <c r="AD326" s="196"/>
    </row>
    <row r="327" spans="1:30" ht="12.9">
      <c r="A327" s="196"/>
      <c r="B327" s="143"/>
      <c r="C327" s="196"/>
      <c r="D327" s="196"/>
      <c r="E327" s="196"/>
      <c r="F327" s="196"/>
      <c r="G327" s="24"/>
      <c r="H327" s="24"/>
      <c r="I327" s="196"/>
      <c r="J327" s="196"/>
      <c r="K327" s="196"/>
      <c r="L327" s="196"/>
      <c r="M327" s="196"/>
      <c r="N327" s="196"/>
      <c r="O327" s="196"/>
      <c r="P327" s="196"/>
      <c r="Q327" s="196"/>
      <c r="R327" s="196"/>
      <c r="S327" s="196"/>
      <c r="T327" s="196"/>
      <c r="U327" s="196"/>
      <c r="V327" s="196"/>
      <c r="W327" s="196"/>
      <c r="X327" s="196"/>
      <c r="Y327" s="196"/>
      <c r="Z327" s="196"/>
      <c r="AA327" s="196"/>
      <c r="AB327" s="196"/>
      <c r="AC327" s="196"/>
      <c r="AD327" s="196"/>
    </row>
    <row r="328" spans="1:30" ht="12.9">
      <c r="A328" s="196"/>
      <c r="B328" s="143"/>
      <c r="C328" s="196"/>
      <c r="D328" s="196"/>
      <c r="E328" s="196"/>
      <c r="F328" s="196"/>
      <c r="G328" s="24"/>
      <c r="H328" s="24"/>
      <c r="I328" s="196"/>
      <c r="J328" s="196"/>
      <c r="K328" s="196"/>
      <c r="L328" s="196"/>
      <c r="M328" s="196"/>
      <c r="N328" s="196"/>
      <c r="O328" s="196"/>
      <c r="P328" s="196"/>
      <c r="Q328" s="196"/>
      <c r="R328" s="196"/>
      <c r="S328" s="196"/>
      <c r="T328" s="196"/>
      <c r="U328" s="196"/>
      <c r="V328" s="196"/>
      <c r="W328" s="196"/>
      <c r="X328" s="196"/>
      <c r="Y328" s="196"/>
      <c r="Z328" s="196"/>
      <c r="AA328" s="196"/>
      <c r="AB328" s="196"/>
      <c r="AC328" s="196"/>
      <c r="AD328" s="196"/>
    </row>
    <row r="329" spans="1:30" ht="12.9">
      <c r="A329" s="196"/>
      <c r="B329" s="143"/>
      <c r="C329" s="196"/>
      <c r="D329" s="196"/>
      <c r="E329" s="196"/>
      <c r="F329" s="196"/>
      <c r="G329" s="24"/>
      <c r="H329" s="24"/>
      <c r="I329" s="196"/>
      <c r="J329" s="196"/>
      <c r="K329" s="196"/>
      <c r="L329" s="196"/>
      <c r="M329" s="196"/>
      <c r="N329" s="196"/>
      <c r="O329" s="196"/>
      <c r="P329" s="196"/>
      <c r="Q329" s="196"/>
      <c r="R329" s="196"/>
      <c r="S329" s="196"/>
      <c r="T329" s="196"/>
      <c r="U329" s="196"/>
      <c r="V329" s="196"/>
      <c r="W329" s="196"/>
      <c r="X329" s="196"/>
      <c r="Y329" s="196"/>
      <c r="Z329" s="196"/>
      <c r="AA329" s="196"/>
      <c r="AB329" s="196"/>
      <c r="AC329" s="196"/>
      <c r="AD329" s="196"/>
    </row>
    <row r="330" spans="1:30" ht="12.9">
      <c r="A330" s="196"/>
      <c r="B330" s="143"/>
      <c r="C330" s="196"/>
      <c r="D330" s="196"/>
      <c r="E330" s="196"/>
      <c r="F330" s="196"/>
      <c r="G330" s="24"/>
      <c r="H330" s="24"/>
      <c r="I330" s="196"/>
      <c r="J330" s="196"/>
      <c r="K330" s="196"/>
      <c r="L330" s="196"/>
      <c r="M330" s="196"/>
      <c r="N330" s="196"/>
      <c r="O330" s="196"/>
      <c r="P330" s="196"/>
      <c r="Q330" s="196"/>
      <c r="R330" s="196"/>
      <c r="S330" s="196"/>
      <c r="T330" s="196"/>
      <c r="U330" s="196"/>
      <c r="V330" s="196"/>
      <c r="W330" s="196"/>
      <c r="X330" s="196"/>
      <c r="Y330" s="196"/>
      <c r="Z330" s="196"/>
      <c r="AA330" s="196"/>
      <c r="AB330" s="196"/>
      <c r="AC330" s="196"/>
      <c r="AD330" s="196"/>
    </row>
    <row r="331" spans="1:30" ht="12.9">
      <c r="A331" s="196"/>
      <c r="B331" s="143"/>
      <c r="C331" s="196"/>
      <c r="D331" s="196"/>
      <c r="E331" s="196"/>
      <c r="F331" s="196"/>
      <c r="G331" s="24"/>
      <c r="H331" s="24"/>
      <c r="I331" s="196"/>
      <c r="J331" s="196"/>
      <c r="K331" s="196"/>
      <c r="L331" s="196"/>
      <c r="M331" s="196"/>
      <c r="N331" s="196"/>
      <c r="O331" s="196"/>
      <c r="P331" s="196"/>
      <c r="Q331" s="196"/>
      <c r="R331" s="196"/>
      <c r="S331" s="196"/>
      <c r="T331" s="196"/>
      <c r="U331" s="196"/>
      <c r="V331" s="196"/>
      <c r="W331" s="196"/>
      <c r="X331" s="196"/>
      <c r="Y331" s="196"/>
      <c r="Z331" s="196"/>
      <c r="AA331" s="196"/>
      <c r="AB331" s="196"/>
      <c r="AC331" s="196"/>
      <c r="AD331" s="196"/>
    </row>
    <row r="332" spans="1:30" ht="12.9">
      <c r="A332" s="196"/>
      <c r="B332" s="143"/>
      <c r="C332" s="196"/>
      <c r="D332" s="196"/>
      <c r="E332" s="196"/>
      <c r="F332" s="196"/>
      <c r="G332" s="24"/>
      <c r="H332" s="24"/>
      <c r="I332" s="196"/>
      <c r="J332" s="196"/>
      <c r="K332" s="196"/>
      <c r="L332" s="196"/>
      <c r="M332" s="196"/>
      <c r="N332" s="196"/>
      <c r="O332" s="196"/>
      <c r="P332" s="196"/>
      <c r="Q332" s="196"/>
      <c r="R332" s="196"/>
      <c r="S332" s="196"/>
      <c r="T332" s="196"/>
      <c r="U332" s="196"/>
      <c r="V332" s="196"/>
      <c r="W332" s="196"/>
      <c r="X332" s="196"/>
      <c r="Y332" s="196"/>
      <c r="Z332" s="196"/>
      <c r="AA332" s="196"/>
      <c r="AB332" s="196"/>
      <c r="AC332" s="196"/>
      <c r="AD332" s="196"/>
    </row>
    <row r="333" spans="1:30" ht="12.9">
      <c r="A333" s="196"/>
      <c r="B333" s="143"/>
      <c r="C333" s="196"/>
      <c r="D333" s="196"/>
      <c r="E333" s="196"/>
      <c r="F333" s="196"/>
      <c r="G333" s="24"/>
      <c r="H333" s="24"/>
      <c r="I333" s="196"/>
      <c r="J333" s="196"/>
      <c r="K333" s="196"/>
      <c r="L333" s="196"/>
      <c r="M333" s="196"/>
      <c r="N333" s="196"/>
      <c r="O333" s="196"/>
      <c r="P333" s="196"/>
      <c r="Q333" s="196"/>
      <c r="R333" s="196"/>
      <c r="S333" s="196"/>
      <c r="T333" s="196"/>
      <c r="U333" s="196"/>
      <c r="V333" s="196"/>
      <c r="W333" s="196"/>
      <c r="X333" s="196"/>
      <c r="Y333" s="196"/>
      <c r="Z333" s="196"/>
      <c r="AA333" s="196"/>
      <c r="AB333" s="196"/>
      <c r="AC333" s="196"/>
      <c r="AD333" s="196"/>
    </row>
    <row r="334" spans="1:30" ht="12.9">
      <c r="A334" s="196"/>
      <c r="B334" s="143"/>
      <c r="C334" s="196"/>
      <c r="D334" s="196"/>
      <c r="E334" s="196"/>
      <c r="F334" s="196"/>
      <c r="G334" s="24"/>
      <c r="H334" s="24"/>
      <c r="I334" s="196"/>
      <c r="J334" s="196"/>
      <c r="K334" s="196"/>
      <c r="L334" s="196"/>
      <c r="M334" s="196"/>
      <c r="N334" s="196"/>
      <c r="O334" s="196"/>
      <c r="P334" s="196"/>
      <c r="Q334" s="196"/>
      <c r="R334" s="196"/>
      <c r="S334" s="196"/>
      <c r="T334" s="196"/>
      <c r="U334" s="196"/>
      <c r="V334" s="196"/>
      <c r="W334" s="196"/>
      <c r="X334" s="196"/>
      <c r="Y334" s="196"/>
      <c r="Z334" s="196"/>
      <c r="AA334" s="196"/>
      <c r="AB334" s="196"/>
      <c r="AC334" s="196"/>
      <c r="AD334" s="196"/>
    </row>
    <row r="335" spans="1:30" ht="12.9">
      <c r="A335" s="196"/>
      <c r="B335" s="143"/>
      <c r="C335" s="196"/>
      <c r="D335" s="196"/>
      <c r="E335" s="196"/>
      <c r="F335" s="196"/>
      <c r="G335" s="24"/>
      <c r="H335" s="24"/>
      <c r="I335" s="196"/>
      <c r="J335" s="196"/>
      <c r="K335" s="196"/>
      <c r="L335" s="196"/>
      <c r="M335" s="196"/>
      <c r="N335" s="196"/>
      <c r="O335" s="196"/>
      <c r="P335" s="196"/>
      <c r="Q335" s="196"/>
      <c r="R335" s="196"/>
      <c r="S335" s="196"/>
      <c r="T335" s="196"/>
      <c r="U335" s="196"/>
      <c r="V335" s="196"/>
      <c r="W335" s="196"/>
      <c r="X335" s="196"/>
      <c r="Y335" s="196"/>
      <c r="Z335" s="196"/>
      <c r="AA335" s="196"/>
      <c r="AB335" s="196"/>
      <c r="AC335" s="196"/>
      <c r="AD335" s="196"/>
    </row>
    <row r="336" spans="1:30" ht="12.9">
      <c r="A336" s="196"/>
      <c r="B336" s="143"/>
      <c r="C336" s="196"/>
      <c r="D336" s="196"/>
      <c r="E336" s="196"/>
      <c r="F336" s="196"/>
      <c r="G336" s="24"/>
      <c r="H336" s="24"/>
      <c r="I336" s="196"/>
      <c r="J336" s="196"/>
      <c r="K336" s="196"/>
      <c r="L336" s="196"/>
      <c r="M336" s="196"/>
      <c r="N336" s="196"/>
      <c r="O336" s="196"/>
      <c r="P336" s="196"/>
      <c r="Q336" s="196"/>
      <c r="R336" s="196"/>
      <c r="S336" s="196"/>
      <c r="T336" s="196"/>
      <c r="U336" s="196"/>
      <c r="V336" s="196"/>
      <c r="W336" s="196"/>
      <c r="X336" s="196"/>
      <c r="Y336" s="196"/>
      <c r="Z336" s="196"/>
      <c r="AA336" s="196"/>
      <c r="AB336" s="196"/>
      <c r="AC336" s="196"/>
      <c r="AD336" s="196"/>
    </row>
    <row r="337" spans="1:30" ht="12.9">
      <c r="A337" s="196"/>
      <c r="B337" s="143"/>
      <c r="C337" s="196"/>
      <c r="D337" s="196"/>
      <c r="E337" s="196"/>
      <c r="F337" s="196"/>
      <c r="G337" s="24"/>
      <c r="H337" s="24"/>
      <c r="I337" s="196"/>
      <c r="J337" s="196"/>
      <c r="K337" s="196"/>
      <c r="L337" s="196"/>
      <c r="M337" s="196"/>
      <c r="N337" s="196"/>
      <c r="O337" s="196"/>
      <c r="P337" s="196"/>
      <c r="Q337" s="196"/>
      <c r="R337" s="196"/>
      <c r="S337" s="196"/>
      <c r="T337" s="196"/>
      <c r="U337" s="196"/>
      <c r="V337" s="196"/>
      <c r="W337" s="196"/>
      <c r="X337" s="196"/>
      <c r="Y337" s="196"/>
      <c r="Z337" s="196"/>
      <c r="AA337" s="196"/>
      <c r="AB337" s="196"/>
      <c r="AC337" s="196"/>
      <c r="AD337" s="196"/>
    </row>
    <row r="338" spans="1:30" ht="12.9">
      <c r="A338" s="196"/>
      <c r="B338" s="143"/>
      <c r="C338" s="196"/>
      <c r="D338" s="196"/>
      <c r="E338" s="196"/>
      <c r="F338" s="196"/>
      <c r="G338" s="24"/>
      <c r="H338" s="24"/>
      <c r="I338" s="196"/>
      <c r="J338" s="196"/>
      <c r="K338" s="196"/>
      <c r="L338" s="196"/>
      <c r="M338" s="196"/>
      <c r="N338" s="196"/>
      <c r="O338" s="196"/>
      <c r="P338" s="196"/>
      <c r="Q338" s="196"/>
      <c r="R338" s="196"/>
      <c r="S338" s="196"/>
      <c r="T338" s="196"/>
      <c r="U338" s="196"/>
      <c r="V338" s="196"/>
      <c r="W338" s="196"/>
      <c r="X338" s="196"/>
      <c r="Y338" s="196"/>
      <c r="Z338" s="196"/>
      <c r="AA338" s="196"/>
      <c r="AB338" s="196"/>
      <c r="AC338" s="196"/>
      <c r="AD338" s="196"/>
    </row>
    <row r="339" spans="1:30" ht="12.9">
      <c r="A339" s="196"/>
      <c r="B339" s="143"/>
      <c r="C339" s="196"/>
      <c r="D339" s="196"/>
      <c r="E339" s="196"/>
      <c r="F339" s="196"/>
      <c r="G339" s="24"/>
      <c r="H339" s="24"/>
      <c r="I339" s="196"/>
      <c r="J339" s="196"/>
      <c r="K339" s="196"/>
      <c r="L339" s="196"/>
      <c r="M339" s="196"/>
      <c r="N339" s="196"/>
      <c r="O339" s="196"/>
      <c r="P339" s="196"/>
      <c r="Q339" s="196"/>
      <c r="R339" s="196"/>
      <c r="S339" s="196"/>
      <c r="T339" s="196"/>
      <c r="U339" s="196"/>
      <c r="V339" s="196"/>
      <c r="W339" s="196"/>
      <c r="X339" s="196"/>
      <c r="Y339" s="196"/>
      <c r="Z339" s="196"/>
      <c r="AA339" s="196"/>
      <c r="AB339" s="196"/>
      <c r="AC339" s="196"/>
      <c r="AD339" s="196"/>
    </row>
    <row r="340" spans="1:30" ht="12.9">
      <c r="A340" s="196"/>
      <c r="B340" s="143"/>
      <c r="C340" s="196"/>
      <c r="D340" s="196"/>
      <c r="E340" s="196"/>
      <c r="F340" s="196"/>
      <c r="G340" s="24"/>
      <c r="H340" s="24"/>
      <c r="I340" s="196"/>
      <c r="J340" s="196"/>
      <c r="K340" s="196"/>
      <c r="L340" s="196"/>
      <c r="M340" s="196"/>
      <c r="N340" s="196"/>
      <c r="O340" s="196"/>
      <c r="P340" s="196"/>
      <c r="Q340" s="196"/>
      <c r="R340" s="196"/>
      <c r="S340" s="196"/>
      <c r="T340" s="196"/>
      <c r="U340" s="196"/>
      <c r="V340" s="196"/>
      <c r="W340" s="196"/>
      <c r="X340" s="196"/>
      <c r="Y340" s="196"/>
      <c r="Z340" s="196"/>
      <c r="AA340" s="196"/>
      <c r="AB340" s="196"/>
      <c r="AC340" s="196"/>
      <c r="AD340" s="196"/>
    </row>
    <row r="341" spans="1:30" ht="12.9">
      <c r="A341" s="196"/>
      <c r="B341" s="143"/>
      <c r="C341" s="196"/>
      <c r="D341" s="196"/>
      <c r="E341" s="196"/>
      <c r="F341" s="196"/>
      <c r="G341" s="24"/>
      <c r="H341" s="24"/>
      <c r="I341" s="196"/>
      <c r="J341" s="196"/>
      <c r="K341" s="196"/>
      <c r="L341" s="196"/>
      <c r="M341" s="196"/>
      <c r="N341" s="196"/>
      <c r="O341" s="196"/>
      <c r="P341" s="196"/>
      <c r="Q341" s="196"/>
      <c r="R341" s="196"/>
      <c r="S341" s="196"/>
      <c r="T341" s="196"/>
      <c r="U341" s="196"/>
      <c r="V341" s="196"/>
      <c r="W341" s="196"/>
      <c r="X341" s="196"/>
      <c r="Y341" s="196"/>
      <c r="Z341" s="196"/>
      <c r="AA341" s="196"/>
      <c r="AB341" s="196"/>
      <c r="AC341" s="196"/>
      <c r="AD341" s="196"/>
    </row>
    <row r="342" spans="1:30" ht="12.9">
      <c r="A342" s="196"/>
      <c r="B342" s="143"/>
      <c r="C342" s="196"/>
      <c r="D342" s="196"/>
      <c r="E342" s="196"/>
      <c r="F342" s="196"/>
      <c r="G342" s="24"/>
      <c r="H342" s="24"/>
      <c r="I342" s="196"/>
      <c r="J342" s="196"/>
      <c r="K342" s="196"/>
      <c r="L342" s="196"/>
      <c r="M342" s="196"/>
      <c r="N342" s="196"/>
      <c r="O342" s="196"/>
      <c r="P342" s="196"/>
      <c r="Q342" s="196"/>
      <c r="R342" s="196"/>
      <c r="S342" s="196"/>
      <c r="T342" s="196"/>
      <c r="U342" s="196"/>
      <c r="V342" s="196"/>
      <c r="W342" s="196"/>
      <c r="X342" s="196"/>
      <c r="Y342" s="196"/>
      <c r="Z342" s="196"/>
      <c r="AA342" s="196"/>
      <c r="AB342" s="196"/>
      <c r="AC342" s="196"/>
      <c r="AD342" s="196"/>
    </row>
    <row r="343" spans="1:30" ht="12.9">
      <c r="A343" s="196"/>
      <c r="B343" s="143"/>
      <c r="C343" s="196"/>
      <c r="D343" s="196"/>
      <c r="E343" s="196"/>
      <c r="F343" s="196"/>
      <c r="G343" s="24"/>
      <c r="H343" s="24"/>
      <c r="I343" s="196"/>
      <c r="J343" s="196"/>
      <c r="K343" s="196"/>
      <c r="L343" s="196"/>
      <c r="M343" s="196"/>
      <c r="N343" s="196"/>
      <c r="O343" s="196"/>
      <c r="P343" s="196"/>
      <c r="Q343" s="196"/>
      <c r="R343" s="196"/>
      <c r="S343" s="196"/>
      <c r="T343" s="196"/>
      <c r="U343" s="196"/>
      <c r="V343" s="196"/>
      <c r="W343" s="196"/>
      <c r="X343" s="196"/>
      <c r="Y343" s="196"/>
      <c r="Z343" s="196"/>
      <c r="AA343" s="196"/>
      <c r="AB343" s="196"/>
      <c r="AC343" s="196"/>
      <c r="AD343" s="196"/>
    </row>
    <row r="344" spans="1:30" ht="12.9">
      <c r="A344" s="196"/>
      <c r="B344" s="143"/>
      <c r="C344" s="196"/>
      <c r="D344" s="196"/>
      <c r="E344" s="196"/>
      <c r="F344" s="196"/>
      <c r="G344" s="24"/>
      <c r="H344" s="24"/>
      <c r="I344" s="196"/>
      <c r="J344" s="196"/>
      <c r="K344" s="196"/>
      <c r="L344" s="196"/>
      <c r="M344" s="196"/>
      <c r="N344" s="196"/>
      <c r="O344" s="196"/>
      <c r="P344" s="196"/>
      <c r="Q344" s="196"/>
      <c r="R344" s="196"/>
      <c r="S344" s="196"/>
      <c r="T344" s="196"/>
      <c r="U344" s="196"/>
      <c r="V344" s="196"/>
      <c r="W344" s="196"/>
      <c r="X344" s="196"/>
      <c r="Y344" s="196"/>
      <c r="Z344" s="196"/>
      <c r="AA344" s="196"/>
      <c r="AB344" s="196"/>
      <c r="AC344" s="196"/>
      <c r="AD344" s="196"/>
    </row>
    <row r="345" spans="1:30" ht="12.9">
      <c r="A345" s="196"/>
      <c r="B345" s="143"/>
      <c r="C345" s="196"/>
      <c r="D345" s="196"/>
      <c r="E345" s="196"/>
      <c r="F345" s="196"/>
      <c r="G345" s="24"/>
      <c r="H345" s="24"/>
      <c r="I345" s="196"/>
      <c r="J345" s="196"/>
      <c r="K345" s="196"/>
      <c r="L345" s="196"/>
      <c r="M345" s="196"/>
      <c r="N345" s="196"/>
      <c r="O345" s="196"/>
      <c r="P345" s="196"/>
      <c r="Q345" s="196"/>
      <c r="R345" s="196"/>
      <c r="S345" s="196"/>
      <c r="T345" s="196"/>
      <c r="U345" s="196"/>
      <c r="V345" s="196"/>
      <c r="W345" s="196"/>
      <c r="X345" s="196"/>
      <c r="Y345" s="196"/>
      <c r="Z345" s="196"/>
      <c r="AA345" s="196"/>
      <c r="AB345" s="196"/>
      <c r="AC345" s="196"/>
      <c r="AD345" s="196"/>
    </row>
    <row r="346" spans="1:30" ht="12.9">
      <c r="A346" s="196"/>
      <c r="B346" s="143"/>
      <c r="C346" s="196"/>
      <c r="D346" s="196"/>
      <c r="E346" s="196"/>
      <c r="F346" s="196"/>
      <c r="G346" s="24"/>
      <c r="H346" s="24"/>
      <c r="I346" s="196"/>
      <c r="J346" s="196"/>
      <c r="K346" s="196"/>
      <c r="L346" s="196"/>
      <c r="M346" s="196"/>
      <c r="N346" s="196"/>
      <c r="O346" s="196"/>
      <c r="P346" s="196"/>
      <c r="Q346" s="196"/>
      <c r="R346" s="196"/>
      <c r="S346" s="196"/>
      <c r="T346" s="196"/>
      <c r="U346" s="196"/>
      <c r="V346" s="196"/>
      <c r="W346" s="196"/>
      <c r="X346" s="196"/>
      <c r="Y346" s="196"/>
      <c r="Z346" s="196"/>
      <c r="AA346" s="196"/>
      <c r="AB346" s="196"/>
      <c r="AC346" s="196"/>
      <c r="AD346" s="196"/>
    </row>
    <row r="347" spans="1:30" ht="12.9">
      <c r="A347" s="196"/>
      <c r="B347" s="143"/>
      <c r="C347" s="196"/>
      <c r="D347" s="196"/>
      <c r="E347" s="196"/>
      <c r="F347" s="196"/>
      <c r="G347" s="24"/>
      <c r="H347" s="24"/>
      <c r="I347" s="196"/>
      <c r="J347" s="196"/>
      <c r="K347" s="196"/>
      <c r="L347" s="196"/>
      <c r="M347" s="196"/>
      <c r="N347" s="196"/>
      <c r="O347" s="196"/>
      <c r="P347" s="196"/>
      <c r="Q347" s="196"/>
      <c r="R347" s="196"/>
      <c r="S347" s="196"/>
      <c r="T347" s="196"/>
      <c r="U347" s="196"/>
      <c r="V347" s="196"/>
      <c r="W347" s="196"/>
      <c r="X347" s="196"/>
      <c r="Y347" s="196"/>
      <c r="Z347" s="196"/>
      <c r="AA347" s="196"/>
      <c r="AB347" s="196"/>
      <c r="AC347" s="196"/>
      <c r="AD347" s="196"/>
    </row>
    <row r="348" spans="1:30" ht="12.9">
      <c r="A348" s="196"/>
      <c r="B348" s="143"/>
      <c r="C348" s="196"/>
      <c r="D348" s="196"/>
      <c r="E348" s="196"/>
      <c r="F348" s="196"/>
      <c r="G348" s="24"/>
      <c r="H348" s="24"/>
      <c r="I348" s="196"/>
      <c r="J348" s="196"/>
      <c r="K348" s="196"/>
      <c r="L348" s="196"/>
      <c r="M348" s="196"/>
      <c r="N348" s="196"/>
      <c r="O348" s="196"/>
      <c r="P348" s="196"/>
      <c r="Q348" s="196"/>
      <c r="R348" s="196"/>
      <c r="S348" s="196"/>
      <c r="T348" s="196"/>
      <c r="U348" s="196"/>
      <c r="V348" s="196"/>
      <c r="W348" s="196"/>
      <c r="X348" s="196"/>
      <c r="Y348" s="196"/>
      <c r="Z348" s="196"/>
      <c r="AA348" s="196"/>
      <c r="AB348" s="196"/>
      <c r="AC348" s="196"/>
      <c r="AD348" s="196"/>
    </row>
    <row r="349" spans="1:30" ht="12.9">
      <c r="A349" s="196"/>
      <c r="B349" s="143"/>
      <c r="C349" s="196"/>
      <c r="D349" s="196"/>
      <c r="E349" s="196"/>
      <c r="F349" s="196"/>
      <c r="G349" s="24"/>
      <c r="H349" s="24"/>
      <c r="I349" s="196"/>
      <c r="J349" s="196"/>
      <c r="K349" s="196"/>
      <c r="L349" s="196"/>
      <c r="M349" s="196"/>
      <c r="N349" s="196"/>
      <c r="O349" s="196"/>
      <c r="P349" s="196"/>
      <c r="Q349" s="196"/>
      <c r="R349" s="196"/>
      <c r="S349" s="196"/>
      <c r="T349" s="196"/>
      <c r="U349" s="196"/>
      <c r="V349" s="196"/>
      <c r="W349" s="196"/>
      <c r="X349" s="196"/>
      <c r="Y349" s="196"/>
      <c r="Z349" s="196"/>
      <c r="AA349" s="196"/>
      <c r="AB349" s="196"/>
      <c r="AC349" s="196"/>
      <c r="AD349" s="196"/>
    </row>
    <row r="350" spans="1:30" ht="12.9">
      <c r="A350" s="196"/>
      <c r="B350" s="143"/>
      <c r="C350" s="196"/>
      <c r="D350" s="196"/>
      <c r="E350" s="196"/>
      <c r="F350" s="196"/>
      <c r="G350" s="24"/>
      <c r="H350" s="24"/>
      <c r="I350" s="196"/>
      <c r="J350" s="196"/>
      <c r="K350" s="196"/>
      <c r="L350" s="196"/>
      <c r="M350" s="196"/>
      <c r="N350" s="196"/>
      <c r="O350" s="196"/>
      <c r="P350" s="196"/>
      <c r="Q350" s="196"/>
      <c r="R350" s="196"/>
      <c r="S350" s="196"/>
      <c r="T350" s="196"/>
      <c r="U350" s="196"/>
      <c r="V350" s="196"/>
      <c r="W350" s="196"/>
      <c r="X350" s="196"/>
      <c r="Y350" s="196"/>
      <c r="Z350" s="196"/>
      <c r="AA350" s="196"/>
      <c r="AB350" s="196"/>
      <c r="AC350" s="196"/>
      <c r="AD350" s="196"/>
    </row>
    <row r="351" spans="1:30" ht="12.9">
      <c r="A351" s="196"/>
      <c r="B351" s="143"/>
      <c r="C351" s="196"/>
      <c r="D351" s="196"/>
      <c r="E351" s="196"/>
      <c r="F351" s="196"/>
      <c r="G351" s="24"/>
      <c r="H351" s="24"/>
      <c r="I351" s="196"/>
      <c r="J351" s="196"/>
      <c r="K351" s="196"/>
      <c r="L351" s="196"/>
      <c r="M351" s="196"/>
      <c r="N351" s="196"/>
      <c r="O351" s="196"/>
      <c r="P351" s="196"/>
      <c r="Q351" s="196"/>
      <c r="R351" s="196"/>
      <c r="S351" s="196"/>
      <c r="T351" s="196"/>
      <c r="U351" s="196"/>
      <c r="V351" s="196"/>
      <c r="W351" s="196"/>
      <c r="X351" s="196"/>
      <c r="Y351" s="196"/>
      <c r="Z351" s="196"/>
      <c r="AA351" s="196"/>
      <c r="AB351" s="196"/>
      <c r="AC351" s="196"/>
      <c r="AD351" s="196"/>
    </row>
    <row r="352" spans="1:30" ht="12.9">
      <c r="A352" s="196"/>
      <c r="B352" s="143"/>
      <c r="C352" s="196"/>
      <c r="D352" s="196"/>
      <c r="E352" s="196"/>
      <c r="F352" s="196"/>
      <c r="G352" s="24"/>
      <c r="H352" s="24"/>
      <c r="I352" s="196"/>
      <c r="J352" s="196"/>
      <c r="K352" s="196"/>
      <c r="L352" s="196"/>
      <c r="M352" s="196"/>
      <c r="N352" s="196"/>
      <c r="O352" s="196"/>
      <c r="P352" s="196"/>
      <c r="Q352" s="196"/>
      <c r="R352" s="196"/>
      <c r="S352" s="196"/>
      <c r="T352" s="196"/>
      <c r="U352" s="196"/>
      <c r="V352" s="196"/>
      <c r="W352" s="196"/>
      <c r="X352" s="196"/>
      <c r="Y352" s="196"/>
      <c r="Z352" s="196"/>
      <c r="AA352" s="196"/>
      <c r="AB352" s="196"/>
      <c r="AC352" s="196"/>
      <c r="AD352" s="196"/>
    </row>
    <row r="353" spans="1:30" ht="12.9">
      <c r="A353" s="196"/>
      <c r="B353" s="143"/>
      <c r="C353" s="196"/>
      <c r="D353" s="196"/>
      <c r="E353" s="196"/>
      <c r="F353" s="196"/>
      <c r="G353" s="24"/>
      <c r="H353" s="24"/>
      <c r="I353" s="196"/>
      <c r="J353" s="196"/>
      <c r="K353" s="196"/>
      <c r="L353" s="196"/>
      <c r="M353" s="196"/>
      <c r="N353" s="196"/>
      <c r="O353" s="196"/>
      <c r="P353" s="196"/>
      <c r="Q353" s="196"/>
      <c r="R353" s="196"/>
      <c r="S353" s="196"/>
      <c r="T353" s="196"/>
      <c r="U353" s="196"/>
      <c r="V353" s="196"/>
      <c r="W353" s="196"/>
      <c r="X353" s="196"/>
      <c r="Y353" s="196"/>
      <c r="Z353" s="196"/>
      <c r="AA353" s="196"/>
      <c r="AB353" s="196"/>
      <c r="AC353" s="196"/>
      <c r="AD353" s="196"/>
    </row>
    <row r="354" spans="1:30" ht="12.9">
      <c r="A354" s="196"/>
      <c r="B354" s="143"/>
      <c r="C354" s="196"/>
      <c r="D354" s="196"/>
      <c r="E354" s="196"/>
      <c r="F354" s="196"/>
      <c r="G354" s="24"/>
      <c r="H354" s="24"/>
      <c r="I354" s="196"/>
      <c r="J354" s="196"/>
      <c r="K354" s="196"/>
      <c r="L354" s="196"/>
      <c r="M354" s="196"/>
      <c r="N354" s="196"/>
      <c r="O354" s="196"/>
      <c r="P354" s="196"/>
      <c r="Q354" s="196"/>
      <c r="R354" s="196"/>
      <c r="S354" s="196"/>
      <c r="T354" s="196"/>
      <c r="U354" s="196"/>
      <c r="V354" s="196"/>
      <c r="W354" s="196"/>
      <c r="X354" s="196"/>
      <c r="Y354" s="196"/>
      <c r="Z354" s="196"/>
      <c r="AA354" s="196"/>
      <c r="AB354" s="196"/>
      <c r="AC354" s="196"/>
      <c r="AD354" s="196"/>
    </row>
    <row r="355" spans="1:30" ht="12.9">
      <c r="A355" s="196"/>
      <c r="B355" s="143"/>
      <c r="C355" s="196"/>
      <c r="D355" s="196"/>
      <c r="E355" s="196"/>
      <c r="F355" s="196"/>
      <c r="G355" s="24"/>
      <c r="H355" s="24"/>
      <c r="I355" s="196"/>
      <c r="J355" s="196"/>
      <c r="K355" s="196"/>
      <c r="L355" s="196"/>
      <c r="M355" s="196"/>
      <c r="N355" s="196"/>
      <c r="O355" s="196"/>
      <c r="P355" s="196"/>
      <c r="Q355" s="196"/>
      <c r="R355" s="196"/>
      <c r="S355" s="196"/>
      <c r="T355" s="196"/>
      <c r="U355" s="196"/>
      <c r="V355" s="196"/>
      <c r="W355" s="196"/>
      <c r="X355" s="196"/>
      <c r="Y355" s="196"/>
      <c r="Z355" s="196"/>
      <c r="AA355" s="196"/>
      <c r="AB355" s="196"/>
      <c r="AC355" s="196"/>
      <c r="AD355" s="196"/>
    </row>
    <row r="356" spans="1:30" ht="12.9">
      <c r="A356" s="196"/>
      <c r="B356" s="143"/>
      <c r="C356" s="196"/>
      <c r="D356" s="196"/>
      <c r="E356" s="196"/>
      <c r="F356" s="196"/>
      <c r="G356" s="24"/>
      <c r="H356" s="24"/>
      <c r="I356" s="196"/>
      <c r="J356" s="196"/>
      <c r="K356" s="196"/>
      <c r="L356" s="196"/>
      <c r="M356" s="196"/>
      <c r="N356" s="196"/>
      <c r="O356" s="196"/>
      <c r="P356" s="196"/>
      <c r="Q356" s="196"/>
      <c r="R356" s="196"/>
      <c r="S356" s="196"/>
      <c r="T356" s="196"/>
      <c r="U356" s="196"/>
      <c r="V356" s="196"/>
      <c r="W356" s="196"/>
      <c r="X356" s="196"/>
      <c r="Y356" s="196"/>
      <c r="Z356" s="196"/>
      <c r="AA356" s="196"/>
      <c r="AB356" s="196"/>
      <c r="AC356" s="196"/>
      <c r="AD356" s="196"/>
    </row>
    <row r="357" spans="1:30" ht="12.9">
      <c r="A357" s="196"/>
      <c r="B357" s="143"/>
      <c r="C357" s="196"/>
      <c r="D357" s="196"/>
      <c r="E357" s="196"/>
      <c r="F357" s="196"/>
      <c r="G357" s="24"/>
      <c r="H357" s="24"/>
      <c r="I357" s="196"/>
      <c r="J357" s="196"/>
      <c r="K357" s="196"/>
      <c r="L357" s="196"/>
      <c r="M357" s="196"/>
      <c r="N357" s="196"/>
      <c r="O357" s="196"/>
      <c r="P357" s="196"/>
      <c r="Q357" s="196"/>
      <c r="R357" s="196"/>
      <c r="S357" s="196"/>
      <c r="T357" s="196"/>
      <c r="U357" s="196"/>
      <c r="V357" s="196"/>
      <c r="W357" s="196"/>
      <c r="X357" s="196"/>
      <c r="Y357" s="196"/>
      <c r="Z357" s="196"/>
      <c r="AA357" s="196"/>
      <c r="AB357" s="196"/>
      <c r="AC357" s="196"/>
      <c r="AD357" s="196"/>
    </row>
    <row r="358" spans="1:30" ht="12.9">
      <c r="A358" s="196"/>
      <c r="B358" s="143"/>
      <c r="C358" s="196"/>
      <c r="D358" s="196"/>
      <c r="E358" s="196"/>
      <c r="F358" s="196"/>
      <c r="G358" s="24"/>
      <c r="H358" s="24"/>
      <c r="I358" s="196"/>
      <c r="J358" s="196"/>
      <c r="K358" s="196"/>
      <c r="L358" s="196"/>
      <c r="M358" s="196"/>
      <c r="N358" s="196"/>
      <c r="O358" s="196"/>
      <c r="P358" s="196"/>
      <c r="Q358" s="196"/>
      <c r="R358" s="196"/>
      <c r="S358" s="196"/>
      <c r="T358" s="196"/>
      <c r="U358" s="196"/>
      <c r="V358" s="196"/>
      <c r="W358" s="196"/>
      <c r="X358" s="196"/>
      <c r="Y358" s="196"/>
      <c r="Z358" s="196"/>
      <c r="AA358" s="196"/>
      <c r="AB358" s="196"/>
      <c r="AC358" s="196"/>
      <c r="AD358" s="196"/>
    </row>
    <row r="359" spans="1:30" ht="12.9">
      <c r="A359" s="196"/>
      <c r="B359" s="143"/>
      <c r="C359" s="196"/>
      <c r="D359" s="196"/>
      <c r="E359" s="196"/>
      <c r="F359" s="196"/>
      <c r="G359" s="24"/>
      <c r="H359" s="24"/>
      <c r="I359" s="196"/>
      <c r="J359" s="196"/>
      <c r="K359" s="196"/>
      <c r="L359" s="196"/>
      <c r="M359" s="196"/>
      <c r="N359" s="196"/>
      <c r="O359" s="196"/>
      <c r="P359" s="196"/>
      <c r="Q359" s="196"/>
      <c r="R359" s="196"/>
      <c r="S359" s="196"/>
      <c r="T359" s="196"/>
      <c r="U359" s="196"/>
      <c r="V359" s="196"/>
      <c r="W359" s="196"/>
      <c r="X359" s="196"/>
      <c r="Y359" s="196"/>
      <c r="Z359" s="196"/>
      <c r="AA359" s="196"/>
      <c r="AB359" s="196"/>
      <c r="AC359" s="196"/>
      <c r="AD359" s="196"/>
    </row>
    <row r="360" spans="1:30" ht="12.9">
      <c r="A360" s="196"/>
      <c r="B360" s="143"/>
      <c r="C360" s="196"/>
      <c r="D360" s="196"/>
      <c r="E360" s="196"/>
      <c r="F360" s="196"/>
      <c r="G360" s="24"/>
      <c r="H360" s="24"/>
      <c r="I360" s="196"/>
      <c r="J360" s="196"/>
      <c r="K360" s="196"/>
      <c r="L360" s="196"/>
      <c r="M360" s="196"/>
      <c r="N360" s="196"/>
      <c r="O360" s="196"/>
      <c r="P360" s="196"/>
      <c r="Q360" s="196"/>
      <c r="R360" s="196"/>
      <c r="S360" s="196"/>
      <c r="T360" s="196"/>
      <c r="U360" s="196"/>
      <c r="V360" s="196"/>
      <c r="W360" s="196"/>
      <c r="X360" s="196"/>
      <c r="Y360" s="196"/>
      <c r="Z360" s="196"/>
      <c r="AA360" s="196"/>
      <c r="AB360" s="196"/>
      <c r="AC360" s="196"/>
      <c r="AD360" s="196"/>
    </row>
    <row r="361" spans="1:30" ht="12.9">
      <c r="A361" s="196"/>
      <c r="B361" s="143"/>
      <c r="C361" s="196"/>
      <c r="D361" s="196"/>
      <c r="E361" s="196"/>
      <c r="F361" s="196"/>
      <c r="G361" s="24"/>
      <c r="H361" s="24"/>
      <c r="I361" s="196"/>
      <c r="J361" s="196"/>
      <c r="K361" s="196"/>
      <c r="L361" s="196"/>
      <c r="M361" s="196"/>
      <c r="N361" s="196"/>
      <c r="O361" s="196"/>
      <c r="P361" s="196"/>
      <c r="Q361" s="196"/>
      <c r="R361" s="196"/>
      <c r="S361" s="196"/>
      <c r="T361" s="196"/>
      <c r="U361" s="196"/>
      <c r="V361" s="196"/>
      <c r="W361" s="196"/>
      <c r="X361" s="196"/>
      <c r="Y361" s="196"/>
      <c r="Z361" s="196"/>
      <c r="AA361" s="196"/>
      <c r="AB361" s="196"/>
      <c r="AC361" s="196"/>
      <c r="AD361" s="196"/>
    </row>
    <row r="362" spans="1:30" ht="12.9">
      <c r="A362" s="196"/>
      <c r="B362" s="143"/>
      <c r="C362" s="196"/>
      <c r="D362" s="196"/>
      <c r="E362" s="196"/>
      <c r="F362" s="196"/>
      <c r="G362" s="24"/>
      <c r="H362" s="24"/>
      <c r="I362" s="196"/>
      <c r="J362" s="196"/>
      <c r="K362" s="196"/>
      <c r="L362" s="196"/>
      <c r="M362" s="196"/>
      <c r="N362" s="196"/>
      <c r="O362" s="196"/>
      <c r="P362" s="196"/>
      <c r="Q362" s="196"/>
      <c r="R362" s="196"/>
      <c r="S362" s="196"/>
      <c r="T362" s="196"/>
      <c r="U362" s="196"/>
      <c r="V362" s="196"/>
      <c r="W362" s="196"/>
      <c r="X362" s="196"/>
      <c r="Y362" s="196"/>
      <c r="Z362" s="196"/>
      <c r="AA362" s="196"/>
      <c r="AB362" s="196"/>
      <c r="AC362" s="196"/>
      <c r="AD362" s="196"/>
    </row>
    <row r="363" spans="1:30" ht="12.9">
      <c r="A363" s="196"/>
      <c r="B363" s="143"/>
      <c r="C363" s="196"/>
      <c r="D363" s="196"/>
      <c r="E363" s="196"/>
      <c r="F363" s="196"/>
      <c r="G363" s="24"/>
      <c r="H363" s="24"/>
      <c r="I363" s="196"/>
      <c r="J363" s="196"/>
      <c r="K363" s="196"/>
      <c r="L363" s="196"/>
      <c r="M363" s="196"/>
      <c r="N363" s="196"/>
      <c r="O363" s="196"/>
      <c r="P363" s="196"/>
      <c r="Q363" s="196"/>
      <c r="R363" s="196"/>
      <c r="S363" s="196"/>
      <c r="T363" s="196"/>
      <c r="U363" s="196"/>
      <c r="V363" s="196"/>
      <c r="W363" s="196"/>
      <c r="X363" s="196"/>
      <c r="Y363" s="196"/>
      <c r="Z363" s="196"/>
      <c r="AA363" s="196"/>
      <c r="AB363" s="196"/>
      <c r="AC363" s="196"/>
      <c r="AD363" s="196"/>
    </row>
    <row r="364" spans="1:30" ht="12.9">
      <c r="A364" s="196"/>
      <c r="B364" s="143"/>
      <c r="C364" s="196"/>
      <c r="D364" s="196"/>
      <c r="E364" s="196"/>
      <c r="F364" s="196"/>
      <c r="G364" s="24"/>
      <c r="H364" s="24"/>
      <c r="I364" s="196"/>
      <c r="J364" s="196"/>
      <c r="K364" s="196"/>
      <c r="L364" s="196"/>
      <c r="M364" s="196"/>
      <c r="N364" s="196"/>
      <c r="O364" s="196"/>
      <c r="P364" s="196"/>
      <c r="Q364" s="196"/>
      <c r="R364" s="196"/>
      <c r="S364" s="196"/>
      <c r="T364" s="196"/>
      <c r="U364" s="196"/>
      <c r="V364" s="196"/>
      <c r="W364" s="196"/>
      <c r="X364" s="196"/>
      <c r="Y364" s="196"/>
      <c r="Z364" s="196"/>
      <c r="AA364" s="196"/>
      <c r="AB364" s="196"/>
      <c r="AC364" s="196"/>
      <c r="AD364" s="196"/>
    </row>
    <row r="365" spans="1:30" ht="12.9">
      <c r="A365" s="196"/>
      <c r="B365" s="143"/>
      <c r="C365" s="196"/>
      <c r="D365" s="196"/>
      <c r="E365" s="196"/>
      <c r="F365" s="196"/>
      <c r="G365" s="24"/>
      <c r="H365" s="24"/>
      <c r="I365" s="196"/>
      <c r="J365" s="196"/>
      <c r="K365" s="196"/>
      <c r="L365" s="196"/>
      <c r="M365" s="196"/>
      <c r="N365" s="196"/>
      <c r="O365" s="196"/>
      <c r="P365" s="196"/>
      <c r="Q365" s="196"/>
      <c r="R365" s="196"/>
      <c r="S365" s="196"/>
      <c r="T365" s="196"/>
      <c r="U365" s="196"/>
      <c r="V365" s="196"/>
      <c r="W365" s="196"/>
      <c r="X365" s="196"/>
      <c r="Y365" s="196"/>
      <c r="Z365" s="196"/>
      <c r="AA365" s="196"/>
      <c r="AB365" s="196"/>
      <c r="AC365" s="196"/>
      <c r="AD365" s="196"/>
    </row>
    <row r="366" spans="1:30" ht="12.9">
      <c r="A366" s="196"/>
      <c r="B366" s="143"/>
      <c r="C366" s="196"/>
      <c r="D366" s="196"/>
      <c r="E366" s="196"/>
      <c r="F366" s="196"/>
      <c r="G366" s="24"/>
      <c r="H366" s="24"/>
      <c r="I366" s="196"/>
      <c r="J366" s="196"/>
      <c r="K366" s="196"/>
      <c r="L366" s="196"/>
      <c r="M366" s="196"/>
      <c r="N366" s="196"/>
      <c r="O366" s="196"/>
      <c r="P366" s="196"/>
      <c r="Q366" s="196"/>
      <c r="R366" s="196"/>
      <c r="S366" s="196"/>
      <c r="T366" s="196"/>
      <c r="U366" s="196"/>
      <c r="V366" s="196"/>
      <c r="W366" s="196"/>
      <c r="X366" s="196"/>
      <c r="Y366" s="196"/>
      <c r="Z366" s="196"/>
      <c r="AA366" s="196"/>
      <c r="AB366" s="196"/>
      <c r="AC366" s="196"/>
      <c r="AD366" s="196"/>
    </row>
    <row r="367" spans="1:30" ht="12.9">
      <c r="A367" s="196"/>
      <c r="B367" s="143"/>
      <c r="C367" s="196"/>
      <c r="D367" s="196"/>
      <c r="E367" s="196"/>
      <c r="F367" s="196"/>
      <c r="G367" s="24"/>
      <c r="H367" s="24"/>
      <c r="I367" s="196"/>
      <c r="J367" s="196"/>
      <c r="K367" s="196"/>
      <c r="L367" s="196"/>
      <c r="M367" s="196"/>
      <c r="N367" s="196"/>
      <c r="O367" s="196"/>
      <c r="P367" s="196"/>
      <c r="Q367" s="196"/>
      <c r="R367" s="196"/>
      <c r="S367" s="196"/>
      <c r="T367" s="196"/>
      <c r="U367" s="196"/>
      <c r="V367" s="196"/>
      <c r="W367" s="196"/>
      <c r="X367" s="196"/>
      <c r="Y367" s="196"/>
      <c r="Z367" s="196"/>
      <c r="AA367" s="196"/>
      <c r="AB367" s="196"/>
      <c r="AC367" s="196"/>
      <c r="AD367" s="196"/>
    </row>
    <row r="368" spans="1:30" ht="12.9">
      <c r="A368" s="196"/>
      <c r="B368" s="143"/>
      <c r="C368" s="196"/>
      <c r="D368" s="196"/>
      <c r="E368" s="196"/>
      <c r="F368" s="196"/>
      <c r="G368" s="24"/>
      <c r="H368" s="24"/>
      <c r="I368" s="196"/>
      <c r="J368" s="196"/>
      <c r="K368" s="196"/>
      <c r="L368" s="196"/>
      <c r="M368" s="196"/>
      <c r="N368" s="196"/>
      <c r="O368" s="196"/>
      <c r="P368" s="196"/>
      <c r="Q368" s="196"/>
      <c r="R368" s="196"/>
      <c r="S368" s="196"/>
      <c r="T368" s="196"/>
      <c r="U368" s="196"/>
      <c r="V368" s="196"/>
      <c r="W368" s="196"/>
      <c r="X368" s="196"/>
      <c r="Y368" s="196"/>
      <c r="Z368" s="196"/>
      <c r="AA368" s="196"/>
      <c r="AB368" s="196"/>
      <c r="AC368" s="196"/>
      <c r="AD368" s="196"/>
    </row>
    <row r="369" spans="1:30" ht="12.9">
      <c r="A369" s="196"/>
      <c r="B369" s="143"/>
      <c r="C369" s="196"/>
      <c r="D369" s="196"/>
      <c r="E369" s="196"/>
      <c r="F369" s="196"/>
      <c r="G369" s="24"/>
      <c r="H369" s="24"/>
      <c r="I369" s="196"/>
      <c r="J369" s="196"/>
      <c r="K369" s="196"/>
      <c r="L369" s="196"/>
      <c r="M369" s="196"/>
      <c r="N369" s="196"/>
      <c r="O369" s="196"/>
      <c r="P369" s="196"/>
      <c r="Q369" s="196"/>
      <c r="R369" s="196"/>
      <c r="S369" s="196"/>
      <c r="T369" s="196"/>
      <c r="U369" s="196"/>
      <c r="V369" s="196"/>
      <c r="W369" s="196"/>
      <c r="X369" s="196"/>
      <c r="Y369" s="196"/>
      <c r="Z369" s="196"/>
      <c r="AA369" s="196"/>
      <c r="AB369" s="196"/>
      <c r="AC369" s="196"/>
      <c r="AD369" s="196"/>
    </row>
    <row r="370" spans="1:30" ht="12.9">
      <c r="A370" s="196"/>
      <c r="B370" s="143"/>
      <c r="C370" s="196"/>
      <c r="D370" s="196"/>
      <c r="E370" s="196"/>
      <c r="F370" s="196"/>
      <c r="G370" s="24"/>
      <c r="H370" s="24"/>
      <c r="I370" s="196"/>
      <c r="J370" s="196"/>
      <c r="K370" s="196"/>
      <c r="L370" s="196"/>
      <c r="M370" s="196"/>
      <c r="N370" s="196"/>
      <c r="O370" s="196"/>
      <c r="P370" s="196"/>
      <c r="Q370" s="196"/>
      <c r="R370" s="196"/>
      <c r="S370" s="196"/>
      <c r="T370" s="196"/>
      <c r="U370" s="196"/>
      <c r="V370" s="196"/>
      <c r="W370" s="196"/>
      <c r="X370" s="196"/>
      <c r="Y370" s="196"/>
      <c r="Z370" s="196"/>
      <c r="AA370" s="196"/>
      <c r="AB370" s="196"/>
      <c r="AC370" s="196"/>
      <c r="AD370" s="196"/>
    </row>
    <row r="371" spans="1:30" ht="12.9">
      <c r="A371" s="196"/>
      <c r="B371" s="143"/>
      <c r="C371" s="196"/>
      <c r="D371" s="196"/>
      <c r="E371" s="196"/>
      <c r="F371" s="196"/>
      <c r="G371" s="24"/>
      <c r="H371" s="24"/>
      <c r="I371" s="196"/>
      <c r="J371" s="196"/>
      <c r="K371" s="196"/>
      <c r="L371" s="196"/>
      <c r="M371" s="196"/>
      <c r="N371" s="196"/>
      <c r="O371" s="196"/>
      <c r="P371" s="196"/>
      <c r="Q371" s="196"/>
      <c r="R371" s="196"/>
      <c r="S371" s="196"/>
      <c r="T371" s="196"/>
      <c r="U371" s="196"/>
      <c r="V371" s="196"/>
      <c r="W371" s="196"/>
      <c r="X371" s="196"/>
      <c r="Y371" s="196"/>
      <c r="Z371" s="196"/>
      <c r="AA371" s="196"/>
      <c r="AB371" s="196"/>
      <c r="AC371" s="196"/>
      <c r="AD371" s="196"/>
    </row>
    <row r="372" spans="1:30" ht="12.9">
      <c r="A372" s="196"/>
      <c r="B372" s="143"/>
      <c r="C372" s="196"/>
      <c r="D372" s="196"/>
      <c r="E372" s="196"/>
      <c r="F372" s="196"/>
      <c r="G372" s="24"/>
      <c r="H372" s="24"/>
      <c r="I372" s="196"/>
      <c r="J372" s="196"/>
      <c r="K372" s="196"/>
      <c r="L372" s="196"/>
      <c r="M372" s="196"/>
      <c r="N372" s="196"/>
      <c r="O372" s="196"/>
      <c r="P372" s="196"/>
      <c r="Q372" s="196"/>
      <c r="R372" s="196"/>
      <c r="S372" s="196"/>
      <c r="T372" s="196"/>
      <c r="U372" s="196"/>
      <c r="V372" s="196"/>
      <c r="W372" s="196"/>
      <c r="X372" s="196"/>
      <c r="Y372" s="196"/>
      <c r="Z372" s="196"/>
      <c r="AA372" s="196"/>
      <c r="AB372" s="196"/>
      <c r="AC372" s="196"/>
      <c r="AD372" s="196"/>
    </row>
    <row r="373" spans="1:30" ht="12.9">
      <c r="A373" s="196"/>
      <c r="B373" s="143"/>
      <c r="C373" s="196"/>
      <c r="D373" s="196"/>
      <c r="E373" s="196"/>
      <c r="F373" s="196"/>
      <c r="G373" s="24"/>
      <c r="H373" s="24"/>
      <c r="I373" s="196"/>
      <c r="J373" s="196"/>
      <c r="K373" s="196"/>
      <c r="L373" s="196"/>
      <c r="M373" s="196"/>
      <c r="N373" s="196"/>
      <c r="O373" s="196"/>
      <c r="P373" s="196"/>
      <c r="Q373" s="196"/>
      <c r="R373" s="196"/>
      <c r="S373" s="196"/>
      <c r="T373" s="196"/>
      <c r="U373" s="196"/>
      <c r="V373" s="196"/>
      <c r="W373" s="196"/>
      <c r="X373" s="196"/>
      <c r="Y373" s="196"/>
      <c r="Z373" s="196"/>
      <c r="AA373" s="196"/>
      <c r="AB373" s="196"/>
      <c r="AC373" s="196"/>
      <c r="AD373" s="196"/>
    </row>
    <row r="374" spans="1:30" ht="12.9">
      <c r="A374" s="196"/>
      <c r="B374" s="143"/>
      <c r="C374" s="196"/>
      <c r="D374" s="196"/>
      <c r="E374" s="196"/>
      <c r="F374" s="196"/>
      <c r="G374" s="24"/>
      <c r="H374" s="24"/>
      <c r="I374" s="196"/>
      <c r="J374" s="196"/>
      <c r="K374" s="196"/>
      <c r="L374" s="196"/>
      <c r="M374" s="196"/>
      <c r="N374" s="196"/>
      <c r="O374" s="196"/>
      <c r="P374" s="196"/>
      <c r="Q374" s="196"/>
      <c r="R374" s="196"/>
      <c r="S374" s="196"/>
      <c r="T374" s="196"/>
      <c r="U374" s="196"/>
      <c r="V374" s="196"/>
      <c r="W374" s="196"/>
      <c r="X374" s="196"/>
      <c r="Y374" s="196"/>
      <c r="Z374" s="196"/>
      <c r="AA374" s="196"/>
      <c r="AB374" s="196"/>
      <c r="AC374" s="196"/>
      <c r="AD374" s="196"/>
    </row>
    <row r="375" spans="1:30" ht="12.9">
      <c r="A375" s="196"/>
      <c r="B375" s="143"/>
      <c r="C375" s="196"/>
      <c r="D375" s="196"/>
      <c r="E375" s="196"/>
      <c r="F375" s="196"/>
      <c r="G375" s="24"/>
      <c r="H375" s="24"/>
      <c r="I375" s="196"/>
      <c r="J375" s="196"/>
      <c r="K375" s="196"/>
      <c r="L375" s="196"/>
      <c r="M375" s="196"/>
      <c r="N375" s="196"/>
      <c r="O375" s="196"/>
      <c r="P375" s="196"/>
      <c r="Q375" s="196"/>
      <c r="R375" s="196"/>
      <c r="S375" s="196"/>
      <c r="T375" s="196"/>
      <c r="U375" s="196"/>
      <c r="V375" s="196"/>
      <c r="W375" s="196"/>
      <c r="X375" s="196"/>
      <c r="Y375" s="196"/>
      <c r="Z375" s="196"/>
      <c r="AA375" s="196"/>
      <c r="AB375" s="196"/>
      <c r="AC375" s="196"/>
      <c r="AD375" s="196"/>
    </row>
    <row r="376" spans="1:30" ht="12.9">
      <c r="A376" s="196"/>
      <c r="B376" s="143"/>
      <c r="C376" s="196"/>
      <c r="D376" s="196"/>
      <c r="E376" s="196"/>
      <c r="F376" s="196"/>
      <c r="G376" s="24"/>
      <c r="H376" s="24"/>
      <c r="I376" s="196"/>
      <c r="J376" s="196"/>
      <c r="K376" s="196"/>
      <c r="L376" s="196"/>
      <c r="M376" s="196"/>
      <c r="N376" s="196"/>
      <c r="O376" s="196"/>
      <c r="P376" s="196"/>
      <c r="Q376" s="196"/>
      <c r="R376" s="196"/>
      <c r="S376" s="196"/>
      <c r="T376" s="196"/>
      <c r="U376" s="196"/>
      <c r="V376" s="196"/>
      <c r="W376" s="196"/>
      <c r="X376" s="196"/>
      <c r="Y376" s="196"/>
      <c r="Z376" s="196"/>
      <c r="AA376" s="196"/>
      <c r="AB376" s="196"/>
      <c r="AC376" s="196"/>
      <c r="AD376" s="196"/>
    </row>
    <row r="377" spans="1:30" ht="12.9">
      <c r="A377" s="196"/>
      <c r="B377" s="143"/>
      <c r="C377" s="196"/>
      <c r="D377" s="196"/>
      <c r="E377" s="196"/>
      <c r="F377" s="196"/>
      <c r="G377" s="24"/>
      <c r="H377" s="24"/>
      <c r="I377" s="196"/>
      <c r="J377" s="196"/>
      <c r="K377" s="196"/>
      <c r="L377" s="196"/>
      <c r="M377" s="196"/>
      <c r="N377" s="196"/>
      <c r="O377" s="196"/>
      <c r="P377" s="196"/>
      <c r="Q377" s="196"/>
      <c r="R377" s="196"/>
      <c r="S377" s="196"/>
      <c r="T377" s="196"/>
      <c r="U377" s="196"/>
      <c r="V377" s="196"/>
      <c r="W377" s="196"/>
      <c r="X377" s="196"/>
      <c r="Y377" s="196"/>
      <c r="Z377" s="196"/>
      <c r="AA377" s="196"/>
      <c r="AB377" s="196"/>
      <c r="AC377" s="196"/>
      <c r="AD377" s="196"/>
    </row>
    <row r="378" spans="1:30" ht="12.9">
      <c r="A378" s="196"/>
      <c r="B378" s="143"/>
      <c r="C378" s="196"/>
      <c r="D378" s="196"/>
      <c r="E378" s="196"/>
      <c r="F378" s="196"/>
      <c r="G378" s="24"/>
      <c r="H378" s="24"/>
      <c r="I378" s="196"/>
      <c r="J378" s="196"/>
      <c r="K378" s="196"/>
      <c r="L378" s="196"/>
      <c r="M378" s="196"/>
      <c r="N378" s="196"/>
      <c r="O378" s="196"/>
      <c r="P378" s="196"/>
      <c r="Q378" s="196"/>
      <c r="R378" s="196"/>
      <c r="S378" s="196"/>
      <c r="T378" s="196"/>
      <c r="U378" s="196"/>
      <c r="V378" s="196"/>
      <c r="W378" s="196"/>
      <c r="X378" s="196"/>
      <c r="Y378" s="196"/>
      <c r="Z378" s="196"/>
      <c r="AA378" s="196"/>
      <c r="AB378" s="196"/>
      <c r="AC378" s="196"/>
      <c r="AD378" s="196"/>
    </row>
    <row r="379" spans="1:30" ht="12.9">
      <c r="A379" s="196"/>
      <c r="B379" s="143"/>
      <c r="C379" s="196"/>
      <c r="D379" s="196"/>
      <c r="E379" s="196"/>
      <c r="F379" s="196"/>
      <c r="G379" s="24"/>
      <c r="H379" s="24"/>
      <c r="I379" s="196"/>
      <c r="J379" s="196"/>
      <c r="K379" s="196"/>
      <c r="L379" s="196"/>
      <c r="M379" s="196"/>
      <c r="N379" s="196"/>
      <c r="O379" s="196"/>
      <c r="P379" s="196"/>
      <c r="Q379" s="196"/>
      <c r="R379" s="196"/>
      <c r="S379" s="196"/>
      <c r="T379" s="196"/>
      <c r="U379" s="196"/>
      <c r="V379" s="196"/>
      <c r="W379" s="196"/>
      <c r="X379" s="196"/>
      <c r="Y379" s="196"/>
      <c r="Z379" s="196"/>
      <c r="AA379" s="196"/>
      <c r="AB379" s="196"/>
      <c r="AC379" s="196"/>
      <c r="AD379" s="196"/>
    </row>
    <row r="380" spans="1:30" ht="12.9">
      <c r="A380" s="196"/>
      <c r="B380" s="143"/>
      <c r="C380" s="196"/>
      <c r="D380" s="196"/>
      <c r="E380" s="196"/>
      <c r="F380" s="196"/>
      <c r="G380" s="24"/>
      <c r="H380" s="24"/>
      <c r="I380" s="196"/>
      <c r="J380" s="196"/>
      <c r="K380" s="196"/>
      <c r="L380" s="196"/>
      <c r="M380" s="196"/>
      <c r="N380" s="196"/>
      <c r="O380" s="196"/>
      <c r="P380" s="196"/>
      <c r="Q380" s="196"/>
      <c r="R380" s="196"/>
      <c r="S380" s="196"/>
      <c r="T380" s="196"/>
      <c r="U380" s="196"/>
      <c r="V380" s="196"/>
      <c r="W380" s="196"/>
      <c r="X380" s="196"/>
      <c r="Y380" s="196"/>
      <c r="Z380" s="196"/>
      <c r="AA380" s="196"/>
      <c r="AB380" s="196"/>
      <c r="AC380" s="196"/>
      <c r="AD380" s="196"/>
    </row>
    <row r="381" spans="1:30" ht="12.9">
      <c r="A381" s="196"/>
      <c r="B381" s="143"/>
      <c r="C381" s="196"/>
      <c r="D381" s="196"/>
      <c r="E381" s="196"/>
      <c r="F381" s="196"/>
      <c r="G381" s="24"/>
      <c r="H381" s="24"/>
      <c r="I381" s="196"/>
      <c r="J381" s="196"/>
      <c r="K381" s="196"/>
      <c r="L381" s="196"/>
      <c r="M381" s="196"/>
      <c r="N381" s="196"/>
      <c r="O381" s="196"/>
      <c r="P381" s="196"/>
      <c r="Q381" s="196"/>
      <c r="R381" s="196"/>
      <c r="S381" s="196"/>
      <c r="T381" s="196"/>
      <c r="U381" s="196"/>
      <c r="V381" s="196"/>
      <c r="W381" s="196"/>
      <c r="X381" s="196"/>
      <c r="Y381" s="196"/>
      <c r="Z381" s="196"/>
      <c r="AA381" s="196"/>
      <c r="AB381" s="196"/>
      <c r="AC381" s="196"/>
      <c r="AD381" s="196"/>
    </row>
    <row r="382" spans="1:30" ht="12.9">
      <c r="A382" s="196"/>
      <c r="B382" s="143"/>
      <c r="C382" s="196"/>
      <c r="D382" s="196"/>
      <c r="E382" s="196"/>
      <c r="F382" s="196"/>
      <c r="G382" s="24"/>
      <c r="H382" s="24"/>
      <c r="I382" s="196"/>
      <c r="J382" s="196"/>
      <c r="K382" s="196"/>
      <c r="L382" s="196"/>
      <c r="M382" s="196"/>
      <c r="N382" s="196"/>
      <c r="O382" s="196"/>
      <c r="P382" s="196"/>
      <c r="Q382" s="196"/>
      <c r="R382" s="196"/>
      <c r="S382" s="196"/>
      <c r="T382" s="196"/>
      <c r="U382" s="196"/>
      <c r="V382" s="196"/>
      <c r="W382" s="196"/>
      <c r="X382" s="196"/>
      <c r="Y382" s="196"/>
      <c r="Z382" s="196"/>
      <c r="AA382" s="196"/>
      <c r="AB382" s="196"/>
      <c r="AC382" s="196"/>
      <c r="AD382" s="196"/>
    </row>
    <row r="383" spans="1:30" ht="12.9">
      <c r="A383" s="196"/>
      <c r="B383" s="143"/>
      <c r="C383" s="196"/>
      <c r="D383" s="196"/>
      <c r="E383" s="196"/>
      <c r="F383" s="196"/>
      <c r="G383" s="24"/>
      <c r="H383" s="24"/>
      <c r="I383" s="196"/>
      <c r="J383" s="196"/>
      <c r="K383" s="196"/>
      <c r="L383" s="196"/>
      <c r="M383" s="196"/>
      <c r="N383" s="196"/>
      <c r="O383" s="196"/>
      <c r="P383" s="196"/>
      <c r="Q383" s="196"/>
      <c r="R383" s="196"/>
      <c r="S383" s="196"/>
      <c r="T383" s="196"/>
      <c r="U383" s="196"/>
      <c r="V383" s="196"/>
      <c r="W383" s="196"/>
      <c r="X383" s="196"/>
      <c r="Y383" s="196"/>
      <c r="Z383" s="196"/>
      <c r="AA383" s="196"/>
      <c r="AB383" s="196"/>
      <c r="AC383" s="196"/>
      <c r="AD383" s="196"/>
    </row>
    <row r="384" spans="1:30" ht="12.9">
      <c r="A384" s="196"/>
      <c r="B384" s="143"/>
      <c r="C384" s="196"/>
      <c r="D384" s="196"/>
      <c r="E384" s="196"/>
      <c r="F384" s="196"/>
      <c r="G384" s="24"/>
      <c r="H384" s="24"/>
      <c r="I384" s="196"/>
      <c r="J384" s="196"/>
      <c r="K384" s="196"/>
      <c r="L384" s="196"/>
      <c r="M384" s="196"/>
      <c r="N384" s="196"/>
      <c r="O384" s="196"/>
      <c r="P384" s="196"/>
      <c r="Q384" s="196"/>
      <c r="R384" s="196"/>
      <c r="S384" s="196"/>
      <c r="T384" s="196"/>
      <c r="U384" s="196"/>
      <c r="V384" s="196"/>
      <c r="W384" s="196"/>
      <c r="X384" s="196"/>
      <c r="Y384" s="196"/>
      <c r="Z384" s="196"/>
      <c r="AA384" s="196"/>
      <c r="AB384" s="196"/>
      <c r="AC384" s="196"/>
      <c r="AD384" s="196"/>
    </row>
    <row r="385" spans="1:30" ht="12.9">
      <c r="A385" s="196"/>
      <c r="B385" s="143"/>
      <c r="C385" s="196"/>
      <c r="D385" s="196"/>
      <c r="E385" s="196"/>
      <c r="F385" s="196"/>
      <c r="G385" s="24"/>
      <c r="H385" s="24"/>
      <c r="I385" s="196"/>
      <c r="J385" s="196"/>
      <c r="K385" s="196"/>
      <c r="L385" s="196"/>
      <c r="M385" s="196"/>
      <c r="N385" s="196"/>
      <c r="O385" s="196"/>
      <c r="P385" s="196"/>
      <c r="Q385" s="196"/>
      <c r="R385" s="196"/>
      <c r="S385" s="196"/>
      <c r="T385" s="196"/>
      <c r="U385" s="196"/>
      <c r="V385" s="196"/>
      <c r="W385" s="196"/>
      <c r="X385" s="196"/>
      <c r="Y385" s="196"/>
      <c r="Z385" s="196"/>
      <c r="AA385" s="196"/>
      <c r="AB385" s="196"/>
      <c r="AC385" s="196"/>
      <c r="AD385" s="196"/>
    </row>
    <row r="386" spans="1:30" ht="12.9">
      <c r="A386" s="196"/>
      <c r="B386" s="143"/>
      <c r="C386" s="196"/>
      <c r="D386" s="196"/>
      <c r="E386" s="196"/>
      <c r="F386" s="196"/>
      <c r="G386" s="24"/>
      <c r="H386" s="24"/>
      <c r="I386" s="196"/>
      <c r="J386" s="196"/>
      <c r="K386" s="196"/>
      <c r="L386" s="196"/>
      <c r="M386" s="196"/>
      <c r="N386" s="196"/>
      <c r="O386" s="196"/>
      <c r="P386" s="196"/>
      <c r="Q386" s="196"/>
      <c r="R386" s="196"/>
      <c r="S386" s="196"/>
      <c r="T386" s="196"/>
      <c r="U386" s="196"/>
      <c r="V386" s="196"/>
      <c r="W386" s="196"/>
      <c r="X386" s="196"/>
      <c r="Y386" s="196"/>
      <c r="Z386" s="196"/>
      <c r="AA386" s="196"/>
      <c r="AB386" s="196"/>
      <c r="AC386" s="196"/>
      <c r="AD386" s="196"/>
    </row>
    <row r="387" spans="1:30" ht="12.9">
      <c r="A387" s="196"/>
      <c r="B387" s="143"/>
      <c r="C387" s="196"/>
      <c r="D387" s="196"/>
      <c r="E387" s="196"/>
      <c r="F387" s="196"/>
      <c r="G387" s="24"/>
      <c r="H387" s="24"/>
      <c r="I387" s="196"/>
      <c r="J387" s="196"/>
      <c r="K387" s="196"/>
      <c r="L387" s="196"/>
      <c r="M387" s="196"/>
      <c r="N387" s="196"/>
      <c r="O387" s="196"/>
      <c r="P387" s="196"/>
      <c r="Q387" s="196"/>
      <c r="R387" s="196"/>
      <c r="S387" s="196"/>
      <c r="T387" s="196"/>
      <c r="U387" s="196"/>
      <c r="V387" s="196"/>
      <c r="W387" s="196"/>
      <c r="X387" s="196"/>
      <c r="Y387" s="196"/>
      <c r="Z387" s="196"/>
      <c r="AA387" s="196"/>
      <c r="AB387" s="196"/>
      <c r="AC387" s="196"/>
      <c r="AD387" s="196"/>
    </row>
    <row r="388" spans="1:30" ht="12.9">
      <c r="A388" s="196"/>
      <c r="B388" s="143"/>
      <c r="C388" s="196"/>
      <c r="D388" s="196"/>
      <c r="E388" s="196"/>
      <c r="F388" s="196"/>
      <c r="G388" s="24"/>
      <c r="H388" s="24"/>
      <c r="I388" s="196"/>
      <c r="J388" s="196"/>
      <c r="K388" s="196"/>
      <c r="L388" s="196"/>
      <c r="M388" s="196"/>
      <c r="N388" s="196"/>
      <c r="O388" s="196"/>
      <c r="P388" s="196"/>
      <c r="Q388" s="196"/>
      <c r="R388" s="196"/>
      <c r="S388" s="196"/>
      <c r="T388" s="196"/>
      <c r="U388" s="196"/>
      <c r="V388" s="196"/>
      <c r="W388" s="196"/>
      <c r="X388" s="196"/>
      <c r="Y388" s="196"/>
      <c r="Z388" s="196"/>
      <c r="AA388" s="196"/>
      <c r="AB388" s="196"/>
      <c r="AC388" s="196"/>
      <c r="AD388" s="196"/>
    </row>
    <row r="389" spans="1:30" ht="12.9">
      <c r="A389" s="196"/>
      <c r="B389" s="143"/>
      <c r="C389" s="196"/>
      <c r="D389" s="196"/>
      <c r="E389" s="196"/>
      <c r="F389" s="196"/>
      <c r="G389" s="24"/>
      <c r="H389" s="24"/>
      <c r="I389" s="196"/>
      <c r="J389" s="196"/>
      <c r="K389" s="196"/>
      <c r="L389" s="196"/>
      <c r="M389" s="196"/>
      <c r="N389" s="196"/>
      <c r="O389" s="196"/>
      <c r="P389" s="196"/>
      <c r="Q389" s="196"/>
      <c r="R389" s="196"/>
      <c r="S389" s="196"/>
      <c r="T389" s="196"/>
      <c r="U389" s="196"/>
      <c r="V389" s="196"/>
      <c r="W389" s="196"/>
      <c r="X389" s="196"/>
      <c r="Y389" s="196"/>
      <c r="Z389" s="196"/>
      <c r="AA389" s="196"/>
      <c r="AB389" s="196"/>
      <c r="AC389" s="196"/>
      <c r="AD389" s="196"/>
    </row>
    <row r="390" spans="1:30" ht="12.9">
      <c r="A390" s="196"/>
      <c r="B390" s="143"/>
      <c r="C390" s="196"/>
      <c r="D390" s="196"/>
      <c r="E390" s="196"/>
      <c r="F390" s="196"/>
      <c r="G390" s="24"/>
      <c r="H390" s="24"/>
      <c r="I390" s="196"/>
      <c r="J390" s="196"/>
      <c r="K390" s="196"/>
      <c r="L390" s="196"/>
      <c r="M390" s="196"/>
      <c r="N390" s="196"/>
      <c r="O390" s="196"/>
      <c r="P390" s="196"/>
      <c r="Q390" s="196"/>
      <c r="R390" s="196"/>
      <c r="S390" s="196"/>
      <c r="T390" s="196"/>
      <c r="U390" s="196"/>
      <c r="V390" s="196"/>
      <c r="W390" s="196"/>
      <c r="X390" s="196"/>
      <c r="Y390" s="196"/>
      <c r="Z390" s="196"/>
      <c r="AA390" s="196"/>
      <c r="AB390" s="196"/>
      <c r="AC390" s="196"/>
      <c r="AD390" s="196"/>
    </row>
    <row r="391" spans="1:30" ht="12.9">
      <c r="A391" s="196"/>
      <c r="B391" s="143"/>
      <c r="C391" s="196"/>
      <c r="D391" s="196"/>
      <c r="E391" s="196"/>
      <c r="F391" s="196"/>
      <c r="G391" s="24"/>
      <c r="H391" s="24"/>
      <c r="I391" s="196"/>
      <c r="J391" s="196"/>
      <c r="K391" s="196"/>
      <c r="L391" s="196"/>
      <c r="M391" s="196"/>
      <c r="N391" s="196"/>
      <c r="O391" s="196"/>
      <c r="P391" s="196"/>
      <c r="Q391" s="196"/>
      <c r="R391" s="196"/>
      <c r="S391" s="196"/>
      <c r="T391" s="196"/>
      <c r="U391" s="196"/>
      <c r="V391" s="196"/>
      <c r="W391" s="196"/>
      <c r="X391" s="196"/>
      <c r="Y391" s="196"/>
      <c r="Z391" s="196"/>
      <c r="AA391" s="196"/>
      <c r="AB391" s="196"/>
      <c r="AC391" s="196"/>
      <c r="AD391" s="196"/>
    </row>
    <row r="392" spans="1:30" ht="12.9">
      <c r="A392" s="196"/>
      <c r="B392" s="143"/>
      <c r="C392" s="196"/>
      <c r="D392" s="196"/>
      <c r="E392" s="196"/>
      <c r="F392" s="196"/>
      <c r="G392" s="24"/>
      <c r="H392" s="24"/>
      <c r="I392" s="196"/>
      <c r="J392" s="196"/>
      <c r="K392" s="196"/>
      <c r="L392" s="196"/>
      <c r="M392" s="196"/>
      <c r="N392" s="196"/>
      <c r="O392" s="196"/>
      <c r="P392" s="196"/>
      <c r="Q392" s="196"/>
      <c r="R392" s="196"/>
      <c r="S392" s="196"/>
      <c r="T392" s="196"/>
      <c r="U392" s="196"/>
      <c r="V392" s="196"/>
      <c r="W392" s="196"/>
      <c r="X392" s="196"/>
      <c r="Y392" s="196"/>
      <c r="Z392" s="196"/>
      <c r="AA392" s="196"/>
      <c r="AB392" s="196"/>
      <c r="AC392" s="196"/>
      <c r="AD392" s="196"/>
    </row>
    <row r="393" spans="1:30" ht="12.9">
      <c r="A393" s="196"/>
      <c r="B393" s="143"/>
      <c r="C393" s="196"/>
      <c r="D393" s="196"/>
      <c r="E393" s="196"/>
      <c r="F393" s="196"/>
      <c r="G393" s="24"/>
      <c r="H393" s="24"/>
      <c r="I393" s="196"/>
      <c r="J393" s="196"/>
      <c r="K393" s="196"/>
      <c r="L393" s="196"/>
      <c r="M393" s="196"/>
      <c r="N393" s="196"/>
      <c r="O393" s="196"/>
      <c r="P393" s="196"/>
      <c r="Q393" s="196"/>
      <c r="R393" s="196"/>
      <c r="S393" s="196"/>
      <c r="T393" s="196"/>
      <c r="U393" s="196"/>
      <c r="V393" s="196"/>
      <c r="W393" s="196"/>
      <c r="X393" s="196"/>
      <c r="Y393" s="196"/>
      <c r="Z393" s="196"/>
      <c r="AA393" s="196"/>
      <c r="AB393" s="196"/>
      <c r="AC393" s="196"/>
      <c r="AD393" s="196"/>
    </row>
    <row r="394" spans="1:30" ht="12.9">
      <c r="A394" s="196"/>
      <c r="B394" s="143"/>
      <c r="C394" s="196"/>
      <c r="D394" s="196"/>
      <c r="E394" s="196"/>
      <c r="F394" s="196"/>
      <c r="G394" s="24"/>
      <c r="H394" s="24"/>
      <c r="I394" s="196"/>
      <c r="J394" s="196"/>
      <c r="K394" s="196"/>
      <c r="L394" s="196"/>
      <c r="M394" s="196"/>
      <c r="N394" s="196"/>
      <c r="O394" s="196"/>
      <c r="P394" s="196"/>
      <c r="Q394" s="196"/>
      <c r="R394" s="196"/>
      <c r="S394" s="196"/>
      <c r="T394" s="196"/>
      <c r="U394" s="196"/>
      <c r="V394" s="196"/>
      <c r="W394" s="196"/>
      <c r="X394" s="196"/>
      <c r="Y394" s="196"/>
      <c r="Z394" s="196"/>
      <c r="AA394" s="196"/>
      <c r="AB394" s="196"/>
      <c r="AC394" s="196"/>
      <c r="AD394" s="196"/>
    </row>
    <row r="395" spans="1:30" ht="12.9">
      <c r="A395" s="196"/>
      <c r="B395" s="143"/>
      <c r="C395" s="196"/>
      <c r="D395" s="196"/>
      <c r="E395" s="196"/>
      <c r="F395" s="196"/>
      <c r="G395" s="24"/>
      <c r="H395" s="24"/>
      <c r="I395" s="196"/>
      <c r="J395" s="196"/>
      <c r="K395" s="196"/>
      <c r="L395" s="196"/>
      <c r="M395" s="196"/>
      <c r="N395" s="196"/>
      <c r="O395" s="196"/>
      <c r="P395" s="196"/>
      <c r="Q395" s="196"/>
      <c r="R395" s="196"/>
      <c r="S395" s="196"/>
      <c r="T395" s="196"/>
      <c r="U395" s="196"/>
      <c r="V395" s="196"/>
      <c r="W395" s="196"/>
      <c r="X395" s="196"/>
      <c r="Y395" s="196"/>
      <c r="Z395" s="196"/>
      <c r="AA395" s="196"/>
      <c r="AB395" s="196"/>
      <c r="AC395" s="196"/>
      <c r="AD395" s="196"/>
    </row>
    <row r="396" spans="1:30" ht="12.9">
      <c r="A396" s="196"/>
      <c r="B396" s="143"/>
      <c r="C396" s="196"/>
      <c r="D396" s="196"/>
      <c r="E396" s="196"/>
      <c r="F396" s="196"/>
      <c r="G396" s="24"/>
      <c r="H396" s="24"/>
      <c r="I396" s="196"/>
      <c r="J396" s="196"/>
      <c r="K396" s="196"/>
      <c r="L396" s="196"/>
      <c r="M396" s="196"/>
      <c r="N396" s="196"/>
      <c r="O396" s="196"/>
      <c r="P396" s="196"/>
      <c r="Q396" s="196"/>
      <c r="R396" s="196"/>
      <c r="S396" s="196"/>
      <c r="T396" s="196"/>
      <c r="U396" s="196"/>
      <c r="V396" s="196"/>
      <c r="W396" s="196"/>
      <c r="X396" s="196"/>
      <c r="Y396" s="196"/>
      <c r="Z396" s="196"/>
      <c r="AA396" s="196"/>
      <c r="AB396" s="196"/>
      <c r="AC396" s="196"/>
      <c r="AD396" s="196"/>
    </row>
    <row r="397" spans="1:30" ht="12.9">
      <c r="A397" s="196"/>
      <c r="B397" s="143"/>
      <c r="C397" s="196"/>
      <c r="D397" s="196"/>
      <c r="E397" s="196"/>
      <c r="F397" s="196"/>
      <c r="G397" s="24"/>
      <c r="H397" s="24"/>
      <c r="I397" s="196"/>
      <c r="J397" s="196"/>
      <c r="K397" s="196"/>
      <c r="L397" s="196"/>
      <c r="M397" s="196"/>
      <c r="N397" s="196"/>
      <c r="O397" s="196"/>
      <c r="P397" s="196"/>
      <c r="Q397" s="196"/>
      <c r="R397" s="196"/>
      <c r="S397" s="196"/>
      <c r="T397" s="196"/>
      <c r="U397" s="196"/>
      <c r="V397" s="196"/>
      <c r="W397" s="196"/>
      <c r="X397" s="196"/>
      <c r="Y397" s="196"/>
      <c r="Z397" s="196"/>
      <c r="AA397" s="196"/>
      <c r="AB397" s="196"/>
      <c r="AC397" s="196"/>
      <c r="AD397" s="196"/>
    </row>
    <row r="398" spans="1:30" ht="12.9">
      <c r="A398" s="196"/>
      <c r="B398" s="143"/>
      <c r="C398" s="196"/>
      <c r="D398" s="196"/>
      <c r="E398" s="196"/>
      <c r="F398" s="196"/>
      <c r="G398" s="24"/>
      <c r="H398" s="24"/>
      <c r="I398" s="196"/>
      <c r="J398" s="196"/>
      <c r="K398" s="196"/>
      <c r="L398" s="196"/>
      <c r="M398" s="196"/>
      <c r="N398" s="196"/>
      <c r="O398" s="196"/>
      <c r="P398" s="196"/>
      <c r="Q398" s="196"/>
      <c r="R398" s="196"/>
      <c r="S398" s="196"/>
      <c r="T398" s="196"/>
      <c r="U398" s="196"/>
      <c r="V398" s="196"/>
      <c r="W398" s="196"/>
      <c r="X398" s="196"/>
      <c r="Y398" s="196"/>
      <c r="Z398" s="196"/>
      <c r="AA398" s="196"/>
      <c r="AB398" s="196"/>
      <c r="AC398" s="196"/>
      <c r="AD398" s="196"/>
    </row>
    <row r="399" spans="1:30" ht="12.9">
      <c r="A399" s="196"/>
      <c r="B399" s="143"/>
      <c r="C399" s="196"/>
      <c r="D399" s="196"/>
      <c r="E399" s="196"/>
      <c r="F399" s="196"/>
      <c r="G399" s="24"/>
      <c r="H399" s="24"/>
      <c r="I399" s="196"/>
      <c r="J399" s="196"/>
      <c r="K399" s="196"/>
      <c r="L399" s="196"/>
      <c r="M399" s="196"/>
      <c r="N399" s="196"/>
      <c r="O399" s="196"/>
      <c r="P399" s="196"/>
      <c r="Q399" s="196"/>
      <c r="R399" s="196"/>
      <c r="S399" s="196"/>
      <c r="T399" s="196"/>
      <c r="U399" s="196"/>
      <c r="V399" s="196"/>
      <c r="W399" s="196"/>
      <c r="X399" s="196"/>
      <c r="Y399" s="196"/>
      <c r="Z399" s="196"/>
      <c r="AA399" s="196"/>
      <c r="AB399" s="196"/>
      <c r="AC399" s="196"/>
      <c r="AD399" s="196"/>
    </row>
    <row r="400" spans="1:30" ht="12.9">
      <c r="A400" s="196"/>
      <c r="B400" s="143"/>
      <c r="C400" s="196"/>
      <c r="D400" s="196"/>
      <c r="E400" s="196"/>
      <c r="F400" s="196"/>
      <c r="G400" s="24"/>
      <c r="H400" s="24"/>
      <c r="I400" s="196"/>
      <c r="J400" s="196"/>
      <c r="K400" s="196"/>
      <c r="L400" s="196"/>
      <c r="M400" s="196"/>
      <c r="N400" s="196"/>
      <c r="O400" s="196"/>
      <c r="P400" s="196"/>
      <c r="Q400" s="196"/>
      <c r="R400" s="196"/>
      <c r="S400" s="196"/>
      <c r="T400" s="196"/>
      <c r="U400" s="196"/>
      <c r="V400" s="196"/>
      <c r="W400" s="196"/>
      <c r="X400" s="196"/>
      <c r="Y400" s="196"/>
      <c r="Z400" s="196"/>
      <c r="AA400" s="196"/>
      <c r="AB400" s="196"/>
      <c r="AC400" s="196"/>
      <c r="AD400" s="196"/>
    </row>
    <row r="401" spans="1:30" ht="12.9">
      <c r="A401" s="196"/>
      <c r="B401" s="143"/>
      <c r="C401" s="196"/>
      <c r="D401" s="196"/>
      <c r="E401" s="196"/>
      <c r="F401" s="196"/>
      <c r="G401" s="24"/>
      <c r="H401" s="24"/>
      <c r="I401" s="196"/>
      <c r="J401" s="196"/>
      <c r="K401" s="196"/>
      <c r="L401" s="196"/>
      <c r="M401" s="196"/>
      <c r="N401" s="196"/>
      <c r="O401" s="196"/>
      <c r="P401" s="196"/>
      <c r="Q401" s="196"/>
      <c r="R401" s="196"/>
      <c r="S401" s="196"/>
      <c r="T401" s="196"/>
      <c r="U401" s="196"/>
      <c r="V401" s="196"/>
      <c r="W401" s="196"/>
      <c r="X401" s="196"/>
      <c r="Y401" s="196"/>
      <c r="Z401" s="196"/>
      <c r="AA401" s="196"/>
      <c r="AB401" s="196"/>
      <c r="AC401" s="196"/>
      <c r="AD401" s="196"/>
    </row>
    <row r="402" spans="1:30" ht="12.9">
      <c r="A402" s="196"/>
      <c r="B402" s="143"/>
      <c r="C402" s="196"/>
      <c r="D402" s="196"/>
      <c r="E402" s="196"/>
      <c r="F402" s="196"/>
      <c r="G402" s="24"/>
      <c r="H402" s="24"/>
      <c r="I402" s="196"/>
      <c r="J402" s="196"/>
      <c r="K402" s="196"/>
      <c r="L402" s="196"/>
      <c r="M402" s="196"/>
      <c r="N402" s="196"/>
      <c r="O402" s="196"/>
      <c r="P402" s="196"/>
      <c r="Q402" s="196"/>
      <c r="R402" s="196"/>
      <c r="S402" s="196"/>
      <c r="T402" s="196"/>
      <c r="U402" s="196"/>
      <c r="V402" s="196"/>
      <c r="W402" s="196"/>
      <c r="X402" s="196"/>
      <c r="Y402" s="196"/>
      <c r="Z402" s="196"/>
      <c r="AA402" s="196"/>
      <c r="AB402" s="196"/>
      <c r="AC402" s="196"/>
      <c r="AD402" s="196"/>
    </row>
    <row r="403" spans="1:30" ht="12.9">
      <c r="A403" s="196"/>
      <c r="B403" s="143"/>
      <c r="C403" s="196"/>
      <c r="D403" s="196"/>
      <c r="E403" s="196"/>
      <c r="F403" s="196"/>
      <c r="G403" s="24"/>
      <c r="H403" s="24"/>
      <c r="I403" s="196"/>
      <c r="J403" s="196"/>
      <c r="K403" s="196"/>
      <c r="L403" s="196"/>
      <c r="M403" s="196"/>
      <c r="N403" s="196"/>
      <c r="O403" s="196"/>
      <c r="P403" s="196"/>
      <c r="Q403" s="196"/>
      <c r="R403" s="196"/>
      <c r="S403" s="196"/>
      <c r="T403" s="196"/>
      <c r="U403" s="196"/>
      <c r="V403" s="196"/>
      <c r="W403" s="196"/>
      <c r="X403" s="196"/>
      <c r="Y403" s="196"/>
      <c r="Z403" s="196"/>
      <c r="AA403" s="196"/>
      <c r="AB403" s="196"/>
      <c r="AC403" s="196"/>
      <c r="AD403" s="196"/>
    </row>
    <row r="404" spans="1:30" ht="12.9">
      <c r="A404" s="196"/>
      <c r="B404" s="143"/>
      <c r="C404" s="196"/>
      <c r="D404" s="196"/>
      <c r="E404" s="196"/>
      <c r="F404" s="196"/>
      <c r="G404" s="24"/>
      <c r="H404" s="24"/>
      <c r="I404" s="196"/>
      <c r="J404" s="196"/>
      <c r="K404" s="196"/>
      <c r="L404" s="196"/>
      <c r="M404" s="196"/>
      <c r="N404" s="196"/>
      <c r="O404" s="196"/>
      <c r="P404" s="196"/>
      <c r="Q404" s="196"/>
      <c r="R404" s="196"/>
      <c r="S404" s="196"/>
      <c r="T404" s="196"/>
      <c r="U404" s="196"/>
      <c r="V404" s="196"/>
      <c r="W404" s="196"/>
      <c r="X404" s="196"/>
      <c r="Y404" s="196"/>
      <c r="Z404" s="196"/>
      <c r="AA404" s="196"/>
      <c r="AB404" s="196"/>
      <c r="AC404" s="196"/>
      <c r="AD404" s="196"/>
    </row>
    <row r="405" spans="1:30" ht="12.9">
      <c r="A405" s="196"/>
      <c r="B405" s="143"/>
      <c r="C405" s="196"/>
      <c r="D405" s="196"/>
      <c r="E405" s="196"/>
      <c r="F405" s="196"/>
      <c r="G405" s="24"/>
      <c r="H405" s="24"/>
      <c r="I405" s="196"/>
      <c r="J405" s="196"/>
      <c r="K405" s="196"/>
      <c r="L405" s="196"/>
      <c r="M405" s="196"/>
      <c r="N405" s="196"/>
      <c r="O405" s="196"/>
      <c r="P405" s="196"/>
      <c r="Q405" s="196"/>
      <c r="R405" s="196"/>
      <c r="S405" s="196"/>
      <c r="T405" s="196"/>
      <c r="U405" s="196"/>
      <c r="V405" s="196"/>
      <c r="W405" s="196"/>
      <c r="X405" s="196"/>
      <c r="Y405" s="196"/>
      <c r="Z405" s="196"/>
      <c r="AA405" s="196"/>
      <c r="AB405" s="196"/>
      <c r="AC405" s="196"/>
      <c r="AD405" s="196"/>
    </row>
    <row r="406" spans="1:30" ht="12.9">
      <c r="A406" s="196"/>
      <c r="B406" s="143"/>
      <c r="C406" s="196"/>
      <c r="D406" s="196"/>
      <c r="E406" s="196"/>
      <c r="F406" s="196"/>
      <c r="G406" s="24"/>
      <c r="H406" s="24"/>
      <c r="I406" s="196"/>
      <c r="J406" s="196"/>
      <c r="K406" s="196"/>
      <c r="L406" s="196"/>
      <c r="M406" s="196"/>
      <c r="N406" s="196"/>
      <c r="O406" s="196"/>
      <c r="P406" s="196"/>
      <c r="Q406" s="196"/>
      <c r="R406" s="196"/>
      <c r="S406" s="196"/>
      <c r="T406" s="196"/>
      <c r="U406" s="196"/>
      <c r="V406" s="196"/>
      <c r="W406" s="196"/>
      <c r="X406" s="196"/>
      <c r="Y406" s="196"/>
      <c r="Z406" s="196"/>
      <c r="AA406" s="196"/>
      <c r="AB406" s="196"/>
      <c r="AC406" s="196"/>
      <c r="AD406" s="196"/>
    </row>
    <row r="407" spans="1:30" ht="12.9">
      <c r="A407" s="196"/>
      <c r="B407" s="143"/>
      <c r="C407" s="196"/>
      <c r="D407" s="196"/>
      <c r="E407" s="196"/>
      <c r="F407" s="196"/>
      <c r="G407" s="24"/>
      <c r="H407" s="24"/>
      <c r="I407" s="196"/>
      <c r="J407" s="196"/>
      <c r="K407" s="196"/>
      <c r="L407" s="196"/>
      <c r="M407" s="196"/>
      <c r="N407" s="196"/>
      <c r="O407" s="196"/>
      <c r="P407" s="196"/>
      <c r="Q407" s="196"/>
      <c r="R407" s="196"/>
      <c r="S407" s="196"/>
      <c r="T407" s="196"/>
      <c r="U407" s="196"/>
      <c r="V407" s="196"/>
      <c r="W407" s="196"/>
      <c r="X407" s="196"/>
      <c r="Y407" s="196"/>
      <c r="Z407" s="196"/>
      <c r="AA407" s="196"/>
      <c r="AB407" s="196"/>
      <c r="AC407" s="196"/>
      <c r="AD407" s="196"/>
    </row>
    <row r="408" spans="1:30" ht="12.9">
      <c r="A408" s="196"/>
      <c r="B408" s="143"/>
      <c r="C408" s="196"/>
      <c r="D408" s="196"/>
      <c r="E408" s="196"/>
      <c r="F408" s="196"/>
      <c r="G408" s="24"/>
      <c r="H408" s="24"/>
      <c r="I408" s="196"/>
      <c r="J408" s="196"/>
      <c r="K408" s="196"/>
      <c r="L408" s="196"/>
      <c r="M408" s="196"/>
      <c r="N408" s="196"/>
      <c r="O408" s="196"/>
      <c r="P408" s="196"/>
      <c r="Q408" s="196"/>
      <c r="R408" s="196"/>
      <c r="S408" s="196"/>
      <c r="T408" s="196"/>
      <c r="U408" s="196"/>
      <c r="V408" s="196"/>
      <c r="W408" s="196"/>
      <c r="X408" s="196"/>
      <c r="Y408" s="196"/>
      <c r="Z408" s="196"/>
      <c r="AA408" s="196"/>
      <c r="AB408" s="196"/>
      <c r="AC408" s="196"/>
      <c r="AD408" s="196"/>
    </row>
    <row r="409" spans="1:30" ht="12.9">
      <c r="A409" s="196"/>
      <c r="B409" s="143"/>
      <c r="C409" s="196"/>
      <c r="D409" s="196"/>
      <c r="E409" s="196"/>
      <c r="F409" s="196"/>
      <c r="G409" s="24"/>
      <c r="H409" s="24"/>
      <c r="I409" s="196"/>
      <c r="J409" s="196"/>
      <c r="K409" s="196"/>
      <c r="L409" s="196"/>
      <c r="M409" s="196"/>
      <c r="N409" s="196"/>
      <c r="O409" s="196"/>
      <c r="P409" s="196"/>
      <c r="Q409" s="196"/>
      <c r="R409" s="196"/>
      <c r="S409" s="196"/>
      <c r="T409" s="196"/>
      <c r="U409" s="196"/>
      <c r="V409" s="196"/>
      <c r="W409" s="196"/>
      <c r="X409" s="196"/>
      <c r="Y409" s="196"/>
      <c r="Z409" s="196"/>
      <c r="AA409" s="196"/>
      <c r="AB409" s="196"/>
      <c r="AC409" s="196"/>
      <c r="AD409" s="196"/>
    </row>
    <row r="410" spans="1:30" ht="12.9">
      <c r="A410" s="196"/>
      <c r="B410" s="143"/>
      <c r="C410" s="196"/>
      <c r="D410" s="196"/>
      <c r="E410" s="196"/>
      <c r="F410" s="196"/>
      <c r="G410" s="24"/>
      <c r="H410" s="24"/>
      <c r="I410" s="196"/>
      <c r="J410" s="196"/>
      <c r="K410" s="196"/>
      <c r="L410" s="196"/>
      <c r="M410" s="196"/>
      <c r="N410" s="196"/>
      <c r="O410" s="196"/>
      <c r="P410" s="196"/>
      <c r="Q410" s="196"/>
      <c r="R410" s="196"/>
      <c r="S410" s="196"/>
      <c r="T410" s="196"/>
      <c r="U410" s="196"/>
      <c r="V410" s="196"/>
      <c r="W410" s="196"/>
      <c r="X410" s="196"/>
      <c r="Y410" s="196"/>
      <c r="Z410" s="196"/>
      <c r="AA410" s="196"/>
      <c r="AB410" s="196"/>
      <c r="AC410" s="196"/>
      <c r="AD410" s="196"/>
    </row>
    <row r="411" spans="1:30" ht="12.9">
      <c r="A411" s="196"/>
      <c r="B411" s="143"/>
      <c r="C411" s="196"/>
      <c r="D411" s="196"/>
      <c r="E411" s="196"/>
      <c r="F411" s="196"/>
      <c r="G411" s="24"/>
      <c r="H411" s="24"/>
      <c r="I411" s="196"/>
      <c r="J411" s="196"/>
      <c r="K411" s="196"/>
      <c r="L411" s="196"/>
      <c r="M411" s="196"/>
      <c r="N411" s="196"/>
      <c r="O411" s="196"/>
      <c r="P411" s="196"/>
      <c r="Q411" s="196"/>
      <c r="R411" s="196"/>
      <c r="S411" s="196"/>
      <c r="T411" s="196"/>
      <c r="U411" s="196"/>
      <c r="V411" s="196"/>
      <c r="W411" s="196"/>
      <c r="X411" s="196"/>
      <c r="Y411" s="196"/>
      <c r="Z411" s="196"/>
      <c r="AA411" s="196"/>
      <c r="AB411" s="196"/>
      <c r="AC411" s="196"/>
      <c r="AD411" s="196"/>
    </row>
    <row r="412" spans="1:30" ht="12.9">
      <c r="A412" s="196"/>
      <c r="B412" s="143"/>
      <c r="C412" s="196"/>
      <c r="D412" s="196"/>
      <c r="E412" s="196"/>
      <c r="F412" s="196"/>
      <c r="G412" s="24"/>
      <c r="H412" s="24"/>
      <c r="I412" s="196"/>
      <c r="J412" s="196"/>
      <c r="K412" s="196"/>
      <c r="L412" s="196"/>
      <c r="M412" s="196"/>
      <c r="N412" s="196"/>
      <c r="O412" s="196"/>
      <c r="P412" s="196"/>
      <c r="Q412" s="196"/>
      <c r="R412" s="196"/>
      <c r="S412" s="196"/>
      <c r="T412" s="196"/>
      <c r="U412" s="196"/>
      <c r="V412" s="196"/>
      <c r="W412" s="196"/>
      <c r="X412" s="196"/>
      <c r="Y412" s="196"/>
      <c r="Z412" s="196"/>
      <c r="AA412" s="196"/>
      <c r="AB412" s="196"/>
      <c r="AC412" s="196"/>
      <c r="AD412" s="196"/>
    </row>
    <row r="413" spans="1:30" ht="12.9">
      <c r="A413" s="196"/>
      <c r="B413" s="143"/>
      <c r="C413" s="196"/>
      <c r="D413" s="196"/>
      <c r="E413" s="196"/>
      <c r="F413" s="196"/>
      <c r="G413" s="24"/>
      <c r="H413" s="24"/>
      <c r="I413" s="196"/>
      <c r="J413" s="196"/>
      <c r="K413" s="196"/>
      <c r="L413" s="196"/>
      <c r="M413" s="196"/>
      <c r="N413" s="196"/>
      <c r="O413" s="196"/>
      <c r="P413" s="196"/>
      <c r="Q413" s="196"/>
      <c r="R413" s="196"/>
      <c r="S413" s="196"/>
      <c r="T413" s="196"/>
      <c r="U413" s="196"/>
      <c r="V413" s="196"/>
      <c r="W413" s="196"/>
      <c r="X413" s="196"/>
      <c r="Y413" s="196"/>
      <c r="Z413" s="196"/>
      <c r="AA413" s="196"/>
      <c r="AB413" s="196"/>
      <c r="AC413" s="196"/>
      <c r="AD413" s="196"/>
    </row>
    <row r="414" spans="1:30" ht="12.9">
      <c r="A414" s="196"/>
      <c r="B414" s="143"/>
      <c r="C414" s="196"/>
      <c r="D414" s="196"/>
      <c r="E414" s="196"/>
      <c r="F414" s="196"/>
      <c r="G414" s="24"/>
      <c r="H414" s="24"/>
      <c r="I414" s="196"/>
      <c r="J414" s="196"/>
      <c r="K414" s="196"/>
      <c r="L414" s="196"/>
      <c r="M414" s="196"/>
      <c r="N414" s="196"/>
      <c r="O414" s="196"/>
      <c r="P414" s="196"/>
      <c r="Q414" s="196"/>
      <c r="R414" s="196"/>
      <c r="S414" s="196"/>
      <c r="T414" s="196"/>
      <c r="U414" s="196"/>
      <c r="V414" s="196"/>
      <c r="W414" s="196"/>
      <c r="X414" s="196"/>
      <c r="Y414" s="196"/>
      <c r="Z414" s="196"/>
      <c r="AA414" s="196"/>
      <c r="AB414" s="196"/>
      <c r="AC414" s="196"/>
      <c r="AD414" s="196"/>
    </row>
    <row r="415" spans="1:30" ht="12.9">
      <c r="A415" s="196"/>
      <c r="B415" s="143"/>
      <c r="C415" s="196"/>
      <c r="D415" s="196"/>
      <c r="E415" s="196"/>
      <c r="F415" s="196"/>
      <c r="G415" s="24"/>
      <c r="H415" s="24"/>
      <c r="I415" s="196"/>
      <c r="J415" s="196"/>
      <c r="K415" s="196"/>
      <c r="L415" s="196"/>
      <c r="M415" s="196"/>
      <c r="N415" s="196"/>
      <c r="O415" s="196"/>
      <c r="P415" s="196"/>
      <c r="Q415" s="196"/>
      <c r="R415" s="196"/>
      <c r="S415" s="196"/>
      <c r="T415" s="196"/>
      <c r="U415" s="196"/>
      <c r="V415" s="196"/>
      <c r="W415" s="196"/>
      <c r="X415" s="196"/>
      <c r="Y415" s="196"/>
      <c r="Z415" s="196"/>
      <c r="AA415" s="196"/>
      <c r="AB415" s="196"/>
      <c r="AC415" s="196"/>
      <c r="AD415" s="196"/>
    </row>
    <row r="416" spans="1:30" ht="12.9">
      <c r="A416" s="196"/>
      <c r="B416" s="143"/>
      <c r="C416" s="196"/>
      <c r="D416" s="196"/>
      <c r="E416" s="196"/>
      <c r="F416" s="196"/>
      <c r="G416" s="24"/>
      <c r="H416" s="24"/>
      <c r="I416" s="196"/>
      <c r="J416" s="196"/>
      <c r="K416" s="196"/>
      <c r="L416" s="196"/>
      <c r="M416" s="196"/>
      <c r="N416" s="196"/>
      <c r="O416" s="196"/>
      <c r="P416" s="196"/>
      <c r="Q416" s="196"/>
      <c r="R416" s="196"/>
      <c r="S416" s="196"/>
      <c r="T416" s="196"/>
      <c r="U416" s="196"/>
      <c r="V416" s="196"/>
      <c r="W416" s="196"/>
      <c r="X416" s="196"/>
      <c r="Y416" s="196"/>
      <c r="Z416" s="196"/>
      <c r="AA416" s="196"/>
      <c r="AB416" s="196"/>
      <c r="AC416" s="196"/>
      <c r="AD416" s="196"/>
    </row>
    <row r="417" spans="1:30" ht="12.9">
      <c r="A417" s="196"/>
      <c r="B417" s="143"/>
      <c r="C417" s="196"/>
      <c r="D417" s="196"/>
      <c r="E417" s="196"/>
      <c r="F417" s="196"/>
      <c r="G417" s="24"/>
      <c r="H417" s="24"/>
      <c r="I417" s="196"/>
      <c r="J417" s="196"/>
      <c r="K417" s="196"/>
      <c r="L417" s="196"/>
      <c r="M417" s="196"/>
      <c r="N417" s="196"/>
      <c r="O417" s="196"/>
      <c r="P417" s="196"/>
      <c r="Q417" s="196"/>
      <c r="R417" s="196"/>
      <c r="S417" s="196"/>
      <c r="T417" s="196"/>
      <c r="U417" s="196"/>
      <c r="V417" s="196"/>
      <c r="W417" s="196"/>
      <c r="X417" s="196"/>
      <c r="Y417" s="196"/>
      <c r="Z417" s="196"/>
      <c r="AA417" s="196"/>
      <c r="AB417" s="196"/>
      <c r="AC417" s="196"/>
      <c r="AD417" s="196"/>
    </row>
    <row r="418" spans="1:30" ht="12.9">
      <c r="A418" s="196"/>
      <c r="B418" s="143"/>
      <c r="C418" s="196"/>
      <c r="D418" s="196"/>
      <c r="E418" s="196"/>
      <c r="F418" s="196"/>
      <c r="G418" s="24"/>
      <c r="H418" s="24"/>
      <c r="I418" s="196"/>
      <c r="J418" s="196"/>
      <c r="K418" s="196"/>
      <c r="L418" s="196"/>
      <c r="M418" s="196"/>
      <c r="N418" s="196"/>
      <c r="O418" s="196"/>
      <c r="P418" s="196"/>
      <c r="Q418" s="196"/>
      <c r="R418" s="196"/>
      <c r="S418" s="196"/>
      <c r="T418" s="196"/>
      <c r="U418" s="196"/>
      <c r="V418" s="196"/>
      <c r="W418" s="196"/>
      <c r="X418" s="196"/>
      <c r="Y418" s="196"/>
      <c r="Z418" s="196"/>
      <c r="AA418" s="196"/>
      <c r="AB418" s="196"/>
      <c r="AC418" s="196"/>
      <c r="AD418" s="196"/>
    </row>
    <row r="419" spans="1:30" ht="12.9">
      <c r="A419" s="196"/>
      <c r="B419" s="143"/>
      <c r="C419" s="196"/>
      <c r="D419" s="196"/>
      <c r="E419" s="196"/>
      <c r="F419" s="196"/>
      <c r="G419" s="24"/>
      <c r="H419" s="24"/>
      <c r="I419" s="196"/>
      <c r="J419" s="196"/>
      <c r="K419" s="196"/>
      <c r="L419" s="196"/>
      <c r="M419" s="196"/>
      <c r="N419" s="196"/>
      <c r="O419" s="196"/>
      <c r="P419" s="196"/>
      <c r="Q419" s="196"/>
      <c r="R419" s="196"/>
      <c r="S419" s="196"/>
      <c r="T419" s="196"/>
      <c r="U419" s="196"/>
      <c r="V419" s="196"/>
      <c r="W419" s="196"/>
      <c r="X419" s="196"/>
      <c r="Y419" s="196"/>
      <c r="Z419" s="196"/>
      <c r="AA419" s="196"/>
      <c r="AB419" s="196"/>
      <c r="AC419" s="196"/>
      <c r="AD419" s="196"/>
    </row>
    <row r="420" spans="1:30" ht="12.9">
      <c r="A420" s="196"/>
      <c r="B420" s="143"/>
      <c r="C420" s="196"/>
      <c r="D420" s="196"/>
      <c r="E420" s="196"/>
      <c r="F420" s="196"/>
      <c r="G420" s="24"/>
      <c r="H420" s="24"/>
      <c r="I420" s="196"/>
      <c r="J420" s="196"/>
      <c r="K420" s="196"/>
      <c r="L420" s="196"/>
      <c r="M420" s="196"/>
      <c r="N420" s="196"/>
      <c r="O420" s="196"/>
      <c r="P420" s="196"/>
      <c r="Q420" s="196"/>
      <c r="R420" s="196"/>
      <c r="S420" s="196"/>
      <c r="T420" s="196"/>
      <c r="U420" s="196"/>
      <c r="V420" s="196"/>
      <c r="W420" s="196"/>
      <c r="X420" s="196"/>
      <c r="Y420" s="196"/>
      <c r="Z420" s="196"/>
      <c r="AA420" s="196"/>
      <c r="AB420" s="196"/>
      <c r="AC420" s="196"/>
      <c r="AD420" s="196"/>
    </row>
    <row r="421" spans="1:30" ht="12.9">
      <c r="A421" s="196"/>
      <c r="B421" s="143"/>
      <c r="C421" s="196"/>
      <c r="D421" s="196"/>
      <c r="E421" s="196"/>
      <c r="F421" s="196"/>
      <c r="G421" s="24"/>
      <c r="H421" s="24"/>
      <c r="I421" s="196"/>
      <c r="J421" s="196"/>
      <c r="K421" s="196"/>
      <c r="L421" s="196"/>
      <c r="M421" s="196"/>
      <c r="N421" s="196"/>
      <c r="O421" s="196"/>
      <c r="P421" s="196"/>
      <c r="Q421" s="196"/>
      <c r="R421" s="196"/>
      <c r="S421" s="196"/>
      <c r="T421" s="196"/>
      <c r="U421" s="196"/>
      <c r="V421" s="196"/>
      <c r="W421" s="196"/>
      <c r="X421" s="196"/>
      <c r="Y421" s="196"/>
      <c r="Z421" s="196"/>
      <c r="AA421" s="196"/>
      <c r="AB421" s="196"/>
      <c r="AC421" s="196"/>
      <c r="AD421" s="196"/>
    </row>
    <row r="422" spans="1:30" ht="12.9">
      <c r="A422" s="196"/>
      <c r="B422" s="143"/>
      <c r="C422" s="196"/>
      <c r="D422" s="196"/>
      <c r="E422" s="196"/>
      <c r="F422" s="196"/>
      <c r="G422" s="24"/>
      <c r="H422" s="24"/>
      <c r="I422" s="196"/>
      <c r="J422" s="196"/>
      <c r="K422" s="196"/>
      <c r="L422" s="196"/>
      <c r="M422" s="196"/>
      <c r="N422" s="196"/>
      <c r="O422" s="196"/>
      <c r="P422" s="196"/>
      <c r="Q422" s="196"/>
      <c r="R422" s="196"/>
      <c r="S422" s="196"/>
      <c r="T422" s="196"/>
      <c r="U422" s="196"/>
      <c r="V422" s="196"/>
      <c r="W422" s="196"/>
      <c r="X422" s="196"/>
      <c r="Y422" s="196"/>
      <c r="Z422" s="196"/>
      <c r="AA422" s="196"/>
      <c r="AB422" s="196"/>
      <c r="AC422" s="196"/>
      <c r="AD422" s="196"/>
    </row>
    <row r="423" spans="1:30" ht="12.9">
      <c r="A423" s="196"/>
      <c r="B423" s="143"/>
      <c r="C423" s="196"/>
      <c r="D423" s="196"/>
      <c r="E423" s="196"/>
      <c r="F423" s="196"/>
      <c r="G423" s="24"/>
      <c r="H423" s="24"/>
      <c r="I423" s="196"/>
      <c r="J423" s="196"/>
      <c r="K423" s="196"/>
      <c r="L423" s="196"/>
      <c r="M423" s="196"/>
      <c r="N423" s="196"/>
      <c r="O423" s="196"/>
      <c r="P423" s="196"/>
      <c r="Q423" s="196"/>
      <c r="R423" s="196"/>
      <c r="S423" s="196"/>
      <c r="T423" s="196"/>
      <c r="U423" s="196"/>
      <c r="V423" s="196"/>
      <c r="W423" s="196"/>
      <c r="X423" s="196"/>
      <c r="Y423" s="196"/>
      <c r="Z423" s="196"/>
      <c r="AA423" s="196"/>
      <c r="AB423" s="196"/>
      <c r="AC423" s="196"/>
      <c r="AD423" s="196"/>
    </row>
    <row r="424" spans="1:30" ht="12.9">
      <c r="A424" s="196"/>
      <c r="B424" s="143"/>
      <c r="C424" s="196"/>
      <c r="D424" s="196"/>
      <c r="E424" s="196"/>
      <c r="F424" s="196"/>
      <c r="G424" s="24"/>
      <c r="H424" s="24"/>
      <c r="I424" s="196"/>
      <c r="J424" s="196"/>
      <c r="K424" s="196"/>
      <c r="L424" s="196"/>
      <c r="M424" s="196"/>
      <c r="N424" s="196"/>
      <c r="O424" s="196"/>
      <c r="P424" s="196"/>
      <c r="Q424" s="196"/>
      <c r="R424" s="196"/>
      <c r="S424" s="196"/>
      <c r="T424" s="196"/>
      <c r="U424" s="196"/>
      <c r="V424" s="196"/>
      <c r="W424" s="196"/>
      <c r="X424" s="196"/>
      <c r="Y424" s="196"/>
      <c r="Z424" s="196"/>
      <c r="AA424" s="196"/>
      <c r="AB424" s="196"/>
      <c r="AC424" s="196"/>
      <c r="AD424" s="196"/>
    </row>
    <row r="425" spans="1:30" ht="12.9">
      <c r="A425" s="196"/>
      <c r="B425" s="143"/>
      <c r="C425" s="196"/>
      <c r="D425" s="196"/>
      <c r="E425" s="196"/>
      <c r="F425" s="196"/>
      <c r="G425" s="24"/>
      <c r="H425" s="24"/>
      <c r="I425" s="196"/>
      <c r="J425" s="196"/>
      <c r="K425" s="196"/>
      <c r="L425" s="196"/>
      <c r="M425" s="196"/>
      <c r="N425" s="196"/>
      <c r="O425" s="196"/>
      <c r="P425" s="196"/>
      <c r="Q425" s="196"/>
      <c r="R425" s="196"/>
      <c r="S425" s="196"/>
      <c r="T425" s="196"/>
      <c r="U425" s="196"/>
      <c r="V425" s="196"/>
      <c r="W425" s="196"/>
      <c r="X425" s="196"/>
      <c r="Y425" s="196"/>
      <c r="Z425" s="196"/>
      <c r="AA425" s="196"/>
      <c r="AB425" s="196"/>
      <c r="AC425" s="196"/>
      <c r="AD425" s="196"/>
    </row>
    <row r="426" spans="1:30" ht="12.9">
      <c r="A426" s="196"/>
      <c r="B426" s="143"/>
      <c r="C426" s="196"/>
      <c r="D426" s="196"/>
      <c r="E426" s="196"/>
      <c r="F426" s="196"/>
      <c r="G426" s="24"/>
      <c r="H426" s="24"/>
      <c r="I426" s="196"/>
      <c r="J426" s="196"/>
      <c r="K426" s="196"/>
      <c r="L426" s="196"/>
      <c r="M426" s="196"/>
      <c r="N426" s="196"/>
      <c r="O426" s="196"/>
      <c r="P426" s="196"/>
      <c r="Q426" s="196"/>
      <c r="R426" s="196"/>
      <c r="S426" s="196"/>
      <c r="T426" s="196"/>
      <c r="U426" s="196"/>
      <c r="V426" s="196"/>
      <c r="W426" s="196"/>
      <c r="X426" s="196"/>
      <c r="Y426" s="196"/>
      <c r="Z426" s="196"/>
      <c r="AA426" s="196"/>
      <c r="AB426" s="196"/>
      <c r="AC426" s="196"/>
      <c r="AD426" s="196"/>
    </row>
    <row r="427" spans="1:30" ht="12.9">
      <c r="A427" s="196"/>
      <c r="B427" s="143"/>
      <c r="C427" s="196"/>
      <c r="D427" s="196"/>
      <c r="E427" s="196"/>
      <c r="F427" s="196"/>
      <c r="G427" s="24"/>
      <c r="H427" s="24"/>
      <c r="I427" s="196"/>
      <c r="J427" s="196"/>
      <c r="K427" s="196"/>
      <c r="L427" s="196"/>
      <c r="M427" s="196"/>
      <c r="N427" s="196"/>
      <c r="O427" s="196"/>
      <c r="P427" s="196"/>
      <c r="Q427" s="196"/>
      <c r="R427" s="196"/>
      <c r="S427" s="196"/>
      <c r="T427" s="196"/>
      <c r="U427" s="196"/>
      <c r="V427" s="196"/>
      <c r="W427" s="196"/>
      <c r="X427" s="196"/>
      <c r="Y427" s="196"/>
      <c r="Z427" s="196"/>
      <c r="AA427" s="196"/>
      <c r="AB427" s="196"/>
      <c r="AC427" s="196"/>
      <c r="AD427" s="196"/>
    </row>
    <row r="428" spans="1:30" ht="12.9">
      <c r="A428" s="196"/>
      <c r="B428" s="143"/>
      <c r="C428" s="196"/>
      <c r="D428" s="196"/>
      <c r="E428" s="196"/>
      <c r="F428" s="196"/>
      <c r="G428" s="24"/>
      <c r="H428" s="24"/>
      <c r="I428" s="196"/>
      <c r="J428" s="196"/>
      <c r="K428" s="196"/>
      <c r="L428" s="196"/>
      <c r="M428" s="196"/>
      <c r="N428" s="196"/>
      <c r="O428" s="196"/>
      <c r="P428" s="196"/>
      <c r="Q428" s="196"/>
      <c r="R428" s="196"/>
      <c r="S428" s="196"/>
      <c r="T428" s="196"/>
      <c r="U428" s="196"/>
      <c r="V428" s="196"/>
      <c r="W428" s="196"/>
      <c r="X428" s="196"/>
      <c r="Y428" s="196"/>
      <c r="Z428" s="196"/>
      <c r="AA428" s="196"/>
      <c r="AB428" s="196"/>
      <c r="AC428" s="196"/>
      <c r="AD428" s="196"/>
    </row>
    <row r="429" spans="1:30" ht="12.9">
      <c r="A429" s="196"/>
      <c r="B429" s="143"/>
      <c r="C429" s="196"/>
      <c r="D429" s="196"/>
      <c r="E429" s="196"/>
      <c r="F429" s="196"/>
      <c r="G429" s="24"/>
      <c r="H429" s="24"/>
      <c r="I429" s="196"/>
      <c r="J429" s="196"/>
      <c r="K429" s="196"/>
      <c r="L429" s="196"/>
      <c r="M429" s="196"/>
      <c r="N429" s="196"/>
      <c r="O429" s="196"/>
      <c r="P429" s="196"/>
      <c r="Q429" s="196"/>
      <c r="R429" s="196"/>
      <c r="S429" s="196"/>
      <c r="T429" s="196"/>
      <c r="U429" s="196"/>
      <c r="V429" s="196"/>
      <c r="W429" s="196"/>
      <c r="X429" s="196"/>
      <c r="Y429" s="196"/>
      <c r="Z429" s="196"/>
      <c r="AA429" s="196"/>
      <c r="AB429" s="196"/>
      <c r="AC429" s="196"/>
      <c r="AD429" s="196"/>
    </row>
    <row r="430" spans="1:30" ht="12.9">
      <c r="A430" s="196"/>
      <c r="B430" s="143"/>
      <c r="C430" s="196"/>
      <c r="D430" s="196"/>
      <c r="E430" s="196"/>
      <c r="F430" s="196"/>
      <c r="G430" s="24"/>
      <c r="H430" s="24"/>
      <c r="I430" s="196"/>
      <c r="J430" s="196"/>
      <c r="K430" s="196"/>
      <c r="L430" s="196"/>
      <c r="M430" s="196"/>
      <c r="N430" s="196"/>
      <c r="O430" s="196"/>
      <c r="P430" s="196"/>
      <c r="Q430" s="196"/>
      <c r="R430" s="196"/>
      <c r="S430" s="196"/>
      <c r="T430" s="196"/>
      <c r="U430" s="196"/>
      <c r="V430" s="196"/>
      <c r="W430" s="196"/>
      <c r="X430" s="196"/>
      <c r="Y430" s="196"/>
      <c r="Z430" s="196"/>
      <c r="AA430" s="196"/>
      <c r="AB430" s="196"/>
      <c r="AC430" s="196"/>
      <c r="AD430" s="196"/>
    </row>
    <row r="431" spans="1:30" ht="12.9">
      <c r="A431" s="196"/>
      <c r="B431" s="143"/>
      <c r="C431" s="196"/>
      <c r="D431" s="196"/>
      <c r="E431" s="196"/>
      <c r="F431" s="196"/>
      <c r="G431" s="24"/>
      <c r="H431" s="24"/>
      <c r="I431" s="196"/>
      <c r="J431" s="196"/>
      <c r="K431" s="196"/>
      <c r="L431" s="196"/>
      <c r="M431" s="196"/>
      <c r="N431" s="196"/>
      <c r="O431" s="196"/>
      <c r="P431" s="196"/>
      <c r="Q431" s="196"/>
      <c r="R431" s="196"/>
      <c r="S431" s="196"/>
      <c r="T431" s="196"/>
      <c r="U431" s="196"/>
      <c r="V431" s="196"/>
      <c r="W431" s="196"/>
      <c r="X431" s="196"/>
      <c r="Y431" s="196"/>
      <c r="Z431" s="196"/>
      <c r="AA431" s="196"/>
      <c r="AB431" s="196"/>
      <c r="AC431" s="196"/>
      <c r="AD431" s="196"/>
    </row>
    <row r="432" spans="1:30" ht="12.9">
      <c r="A432" s="196"/>
      <c r="B432" s="143"/>
      <c r="C432" s="196"/>
      <c r="D432" s="196"/>
      <c r="E432" s="196"/>
      <c r="F432" s="196"/>
      <c r="G432" s="24"/>
      <c r="H432" s="24"/>
      <c r="I432" s="196"/>
      <c r="J432" s="196"/>
      <c r="K432" s="196"/>
      <c r="L432" s="196"/>
      <c r="M432" s="196"/>
      <c r="N432" s="196"/>
      <c r="O432" s="196"/>
      <c r="P432" s="196"/>
      <c r="Q432" s="196"/>
      <c r="R432" s="196"/>
      <c r="S432" s="196"/>
      <c r="T432" s="196"/>
      <c r="U432" s="196"/>
      <c r="V432" s="196"/>
      <c r="W432" s="196"/>
      <c r="X432" s="196"/>
      <c r="Y432" s="196"/>
      <c r="Z432" s="196"/>
      <c r="AA432" s="196"/>
      <c r="AB432" s="196"/>
      <c r="AC432" s="196"/>
      <c r="AD432" s="196"/>
    </row>
    <row r="433" spans="1:30" ht="12.9">
      <c r="A433" s="196"/>
      <c r="B433" s="143"/>
      <c r="C433" s="196"/>
      <c r="D433" s="196"/>
      <c r="E433" s="196"/>
      <c r="F433" s="196"/>
      <c r="G433" s="24"/>
      <c r="H433" s="24"/>
      <c r="I433" s="196"/>
      <c r="J433" s="196"/>
      <c r="K433" s="196"/>
      <c r="L433" s="196"/>
      <c r="M433" s="196"/>
      <c r="N433" s="196"/>
      <c r="O433" s="196"/>
      <c r="P433" s="196"/>
      <c r="Q433" s="196"/>
      <c r="R433" s="196"/>
      <c r="S433" s="196"/>
      <c r="T433" s="196"/>
      <c r="U433" s="196"/>
      <c r="V433" s="196"/>
      <c r="W433" s="196"/>
      <c r="X433" s="196"/>
      <c r="Y433" s="196"/>
      <c r="Z433" s="196"/>
      <c r="AA433" s="196"/>
      <c r="AB433" s="196"/>
      <c r="AC433" s="196"/>
      <c r="AD433" s="196"/>
    </row>
    <row r="434" spans="1:30" ht="12.9">
      <c r="A434" s="196"/>
      <c r="B434" s="143"/>
      <c r="C434" s="196"/>
      <c r="D434" s="196"/>
      <c r="E434" s="196"/>
      <c r="F434" s="196"/>
      <c r="G434" s="24"/>
      <c r="H434" s="24"/>
      <c r="I434" s="196"/>
      <c r="J434" s="196"/>
      <c r="K434" s="196"/>
      <c r="L434" s="196"/>
      <c r="M434" s="196"/>
      <c r="N434" s="196"/>
      <c r="O434" s="196"/>
      <c r="P434" s="196"/>
      <c r="Q434" s="196"/>
      <c r="R434" s="196"/>
      <c r="S434" s="196"/>
      <c r="T434" s="196"/>
      <c r="U434" s="196"/>
      <c r="V434" s="196"/>
      <c r="W434" s="196"/>
      <c r="X434" s="196"/>
      <c r="Y434" s="196"/>
      <c r="Z434" s="196"/>
      <c r="AA434" s="196"/>
      <c r="AB434" s="196"/>
      <c r="AC434" s="196"/>
      <c r="AD434" s="196"/>
    </row>
    <row r="435" spans="1:30" ht="12.9">
      <c r="A435" s="196"/>
      <c r="B435" s="143"/>
      <c r="C435" s="196"/>
      <c r="D435" s="196"/>
      <c r="E435" s="196"/>
      <c r="F435" s="196"/>
      <c r="G435" s="24"/>
      <c r="H435" s="24"/>
      <c r="I435" s="196"/>
      <c r="J435" s="196"/>
      <c r="K435" s="196"/>
      <c r="L435" s="196"/>
      <c r="M435" s="196"/>
      <c r="N435" s="196"/>
      <c r="O435" s="196"/>
      <c r="P435" s="196"/>
      <c r="Q435" s="196"/>
      <c r="R435" s="196"/>
      <c r="S435" s="196"/>
      <c r="T435" s="196"/>
      <c r="U435" s="196"/>
      <c r="V435" s="196"/>
      <c r="W435" s="196"/>
      <c r="X435" s="196"/>
      <c r="Y435" s="196"/>
      <c r="Z435" s="196"/>
      <c r="AA435" s="196"/>
      <c r="AB435" s="196"/>
      <c r="AC435" s="196"/>
      <c r="AD435" s="196"/>
    </row>
    <row r="436" spans="1:30" ht="12.9">
      <c r="A436" s="196"/>
      <c r="B436" s="143"/>
      <c r="C436" s="196"/>
      <c r="D436" s="196"/>
      <c r="E436" s="196"/>
      <c r="F436" s="196"/>
      <c r="G436" s="24"/>
      <c r="H436" s="24"/>
      <c r="I436" s="196"/>
      <c r="J436" s="196"/>
      <c r="K436" s="196"/>
      <c r="L436" s="196"/>
      <c r="M436" s="196"/>
      <c r="N436" s="196"/>
      <c r="O436" s="196"/>
      <c r="P436" s="196"/>
      <c r="Q436" s="196"/>
      <c r="R436" s="196"/>
      <c r="S436" s="196"/>
      <c r="T436" s="196"/>
      <c r="U436" s="196"/>
      <c r="V436" s="196"/>
      <c r="W436" s="196"/>
      <c r="X436" s="196"/>
      <c r="Y436" s="196"/>
      <c r="Z436" s="196"/>
      <c r="AA436" s="196"/>
      <c r="AB436" s="196"/>
      <c r="AC436" s="196"/>
      <c r="AD436" s="196"/>
    </row>
    <row r="437" spans="1:30" ht="12.9">
      <c r="A437" s="196"/>
      <c r="B437" s="143"/>
      <c r="C437" s="196"/>
      <c r="D437" s="196"/>
      <c r="E437" s="196"/>
      <c r="F437" s="196"/>
      <c r="G437" s="24"/>
      <c r="H437" s="24"/>
      <c r="I437" s="196"/>
      <c r="J437" s="196"/>
      <c r="K437" s="196"/>
      <c r="L437" s="196"/>
      <c r="M437" s="196"/>
      <c r="N437" s="196"/>
      <c r="O437" s="196"/>
      <c r="P437" s="196"/>
      <c r="Q437" s="196"/>
      <c r="R437" s="196"/>
      <c r="S437" s="196"/>
      <c r="T437" s="196"/>
      <c r="U437" s="196"/>
      <c r="V437" s="196"/>
      <c r="W437" s="196"/>
      <c r="X437" s="196"/>
      <c r="Y437" s="196"/>
      <c r="Z437" s="196"/>
      <c r="AA437" s="196"/>
      <c r="AB437" s="196"/>
      <c r="AC437" s="196"/>
      <c r="AD437" s="196"/>
    </row>
    <row r="438" spans="1:30" ht="12.9">
      <c r="A438" s="196"/>
      <c r="B438" s="143"/>
      <c r="C438" s="196"/>
      <c r="D438" s="196"/>
      <c r="E438" s="196"/>
      <c r="F438" s="196"/>
      <c r="G438" s="24"/>
      <c r="H438" s="24"/>
      <c r="I438" s="196"/>
      <c r="J438" s="196"/>
      <c r="K438" s="196"/>
      <c r="L438" s="196"/>
      <c r="M438" s="196"/>
      <c r="N438" s="196"/>
      <c r="O438" s="196"/>
      <c r="P438" s="196"/>
      <c r="Q438" s="196"/>
      <c r="R438" s="196"/>
      <c r="S438" s="196"/>
      <c r="T438" s="196"/>
      <c r="U438" s="196"/>
      <c r="V438" s="196"/>
      <c r="W438" s="196"/>
      <c r="X438" s="196"/>
      <c r="Y438" s="196"/>
      <c r="Z438" s="196"/>
      <c r="AA438" s="196"/>
      <c r="AB438" s="196"/>
      <c r="AC438" s="196"/>
      <c r="AD438" s="196"/>
    </row>
    <row r="439" spans="1:30" ht="12.9">
      <c r="A439" s="196"/>
      <c r="B439" s="143"/>
      <c r="C439" s="196"/>
      <c r="D439" s="196"/>
      <c r="E439" s="196"/>
      <c r="F439" s="196"/>
      <c r="G439" s="24"/>
      <c r="H439" s="24"/>
      <c r="I439" s="196"/>
      <c r="J439" s="196"/>
      <c r="K439" s="196"/>
      <c r="L439" s="196"/>
      <c r="M439" s="196"/>
      <c r="N439" s="196"/>
      <c r="O439" s="196"/>
      <c r="P439" s="196"/>
      <c r="Q439" s="196"/>
      <c r="R439" s="196"/>
      <c r="S439" s="196"/>
      <c r="T439" s="196"/>
      <c r="U439" s="196"/>
      <c r="V439" s="196"/>
      <c r="W439" s="196"/>
      <c r="X439" s="196"/>
      <c r="Y439" s="196"/>
      <c r="Z439" s="196"/>
      <c r="AA439" s="196"/>
      <c r="AB439" s="196"/>
      <c r="AC439" s="196"/>
      <c r="AD439" s="196"/>
    </row>
    <row r="440" spans="1:30" ht="12.9">
      <c r="A440" s="196"/>
      <c r="B440" s="143"/>
      <c r="C440" s="196"/>
      <c r="D440" s="196"/>
      <c r="E440" s="196"/>
      <c r="F440" s="196"/>
      <c r="G440" s="24"/>
      <c r="H440" s="24"/>
      <c r="I440" s="196"/>
      <c r="J440" s="196"/>
      <c r="K440" s="196"/>
      <c r="L440" s="196"/>
      <c r="M440" s="196"/>
      <c r="N440" s="196"/>
      <c r="O440" s="196"/>
      <c r="P440" s="196"/>
      <c r="Q440" s="196"/>
      <c r="R440" s="196"/>
      <c r="S440" s="196"/>
      <c r="T440" s="196"/>
      <c r="U440" s="196"/>
      <c r="V440" s="196"/>
      <c r="W440" s="196"/>
      <c r="X440" s="196"/>
      <c r="Y440" s="196"/>
      <c r="Z440" s="196"/>
      <c r="AA440" s="196"/>
      <c r="AB440" s="196"/>
      <c r="AC440" s="196"/>
      <c r="AD440" s="196"/>
    </row>
    <row r="441" spans="1:30" ht="12.9">
      <c r="A441" s="196"/>
      <c r="B441" s="143"/>
      <c r="C441" s="196"/>
      <c r="D441" s="196"/>
      <c r="E441" s="196"/>
      <c r="F441" s="196"/>
      <c r="G441" s="24"/>
      <c r="H441" s="24"/>
      <c r="I441" s="196"/>
      <c r="J441" s="196"/>
      <c r="K441" s="196"/>
      <c r="L441" s="196"/>
      <c r="M441" s="196"/>
      <c r="N441" s="196"/>
      <c r="O441" s="196"/>
      <c r="P441" s="196"/>
      <c r="Q441" s="196"/>
      <c r="R441" s="196"/>
      <c r="S441" s="196"/>
      <c r="T441" s="196"/>
      <c r="U441" s="196"/>
      <c r="V441" s="196"/>
      <c r="W441" s="196"/>
      <c r="X441" s="196"/>
      <c r="Y441" s="196"/>
      <c r="Z441" s="196"/>
      <c r="AA441" s="196"/>
      <c r="AB441" s="196"/>
      <c r="AC441" s="196"/>
      <c r="AD441" s="196"/>
    </row>
    <row r="442" spans="1:30" ht="12.9">
      <c r="A442" s="196"/>
      <c r="B442" s="143"/>
      <c r="C442" s="196"/>
      <c r="D442" s="196"/>
      <c r="E442" s="196"/>
      <c r="F442" s="196"/>
      <c r="G442" s="24"/>
      <c r="H442" s="24"/>
      <c r="I442" s="196"/>
      <c r="J442" s="196"/>
      <c r="K442" s="196"/>
      <c r="L442" s="196"/>
      <c r="M442" s="196"/>
      <c r="N442" s="196"/>
      <c r="O442" s="196"/>
      <c r="P442" s="196"/>
      <c r="Q442" s="196"/>
      <c r="R442" s="196"/>
      <c r="S442" s="196"/>
      <c r="T442" s="196"/>
      <c r="U442" s="196"/>
      <c r="V442" s="196"/>
      <c r="W442" s="196"/>
      <c r="X442" s="196"/>
      <c r="Y442" s="196"/>
      <c r="Z442" s="196"/>
      <c r="AA442" s="196"/>
      <c r="AB442" s="196"/>
      <c r="AC442" s="196"/>
      <c r="AD442" s="196"/>
    </row>
    <row r="443" spans="1:30" ht="12.9">
      <c r="A443" s="196"/>
      <c r="B443" s="143"/>
      <c r="C443" s="196"/>
      <c r="D443" s="196"/>
      <c r="E443" s="196"/>
      <c r="F443" s="196"/>
      <c r="G443" s="24"/>
      <c r="H443" s="24"/>
      <c r="I443" s="196"/>
      <c r="J443" s="196"/>
      <c r="K443" s="196"/>
      <c r="L443" s="196"/>
      <c r="M443" s="196"/>
      <c r="N443" s="196"/>
      <c r="O443" s="196"/>
      <c r="P443" s="196"/>
      <c r="Q443" s="196"/>
      <c r="R443" s="196"/>
      <c r="S443" s="196"/>
      <c r="T443" s="196"/>
      <c r="U443" s="196"/>
      <c r="V443" s="196"/>
      <c r="W443" s="196"/>
      <c r="X443" s="196"/>
      <c r="Y443" s="196"/>
      <c r="Z443" s="196"/>
      <c r="AA443" s="196"/>
      <c r="AB443" s="196"/>
      <c r="AC443" s="196"/>
      <c r="AD443" s="196"/>
    </row>
    <row r="444" spans="1:30" ht="12.9">
      <c r="A444" s="196"/>
      <c r="B444" s="143"/>
      <c r="C444" s="196"/>
      <c r="D444" s="196"/>
      <c r="E444" s="196"/>
      <c r="F444" s="196"/>
      <c r="G444" s="24"/>
      <c r="H444" s="24"/>
      <c r="I444" s="196"/>
      <c r="J444" s="196"/>
      <c r="K444" s="196"/>
      <c r="L444" s="196"/>
      <c r="M444" s="196"/>
      <c r="N444" s="196"/>
      <c r="O444" s="196"/>
      <c r="P444" s="196"/>
      <c r="Q444" s="196"/>
      <c r="R444" s="196"/>
      <c r="S444" s="196"/>
      <c r="T444" s="196"/>
      <c r="U444" s="196"/>
      <c r="V444" s="196"/>
      <c r="W444" s="196"/>
      <c r="X444" s="196"/>
      <c r="Y444" s="196"/>
      <c r="Z444" s="196"/>
      <c r="AA444" s="196"/>
      <c r="AB444" s="196"/>
      <c r="AC444" s="196"/>
      <c r="AD444" s="196"/>
    </row>
    <row r="445" spans="1:30" ht="12.9">
      <c r="A445" s="196"/>
      <c r="B445" s="143"/>
      <c r="C445" s="196"/>
      <c r="D445" s="196"/>
      <c r="E445" s="196"/>
      <c r="F445" s="196"/>
      <c r="G445" s="24"/>
      <c r="H445" s="24"/>
      <c r="I445" s="196"/>
      <c r="J445" s="196"/>
      <c r="K445" s="196"/>
      <c r="L445" s="196"/>
      <c r="M445" s="196"/>
      <c r="N445" s="196"/>
      <c r="O445" s="196"/>
      <c r="P445" s="196"/>
      <c r="Q445" s="196"/>
      <c r="R445" s="196"/>
      <c r="S445" s="196"/>
      <c r="T445" s="196"/>
      <c r="U445" s="196"/>
      <c r="V445" s="196"/>
      <c r="W445" s="196"/>
      <c r="X445" s="196"/>
      <c r="Y445" s="196"/>
      <c r="Z445" s="196"/>
      <c r="AA445" s="196"/>
      <c r="AB445" s="196"/>
      <c r="AC445" s="196"/>
      <c r="AD445" s="196"/>
    </row>
    <row r="446" spans="1:30" ht="12.9">
      <c r="A446" s="196"/>
      <c r="B446" s="143"/>
      <c r="C446" s="196"/>
      <c r="D446" s="196"/>
      <c r="E446" s="196"/>
      <c r="F446" s="196"/>
      <c r="G446" s="24"/>
      <c r="H446" s="24"/>
      <c r="I446" s="196"/>
      <c r="J446" s="196"/>
      <c r="K446" s="196"/>
      <c r="L446" s="196"/>
      <c r="M446" s="196"/>
      <c r="N446" s="196"/>
      <c r="O446" s="196"/>
      <c r="P446" s="196"/>
      <c r="Q446" s="196"/>
      <c r="R446" s="196"/>
      <c r="S446" s="196"/>
      <c r="T446" s="196"/>
      <c r="U446" s="196"/>
      <c r="V446" s="196"/>
      <c r="W446" s="196"/>
      <c r="X446" s="196"/>
      <c r="Y446" s="196"/>
      <c r="Z446" s="196"/>
      <c r="AA446" s="196"/>
      <c r="AB446" s="196"/>
      <c r="AC446" s="196"/>
      <c r="AD446" s="196"/>
    </row>
    <row r="447" spans="1:30" ht="12.9">
      <c r="A447" s="196"/>
      <c r="B447" s="143"/>
      <c r="C447" s="196"/>
      <c r="D447" s="196"/>
      <c r="E447" s="196"/>
      <c r="F447" s="196"/>
      <c r="G447" s="24"/>
      <c r="H447" s="24"/>
      <c r="I447" s="196"/>
      <c r="J447" s="196"/>
      <c r="K447" s="196"/>
      <c r="L447" s="196"/>
      <c r="M447" s="196"/>
      <c r="N447" s="196"/>
      <c r="O447" s="196"/>
      <c r="P447" s="196"/>
      <c r="Q447" s="196"/>
      <c r="R447" s="196"/>
      <c r="S447" s="196"/>
      <c r="T447" s="196"/>
      <c r="U447" s="196"/>
      <c r="V447" s="196"/>
      <c r="W447" s="196"/>
      <c r="X447" s="196"/>
      <c r="Y447" s="196"/>
      <c r="Z447" s="196"/>
      <c r="AA447" s="196"/>
      <c r="AB447" s="196"/>
      <c r="AC447" s="196"/>
      <c r="AD447" s="196"/>
    </row>
    <row r="448" spans="1:30" ht="12.9">
      <c r="A448" s="196"/>
      <c r="B448" s="143"/>
      <c r="C448" s="196"/>
      <c r="D448" s="196"/>
      <c r="E448" s="196"/>
      <c r="F448" s="196"/>
      <c r="G448" s="24"/>
      <c r="H448" s="24"/>
      <c r="I448" s="196"/>
      <c r="J448" s="196"/>
      <c r="K448" s="196"/>
      <c r="L448" s="196"/>
      <c r="M448" s="196"/>
      <c r="N448" s="196"/>
      <c r="O448" s="196"/>
      <c r="P448" s="196"/>
      <c r="Q448" s="196"/>
      <c r="R448" s="196"/>
      <c r="S448" s="196"/>
      <c r="T448" s="196"/>
      <c r="U448" s="196"/>
      <c r="V448" s="196"/>
      <c r="W448" s="196"/>
      <c r="X448" s="196"/>
      <c r="Y448" s="196"/>
      <c r="Z448" s="196"/>
      <c r="AA448" s="196"/>
      <c r="AB448" s="196"/>
      <c r="AC448" s="196"/>
      <c r="AD448" s="196"/>
    </row>
    <row r="449" spans="1:30" ht="12.9">
      <c r="A449" s="196"/>
      <c r="B449" s="143"/>
      <c r="C449" s="196"/>
      <c r="D449" s="196"/>
      <c r="E449" s="196"/>
      <c r="F449" s="196"/>
      <c r="G449" s="24"/>
      <c r="H449" s="24"/>
      <c r="I449" s="196"/>
      <c r="J449" s="196"/>
      <c r="K449" s="196"/>
      <c r="L449" s="196"/>
      <c r="M449" s="196"/>
      <c r="N449" s="196"/>
      <c r="O449" s="196"/>
      <c r="P449" s="196"/>
      <c r="Q449" s="196"/>
      <c r="R449" s="196"/>
      <c r="S449" s="196"/>
      <c r="T449" s="196"/>
      <c r="U449" s="196"/>
      <c r="V449" s="196"/>
      <c r="W449" s="196"/>
      <c r="X449" s="196"/>
      <c r="Y449" s="196"/>
      <c r="Z449" s="196"/>
      <c r="AA449" s="196"/>
      <c r="AB449" s="196"/>
      <c r="AC449" s="196"/>
      <c r="AD449" s="196"/>
    </row>
    <row r="450" spans="1:30" ht="12.9">
      <c r="A450" s="196"/>
      <c r="B450" s="143"/>
      <c r="C450" s="196"/>
      <c r="D450" s="196"/>
      <c r="E450" s="196"/>
      <c r="F450" s="196"/>
      <c r="G450" s="24"/>
      <c r="H450" s="24"/>
      <c r="I450" s="196"/>
      <c r="J450" s="196"/>
      <c r="K450" s="196"/>
      <c r="L450" s="196"/>
      <c r="M450" s="196"/>
      <c r="N450" s="196"/>
      <c r="O450" s="196"/>
      <c r="P450" s="196"/>
      <c r="Q450" s="196"/>
      <c r="R450" s="196"/>
      <c r="S450" s="196"/>
      <c r="T450" s="196"/>
      <c r="U450" s="196"/>
      <c r="V450" s="196"/>
      <c r="W450" s="196"/>
      <c r="X450" s="196"/>
      <c r="Y450" s="196"/>
      <c r="Z450" s="196"/>
      <c r="AA450" s="196"/>
      <c r="AB450" s="196"/>
      <c r="AC450" s="196"/>
      <c r="AD450" s="196"/>
    </row>
    <row r="451" spans="1:30" ht="12.9">
      <c r="A451" s="196"/>
      <c r="B451" s="143"/>
      <c r="C451" s="196"/>
      <c r="D451" s="196"/>
      <c r="E451" s="196"/>
      <c r="F451" s="196"/>
      <c r="G451" s="24"/>
      <c r="H451" s="24"/>
      <c r="I451" s="196"/>
      <c r="J451" s="196"/>
      <c r="K451" s="196"/>
      <c r="L451" s="196"/>
      <c r="M451" s="196"/>
      <c r="N451" s="196"/>
      <c r="O451" s="196"/>
      <c r="P451" s="196"/>
      <c r="Q451" s="196"/>
      <c r="R451" s="196"/>
      <c r="S451" s="196"/>
      <c r="T451" s="196"/>
      <c r="U451" s="196"/>
      <c r="V451" s="196"/>
      <c r="W451" s="196"/>
      <c r="X451" s="196"/>
      <c r="Y451" s="196"/>
      <c r="Z451" s="196"/>
      <c r="AA451" s="196"/>
      <c r="AB451" s="196"/>
      <c r="AC451" s="196"/>
      <c r="AD451" s="196"/>
    </row>
    <row r="452" spans="1:30" ht="12.9">
      <c r="A452" s="196"/>
      <c r="B452" s="143"/>
      <c r="C452" s="196"/>
      <c r="D452" s="196"/>
      <c r="E452" s="196"/>
      <c r="F452" s="196"/>
      <c r="G452" s="24"/>
      <c r="H452" s="24"/>
      <c r="I452" s="196"/>
      <c r="J452" s="196"/>
      <c r="K452" s="196"/>
      <c r="L452" s="196"/>
      <c r="M452" s="196"/>
      <c r="N452" s="196"/>
      <c r="O452" s="196"/>
      <c r="P452" s="196"/>
      <c r="Q452" s="196"/>
      <c r="R452" s="196"/>
      <c r="S452" s="196"/>
      <c r="T452" s="196"/>
      <c r="U452" s="196"/>
      <c r="V452" s="196"/>
      <c r="W452" s="196"/>
      <c r="X452" s="196"/>
      <c r="Y452" s="196"/>
      <c r="Z452" s="196"/>
      <c r="AA452" s="196"/>
      <c r="AB452" s="196"/>
      <c r="AC452" s="196"/>
      <c r="AD452" s="196"/>
    </row>
    <row r="453" spans="1:30" ht="12.9">
      <c r="A453" s="196"/>
      <c r="B453" s="143"/>
      <c r="C453" s="196"/>
      <c r="D453" s="196"/>
      <c r="E453" s="196"/>
      <c r="F453" s="196"/>
      <c r="G453" s="24"/>
      <c r="H453" s="24"/>
      <c r="I453" s="196"/>
      <c r="J453" s="196"/>
      <c r="K453" s="196"/>
      <c r="L453" s="196"/>
      <c r="M453" s="196"/>
      <c r="N453" s="196"/>
      <c r="O453" s="196"/>
      <c r="P453" s="196"/>
      <c r="Q453" s="196"/>
      <c r="R453" s="196"/>
      <c r="S453" s="196"/>
      <c r="T453" s="196"/>
      <c r="U453" s="196"/>
      <c r="V453" s="196"/>
      <c r="W453" s="196"/>
      <c r="X453" s="196"/>
      <c r="Y453" s="196"/>
      <c r="Z453" s="196"/>
      <c r="AA453" s="196"/>
      <c r="AB453" s="196"/>
      <c r="AC453" s="196"/>
      <c r="AD453" s="196"/>
    </row>
    <row r="454" spans="1:30" ht="12.9">
      <c r="A454" s="196"/>
      <c r="B454" s="143"/>
      <c r="C454" s="196"/>
      <c r="D454" s="196"/>
      <c r="E454" s="196"/>
      <c r="F454" s="196"/>
      <c r="G454" s="24"/>
      <c r="H454" s="24"/>
      <c r="I454" s="196"/>
      <c r="J454" s="196"/>
      <c r="K454" s="196"/>
      <c r="L454" s="196"/>
      <c r="M454" s="196"/>
      <c r="N454" s="196"/>
      <c r="O454" s="196"/>
      <c r="P454" s="196"/>
      <c r="Q454" s="196"/>
      <c r="R454" s="196"/>
      <c r="S454" s="196"/>
      <c r="T454" s="196"/>
      <c r="U454" s="196"/>
      <c r="V454" s="196"/>
      <c r="W454" s="196"/>
      <c r="X454" s="196"/>
      <c r="Y454" s="196"/>
      <c r="Z454" s="196"/>
      <c r="AA454" s="196"/>
      <c r="AB454" s="196"/>
      <c r="AC454" s="196"/>
      <c r="AD454" s="196"/>
    </row>
    <row r="455" spans="1:30" ht="12.9">
      <c r="A455" s="196"/>
      <c r="B455" s="143"/>
      <c r="C455" s="196"/>
      <c r="D455" s="196"/>
      <c r="E455" s="196"/>
      <c r="F455" s="196"/>
      <c r="G455" s="24"/>
      <c r="H455" s="24"/>
      <c r="I455" s="196"/>
      <c r="J455" s="196"/>
      <c r="K455" s="196"/>
      <c r="L455" s="196"/>
      <c r="M455" s="196"/>
      <c r="N455" s="196"/>
      <c r="O455" s="196"/>
      <c r="P455" s="196"/>
      <c r="Q455" s="196"/>
      <c r="R455" s="196"/>
      <c r="S455" s="196"/>
      <c r="T455" s="196"/>
      <c r="U455" s="196"/>
      <c r="V455" s="196"/>
      <c r="W455" s="196"/>
      <c r="X455" s="196"/>
      <c r="Y455" s="196"/>
      <c r="Z455" s="196"/>
      <c r="AA455" s="196"/>
      <c r="AB455" s="196"/>
      <c r="AC455" s="196"/>
      <c r="AD455" s="196"/>
    </row>
    <row r="456" spans="1:30" ht="12.9">
      <c r="A456" s="196"/>
      <c r="B456" s="143"/>
      <c r="C456" s="196"/>
      <c r="D456" s="196"/>
      <c r="E456" s="196"/>
      <c r="F456" s="196"/>
      <c r="G456" s="24"/>
      <c r="H456" s="24"/>
      <c r="I456" s="196"/>
      <c r="J456" s="196"/>
      <c r="K456" s="196"/>
      <c r="L456" s="196"/>
      <c r="M456" s="196"/>
      <c r="N456" s="196"/>
      <c r="O456" s="196"/>
      <c r="P456" s="196"/>
      <c r="Q456" s="196"/>
      <c r="R456" s="196"/>
      <c r="S456" s="196"/>
      <c r="T456" s="196"/>
      <c r="U456" s="196"/>
      <c r="V456" s="196"/>
      <c r="W456" s="196"/>
      <c r="X456" s="196"/>
      <c r="Y456" s="196"/>
      <c r="Z456" s="196"/>
      <c r="AA456" s="196"/>
      <c r="AB456" s="196"/>
      <c r="AC456" s="196"/>
      <c r="AD456" s="196"/>
    </row>
    <row r="457" spans="1:30" ht="12.9">
      <c r="A457" s="196"/>
      <c r="B457" s="143"/>
      <c r="C457" s="196"/>
      <c r="D457" s="196"/>
      <c r="E457" s="196"/>
      <c r="F457" s="196"/>
      <c r="G457" s="24"/>
      <c r="H457" s="24"/>
      <c r="I457" s="196"/>
      <c r="J457" s="196"/>
      <c r="K457" s="196"/>
      <c r="L457" s="196"/>
      <c r="M457" s="196"/>
      <c r="N457" s="196"/>
      <c r="O457" s="196"/>
      <c r="P457" s="196"/>
      <c r="Q457" s="196"/>
      <c r="R457" s="196"/>
      <c r="S457" s="196"/>
      <c r="T457" s="196"/>
      <c r="U457" s="196"/>
      <c r="V457" s="196"/>
      <c r="W457" s="196"/>
      <c r="X457" s="196"/>
      <c r="Y457" s="196"/>
      <c r="Z457" s="196"/>
      <c r="AA457" s="196"/>
      <c r="AB457" s="196"/>
      <c r="AC457" s="196"/>
      <c r="AD457" s="196"/>
    </row>
    <row r="458" spans="1:30" ht="12.9">
      <c r="A458" s="196"/>
      <c r="B458" s="143"/>
      <c r="C458" s="196"/>
      <c r="D458" s="196"/>
      <c r="E458" s="196"/>
      <c r="F458" s="196"/>
      <c r="G458" s="24"/>
      <c r="H458" s="24"/>
      <c r="I458" s="196"/>
      <c r="J458" s="196"/>
      <c r="K458" s="196"/>
      <c r="L458" s="196"/>
      <c r="M458" s="196"/>
      <c r="N458" s="196"/>
      <c r="O458" s="196"/>
      <c r="P458" s="196"/>
      <c r="Q458" s="196"/>
      <c r="R458" s="196"/>
      <c r="S458" s="196"/>
      <c r="T458" s="196"/>
      <c r="U458" s="196"/>
      <c r="V458" s="196"/>
      <c r="W458" s="196"/>
      <c r="X458" s="196"/>
      <c r="Y458" s="196"/>
      <c r="Z458" s="196"/>
      <c r="AA458" s="196"/>
      <c r="AB458" s="196"/>
      <c r="AC458" s="196"/>
      <c r="AD458" s="196"/>
    </row>
    <row r="459" spans="1:30" ht="12.9">
      <c r="A459" s="196"/>
      <c r="B459" s="143"/>
      <c r="C459" s="196"/>
      <c r="D459" s="196"/>
      <c r="E459" s="196"/>
      <c r="F459" s="196"/>
      <c r="G459" s="24"/>
      <c r="H459" s="24"/>
      <c r="I459" s="196"/>
      <c r="J459" s="196"/>
      <c r="K459" s="196"/>
      <c r="L459" s="196"/>
      <c r="M459" s="196"/>
      <c r="N459" s="196"/>
      <c r="O459" s="196"/>
      <c r="P459" s="196"/>
      <c r="Q459" s="196"/>
      <c r="R459" s="196"/>
      <c r="S459" s="196"/>
      <c r="T459" s="196"/>
      <c r="U459" s="196"/>
      <c r="V459" s="196"/>
      <c r="W459" s="196"/>
      <c r="X459" s="196"/>
      <c r="Y459" s="196"/>
      <c r="Z459" s="196"/>
      <c r="AA459" s="196"/>
      <c r="AB459" s="196"/>
      <c r="AC459" s="196"/>
      <c r="AD459" s="196"/>
    </row>
    <row r="460" spans="1:30" ht="12.9">
      <c r="A460" s="196"/>
      <c r="B460" s="143"/>
      <c r="C460" s="196"/>
      <c r="D460" s="196"/>
      <c r="E460" s="196"/>
      <c r="F460" s="196"/>
      <c r="G460" s="24"/>
      <c r="H460" s="24"/>
      <c r="I460" s="196"/>
      <c r="J460" s="196"/>
      <c r="K460" s="196"/>
      <c r="L460" s="196"/>
      <c r="M460" s="196"/>
      <c r="N460" s="196"/>
      <c r="O460" s="196"/>
      <c r="P460" s="196"/>
      <c r="Q460" s="196"/>
      <c r="R460" s="196"/>
      <c r="S460" s="196"/>
      <c r="T460" s="196"/>
      <c r="U460" s="196"/>
      <c r="V460" s="196"/>
      <c r="W460" s="196"/>
      <c r="X460" s="196"/>
      <c r="Y460" s="196"/>
      <c r="Z460" s="196"/>
      <c r="AA460" s="196"/>
      <c r="AB460" s="196"/>
      <c r="AC460" s="196"/>
      <c r="AD460" s="196"/>
    </row>
    <row r="461" spans="1:30" ht="12.9">
      <c r="A461" s="196"/>
      <c r="B461" s="143"/>
      <c r="C461" s="196"/>
      <c r="D461" s="196"/>
      <c r="E461" s="196"/>
      <c r="F461" s="196"/>
      <c r="G461" s="24"/>
      <c r="H461" s="24"/>
      <c r="I461" s="196"/>
      <c r="J461" s="196"/>
      <c r="K461" s="196"/>
      <c r="L461" s="196"/>
      <c r="M461" s="196"/>
      <c r="N461" s="196"/>
      <c r="O461" s="196"/>
      <c r="P461" s="196"/>
      <c r="Q461" s="196"/>
      <c r="R461" s="196"/>
      <c r="S461" s="196"/>
      <c r="T461" s="196"/>
      <c r="U461" s="196"/>
      <c r="V461" s="196"/>
      <c r="W461" s="196"/>
      <c r="X461" s="196"/>
      <c r="Y461" s="196"/>
      <c r="Z461" s="196"/>
      <c r="AA461" s="196"/>
      <c r="AB461" s="196"/>
      <c r="AC461" s="196"/>
      <c r="AD461" s="196"/>
    </row>
    <row r="462" spans="1:30" ht="12.9">
      <c r="A462" s="196"/>
      <c r="B462" s="143"/>
      <c r="C462" s="196"/>
      <c r="D462" s="196"/>
      <c r="E462" s="196"/>
      <c r="F462" s="196"/>
      <c r="G462" s="24"/>
      <c r="H462" s="24"/>
      <c r="I462" s="196"/>
      <c r="J462" s="196"/>
      <c r="K462" s="196"/>
      <c r="L462" s="196"/>
      <c r="M462" s="196"/>
      <c r="N462" s="196"/>
      <c r="O462" s="196"/>
      <c r="P462" s="196"/>
      <c r="Q462" s="196"/>
      <c r="R462" s="196"/>
      <c r="S462" s="196"/>
      <c r="T462" s="196"/>
      <c r="U462" s="196"/>
      <c r="V462" s="196"/>
      <c r="W462" s="196"/>
      <c r="X462" s="196"/>
      <c r="Y462" s="196"/>
      <c r="Z462" s="196"/>
      <c r="AA462" s="196"/>
      <c r="AB462" s="196"/>
      <c r="AC462" s="196"/>
      <c r="AD462" s="196"/>
    </row>
    <row r="463" spans="1:30" ht="12.9">
      <c r="A463" s="196"/>
      <c r="B463" s="143"/>
      <c r="C463" s="196"/>
      <c r="D463" s="196"/>
      <c r="E463" s="196"/>
      <c r="F463" s="196"/>
      <c r="G463" s="24"/>
      <c r="H463" s="24"/>
      <c r="I463" s="196"/>
      <c r="J463" s="196"/>
      <c r="K463" s="196"/>
      <c r="L463" s="196"/>
      <c r="M463" s="196"/>
      <c r="N463" s="196"/>
      <c r="O463" s="196"/>
      <c r="P463" s="196"/>
      <c r="Q463" s="196"/>
      <c r="R463" s="196"/>
      <c r="S463" s="196"/>
      <c r="T463" s="196"/>
      <c r="U463" s="196"/>
      <c r="V463" s="196"/>
      <c r="W463" s="196"/>
      <c r="X463" s="196"/>
      <c r="Y463" s="196"/>
      <c r="Z463" s="196"/>
      <c r="AA463" s="196"/>
      <c r="AB463" s="196"/>
      <c r="AC463" s="196"/>
      <c r="AD463" s="196"/>
    </row>
    <row r="464" spans="1:30" ht="12.9">
      <c r="A464" s="196"/>
      <c r="B464" s="143"/>
      <c r="C464" s="196"/>
      <c r="D464" s="196"/>
      <c r="E464" s="196"/>
      <c r="F464" s="196"/>
      <c r="G464" s="24"/>
      <c r="H464" s="24"/>
      <c r="I464" s="196"/>
      <c r="J464" s="196"/>
      <c r="K464" s="196"/>
      <c r="L464" s="196"/>
      <c r="M464" s="196"/>
      <c r="N464" s="196"/>
      <c r="O464" s="196"/>
      <c r="P464" s="196"/>
      <c r="Q464" s="196"/>
      <c r="R464" s="196"/>
      <c r="S464" s="196"/>
      <c r="T464" s="196"/>
      <c r="U464" s="196"/>
      <c r="V464" s="196"/>
      <c r="W464" s="196"/>
      <c r="X464" s="196"/>
      <c r="Y464" s="196"/>
      <c r="Z464" s="196"/>
      <c r="AA464" s="196"/>
      <c r="AB464" s="196"/>
      <c r="AC464" s="196"/>
      <c r="AD464" s="196"/>
    </row>
    <row r="465" spans="1:30" ht="12.9">
      <c r="A465" s="196"/>
      <c r="B465" s="143"/>
      <c r="C465" s="196"/>
      <c r="D465" s="196"/>
      <c r="E465" s="196"/>
      <c r="F465" s="196"/>
      <c r="G465" s="24"/>
      <c r="H465" s="24"/>
      <c r="I465" s="196"/>
      <c r="J465" s="196"/>
      <c r="K465" s="196"/>
      <c r="L465" s="196"/>
      <c r="M465" s="196"/>
      <c r="N465" s="196"/>
      <c r="O465" s="196"/>
      <c r="P465" s="196"/>
      <c r="Q465" s="196"/>
      <c r="R465" s="196"/>
      <c r="S465" s="196"/>
      <c r="T465" s="196"/>
      <c r="U465" s="196"/>
      <c r="V465" s="196"/>
      <c r="W465" s="196"/>
      <c r="X465" s="196"/>
      <c r="Y465" s="196"/>
      <c r="Z465" s="196"/>
      <c r="AA465" s="196"/>
      <c r="AB465" s="196"/>
      <c r="AC465" s="196"/>
      <c r="AD465" s="196"/>
    </row>
    <row r="466" spans="1:30" ht="12.9">
      <c r="A466" s="196"/>
      <c r="B466" s="143"/>
      <c r="C466" s="196"/>
      <c r="D466" s="196"/>
      <c r="E466" s="196"/>
      <c r="F466" s="196"/>
      <c r="G466" s="24"/>
      <c r="H466" s="24"/>
      <c r="I466" s="196"/>
      <c r="J466" s="196"/>
      <c r="K466" s="196"/>
      <c r="L466" s="196"/>
      <c r="M466" s="196"/>
      <c r="N466" s="196"/>
      <c r="O466" s="196"/>
      <c r="P466" s="196"/>
      <c r="Q466" s="196"/>
      <c r="R466" s="196"/>
      <c r="S466" s="196"/>
      <c r="T466" s="196"/>
      <c r="U466" s="196"/>
      <c r="V466" s="196"/>
      <c r="W466" s="196"/>
      <c r="X466" s="196"/>
      <c r="Y466" s="196"/>
      <c r="Z466" s="196"/>
      <c r="AA466" s="196"/>
      <c r="AB466" s="196"/>
      <c r="AC466" s="196"/>
      <c r="AD466" s="196"/>
    </row>
    <row r="467" spans="1:30" ht="12.9">
      <c r="A467" s="196"/>
      <c r="B467" s="143"/>
      <c r="C467" s="196"/>
      <c r="D467" s="196"/>
      <c r="E467" s="196"/>
      <c r="F467" s="196"/>
      <c r="G467" s="24"/>
      <c r="H467" s="24"/>
      <c r="I467" s="196"/>
      <c r="J467" s="196"/>
      <c r="K467" s="196"/>
      <c r="L467" s="196"/>
      <c r="M467" s="196"/>
      <c r="N467" s="196"/>
      <c r="O467" s="196"/>
      <c r="P467" s="196"/>
      <c r="Q467" s="196"/>
      <c r="R467" s="196"/>
      <c r="S467" s="196"/>
      <c r="T467" s="196"/>
      <c r="U467" s="196"/>
      <c r="V467" s="196"/>
      <c r="W467" s="196"/>
      <c r="X467" s="196"/>
      <c r="Y467" s="196"/>
      <c r="Z467" s="196"/>
      <c r="AA467" s="196"/>
      <c r="AB467" s="196"/>
      <c r="AC467" s="196"/>
      <c r="AD467" s="196"/>
    </row>
    <row r="468" spans="1:30" ht="12.9">
      <c r="A468" s="196"/>
      <c r="B468" s="143"/>
      <c r="C468" s="196"/>
      <c r="D468" s="196"/>
      <c r="E468" s="196"/>
      <c r="F468" s="196"/>
      <c r="G468" s="24"/>
      <c r="H468" s="24"/>
      <c r="I468" s="196"/>
      <c r="J468" s="196"/>
      <c r="K468" s="196"/>
      <c r="L468" s="196"/>
      <c r="M468" s="196"/>
      <c r="N468" s="196"/>
      <c r="O468" s="196"/>
      <c r="P468" s="196"/>
      <c r="Q468" s="196"/>
      <c r="R468" s="196"/>
      <c r="S468" s="196"/>
      <c r="T468" s="196"/>
      <c r="U468" s="196"/>
      <c r="V468" s="196"/>
      <c r="W468" s="196"/>
      <c r="X468" s="196"/>
      <c r="Y468" s="196"/>
      <c r="Z468" s="196"/>
      <c r="AA468" s="196"/>
      <c r="AB468" s="196"/>
      <c r="AC468" s="196"/>
      <c r="AD468" s="196"/>
    </row>
    <row r="469" spans="1:30" ht="12.9">
      <c r="A469" s="196"/>
      <c r="B469" s="143"/>
      <c r="C469" s="196"/>
      <c r="D469" s="196"/>
      <c r="E469" s="196"/>
      <c r="F469" s="196"/>
      <c r="G469" s="24"/>
      <c r="H469" s="24"/>
      <c r="I469" s="196"/>
      <c r="J469" s="196"/>
      <c r="K469" s="196"/>
      <c r="L469" s="196"/>
      <c r="M469" s="196"/>
      <c r="N469" s="196"/>
      <c r="O469" s="196"/>
      <c r="P469" s="196"/>
      <c r="Q469" s="196"/>
      <c r="R469" s="196"/>
      <c r="S469" s="196"/>
      <c r="T469" s="196"/>
      <c r="U469" s="196"/>
      <c r="V469" s="196"/>
      <c r="W469" s="196"/>
      <c r="X469" s="196"/>
      <c r="Y469" s="196"/>
      <c r="Z469" s="196"/>
      <c r="AA469" s="196"/>
      <c r="AB469" s="196"/>
      <c r="AC469" s="196"/>
      <c r="AD469" s="196"/>
    </row>
    <row r="470" spans="1:30" ht="12.9">
      <c r="A470" s="196"/>
      <c r="B470" s="143"/>
      <c r="C470" s="196"/>
      <c r="D470" s="196"/>
      <c r="E470" s="196"/>
      <c r="F470" s="196"/>
      <c r="G470" s="24"/>
      <c r="H470" s="24"/>
      <c r="I470" s="196"/>
      <c r="J470" s="196"/>
      <c r="K470" s="196"/>
      <c r="L470" s="196"/>
      <c r="M470" s="196"/>
      <c r="N470" s="196"/>
      <c r="O470" s="196"/>
      <c r="P470" s="196"/>
      <c r="Q470" s="196"/>
      <c r="R470" s="196"/>
      <c r="S470" s="196"/>
      <c r="T470" s="196"/>
      <c r="U470" s="196"/>
      <c r="V470" s="196"/>
      <c r="W470" s="196"/>
      <c r="X470" s="196"/>
      <c r="Y470" s="196"/>
      <c r="Z470" s="196"/>
      <c r="AA470" s="196"/>
      <c r="AB470" s="196"/>
      <c r="AC470" s="196"/>
      <c r="AD470" s="196"/>
    </row>
    <row r="471" spans="1:30" ht="12.9">
      <c r="A471" s="196"/>
      <c r="B471" s="143"/>
      <c r="C471" s="196"/>
      <c r="D471" s="196"/>
      <c r="E471" s="196"/>
      <c r="F471" s="196"/>
      <c r="G471" s="24"/>
      <c r="H471" s="24"/>
      <c r="I471" s="196"/>
      <c r="J471" s="196"/>
      <c r="K471" s="196"/>
      <c r="L471" s="196"/>
      <c r="M471" s="196"/>
      <c r="N471" s="196"/>
      <c r="O471" s="196"/>
      <c r="P471" s="196"/>
      <c r="Q471" s="196"/>
      <c r="R471" s="196"/>
      <c r="S471" s="196"/>
      <c r="T471" s="196"/>
      <c r="U471" s="196"/>
      <c r="V471" s="196"/>
      <c r="W471" s="196"/>
      <c r="X471" s="196"/>
      <c r="Y471" s="196"/>
      <c r="Z471" s="196"/>
      <c r="AA471" s="196"/>
      <c r="AB471" s="196"/>
      <c r="AC471" s="196"/>
      <c r="AD471" s="196"/>
    </row>
    <row r="472" spans="1:30" ht="12.9">
      <c r="A472" s="196"/>
      <c r="B472" s="143"/>
      <c r="C472" s="196"/>
      <c r="D472" s="196"/>
      <c r="E472" s="196"/>
      <c r="F472" s="196"/>
      <c r="G472" s="24"/>
      <c r="H472" s="24"/>
      <c r="I472" s="196"/>
      <c r="J472" s="196"/>
      <c r="K472" s="196"/>
      <c r="L472" s="196"/>
      <c r="M472" s="196"/>
      <c r="N472" s="196"/>
      <c r="O472" s="196"/>
      <c r="P472" s="196"/>
      <c r="Q472" s="196"/>
      <c r="R472" s="196"/>
      <c r="S472" s="196"/>
      <c r="T472" s="196"/>
      <c r="U472" s="196"/>
      <c r="V472" s="196"/>
      <c r="W472" s="196"/>
      <c r="X472" s="196"/>
      <c r="Y472" s="196"/>
      <c r="Z472" s="196"/>
      <c r="AA472" s="196"/>
      <c r="AB472" s="196"/>
      <c r="AC472" s="196"/>
      <c r="AD472" s="196"/>
    </row>
    <row r="473" spans="1:30" ht="12.9">
      <c r="A473" s="196"/>
      <c r="B473" s="143"/>
      <c r="C473" s="196"/>
      <c r="D473" s="196"/>
      <c r="E473" s="196"/>
      <c r="F473" s="196"/>
      <c r="G473" s="24"/>
      <c r="H473" s="24"/>
      <c r="I473" s="196"/>
      <c r="J473" s="196"/>
      <c r="K473" s="196"/>
      <c r="L473" s="196"/>
      <c r="M473" s="196"/>
      <c r="N473" s="196"/>
      <c r="O473" s="196"/>
      <c r="P473" s="196"/>
      <c r="Q473" s="196"/>
      <c r="R473" s="196"/>
      <c r="S473" s="196"/>
      <c r="T473" s="196"/>
      <c r="U473" s="196"/>
      <c r="V473" s="196"/>
      <c r="W473" s="196"/>
      <c r="X473" s="196"/>
      <c r="Y473" s="196"/>
      <c r="Z473" s="196"/>
      <c r="AA473" s="196"/>
      <c r="AB473" s="196"/>
      <c r="AC473" s="196"/>
      <c r="AD473" s="196"/>
    </row>
    <row r="474" spans="1:30" ht="12.9">
      <c r="A474" s="196"/>
      <c r="B474" s="143"/>
      <c r="C474" s="196"/>
      <c r="D474" s="196"/>
      <c r="E474" s="196"/>
      <c r="F474" s="196"/>
      <c r="G474" s="24"/>
      <c r="H474" s="24"/>
      <c r="I474" s="196"/>
      <c r="J474" s="196"/>
      <c r="K474" s="196"/>
      <c r="L474" s="196"/>
      <c r="M474" s="196"/>
      <c r="N474" s="196"/>
      <c r="O474" s="196"/>
      <c r="P474" s="196"/>
      <c r="Q474" s="196"/>
      <c r="R474" s="196"/>
      <c r="S474" s="196"/>
      <c r="T474" s="196"/>
      <c r="U474" s="196"/>
      <c r="V474" s="196"/>
      <c r="W474" s="196"/>
      <c r="X474" s="196"/>
      <c r="Y474" s="196"/>
      <c r="Z474" s="196"/>
      <c r="AA474" s="196"/>
      <c r="AB474" s="196"/>
      <c r="AC474" s="196"/>
      <c r="AD474" s="196"/>
    </row>
    <row r="475" spans="1:30" ht="12.9">
      <c r="A475" s="196"/>
      <c r="B475" s="143"/>
      <c r="C475" s="196"/>
      <c r="D475" s="196"/>
      <c r="E475" s="196"/>
      <c r="F475" s="196"/>
      <c r="G475" s="24"/>
      <c r="H475" s="24"/>
      <c r="I475" s="196"/>
      <c r="J475" s="196"/>
      <c r="K475" s="196"/>
      <c r="L475" s="196"/>
      <c r="M475" s="196"/>
      <c r="N475" s="196"/>
      <c r="O475" s="196"/>
      <c r="P475" s="196"/>
      <c r="Q475" s="196"/>
      <c r="R475" s="196"/>
      <c r="S475" s="196"/>
      <c r="T475" s="196"/>
      <c r="U475" s="196"/>
      <c r="V475" s="196"/>
      <c r="W475" s="196"/>
      <c r="X475" s="196"/>
      <c r="Y475" s="196"/>
      <c r="Z475" s="196"/>
      <c r="AA475" s="196"/>
      <c r="AB475" s="196"/>
      <c r="AC475" s="196"/>
      <c r="AD475" s="196"/>
    </row>
    <row r="476" spans="1:30" ht="12.9">
      <c r="A476" s="196"/>
      <c r="B476" s="143"/>
      <c r="C476" s="196"/>
      <c r="D476" s="196"/>
      <c r="E476" s="196"/>
      <c r="F476" s="196"/>
      <c r="G476" s="24"/>
      <c r="H476" s="24"/>
      <c r="I476" s="196"/>
      <c r="J476" s="196"/>
      <c r="K476" s="196"/>
      <c r="L476" s="196"/>
      <c r="M476" s="196"/>
      <c r="N476" s="196"/>
      <c r="O476" s="196"/>
      <c r="P476" s="196"/>
      <c r="Q476" s="196"/>
      <c r="R476" s="196"/>
      <c r="S476" s="196"/>
      <c r="T476" s="196"/>
      <c r="U476" s="196"/>
      <c r="V476" s="196"/>
      <c r="W476" s="196"/>
      <c r="X476" s="196"/>
      <c r="Y476" s="196"/>
      <c r="Z476" s="196"/>
      <c r="AA476" s="196"/>
      <c r="AB476" s="196"/>
      <c r="AC476" s="196"/>
      <c r="AD476" s="196"/>
    </row>
    <row r="477" spans="1:30" ht="12.9">
      <c r="A477" s="196"/>
      <c r="B477" s="143"/>
      <c r="C477" s="196"/>
      <c r="D477" s="196"/>
      <c r="E477" s="196"/>
      <c r="F477" s="196"/>
      <c r="G477" s="24"/>
      <c r="H477" s="24"/>
      <c r="I477" s="196"/>
      <c r="J477" s="196"/>
      <c r="K477" s="196"/>
      <c r="L477" s="196"/>
      <c r="M477" s="196"/>
      <c r="N477" s="196"/>
      <c r="O477" s="196"/>
      <c r="P477" s="196"/>
      <c r="Q477" s="196"/>
      <c r="R477" s="196"/>
      <c r="S477" s="196"/>
      <c r="T477" s="196"/>
      <c r="U477" s="196"/>
      <c r="V477" s="196"/>
      <c r="W477" s="196"/>
      <c r="X477" s="196"/>
      <c r="Y477" s="196"/>
      <c r="Z477" s="196"/>
      <c r="AA477" s="196"/>
      <c r="AB477" s="196"/>
      <c r="AC477" s="196"/>
      <c r="AD477" s="196"/>
    </row>
    <row r="478" spans="1:30" ht="12.9">
      <c r="A478" s="196"/>
      <c r="B478" s="143"/>
      <c r="C478" s="196"/>
      <c r="D478" s="196"/>
      <c r="E478" s="196"/>
      <c r="F478" s="196"/>
      <c r="G478" s="24"/>
      <c r="H478" s="24"/>
      <c r="I478" s="196"/>
      <c r="J478" s="196"/>
      <c r="K478" s="196"/>
      <c r="L478" s="196"/>
      <c r="M478" s="196"/>
      <c r="N478" s="196"/>
      <c r="O478" s="196"/>
      <c r="P478" s="196"/>
      <c r="Q478" s="196"/>
      <c r="R478" s="196"/>
      <c r="S478" s="196"/>
      <c r="T478" s="196"/>
      <c r="U478" s="196"/>
      <c r="V478" s="196"/>
      <c r="W478" s="196"/>
      <c r="X478" s="196"/>
      <c r="Y478" s="196"/>
      <c r="Z478" s="196"/>
      <c r="AA478" s="196"/>
      <c r="AB478" s="196"/>
      <c r="AC478" s="196"/>
      <c r="AD478" s="196"/>
    </row>
    <row r="479" spans="1:30" ht="12.9">
      <c r="A479" s="196"/>
      <c r="B479" s="143"/>
      <c r="C479" s="196"/>
      <c r="D479" s="196"/>
      <c r="E479" s="196"/>
      <c r="F479" s="196"/>
      <c r="G479" s="24"/>
      <c r="H479" s="24"/>
      <c r="I479" s="196"/>
      <c r="J479" s="196"/>
      <c r="K479" s="196"/>
      <c r="L479" s="196"/>
      <c r="M479" s="196"/>
      <c r="N479" s="196"/>
      <c r="O479" s="196"/>
      <c r="P479" s="196"/>
      <c r="Q479" s="196"/>
      <c r="R479" s="196"/>
      <c r="S479" s="196"/>
      <c r="T479" s="196"/>
      <c r="U479" s="196"/>
      <c r="V479" s="196"/>
      <c r="W479" s="196"/>
      <c r="X479" s="196"/>
      <c r="Y479" s="196"/>
      <c r="Z479" s="196"/>
      <c r="AA479" s="196"/>
      <c r="AB479" s="196"/>
      <c r="AC479" s="196"/>
      <c r="AD479" s="196"/>
    </row>
    <row r="480" spans="1:30" ht="12.9">
      <c r="A480" s="196"/>
      <c r="B480" s="143"/>
      <c r="C480" s="196"/>
      <c r="D480" s="196"/>
      <c r="E480" s="196"/>
      <c r="F480" s="196"/>
      <c r="G480" s="24"/>
      <c r="H480" s="24"/>
      <c r="I480" s="196"/>
      <c r="J480" s="196"/>
      <c r="K480" s="196"/>
      <c r="L480" s="196"/>
      <c r="M480" s="196"/>
      <c r="N480" s="196"/>
      <c r="O480" s="196"/>
      <c r="P480" s="196"/>
      <c r="Q480" s="196"/>
      <c r="R480" s="196"/>
      <c r="S480" s="196"/>
      <c r="T480" s="196"/>
      <c r="U480" s="196"/>
      <c r="V480" s="196"/>
      <c r="W480" s="196"/>
      <c r="X480" s="196"/>
      <c r="Y480" s="196"/>
      <c r="Z480" s="196"/>
      <c r="AA480" s="196"/>
      <c r="AB480" s="196"/>
      <c r="AC480" s="196"/>
      <c r="AD480" s="196"/>
    </row>
    <row r="481" spans="1:30" ht="12.9">
      <c r="A481" s="196"/>
      <c r="B481" s="143"/>
      <c r="C481" s="196"/>
      <c r="D481" s="196"/>
      <c r="E481" s="196"/>
      <c r="F481" s="196"/>
      <c r="G481" s="24"/>
      <c r="H481" s="24"/>
      <c r="I481" s="196"/>
      <c r="J481" s="196"/>
      <c r="K481" s="196"/>
      <c r="L481" s="196"/>
      <c r="M481" s="196"/>
      <c r="N481" s="196"/>
      <c r="O481" s="196"/>
      <c r="P481" s="196"/>
      <c r="Q481" s="196"/>
      <c r="R481" s="196"/>
      <c r="S481" s="196"/>
      <c r="T481" s="196"/>
      <c r="U481" s="196"/>
      <c r="V481" s="196"/>
      <c r="W481" s="196"/>
      <c r="X481" s="196"/>
      <c r="Y481" s="196"/>
      <c r="Z481" s="196"/>
      <c r="AA481" s="196"/>
      <c r="AB481" s="196"/>
      <c r="AC481" s="196"/>
      <c r="AD481" s="196"/>
    </row>
    <row r="482" spans="1:30" ht="12.9">
      <c r="A482" s="196"/>
      <c r="B482" s="143"/>
      <c r="C482" s="196"/>
      <c r="D482" s="196"/>
      <c r="E482" s="196"/>
      <c r="F482" s="196"/>
      <c r="G482" s="24"/>
      <c r="H482" s="24"/>
      <c r="I482" s="196"/>
      <c r="J482" s="196"/>
      <c r="K482" s="196"/>
      <c r="L482" s="196"/>
      <c r="M482" s="196"/>
      <c r="N482" s="196"/>
      <c r="O482" s="196"/>
      <c r="P482" s="196"/>
      <c r="Q482" s="196"/>
      <c r="R482" s="196"/>
      <c r="S482" s="196"/>
      <c r="T482" s="196"/>
      <c r="U482" s="196"/>
      <c r="V482" s="196"/>
      <c r="W482" s="196"/>
      <c r="X482" s="196"/>
      <c r="Y482" s="196"/>
      <c r="Z482" s="196"/>
      <c r="AA482" s="196"/>
      <c r="AB482" s="196"/>
      <c r="AC482" s="196"/>
      <c r="AD482" s="196"/>
    </row>
    <row r="483" spans="1:30" ht="12.9">
      <c r="A483" s="196"/>
      <c r="B483" s="143"/>
      <c r="C483" s="196"/>
      <c r="D483" s="196"/>
      <c r="E483" s="196"/>
      <c r="F483" s="196"/>
      <c r="G483" s="24"/>
      <c r="H483" s="24"/>
      <c r="I483" s="196"/>
      <c r="J483" s="196"/>
      <c r="K483" s="196"/>
      <c r="L483" s="196"/>
      <c r="M483" s="196"/>
      <c r="N483" s="196"/>
      <c r="O483" s="196"/>
      <c r="P483" s="196"/>
      <c r="Q483" s="196"/>
      <c r="R483" s="196"/>
      <c r="S483" s="196"/>
      <c r="T483" s="196"/>
      <c r="U483" s="196"/>
      <c r="V483" s="196"/>
      <c r="W483" s="196"/>
      <c r="X483" s="196"/>
      <c r="Y483" s="196"/>
      <c r="Z483" s="196"/>
      <c r="AA483" s="196"/>
      <c r="AB483" s="196"/>
      <c r="AC483" s="196"/>
      <c r="AD483" s="196"/>
    </row>
    <row r="484" spans="1:30" ht="12.9">
      <c r="A484" s="196"/>
      <c r="B484" s="143"/>
      <c r="C484" s="196"/>
      <c r="D484" s="196"/>
      <c r="E484" s="196"/>
      <c r="F484" s="196"/>
      <c r="G484" s="24"/>
      <c r="H484" s="24"/>
      <c r="I484" s="196"/>
      <c r="J484" s="196"/>
      <c r="K484" s="196"/>
      <c r="L484" s="196"/>
      <c r="M484" s="196"/>
      <c r="N484" s="196"/>
      <c r="O484" s="196"/>
      <c r="P484" s="196"/>
      <c r="Q484" s="196"/>
      <c r="R484" s="196"/>
      <c r="S484" s="196"/>
      <c r="T484" s="196"/>
      <c r="U484" s="196"/>
      <c r="V484" s="196"/>
      <c r="W484" s="196"/>
      <c r="X484" s="196"/>
      <c r="Y484" s="196"/>
      <c r="Z484" s="196"/>
      <c r="AA484" s="196"/>
      <c r="AB484" s="196"/>
      <c r="AC484" s="196"/>
      <c r="AD484" s="196"/>
    </row>
    <row r="485" spans="1:30" ht="12.9">
      <c r="A485" s="196"/>
      <c r="B485" s="143"/>
      <c r="C485" s="196"/>
      <c r="D485" s="196"/>
      <c r="E485" s="196"/>
      <c r="F485" s="196"/>
      <c r="G485" s="24"/>
      <c r="H485" s="24"/>
      <c r="I485" s="196"/>
      <c r="J485" s="196"/>
      <c r="K485" s="196"/>
      <c r="L485" s="196"/>
      <c r="M485" s="196"/>
      <c r="N485" s="196"/>
      <c r="O485" s="196"/>
      <c r="P485" s="196"/>
      <c r="Q485" s="196"/>
      <c r="R485" s="196"/>
      <c r="S485" s="196"/>
      <c r="T485" s="196"/>
      <c r="U485" s="196"/>
      <c r="V485" s="196"/>
      <c r="W485" s="196"/>
      <c r="X485" s="196"/>
      <c r="Y485" s="196"/>
      <c r="Z485" s="196"/>
      <c r="AA485" s="196"/>
      <c r="AB485" s="196"/>
      <c r="AC485" s="196"/>
      <c r="AD485" s="196"/>
    </row>
    <row r="486" spans="1:30" ht="12.9">
      <c r="A486" s="196"/>
      <c r="B486" s="143"/>
      <c r="C486" s="196"/>
      <c r="D486" s="196"/>
      <c r="E486" s="196"/>
      <c r="F486" s="196"/>
      <c r="G486" s="24"/>
      <c r="H486" s="24"/>
      <c r="I486" s="196"/>
      <c r="J486" s="196"/>
      <c r="K486" s="196"/>
      <c r="L486" s="196"/>
      <c r="M486" s="196"/>
      <c r="N486" s="196"/>
      <c r="O486" s="196"/>
      <c r="P486" s="196"/>
      <c r="Q486" s="196"/>
      <c r="R486" s="196"/>
      <c r="S486" s="196"/>
      <c r="T486" s="196"/>
      <c r="U486" s="196"/>
      <c r="V486" s="196"/>
      <c r="W486" s="196"/>
      <c r="X486" s="196"/>
      <c r="Y486" s="196"/>
      <c r="Z486" s="196"/>
      <c r="AA486" s="196"/>
      <c r="AB486" s="196"/>
      <c r="AC486" s="196"/>
      <c r="AD486" s="196"/>
    </row>
    <row r="487" spans="1:30" ht="12.9">
      <c r="A487" s="196"/>
      <c r="B487" s="143"/>
      <c r="C487" s="196"/>
      <c r="D487" s="196"/>
      <c r="E487" s="196"/>
      <c r="F487" s="196"/>
      <c r="G487" s="24"/>
      <c r="H487" s="24"/>
      <c r="I487" s="196"/>
      <c r="J487" s="196"/>
      <c r="K487" s="196"/>
      <c r="L487" s="196"/>
      <c r="M487" s="196"/>
      <c r="N487" s="196"/>
      <c r="O487" s="196"/>
      <c r="P487" s="196"/>
      <c r="Q487" s="196"/>
      <c r="R487" s="196"/>
      <c r="S487" s="196"/>
      <c r="T487" s="196"/>
      <c r="U487" s="196"/>
      <c r="V487" s="196"/>
      <c r="W487" s="196"/>
      <c r="X487" s="196"/>
      <c r="Y487" s="196"/>
      <c r="Z487" s="196"/>
      <c r="AA487" s="196"/>
      <c r="AB487" s="196"/>
      <c r="AC487" s="196"/>
      <c r="AD487" s="196"/>
    </row>
    <row r="488" spans="1:30" ht="12.9">
      <c r="A488" s="196"/>
      <c r="B488" s="143"/>
      <c r="C488" s="196"/>
      <c r="D488" s="196"/>
      <c r="E488" s="196"/>
      <c r="F488" s="196"/>
      <c r="G488" s="24"/>
      <c r="H488" s="24"/>
      <c r="I488" s="196"/>
      <c r="J488" s="196"/>
      <c r="K488" s="196"/>
      <c r="L488" s="196"/>
      <c r="M488" s="196"/>
      <c r="N488" s="196"/>
      <c r="O488" s="196"/>
      <c r="P488" s="196"/>
      <c r="Q488" s="196"/>
      <c r="R488" s="196"/>
      <c r="S488" s="196"/>
      <c r="T488" s="196"/>
      <c r="U488" s="196"/>
      <c r="V488" s="196"/>
      <c r="W488" s="196"/>
      <c r="X488" s="196"/>
      <c r="Y488" s="196"/>
      <c r="Z488" s="196"/>
      <c r="AA488" s="196"/>
      <c r="AB488" s="196"/>
      <c r="AC488" s="196"/>
      <c r="AD488" s="196"/>
    </row>
    <row r="489" spans="1:30" ht="12.9">
      <c r="A489" s="196"/>
      <c r="B489" s="143"/>
      <c r="C489" s="196"/>
      <c r="D489" s="196"/>
      <c r="E489" s="196"/>
      <c r="F489" s="196"/>
      <c r="G489" s="24"/>
      <c r="H489" s="24"/>
      <c r="I489" s="196"/>
      <c r="J489" s="196"/>
      <c r="K489" s="196"/>
      <c r="L489" s="196"/>
      <c r="M489" s="196"/>
      <c r="N489" s="196"/>
      <c r="O489" s="196"/>
      <c r="P489" s="196"/>
      <c r="Q489" s="196"/>
      <c r="R489" s="196"/>
      <c r="S489" s="196"/>
      <c r="T489" s="196"/>
      <c r="U489" s="196"/>
      <c r="V489" s="196"/>
      <c r="W489" s="196"/>
      <c r="X489" s="196"/>
      <c r="Y489" s="196"/>
      <c r="Z489" s="196"/>
      <c r="AA489" s="196"/>
      <c r="AB489" s="196"/>
      <c r="AC489" s="196"/>
      <c r="AD489" s="196"/>
    </row>
    <row r="490" spans="1:30" ht="12.9">
      <c r="A490" s="196"/>
      <c r="B490" s="143"/>
      <c r="C490" s="196"/>
      <c r="D490" s="196"/>
      <c r="E490" s="196"/>
      <c r="F490" s="196"/>
      <c r="G490" s="24"/>
      <c r="H490" s="24"/>
      <c r="I490" s="196"/>
      <c r="J490" s="196"/>
      <c r="K490" s="196"/>
      <c r="L490" s="196"/>
      <c r="M490" s="196"/>
      <c r="N490" s="196"/>
      <c r="O490" s="196"/>
      <c r="P490" s="196"/>
      <c r="Q490" s="196"/>
      <c r="R490" s="196"/>
      <c r="S490" s="196"/>
      <c r="T490" s="196"/>
      <c r="U490" s="196"/>
      <c r="V490" s="196"/>
      <c r="W490" s="196"/>
      <c r="X490" s="196"/>
      <c r="Y490" s="196"/>
      <c r="Z490" s="196"/>
      <c r="AA490" s="196"/>
      <c r="AB490" s="196"/>
      <c r="AC490" s="196"/>
      <c r="AD490" s="196"/>
    </row>
    <row r="491" spans="1:30" ht="12.9">
      <c r="A491" s="196"/>
      <c r="B491" s="143"/>
      <c r="C491" s="196"/>
      <c r="D491" s="196"/>
      <c r="E491" s="196"/>
      <c r="F491" s="196"/>
      <c r="G491" s="24"/>
      <c r="H491" s="24"/>
      <c r="I491" s="196"/>
      <c r="J491" s="196"/>
      <c r="K491" s="196"/>
      <c r="L491" s="196"/>
      <c r="M491" s="196"/>
      <c r="N491" s="196"/>
      <c r="O491" s="196"/>
      <c r="P491" s="196"/>
      <c r="Q491" s="196"/>
      <c r="R491" s="196"/>
      <c r="S491" s="196"/>
      <c r="T491" s="196"/>
      <c r="U491" s="196"/>
      <c r="V491" s="196"/>
      <c r="W491" s="196"/>
      <c r="X491" s="196"/>
      <c r="Y491" s="196"/>
      <c r="Z491" s="196"/>
      <c r="AA491" s="196"/>
      <c r="AB491" s="196"/>
      <c r="AC491" s="196"/>
      <c r="AD491" s="196"/>
    </row>
    <row r="492" spans="1:30" ht="12.9">
      <c r="A492" s="196"/>
      <c r="B492" s="143"/>
      <c r="C492" s="196"/>
      <c r="D492" s="196"/>
      <c r="E492" s="196"/>
      <c r="F492" s="196"/>
      <c r="G492" s="24"/>
      <c r="H492" s="24"/>
      <c r="I492" s="196"/>
      <c r="J492" s="196"/>
      <c r="K492" s="196"/>
      <c r="L492" s="196"/>
      <c r="M492" s="196"/>
      <c r="N492" s="196"/>
      <c r="O492" s="196"/>
      <c r="P492" s="196"/>
      <c r="Q492" s="196"/>
      <c r="R492" s="196"/>
      <c r="S492" s="196"/>
      <c r="T492" s="196"/>
      <c r="U492" s="196"/>
      <c r="V492" s="196"/>
      <c r="W492" s="196"/>
      <c r="X492" s="196"/>
      <c r="Y492" s="196"/>
      <c r="Z492" s="196"/>
      <c r="AA492" s="196"/>
      <c r="AB492" s="196"/>
      <c r="AC492" s="196"/>
      <c r="AD492" s="196"/>
    </row>
    <row r="493" spans="1:30" ht="12.9">
      <c r="A493" s="196"/>
      <c r="B493" s="143"/>
      <c r="C493" s="196"/>
      <c r="D493" s="196"/>
      <c r="E493" s="196"/>
      <c r="F493" s="196"/>
      <c r="G493" s="24"/>
      <c r="H493" s="24"/>
      <c r="I493" s="196"/>
      <c r="J493" s="196"/>
      <c r="K493" s="196"/>
      <c r="L493" s="196"/>
      <c r="M493" s="196"/>
      <c r="N493" s="196"/>
      <c r="O493" s="196"/>
      <c r="P493" s="196"/>
      <c r="Q493" s="196"/>
      <c r="R493" s="196"/>
      <c r="S493" s="196"/>
      <c r="T493" s="196"/>
      <c r="U493" s="196"/>
      <c r="V493" s="196"/>
      <c r="W493" s="196"/>
      <c r="X493" s="196"/>
      <c r="Y493" s="196"/>
      <c r="Z493" s="196"/>
      <c r="AA493" s="196"/>
      <c r="AB493" s="196"/>
      <c r="AC493" s="196"/>
      <c r="AD493" s="196"/>
    </row>
    <row r="494" spans="1:30" ht="12.9">
      <c r="A494" s="196"/>
      <c r="B494" s="143"/>
      <c r="C494" s="196"/>
      <c r="D494" s="196"/>
      <c r="E494" s="196"/>
      <c r="F494" s="196"/>
      <c r="G494" s="24"/>
      <c r="H494" s="24"/>
      <c r="I494" s="196"/>
      <c r="J494" s="196"/>
      <c r="K494" s="196"/>
      <c r="L494" s="196"/>
      <c r="M494" s="196"/>
      <c r="N494" s="196"/>
      <c r="O494" s="196"/>
      <c r="P494" s="196"/>
      <c r="Q494" s="196"/>
      <c r="R494" s="196"/>
      <c r="S494" s="196"/>
      <c r="T494" s="196"/>
      <c r="U494" s="196"/>
      <c r="V494" s="196"/>
      <c r="W494" s="196"/>
      <c r="X494" s="196"/>
      <c r="Y494" s="196"/>
      <c r="Z494" s="196"/>
      <c r="AA494" s="196"/>
      <c r="AB494" s="196"/>
      <c r="AC494" s="196"/>
      <c r="AD494" s="196"/>
    </row>
    <row r="495" spans="1:30" ht="12.9">
      <c r="A495" s="196"/>
      <c r="B495" s="143"/>
      <c r="C495" s="196"/>
      <c r="D495" s="196"/>
      <c r="E495" s="196"/>
      <c r="F495" s="196"/>
      <c r="G495" s="24"/>
      <c r="H495" s="24"/>
      <c r="I495" s="196"/>
      <c r="J495" s="196"/>
      <c r="K495" s="196"/>
      <c r="L495" s="196"/>
      <c r="M495" s="196"/>
      <c r="N495" s="196"/>
      <c r="O495" s="196"/>
      <c r="P495" s="196"/>
      <c r="Q495" s="196"/>
      <c r="R495" s="196"/>
      <c r="S495" s="196"/>
      <c r="T495" s="196"/>
      <c r="U495" s="196"/>
      <c r="V495" s="196"/>
      <c r="W495" s="196"/>
      <c r="X495" s="196"/>
      <c r="Y495" s="196"/>
      <c r="Z495" s="196"/>
      <c r="AA495" s="196"/>
      <c r="AB495" s="196"/>
      <c r="AC495" s="196"/>
      <c r="AD495" s="196"/>
    </row>
    <row r="496" spans="1:30" ht="12.9">
      <c r="A496" s="196"/>
      <c r="B496" s="143"/>
      <c r="C496" s="196"/>
      <c r="D496" s="196"/>
      <c r="E496" s="196"/>
      <c r="F496" s="196"/>
      <c r="G496" s="24"/>
      <c r="H496" s="24"/>
      <c r="I496" s="196"/>
      <c r="J496" s="196"/>
      <c r="K496" s="196"/>
      <c r="L496" s="196"/>
      <c r="M496" s="196"/>
      <c r="N496" s="196"/>
      <c r="O496" s="196"/>
      <c r="P496" s="196"/>
      <c r="Q496" s="196"/>
      <c r="R496" s="196"/>
      <c r="S496" s="196"/>
      <c r="T496" s="196"/>
      <c r="U496" s="196"/>
      <c r="V496" s="196"/>
      <c r="W496" s="196"/>
      <c r="X496" s="196"/>
      <c r="Y496" s="196"/>
      <c r="Z496" s="196"/>
      <c r="AA496" s="196"/>
      <c r="AB496" s="196"/>
      <c r="AC496" s="196"/>
      <c r="AD496" s="196"/>
    </row>
    <row r="497" spans="1:30" ht="12.9">
      <c r="A497" s="196"/>
      <c r="B497" s="143"/>
      <c r="C497" s="196"/>
      <c r="D497" s="196"/>
      <c r="E497" s="196"/>
      <c r="F497" s="196"/>
      <c r="G497" s="24"/>
      <c r="H497" s="24"/>
      <c r="I497" s="196"/>
      <c r="J497" s="196"/>
      <c r="K497" s="196"/>
      <c r="L497" s="196"/>
      <c r="M497" s="196"/>
      <c r="N497" s="196"/>
      <c r="O497" s="196"/>
      <c r="P497" s="196"/>
      <c r="Q497" s="196"/>
      <c r="R497" s="196"/>
      <c r="S497" s="196"/>
      <c r="T497" s="196"/>
      <c r="U497" s="196"/>
      <c r="V497" s="196"/>
      <c r="W497" s="196"/>
      <c r="X497" s="196"/>
      <c r="Y497" s="196"/>
      <c r="Z497" s="196"/>
      <c r="AA497" s="196"/>
      <c r="AB497" s="196"/>
      <c r="AC497" s="196"/>
      <c r="AD497" s="196"/>
    </row>
    <row r="498" spans="1:30" ht="12.9">
      <c r="A498" s="196"/>
      <c r="B498" s="143"/>
      <c r="C498" s="196"/>
      <c r="D498" s="196"/>
      <c r="E498" s="196"/>
      <c r="F498" s="196"/>
      <c r="G498" s="24"/>
      <c r="H498" s="24"/>
      <c r="I498" s="196"/>
      <c r="J498" s="196"/>
      <c r="K498" s="196"/>
      <c r="L498" s="196"/>
      <c r="M498" s="196"/>
      <c r="N498" s="196"/>
      <c r="O498" s="196"/>
      <c r="P498" s="196"/>
      <c r="Q498" s="196"/>
      <c r="R498" s="196"/>
      <c r="S498" s="196"/>
      <c r="T498" s="196"/>
      <c r="U498" s="196"/>
      <c r="V498" s="196"/>
      <c r="W498" s="196"/>
      <c r="X498" s="196"/>
      <c r="Y498" s="196"/>
      <c r="Z498" s="196"/>
      <c r="AA498" s="196"/>
      <c r="AB498" s="196"/>
      <c r="AC498" s="196"/>
      <c r="AD498" s="196"/>
    </row>
    <row r="499" spans="1:30" ht="12.9">
      <c r="A499" s="196"/>
      <c r="B499" s="143"/>
      <c r="C499" s="196"/>
      <c r="D499" s="196"/>
      <c r="E499" s="196"/>
      <c r="F499" s="196"/>
      <c r="G499" s="24"/>
      <c r="H499" s="24"/>
      <c r="I499" s="196"/>
      <c r="J499" s="196"/>
      <c r="K499" s="196"/>
      <c r="L499" s="196"/>
      <c r="M499" s="196"/>
      <c r="N499" s="196"/>
      <c r="O499" s="196"/>
      <c r="P499" s="196"/>
      <c r="Q499" s="196"/>
      <c r="R499" s="196"/>
      <c r="S499" s="196"/>
      <c r="T499" s="196"/>
      <c r="U499" s="196"/>
      <c r="V499" s="196"/>
      <c r="W499" s="196"/>
      <c r="X499" s="196"/>
      <c r="Y499" s="196"/>
      <c r="Z499" s="196"/>
      <c r="AA499" s="196"/>
      <c r="AB499" s="196"/>
      <c r="AC499" s="196"/>
      <c r="AD499" s="196"/>
    </row>
    <row r="500" spans="1:30" ht="12.9">
      <c r="A500" s="196"/>
      <c r="B500" s="143"/>
      <c r="C500" s="196"/>
      <c r="D500" s="196"/>
      <c r="E500" s="196"/>
      <c r="F500" s="196"/>
      <c r="G500" s="24"/>
      <c r="H500" s="24"/>
      <c r="I500" s="196"/>
      <c r="J500" s="196"/>
      <c r="K500" s="196"/>
      <c r="L500" s="196"/>
      <c r="M500" s="196"/>
      <c r="N500" s="196"/>
      <c r="O500" s="196"/>
      <c r="P500" s="196"/>
      <c r="Q500" s="196"/>
      <c r="R500" s="196"/>
      <c r="S500" s="196"/>
      <c r="T500" s="196"/>
      <c r="U500" s="196"/>
      <c r="V500" s="196"/>
      <c r="W500" s="196"/>
      <c r="X500" s="196"/>
      <c r="Y500" s="196"/>
      <c r="Z500" s="196"/>
      <c r="AA500" s="196"/>
      <c r="AB500" s="196"/>
      <c r="AC500" s="196"/>
      <c r="AD500" s="196"/>
    </row>
    <row r="501" spans="1:30" ht="12.9">
      <c r="A501" s="196"/>
      <c r="B501" s="143"/>
      <c r="C501" s="196"/>
      <c r="D501" s="196"/>
      <c r="E501" s="196"/>
      <c r="F501" s="196"/>
      <c r="G501" s="24"/>
      <c r="H501" s="24"/>
      <c r="I501" s="196"/>
      <c r="J501" s="196"/>
      <c r="K501" s="196"/>
      <c r="L501" s="196"/>
      <c r="M501" s="196"/>
      <c r="N501" s="196"/>
      <c r="O501" s="196"/>
      <c r="P501" s="196"/>
      <c r="Q501" s="196"/>
      <c r="R501" s="196"/>
      <c r="S501" s="196"/>
      <c r="T501" s="196"/>
      <c r="U501" s="196"/>
      <c r="V501" s="196"/>
      <c r="W501" s="196"/>
      <c r="X501" s="196"/>
      <c r="Y501" s="196"/>
      <c r="Z501" s="196"/>
      <c r="AA501" s="196"/>
      <c r="AB501" s="196"/>
      <c r="AC501" s="196"/>
      <c r="AD501" s="196"/>
    </row>
    <row r="502" spans="1:30" ht="12.9">
      <c r="A502" s="196"/>
      <c r="B502" s="143"/>
      <c r="C502" s="196"/>
      <c r="D502" s="196"/>
      <c r="E502" s="196"/>
      <c r="F502" s="196"/>
      <c r="G502" s="24"/>
      <c r="H502" s="24"/>
      <c r="I502" s="196"/>
      <c r="J502" s="196"/>
      <c r="K502" s="196"/>
      <c r="L502" s="196"/>
      <c r="M502" s="196"/>
      <c r="N502" s="196"/>
      <c r="O502" s="196"/>
      <c r="P502" s="196"/>
      <c r="Q502" s="196"/>
      <c r="R502" s="196"/>
      <c r="S502" s="196"/>
      <c r="T502" s="196"/>
      <c r="U502" s="196"/>
      <c r="V502" s="196"/>
      <c r="W502" s="196"/>
      <c r="X502" s="196"/>
      <c r="Y502" s="196"/>
      <c r="Z502" s="196"/>
      <c r="AA502" s="196"/>
      <c r="AB502" s="196"/>
      <c r="AC502" s="196"/>
      <c r="AD502" s="196"/>
    </row>
    <row r="503" spans="1:30" ht="12.9">
      <c r="A503" s="196"/>
      <c r="B503" s="143"/>
      <c r="C503" s="196"/>
      <c r="D503" s="196"/>
      <c r="E503" s="196"/>
      <c r="F503" s="196"/>
      <c r="G503" s="24"/>
      <c r="H503" s="24"/>
      <c r="I503" s="196"/>
      <c r="J503" s="196"/>
      <c r="K503" s="196"/>
      <c r="L503" s="196"/>
      <c r="M503" s="196"/>
      <c r="N503" s="196"/>
      <c r="O503" s="196"/>
      <c r="P503" s="196"/>
      <c r="Q503" s="196"/>
      <c r="R503" s="196"/>
      <c r="S503" s="196"/>
      <c r="T503" s="196"/>
      <c r="U503" s="196"/>
      <c r="V503" s="196"/>
      <c r="W503" s="196"/>
      <c r="X503" s="196"/>
      <c r="Y503" s="196"/>
      <c r="Z503" s="196"/>
      <c r="AA503" s="196"/>
      <c r="AB503" s="196"/>
      <c r="AC503" s="196"/>
      <c r="AD503" s="196"/>
    </row>
    <row r="504" spans="1:30" ht="12.9">
      <c r="A504" s="196"/>
      <c r="B504" s="143"/>
      <c r="C504" s="196"/>
      <c r="D504" s="196"/>
      <c r="E504" s="196"/>
      <c r="F504" s="196"/>
      <c r="G504" s="24"/>
      <c r="H504" s="24"/>
      <c r="I504" s="196"/>
      <c r="J504" s="196"/>
      <c r="K504" s="196"/>
      <c r="L504" s="196"/>
      <c r="M504" s="196"/>
      <c r="N504" s="196"/>
      <c r="O504" s="196"/>
      <c r="P504" s="196"/>
      <c r="Q504" s="196"/>
      <c r="R504" s="196"/>
      <c r="S504" s="196"/>
      <c r="T504" s="196"/>
      <c r="U504" s="196"/>
      <c r="V504" s="196"/>
      <c r="W504" s="196"/>
      <c r="X504" s="196"/>
      <c r="Y504" s="196"/>
      <c r="Z504" s="196"/>
      <c r="AA504" s="196"/>
      <c r="AB504" s="196"/>
      <c r="AC504" s="196"/>
      <c r="AD504" s="196"/>
    </row>
    <row r="505" spans="1:30" ht="12.9">
      <c r="A505" s="196"/>
      <c r="B505" s="143"/>
      <c r="C505" s="196"/>
      <c r="D505" s="196"/>
      <c r="E505" s="196"/>
      <c r="F505" s="196"/>
      <c r="G505" s="24"/>
      <c r="H505" s="24"/>
      <c r="I505" s="196"/>
      <c r="J505" s="196"/>
      <c r="K505" s="196"/>
      <c r="L505" s="196"/>
      <c r="M505" s="196"/>
      <c r="N505" s="196"/>
      <c r="O505" s="196"/>
      <c r="P505" s="196"/>
      <c r="Q505" s="196"/>
      <c r="R505" s="196"/>
      <c r="S505" s="196"/>
      <c r="T505" s="196"/>
      <c r="U505" s="196"/>
      <c r="V505" s="196"/>
      <c r="W505" s="196"/>
      <c r="X505" s="196"/>
      <c r="Y505" s="196"/>
      <c r="Z505" s="196"/>
      <c r="AA505" s="196"/>
      <c r="AB505" s="196"/>
      <c r="AC505" s="196"/>
      <c r="AD505" s="196"/>
    </row>
    <row r="506" spans="1:30" ht="12.9">
      <c r="A506" s="196"/>
      <c r="B506" s="143"/>
      <c r="C506" s="196"/>
      <c r="D506" s="196"/>
      <c r="E506" s="196"/>
      <c r="F506" s="196"/>
      <c r="G506" s="24"/>
      <c r="H506" s="24"/>
      <c r="I506" s="196"/>
      <c r="J506" s="196"/>
      <c r="K506" s="196"/>
      <c r="L506" s="196"/>
      <c r="M506" s="196"/>
      <c r="N506" s="196"/>
      <c r="O506" s="196"/>
      <c r="P506" s="196"/>
      <c r="Q506" s="196"/>
      <c r="R506" s="196"/>
      <c r="S506" s="196"/>
      <c r="T506" s="196"/>
      <c r="U506" s="196"/>
      <c r="V506" s="196"/>
      <c r="W506" s="196"/>
      <c r="X506" s="196"/>
      <c r="Y506" s="196"/>
      <c r="Z506" s="196"/>
      <c r="AA506" s="196"/>
      <c r="AB506" s="196"/>
      <c r="AC506" s="196"/>
      <c r="AD506" s="196"/>
    </row>
    <row r="507" spans="1:30" ht="12.9">
      <c r="A507" s="196"/>
      <c r="B507" s="143"/>
      <c r="C507" s="196"/>
      <c r="D507" s="196"/>
      <c r="E507" s="196"/>
      <c r="F507" s="196"/>
      <c r="G507" s="24"/>
      <c r="H507" s="24"/>
      <c r="I507" s="196"/>
      <c r="J507" s="196"/>
      <c r="K507" s="196"/>
      <c r="L507" s="196"/>
      <c r="M507" s="196"/>
      <c r="N507" s="196"/>
      <c r="O507" s="196"/>
      <c r="P507" s="196"/>
      <c r="Q507" s="196"/>
      <c r="R507" s="196"/>
      <c r="S507" s="196"/>
      <c r="T507" s="196"/>
      <c r="U507" s="196"/>
      <c r="V507" s="196"/>
      <c r="W507" s="196"/>
      <c r="X507" s="196"/>
      <c r="Y507" s="196"/>
      <c r="Z507" s="196"/>
      <c r="AA507" s="196"/>
      <c r="AB507" s="196"/>
      <c r="AC507" s="196"/>
      <c r="AD507" s="196"/>
    </row>
    <row r="508" spans="1:30" ht="12.9">
      <c r="A508" s="196"/>
      <c r="B508" s="143"/>
      <c r="C508" s="196"/>
      <c r="D508" s="196"/>
      <c r="E508" s="196"/>
      <c r="F508" s="196"/>
      <c r="G508" s="24"/>
      <c r="H508" s="24"/>
      <c r="I508" s="196"/>
      <c r="J508" s="196"/>
      <c r="K508" s="196"/>
      <c r="L508" s="196"/>
      <c r="M508" s="196"/>
      <c r="N508" s="196"/>
      <c r="O508" s="196"/>
      <c r="P508" s="196"/>
      <c r="Q508" s="196"/>
      <c r="R508" s="196"/>
      <c r="S508" s="196"/>
      <c r="T508" s="196"/>
      <c r="U508" s="196"/>
      <c r="V508" s="196"/>
      <c r="W508" s="196"/>
      <c r="X508" s="196"/>
      <c r="Y508" s="196"/>
      <c r="Z508" s="196"/>
      <c r="AA508" s="196"/>
      <c r="AB508" s="196"/>
      <c r="AC508" s="196"/>
      <c r="AD508" s="196"/>
    </row>
    <row r="509" spans="1:30" ht="12.9">
      <c r="A509" s="196"/>
      <c r="B509" s="143"/>
      <c r="C509" s="196"/>
      <c r="D509" s="196"/>
      <c r="E509" s="196"/>
      <c r="F509" s="196"/>
      <c r="G509" s="24"/>
      <c r="H509" s="24"/>
      <c r="I509" s="196"/>
      <c r="J509" s="196"/>
      <c r="K509" s="196"/>
      <c r="L509" s="196"/>
      <c r="M509" s="196"/>
      <c r="N509" s="196"/>
      <c r="O509" s="196"/>
      <c r="P509" s="196"/>
      <c r="Q509" s="196"/>
      <c r="R509" s="196"/>
      <c r="S509" s="196"/>
      <c r="T509" s="196"/>
      <c r="U509" s="196"/>
      <c r="V509" s="196"/>
      <c r="W509" s="196"/>
      <c r="X509" s="196"/>
      <c r="Y509" s="196"/>
      <c r="Z509" s="196"/>
      <c r="AA509" s="196"/>
      <c r="AB509" s="196"/>
      <c r="AC509" s="196"/>
      <c r="AD509" s="196"/>
    </row>
    <row r="510" spans="1:30" ht="12.9">
      <c r="A510" s="196"/>
      <c r="B510" s="143"/>
      <c r="C510" s="196"/>
      <c r="D510" s="196"/>
      <c r="E510" s="196"/>
      <c r="F510" s="196"/>
      <c r="G510" s="24"/>
      <c r="H510" s="24"/>
      <c r="I510" s="196"/>
      <c r="J510" s="196"/>
      <c r="K510" s="196"/>
      <c r="L510" s="196"/>
      <c r="M510" s="196"/>
      <c r="N510" s="196"/>
      <c r="O510" s="196"/>
      <c r="P510" s="196"/>
      <c r="Q510" s="196"/>
      <c r="R510" s="196"/>
      <c r="S510" s="196"/>
      <c r="T510" s="196"/>
      <c r="U510" s="196"/>
      <c r="V510" s="196"/>
      <c r="W510" s="196"/>
      <c r="X510" s="196"/>
      <c r="Y510" s="196"/>
      <c r="Z510" s="196"/>
      <c r="AA510" s="196"/>
      <c r="AB510" s="196"/>
      <c r="AC510" s="196"/>
      <c r="AD510" s="196"/>
    </row>
    <row r="511" spans="1:30" ht="12.9">
      <c r="A511" s="196"/>
      <c r="B511" s="143"/>
      <c r="C511" s="196"/>
      <c r="D511" s="196"/>
      <c r="E511" s="196"/>
      <c r="F511" s="196"/>
      <c r="G511" s="24"/>
      <c r="H511" s="24"/>
      <c r="I511" s="196"/>
      <c r="J511" s="196"/>
      <c r="K511" s="196"/>
      <c r="L511" s="196"/>
      <c r="M511" s="196"/>
      <c r="N511" s="196"/>
      <c r="O511" s="196"/>
      <c r="P511" s="196"/>
      <c r="Q511" s="196"/>
      <c r="R511" s="196"/>
      <c r="S511" s="196"/>
      <c r="T511" s="196"/>
      <c r="U511" s="196"/>
      <c r="V511" s="196"/>
      <c r="W511" s="196"/>
      <c r="X511" s="196"/>
      <c r="Y511" s="196"/>
      <c r="Z511" s="196"/>
      <c r="AA511" s="196"/>
      <c r="AB511" s="196"/>
      <c r="AC511" s="196"/>
      <c r="AD511" s="196"/>
    </row>
    <row r="512" spans="1:30" ht="12.9">
      <c r="A512" s="196"/>
      <c r="B512" s="143"/>
      <c r="C512" s="196"/>
      <c r="D512" s="196"/>
      <c r="E512" s="196"/>
      <c r="F512" s="196"/>
      <c r="G512" s="24"/>
      <c r="H512" s="24"/>
      <c r="I512" s="196"/>
      <c r="J512" s="196"/>
      <c r="K512" s="196"/>
      <c r="L512" s="196"/>
      <c r="M512" s="196"/>
      <c r="N512" s="196"/>
      <c r="O512" s="196"/>
      <c r="P512" s="196"/>
      <c r="Q512" s="196"/>
      <c r="R512" s="196"/>
      <c r="S512" s="196"/>
      <c r="T512" s="196"/>
      <c r="U512" s="196"/>
      <c r="V512" s="196"/>
      <c r="W512" s="196"/>
      <c r="X512" s="196"/>
      <c r="Y512" s="196"/>
      <c r="Z512" s="196"/>
      <c r="AA512" s="196"/>
      <c r="AB512" s="196"/>
      <c r="AC512" s="196"/>
      <c r="AD512" s="196"/>
    </row>
    <row r="513" spans="1:30" ht="12.9">
      <c r="A513" s="196"/>
      <c r="B513" s="143"/>
      <c r="C513" s="196"/>
      <c r="D513" s="196"/>
      <c r="E513" s="196"/>
      <c r="F513" s="196"/>
      <c r="G513" s="24"/>
      <c r="H513" s="24"/>
      <c r="I513" s="196"/>
      <c r="J513" s="196"/>
      <c r="K513" s="196"/>
      <c r="L513" s="196"/>
      <c r="M513" s="196"/>
      <c r="N513" s="196"/>
      <c r="O513" s="196"/>
      <c r="P513" s="196"/>
      <c r="Q513" s="196"/>
      <c r="R513" s="196"/>
      <c r="S513" s="196"/>
      <c r="T513" s="196"/>
      <c r="U513" s="196"/>
      <c r="V513" s="196"/>
      <c r="W513" s="196"/>
      <c r="X513" s="196"/>
      <c r="Y513" s="196"/>
      <c r="Z513" s="196"/>
      <c r="AA513" s="196"/>
      <c r="AB513" s="196"/>
      <c r="AC513" s="196"/>
      <c r="AD513" s="196"/>
    </row>
    <row r="514" spans="1:30" ht="12.9">
      <c r="A514" s="196"/>
      <c r="B514" s="143"/>
      <c r="C514" s="196"/>
      <c r="D514" s="196"/>
      <c r="E514" s="196"/>
      <c r="F514" s="196"/>
      <c r="G514" s="24"/>
      <c r="H514" s="24"/>
      <c r="I514" s="196"/>
      <c r="J514" s="196"/>
      <c r="K514" s="196"/>
      <c r="L514" s="196"/>
      <c r="M514" s="196"/>
      <c r="N514" s="196"/>
      <c r="O514" s="196"/>
      <c r="P514" s="196"/>
      <c r="Q514" s="196"/>
      <c r="R514" s="196"/>
      <c r="S514" s="196"/>
      <c r="T514" s="196"/>
      <c r="U514" s="196"/>
      <c r="V514" s="196"/>
      <c r="W514" s="196"/>
      <c r="X514" s="196"/>
      <c r="Y514" s="196"/>
      <c r="Z514" s="196"/>
      <c r="AA514" s="196"/>
      <c r="AB514" s="196"/>
      <c r="AC514" s="196"/>
      <c r="AD514" s="196"/>
    </row>
    <row r="515" spans="1:30" ht="12.9">
      <c r="A515" s="196"/>
      <c r="B515" s="143"/>
      <c r="C515" s="196"/>
      <c r="D515" s="196"/>
      <c r="E515" s="196"/>
      <c r="F515" s="196"/>
      <c r="G515" s="24"/>
      <c r="H515" s="24"/>
      <c r="I515" s="196"/>
      <c r="J515" s="196"/>
      <c r="K515" s="196"/>
      <c r="L515" s="196"/>
      <c r="M515" s="196"/>
      <c r="N515" s="196"/>
      <c r="O515" s="196"/>
      <c r="P515" s="196"/>
      <c r="Q515" s="196"/>
      <c r="R515" s="196"/>
      <c r="S515" s="196"/>
      <c r="T515" s="196"/>
      <c r="U515" s="196"/>
      <c r="V515" s="196"/>
      <c r="W515" s="196"/>
      <c r="X515" s="196"/>
      <c r="Y515" s="196"/>
      <c r="Z515" s="196"/>
      <c r="AA515" s="196"/>
      <c r="AB515" s="196"/>
      <c r="AC515" s="196"/>
      <c r="AD515" s="196"/>
    </row>
    <row r="516" spans="1:30" ht="12.9">
      <c r="A516" s="196"/>
      <c r="B516" s="143"/>
      <c r="C516" s="196"/>
      <c r="D516" s="196"/>
      <c r="E516" s="196"/>
      <c r="F516" s="196"/>
      <c r="G516" s="24"/>
      <c r="H516" s="24"/>
      <c r="I516" s="196"/>
      <c r="J516" s="196"/>
      <c r="K516" s="196"/>
      <c r="L516" s="196"/>
      <c r="M516" s="196"/>
      <c r="N516" s="196"/>
      <c r="O516" s="196"/>
      <c r="P516" s="196"/>
      <c r="Q516" s="196"/>
      <c r="R516" s="196"/>
      <c r="S516" s="196"/>
      <c r="T516" s="196"/>
      <c r="U516" s="196"/>
      <c r="V516" s="196"/>
      <c r="W516" s="196"/>
      <c r="X516" s="196"/>
      <c r="Y516" s="196"/>
      <c r="Z516" s="196"/>
      <c r="AA516" s="196"/>
      <c r="AB516" s="196"/>
      <c r="AC516" s="196"/>
      <c r="AD516" s="196"/>
    </row>
    <row r="517" spans="1:30" ht="12.9">
      <c r="A517" s="196"/>
      <c r="B517" s="143"/>
      <c r="C517" s="196"/>
      <c r="D517" s="196"/>
      <c r="E517" s="196"/>
      <c r="F517" s="196"/>
      <c r="G517" s="24"/>
      <c r="H517" s="24"/>
      <c r="I517" s="196"/>
      <c r="J517" s="196"/>
      <c r="K517" s="196"/>
      <c r="L517" s="196"/>
      <c r="M517" s="196"/>
      <c r="N517" s="196"/>
      <c r="O517" s="196"/>
      <c r="P517" s="196"/>
      <c r="Q517" s="196"/>
      <c r="R517" s="196"/>
      <c r="S517" s="196"/>
      <c r="T517" s="196"/>
      <c r="U517" s="196"/>
      <c r="V517" s="196"/>
      <c r="W517" s="196"/>
      <c r="X517" s="196"/>
      <c r="Y517" s="196"/>
      <c r="Z517" s="196"/>
      <c r="AA517" s="196"/>
      <c r="AB517" s="196"/>
      <c r="AC517" s="196"/>
      <c r="AD517" s="196"/>
    </row>
    <row r="518" spans="1:30" ht="12.9">
      <c r="A518" s="196"/>
      <c r="B518" s="143"/>
      <c r="C518" s="196"/>
      <c r="D518" s="196"/>
      <c r="E518" s="196"/>
      <c r="F518" s="196"/>
      <c r="G518" s="24"/>
      <c r="H518" s="24"/>
      <c r="I518" s="196"/>
      <c r="J518" s="196"/>
      <c r="K518" s="196"/>
      <c r="L518" s="196"/>
      <c r="M518" s="196"/>
      <c r="N518" s="196"/>
      <c r="O518" s="196"/>
      <c r="P518" s="196"/>
      <c r="Q518" s="196"/>
      <c r="R518" s="196"/>
      <c r="S518" s="196"/>
      <c r="T518" s="196"/>
      <c r="U518" s="196"/>
      <c r="V518" s="196"/>
      <c r="W518" s="196"/>
      <c r="X518" s="196"/>
      <c r="Y518" s="196"/>
      <c r="Z518" s="196"/>
      <c r="AA518" s="196"/>
      <c r="AB518" s="196"/>
      <c r="AC518" s="196"/>
      <c r="AD518" s="196"/>
    </row>
    <row r="519" spans="1:30" ht="12.9">
      <c r="A519" s="196"/>
      <c r="B519" s="143"/>
      <c r="C519" s="196"/>
      <c r="D519" s="196"/>
      <c r="E519" s="196"/>
      <c r="F519" s="196"/>
      <c r="G519" s="24"/>
      <c r="H519" s="24"/>
      <c r="I519" s="196"/>
      <c r="J519" s="196"/>
      <c r="K519" s="196"/>
      <c r="L519" s="196"/>
      <c r="M519" s="196"/>
      <c r="N519" s="196"/>
      <c r="O519" s="196"/>
      <c r="P519" s="196"/>
      <c r="Q519" s="196"/>
      <c r="R519" s="196"/>
      <c r="S519" s="196"/>
      <c r="T519" s="196"/>
      <c r="U519" s="196"/>
      <c r="V519" s="196"/>
      <c r="W519" s="196"/>
      <c r="X519" s="196"/>
      <c r="Y519" s="196"/>
      <c r="Z519" s="196"/>
      <c r="AA519" s="196"/>
      <c r="AB519" s="196"/>
      <c r="AC519" s="196"/>
      <c r="AD519" s="196"/>
    </row>
    <row r="520" spans="1:30" ht="12.9">
      <c r="A520" s="196"/>
      <c r="B520" s="143"/>
      <c r="C520" s="196"/>
      <c r="D520" s="196"/>
      <c r="E520" s="196"/>
      <c r="F520" s="196"/>
      <c r="G520" s="24"/>
      <c r="H520" s="24"/>
      <c r="I520" s="196"/>
      <c r="J520" s="196"/>
      <c r="K520" s="196"/>
      <c r="L520" s="196"/>
      <c r="M520" s="196"/>
      <c r="N520" s="196"/>
      <c r="O520" s="196"/>
      <c r="P520" s="196"/>
      <c r="Q520" s="196"/>
      <c r="R520" s="196"/>
      <c r="S520" s="196"/>
      <c r="T520" s="196"/>
      <c r="U520" s="196"/>
      <c r="V520" s="196"/>
      <c r="W520" s="196"/>
      <c r="X520" s="196"/>
      <c r="Y520" s="196"/>
      <c r="Z520" s="196"/>
      <c r="AA520" s="196"/>
      <c r="AB520" s="196"/>
      <c r="AC520" s="196"/>
      <c r="AD520" s="196"/>
    </row>
    <row r="521" spans="1:30" ht="12.9">
      <c r="A521" s="196"/>
      <c r="B521" s="143"/>
      <c r="C521" s="196"/>
      <c r="D521" s="196"/>
      <c r="E521" s="196"/>
      <c r="F521" s="196"/>
      <c r="G521" s="24"/>
      <c r="H521" s="24"/>
      <c r="I521" s="196"/>
      <c r="J521" s="196"/>
      <c r="K521" s="196"/>
      <c r="L521" s="196"/>
      <c r="M521" s="196"/>
      <c r="N521" s="196"/>
      <c r="O521" s="196"/>
      <c r="P521" s="196"/>
      <c r="Q521" s="196"/>
      <c r="R521" s="196"/>
      <c r="S521" s="196"/>
      <c r="T521" s="196"/>
      <c r="U521" s="196"/>
      <c r="V521" s="196"/>
      <c r="W521" s="196"/>
      <c r="X521" s="196"/>
      <c r="Y521" s="196"/>
      <c r="Z521" s="196"/>
      <c r="AA521" s="196"/>
      <c r="AB521" s="196"/>
      <c r="AC521" s="196"/>
      <c r="AD521" s="196"/>
    </row>
    <row r="522" spans="1:30" ht="12.9">
      <c r="A522" s="196"/>
      <c r="B522" s="143"/>
      <c r="C522" s="196"/>
      <c r="D522" s="196"/>
      <c r="E522" s="196"/>
      <c r="F522" s="196"/>
      <c r="G522" s="24"/>
      <c r="H522" s="24"/>
      <c r="I522" s="196"/>
      <c r="J522" s="196"/>
      <c r="K522" s="196"/>
      <c r="L522" s="196"/>
      <c r="M522" s="196"/>
      <c r="N522" s="196"/>
      <c r="O522" s="196"/>
      <c r="P522" s="196"/>
      <c r="Q522" s="196"/>
      <c r="R522" s="196"/>
      <c r="S522" s="196"/>
      <c r="T522" s="196"/>
      <c r="U522" s="196"/>
      <c r="V522" s="196"/>
      <c r="W522" s="196"/>
      <c r="X522" s="196"/>
      <c r="Y522" s="196"/>
      <c r="Z522" s="196"/>
      <c r="AA522" s="196"/>
      <c r="AB522" s="196"/>
      <c r="AC522" s="196"/>
      <c r="AD522" s="196"/>
    </row>
    <row r="523" spans="1:30" ht="12.9">
      <c r="A523" s="196"/>
      <c r="B523" s="143"/>
      <c r="C523" s="196"/>
      <c r="D523" s="196"/>
      <c r="E523" s="196"/>
      <c r="F523" s="196"/>
      <c r="G523" s="24"/>
      <c r="H523" s="24"/>
      <c r="I523" s="196"/>
      <c r="J523" s="196"/>
      <c r="K523" s="196"/>
      <c r="L523" s="196"/>
      <c r="M523" s="196"/>
      <c r="N523" s="196"/>
      <c r="O523" s="196"/>
      <c r="P523" s="196"/>
      <c r="Q523" s="196"/>
      <c r="R523" s="196"/>
      <c r="S523" s="196"/>
      <c r="T523" s="196"/>
      <c r="U523" s="196"/>
      <c r="V523" s="196"/>
      <c r="W523" s="196"/>
      <c r="X523" s="196"/>
      <c r="Y523" s="196"/>
      <c r="Z523" s="196"/>
      <c r="AA523" s="196"/>
      <c r="AB523" s="196"/>
      <c r="AC523" s="196"/>
      <c r="AD523" s="196"/>
    </row>
    <row r="524" spans="1:30" ht="12.9">
      <c r="A524" s="196"/>
      <c r="B524" s="143"/>
      <c r="C524" s="196"/>
      <c r="D524" s="196"/>
      <c r="E524" s="196"/>
      <c r="F524" s="196"/>
      <c r="G524" s="24"/>
      <c r="H524" s="24"/>
      <c r="I524" s="196"/>
      <c r="J524" s="196"/>
      <c r="K524" s="196"/>
      <c r="L524" s="196"/>
      <c r="M524" s="196"/>
      <c r="N524" s="196"/>
      <c r="O524" s="196"/>
      <c r="P524" s="196"/>
      <c r="Q524" s="196"/>
      <c r="R524" s="196"/>
      <c r="S524" s="196"/>
      <c r="T524" s="196"/>
      <c r="U524" s="196"/>
      <c r="V524" s="196"/>
      <c r="W524" s="196"/>
      <c r="X524" s="196"/>
      <c r="Y524" s="196"/>
      <c r="Z524" s="196"/>
      <c r="AA524" s="196"/>
      <c r="AB524" s="196"/>
      <c r="AC524" s="196"/>
      <c r="AD524" s="196"/>
    </row>
    <row r="525" spans="1:30" ht="12.9">
      <c r="A525" s="196"/>
      <c r="B525" s="143"/>
      <c r="C525" s="196"/>
      <c r="D525" s="196"/>
      <c r="E525" s="196"/>
      <c r="F525" s="196"/>
      <c r="G525" s="24"/>
      <c r="H525" s="24"/>
      <c r="I525" s="196"/>
      <c r="J525" s="196"/>
      <c r="K525" s="196"/>
      <c r="L525" s="196"/>
      <c r="M525" s="196"/>
      <c r="N525" s="196"/>
      <c r="O525" s="196"/>
      <c r="P525" s="196"/>
      <c r="Q525" s="196"/>
      <c r="R525" s="196"/>
      <c r="S525" s="196"/>
      <c r="T525" s="196"/>
      <c r="U525" s="196"/>
      <c r="V525" s="196"/>
      <c r="W525" s="196"/>
      <c r="X525" s="196"/>
      <c r="Y525" s="196"/>
      <c r="Z525" s="196"/>
      <c r="AA525" s="196"/>
      <c r="AB525" s="196"/>
      <c r="AC525" s="196"/>
      <c r="AD525" s="196"/>
    </row>
    <row r="526" spans="1:30" ht="12.9">
      <c r="A526" s="196"/>
      <c r="B526" s="143"/>
      <c r="C526" s="196"/>
      <c r="D526" s="196"/>
      <c r="E526" s="196"/>
      <c r="F526" s="196"/>
      <c r="G526" s="24"/>
      <c r="H526" s="24"/>
      <c r="I526" s="196"/>
      <c r="J526" s="196"/>
      <c r="K526" s="196"/>
      <c r="L526" s="196"/>
      <c r="M526" s="196"/>
      <c r="N526" s="196"/>
      <c r="O526" s="196"/>
      <c r="P526" s="196"/>
      <c r="Q526" s="196"/>
      <c r="R526" s="196"/>
      <c r="S526" s="196"/>
      <c r="T526" s="196"/>
      <c r="U526" s="196"/>
      <c r="V526" s="196"/>
      <c r="W526" s="196"/>
      <c r="X526" s="196"/>
      <c r="Y526" s="196"/>
      <c r="Z526" s="196"/>
      <c r="AA526" s="196"/>
      <c r="AB526" s="196"/>
      <c r="AC526" s="196"/>
      <c r="AD526" s="196"/>
    </row>
    <row r="527" spans="1:30" ht="12.9">
      <c r="A527" s="196"/>
      <c r="B527" s="143"/>
      <c r="C527" s="196"/>
      <c r="D527" s="196"/>
      <c r="E527" s="196"/>
      <c r="F527" s="196"/>
      <c r="G527" s="24"/>
      <c r="H527" s="24"/>
      <c r="I527" s="196"/>
      <c r="J527" s="196"/>
      <c r="K527" s="196"/>
      <c r="L527" s="196"/>
      <c r="M527" s="196"/>
      <c r="N527" s="196"/>
      <c r="O527" s="196"/>
      <c r="P527" s="196"/>
      <c r="Q527" s="196"/>
      <c r="R527" s="196"/>
      <c r="S527" s="196"/>
      <c r="T527" s="196"/>
      <c r="U527" s="196"/>
      <c r="V527" s="196"/>
      <c r="W527" s="196"/>
      <c r="X527" s="196"/>
      <c r="Y527" s="196"/>
      <c r="Z527" s="196"/>
      <c r="AA527" s="196"/>
      <c r="AB527" s="196"/>
      <c r="AC527" s="196"/>
      <c r="AD527" s="196"/>
    </row>
    <row r="528" spans="1:30" ht="12.9">
      <c r="A528" s="196"/>
      <c r="B528" s="143"/>
      <c r="C528" s="196"/>
      <c r="D528" s="196"/>
      <c r="E528" s="196"/>
      <c r="F528" s="196"/>
      <c r="G528" s="24"/>
      <c r="H528" s="24"/>
      <c r="I528" s="196"/>
      <c r="J528" s="196"/>
      <c r="K528" s="196"/>
      <c r="L528" s="196"/>
      <c r="M528" s="196"/>
      <c r="N528" s="196"/>
      <c r="O528" s="196"/>
      <c r="P528" s="196"/>
      <c r="Q528" s="196"/>
      <c r="R528" s="196"/>
      <c r="S528" s="196"/>
      <c r="T528" s="196"/>
      <c r="U528" s="196"/>
      <c r="V528" s="196"/>
      <c r="W528" s="196"/>
      <c r="X528" s="196"/>
      <c r="Y528" s="196"/>
      <c r="Z528" s="196"/>
      <c r="AA528" s="196"/>
      <c r="AB528" s="196"/>
      <c r="AC528" s="196"/>
      <c r="AD528" s="196"/>
    </row>
    <row r="529" spans="1:30" ht="12.9">
      <c r="A529" s="196"/>
      <c r="B529" s="143"/>
      <c r="C529" s="196"/>
      <c r="D529" s="196"/>
      <c r="E529" s="196"/>
      <c r="F529" s="196"/>
      <c r="G529" s="24"/>
      <c r="H529" s="24"/>
      <c r="I529" s="196"/>
      <c r="J529" s="196"/>
      <c r="K529" s="196"/>
      <c r="L529" s="196"/>
      <c r="M529" s="196"/>
      <c r="N529" s="196"/>
      <c r="O529" s="196"/>
      <c r="P529" s="196"/>
      <c r="Q529" s="196"/>
      <c r="R529" s="196"/>
      <c r="S529" s="196"/>
      <c r="T529" s="196"/>
      <c r="U529" s="196"/>
      <c r="V529" s="196"/>
      <c r="W529" s="196"/>
      <c r="X529" s="196"/>
      <c r="Y529" s="196"/>
      <c r="Z529" s="196"/>
      <c r="AA529" s="196"/>
      <c r="AB529" s="196"/>
      <c r="AC529" s="196"/>
      <c r="AD529" s="196"/>
    </row>
    <row r="530" spans="1:30" ht="12.9">
      <c r="A530" s="196"/>
      <c r="B530" s="143"/>
      <c r="C530" s="196"/>
      <c r="D530" s="196"/>
      <c r="E530" s="196"/>
      <c r="F530" s="196"/>
      <c r="G530" s="24"/>
      <c r="H530" s="24"/>
      <c r="I530" s="196"/>
      <c r="J530" s="196"/>
      <c r="K530" s="196"/>
      <c r="L530" s="196"/>
      <c r="M530" s="196"/>
      <c r="N530" s="196"/>
      <c r="O530" s="196"/>
      <c r="P530" s="196"/>
      <c r="Q530" s="196"/>
      <c r="R530" s="196"/>
      <c r="S530" s="196"/>
      <c r="T530" s="196"/>
      <c r="U530" s="196"/>
      <c r="V530" s="196"/>
      <c r="W530" s="196"/>
      <c r="X530" s="196"/>
      <c r="Y530" s="196"/>
      <c r="Z530" s="196"/>
      <c r="AA530" s="196"/>
      <c r="AB530" s="196"/>
      <c r="AC530" s="196"/>
      <c r="AD530" s="196"/>
    </row>
    <row r="531" spans="1:30" ht="12.9">
      <c r="A531" s="196"/>
      <c r="B531" s="143"/>
      <c r="C531" s="196"/>
      <c r="D531" s="196"/>
      <c r="E531" s="196"/>
      <c r="F531" s="196"/>
      <c r="G531" s="24"/>
      <c r="H531" s="24"/>
      <c r="I531" s="196"/>
      <c r="J531" s="196"/>
      <c r="K531" s="196"/>
      <c r="L531" s="196"/>
      <c r="M531" s="196"/>
      <c r="N531" s="196"/>
      <c r="O531" s="196"/>
      <c r="P531" s="196"/>
      <c r="Q531" s="196"/>
      <c r="R531" s="196"/>
      <c r="S531" s="196"/>
      <c r="T531" s="196"/>
      <c r="U531" s="196"/>
      <c r="V531" s="196"/>
      <c r="W531" s="196"/>
      <c r="X531" s="196"/>
      <c r="Y531" s="196"/>
      <c r="Z531" s="196"/>
      <c r="AA531" s="196"/>
      <c r="AB531" s="196"/>
      <c r="AC531" s="196"/>
      <c r="AD531" s="196"/>
    </row>
    <row r="532" spans="1:30" ht="12.9">
      <c r="A532" s="196"/>
      <c r="B532" s="143"/>
      <c r="C532" s="196"/>
      <c r="D532" s="196"/>
      <c r="E532" s="196"/>
      <c r="F532" s="196"/>
      <c r="G532" s="24"/>
      <c r="H532" s="24"/>
      <c r="I532" s="196"/>
      <c r="J532" s="196"/>
      <c r="K532" s="196"/>
      <c r="L532" s="196"/>
      <c r="M532" s="196"/>
      <c r="N532" s="196"/>
      <c r="O532" s="196"/>
      <c r="P532" s="196"/>
      <c r="Q532" s="196"/>
      <c r="R532" s="196"/>
      <c r="S532" s="196"/>
      <c r="T532" s="196"/>
      <c r="U532" s="196"/>
      <c r="V532" s="196"/>
      <c r="W532" s="196"/>
      <c r="X532" s="196"/>
      <c r="Y532" s="196"/>
      <c r="Z532" s="196"/>
      <c r="AA532" s="196"/>
      <c r="AB532" s="196"/>
      <c r="AC532" s="196"/>
      <c r="AD532" s="196"/>
    </row>
    <row r="533" spans="1:30" ht="12.9">
      <c r="A533" s="196"/>
      <c r="B533" s="143"/>
      <c r="C533" s="196"/>
      <c r="D533" s="196"/>
      <c r="E533" s="196"/>
      <c r="F533" s="196"/>
      <c r="G533" s="24"/>
      <c r="H533" s="24"/>
      <c r="I533" s="196"/>
      <c r="J533" s="196"/>
      <c r="K533" s="196"/>
      <c r="L533" s="196"/>
      <c r="M533" s="196"/>
      <c r="N533" s="196"/>
      <c r="O533" s="196"/>
      <c r="P533" s="196"/>
      <c r="Q533" s="196"/>
      <c r="R533" s="196"/>
      <c r="S533" s="196"/>
      <c r="T533" s="196"/>
      <c r="U533" s="196"/>
      <c r="V533" s="196"/>
      <c r="W533" s="196"/>
      <c r="X533" s="196"/>
      <c r="Y533" s="196"/>
      <c r="Z533" s="196"/>
      <c r="AA533" s="196"/>
      <c r="AB533" s="196"/>
      <c r="AC533" s="196"/>
      <c r="AD533" s="196"/>
    </row>
    <row r="534" spans="1:30" ht="12.9">
      <c r="A534" s="196"/>
      <c r="B534" s="143"/>
      <c r="C534" s="196"/>
      <c r="D534" s="196"/>
      <c r="E534" s="196"/>
      <c r="F534" s="196"/>
      <c r="G534" s="24"/>
      <c r="H534" s="24"/>
      <c r="I534" s="196"/>
      <c r="J534" s="196"/>
      <c r="K534" s="196"/>
      <c r="L534" s="196"/>
      <c r="M534" s="196"/>
      <c r="N534" s="196"/>
      <c r="O534" s="196"/>
      <c r="P534" s="196"/>
      <c r="Q534" s="196"/>
      <c r="R534" s="196"/>
      <c r="S534" s="196"/>
      <c r="T534" s="196"/>
      <c r="U534" s="196"/>
      <c r="V534" s="196"/>
      <c r="W534" s="196"/>
      <c r="X534" s="196"/>
      <c r="Y534" s="196"/>
      <c r="Z534" s="196"/>
      <c r="AA534" s="196"/>
      <c r="AB534" s="196"/>
      <c r="AC534" s="196"/>
      <c r="AD534" s="196"/>
    </row>
    <row r="535" spans="1:30" ht="12.9">
      <c r="A535" s="196"/>
      <c r="B535" s="143"/>
      <c r="C535" s="196"/>
      <c r="D535" s="196"/>
      <c r="E535" s="196"/>
      <c r="F535" s="196"/>
      <c r="G535" s="24"/>
      <c r="H535" s="24"/>
      <c r="I535" s="196"/>
      <c r="J535" s="196"/>
      <c r="K535" s="196"/>
      <c r="L535" s="196"/>
      <c r="M535" s="196"/>
      <c r="N535" s="196"/>
      <c r="O535" s="196"/>
      <c r="P535" s="196"/>
      <c r="Q535" s="196"/>
      <c r="R535" s="196"/>
      <c r="S535" s="196"/>
      <c r="T535" s="196"/>
      <c r="U535" s="196"/>
      <c r="V535" s="196"/>
      <c r="W535" s="196"/>
      <c r="X535" s="196"/>
      <c r="Y535" s="196"/>
      <c r="Z535" s="196"/>
      <c r="AA535" s="196"/>
      <c r="AB535" s="196"/>
      <c r="AC535" s="196"/>
      <c r="AD535" s="196"/>
    </row>
    <row r="536" spans="1:30" ht="12.9">
      <c r="A536" s="196"/>
      <c r="B536" s="143"/>
      <c r="C536" s="196"/>
      <c r="D536" s="196"/>
      <c r="E536" s="196"/>
      <c r="F536" s="196"/>
      <c r="G536" s="24"/>
      <c r="H536" s="24"/>
      <c r="I536" s="196"/>
      <c r="J536" s="196"/>
      <c r="K536" s="196"/>
      <c r="L536" s="196"/>
      <c r="M536" s="196"/>
      <c r="N536" s="196"/>
      <c r="O536" s="196"/>
      <c r="P536" s="196"/>
      <c r="Q536" s="196"/>
      <c r="R536" s="196"/>
      <c r="S536" s="196"/>
      <c r="T536" s="196"/>
      <c r="U536" s="196"/>
      <c r="V536" s="196"/>
      <c r="W536" s="196"/>
      <c r="X536" s="196"/>
      <c r="Y536" s="196"/>
      <c r="Z536" s="196"/>
      <c r="AA536" s="196"/>
      <c r="AB536" s="196"/>
      <c r="AC536" s="196"/>
      <c r="AD536" s="196"/>
    </row>
    <row r="537" spans="1:30" ht="12.9">
      <c r="A537" s="196"/>
      <c r="B537" s="143"/>
      <c r="C537" s="196"/>
      <c r="D537" s="196"/>
      <c r="E537" s="196"/>
      <c r="F537" s="196"/>
      <c r="G537" s="24"/>
      <c r="H537" s="24"/>
      <c r="I537" s="196"/>
      <c r="J537" s="196"/>
      <c r="K537" s="196"/>
      <c r="L537" s="196"/>
      <c r="M537" s="196"/>
      <c r="N537" s="196"/>
      <c r="O537" s="196"/>
      <c r="P537" s="196"/>
      <c r="Q537" s="196"/>
      <c r="R537" s="196"/>
      <c r="S537" s="196"/>
      <c r="T537" s="196"/>
      <c r="U537" s="196"/>
      <c r="V537" s="196"/>
      <c r="W537" s="196"/>
      <c r="X537" s="196"/>
      <c r="Y537" s="196"/>
      <c r="Z537" s="196"/>
      <c r="AA537" s="196"/>
      <c r="AB537" s="196"/>
      <c r="AC537" s="196"/>
      <c r="AD537" s="196"/>
    </row>
    <row r="538" spans="1:30" ht="12.9">
      <c r="A538" s="196"/>
      <c r="B538" s="143"/>
      <c r="C538" s="196"/>
      <c r="D538" s="196"/>
      <c r="E538" s="196"/>
      <c r="F538" s="196"/>
      <c r="G538" s="24"/>
      <c r="H538" s="24"/>
      <c r="I538" s="196"/>
      <c r="J538" s="196"/>
      <c r="K538" s="196"/>
      <c r="L538" s="196"/>
      <c r="M538" s="196"/>
      <c r="N538" s="196"/>
      <c r="O538" s="196"/>
      <c r="P538" s="196"/>
      <c r="Q538" s="196"/>
      <c r="R538" s="196"/>
      <c r="S538" s="196"/>
      <c r="T538" s="196"/>
      <c r="U538" s="196"/>
      <c r="V538" s="196"/>
      <c r="W538" s="196"/>
      <c r="X538" s="196"/>
      <c r="Y538" s="196"/>
      <c r="Z538" s="196"/>
      <c r="AA538" s="196"/>
      <c r="AB538" s="196"/>
      <c r="AC538" s="196"/>
      <c r="AD538" s="196"/>
    </row>
    <row r="539" spans="1:30" ht="12.9">
      <c r="A539" s="196"/>
      <c r="B539" s="143"/>
      <c r="C539" s="196"/>
      <c r="D539" s="196"/>
      <c r="E539" s="196"/>
      <c r="F539" s="196"/>
      <c r="G539" s="24"/>
      <c r="H539" s="24"/>
      <c r="I539" s="196"/>
      <c r="J539" s="196"/>
      <c r="K539" s="196"/>
      <c r="L539" s="196"/>
      <c r="M539" s="196"/>
      <c r="N539" s="196"/>
      <c r="O539" s="196"/>
      <c r="P539" s="196"/>
      <c r="Q539" s="196"/>
      <c r="R539" s="196"/>
      <c r="S539" s="196"/>
      <c r="T539" s="196"/>
      <c r="U539" s="196"/>
      <c r="V539" s="196"/>
      <c r="W539" s="196"/>
      <c r="X539" s="196"/>
      <c r="Y539" s="196"/>
      <c r="Z539" s="196"/>
      <c r="AA539" s="196"/>
      <c r="AB539" s="196"/>
      <c r="AC539" s="196"/>
      <c r="AD539" s="196"/>
    </row>
    <row r="540" spans="1:30" ht="12.9">
      <c r="A540" s="196"/>
      <c r="B540" s="143"/>
      <c r="C540" s="196"/>
      <c r="D540" s="196"/>
      <c r="E540" s="196"/>
      <c r="F540" s="196"/>
      <c r="G540" s="24"/>
      <c r="H540" s="24"/>
      <c r="I540" s="196"/>
      <c r="J540" s="196"/>
      <c r="K540" s="196"/>
      <c r="L540" s="196"/>
      <c r="M540" s="196"/>
      <c r="N540" s="196"/>
      <c r="O540" s="196"/>
      <c r="P540" s="196"/>
      <c r="Q540" s="196"/>
      <c r="R540" s="196"/>
      <c r="S540" s="196"/>
      <c r="T540" s="196"/>
      <c r="U540" s="196"/>
      <c r="V540" s="196"/>
      <c r="W540" s="196"/>
      <c r="X540" s="196"/>
      <c r="Y540" s="196"/>
      <c r="Z540" s="196"/>
      <c r="AA540" s="196"/>
      <c r="AB540" s="196"/>
      <c r="AC540" s="196"/>
      <c r="AD540" s="196"/>
    </row>
    <row r="541" spans="1:30" ht="12.9">
      <c r="A541" s="196"/>
      <c r="B541" s="143"/>
      <c r="C541" s="196"/>
      <c r="D541" s="196"/>
      <c r="E541" s="196"/>
      <c r="F541" s="196"/>
      <c r="G541" s="24"/>
      <c r="H541" s="24"/>
      <c r="I541" s="196"/>
      <c r="J541" s="196"/>
      <c r="K541" s="196"/>
      <c r="L541" s="196"/>
      <c r="M541" s="196"/>
      <c r="N541" s="196"/>
      <c r="O541" s="196"/>
      <c r="P541" s="196"/>
      <c r="Q541" s="196"/>
      <c r="R541" s="196"/>
      <c r="S541" s="196"/>
      <c r="T541" s="196"/>
      <c r="U541" s="196"/>
      <c r="V541" s="196"/>
      <c r="W541" s="196"/>
      <c r="X541" s="196"/>
      <c r="Y541" s="196"/>
      <c r="Z541" s="196"/>
      <c r="AA541" s="196"/>
      <c r="AB541" s="196"/>
      <c r="AC541" s="196"/>
      <c r="AD541" s="196"/>
    </row>
    <row r="542" spans="1:30" ht="12.9">
      <c r="A542" s="196"/>
      <c r="B542" s="143"/>
      <c r="C542" s="196"/>
      <c r="D542" s="196"/>
      <c r="E542" s="196"/>
      <c r="F542" s="196"/>
      <c r="G542" s="24"/>
      <c r="H542" s="24"/>
      <c r="I542" s="196"/>
      <c r="J542" s="196"/>
      <c r="K542" s="196"/>
      <c r="L542" s="196"/>
      <c r="M542" s="196"/>
      <c r="N542" s="196"/>
      <c r="O542" s="196"/>
      <c r="P542" s="196"/>
      <c r="Q542" s="196"/>
      <c r="R542" s="196"/>
      <c r="S542" s="196"/>
      <c r="T542" s="196"/>
      <c r="U542" s="196"/>
      <c r="V542" s="196"/>
      <c r="W542" s="196"/>
      <c r="X542" s="196"/>
      <c r="Y542" s="196"/>
      <c r="Z542" s="196"/>
      <c r="AA542" s="196"/>
      <c r="AB542" s="196"/>
      <c r="AC542" s="196"/>
      <c r="AD542" s="196"/>
    </row>
    <row r="543" spans="1:30" ht="12.9">
      <c r="A543" s="196"/>
      <c r="B543" s="143"/>
      <c r="C543" s="196"/>
      <c r="D543" s="196"/>
      <c r="E543" s="196"/>
      <c r="F543" s="196"/>
      <c r="G543" s="24"/>
      <c r="H543" s="24"/>
      <c r="I543" s="196"/>
      <c r="J543" s="196"/>
      <c r="K543" s="196"/>
      <c r="L543" s="196"/>
      <c r="M543" s="196"/>
      <c r="N543" s="196"/>
      <c r="O543" s="196"/>
      <c r="P543" s="196"/>
      <c r="Q543" s="196"/>
      <c r="R543" s="196"/>
      <c r="S543" s="196"/>
      <c r="T543" s="196"/>
      <c r="U543" s="196"/>
      <c r="V543" s="196"/>
      <c r="W543" s="196"/>
      <c r="X543" s="196"/>
      <c r="Y543" s="196"/>
      <c r="Z543" s="196"/>
      <c r="AA543" s="196"/>
      <c r="AB543" s="196"/>
      <c r="AC543" s="196"/>
      <c r="AD543" s="196"/>
    </row>
    <row r="544" spans="1:30" ht="12.9">
      <c r="A544" s="196"/>
      <c r="B544" s="143"/>
      <c r="C544" s="196"/>
      <c r="D544" s="196"/>
      <c r="E544" s="196"/>
      <c r="F544" s="196"/>
      <c r="G544" s="24"/>
      <c r="H544" s="24"/>
      <c r="I544" s="196"/>
      <c r="J544" s="196"/>
      <c r="K544" s="196"/>
      <c r="L544" s="196"/>
      <c r="M544" s="196"/>
      <c r="N544" s="196"/>
      <c r="O544" s="196"/>
      <c r="P544" s="196"/>
      <c r="Q544" s="196"/>
      <c r="R544" s="196"/>
      <c r="S544" s="196"/>
      <c r="T544" s="196"/>
      <c r="U544" s="196"/>
      <c r="V544" s="196"/>
      <c r="W544" s="196"/>
      <c r="X544" s="196"/>
      <c r="Y544" s="196"/>
      <c r="Z544" s="196"/>
      <c r="AA544" s="196"/>
      <c r="AB544" s="196"/>
      <c r="AC544" s="196"/>
      <c r="AD544" s="196"/>
    </row>
    <row r="545" spans="1:30" ht="12.9">
      <c r="A545" s="196"/>
      <c r="B545" s="143"/>
      <c r="C545" s="196"/>
      <c r="D545" s="196"/>
      <c r="E545" s="196"/>
      <c r="F545" s="196"/>
      <c r="G545" s="24"/>
      <c r="H545" s="24"/>
      <c r="I545" s="196"/>
      <c r="J545" s="196"/>
      <c r="K545" s="196"/>
      <c r="L545" s="196"/>
      <c r="M545" s="196"/>
      <c r="N545" s="196"/>
      <c r="O545" s="196"/>
      <c r="P545" s="196"/>
      <c r="Q545" s="196"/>
      <c r="R545" s="196"/>
      <c r="S545" s="196"/>
      <c r="T545" s="196"/>
      <c r="U545" s="196"/>
      <c r="V545" s="196"/>
      <c r="W545" s="196"/>
      <c r="X545" s="196"/>
      <c r="Y545" s="196"/>
      <c r="Z545" s="196"/>
      <c r="AA545" s="196"/>
      <c r="AB545" s="196"/>
      <c r="AC545" s="196"/>
      <c r="AD545" s="196"/>
    </row>
    <row r="546" spans="1:30" ht="12.9">
      <c r="A546" s="196"/>
      <c r="B546" s="143"/>
      <c r="C546" s="196"/>
      <c r="D546" s="196"/>
      <c r="E546" s="196"/>
      <c r="F546" s="196"/>
      <c r="G546" s="24"/>
      <c r="H546" s="24"/>
      <c r="I546" s="196"/>
      <c r="J546" s="196"/>
      <c r="K546" s="196"/>
      <c r="L546" s="196"/>
      <c r="M546" s="196"/>
      <c r="N546" s="196"/>
      <c r="O546" s="196"/>
      <c r="P546" s="196"/>
      <c r="Q546" s="196"/>
      <c r="R546" s="196"/>
      <c r="S546" s="196"/>
      <c r="T546" s="196"/>
      <c r="U546" s="196"/>
      <c r="V546" s="196"/>
      <c r="W546" s="196"/>
      <c r="X546" s="196"/>
      <c r="Y546" s="196"/>
      <c r="Z546" s="196"/>
      <c r="AA546" s="196"/>
      <c r="AB546" s="196"/>
      <c r="AC546" s="196"/>
      <c r="AD546" s="196"/>
    </row>
    <row r="547" spans="1:30" ht="12.9">
      <c r="A547" s="196"/>
      <c r="B547" s="143"/>
      <c r="C547" s="196"/>
      <c r="D547" s="196"/>
      <c r="E547" s="196"/>
      <c r="F547" s="196"/>
      <c r="G547" s="24"/>
      <c r="H547" s="24"/>
      <c r="I547" s="196"/>
      <c r="J547" s="196"/>
      <c r="K547" s="196"/>
      <c r="L547" s="196"/>
      <c r="M547" s="196"/>
      <c r="N547" s="196"/>
      <c r="O547" s="196"/>
      <c r="P547" s="196"/>
      <c r="Q547" s="196"/>
      <c r="R547" s="196"/>
      <c r="S547" s="196"/>
      <c r="T547" s="196"/>
      <c r="U547" s="196"/>
      <c r="V547" s="196"/>
      <c r="W547" s="196"/>
      <c r="X547" s="196"/>
      <c r="Y547" s="196"/>
      <c r="Z547" s="196"/>
      <c r="AA547" s="196"/>
      <c r="AB547" s="196"/>
      <c r="AC547" s="196"/>
      <c r="AD547" s="196"/>
    </row>
    <row r="548" spans="1:30" ht="12.9">
      <c r="A548" s="196"/>
      <c r="B548" s="143"/>
      <c r="C548" s="196"/>
      <c r="D548" s="196"/>
      <c r="E548" s="196"/>
      <c r="F548" s="196"/>
      <c r="G548" s="24"/>
      <c r="H548" s="24"/>
      <c r="I548" s="196"/>
      <c r="J548" s="196"/>
      <c r="K548" s="196"/>
      <c r="L548" s="196"/>
      <c r="M548" s="196"/>
      <c r="N548" s="196"/>
      <c r="O548" s="196"/>
      <c r="P548" s="196"/>
      <c r="Q548" s="196"/>
      <c r="R548" s="196"/>
      <c r="S548" s="196"/>
      <c r="T548" s="196"/>
      <c r="U548" s="196"/>
      <c r="V548" s="196"/>
      <c r="W548" s="196"/>
      <c r="X548" s="196"/>
      <c r="Y548" s="196"/>
      <c r="Z548" s="196"/>
      <c r="AA548" s="196"/>
      <c r="AB548" s="196"/>
      <c r="AC548" s="196"/>
      <c r="AD548" s="196"/>
    </row>
    <row r="549" spans="1:30" ht="12.9">
      <c r="A549" s="196"/>
      <c r="B549" s="143"/>
      <c r="C549" s="196"/>
      <c r="D549" s="196"/>
      <c r="E549" s="196"/>
      <c r="F549" s="196"/>
      <c r="G549" s="24"/>
      <c r="H549" s="24"/>
      <c r="I549" s="196"/>
      <c r="J549" s="196"/>
      <c r="K549" s="196"/>
      <c r="L549" s="196"/>
      <c r="M549" s="196"/>
      <c r="N549" s="196"/>
      <c r="O549" s="196"/>
      <c r="P549" s="196"/>
      <c r="Q549" s="196"/>
      <c r="R549" s="196"/>
      <c r="S549" s="196"/>
      <c r="T549" s="196"/>
      <c r="U549" s="196"/>
      <c r="V549" s="196"/>
      <c r="W549" s="196"/>
      <c r="X549" s="196"/>
      <c r="Y549" s="196"/>
      <c r="Z549" s="196"/>
      <c r="AA549" s="196"/>
      <c r="AB549" s="196"/>
      <c r="AC549" s="196"/>
      <c r="AD549" s="196"/>
    </row>
    <row r="550" spans="1:30" ht="12.9">
      <c r="A550" s="196"/>
      <c r="B550" s="143"/>
      <c r="C550" s="196"/>
      <c r="D550" s="196"/>
      <c r="E550" s="196"/>
      <c r="F550" s="196"/>
      <c r="G550" s="24"/>
      <c r="H550" s="24"/>
      <c r="I550" s="196"/>
      <c r="J550" s="196"/>
      <c r="K550" s="196"/>
      <c r="L550" s="196"/>
      <c r="M550" s="196"/>
      <c r="N550" s="196"/>
      <c r="O550" s="196"/>
      <c r="P550" s="196"/>
      <c r="Q550" s="196"/>
      <c r="R550" s="196"/>
      <c r="S550" s="196"/>
      <c r="T550" s="196"/>
      <c r="U550" s="196"/>
      <c r="V550" s="196"/>
      <c r="W550" s="196"/>
      <c r="X550" s="196"/>
      <c r="Y550" s="196"/>
      <c r="Z550" s="196"/>
      <c r="AA550" s="196"/>
      <c r="AB550" s="196"/>
      <c r="AC550" s="196"/>
      <c r="AD550" s="196"/>
    </row>
    <row r="551" spans="1:30" ht="12.9">
      <c r="A551" s="196"/>
      <c r="B551" s="143"/>
      <c r="C551" s="196"/>
      <c r="D551" s="196"/>
      <c r="E551" s="196"/>
      <c r="F551" s="196"/>
      <c r="G551" s="24"/>
      <c r="H551" s="24"/>
      <c r="I551" s="196"/>
      <c r="J551" s="196"/>
      <c r="K551" s="196"/>
      <c r="L551" s="196"/>
      <c r="M551" s="196"/>
      <c r="N551" s="196"/>
      <c r="O551" s="196"/>
      <c r="P551" s="196"/>
      <c r="Q551" s="196"/>
      <c r="R551" s="196"/>
      <c r="S551" s="196"/>
      <c r="T551" s="196"/>
      <c r="U551" s="196"/>
      <c r="V551" s="196"/>
      <c r="W551" s="196"/>
      <c r="X551" s="196"/>
      <c r="Y551" s="196"/>
      <c r="Z551" s="196"/>
      <c r="AA551" s="196"/>
      <c r="AB551" s="196"/>
      <c r="AC551" s="196"/>
      <c r="AD551" s="196"/>
    </row>
    <row r="552" spans="1:30" ht="12.9">
      <c r="A552" s="196"/>
      <c r="B552" s="143"/>
      <c r="C552" s="196"/>
      <c r="D552" s="196"/>
      <c r="E552" s="196"/>
      <c r="F552" s="196"/>
      <c r="G552" s="24"/>
      <c r="H552" s="24"/>
      <c r="I552" s="196"/>
      <c r="J552" s="196"/>
      <c r="K552" s="196"/>
      <c r="L552" s="196"/>
      <c r="M552" s="196"/>
      <c r="N552" s="196"/>
      <c r="O552" s="196"/>
      <c r="P552" s="196"/>
      <c r="Q552" s="196"/>
      <c r="R552" s="196"/>
      <c r="S552" s="196"/>
      <c r="T552" s="196"/>
      <c r="U552" s="196"/>
      <c r="V552" s="196"/>
      <c r="W552" s="196"/>
      <c r="X552" s="196"/>
      <c r="Y552" s="196"/>
      <c r="Z552" s="196"/>
      <c r="AA552" s="196"/>
      <c r="AB552" s="196"/>
      <c r="AC552" s="196"/>
      <c r="AD552" s="196"/>
    </row>
    <row r="553" spans="1:30" ht="12.9">
      <c r="A553" s="196"/>
      <c r="B553" s="143"/>
      <c r="C553" s="196"/>
      <c r="D553" s="196"/>
      <c r="E553" s="196"/>
      <c r="F553" s="196"/>
      <c r="G553" s="24"/>
      <c r="H553" s="24"/>
      <c r="I553" s="196"/>
      <c r="J553" s="196"/>
      <c r="K553" s="196"/>
      <c r="L553" s="196"/>
      <c r="M553" s="196"/>
      <c r="N553" s="196"/>
      <c r="O553" s="196"/>
      <c r="P553" s="196"/>
      <c r="Q553" s="196"/>
      <c r="R553" s="196"/>
      <c r="S553" s="196"/>
      <c r="T553" s="196"/>
      <c r="U553" s="196"/>
      <c r="V553" s="196"/>
      <c r="W553" s="196"/>
      <c r="X553" s="196"/>
      <c r="Y553" s="196"/>
      <c r="Z553" s="196"/>
      <c r="AA553" s="196"/>
      <c r="AB553" s="196"/>
      <c r="AC553" s="196"/>
      <c r="AD553" s="196"/>
    </row>
    <row r="554" spans="1:30" ht="12.9">
      <c r="A554" s="196"/>
      <c r="B554" s="143"/>
      <c r="C554" s="196"/>
      <c r="D554" s="196"/>
      <c r="E554" s="196"/>
      <c r="F554" s="196"/>
      <c r="G554" s="24"/>
      <c r="H554" s="24"/>
      <c r="I554" s="196"/>
      <c r="J554" s="196"/>
      <c r="K554" s="196"/>
      <c r="L554" s="196"/>
      <c r="M554" s="196"/>
      <c r="N554" s="196"/>
      <c r="O554" s="196"/>
      <c r="P554" s="196"/>
      <c r="Q554" s="196"/>
      <c r="R554" s="196"/>
      <c r="S554" s="196"/>
      <c r="T554" s="196"/>
      <c r="U554" s="196"/>
      <c r="V554" s="196"/>
      <c r="W554" s="196"/>
      <c r="X554" s="196"/>
      <c r="Y554" s="196"/>
      <c r="Z554" s="196"/>
      <c r="AA554" s="196"/>
      <c r="AB554" s="196"/>
      <c r="AC554" s="196"/>
      <c r="AD554" s="196"/>
    </row>
    <row r="555" spans="1:30" ht="12.9">
      <c r="A555" s="196"/>
      <c r="B555" s="143"/>
      <c r="C555" s="196"/>
      <c r="D555" s="196"/>
      <c r="E555" s="196"/>
      <c r="F555" s="196"/>
      <c r="G555" s="24"/>
      <c r="H555" s="24"/>
      <c r="I555" s="196"/>
      <c r="J555" s="196"/>
      <c r="K555" s="196"/>
      <c r="L555" s="196"/>
      <c r="M555" s="196"/>
      <c r="N555" s="196"/>
      <c r="O555" s="196"/>
      <c r="P555" s="196"/>
      <c r="Q555" s="196"/>
      <c r="R555" s="196"/>
      <c r="S555" s="196"/>
      <c r="T555" s="196"/>
      <c r="U555" s="196"/>
      <c r="V555" s="196"/>
      <c r="W555" s="196"/>
      <c r="X555" s="196"/>
      <c r="Y555" s="196"/>
      <c r="Z555" s="196"/>
      <c r="AA555" s="196"/>
      <c r="AB555" s="196"/>
      <c r="AC555" s="196"/>
      <c r="AD555" s="196"/>
    </row>
    <row r="556" spans="1:30" ht="12.9">
      <c r="A556" s="196"/>
      <c r="B556" s="143"/>
      <c r="C556" s="196"/>
      <c r="D556" s="196"/>
      <c r="E556" s="196"/>
      <c r="F556" s="196"/>
      <c r="G556" s="24"/>
      <c r="H556" s="24"/>
      <c r="I556" s="196"/>
      <c r="J556" s="196"/>
      <c r="K556" s="196"/>
      <c r="L556" s="196"/>
      <c r="M556" s="196"/>
      <c r="N556" s="196"/>
      <c r="O556" s="196"/>
      <c r="P556" s="196"/>
      <c r="Q556" s="196"/>
      <c r="R556" s="196"/>
      <c r="S556" s="196"/>
      <c r="T556" s="196"/>
      <c r="U556" s="196"/>
      <c r="V556" s="196"/>
      <c r="W556" s="196"/>
      <c r="X556" s="196"/>
      <c r="Y556" s="196"/>
      <c r="Z556" s="196"/>
      <c r="AA556" s="196"/>
      <c r="AB556" s="196"/>
      <c r="AC556" s="196"/>
      <c r="AD556" s="196"/>
    </row>
    <row r="557" spans="1:30" ht="12.9">
      <c r="A557" s="196"/>
      <c r="B557" s="143"/>
      <c r="C557" s="196"/>
      <c r="D557" s="196"/>
      <c r="E557" s="196"/>
      <c r="F557" s="196"/>
      <c r="G557" s="24"/>
      <c r="H557" s="24"/>
      <c r="I557" s="196"/>
      <c r="J557" s="196"/>
      <c r="K557" s="196"/>
      <c r="L557" s="196"/>
      <c r="M557" s="196"/>
      <c r="N557" s="196"/>
      <c r="O557" s="196"/>
      <c r="P557" s="196"/>
      <c r="Q557" s="196"/>
      <c r="R557" s="196"/>
      <c r="S557" s="196"/>
      <c r="T557" s="196"/>
      <c r="U557" s="196"/>
      <c r="V557" s="196"/>
      <c r="W557" s="196"/>
      <c r="X557" s="196"/>
      <c r="Y557" s="196"/>
      <c r="Z557" s="196"/>
      <c r="AA557" s="196"/>
      <c r="AB557" s="196"/>
      <c r="AC557" s="196"/>
      <c r="AD557" s="196"/>
    </row>
    <row r="558" spans="1:30" ht="12.9">
      <c r="A558" s="196"/>
      <c r="B558" s="143"/>
      <c r="C558" s="196"/>
      <c r="D558" s="196"/>
      <c r="E558" s="196"/>
      <c r="F558" s="196"/>
      <c r="G558" s="24"/>
      <c r="H558" s="24"/>
      <c r="I558" s="196"/>
      <c r="J558" s="196"/>
      <c r="K558" s="196"/>
      <c r="L558" s="196"/>
      <c r="M558" s="196"/>
      <c r="N558" s="196"/>
      <c r="O558" s="196"/>
      <c r="P558" s="196"/>
      <c r="Q558" s="196"/>
      <c r="R558" s="196"/>
      <c r="S558" s="196"/>
      <c r="T558" s="196"/>
      <c r="U558" s="196"/>
      <c r="V558" s="196"/>
      <c r="W558" s="196"/>
      <c r="X558" s="196"/>
      <c r="Y558" s="196"/>
      <c r="Z558" s="196"/>
      <c r="AA558" s="196"/>
      <c r="AB558" s="196"/>
      <c r="AC558" s="196"/>
      <c r="AD558" s="196"/>
    </row>
    <row r="559" spans="1:30" ht="12.9">
      <c r="A559" s="196"/>
      <c r="B559" s="143"/>
      <c r="C559" s="196"/>
      <c r="D559" s="196"/>
      <c r="E559" s="196"/>
      <c r="F559" s="196"/>
      <c r="G559" s="24"/>
      <c r="H559" s="24"/>
      <c r="I559" s="196"/>
      <c r="J559" s="196"/>
      <c r="K559" s="196"/>
      <c r="L559" s="196"/>
      <c r="M559" s="196"/>
      <c r="N559" s="196"/>
      <c r="O559" s="196"/>
      <c r="P559" s="196"/>
      <c r="Q559" s="196"/>
      <c r="R559" s="196"/>
      <c r="S559" s="196"/>
      <c r="T559" s="196"/>
      <c r="U559" s="196"/>
      <c r="V559" s="196"/>
      <c r="W559" s="196"/>
      <c r="X559" s="196"/>
      <c r="Y559" s="196"/>
      <c r="Z559" s="196"/>
      <c r="AA559" s="196"/>
      <c r="AB559" s="196"/>
      <c r="AC559" s="196"/>
      <c r="AD559" s="196"/>
    </row>
    <row r="560" spans="1:30" ht="12.9">
      <c r="A560" s="196"/>
      <c r="B560" s="143"/>
      <c r="C560" s="196"/>
      <c r="D560" s="196"/>
      <c r="E560" s="196"/>
      <c r="F560" s="196"/>
      <c r="G560" s="24"/>
      <c r="H560" s="24"/>
      <c r="I560" s="196"/>
      <c r="J560" s="196"/>
      <c r="K560" s="196"/>
      <c r="L560" s="196"/>
      <c r="M560" s="196"/>
      <c r="N560" s="196"/>
      <c r="O560" s="196"/>
      <c r="P560" s="196"/>
      <c r="Q560" s="196"/>
      <c r="R560" s="196"/>
      <c r="S560" s="196"/>
      <c r="T560" s="196"/>
      <c r="U560" s="196"/>
      <c r="V560" s="196"/>
      <c r="W560" s="196"/>
      <c r="X560" s="196"/>
      <c r="Y560" s="196"/>
      <c r="Z560" s="196"/>
      <c r="AA560" s="196"/>
      <c r="AB560" s="196"/>
      <c r="AC560" s="196"/>
      <c r="AD560" s="196"/>
    </row>
    <row r="561" spans="1:30" ht="12.9">
      <c r="A561" s="196"/>
      <c r="B561" s="143"/>
      <c r="C561" s="196"/>
      <c r="D561" s="196"/>
      <c r="E561" s="196"/>
      <c r="F561" s="196"/>
      <c r="G561" s="24"/>
      <c r="H561" s="24"/>
      <c r="I561" s="196"/>
      <c r="J561" s="196"/>
      <c r="K561" s="196"/>
      <c r="L561" s="196"/>
      <c r="M561" s="196"/>
      <c r="N561" s="196"/>
      <c r="O561" s="196"/>
      <c r="P561" s="196"/>
      <c r="Q561" s="196"/>
      <c r="R561" s="196"/>
      <c r="S561" s="196"/>
      <c r="T561" s="196"/>
      <c r="U561" s="196"/>
      <c r="V561" s="196"/>
      <c r="W561" s="196"/>
      <c r="X561" s="196"/>
      <c r="Y561" s="196"/>
      <c r="Z561" s="196"/>
      <c r="AA561" s="196"/>
      <c r="AB561" s="196"/>
      <c r="AC561" s="196"/>
      <c r="AD561" s="196"/>
    </row>
    <row r="562" spans="1:30" ht="12.9">
      <c r="A562" s="196"/>
      <c r="B562" s="143"/>
      <c r="C562" s="196"/>
      <c r="D562" s="196"/>
      <c r="E562" s="196"/>
      <c r="F562" s="196"/>
      <c r="G562" s="24"/>
      <c r="H562" s="24"/>
      <c r="I562" s="196"/>
      <c r="J562" s="196"/>
      <c r="K562" s="196"/>
      <c r="L562" s="196"/>
      <c r="M562" s="196"/>
      <c r="N562" s="196"/>
      <c r="O562" s="196"/>
      <c r="P562" s="196"/>
      <c r="Q562" s="196"/>
      <c r="R562" s="196"/>
      <c r="S562" s="196"/>
      <c r="T562" s="196"/>
      <c r="U562" s="196"/>
      <c r="V562" s="196"/>
      <c r="W562" s="196"/>
      <c r="X562" s="196"/>
      <c r="Y562" s="196"/>
      <c r="Z562" s="196"/>
      <c r="AA562" s="196"/>
      <c r="AB562" s="196"/>
      <c r="AC562" s="196"/>
      <c r="AD562" s="196"/>
    </row>
    <row r="563" spans="1:30" ht="12.9">
      <c r="A563" s="196"/>
      <c r="B563" s="143"/>
      <c r="C563" s="196"/>
      <c r="D563" s="196"/>
      <c r="E563" s="196"/>
      <c r="F563" s="196"/>
      <c r="G563" s="24"/>
      <c r="H563" s="24"/>
      <c r="I563" s="196"/>
      <c r="J563" s="196"/>
      <c r="K563" s="196"/>
      <c r="L563" s="196"/>
      <c r="M563" s="196"/>
      <c r="N563" s="196"/>
      <c r="O563" s="196"/>
      <c r="P563" s="196"/>
      <c r="Q563" s="196"/>
      <c r="R563" s="196"/>
      <c r="S563" s="196"/>
      <c r="T563" s="196"/>
      <c r="U563" s="196"/>
      <c r="V563" s="196"/>
      <c r="W563" s="196"/>
      <c r="X563" s="196"/>
      <c r="Y563" s="196"/>
      <c r="Z563" s="196"/>
      <c r="AA563" s="196"/>
      <c r="AB563" s="196"/>
      <c r="AC563" s="196"/>
      <c r="AD563" s="196"/>
    </row>
    <row r="564" spans="1:30" ht="12.9">
      <c r="A564" s="196"/>
      <c r="B564" s="143"/>
      <c r="C564" s="196"/>
      <c r="D564" s="196"/>
      <c r="E564" s="196"/>
      <c r="F564" s="196"/>
      <c r="G564" s="24"/>
      <c r="H564" s="24"/>
      <c r="I564" s="196"/>
      <c r="J564" s="196"/>
      <c r="K564" s="196"/>
      <c r="L564" s="196"/>
      <c r="M564" s="196"/>
      <c r="N564" s="196"/>
      <c r="O564" s="196"/>
      <c r="P564" s="196"/>
      <c r="Q564" s="196"/>
      <c r="R564" s="196"/>
      <c r="S564" s="196"/>
      <c r="T564" s="196"/>
      <c r="U564" s="196"/>
      <c r="V564" s="196"/>
      <c r="W564" s="196"/>
      <c r="X564" s="196"/>
      <c r="Y564" s="196"/>
      <c r="Z564" s="196"/>
      <c r="AA564" s="196"/>
      <c r="AB564" s="196"/>
      <c r="AC564" s="196"/>
      <c r="AD564" s="196"/>
    </row>
    <row r="565" spans="1:30" ht="12.9">
      <c r="A565" s="196"/>
      <c r="B565" s="143"/>
      <c r="C565" s="196"/>
      <c r="D565" s="196"/>
      <c r="E565" s="196"/>
      <c r="F565" s="196"/>
      <c r="G565" s="24"/>
      <c r="H565" s="24"/>
      <c r="I565" s="196"/>
      <c r="J565" s="196"/>
      <c r="K565" s="196"/>
      <c r="L565" s="196"/>
      <c r="M565" s="196"/>
      <c r="N565" s="196"/>
      <c r="O565" s="196"/>
      <c r="P565" s="196"/>
      <c r="Q565" s="196"/>
      <c r="R565" s="196"/>
      <c r="S565" s="196"/>
      <c r="T565" s="196"/>
      <c r="U565" s="196"/>
      <c r="V565" s="196"/>
      <c r="W565" s="196"/>
      <c r="X565" s="196"/>
      <c r="Y565" s="196"/>
      <c r="Z565" s="196"/>
      <c r="AA565" s="196"/>
      <c r="AB565" s="196"/>
      <c r="AC565" s="196"/>
      <c r="AD565" s="196"/>
    </row>
    <row r="566" spans="1:30" ht="12.9">
      <c r="A566" s="196"/>
      <c r="B566" s="143"/>
      <c r="C566" s="196"/>
      <c r="D566" s="196"/>
      <c r="E566" s="196"/>
      <c r="F566" s="196"/>
      <c r="G566" s="24"/>
      <c r="H566" s="24"/>
      <c r="I566" s="196"/>
      <c r="J566" s="196"/>
      <c r="K566" s="196"/>
      <c r="L566" s="196"/>
      <c r="M566" s="196"/>
      <c r="N566" s="196"/>
      <c r="O566" s="196"/>
      <c r="P566" s="196"/>
      <c r="Q566" s="196"/>
      <c r="R566" s="196"/>
      <c r="S566" s="196"/>
      <c r="T566" s="196"/>
      <c r="U566" s="196"/>
      <c r="V566" s="196"/>
      <c r="W566" s="196"/>
      <c r="X566" s="196"/>
      <c r="Y566" s="196"/>
      <c r="Z566" s="196"/>
      <c r="AA566" s="196"/>
      <c r="AB566" s="196"/>
      <c r="AC566" s="196"/>
      <c r="AD566" s="196"/>
    </row>
    <row r="567" spans="1:30" ht="12.9">
      <c r="A567" s="196"/>
      <c r="B567" s="143"/>
      <c r="C567" s="196"/>
      <c r="D567" s="196"/>
      <c r="E567" s="196"/>
      <c r="F567" s="196"/>
      <c r="G567" s="24"/>
      <c r="H567" s="24"/>
      <c r="I567" s="196"/>
      <c r="J567" s="196"/>
      <c r="K567" s="196"/>
      <c r="L567" s="196"/>
      <c r="M567" s="196"/>
      <c r="N567" s="196"/>
      <c r="O567" s="196"/>
      <c r="P567" s="196"/>
      <c r="Q567" s="196"/>
      <c r="R567" s="196"/>
      <c r="S567" s="196"/>
      <c r="T567" s="196"/>
      <c r="U567" s="196"/>
      <c r="V567" s="196"/>
      <c r="W567" s="196"/>
      <c r="X567" s="196"/>
      <c r="Y567" s="196"/>
      <c r="Z567" s="196"/>
      <c r="AA567" s="196"/>
      <c r="AB567" s="196"/>
      <c r="AC567" s="196"/>
      <c r="AD567" s="196"/>
    </row>
    <row r="568" spans="1:30" ht="12.9">
      <c r="A568" s="196"/>
      <c r="B568" s="143"/>
      <c r="C568" s="196"/>
      <c r="D568" s="196"/>
      <c r="E568" s="196"/>
      <c r="F568" s="196"/>
      <c r="G568" s="24"/>
      <c r="H568" s="24"/>
      <c r="I568" s="196"/>
      <c r="J568" s="196"/>
      <c r="K568" s="196"/>
      <c r="L568" s="196"/>
      <c r="M568" s="196"/>
      <c r="N568" s="196"/>
      <c r="O568" s="196"/>
      <c r="P568" s="196"/>
      <c r="Q568" s="196"/>
      <c r="R568" s="196"/>
      <c r="S568" s="196"/>
      <c r="T568" s="196"/>
      <c r="U568" s="196"/>
      <c r="V568" s="196"/>
      <c r="W568" s="196"/>
      <c r="X568" s="196"/>
      <c r="Y568" s="196"/>
      <c r="Z568" s="196"/>
      <c r="AA568" s="196"/>
      <c r="AB568" s="196"/>
      <c r="AC568" s="196"/>
      <c r="AD568" s="196"/>
    </row>
    <row r="569" spans="1:30" ht="12.9">
      <c r="A569" s="196"/>
      <c r="B569" s="143"/>
      <c r="C569" s="196"/>
      <c r="D569" s="196"/>
      <c r="E569" s="196"/>
      <c r="F569" s="196"/>
      <c r="G569" s="24"/>
      <c r="H569" s="24"/>
      <c r="I569" s="196"/>
      <c r="J569" s="196"/>
      <c r="K569" s="196"/>
      <c r="L569" s="196"/>
      <c r="M569" s="196"/>
      <c r="N569" s="196"/>
      <c r="O569" s="196"/>
      <c r="P569" s="196"/>
      <c r="Q569" s="196"/>
      <c r="R569" s="196"/>
      <c r="S569" s="196"/>
      <c r="T569" s="196"/>
      <c r="U569" s="196"/>
      <c r="V569" s="196"/>
      <c r="W569" s="196"/>
      <c r="X569" s="196"/>
      <c r="Y569" s="196"/>
      <c r="Z569" s="196"/>
      <c r="AA569" s="196"/>
      <c r="AB569" s="196"/>
      <c r="AC569" s="196"/>
      <c r="AD569" s="196"/>
    </row>
    <row r="570" spans="1:30" ht="12.9">
      <c r="A570" s="196"/>
      <c r="B570" s="143"/>
      <c r="C570" s="196"/>
      <c r="D570" s="196"/>
      <c r="E570" s="196"/>
      <c r="F570" s="196"/>
      <c r="G570" s="24"/>
      <c r="H570" s="24"/>
      <c r="I570" s="196"/>
      <c r="J570" s="196"/>
      <c r="K570" s="196"/>
      <c r="L570" s="196"/>
      <c r="M570" s="196"/>
      <c r="N570" s="196"/>
      <c r="O570" s="196"/>
      <c r="P570" s="196"/>
      <c r="Q570" s="196"/>
      <c r="R570" s="196"/>
      <c r="S570" s="196"/>
      <c r="T570" s="196"/>
      <c r="U570" s="196"/>
      <c r="V570" s="196"/>
      <c r="W570" s="196"/>
      <c r="X570" s="196"/>
      <c r="Y570" s="196"/>
      <c r="Z570" s="196"/>
      <c r="AA570" s="196"/>
      <c r="AB570" s="196"/>
      <c r="AC570" s="196"/>
      <c r="AD570" s="196"/>
    </row>
    <row r="571" spans="1:30" ht="12.9">
      <c r="A571" s="196"/>
      <c r="B571" s="143"/>
      <c r="C571" s="196"/>
      <c r="D571" s="196"/>
      <c r="E571" s="196"/>
      <c r="F571" s="196"/>
      <c r="G571" s="24"/>
      <c r="H571" s="24"/>
      <c r="I571" s="196"/>
      <c r="J571" s="196"/>
      <c r="K571" s="196"/>
      <c r="L571" s="196"/>
      <c r="M571" s="196"/>
      <c r="N571" s="196"/>
      <c r="O571" s="196"/>
      <c r="P571" s="196"/>
      <c r="Q571" s="196"/>
      <c r="R571" s="196"/>
      <c r="S571" s="196"/>
      <c r="T571" s="196"/>
      <c r="U571" s="196"/>
      <c r="V571" s="196"/>
      <c r="W571" s="196"/>
      <c r="X571" s="196"/>
      <c r="Y571" s="196"/>
      <c r="Z571" s="196"/>
      <c r="AA571" s="196"/>
      <c r="AB571" s="196"/>
      <c r="AC571" s="196"/>
      <c r="AD571" s="196"/>
    </row>
    <row r="572" spans="1:30" ht="12.9">
      <c r="A572" s="196"/>
      <c r="B572" s="143"/>
      <c r="C572" s="196"/>
      <c r="D572" s="196"/>
      <c r="E572" s="196"/>
      <c r="F572" s="196"/>
      <c r="G572" s="24"/>
      <c r="H572" s="24"/>
      <c r="I572" s="196"/>
      <c r="J572" s="196"/>
      <c r="K572" s="196"/>
      <c r="L572" s="196"/>
      <c r="M572" s="196"/>
      <c r="N572" s="196"/>
      <c r="O572" s="196"/>
      <c r="P572" s="196"/>
      <c r="Q572" s="196"/>
      <c r="R572" s="196"/>
      <c r="S572" s="196"/>
      <c r="T572" s="196"/>
      <c r="U572" s="196"/>
      <c r="V572" s="196"/>
      <c r="W572" s="196"/>
      <c r="X572" s="196"/>
      <c r="Y572" s="196"/>
      <c r="Z572" s="196"/>
      <c r="AA572" s="196"/>
      <c r="AB572" s="196"/>
      <c r="AC572" s="196"/>
      <c r="AD572" s="196"/>
    </row>
    <row r="573" spans="1:30" ht="12.9">
      <c r="A573" s="196"/>
      <c r="B573" s="143"/>
      <c r="C573" s="196"/>
      <c r="D573" s="196"/>
      <c r="E573" s="196"/>
      <c r="F573" s="196"/>
      <c r="G573" s="24"/>
      <c r="H573" s="24"/>
      <c r="I573" s="196"/>
      <c r="J573" s="196"/>
      <c r="K573" s="196"/>
      <c r="L573" s="196"/>
      <c r="M573" s="196"/>
      <c r="N573" s="196"/>
      <c r="O573" s="196"/>
      <c r="P573" s="196"/>
      <c r="Q573" s="196"/>
      <c r="R573" s="196"/>
      <c r="S573" s="196"/>
      <c r="T573" s="196"/>
      <c r="U573" s="196"/>
      <c r="V573" s="196"/>
      <c r="W573" s="196"/>
      <c r="X573" s="196"/>
      <c r="Y573" s="196"/>
      <c r="Z573" s="196"/>
      <c r="AA573" s="196"/>
      <c r="AB573" s="196"/>
      <c r="AC573" s="196"/>
      <c r="AD573" s="196"/>
    </row>
    <row r="574" spans="1:30" ht="12.9">
      <c r="A574" s="196"/>
      <c r="B574" s="143"/>
      <c r="C574" s="196"/>
      <c r="D574" s="196"/>
      <c r="E574" s="196"/>
      <c r="F574" s="196"/>
      <c r="G574" s="24"/>
      <c r="H574" s="24"/>
      <c r="I574" s="196"/>
      <c r="J574" s="196"/>
      <c r="K574" s="196"/>
      <c r="L574" s="196"/>
      <c r="M574" s="196"/>
      <c r="N574" s="196"/>
      <c r="O574" s="196"/>
      <c r="P574" s="196"/>
      <c r="Q574" s="196"/>
      <c r="R574" s="196"/>
      <c r="S574" s="196"/>
      <c r="T574" s="196"/>
      <c r="U574" s="196"/>
      <c r="V574" s="196"/>
      <c r="W574" s="196"/>
      <c r="X574" s="196"/>
      <c r="Y574" s="196"/>
      <c r="Z574" s="196"/>
      <c r="AA574" s="196"/>
      <c r="AB574" s="196"/>
      <c r="AC574" s="196"/>
      <c r="AD574" s="196"/>
    </row>
    <row r="575" spans="1:30" ht="12.9">
      <c r="A575" s="196"/>
      <c r="B575" s="143"/>
      <c r="C575" s="196"/>
      <c r="D575" s="196"/>
      <c r="E575" s="196"/>
      <c r="F575" s="196"/>
      <c r="G575" s="24"/>
      <c r="H575" s="24"/>
      <c r="I575" s="196"/>
      <c r="J575" s="196"/>
      <c r="K575" s="196"/>
      <c r="L575" s="196"/>
      <c r="M575" s="196"/>
      <c r="N575" s="196"/>
      <c r="O575" s="196"/>
      <c r="P575" s="196"/>
      <c r="Q575" s="196"/>
      <c r="R575" s="196"/>
      <c r="S575" s="196"/>
      <c r="T575" s="196"/>
      <c r="U575" s="196"/>
      <c r="V575" s="196"/>
      <c r="W575" s="196"/>
      <c r="X575" s="196"/>
      <c r="Y575" s="196"/>
      <c r="Z575" s="196"/>
      <c r="AA575" s="196"/>
      <c r="AB575" s="196"/>
      <c r="AC575" s="196"/>
      <c r="AD575" s="196"/>
    </row>
    <row r="576" spans="1:30" ht="12.9">
      <c r="A576" s="196"/>
      <c r="B576" s="143"/>
      <c r="C576" s="196"/>
      <c r="D576" s="196"/>
      <c r="E576" s="196"/>
      <c r="F576" s="196"/>
      <c r="G576" s="24"/>
      <c r="H576" s="24"/>
      <c r="I576" s="196"/>
      <c r="J576" s="196"/>
      <c r="K576" s="196"/>
      <c r="L576" s="196"/>
      <c r="M576" s="196"/>
      <c r="N576" s="196"/>
      <c r="O576" s="196"/>
      <c r="P576" s="196"/>
      <c r="Q576" s="196"/>
      <c r="R576" s="196"/>
      <c r="S576" s="196"/>
      <c r="T576" s="196"/>
      <c r="U576" s="196"/>
      <c r="V576" s="196"/>
      <c r="W576" s="196"/>
      <c r="X576" s="196"/>
      <c r="Y576" s="196"/>
      <c r="Z576" s="196"/>
      <c r="AA576" s="196"/>
      <c r="AB576" s="196"/>
      <c r="AC576" s="196"/>
      <c r="AD576" s="196"/>
    </row>
    <row r="577" spans="1:30" ht="12.9">
      <c r="A577" s="196"/>
      <c r="B577" s="143"/>
      <c r="C577" s="196"/>
      <c r="D577" s="196"/>
      <c r="E577" s="196"/>
      <c r="F577" s="196"/>
      <c r="G577" s="24"/>
      <c r="H577" s="24"/>
      <c r="I577" s="196"/>
      <c r="J577" s="196"/>
      <c r="K577" s="196"/>
      <c r="L577" s="196"/>
      <c r="M577" s="196"/>
      <c r="N577" s="196"/>
      <c r="O577" s="196"/>
      <c r="P577" s="196"/>
      <c r="Q577" s="196"/>
      <c r="R577" s="196"/>
      <c r="S577" s="196"/>
      <c r="T577" s="196"/>
      <c r="U577" s="196"/>
      <c r="V577" s="196"/>
      <c r="W577" s="196"/>
      <c r="X577" s="196"/>
      <c r="Y577" s="196"/>
      <c r="Z577" s="196"/>
      <c r="AA577" s="196"/>
      <c r="AB577" s="196"/>
      <c r="AC577" s="196"/>
      <c r="AD577" s="196"/>
    </row>
    <row r="578" spans="1:30" ht="12.9">
      <c r="A578" s="196"/>
      <c r="B578" s="143"/>
      <c r="C578" s="196"/>
      <c r="D578" s="196"/>
      <c r="E578" s="196"/>
      <c r="F578" s="196"/>
      <c r="G578" s="24"/>
      <c r="H578" s="24"/>
      <c r="I578" s="196"/>
      <c r="J578" s="196"/>
      <c r="K578" s="196"/>
      <c r="L578" s="196"/>
      <c r="M578" s="196"/>
      <c r="N578" s="196"/>
      <c r="O578" s="196"/>
      <c r="P578" s="196"/>
      <c r="Q578" s="196"/>
      <c r="R578" s="196"/>
      <c r="S578" s="196"/>
      <c r="T578" s="196"/>
      <c r="U578" s="196"/>
      <c r="V578" s="196"/>
      <c r="W578" s="196"/>
      <c r="X578" s="196"/>
      <c r="Y578" s="196"/>
      <c r="Z578" s="196"/>
      <c r="AA578" s="196"/>
      <c r="AB578" s="196"/>
      <c r="AC578" s="196"/>
      <c r="AD578" s="196"/>
    </row>
    <row r="579" spans="1:30" ht="12.9">
      <c r="A579" s="196"/>
      <c r="B579" s="143"/>
      <c r="C579" s="196"/>
      <c r="D579" s="196"/>
      <c r="E579" s="196"/>
      <c r="F579" s="196"/>
      <c r="G579" s="24"/>
      <c r="H579" s="24"/>
      <c r="I579" s="196"/>
      <c r="J579" s="196"/>
      <c r="K579" s="196"/>
      <c r="L579" s="196"/>
      <c r="M579" s="196"/>
      <c r="N579" s="196"/>
      <c r="O579" s="196"/>
      <c r="P579" s="196"/>
      <c r="Q579" s="196"/>
      <c r="R579" s="196"/>
      <c r="S579" s="196"/>
      <c r="T579" s="196"/>
      <c r="U579" s="196"/>
      <c r="V579" s="196"/>
      <c r="W579" s="196"/>
      <c r="X579" s="196"/>
      <c r="Y579" s="196"/>
      <c r="Z579" s="196"/>
      <c r="AA579" s="196"/>
      <c r="AB579" s="196"/>
      <c r="AC579" s="196"/>
      <c r="AD579" s="196"/>
    </row>
    <row r="580" spans="1:30" ht="12.9">
      <c r="A580" s="196"/>
      <c r="B580" s="143"/>
      <c r="C580" s="196"/>
      <c r="D580" s="196"/>
      <c r="E580" s="196"/>
      <c r="F580" s="196"/>
      <c r="G580" s="24"/>
      <c r="H580" s="24"/>
      <c r="I580" s="196"/>
      <c r="J580" s="196"/>
      <c r="K580" s="196"/>
      <c r="L580" s="196"/>
      <c r="M580" s="196"/>
      <c r="N580" s="196"/>
      <c r="O580" s="196"/>
      <c r="P580" s="196"/>
      <c r="Q580" s="196"/>
      <c r="R580" s="196"/>
      <c r="S580" s="196"/>
      <c r="T580" s="196"/>
      <c r="U580" s="196"/>
      <c r="V580" s="196"/>
      <c r="W580" s="196"/>
      <c r="X580" s="196"/>
      <c r="Y580" s="196"/>
      <c r="Z580" s="196"/>
      <c r="AA580" s="196"/>
      <c r="AB580" s="196"/>
      <c r="AC580" s="196"/>
      <c r="AD580" s="196"/>
    </row>
    <row r="581" spans="1:30" ht="12.9">
      <c r="A581" s="196"/>
      <c r="B581" s="143"/>
      <c r="C581" s="196"/>
      <c r="D581" s="196"/>
      <c r="E581" s="196"/>
      <c r="F581" s="196"/>
      <c r="G581" s="24"/>
      <c r="H581" s="24"/>
      <c r="I581" s="196"/>
      <c r="J581" s="196"/>
      <c r="K581" s="196"/>
      <c r="L581" s="196"/>
      <c r="M581" s="196"/>
      <c r="N581" s="196"/>
      <c r="O581" s="196"/>
      <c r="P581" s="196"/>
      <c r="Q581" s="196"/>
      <c r="R581" s="196"/>
      <c r="S581" s="196"/>
      <c r="T581" s="196"/>
      <c r="U581" s="196"/>
      <c r="V581" s="196"/>
      <c r="W581" s="196"/>
      <c r="X581" s="196"/>
      <c r="Y581" s="196"/>
      <c r="Z581" s="196"/>
      <c r="AA581" s="196"/>
      <c r="AB581" s="196"/>
      <c r="AC581" s="196"/>
      <c r="AD581" s="196"/>
    </row>
    <row r="582" spans="1:30" ht="12.9">
      <c r="A582" s="196"/>
      <c r="B582" s="143"/>
      <c r="C582" s="196"/>
      <c r="D582" s="196"/>
      <c r="E582" s="196"/>
      <c r="F582" s="196"/>
      <c r="G582" s="24"/>
      <c r="H582" s="24"/>
      <c r="I582" s="196"/>
      <c r="J582" s="196"/>
      <c r="K582" s="196"/>
      <c r="L582" s="196"/>
      <c r="M582" s="196"/>
      <c r="N582" s="196"/>
      <c r="O582" s="196"/>
      <c r="P582" s="196"/>
      <c r="Q582" s="196"/>
      <c r="R582" s="196"/>
      <c r="S582" s="196"/>
      <c r="T582" s="196"/>
      <c r="U582" s="196"/>
      <c r="V582" s="196"/>
      <c r="W582" s="196"/>
      <c r="X582" s="196"/>
      <c r="Y582" s="196"/>
      <c r="Z582" s="196"/>
      <c r="AA582" s="196"/>
      <c r="AB582" s="196"/>
      <c r="AC582" s="196"/>
      <c r="AD582" s="196"/>
    </row>
    <row r="583" spans="1:30" ht="12.9">
      <c r="A583" s="196"/>
      <c r="B583" s="143"/>
      <c r="C583" s="196"/>
      <c r="D583" s="196"/>
      <c r="E583" s="196"/>
      <c r="F583" s="196"/>
      <c r="G583" s="24"/>
      <c r="H583" s="24"/>
      <c r="I583" s="196"/>
      <c r="J583" s="196"/>
      <c r="K583" s="196"/>
      <c r="L583" s="196"/>
      <c r="M583" s="196"/>
      <c r="N583" s="196"/>
      <c r="O583" s="196"/>
      <c r="P583" s="196"/>
      <c r="Q583" s="196"/>
      <c r="R583" s="196"/>
      <c r="S583" s="196"/>
      <c r="T583" s="196"/>
      <c r="U583" s="196"/>
      <c r="V583" s="196"/>
      <c r="W583" s="196"/>
      <c r="X583" s="196"/>
      <c r="Y583" s="196"/>
      <c r="Z583" s="196"/>
      <c r="AA583" s="196"/>
      <c r="AB583" s="196"/>
      <c r="AC583" s="196"/>
      <c r="AD583" s="196"/>
    </row>
    <row r="584" spans="1:30" ht="12.9">
      <c r="A584" s="196"/>
      <c r="B584" s="143"/>
      <c r="C584" s="196"/>
      <c r="D584" s="196"/>
      <c r="E584" s="196"/>
      <c r="F584" s="196"/>
      <c r="G584" s="24"/>
      <c r="H584" s="24"/>
      <c r="I584" s="196"/>
      <c r="J584" s="196"/>
      <c r="K584" s="196"/>
      <c r="L584" s="196"/>
      <c r="M584" s="196"/>
      <c r="N584" s="196"/>
      <c r="O584" s="196"/>
      <c r="P584" s="196"/>
      <c r="Q584" s="196"/>
      <c r="R584" s="196"/>
      <c r="S584" s="196"/>
      <c r="T584" s="196"/>
      <c r="U584" s="196"/>
      <c r="V584" s="196"/>
      <c r="W584" s="196"/>
      <c r="X584" s="196"/>
      <c r="Y584" s="196"/>
      <c r="Z584" s="196"/>
      <c r="AA584" s="196"/>
      <c r="AB584" s="196"/>
      <c r="AC584" s="196"/>
      <c r="AD584" s="196"/>
    </row>
    <row r="585" spans="1:30" ht="12.9">
      <c r="A585" s="196"/>
      <c r="B585" s="143"/>
      <c r="C585" s="196"/>
      <c r="D585" s="196"/>
      <c r="E585" s="196"/>
      <c r="F585" s="196"/>
      <c r="G585" s="24"/>
      <c r="H585" s="24"/>
      <c r="I585" s="196"/>
      <c r="J585" s="196"/>
      <c r="K585" s="196"/>
      <c r="L585" s="196"/>
      <c r="M585" s="196"/>
      <c r="N585" s="196"/>
      <c r="O585" s="196"/>
      <c r="P585" s="196"/>
      <c r="Q585" s="196"/>
      <c r="R585" s="196"/>
      <c r="S585" s="196"/>
      <c r="T585" s="196"/>
      <c r="U585" s="196"/>
      <c r="V585" s="196"/>
      <c r="W585" s="196"/>
      <c r="X585" s="196"/>
      <c r="Y585" s="196"/>
      <c r="Z585" s="196"/>
      <c r="AA585" s="196"/>
      <c r="AB585" s="196"/>
      <c r="AC585" s="196"/>
      <c r="AD585" s="196"/>
    </row>
    <row r="586" spans="1:30" ht="12.9">
      <c r="A586" s="196"/>
      <c r="B586" s="143"/>
      <c r="C586" s="196"/>
      <c r="D586" s="196"/>
      <c r="E586" s="196"/>
      <c r="F586" s="196"/>
      <c r="G586" s="24"/>
      <c r="H586" s="24"/>
      <c r="I586" s="196"/>
      <c r="J586" s="196"/>
      <c r="K586" s="196"/>
      <c r="L586" s="196"/>
      <c r="M586" s="196"/>
      <c r="N586" s="196"/>
      <c r="O586" s="196"/>
      <c r="P586" s="196"/>
      <c r="Q586" s="196"/>
      <c r="R586" s="196"/>
      <c r="S586" s="196"/>
      <c r="T586" s="196"/>
      <c r="U586" s="196"/>
      <c r="V586" s="196"/>
      <c r="W586" s="196"/>
      <c r="X586" s="196"/>
      <c r="Y586" s="196"/>
      <c r="Z586" s="196"/>
      <c r="AA586" s="196"/>
      <c r="AB586" s="196"/>
      <c r="AC586" s="196"/>
      <c r="AD586" s="196"/>
    </row>
    <row r="587" spans="1:30" ht="12.9">
      <c r="A587" s="196"/>
      <c r="B587" s="143"/>
      <c r="C587" s="196"/>
      <c r="D587" s="196"/>
      <c r="E587" s="196"/>
      <c r="F587" s="196"/>
      <c r="G587" s="24"/>
      <c r="H587" s="24"/>
      <c r="I587" s="196"/>
      <c r="J587" s="196"/>
      <c r="K587" s="196"/>
      <c r="L587" s="196"/>
      <c r="M587" s="196"/>
      <c r="N587" s="196"/>
      <c r="O587" s="196"/>
      <c r="P587" s="196"/>
      <c r="Q587" s="196"/>
      <c r="R587" s="196"/>
      <c r="S587" s="196"/>
      <c r="T587" s="196"/>
      <c r="U587" s="196"/>
      <c r="V587" s="196"/>
      <c r="W587" s="196"/>
      <c r="X587" s="196"/>
      <c r="Y587" s="196"/>
      <c r="Z587" s="196"/>
      <c r="AA587" s="196"/>
      <c r="AB587" s="196"/>
      <c r="AC587" s="196"/>
      <c r="AD587" s="196"/>
    </row>
    <row r="588" spans="1:30" ht="12.9">
      <c r="A588" s="196"/>
      <c r="B588" s="143"/>
      <c r="C588" s="196"/>
      <c r="D588" s="196"/>
      <c r="E588" s="196"/>
      <c r="F588" s="196"/>
      <c r="G588" s="24"/>
      <c r="H588" s="24"/>
      <c r="I588" s="196"/>
      <c r="J588" s="196"/>
      <c r="K588" s="196"/>
      <c r="L588" s="196"/>
      <c r="M588" s="196"/>
      <c r="N588" s="196"/>
      <c r="O588" s="196"/>
      <c r="P588" s="196"/>
      <c r="Q588" s="196"/>
      <c r="R588" s="196"/>
      <c r="S588" s="196"/>
      <c r="T588" s="196"/>
      <c r="U588" s="196"/>
      <c r="V588" s="196"/>
      <c r="W588" s="196"/>
      <c r="X588" s="196"/>
      <c r="Y588" s="196"/>
      <c r="Z588" s="196"/>
      <c r="AA588" s="196"/>
      <c r="AB588" s="196"/>
      <c r="AC588" s="196"/>
      <c r="AD588" s="196"/>
    </row>
    <row r="589" spans="1:30" ht="12.9">
      <c r="A589" s="196"/>
      <c r="B589" s="143"/>
      <c r="C589" s="196"/>
      <c r="D589" s="196"/>
      <c r="E589" s="196"/>
      <c r="F589" s="196"/>
      <c r="G589" s="24"/>
      <c r="H589" s="24"/>
      <c r="I589" s="196"/>
      <c r="J589" s="196"/>
      <c r="K589" s="196"/>
      <c r="L589" s="196"/>
      <c r="M589" s="196"/>
      <c r="N589" s="196"/>
      <c r="O589" s="196"/>
      <c r="P589" s="196"/>
      <c r="Q589" s="196"/>
      <c r="R589" s="196"/>
      <c r="S589" s="196"/>
      <c r="T589" s="196"/>
      <c r="U589" s="196"/>
      <c r="V589" s="196"/>
      <c r="W589" s="196"/>
      <c r="X589" s="196"/>
      <c r="Y589" s="196"/>
      <c r="Z589" s="196"/>
      <c r="AA589" s="196"/>
      <c r="AB589" s="196"/>
      <c r="AC589" s="196"/>
      <c r="AD589" s="196"/>
    </row>
    <row r="590" spans="1:30" ht="12.9">
      <c r="A590" s="196"/>
      <c r="B590" s="143"/>
      <c r="C590" s="196"/>
      <c r="D590" s="196"/>
      <c r="E590" s="196"/>
      <c r="F590" s="196"/>
      <c r="G590" s="24"/>
      <c r="H590" s="24"/>
      <c r="I590" s="196"/>
      <c r="J590" s="196"/>
      <c r="K590" s="196"/>
      <c r="L590" s="196"/>
      <c r="M590" s="196"/>
      <c r="N590" s="196"/>
      <c r="O590" s="196"/>
      <c r="P590" s="196"/>
      <c r="Q590" s="196"/>
      <c r="R590" s="196"/>
      <c r="S590" s="196"/>
      <c r="T590" s="196"/>
      <c r="U590" s="196"/>
      <c r="V590" s="196"/>
      <c r="W590" s="196"/>
      <c r="X590" s="196"/>
      <c r="Y590" s="196"/>
      <c r="Z590" s="196"/>
      <c r="AA590" s="196"/>
      <c r="AB590" s="196"/>
      <c r="AC590" s="196"/>
      <c r="AD590" s="196"/>
    </row>
    <row r="591" spans="1:30" ht="12.9">
      <c r="A591" s="196"/>
      <c r="B591" s="143"/>
      <c r="C591" s="196"/>
      <c r="D591" s="196"/>
      <c r="E591" s="196"/>
      <c r="F591" s="196"/>
      <c r="G591" s="24"/>
      <c r="H591" s="24"/>
      <c r="I591" s="196"/>
      <c r="J591" s="196"/>
      <c r="K591" s="196"/>
      <c r="L591" s="196"/>
      <c r="M591" s="196"/>
      <c r="N591" s="196"/>
      <c r="O591" s="196"/>
      <c r="P591" s="196"/>
      <c r="Q591" s="196"/>
      <c r="R591" s="196"/>
      <c r="S591" s="196"/>
      <c r="T591" s="196"/>
      <c r="U591" s="196"/>
      <c r="V591" s="196"/>
      <c r="W591" s="196"/>
      <c r="X591" s="196"/>
      <c r="Y591" s="196"/>
      <c r="Z591" s="196"/>
      <c r="AA591" s="196"/>
      <c r="AB591" s="196"/>
      <c r="AC591" s="196"/>
      <c r="AD591" s="196"/>
    </row>
    <row r="592" spans="1:30" ht="12.9">
      <c r="A592" s="196"/>
      <c r="B592" s="143"/>
      <c r="C592" s="196"/>
      <c r="D592" s="196"/>
      <c r="E592" s="196"/>
      <c r="F592" s="196"/>
      <c r="G592" s="24"/>
      <c r="H592" s="24"/>
      <c r="I592" s="196"/>
      <c r="J592" s="196"/>
      <c r="K592" s="196"/>
      <c r="L592" s="196"/>
      <c r="M592" s="196"/>
      <c r="N592" s="196"/>
      <c r="O592" s="196"/>
      <c r="P592" s="196"/>
      <c r="Q592" s="196"/>
      <c r="R592" s="196"/>
      <c r="S592" s="196"/>
      <c r="T592" s="196"/>
      <c r="U592" s="196"/>
      <c r="V592" s="196"/>
      <c r="W592" s="196"/>
      <c r="X592" s="196"/>
      <c r="Y592" s="196"/>
      <c r="Z592" s="196"/>
      <c r="AA592" s="196"/>
      <c r="AB592" s="196"/>
      <c r="AC592" s="196"/>
      <c r="AD592" s="196"/>
    </row>
    <row r="593" spans="1:30" ht="12.9">
      <c r="A593" s="196"/>
      <c r="B593" s="143"/>
      <c r="C593" s="196"/>
      <c r="D593" s="196"/>
      <c r="E593" s="196"/>
      <c r="F593" s="196"/>
      <c r="G593" s="24"/>
      <c r="H593" s="24"/>
      <c r="I593" s="196"/>
      <c r="J593" s="196"/>
      <c r="K593" s="196"/>
      <c r="L593" s="196"/>
      <c r="M593" s="196"/>
      <c r="N593" s="196"/>
      <c r="O593" s="196"/>
      <c r="P593" s="196"/>
      <c r="Q593" s="196"/>
      <c r="R593" s="196"/>
      <c r="S593" s="196"/>
      <c r="T593" s="196"/>
      <c r="U593" s="196"/>
      <c r="V593" s="196"/>
      <c r="W593" s="196"/>
      <c r="X593" s="196"/>
      <c r="Y593" s="196"/>
      <c r="Z593" s="196"/>
      <c r="AA593" s="196"/>
      <c r="AB593" s="196"/>
      <c r="AC593" s="196"/>
      <c r="AD593" s="196"/>
    </row>
    <row r="594" spans="1:30" ht="12.9">
      <c r="A594" s="196"/>
      <c r="B594" s="143"/>
      <c r="C594" s="196"/>
      <c r="D594" s="196"/>
      <c r="E594" s="196"/>
      <c r="F594" s="196"/>
      <c r="G594" s="24"/>
      <c r="H594" s="24"/>
      <c r="I594" s="196"/>
      <c r="J594" s="196"/>
      <c r="K594" s="196"/>
      <c r="L594" s="196"/>
      <c r="M594" s="196"/>
      <c r="N594" s="196"/>
      <c r="O594" s="196"/>
      <c r="P594" s="196"/>
      <c r="Q594" s="196"/>
      <c r="R594" s="196"/>
      <c r="S594" s="196"/>
      <c r="T594" s="196"/>
      <c r="U594" s="196"/>
      <c r="V594" s="196"/>
      <c r="W594" s="196"/>
      <c r="X594" s="196"/>
      <c r="Y594" s="196"/>
      <c r="Z594" s="196"/>
      <c r="AA594" s="196"/>
      <c r="AB594" s="196"/>
      <c r="AC594" s="196"/>
      <c r="AD594" s="196"/>
    </row>
    <row r="595" spans="1:30" ht="12.9">
      <c r="A595" s="196"/>
      <c r="B595" s="143"/>
      <c r="C595" s="196"/>
      <c r="D595" s="196"/>
      <c r="E595" s="196"/>
      <c r="F595" s="196"/>
      <c r="G595" s="24"/>
      <c r="H595" s="24"/>
      <c r="I595" s="196"/>
      <c r="J595" s="196"/>
      <c r="K595" s="196"/>
      <c r="L595" s="196"/>
      <c r="M595" s="196"/>
      <c r="N595" s="196"/>
      <c r="O595" s="196"/>
      <c r="P595" s="196"/>
      <c r="Q595" s="196"/>
      <c r="R595" s="196"/>
      <c r="S595" s="196"/>
      <c r="T595" s="196"/>
      <c r="U595" s="196"/>
      <c r="V595" s="196"/>
      <c r="W595" s="196"/>
      <c r="X595" s="196"/>
      <c r="Y595" s="196"/>
      <c r="Z595" s="196"/>
      <c r="AA595" s="196"/>
      <c r="AB595" s="196"/>
      <c r="AC595" s="196"/>
      <c r="AD595" s="196"/>
    </row>
    <row r="596" spans="1:30" ht="12.9">
      <c r="A596" s="196"/>
      <c r="B596" s="143"/>
      <c r="C596" s="196"/>
      <c r="D596" s="196"/>
      <c r="E596" s="196"/>
      <c r="F596" s="196"/>
      <c r="G596" s="24"/>
      <c r="H596" s="24"/>
      <c r="I596" s="196"/>
      <c r="J596" s="196"/>
      <c r="K596" s="196"/>
      <c r="L596" s="196"/>
      <c r="M596" s="196"/>
      <c r="N596" s="196"/>
      <c r="O596" s="196"/>
      <c r="P596" s="196"/>
      <c r="Q596" s="196"/>
      <c r="R596" s="196"/>
      <c r="S596" s="196"/>
      <c r="T596" s="196"/>
      <c r="U596" s="196"/>
      <c r="V596" s="196"/>
      <c r="W596" s="196"/>
      <c r="X596" s="196"/>
      <c r="Y596" s="196"/>
      <c r="Z596" s="196"/>
      <c r="AA596" s="196"/>
      <c r="AB596" s="196"/>
      <c r="AC596" s="196"/>
      <c r="AD596" s="196"/>
    </row>
    <row r="597" spans="1:30" ht="12.9">
      <c r="A597" s="196"/>
      <c r="B597" s="143"/>
      <c r="C597" s="196"/>
      <c r="D597" s="196"/>
      <c r="E597" s="196"/>
      <c r="F597" s="196"/>
      <c r="G597" s="24"/>
      <c r="H597" s="24"/>
      <c r="I597" s="196"/>
      <c r="J597" s="196"/>
      <c r="K597" s="196"/>
      <c r="L597" s="196"/>
      <c r="M597" s="196"/>
      <c r="N597" s="196"/>
      <c r="O597" s="196"/>
      <c r="P597" s="196"/>
      <c r="Q597" s="196"/>
      <c r="R597" s="196"/>
      <c r="S597" s="196"/>
      <c r="T597" s="196"/>
      <c r="U597" s="196"/>
      <c r="V597" s="196"/>
      <c r="W597" s="196"/>
      <c r="X597" s="196"/>
      <c r="Y597" s="196"/>
      <c r="Z597" s="196"/>
      <c r="AA597" s="196"/>
      <c r="AB597" s="196"/>
      <c r="AC597" s="196"/>
      <c r="AD597" s="196"/>
    </row>
    <row r="598" spans="1:30" ht="12.9">
      <c r="A598" s="196"/>
      <c r="B598" s="143"/>
      <c r="C598" s="196"/>
      <c r="D598" s="196"/>
      <c r="E598" s="196"/>
      <c r="F598" s="196"/>
      <c r="G598" s="24"/>
      <c r="H598" s="24"/>
      <c r="I598" s="196"/>
      <c r="J598" s="196"/>
      <c r="K598" s="196"/>
      <c r="L598" s="196"/>
      <c r="M598" s="196"/>
      <c r="N598" s="196"/>
      <c r="O598" s="196"/>
      <c r="P598" s="196"/>
      <c r="Q598" s="196"/>
      <c r="R598" s="196"/>
      <c r="S598" s="196"/>
      <c r="T598" s="196"/>
      <c r="U598" s="196"/>
      <c r="V598" s="196"/>
      <c r="W598" s="196"/>
      <c r="X598" s="196"/>
      <c r="Y598" s="196"/>
      <c r="Z598" s="196"/>
      <c r="AA598" s="196"/>
      <c r="AB598" s="196"/>
      <c r="AC598" s="196"/>
      <c r="AD598" s="196"/>
    </row>
    <row r="599" spans="1:30" ht="12.9">
      <c r="A599" s="196"/>
      <c r="B599" s="143"/>
      <c r="C599" s="196"/>
      <c r="D599" s="196"/>
      <c r="E599" s="196"/>
      <c r="F599" s="196"/>
      <c r="G599" s="24"/>
      <c r="H599" s="24"/>
      <c r="I599" s="196"/>
      <c r="J599" s="196"/>
      <c r="K599" s="196"/>
      <c r="L599" s="196"/>
      <c r="M599" s="196"/>
      <c r="N599" s="196"/>
      <c r="O599" s="196"/>
      <c r="P599" s="196"/>
      <c r="Q599" s="196"/>
      <c r="R599" s="196"/>
      <c r="S599" s="196"/>
      <c r="T599" s="196"/>
      <c r="U599" s="196"/>
      <c r="V599" s="196"/>
      <c r="W599" s="196"/>
      <c r="X599" s="196"/>
      <c r="Y599" s="196"/>
      <c r="Z599" s="196"/>
      <c r="AA599" s="196"/>
      <c r="AB599" s="196"/>
      <c r="AC599" s="196"/>
      <c r="AD599" s="196"/>
    </row>
    <row r="600" spans="1:30" ht="12.9">
      <c r="A600" s="196"/>
      <c r="B600" s="143"/>
      <c r="C600" s="196"/>
      <c r="D600" s="196"/>
      <c r="E600" s="196"/>
      <c r="F600" s="196"/>
      <c r="G600" s="24"/>
      <c r="H600" s="24"/>
      <c r="I600" s="196"/>
      <c r="J600" s="196"/>
      <c r="K600" s="196"/>
      <c r="L600" s="196"/>
      <c r="M600" s="196"/>
      <c r="N600" s="196"/>
      <c r="O600" s="196"/>
      <c r="P600" s="196"/>
      <c r="Q600" s="196"/>
      <c r="R600" s="196"/>
      <c r="S600" s="196"/>
      <c r="T600" s="196"/>
      <c r="U600" s="196"/>
      <c r="V600" s="196"/>
      <c r="W600" s="196"/>
      <c r="X600" s="196"/>
      <c r="Y600" s="196"/>
      <c r="Z600" s="196"/>
      <c r="AA600" s="196"/>
      <c r="AB600" s="196"/>
      <c r="AC600" s="196"/>
      <c r="AD600" s="196"/>
    </row>
    <row r="601" spans="1:30" ht="12.9">
      <c r="A601" s="196"/>
      <c r="B601" s="143"/>
      <c r="C601" s="196"/>
      <c r="D601" s="196"/>
      <c r="E601" s="196"/>
      <c r="F601" s="196"/>
      <c r="G601" s="24"/>
      <c r="H601" s="24"/>
      <c r="I601" s="196"/>
      <c r="J601" s="196"/>
      <c r="K601" s="196"/>
      <c r="L601" s="196"/>
      <c r="M601" s="196"/>
      <c r="N601" s="196"/>
      <c r="O601" s="196"/>
      <c r="P601" s="196"/>
      <c r="Q601" s="196"/>
      <c r="R601" s="196"/>
      <c r="S601" s="196"/>
      <c r="T601" s="196"/>
      <c r="U601" s="196"/>
      <c r="V601" s="196"/>
      <c r="W601" s="196"/>
      <c r="X601" s="196"/>
      <c r="Y601" s="196"/>
      <c r="Z601" s="196"/>
      <c r="AA601" s="196"/>
      <c r="AB601" s="196"/>
      <c r="AC601" s="196"/>
      <c r="AD601" s="196"/>
    </row>
    <row r="602" spans="1:30" ht="12.9">
      <c r="A602" s="196"/>
      <c r="B602" s="143"/>
      <c r="C602" s="196"/>
      <c r="D602" s="196"/>
      <c r="E602" s="196"/>
      <c r="F602" s="196"/>
      <c r="G602" s="24"/>
      <c r="H602" s="24"/>
      <c r="I602" s="196"/>
      <c r="J602" s="196"/>
      <c r="K602" s="196"/>
      <c r="L602" s="196"/>
      <c r="M602" s="196"/>
      <c r="N602" s="196"/>
      <c r="O602" s="196"/>
      <c r="P602" s="196"/>
      <c r="Q602" s="196"/>
      <c r="R602" s="196"/>
      <c r="S602" s="196"/>
      <c r="T602" s="196"/>
      <c r="U602" s="196"/>
      <c r="V602" s="196"/>
      <c r="W602" s="196"/>
      <c r="X602" s="196"/>
      <c r="Y602" s="196"/>
      <c r="Z602" s="196"/>
      <c r="AA602" s="196"/>
      <c r="AB602" s="196"/>
      <c r="AC602" s="196"/>
      <c r="AD602" s="196"/>
    </row>
    <row r="603" spans="1:30" ht="12.9">
      <c r="A603" s="196"/>
      <c r="B603" s="143"/>
      <c r="C603" s="196"/>
      <c r="D603" s="196"/>
      <c r="E603" s="196"/>
      <c r="F603" s="196"/>
      <c r="G603" s="24"/>
      <c r="H603" s="24"/>
      <c r="I603" s="196"/>
      <c r="J603" s="196"/>
      <c r="K603" s="196"/>
      <c r="L603" s="196"/>
      <c r="M603" s="196"/>
      <c r="N603" s="196"/>
      <c r="O603" s="196"/>
      <c r="P603" s="196"/>
      <c r="Q603" s="196"/>
      <c r="R603" s="196"/>
      <c r="S603" s="196"/>
      <c r="T603" s="196"/>
      <c r="U603" s="196"/>
      <c r="V603" s="196"/>
      <c r="W603" s="196"/>
      <c r="X603" s="196"/>
      <c r="Y603" s="196"/>
      <c r="Z603" s="196"/>
      <c r="AA603" s="196"/>
      <c r="AB603" s="196"/>
      <c r="AC603" s="196"/>
      <c r="AD603" s="196"/>
    </row>
    <row r="604" spans="1:30" ht="12.9">
      <c r="A604" s="196"/>
      <c r="B604" s="143"/>
      <c r="C604" s="196"/>
      <c r="D604" s="196"/>
      <c r="E604" s="196"/>
      <c r="F604" s="196"/>
      <c r="G604" s="24"/>
      <c r="H604" s="24"/>
      <c r="I604" s="196"/>
      <c r="J604" s="196"/>
      <c r="K604" s="196"/>
      <c r="L604" s="196"/>
      <c r="M604" s="196"/>
      <c r="N604" s="196"/>
      <c r="O604" s="196"/>
      <c r="P604" s="196"/>
      <c r="Q604" s="196"/>
      <c r="R604" s="196"/>
      <c r="S604" s="196"/>
      <c r="T604" s="196"/>
      <c r="U604" s="196"/>
      <c r="V604" s="196"/>
      <c r="W604" s="196"/>
      <c r="X604" s="196"/>
      <c r="Y604" s="196"/>
      <c r="Z604" s="196"/>
      <c r="AA604" s="196"/>
      <c r="AB604" s="196"/>
      <c r="AC604" s="196"/>
      <c r="AD604" s="196"/>
    </row>
    <row r="605" spans="1:30" ht="12.9">
      <c r="A605" s="196"/>
      <c r="B605" s="143"/>
      <c r="C605" s="196"/>
      <c r="D605" s="196"/>
      <c r="E605" s="196"/>
      <c r="F605" s="196"/>
      <c r="G605" s="24"/>
      <c r="H605" s="24"/>
      <c r="I605" s="196"/>
      <c r="J605" s="196"/>
      <c r="K605" s="196"/>
      <c r="L605" s="196"/>
      <c r="M605" s="196"/>
      <c r="N605" s="196"/>
      <c r="O605" s="196"/>
      <c r="P605" s="196"/>
      <c r="Q605" s="196"/>
      <c r="R605" s="196"/>
      <c r="S605" s="196"/>
      <c r="T605" s="196"/>
      <c r="U605" s="196"/>
      <c r="V605" s="196"/>
      <c r="W605" s="196"/>
      <c r="X605" s="196"/>
      <c r="Y605" s="196"/>
      <c r="Z605" s="196"/>
      <c r="AA605" s="196"/>
      <c r="AB605" s="196"/>
      <c r="AC605" s="196"/>
      <c r="AD605" s="196"/>
    </row>
    <row r="606" spans="1:30" ht="12.9">
      <c r="A606" s="196"/>
      <c r="B606" s="143"/>
      <c r="C606" s="196"/>
      <c r="D606" s="196"/>
      <c r="E606" s="196"/>
      <c r="F606" s="196"/>
      <c r="G606" s="24"/>
      <c r="H606" s="24"/>
      <c r="I606" s="196"/>
      <c r="J606" s="196"/>
      <c r="K606" s="196"/>
      <c r="L606" s="196"/>
      <c r="M606" s="196"/>
      <c r="N606" s="196"/>
      <c r="O606" s="196"/>
      <c r="P606" s="196"/>
      <c r="Q606" s="196"/>
      <c r="R606" s="196"/>
      <c r="S606" s="196"/>
      <c r="T606" s="196"/>
      <c r="U606" s="196"/>
      <c r="V606" s="196"/>
      <c r="W606" s="196"/>
      <c r="X606" s="196"/>
      <c r="Y606" s="196"/>
      <c r="Z606" s="196"/>
      <c r="AA606" s="196"/>
      <c r="AB606" s="196"/>
      <c r="AC606" s="196"/>
      <c r="AD606" s="196"/>
    </row>
    <row r="607" spans="1:30" ht="12.9">
      <c r="A607" s="196"/>
      <c r="B607" s="143"/>
      <c r="C607" s="196"/>
      <c r="D607" s="196"/>
      <c r="E607" s="196"/>
      <c r="F607" s="196"/>
      <c r="G607" s="24"/>
      <c r="H607" s="24"/>
      <c r="I607" s="196"/>
      <c r="J607" s="196"/>
      <c r="K607" s="196"/>
      <c r="L607" s="196"/>
      <c r="M607" s="196"/>
      <c r="N607" s="196"/>
      <c r="O607" s="196"/>
      <c r="P607" s="196"/>
      <c r="Q607" s="196"/>
      <c r="R607" s="196"/>
      <c r="S607" s="196"/>
      <c r="T607" s="196"/>
      <c r="U607" s="196"/>
      <c r="V607" s="196"/>
      <c r="W607" s="196"/>
      <c r="X607" s="196"/>
      <c r="Y607" s="196"/>
      <c r="Z607" s="196"/>
      <c r="AA607" s="196"/>
      <c r="AB607" s="196"/>
      <c r="AC607" s="196"/>
      <c r="AD607" s="196"/>
    </row>
    <row r="608" spans="1:30" ht="12.9">
      <c r="A608" s="196"/>
      <c r="B608" s="143"/>
      <c r="C608" s="196"/>
      <c r="D608" s="196"/>
      <c r="E608" s="196"/>
      <c r="F608" s="196"/>
      <c r="G608" s="24"/>
      <c r="H608" s="24"/>
      <c r="I608" s="196"/>
      <c r="J608" s="196"/>
      <c r="K608" s="196"/>
      <c r="L608" s="196"/>
      <c r="M608" s="196"/>
      <c r="N608" s="196"/>
      <c r="O608" s="196"/>
      <c r="P608" s="196"/>
      <c r="Q608" s="196"/>
      <c r="R608" s="196"/>
      <c r="S608" s="196"/>
      <c r="T608" s="196"/>
      <c r="U608" s="196"/>
      <c r="V608" s="196"/>
      <c r="W608" s="196"/>
      <c r="X608" s="196"/>
      <c r="Y608" s="196"/>
      <c r="Z608" s="196"/>
      <c r="AA608" s="196"/>
      <c r="AB608" s="196"/>
      <c r="AC608" s="196"/>
      <c r="AD608" s="196"/>
    </row>
    <row r="609" spans="1:30" ht="12.9">
      <c r="A609" s="196"/>
      <c r="B609" s="143"/>
      <c r="C609" s="196"/>
      <c r="D609" s="196"/>
      <c r="E609" s="196"/>
      <c r="F609" s="196"/>
      <c r="G609" s="24"/>
      <c r="H609" s="24"/>
      <c r="I609" s="196"/>
      <c r="J609" s="196"/>
      <c r="K609" s="196"/>
      <c r="L609" s="196"/>
      <c r="M609" s="196"/>
      <c r="N609" s="196"/>
      <c r="O609" s="196"/>
      <c r="P609" s="196"/>
      <c r="Q609" s="196"/>
      <c r="R609" s="196"/>
      <c r="S609" s="196"/>
      <c r="T609" s="196"/>
      <c r="U609" s="196"/>
      <c r="V609" s="196"/>
      <c r="W609" s="196"/>
      <c r="X609" s="196"/>
      <c r="Y609" s="196"/>
      <c r="Z609" s="196"/>
      <c r="AA609" s="196"/>
      <c r="AB609" s="196"/>
      <c r="AC609" s="196"/>
      <c r="AD609" s="196"/>
    </row>
    <row r="610" spans="1:30" ht="12.9">
      <c r="A610" s="196"/>
      <c r="B610" s="143"/>
      <c r="C610" s="196"/>
      <c r="D610" s="196"/>
      <c r="E610" s="196"/>
      <c r="F610" s="196"/>
      <c r="G610" s="24"/>
      <c r="H610" s="24"/>
      <c r="I610" s="196"/>
      <c r="J610" s="196"/>
      <c r="K610" s="196"/>
      <c r="L610" s="196"/>
      <c r="M610" s="196"/>
      <c r="N610" s="196"/>
      <c r="O610" s="196"/>
      <c r="P610" s="196"/>
      <c r="Q610" s="196"/>
      <c r="R610" s="196"/>
      <c r="S610" s="196"/>
      <c r="T610" s="196"/>
      <c r="U610" s="196"/>
      <c r="V610" s="196"/>
      <c r="W610" s="196"/>
      <c r="X610" s="196"/>
      <c r="Y610" s="196"/>
      <c r="Z610" s="196"/>
      <c r="AA610" s="196"/>
      <c r="AB610" s="196"/>
      <c r="AC610" s="196"/>
      <c r="AD610" s="196"/>
    </row>
    <row r="611" spans="1:30" ht="12.9">
      <c r="A611" s="196"/>
      <c r="B611" s="143"/>
      <c r="C611" s="196"/>
      <c r="D611" s="196"/>
      <c r="E611" s="196"/>
      <c r="F611" s="196"/>
      <c r="G611" s="24"/>
      <c r="H611" s="24"/>
      <c r="I611" s="196"/>
      <c r="J611" s="196"/>
      <c r="K611" s="196"/>
      <c r="L611" s="196"/>
      <c r="M611" s="196"/>
      <c r="N611" s="196"/>
      <c r="O611" s="196"/>
      <c r="P611" s="196"/>
      <c r="Q611" s="196"/>
      <c r="R611" s="196"/>
      <c r="S611" s="196"/>
      <c r="T611" s="196"/>
      <c r="U611" s="196"/>
      <c r="V611" s="196"/>
      <c r="W611" s="196"/>
      <c r="X611" s="196"/>
      <c r="Y611" s="196"/>
      <c r="Z611" s="196"/>
      <c r="AA611" s="196"/>
      <c r="AB611" s="196"/>
      <c r="AC611" s="196"/>
      <c r="AD611" s="196"/>
    </row>
    <row r="612" spans="1:30" ht="12.9">
      <c r="A612" s="196"/>
      <c r="B612" s="143"/>
      <c r="C612" s="196"/>
      <c r="D612" s="196"/>
      <c r="E612" s="196"/>
      <c r="F612" s="196"/>
      <c r="G612" s="24"/>
      <c r="H612" s="24"/>
      <c r="I612" s="196"/>
      <c r="J612" s="196"/>
      <c r="K612" s="196"/>
      <c r="L612" s="196"/>
      <c r="M612" s="196"/>
      <c r="N612" s="196"/>
      <c r="O612" s="196"/>
      <c r="P612" s="196"/>
      <c r="Q612" s="196"/>
      <c r="R612" s="196"/>
      <c r="S612" s="196"/>
      <c r="T612" s="196"/>
      <c r="U612" s="196"/>
      <c r="V612" s="196"/>
      <c r="W612" s="196"/>
      <c r="X612" s="196"/>
      <c r="Y612" s="196"/>
      <c r="Z612" s="196"/>
      <c r="AA612" s="196"/>
      <c r="AB612" s="196"/>
      <c r="AC612" s="196"/>
      <c r="AD612" s="196"/>
    </row>
    <row r="613" spans="1:30" ht="12.9">
      <c r="A613" s="196"/>
      <c r="B613" s="143"/>
      <c r="C613" s="196"/>
      <c r="D613" s="196"/>
      <c r="E613" s="196"/>
      <c r="F613" s="196"/>
      <c r="G613" s="24"/>
      <c r="H613" s="24"/>
      <c r="I613" s="196"/>
      <c r="J613" s="196"/>
      <c r="K613" s="196"/>
      <c r="L613" s="196"/>
      <c r="M613" s="196"/>
      <c r="N613" s="196"/>
      <c r="O613" s="196"/>
      <c r="P613" s="196"/>
      <c r="Q613" s="196"/>
      <c r="R613" s="196"/>
      <c r="S613" s="196"/>
      <c r="T613" s="196"/>
      <c r="U613" s="196"/>
      <c r="V613" s="196"/>
      <c r="W613" s="196"/>
      <c r="X613" s="196"/>
      <c r="Y613" s="196"/>
      <c r="Z613" s="196"/>
      <c r="AA613" s="196"/>
      <c r="AB613" s="196"/>
      <c r="AC613" s="196"/>
      <c r="AD613" s="196"/>
    </row>
    <row r="614" spans="1:30" ht="12.9">
      <c r="A614" s="196"/>
      <c r="B614" s="143"/>
      <c r="C614" s="196"/>
      <c r="D614" s="196"/>
      <c r="E614" s="196"/>
      <c r="F614" s="196"/>
      <c r="G614" s="24"/>
      <c r="H614" s="24"/>
      <c r="I614" s="196"/>
      <c r="J614" s="196"/>
      <c r="K614" s="196"/>
      <c r="L614" s="196"/>
      <c r="M614" s="196"/>
      <c r="N614" s="196"/>
      <c r="O614" s="196"/>
      <c r="P614" s="196"/>
      <c r="Q614" s="196"/>
      <c r="R614" s="196"/>
      <c r="S614" s="196"/>
      <c r="T614" s="196"/>
      <c r="U614" s="196"/>
      <c r="V614" s="196"/>
      <c r="W614" s="196"/>
      <c r="X614" s="196"/>
      <c r="Y614" s="196"/>
      <c r="Z614" s="196"/>
      <c r="AA614" s="196"/>
      <c r="AB614" s="196"/>
      <c r="AC614" s="196"/>
      <c r="AD614" s="196"/>
    </row>
    <row r="615" spans="1:30" ht="12.9">
      <c r="A615" s="196"/>
      <c r="B615" s="143"/>
      <c r="C615" s="196"/>
      <c r="D615" s="196"/>
      <c r="E615" s="196"/>
      <c r="F615" s="196"/>
      <c r="G615" s="24"/>
      <c r="H615" s="24"/>
      <c r="I615" s="196"/>
      <c r="J615" s="196"/>
      <c r="K615" s="196"/>
      <c r="L615" s="196"/>
      <c r="M615" s="196"/>
      <c r="N615" s="196"/>
      <c r="O615" s="196"/>
      <c r="P615" s="196"/>
      <c r="Q615" s="196"/>
      <c r="R615" s="196"/>
      <c r="S615" s="196"/>
      <c r="T615" s="196"/>
      <c r="U615" s="196"/>
      <c r="V615" s="196"/>
      <c r="W615" s="196"/>
      <c r="X615" s="196"/>
      <c r="Y615" s="196"/>
      <c r="Z615" s="196"/>
      <c r="AA615" s="196"/>
      <c r="AB615" s="196"/>
      <c r="AC615" s="196"/>
      <c r="AD615" s="196"/>
    </row>
    <row r="616" spans="1:30" ht="12.9">
      <c r="A616" s="196"/>
      <c r="B616" s="143"/>
      <c r="C616" s="196"/>
      <c r="D616" s="196"/>
      <c r="E616" s="196"/>
      <c r="F616" s="196"/>
      <c r="G616" s="24"/>
      <c r="H616" s="24"/>
      <c r="I616" s="196"/>
      <c r="J616" s="196"/>
      <c r="K616" s="196"/>
      <c r="L616" s="196"/>
      <c r="M616" s="196"/>
      <c r="N616" s="196"/>
      <c r="O616" s="196"/>
      <c r="P616" s="196"/>
      <c r="Q616" s="196"/>
      <c r="R616" s="196"/>
      <c r="S616" s="196"/>
      <c r="T616" s="196"/>
      <c r="U616" s="196"/>
      <c r="V616" s="196"/>
      <c r="W616" s="196"/>
      <c r="X616" s="196"/>
      <c r="Y616" s="196"/>
      <c r="Z616" s="196"/>
      <c r="AA616" s="196"/>
      <c r="AB616" s="196"/>
      <c r="AC616" s="196"/>
      <c r="AD616" s="196"/>
    </row>
    <row r="617" spans="1:30" ht="12.9">
      <c r="A617" s="196"/>
      <c r="B617" s="143"/>
      <c r="C617" s="196"/>
      <c r="D617" s="196"/>
      <c r="E617" s="196"/>
      <c r="F617" s="196"/>
      <c r="G617" s="24"/>
      <c r="H617" s="24"/>
      <c r="I617" s="196"/>
      <c r="J617" s="196"/>
      <c r="K617" s="196"/>
      <c r="L617" s="196"/>
      <c r="M617" s="196"/>
      <c r="N617" s="196"/>
      <c r="O617" s="196"/>
      <c r="P617" s="196"/>
      <c r="Q617" s="196"/>
      <c r="R617" s="196"/>
      <c r="S617" s="196"/>
      <c r="T617" s="196"/>
      <c r="U617" s="196"/>
      <c r="V617" s="196"/>
      <c r="W617" s="196"/>
      <c r="X617" s="196"/>
      <c r="Y617" s="196"/>
      <c r="Z617" s="196"/>
      <c r="AA617" s="196"/>
      <c r="AB617" s="196"/>
      <c r="AC617" s="196"/>
      <c r="AD617" s="196"/>
    </row>
    <row r="618" spans="1:30" ht="12.9">
      <c r="A618" s="196"/>
      <c r="B618" s="143"/>
      <c r="C618" s="196"/>
      <c r="D618" s="196"/>
      <c r="E618" s="196"/>
      <c r="F618" s="196"/>
      <c r="G618" s="24"/>
      <c r="H618" s="24"/>
      <c r="I618" s="196"/>
      <c r="J618" s="196"/>
      <c r="K618" s="196"/>
      <c r="L618" s="196"/>
      <c r="M618" s="196"/>
      <c r="N618" s="196"/>
      <c r="O618" s="196"/>
      <c r="P618" s="196"/>
      <c r="Q618" s="196"/>
      <c r="R618" s="196"/>
      <c r="S618" s="196"/>
      <c r="T618" s="196"/>
      <c r="U618" s="196"/>
      <c r="V618" s="196"/>
      <c r="W618" s="196"/>
      <c r="X618" s="196"/>
      <c r="Y618" s="196"/>
      <c r="Z618" s="196"/>
      <c r="AA618" s="196"/>
      <c r="AB618" s="196"/>
      <c r="AC618" s="196"/>
      <c r="AD618" s="196"/>
    </row>
    <row r="619" spans="1:30" ht="12.9">
      <c r="A619" s="196"/>
      <c r="B619" s="143"/>
      <c r="C619" s="196"/>
      <c r="D619" s="196"/>
      <c r="E619" s="196"/>
      <c r="F619" s="196"/>
      <c r="G619" s="24"/>
      <c r="H619" s="24"/>
      <c r="I619" s="196"/>
      <c r="J619" s="196"/>
      <c r="K619" s="196"/>
      <c r="L619" s="196"/>
      <c r="M619" s="196"/>
      <c r="N619" s="196"/>
      <c r="O619" s="196"/>
      <c r="P619" s="196"/>
      <c r="Q619" s="196"/>
      <c r="R619" s="196"/>
      <c r="S619" s="196"/>
      <c r="T619" s="196"/>
      <c r="U619" s="196"/>
      <c r="V619" s="196"/>
      <c r="W619" s="196"/>
      <c r="X619" s="196"/>
      <c r="Y619" s="196"/>
      <c r="Z619" s="196"/>
      <c r="AA619" s="196"/>
      <c r="AB619" s="196"/>
      <c r="AC619" s="196"/>
      <c r="AD619" s="196"/>
    </row>
    <row r="620" spans="1:30" ht="12.9">
      <c r="A620" s="196"/>
      <c r="B620" s="143"/>
      <c r="C620" s="196"/>
      <c r="D620" s="196"/>
      <c r="E620" s="196"/>
      <c r="F620" s="196"/>
      <c r="G620" s="24"/>
      <c r="H620" s="24"/>
      <c r="I620" s="196"/>
      <c r="J620" s="196"/>
      <c r="K620" s="196"/>
      <c r="L620" s="196"/>
      <c r="M620" s="196"/>
      <c r="N620" s="196"/>
      <c r="O620" s="196"/>
      <c r="P620" s="196"/>
      <c r="Q620" s="196"/>
      <c r="R620" s="196"/>
      <c r="S620" s="196"/>
      <c r="T620" s="196"/>
      <c r="U620" s="196"/>
      <c r="V620" s="196"/>
      <c r="W620" s="196"/>
      <c r="X620" s="196"/>
      <c r="Y620" s="196"/>
      <c r="Z620" s="196"/>
      <c r="AA620" s="196"/>
      <c r="AB620" s="196"/>
      <c r="AC620" s="196"/>
      <c r="AD620" s="196"/>
    </row>
    <row r="621" spans="1:30" ht="12.9">
      <c r="A621" s="196"/>
      <c r="B621" s="143"/>
      <c r="C621" s="196"/>
      <c r="D621" s="196"/>
      <c r="E621" s="196"/>
      <c r="F621" s="196"/>
      <c r="G621" s="24"/>
      <c r="H621" s="24"/>
      <c r="I621" s="196"/>
      <c r="J621" s="196"/>
      <c r="K621" s="196"/>
      <c r="L621" s="196"/>
      <c r="M621" s="196"/>
      <c r="N621" s="196"/>
      <c r="O621" s="196"/>
      <c r="P621" s="196"/>
      <c r="Q621" s="196"/>
      <c r="R621" s="196"/>
      <c r="S621" s="196"/>
      <c r="T621" s="196"/>
      <c r="U621" s="196"/>
      <c r="V621" s="196"/>
      <c r="W621" s="196"/>
      <c r="X621" s="196"/>
      <c r="Y621" s="196"/>
      <c r="Z621" s="196"/>
      <c r="AA621" s="196"/>
      <c r="AB621" s="196"/>
      <c r="AC621" s="196"/>
      <c r="AD621" s="196"/>
    </row>
    <row r="622" spans="1:30" ht="12.9">
      <c r="A622" s="196"/>
      <c r="B622" s="143"/>
      <c r="C622" s="196"/>
      <c r="D622" s="196"/>
      <c r="E622" s="196"/>
      <c r="F622" s="196"/>
      <c r="G622" s="24"/>
      <c r="H622" s="24"/>
      <c r="I622" s="196"/>
      <c r="J622" s="196"/>
      <c r="K622" s="196"/>
      <c r="L622" s="196"/>
      <c r="M622" s="196"/>
      <c r="N622" s="196"/>
      <c r="O622" s="196"/>
      <c r="P622" s="196"/>
      <c r="Q622" s="196"/>
      <c r="R622" s="196"/>
      <c r="S622" s="196"/>
      <c r="T622" s="196"/>
      <c r="U622" s="196"/>
      <c r="V622" s="196"/>
      <c r="W622" s="196"/>
      <c r="X622" s="196"/>
      <c r="Y622" s="196"/>
      <c r="Z622" s="196"/>
      <c r="AA622" s="196"/>
      <c r="AB622" s="196"/>
      <c r="AC622" s="196"/>
      <c r="AD622" s="196"/>
    </row>
    <row r="623" spans="1:30" ht="12.9">
      <c r="A623" s="196"/>
      <c r="B623" s="143"/>
      <c r="C623" s="196"/>
      <c r="D623" s="196"/>
      <c r="E623" s="196"/>
      <c r="F623" s="196"/>
      <c r="G623" s="24"/>
      <c r="H623" s="24"/>
      <c r="I623" s="196"/>
      <c r="J623" s="196"/>
      <c r="K623" s="196"/>
      <c r="L623" s="196"/>
      <c r="M623" s="196"/>
      <c r="N623" s="196"/>
      <c r="O623" s="196"/>
      <c r="P623" s="196"/>
      <c r="Q623" s="196"/>
      <c r="R623" s="196"/>
      <c r="S623" s="196"/>
      <c r="T623" s="196"/>
      <c r="U623" s="196"/>
      <c r="V623" s="196"/>
      <c r="W623" s="196"/>
      <c r="X623" s="196"/>
      <c r="Y623" s="196"/>
      <c r="Z623" s="196"/>
      <c r="AA623" s="196"/>
      <c r="AB623" s="196"/>
      <c r="AC623" s="196"/>
      <c r="AD623" s="196"/>
    </row>
    <row r="624" spans="1:30" ht="12.9">
      <c r="A624" s="196"/>
      <c r="B624" s="143"/>
      <c r="C624" s="196"/>
      <c r="D624" s="196"/>
      <c r="E624" s="196"/>
      <c r="F624" s="196"/>
      <c r="G624" s="24"/>
      <c r="H624" s="24"/>
      <c r="I624" s="196"/>
      <c r="J624" s="196"/>
      <c r="K624" s="196"/>
      <c r="L624" s="196"/>
      <c r="M624" s="196"/>
      <c r="N624" s="196"/>
      <c r="O624" s="196"/>
      <c r="P624" s="196"/>
      <c r="Q624" s="196"/>
      <c r="R624" s="196"/>
      <c r="S624" s="196"/>
      <c r="T624" s="196"/>
      <c r="U624" s="196"/>
      <c r="V624" s="196"/>
      <c r="W624" s="196"/>
      <c r="X624" s="196"/>
      <c r="Y624" s="196"/>
      <c r="Z624" s="196"/>
      <c r="AA624" s="196"/>
      <c r="AB624" s="196"/>
      <c r="AC624" s="196"/>
      <c r="AD624" s="196"/>
    </row>
    <row r="625" spans="1:30" ht="12.9">
      <c r="A625" s="196"/>
      <c r="B625" s="143"/>
      <c r="C625" s="196"/>
      <c r="D625" s="196"/>
      <c r="E625" s="196"/>
      <c r="F625" s="196"/>
      <c r="G625" s="24"/>
      <c r="H625" s="24"/>
      <c r="I625" s="196"/>
      <c r="J625" s="196"/>
      <c r="K625" s="196"/>
      <c r="L625" s="196"/>
      <c r="M625" s="196"/>
      <c r="N625" s="196"/>
      <c r="O625" s="196"/>
      <c r="P625" s="196"/>
      <c r="Q625" s="196"/>
      <c r="R625" s="196"/>
      <c r="S625" s="196"/>
      <c r="T625" s="196"/>
      <c r="U625" s="196"/>
      <c r="V625" s="196"/>
      <c r="W625" s="196"/>
      <c r="X625" s="196"/>
      <c r="Y625" s="196"/>
      <c r="Z625" s="196"/>
      <c r="AA625" s="196"/>
      <c r="AB625" s="196"/>
      <c r="AC625" s="196"/>
      <c r="AD625" s="196"/>
    </row>
    <row r="626" spans="1:30" ht="12.9">
      <c r="A626" s="196"/>
      <c r="B626" s="143"/>
      <c r="C626" s="196"/>
      <c r="D626" s="196"/>
      <c r="E626" s="196"/>
      <c r="F626" s="196"/>
      <c r="G626" s="24"/>
      <c r="H626" s="24"/>
      <c r="I626" s="196"/>
      <c r="J626" s="196"/>
      <c r="K626" s="196"/>
      <c r="L626" s="196"/>
      <c r="M626" s="196"/>
      <c r="N626" s="196"/>
      <c r="O626" s="196"/>
      <c r="P626" s="196"/>
      <c r="Q626" s="196"/>
      <c r="R626" s="196"/>
      <c r="S626" s="196"/>
      <c r="T626" s="196"/>
      <c r="U626" s="196"/>
      <c r="V626" s="196"/>
      <c r="W626" s="196"/>
      <c r="X626" s="196"/>
      <c r="Y626" s="196"/>
      <c r="Z626" s="196"/>
      <c r="AA626" s="196"/>
      <c r="AB626" s="196"/>
      <c r="AC626" s="196"/>
      <c r="AD626" s="196"/>
    </row>
    <row r="627" spans="1:30" ht="12.9">
      <c r="A627" s="196"/>
      <c r="B627" s="143"/>
      <c r="C627" s="196"/>
      <c r="D627" s="196"/>
      <c r="E627" s="196"/>
      <c r="F627" s="196"/>
      <c r="G627" s="24"/>
      <c r="H627" s="24"/>
      <c r="I627" s="196"/>
      <c r="J627" s="196"/>
      <c r="K627" s="196"/>
      <c r="L627" s="196"/>
      <c r="M627" s="196"/>
      <c r="N627" s="196"/>
      <c r="O627" s="196"/>
      <c r="P627" s="196"/>
      <c r="Q627" s="196"/>
      <c r="R627" s="196"/>
      <c r="S627" s="196"/>
      <c r="T627" s="196"/>
      <c r="U627" s="196"/>
      <c r="V627" s="196"/>
      <c r="W627" s="196"/>
      <c r="X627" s="196"/>
      <c r="Y627" s="196"/>
      <c r="Z627" s="196"/>
      <c r="AA627" s="196"/>
      <c r="AB627" s="196"/>
      <c r="AC627" s="196"/>
      <c r="AD627" s="196"/>
    </row>
    <row r="628" spans="1:30" ht="12.9">
      <c r="A628" s="196"/>
      <c r="B628" s="143"/>
      <c r="C628" s="196"/>
      <c r="D628" s="196"/>
      <c r="E628" s="196"/>
      <c r="F628" s="196"/>
      <c r="G628" s="24"/>
      <c r="H628" s="24"/>
      <c r="I628" s="196"/>
      <c r="J628" s="196"/>
      <c r="K628" s="196"/>
      <c r="L628" s="196"/>
      <c r="M628" s="196"/>
      <c r="N628" s="196"/>
      <c r="O628" s="196"/>
      <c r="P628" s="196"/>
      <c r="Q628" s="196"/>
      <c r="R628" s="196"/>
      <c r="S628" s="196"/>
      <c r="T628" s="196"/>
      <c r="U628" s="196"/>
      <c r="V628" s="196"/>
      <c r="W628" s="196"/>
      <c r="X628" s="196"/>
      <c r="Y628" s="196"/>
      <c r="Z628" s="196"/>
      <c r="AA628" s="196"/>
      <c r="AB628" s="196"/>
      <c r="AC628" s="196"/>
      <c r="AD628" s="196"/>
    </row>
    <row r="629" spans="1:30" ht="12.9">
      <c r="A629" s="196"/>
      <c r="B629" s="143"/>
      <c r="C629" s="196"/>
      <c r="D629" s="196"/>
      <c r="E629" s="196"/>
      <c r="F629" s="196"/>
      <c r="G629" s="24"/>
      <c r="H629" s="24"/>
      <c r="I629" s="196"/>
      <c r="J629" s="196"/>
      <c r="K629" s="196"/>
      <c r="L629" s="196"/>
      <c r="M629" s="196"/>
      <c r="N629" s="196"/>
      <c r="O629" s="196"/>
      <c r="P629" s="196"/>
      <c r="Q629" s="196"/>
      <c r="R629" s="196"/>
      <c r="S629" s="196"/>
      <c r="T629" s="196"/>
      <c r="U629" s="196"/>
      <c r="V629" s="196"/>
      <c r="W629" s="196"/>
      <c r="X629" s="196"/>
      <c r="Y629" s="196"/>
      <c r="Z629" s="196"/>
      <c r="AA629" s="196"/>
      <c r="AB629" s="196"/>
      <c r="AC629" s="196"/>
      <c r="AD629" s="196"/>
    </row>
    <row r="630" spans="1:30" ht="12.9">
      <c r="A630" s="196"/>
      <c r="B630" s="143"/>
      <c r="C630" s="196"/>
      <c r="D630" s="196"/>
      <c r="E630" s="196"/>
      <c r="F630" s="196"/>
      <c r="G630" s="24"/>
      <c r="H630" s="24"/>
      <c r="I630" s="196"/>
      <c r="J630" s="196"/>
      <c r="K630" s="196"/>
      <c r="L630" s="196"/>
      <c r="M630" s="196"/>
      <c r="N630" s="196"/>
      <c r="O630" s="196"/>
      <c r="P630" s="196"/>
      <c r="Q630" s="196"/>
      <c r="R630" s="196"/>
      <c r="S630" s="196"/>
      <c r="T630" s="196"/>
      <c r="U630" s="196"/>
      <c r="V630" s="196"/>
      <c r="W630" s="196"/>
      <c r="X630" s="196"/>
      <c r="Y630" s="196"/>
      <c r="Z630" s="196"/>
      <c r="AA630" s="196"/>
      <c r="AB630" s="196"/>
      <c r="AC630" s="196"/>
      <c r="AD630" s="196"/>
    </row>
    <row r="631" spans="1:30" ht="12.9">
      <c r="A631" s="196"/>
      <c r="B631" s="143"/>
      <c r="C631" s="196"/>
      <c r="D631" s="196"/>
      <c r="E631" s="196"/>
      <c r="F631" s="196"/>
      <c r="G631" s="24"/>
      <c r="H631" s="24"/>
      <c r="I631" s="196"/>
      <c r="J631" s="196"/>
      <c r="K631" s="196"/>
      <c r="L631" s="196"/>
      <c r="M631" s="196"/>
      <c r="N631" s="196"/>
      <c r="O631" s="196"/>
      <c r="P631" s="196"/>
      <c r="Q631" s="196"/>
      <c r="R631" s="196"/>
      <c r="S631" s="196"/>
      <c r="T631" s="196"/>
      <c r="U631" s="196"/>
      <c r="V631" s="196"/>
      <c r="W631" s="196"/>
      <c r="X631" s="196"/>
      <c r="Y631" s="196"/>
      <c r="Z631" s="196"/>
      <c r="AA631" s="196"/>
      <c r="AB631" s="196"/>
      <c r="AC631" s="196"/>
      <c r="AD631" s="196"/>
    </row>
    <row r="632" spans="1:30" ht="12.9">
      <c r="A632" s="196"/>
      <c r="B632" s="143"/>
      <c r="C632" s="196"/>
      <c r="D632" s="196"/>
      <c r="E632" s="196"/>
      <c r="F632" s="196"/>
      <c r="G632" s="24"/>
      <c r="H632" s="24"/>
      <c r="I632" s="196"/>
      <c r="J632" s="196"/>
      <c r="K632" s="196"/>
      <c r="L632" s="196"/>
      <c r="M632" s="196"/>
      <c r="N632" s="196"/>
      <c r="O632" s="196"/>
      <c r="P632" s="196"/>
      <c r="Q632" s="196"/>
      <c r="R632" s="196"/>
      <c r="S632" s="196"/>
      <c r="T632" s="196"/>
      <c r="U632" s="196"/>
      <c r="V632" s="196"/>
      <c r="W632" s="196"/>
      <c r="X632" s="196"/>
      <c r="Y632" s="196"/>
      <c r="Z632" s="196"/>
      <c r="AA632" s="196"/>
      <c r="AB632" s="196"/>
      <c r="AC632" s="196"/>
      <c r="AD632" s="196"/>
    </row>
    <row r="633" spans="1:30" ht="12.9">
      <c r="A633" s="196"/>
      <c r="B633" s="143"/>
      <c r="C633" s="196"/>
      <c r="D633" s="196"/>
      <c r="E633" s="196"/>
      <c r="F633" s="196"/>
      <c r="G633" s="24"/>
      <c r="H633" s="24"/>
      <c r="I633" s="196"/>
      <c r="J633" s="196"/>
      <c r="K633" s="196"/>
      <c r="L633" s="196"/>
      <c r="M633" s="196"/>
      <c r="N633" s="196"/>
      <c r="O633" s="196"/>
      <c r="P633" s="196"/>
      <c r="Q633" s="196"/>
      <c r="R633" s="196"/>
      <c r="S633" s="196"/>
      <c r="T633" s="196"/>
      <c r="U633" s="196"/>
      <c r="V633" s="196"/>
      <c r="W633" s="196"/>
      <c r="X633" s="196"/>
      <c r="Y633" s="196"/>
      <c r="Z633" s="196"/>
      <c r="AA633" s="196"/>
      <c r="AB633" s="196"/>
      <c r="AC633" s="196"/>
      <c r="AD633" s="196"/>
    </row>
    <row r="634" spans="1:30" ht="12.9">
      <c r="A634" s="196"/>
      <c r="B634" s="143"/>
      <c r="C634" s="196"/>
      <c r="D634" s="196"/>
      <c r="E634" s="196"/>
      <c r="F634" s="196"/>
      <c r="G634" s="24"/>
      <c r="H634" s="24"/>
      <c r="I634" s="196"/>
      <c r="J634" s="196"/>
      <c r="K634" s="196"/>
      <c r="L634" s="196"/>
      <c r="M634" s="196"/>
      <c r="N634" s="196"/>
      <c r="O634" s="196"/>
      <c r="P634" s="196"/>
      <c r="Q634" s="196"/>
      <c r="R634" s="196"/>
      <c r="S634" s="196"/>
      <c r="T634" s="196"/>
      <c r="U634" s="196"/>
      <c r="V634" s="196"/>
      <c r="W634" s="196"/>
      <c r="X634" s="196"/>
      <c r="Y634" s="196"/>
      <c r="Z634" s="196"/>
      <c r="AA634" s="196"/>
      <c r="AB634" s="196"/>
      <c r="AC634" s="196"/>
      <c r="AD634" s="196"/>
    </row>
    <row r="635" spans="1:30" ht="12.9">
      <c r="A635" s="196"/>
      <c r="B635" s="143"/>
      <c r="C635" s="196"/>
      <c r="D635" s="196"/>
      <c r="E635" s="196"/>
      <c r="F635" s="196"/>
      <c r="G635" s="24"/>
      <c r="H635" s="24"/>
      <c r="I635" s="196"/>
      <c r="J635" s="196"/>
      <c r="K635" s="196"/>
      <c r="L635" s="196"/>
      <c r="M635" s="196"/>
      <c r="N635" s="196"/>
      <c r="O635" s="196"/>
      <c r="P635" s="196"/>
      <c r="Q635" s="196"/>
      <c r="R635" s="196"/>
      <c r="S635" s="196"/>
      <c r="T635" s="196"/>
      <c r="U635" s="196"/>
      <c r="V635" s="196"/>
      <c r="W635" s="196"/>
      <c r="X635" s="196"/>
      <c r="Y635" s="196"/>
      <c r="Z635" s="196"/>
      <c r="AA635" s="196"/>
      <c r="AB635" s="196"/>
      <c r="AC635" s="196"/>
      <c r="AD635" s="196"/>
    </row>
    <row r="636" spans="1:30" ht="12.9">
      <c r="A636" s="196"/>
      <c r="B636" s="143"/>
      <c r="C636" s="196"/>
      <c r="D636" s="196"/>
      <c r="E636" s="196"/>
      <c r="F636" s="196"/>
      <c r="G636" s="24"/>
      <c r="H636" s="24"/>
      <c r="I636" s="196"/>
      <c r="J636" s="196"/>
      <c r="K636" s="196"/>
      <c r="L636" s="196"/>
      <c r="M636" s="196"/>
      <c r="N636" s="196"/>
      <c r="O636" s="196"/>
      <c r="P636" s="196"/>
      <c r="Q636" s="196"/>
      <c r="R636" s="196"/>
      <c r="S636" s="196"/>
      <c r="T636" s="196"/>
      <c r="U636" s="196"/>
      <c r="V636" s="196"/>
      <c r="W636" s="196"/>
      <c r="X636" s="196"/>
      <c r="Y636" s="196"/>
      <c r="Z636" s="196"/>
      <c r="AA636" s="196"/>
      <c r="AB636" s="196"/>
      <c r="AC636" s="196"/>
      <c r="AD636" s="196"/>
    </row>
    <row r="637" spans="1:30" ht="12.9">
      <c r="A637" s="196"/>
      <c r="B637" s="143"/>
      <c r="C637" s="196"/>
      <c r="D637" s="196"/>
      <c r="E637" s="196"/>
      <c r="F637" s="196"/>
      <c r="G637" s="24"/>
      <c r="H637" s="24"/>
      <c r="I637" s="196"/>
      <c r="J637" s="196"/>
      <c r="K637" s="196"/>
      <c r="L637" s="196"/>
      <c r="M637" s="196"/>
      <c r="N637" s="196"/>
      <c r="O637" s="196"/>
      <c r="P637" s="196"/>
      <c r="Q637" s="196"/>
      <c r="R637" s="196"/>
      <c r="S637" s="196"/>
      <c r="T637" s="196"/>
      <c r="U637" s="196"/>
      <c r="V637" s="196"/>
      <c r="W637" s="196"/>
      <c r="X637" s="196"/>
      <c r="Y637" s="196"/>
      <c r="Z637" s="196"/>
      <c r="AA637" s="196"/>
      <c r="AB637" s="196"/>
      <c r="AC637" s="196"/>
      <c r="AD637" s="196"/>
    </row>
    <row r="638" spans="1:30" ht="12.9">
      <c r="A638" s="196"/>
      <c r="B638" s="143"/>
      <c r="C638" s="196"/>
      <c r="D638" s="196"/>
      <c r="E638" s="196"/>
      <c r="F638" s="196"/>
      <c r="G638" s="24"/>
      <c r="H638" s="24"/>
      <c r="I638" s="196"/>
      <c r="J638" s="196"/>
      <c r="K638" s="196"/>
      <c r="L638" s="196"/>
      <c r="M638" s="196"/>
      <c r="N638" s="196"/>
      <c r="O638" s="196"/>
      <c r="P638" s="196"/>
      <c r="Q638" s="196"/>
      <c r="R638" s="196"/>
      <c r="S638" s="196"/>
      <c r="T638" s="196"/>
      <c r="U638" s="196"/>
      <c r="V638" s="196"/>
      <c r="W638" s="196"/>
      <c r="X638" s="196"/>
      <c r="Y638" s="196"/>
      <c r="Z638" s="196"/>
      <c r="AA638" s="196"/>
      <c r="AB638" s="196"/>
      <c r="AC638" s="196"/>
      <c r="AD638" s="196"/>
    </row>
    <row r="639" spans="1:30" ht="12.9">
      <c r="A639" s="196"/>
      <c r="B639" s="143"/>
      <c r="C639" s="196"/>
      <c r="D639" s="196"/>
      <c r="E639" s="196"/>
      <c r="F639" s="196"/>
      <c r="G639" s="24"/>
      <c r="H639" s="24"/>
      <c r="I639" s="196"/>
      <c r="J639" s="196"/>
      <c r="K639" s="196"/>
      <c r="L639" s="196"/>
      <c r="M639" s="196"/>
      <c r="N639" s="196"/>
      <c r="O639" s="196"/>
      <c r="P639" s="196"/>
      <c r="Q639" s="196"/>
      <c r="R639" s="196"/>
      <c r="S639" s="196"/>
      <c r="T639" s="196"/>
      <c r="U639" s="196"/>
      <c r="V639" s="196"/>
      <c r="W639" s="196"/>
      <c r="X639" s="196"/>
      <c r="Y639" s="196"/>
      <c r="Z639" s="196"/>
      <c r="AA639" s="196"/>
      <c r="AB639" s="196"/>
      <c r="AC639" s="196"/>
      <c r="AD639" s="196"/>
    </row>
    <row r="640" spans="1:30" ht="12.9">
      <c r="A640" s="196"/>
      <c r="B640" s="143"/>
      <c r="C640" s="196"/>
      <c r="D640" s="196"/>
      <c r="E640" s="196"/>
      <c r="F640" s="196"/>
      <c r="G640" s="24"/>
      <c r="H640" s="24"/>
      <c r="I640" s="196"/>
      <c r="J640" s="196"/>
      <c r="K640" s="196"/>
      <c r="L640" s="196"/>
      <c r="M640" s="196"/>
      <c r="N640" s="196"/>
      <c r="O640" s="196"/>
      <c r="P640" s="196"/>
      <c r="Q640" s="196"/>
      <c r="R640" s="196"/>
      <c r="S640" s="196"/>
      <c r="T640" s="196"/>
      <c r="U640" s="196"/>
      <c r="V640" s="196"/>
      <c r="W640" s="196"/>
      <c r="X640" s="196"/>
      <c r="Y640" s="196"/>
      <c r="Z640" s="196"/>
      <c r="AA640" s="196"/>
      <c r="AB640" s="196"/>
      <c r="AC640" s="196"/>
      <c r="AD640" s="196"/>
    </row>
    <row r="641" spans="1:30" ht="12.9">
      <c r="A641" s="196"/>
      <c r="B641" s="143"/>
      <c r="C641" s="196"/>
      <c r="D641" s="196"/>
      <c r="E641" s="196"/>
      <c r="F641" s="196"/>
      <c r="G641" s="24"/>
      <c r="H641" s="24"/>
      <c r="I641" s="196"/>
      <c r="J641" s="196"/>
      <c r="K641" s="196"/>
      <c r="L641" s="196"/>
      <c r="M641" s="196"/>
      <c r="N641" s="196"/>
      <c r="O641" s="196"/>
      <c r="P641" s="196"/>
      <c r="Q641" s="196"/>
      <c r="R641" s="196"/>
      <c r="S641" s="196"/>
      <c r="T641" s="196"/>
      <c r="U641" s="196"/>
      <c r="V641" s="196"/>
      <c r="W641" s="196"/>
      <c r="X641" s="196"/>
      <c r="Y641" s="196"/>
      <c r="Z641" s="196"/>
      <c r="AA641" s="196"/>
      <c r="AB641" s="196"/>
      <c r="AC641" s="196"/>
      <c r="AD641" s="196"/>
    </row>
    <row r="642" spans="1:30" ht="12.9">
      <c r="A642" s="196"/>
      <c r="B642" s="143"/>
      <c r="C642" s="196"/>
      <c r="D642" s="196"/>
      <c r="E642" s="196"/>
      <c r="F642" s="196"/>
      <c r="G642" s="24"/>
      <c r="H642" s="24"/>
      <c r="I642" s="196"/>
      <c r="J642" s="196"/>
      <c r="K642" s="196"/>
      <c r="L642" s="196"/>
      <c r="M642" s="196"/>
      <c r="N642" s="196"/>
      <c r="O642" s="196"/>
      <c r="P642" s="196"/>
      <c r="Q642" s="196"/>
      <c r="R642" s="196"/>
      <c r="S642" s="196"/>
      <c r="T642" s="196"/>
      <c r="U642" s="196"/>
      <c r="V642" s="196"/>
      <c r="W642" s="196"/>
      <c r="X642" s="196"/>
      <c r="Y642" s="196"/>
      <c r="Z642" s="196"/>
      <c r="AA642" s="196"/>
      <c r="AB642" s="196"/>
      <c r="AC642" s="196"/>
      <c r="AD642" s="196"/>
    </row>
    <row r="643" spans="1:30" ht="12.9">
      <c r="A643" s="196"/>
      <c r="B643" s="143"/>
      <c r="C643" s="196"/>
      <c r="D643" s="196"/>
      <c r="E643" s="196"/>
      <c r="F643" s="196"/>
      <c r="G643" s="24"/>
      <c r="H643" s="24"/>
      <c r="I643" s="196"/>
      <c r="J643" s="196"/>
      <c r="K643" s="196"/>
      <c r="L643" s="196"/>
      <c r="M643" s="196"/>
      <c r="N643" s="196"/>
      <c r="O643" s="196"/>
      <c r="P643" s="196"/>
      <c r="Q643" s="196"/>
      <c r="R643" s="196"/>
      <c r="S643" s="196"/>
      <c r="T643" s="196"/>
      <c r="U643" s="196"/>
      <c r="V643" s="196"/>
      <c r="W643" s="196"/>
      <c r="X643" s="196"/>
      <c r="Y643" s="196"/>
      <c r="Z643" s="196"/>
      <c r="AA643" s="196"/>
      <c r="AB643" s="196"/>
      <c r="AC643" s="196"/>
      <c r="AD643" s="196"/>
    </row>
    <row r="644" spans="1:30" ht="12.9">
      <c r="A644" s="196"/>
      <c r="B644" s="143"/>
      <c r="C644" s="196"/>
      <c r="D644" s="196"/>
      <c r="E644" s="196"/>
      <c r="F644" s="196"/>
      <c r="G644" s="24"/>
      <c r="H644" s="24"/>
      <c r="I644" s="196"/>
      <c r="J644" s="196"/>
      <c r="K644" s="196"/>
      <c r="L644" s="196"/>
      <c r="M644" s="196"/>
      <c r="N644" s="196"/>
      <c r="O644" s="196"/>
      <c r="P644" s="196"/>
      <c r="Q644" s="196"/>
      <c r="R644" s="196"/>
      <c r="S644" s="196"/>
      <c r="T644" s="196"/>
      <c r="U644" s="196"/>
      <c r="V644" s="196"/>
      <c r="W644" s="196"/>
      <c r="X644" s="196"/>
      <c r="Y644" s="196"/>
      <c r="Z644" s="196"/>
      <c r="AA644" s="196"/>
      <c r="AB644" s="196"/>
      <c r="AC644" s="196"/>
      <c r="AD644" s="196"/>
    </row>
    <row r="645" spans="1:30" ht="12.9">
      <c r="A645" s="196"/>
      <c r="B645" s="143"/>
      <c r="C645" s="196"/>
      <c r="D645" s="196"/>
      <c r="E645" s="196"/>
      <c r="F645" s="196"/>
      <c r="G645" s="24"/>
      <c r="H645" s="24"/>
      <c r="I645" s="196"/>
      <c r="J645" s="196"/>
      <c r="K645" s="196"/>
      <c r="L645" s="196"/>
      <c r="M645" s="196"/>
      <c r="N645" s="196"/>
      <c r="O645" s="196"/>
      <c r="P645" s="196"/>
      <c r="Q645" s="196"/>
      <c r="R645" s="196"/>
      <c r="S645" s="196"/>
      <c r="T645" s="196"/>
      <c r="U645" s="196"/>
      <c r="V645" s="196"/>
      <c r="W645" s="196"/>
      <c r="X645" s="196"/>
      <c r="Y645" s="196"/>
      <c r="Z645" s="196"/>
      <c r="AA645" s="196"/>
      <c r="AB645" s="196"/>
      <c r="AC645" s="196"/>
      <c r="AD645" s="196"/>
    </row>
    <row r="646" spans="1:30" ht="12.9">
      <c r="A646" s="196"/>
      <c r="B646" s="143"/>
      <c r="C646" s="196"/>
      <c r="D646" s="196"/>
      <c r="E646" s="196"/>
      <c r="F646" s="196"/>
      <c r="G646" s="24"/>
      <c r="H646" s="24"/>
      <c r="I646" s="196"/>
      <c r="J646" s="196"/>
      <c r="K646" s="196"/>
      <c r="L646" s="196"/>
      <c r="M646" s="196"/>
      <c r="N646" s="196"/>
      <c r="O646" s="196"/>
      <c r="P646" s="196"/>
      <c r="Q646" s="196"/>
      <c r="R646" s="196"/>
      <c r="S646" s="196"/>
      <c r="T646" s="196"/>
      <c r="U646" s="196"/>
      <c r="V646" s="196"/>
      <c r="W646" s="196"/>
      <c r="X646" s="196"/>
      <c r="Y646" s="196"/>
      <c r="Z646" s="196"/>
      <c r="AA646" s="196"/>
      <c r="AB646" s="196"/>
      <c r="AC646" s="196"/>
      <c r="AD646" s="196"/>
    </row>
    <row r="647" spans="1:30" ht="12.9">
      <c r="A647" s="196"/>
      <c r="B647" s="143"/>
      <c r="C647" s="196"/>
      <c r="D647" s="196"/>
      <c r="E647" s="196"/>
      <c r="F647" s="196"/>
      <c r="G647" s="24"/>
      <c r="H647" s="24"/>
      <c r="I647" s="196"/>
      <c r="J647" s="196"/>
      <c r="K647" s="196"/>
      <c r="L647" s="196"/>
      <c r="M647" s="196"/>
      <c r="N647" s="196"/>
      <c r="O647" s="196"/>
      <c r="P647" s="196"/>
      <c r="Q647" s="196"/>
      <c r="R647" s="196"/>
      <c r="S647" s="196"/>
      <c r="T647" s="196"/>
      <c r="U647" s="196"/>
      <c r="V647" s="196"/>
      <c r="W647" s="196"/>
      <c r="X647" s="196"/>
      <c r="Y647" s="196"/>
      <c r="Z647" s="196"/>
      <c r="AA647" s="196"/>
      <c r="AB647" s="196"/>
      <c r="AC647" s="196"/>
      <c r="AD647" s="196"/>
    </row>
    <row r="648" spans="1:30" ht="12.9">
      <c r="A648" s="196"/>
      <c r="B648" s="143"/>
      <c r="C648" s="196"/>
      <c r="D648" s="196"/>
      <c r="E648" s="196"/>
      <c r="F648" s="196"/>
      <c r="G648" s="24"/>
      <c r="H648" s="24"/>
      <c r="I648" s="196"/>
      <c r="J648" s="196"/>
      <c r="K648" s="196"/>
      <c r="L648" s="196"/>
      <c r="M648" s="196"/>
      <c r="N648" s="196"/>
      <c r="O648" s="196"/>
      <c r="P648" s="196"/>
      <c r="Q648" s="196"/>
      <c r="R648" s="196"/>
      <c r="S648" s="196"/>
      <c r="T648" s="196"/>
      <c r="U648" s="196"/>
      <c r="V648" s="196"/>
      <c r="W648" s="196"/>
      <c r="X648" s="196"/>
      <c r="Y648" s="196"/>
      <c r="Z648" s="196"/>
      <c r="AA648" s="196"/>
      <c r="AB648" s="196"/>
      <c r="AC648" s="196"/>
      <c r="AD648" s="196"/>
    </row>
    <row r="649" spans="1:30" ht="12.9">
      <c r="A649" s="196"/>
      <c r="B649" s="143"/>
      <c r="C649" s="196"/>
      <c r="D649" s="196"/>
      <c r="E649" s="196"/>
      <c r="F649" s="196"/>
      <c r="G649" s="24"/>
      <c r="H649" s="24"/>
      <c r="I649" s="196"/>
      <c r="J649" s="196"/>
      <c r="K649" s="196"/>
      <c r="L649" s="196"/>
      <c r="M649" s="196"/>
      <c r="N649" s="196"/>
      <c r="O649" s="196"/>
      <c r="P649" s="196"/>
      <c r="Q649" s="196"/>
      <c r="R649" s="196"/>
      <c r="S649" s="196"/>
      <c r="T649" s="196"/>
      <c r="U649" s="196"/>
      <c r="V649" s="196"/>
      <c r="W649" s="196"/>
      <c r="X649" s="196"/>
      <c r="Y649" s="196"/>
      <c r="Z649" s="196"/>
      <c r="AA649" s="196"/>
      <c r="AB649" s="196"/>
      <c r="AC649" s="196"/>
      <c r="AD649" s="196"/>
    </row>
    <row r="650" spans="1:30" ht="12.9">
      <c r="A650" s="196"/>
      <c r="B650" s="143"/>
      <c r="C650" s="196"/>
      <c r="D650" s="196"/>
      <c r="E650" s="196"/>
      <c r="F650" s="196"/>
      <c r="G650" s="24"/>
      <c r="H650" s="24"/>
      <c r="I650" s="196"/>
      <c r="J650" s="196"/>
      <c r="K650" s="196"/>
      <c r="L650" s="196"/>
      <c r="M650" s="196"/>
      <c r="N650" s="196"/>
      <c r="O650" s="196"/>
      <c r="P650" s="196"/>
      <c r="Q650" s="196"/>
      <c r="R650" s="196"/>
      <c r="S650" s="196"/>
      <c r="T650" s="196"/>
      <c r="U650" s="196"/>
      <c r="V650" s="196"/>
      <c r="W650" s="196"/>
      <c r="X650" s="196"/>
      <c r="Y650" s="196"/>
      <c r="Z650" s="196"/>
      <c r="AA650" s="196"/>
      <c r="AB650" s="196"/>
      <c r="AC650" s="196"/>
      <c r="AD650" s="196"/>
    </row>
    <row r="651" spans="1:30" ht="12.9">
      <c r="A651" s="196"/>
      <c r="B651" s="143"/>
      <c r="C651" s="196"/>
      <c r="D651" s="196"/>
      <c r="E651" s="196"/>
      <c r="F651" s="196"/>
      <c r="G651" s="24"/>
      <c r="H651" s="24"/>
      <c r="I651" s="196"/>
      <c r="J651" s="196"/>
      <c r="K651" s="196"/>
      <c r="L651" s="196"/>
      <c r="M651" s="196"/>
      <c r="N651" s="196"/>
      <c r="O651" s="196"/>
      <c r="P651" s="196"/>
      <c r="Q651" s="196"/>
      <c r="R651" s="196"/>
      <c r="S651" s="196"/>
      <c r="T651" s="196"/>
      <c r="U651" s="196"/>
      <c r="V651" s="196"/>
      <c r="W651" s="196"/>
      <c r="X651" s="196"/>
      <c r="Y651" s="196"/>
      <c r="Z651" s="196"/>
      <c r="AA651" s="196"/>
      <c r="AB651" s="196"/>
      <c r="AC651" s="196"/>
      <c r="AD651" s="196"/>
    </row>
    <row r="652" spans="1:30" ht="12.9">
      <c r="A652" s="196"/>
      <c r="B652" s="143"/>
      <c r="C652" s="196"/>
      <c r="D652" s="196"/>
      <c r="E652" s="196"/>
      <c r="F652" s="196"/>
      <c r="G652" s="24"/>
      <c r="H652" s="24"/>
      <c r="I652" s="196"/>
      <c r="J652" s="196"/>
      <c r="K652" s="196"/>
      <c r="L652" s="196"/>
      <c r="M652" s="196"/>
      <c r="N652" s="196"/>
      <c r="O652" s="196"/>
      <c r="P652" s="196"/>
      <c r="Q652" s="196"/>
      <c r="R652" s="196"/>
      <c r="S652" s="196"/>
      <c r="T652" s="196"/>
      <c r="U652" s="196"/>
      <c r="V652" s="196"/>
      <c r="W652" s="196"/>
      <c r="X652" s="196"/>
      <c r="Y652" s="196"/>
      <c r="Z652" s="196"/>
      <c r="AA652" s="196"/>
      <c r="AB652" s="196"/>
      <c r="AC652" s="196"/>
      <c r="AD652" s="196"/>
    </row>
    <row r="653" spans="1:30" ht="12.9">
      <c r="A653" s="196"/>
      <c r="B653" s="143"/>
      <c r="C653" s="196"/>
      <c r="D653" s="196"/>
      <c r="E653" s="196"/>
      <c r="F653" s="196"/>
      <c r="G653" s="24"/>
      <c r="H653" s="24"/>
      <c r="I653" s="196"/>
      <c r="J653" s="196"/>
      <c r="K653" s="196"/>
      <c r="L653" s="196"/>
      <c r="M653" s="196"/>
      <c r="N653" s="196"/>
      <c r="O653" s="196"/>
      <c r="P653" s="196"/>
      <c r="Q653" s="196"/>
      <c r="R653" s="196"/>
      <c r="S653" s="196"/>
      <c r="T653" s="196"/>
      <c r="U653" s="196"/>
      <c r="V653" s="196"/>
      <c r="W653" s="196"/>
      <c r="X653" s="196"/>
      <c r="Y653" s="196"/>
      <c r="Z653" s="196"/>
      <c r="AA653" s="196"/>
      <c r="AB653" s="196"/>
      <c r="AC653" s="196"/>
      <c r="AD653" s="196"/>
    </row>
    <row r="654" spans="1:30" ht="12.9">
      <c r="A654" s="196"/>
      <c r="B654" s="143"/>
      <c r="C654" s="196"/>
      <c r="D654" s="196"/>
      <c r="E654" s="196"/>
      <c r="F654" s="196"/>
      <c r="G654" s="24"/>
      <c r="H654" s="24"/>
      <c r="I654" s="196"/>
      <c r="J654" s="196"/>
      <c r="K654" s="196"/>
      <c r="L654" s="196"/>
      <c r="M654" s="196"/>
      <c r="N654" s="196"/>
      <c r="O654" s="196"/>
      <c r="P654" s="196"/>
      <c r="Q654" s="196"/>
      <c r="R654" s="196"/>
      <c r="S654" s="196"/>
      <c r="T654" s="196"/>
      <c r="U654" s="196"/>
      <c r="V654" s="196"/>
      <c r="W654" s="196"/>
      <c r="X654" s="196"/>
      <c r="Y654" s="196"/>
      <c r="Z654" s="196"/>
      <c r="AA654" s="196"/>
      <c r="AB654" s="196"/>
      <c r="AC654" s="196"/>
      <c r="AD654" s="196"/>
    </row>
    <row r="655" spans="1:30" ht="12.9">
      <c r="A655" s="196"/>
      <c r="B655" s="143"/>
      <c r="C655" s="196"/>
      <c r="D655" s="196"/>
      <c r="E655" s="196"/>
      <c r="F655" s="196"/>
      <c r="G655" s="24"/>
      <c r="H655" s="24"/>
      <c r="I655" s="196"/>
      <c r="J655" s="196"/>
      <c r="K655" s="196"/>
      <c r="L655" s="196"/>
      <c r="M655" s="196"/>
      <c r="N655" s="196"/>
      <c r="O655" s="196"/>
      <c r="P655" s="196"/>
      <c r="Q655" s="196"/>
      <c r="R655" s="196"/>
      <c r="S655" s="196"/>
      <c r="T655" s="196"/>
      <c r="U655" s="196"/>
      <c r="V655" s="196"/>
      <c r="W655" s="196"/>
      <c r="X655" s="196"/>
      <c r="Y655" s="196"/>
      <c r="Z655" s="196"/>
      <c r="AA655" s="196"/>
      <c r="AB655" s="196"/>
      <c r="AC655" s="196"/>
      <c r="AD655" s="196"/>
    </row>
    <row r="656" spans="1:30" ht="12.9">
      <c r="A656" s="196"/>
      <c r="B656" s="143"/>
      <c r="C656" s="196"/>
      <c r="D656" s="196"/>
      <c r="E656" s="196"/>
      <c r="F656" s="196"/>
      <c r="G656" s="24"/>
      <c r="H656" s="24"/>
      <c r="I656" s="196"/>
      <c r="J656" s="196"/>
      <c r="K656" s="196"/>
      <c r="L656" s="196"/>
      <c r="M656" s="196"/>
      <c r="N656" s="196"/>
      <c r="O656" s="196"/>
      <c r="P656" s="196"/>
      <c r="Q656" s="196"/>
      <c r="R656" s="196"/>
      <c r="S656" s="196"/>
      <c r="T656" s="196"/>
      <c r="U656" s="196"/>
      <c r="V656" s="196"/>
      <c r="W656" s="196"/>
      <c r="X656" s="196"/>
      <c r="Y656" s="196"/>
      <c r="Z656" s="196"/>
      <c r="AA656" s="196"/>
      <c r="AB656" s="196"/>
      <c r="AC656" s="196"/>
      <c r="AD656" s="196"/>
    </row>
    <row r="657" spans="1:30" ht="12.9">
      <c r="A657" s="196"/>
      <c r="B657" s="143"/>
      <c r="C657" s="196"/>
      <c r="D657" s="196"/>
      <c r="E657" s="196"/>
      <c r="F657" s="196"/>
      <c r="G657" s="24"/>
      <c r="H657" s="24"/>
      <c r="I657" s="196"/>
      <c r="J657" s="196"/>
      <c r="K657" s="196"/>
      <c r="L657" s="196"/>
      <c r="M657" s="196"/>
      <c r="N657" s="196"/>
      <c r="O657" s="196"/>
      <c r="P657" s="196"/>
      <c r="Q657" s="196"/>
      <c r="R657" s="196"/>
      <c r="S657" s="196"/>
      <c r="T657" s="196"/>
      <c r="U657" s="196"/>
      <c r="V657" s="196"/>
      <c r="W657" s="196"/>
      <c r="X657" s="196"/>
      <c r="Y657" s="196"/>
      <c r="Z657" s="196"/>
      <c r="AA657" s="196"/>
      <c r="AB657" s="196"/>
      <c r="AC657" s="196"/>
      <c r="AD657" s="196"/>
    </row>
    <row r="658" spans="1:30" ht="12.9">
      <c r="A658" s="196"/>
      <c r="B658" s="143"/>
      <c r="C658" s="196"/>
      <c r="D658" s="196"/>
      <c r="E658" s="196"/>
      <c r="F658" s="196"/>
      <c r="G658" s="24"/>
      <c r="H658" s="24"/>
      <c r="I658" s="196"/>
      <c r="J658" s="196"/>
      <c r="K658" s="196"/>
      <c r="L658" s="196"/>
      <c r="M658" s="196"/>
      <c r="N658" s="196"/>
      <c r="O658" s="196"/>
      <c r="P658" s="196"/>
      <c r="Q658" s="196"/>
      <c r="R658" s="196"/>
      <c r="S658" s="196"/>
      <c r="T658" s="196"/>
      <c r="U658" s="196"/>
      <c r="V658" s="196"/>
      <c r="W658" s="196"/>
      <c r="X658" s="196"/>
      <c r="Y658" s="196"/>
      <c r="Z658" s="196"/>
      <c r="AA658" s="196"/>
      <c r="AB658" s="196"/>
      <c r="AC658" s="196"/>
      <c r="AD658" s="196"/>
    </row>
    <row r="659" spans="1:30" ht="12.9">
      <c r="A659" s="196"/>
      <c r="B659" s="143"/>
      <c r="C659" s="196"/>
      <c r="D659" s="196"/>
      <c r="E659" s="196"/>
      <c r="F659" s="196"/>
      <c r="G659" s="24"/>
      <c r="H659" s="24"/>
      <c r="I659" s="196"/>
      <c r="J659" s="196"/>
      <c r="K659" s="196"/>
      <c r="L659" s="196"/>
      <c r="M659" s="196"/>
      <c r="N659" s="196"/>
      <c r="O659" s="196"/>
      <c r="P659" s="196"/>
      <c r="Q659" s="196"/>
      <c r="R659" s="196"/>
      <c r="S659" s="196"/>
      <c r="T659" s="196"/>
      <c r="U659" s="196"/>
      <c r="V659" s="196"/>
      <c r="W659" s="196"/>
      <c r="X659" s="196"/>
      <c r="Y659" s="196"/>
      <c r="Z659" s="196"/>
      <c r="AA659" s="196"/>
      <c r="AB659" s="196"/>
      <c r="AC659" s="196"/>
      <c r="AD659" s="196"/>
    </row>
    <row r="660" spans="1:30" ht="12.9">
      <c r="A660" s="196"/>
      <c r="B660" s="143"/>
      <c r="C660" s="196"/>
      <c r="D660" s="196"/>
      <c r="E660" s="196"/>
      <c r="F660" s="196"/>
      <c r="G660" s="24"/>
      <c r="H660" s="24"/>
      <c r="I660" s="196"/>
      <c r="J660" s="196"/>
      <c r="K660" s="196"/>
      <c r="L660" s="196"/>
      <c r="M660" s="196"/>
      <c r="N660" s="196"/>
      <c r="O660" s="196"/>
      <c r="P660" s="196"/>
      <c r="Q660" s="196"/>
      <c r="R660" s="196"/>
      <c r="S660" s="196"/>
      <c r="T660" s="196"/>
      <c r="U660" s="196"/>
      <c r="V660" s="196"/>
      <c r="W660" s="196"/>
      <c r="X660" s="196"/>
      <c r="Y660" s="196"/>
      <c r="Z660" s="196"/>
      <c r="AA660" s="196"/>
      <c r="AB660" s="196"/>
      <c r="AC660" s="196"/>
      <c r="AD660" s="196"/>
    </row>
    <row r="661" spans="1:30" ht="12.9">
      <c r="A661" s="196"/>
      <c r="B661" s="143"/>
      <c r="C661" s="196"/>
      <c r="D661" s="196"/>
      <c r="E661" s="196"/>
      <c r="F661" s="196"/>
      <c r="G661" s="24"/>
      <c r="H661" s="24"/>
      <c r="I661" s="196"/>
      <c r="J661" s="196"/>
      <c r="K661" s="196"/>
      <c r="L661" s="196"/>
      <c r="M661" s="196"/>
      <c r="N661" s="196"/>
      <c r="O661" s="196"/>
      <c r="P661" s="196"/>
      <c r="Q661" s="196"/>
      <c r="R661" s="196"/>
      <c r="S661" s="196"/>
      <c r="T661" s="196"/>
      <c r="U661" s="196"/>
      <c r="V661" s="196"/>
      <c r="W661" s="196"/>
      <c r="X661" s="196"/>
      <c r="Y661" s="196"/>
      <c r="Z661" s="196"/>
      <c r="AA661" s="196"/>
      <c r="AB661" s="196"/>
      <c r="AC661" s="196"/>
      <c r="AD661" s="196"/>
    </row>
    <row r="662" spans="1:30" ht="12.9">
      <c r="A662" s="196"/>
      <c r="B662" s="143"/>
      <c r="C662" s="196"/>
      <c r="D662" s="196"/>
      <c r="E662" s="196"/>
      <c r="F662" s="196"/>
      <c r="G662" s="24"/>
      <c r="H662" s="24"/>
      <c r="I662" s="196"/>
      <c r="J662" s="196"/>
      <c r="K662" s="196"/>
      <c r="L662" s="196"/>
      <c r="M662" s="196"/>
      <c r="N662" s="196"/>
      <c r="O662" s="196"/>
      <c r="P662" s="196"/>
      <c r="Q662" s="196"/>
      <c r="R662" s="196"/>
      <c r="S662" s="196"/>
      <c r="T662" s="196"/>
      <c r="U662" s="196"/>
      <c r="V662" s="196"/>
      <c r="W662" s="196"/>
      <c r="X662" s="196"/>
      <c r="Y662" s="196"/>
      <c r="Z662" s="196"/>
      <c r="AA662" s="196"/>
      <c r="AB662" s="196"/>
      <c r="AC662" s="196"/>
      <c r="AD662" s="196"/>
    </row>
    <row r="663" spans="1:30" ht="12.9">
      <c r="A663" s="196"/>
      <c r="B663" s="143"/>
      <c r="C663" s="196"/>
      <c r="D663" s="196"/>
      <c r="E663" s="196"/>
      <c r="F663" s="196"/>
      <c r="G663" s="24"/>
      <c r="H663" s="24"/>
      <c r="I663" s="196"/>
      <c r="J663" s="196"/>
      <c r="K663" s="196"/>
      <c r="L663" s="196"/>
      <c r="M663" s="196"/>
      <c r="N663" s="196"/>
      <c r="O663" s="196"/>
      <c r="P663" s="196"/>
      <c r="Q663" s="196"/>
      <c r="R663" s="196"/>
      <c r="S663" s="196"/>
      <c r="T663" s="196"/>
      <c r="U663" s="196"/>
      <c r="V663" s="196"/>
      <c r="W663" s="196"/>
      <c r="X663" s="196"/>
      <c r="Y663" s="196"/>
      <c r="Z663" s="196"/>
      <c r="AA663" s="196"/>
      <c r="AB663" s="196"/>
      <c r="AC663" s="196"/>
      <c r="AD663" s="196"/>
    </row>
    <row r="664" spans="1:30" ht="12.9">
      <c r="A664" s="196"/>
      <c r="B664" s="143"/>
      <c r="C664" s="196"/>
      <c r="D664" s="196"/>
      <c r="E664" s="196"/>
      <c r="F664" s="196"/>
      <c r="G664" s="24"/>
      <c r="H664" s="24"/>
      <c r="I664" s="196"/>
      <c r="J664" s="196"/>
      <c r="K664" s="196"/>
      <c r="L664" s="196"/>
      <c r="M664" s="196"/>
      <c r="N664" s="196"/>
      <c r="O664" s="196"/>
      <c r="P664" s="196"/>
      <c r="Q664" s="196"/>
      <c r="R664" s="196"/>
      <c r="S664" s="196"/>
      <c r="T664" s="196"/>
      <c r="U664" s="196"/>
      <c r="V664" s="196"/>
      <c r="W664" s="196"/>
      <c r="X664" s="196"/>
      <c r="Y664" s="196"/>
      <c r="Z664" s="196"/>
      <c r="AA664" s="196"/>
      <c r="AB664" s="196"/>
      <c r="AC664" s="196"/>
      <c r="AD664" s="196"/>
    </row>
    <row r="665" spans="1:30" ht="12.9">
      <c r="A665" s="196"/>
      <c r="B665" s="143"/>
      <c r="C665" s="196"/>
      <c r="D665" s="196"/>
      <c r="E665" s="196"/>
      <c r="F665" s="196"/>
      <c r="G665" s="24"/>
      <c r="H665" s="24"/>
      <c r="I665" s="196"/>
      <c r="J665" s="196"/>
      <c r="K665" s="196"/>
      <c r="L665" s="196"/>
      <c r="M665" s="196"/>
      <c r="N665" s="196"/>
      <c r="O665" s="196"/>
      <c r="P665" s="196"/>
      <c r="Q665" s="196"/>
      <c r="R665" s="196"/>
      <c r="S665" s="196"/>
      <c r="T665" s="196"/>
      <c r="U665" s="196"/>
      <c r="V665" s="196"/>
      <c r="W665" s="196"/>
      <c r="X665" s="196"/>
      <c r="Y665" s="196"/>
      <c r="Z665" s="196"/>
      <c r="AA665" s="196"/>
      <c r="AB665" s="196"/>
      <c r="AC665" s="196"/>
      <c r="AD665" s="196"/>
    </row>
    <row r="666" spans="1:30" ht="12.9">
      <c r="A666" s="196"/>
      <c r="B666" s="143"/>
      <c r="C666" s="196"/>
      <c r="D666" s="196"/>
      <c r="E666" s="196"/>
      <c r="F666" s="196"/>
      <c r="G666" s="24"/>
      <c r="H666" s="24"/>
      <c r="I666" s="196"/>
      <c r="J666" s="196"/>
      <c r="K666" s="196"/>
      <c r="L666" s="196"/>
      <c r="M666" s="196"/>
      <c r="N666" s="196"/>
      <c r="O666" s="196"/>
      <c r="P666" s="196"/>
      <c r="Q666" s="196"/>
      <c r="R666" s="196"/>
      <c r="S666" s="196"/>
      <c r="T666" s="196"/>
      <c r="U666" s="196"/>
      <c r="V666" s="196"/>
      <c r="W666" s="196"/>
      <c r="X666" s="196"/>
      <c r="Y666" s="196"/>
      <c r="Z666" s="196"/>
      <c r="AA666" s="196"/>
      <c r="AB666" s="196"/>
      <c r="AC666" s="196"/>
      <c r="AD666" s="196"/>
    </row>
    <row r="667" spans="1:30" ht="12.9">
      <c r="A667" s="196"/>
      <c r="B667" s="143"/>
      <c r="C667" s="196"/>
      <c r="D667" s="196"/>
      <c r="E667" s="196"/>
      <c r="F667" s="196"/>
      <c r="G667" s="24"/>
      <c r="H667" s="24"/>
      <c r="I667" s="196"/>
      <c r="J667" s="196"/>
      <c r="K667" s="196"/>
      <c r="L667" s="196"/>
      <c r="M667" s="196"/>
      <c r="N667" s="196"/>
      <c r="O667" s="196"/>
      <c r="P667" s="196"/>
      <c r="Q667" s="196"/>
      <c r="R667" s="196"/>
      <c r="S667" s="196"/>
      <c r="T667" s="196"/>
      <c r="U667" s="196"/>
      <c r="V667" s="196"/>
      <c r="W667" s="196"/>
      <c r="X667" s="196"/>
      <c r="Y667" s="196"/>
      <c r="Z667" s="196"/>
      <c r="AA667" s="196"/>
      <c r="AB667" s="196"/>
      <c r="AC667" s="196"/>
      <c r="AD667" s="196"/>
    </row>
    <row r="668" spans="1:30" ht="12.9">
      <c r="A668" s="196"/>
      <c r="B668" s="143"/>
      <c r="C668" s="196"/>
      <c r="D668" s="196"/>
      <c r="E668" s="196"/>
      <c r="F668" s="196"/>
      <c r="G668" s="24"/>
      <c r="H668" s="24"/>
      <c r="I668" s="196"/>
      <c r="J668" s="196"/>
      <c r="K668" s="196"/>
      <c r="L668" s="196"/>
      <c r="M668" s="196"/>
      <c r="N668" s="196"/>
      <c r="O668" s="196"/>
      <c r="P668" s="196"/>
      <c r="Q668" s="196"/>
      <c r="R668" s="196"/>
      <c r="S668" s="196"/>
      <c r="T668" s="196"/>
      <c r="U668" s="196"/>
      <c r="V668" s="196"/>
      <c r="W668" s="196"/>
      <c r="X668" s="196"/>
      <c r="Y668" s="196"/>
      <c r="Z668" s="196"/>
      <c r="AA668" s="196"/>
      <c r="AB668" s="196"/>
      <c r="AC668" s="196"/>
      <c r="AD668" s="196"/>
    </row>
    <row r="669" spans="1:30" ht="12.9">
      <c r="A669" s="196"/>
      <c r="B669" s="143"/>
      <c r="C669" s="196"/>
      <c r="D669" s="196"/>
      <c r="E669" s="196"/>
      <c r="F669" s="196"/>
      <c r="G669" s="24"/>
      <c r="H669" s="24"/>
      <c r="I669" s="196"/>
      <c r="J669" s="196"/>
      <c r="K669" s="196"/>
      <c r="L669" s="196"/>
      <c r="M669" s="196"/>
      <c r="N669" s="196"/>
      <c r="O669" s="196"/>
      <c r="P669" s="196"/>
      <c r="Q669" s="196"/>
      <c r="R669" s="196"/>
      <c r="S669" s="196"/>
      <c r="T669" s="196"/>
      <c r="U669" s="196"/>
      <c r="V669" s="196"/>
      <c r="W669" s="196"/>
      <c r="X669" s="196"/>
      <c r="Y669" s="196"/>
      <c r="Z669" s="196"/>
      <c r="AA669" s="196"/>
      <c r="AB669" s="196"/>
      <c r="AC669" s="196"/>
      <c r="AD669" s="196"/>
    </row>
    <row r="670" spans="1:30" ht="12.9">
      <c r="A670" s="196"/>
      <c r="B670" s="143"/>
      <c r="C670" s="196"/>
      <c r="D670" s="196"/>
      <c r="E670" s="196"/>
      <c r="F670" s="196"/>
      <c r="G670" s="24"/>
      <c r="H670" s="24"/>
      <c r="I670" s="196"/>
      <c r="J670" s="196"/>
      <c r="K670" s="196"/>
      <c r="L670" s="196"/>
      <c r="M670" s="196"/>
      <c r="N670" s="196"/>
      <c r="O670" s="196"/>
      <c r="P670" s="196"/>
      <c r="Q670" s="196"/>
      <c r="R670" s="196"/>
      <c r="S670" s="196"/>
      <c r="T670" s="196"/>
      <c r="U670" s="196"/>
      <c r="V670" s="196"/>
      <c r="W670" s="196"/>
      <c r="X670" s="196"/>
      <c r="Y670" s="196"/>
      <c r="Z670" s="196"/>
      <c r="AA670" s="196"/>
      <c r="AB670" s="196"/>
      <c r="AC670" s="196"/>
      <c r="AD670" s="196"/>
    </row>
    <row r="671" spans="1:30" ht="12.9">
      <c r="A671" s="196"/>
      <c r="B671" s="143"/>
      <c r="C671" s="196"/>
      <c r="D671" s="196"/>
      <c r="E671" s="196"/>
      <c r="F671" s="196"/>
      <c r="G671" s="24"/>
      <c r="H671" s="24"/>
      <c r="I671" s="196"/>
      <c r="J671" s="196"/>
      <c r="K671" s="196"/>
      <c r="L671" s="196"/>
      <c r="M671" s="196"/>
      <c r="N671" s="196"/>
      <c r="O671" s="196"/>
      <c r="P671" s="196"/>
      <c r="Q671" s="196"/>
      <c r="R671" s="196"/>
      <c r="S671" s="196"/>
      <c r="T671" s="196"/>
      <c r="U671" s="196"/>
      <c r="V671" s="196"/>
      <c r="W671" s="196"/>
      <c r="X671" s="196"/>
      <c r="Y671" s="196"/>
      <c r="Z671" s="196"/>
      <c r="AA671" s="196"/>
      <c r="AB671" s="196"/>
      <c r="AC671" s="196"/>
      <c r="AD671" s="196"/>
    </row>
    <row r="672" spans="1:30" ht="12.9">
      <c r="A672" s="196"/>
      <c r="B672" s="143"/>
      <c r="C672" s="196"/>
      <c r="D672" s="196"/>
      <c r="E672" s="196"/>
      <c r="F672" s="196"/>
      <c r="G672" s="24"/>
      <c r="H672" s="24"/>
      <c r="I672" s="196"/>
      <c r="J672" s="196"/>
      <c r="K672" s="196"/>
      <c r="L672" s="196"/>
      <c r="M672" s="196"/>
      <c r="N672" s="196"/>
      <c r="O672" s="196"/>
      <c r="P672" s="196"/>
      <c r="Q672" s="196"/>
      <c r="R672" s="196"/>
      <c r="S672" s="196"/>
      <c r="T672" s="196"/>
      <c r="U672" s="196"/>
      <c r="V672" s="196"/>
      <c r="W672" s="196"/>
      <c r="X672" s="196"/>
      <c r="Y672" s="196"/>
      <c r="Z672" s="196"/>
      <c r="AA672" s="196"/>
      <c r="AB672" s="196"/>
      <c r="AC672" s="196"/>
      <c r="AD672" s="196"/>
    </row>
    <row r="673" spans="1:30" ht="12.9">
      <c r="A673" s="196"/>
      <c r="B673" s="143"/>
      <c r="C673" s="196"/>
      <c r="D673" s="196"/>
      <c r="E673" s="196"/>
      <c r="F673" s="196"/>
      <c r="G673" s="24"/>
      <c r="H673" s="24"/>
      <c r="I673" s="196"/>
      <c r="J673" s="196"/>
      <c r="K673" s="196"/>
      <c r="L673" s="196"/>
      <c r="M673" s="196"/>
      <c r="N673" s="196"/>
      <c r="O673" s="196"/>
      <c r="P673" s="196"/>
      <c r="Q673" s="196"/>
      <c r="R673" s="196"/>
      <c r="S673" s="196"/>
      <c r="T673" s="196"/>
      <c r="U673" s="196"/>
      <c r="V673" s="196"/>
      <c r="W673" s="196"/>
      <c r="X673" s="196"/>
      <c r="Y673" s="196"/>
      <c r="Z673" s="196"/>
      <c r="AA673" s="196"/>
      <c r="AB673" s="196"/>
      <c r="AC673" s="196"/>
      <c r="AD673" s="196"/>
    </row>
    <row r="674" spans="1:30" ht="12.9">
      <c r="A674" s="196"/>
      <c r="B674" s="143"/>
      <c r="C674" s="196"/>
      <c r="D674" s="196"/>
      <c r="E674" s="196"/>
      <c r="F674" s="196"/>
      <c r="G674" s="24"/>
      <c r="H674" s="24"/>
      <c r="I674" s="196"/>
      <c r="J674" s="196"/>
      <c r="K674" s="196"/>
      <c r="L674" s="196"/>
      <c r="M674" s="196"/>
      <c r="N674" s="196"/>
      <c r="O674" s="196"/>
      <c r="P674" s="196"/>
      <c r="Q674" s="196"/>
      <c r="R674" s="196"/>
      <c r="S674" s="196"/>
      <c r="T674" s="196"/>
      <c r="U674" s="196"/>
      <c r="V674" s="196"/>
      <c r="W674" s="196"/>
      <c r="X674" s="196"/>
      <c r="Y674" s="196"/>
      <c r="Z674" s="196"/>
      <c r="AA674" s="196"/>
      <c r="AB674" s="196"/>
      <c r="AC674" s="196"/>
      <c r="AD674" s="196"/>
    </row>
    <row r="675" spans="1:30" ht="12.9">
      <c r="A675" s="196"/>
      <c r="B675" s="143"/>
      <c r="C675" s="196"/>
      <c r="D675" s="196"/>
      <c r="E675" s="196"/>
      <c r="F675" s="196"/>
      <c r="G675" s="24"/>
      <c r="H675" s="24"/>
      <c r="I675" s="196"/>
      <c r="J675" s="196"/>
      <c r="K675" s="196"/>
      <c r="L675" s="196"/>
      <c r="M675" s="196"/>
      <c r="N675" s="196"/>
      <c r="O675" s="196"/>
      <c r="P675" s="196"/>
      <c r="Q675" s="196"/>
      <c r="R675" s="196"/>
      <c r="S675" s="196"/>
      <c r="T675" s="196"/>
      <c r="U675" s="196"/>
      <c r="V675" s="196"/>
      <c r="W675" s="196"/>
      <c r="X675" s="196"/>
      <c r="Y675" s="196"/>
      <c r="Z675" s="196"/>
      <c r="AA675" s="196"/>
      <c r="AB675" s="196"/>
      <c r="AC675" s="196"/>
      <c r="AD675" s="196"/>
    </row>
    <row r="676" spans="1:30" ht="12.9">
      <c r="A676" s="196"/>
      <c r="B676" s="143"/>
      <c r="C676" s="196"/>
      <c r="D676" s="196"/>
      <c r="E676" s="196"/>
      <c r="F676" s="196"/>
      <c r="G676" s="24"/>
      <c r="H676" s="24"/>
      <c r="I676" s="196"/>
      <c r="J676" s="196"/>
      <c r="K676" s="196"/>
      <c r="L676" s="196"/>
      <c r="M676" s="196"/>
      <c r="N676" s="196"/>
      <c r="O676" s="196"/>
      <c r="P676" s="196"/>
      <c r="Q676" s="196"/>
      <c r="R676" s="196"/>
      <c r="S676" s="196"/>
      <c r="T676" s="196"/>
      <c r="U676" s="196"/>
      <c r="V676" s="196"/>
      <c r="W676" s="196"/>
      <c r="X676" s="196"/>
      <c r="Y676" s="196"/>
      <c r="Z676" s="196"/>
      <c r="AA676" s="196"/>
      <c r="AB676" s="196"/>
      <c r="AC676" s="196"/>
      <c r="AD676" s="196"/>
    </row>
    <row r="677" spans="1:30" ht="12.9">
      <c r="A677" s="196"/>
      <c r="B677" s="143"/>
      <c r="C677" s="196"/>
      <c r="D677" s="196"/>
      <c r="E677" s="196"/>
      <c r="F677" s="196"/>
      <c r="G677" s="24"/>
      <c r="H677" s="24"/>
      <c r="I677" s="196"/>
      <c r="J677" s="196"/>
      <c r="K677" s="196"/>
      <c r="L677" s="196"/>
      <c r="M677" s="196"/>
      <c r="N677" s="196"/>
      <c r="O677" s="196"/>
      <c r="P677" s="196"/>
      <c r="Q677" s="196"/>
      <c r="R677" s="196"/>
      <c r="S677" s="196"/>
      <c r="T677" s="196"/>
      <c r="U677" s="196"/>
      <c r="V677" s="196"/>
      <c r="W677" s="196"/>
      <c r="X677" s="196"/>
      <c r="Y677" s="196"/>
      <c r="Z677" s="196"/>
      <c r="AA677" s="196"/>
      <c r="AB677" s="196"/>
      <c r="AC677" s="196"/>
      <c r="AD677" s="196"/>
    </row>
    <row r="678" spans="1:30" ht="12.9">
      <c r="A678" s="196"/>
      <c r="B678" s="143"/>
      <c r="C678" s="196"/>
      <c r="D678" s="196"/>
      <c r="E678" s="196"/>
      <c r="F678" s="196"/>
      <c r="G678" s="24"/>
      <c r="H678" s="24"/>
      <c r="I678" s="196"/>
      <c r="J678" s="196"/>
      <c r="K678" s="196"/>
      <c r="L678" s="196"/>
      <c r="M678" s="196"/>
      <c r="N678" s="196"/>
      <c r="O678" s="196"/>
      <c r="P678" s="196"/>
      <c r="Q678" s="196"/>
      <c r="R678" s="196"/>
      <c r="S678" s="196"/>
      <c r="T678" s="196"/>
      <c r="U678" s="196"/>
      <c r="V678" s="196"/>
      <c r="W678" s="196"/>
      <c r="X678" s="196"/>
      <c r="Y678" s="196"/>
      <c r="Z678" s="196"/>
      <c r="AA678" s="196"/>
      <c r="AB678" s="196"/>
      <c r="AC678" s="196"/>
      <c r="AD678" s="196"/>
    </row>
    <row r="679" spans="1:30" ht="12.9">
      <c r="A679" s="196"/>
      <c r="B679" s="143"/>
      <c r="C679" s="196"/>
      <c r="D679" s="196"/>
      <c r="E679" s="196"/>
      <c r="F679" s="196"/>
      <c r="G679" s="24"/>
      <c r="H679" s="24"/>
      <c r="I679" s="196"/>
      <c r="J679" s="196"/>
      <c r="K679" s="196"/>
      <c r="L679" s="196"/>
      <c r="M679" s="196"/>
      <c r="N679" s="196"/>
      <c r="O679" s="196"/>
      <c r="P679" s="196"/>
      <c r="Q679" s="196"/>
      <c r="R679" s="196"/>
      <c r="S679" s="196"/>
      <c r="T679" s="196"/>
      <c r="U679" s="196"/>
      <c r="V679" s="196"/>
      <c r="W679" s="196"/>
      <c r="X679" s="196"/>
      <c r="Y679" s="196"/>
      <c r="Z679" s="196"/>
      <c r="AA679" s="196"/>
      <c r="AB679" s="196"/>
      <c r="AC679" s="196"/>
      <c r="AD679" s="196"/>
    </row>
    <row r="680" spans="1:30" ht="12.9">
      <c r="A680" s="196"/>
      <c r="B680" s="143"/>
      <c r="C680" s="196"/>
      <c r="D680" s="196"/>
      <c r="E680" s="196"/>
      <c r="F680" s="196"/>
      <c r="G680" s="24"/>
      <c r="H680" s="24"/>
      <c r="I680" s="196"/>
      <c r="J680" s="196"/>
      <c r="K680" s="196"/>
      <c r="L680" s="196"/>
      <c r="M680" s="196"/>
      <c r="N680" s="196"/>
      <c r="O680" s="196"/>
      <c r="P680" s="196"/>
      <c r="Q680" s="196"/>
      <c r="R680" s="196"/>
      <c r="S680" s="196"/>
      <c r="T680" s="196"/>
      <c r="U680" s="196"/>
      <c r="V680" s="196"/>
      <c r="W680" s="196"/>
      <c r="X680" s="196"/>
      <c r="Y680" s="196"/>
      <c r="Z680" s="196"/>
      <c r="AA680" s="196"/>
      <c r="AB680" s="196"/>
      <c r="AC680" s="196"/>
      <c r="AD680" s="196"/>
    </row>
    <row r="681" spans="1:30" ht="12.9">
      <c r="A681" s="196"/>
      <c r="B681" s="143"/>
      <c r="C681" s="196"/>
      <c r="D681" s="196"/>
      <c r="E681" s="196"/>
      <c r="F681" s="196"/>
      <c r="G681" s="24"/>
      <c r="H681" s="24"/>
      <c r="I681" s="196"/>
      <c r="J681" s="196"/>
      <c r="K681" s="196"/>
      <c r="L681" s="196"/>
      <c r="M681" s="196"/>
      <c r="N681" s="196"/>
      <c r="O681" s="196"/>
      <c r="P681" s="196"/>
      <c r="Q681" s="196"/>
      <c r="R681" s="196"/>
      <c r="S681" s="196"/>
      <c r="T681" s="196"/>
      <c r="U681" s="196"/>
      <c r="V681" s="196"/>
      <c r="W681" s="196"/>
      <c r="X681" s="196"/>
      <c r="Y681" s="196"/>
      <c r="Z681" s="196"/>
      <c r="AA681" s="196"/>
      <c r="AB681" s="196"/>
      <c r="AC681" s="196"/>
      <c r="AD681" s="196"/>
    </row>
    <row r="682" spans="1:30" ht="12.9">
      <c r="A682" s="196"/>
      <c r="B682" s="143"/>
      <c r="C682" s="196"/>
      <c r="D682" s="196"/>
      <c r="E682" s="196"/>
      <c r="F682" s="196"/>
      <c r="G682" s="24"/>
      <c r="H682" s="24"/>
      <c r="I682" s="196"/>
      <c r="J682" s="196"/>
      <c r="K682" s="196"/>
      <c r="L682" s="196"/>
      <c r="M682" s="196"/>
      <c r="N682" s="196"/>
      <c r="O682" s="196"/>
      <c r="P682" s="196"/>
      <c r="Q682" s="196"/>
      <c r="R682" s="196"/>
      <c r="S682" s="196"/>
      <c r="T682" s="196"/>
      <c r="U682" s="196"/>
      <c r="V682" s="196"/>
      <c r="W682" s="196"/>
      <c r="X682" s="196"/>
      <c r="Y682" s="196"/>
      <c r="Z682" s="196"/>
      <c r="AA682" s="196"/>
      <c r="AB682" s="196"/>
      <c r="AC682" s="196"/>
      <c r="AD682" s="196"/>
    </row>
    <row r="683" spans="1:30" ht="12.9">
      <c r="A683" s="196"/>
      <c r="B683" s="143"/>
      <c r="C683" s="196"/>
      <c r="D683" s="196"/>
      <c r="E683" s="196"/>
      <c r="F683" s="196"/>
      <c r="G683" s="24"/>
      <c r="H683" s="24"/>
      <c r="I683" s="196"/>
      <c r="J683" s="196"/>
      <c r="K683" s="196"/>
      <c r="L683" s="196"/>
      <c r="M683" s="196"/>
      <c r="N683" s="196"/>
      <c r="O683" s="196"/>
      <c r="P683" s="196"/>
      <c r="Q683" s="196"/>
      <c r="R683" s="196"/>
      <c r="S683" s="196"/>
      <c r="T683" s="196"/>
      <c r="U683" s="196"/>
      <c r="V683" s="196"/>
      <c r="W683" s="196"/>
      <c r="X683" s="196"/>
      <c r="Y683" s="196"/>
      <c r="Z683" s="196"/>
      <c r="AA683" s="196"/>
      <c r="AB683" s="196"/>
      <c r="AC683" s="196"/>
      <c r="AD683" s="196"/>
    </row>
    <row r="684" spans="1:30" ht="12.9">
      <c r="A684" s="196"/>
      <c r="B684" s="143"/>
      <c r="C684" s="196"/>
      <c r="D684" s="196"/>
      <c r="E684" s="196"/>
      <c r="F684" s="196"/>
      <c r="G684" s="24"/>
      <c r="H684" s="24"/>
      <c r="I684" s="196"/>
      <c r="J684" s="196"/>
      <c r="K684" s="196"/>
      <c r="L684" s="196"/>
      <c r="M684" s="196"/>
      <c r="N684" s="196"/>
      <c r="O684" s="196"/>
      <c r="P684" s="196"/>
      <c r="Q684" s="196"/>
      <c r="R684" s="196"/>
      <c r="S684" s="196"/>
      <c r="T684" s="196"/>
      <c r="U684" s="196"/>
      <c r="V684" s="196"/>
      <c r="W684" s="196"/>
      <c r="X684" s="196"/>
      <c r="Y684" s="196"/>
      <c r="Z684" s="196"/>
      <c r="AA684" s="196"/>
      <c r="AB684" s="196"/>
      <c r="AC684" s="196"/>
      <c r="AD684" s="196"/>
    </row>
    <row r="685" spans="1:30" ht="12.9">
      <c r="A685" s="196"/>
      <c r="B685" s="143"/>
      <c r="C685" s="196"/>
      <c r="D685" s="196"/>
      <c r="E685" s="196"/>
      <c r="F685" s="196"/>
      <c r="G685" s="24"/>
      <c r="H685" s="24"/>
      <c r="I685" s="196"/>
      <c r="J685" s="196"/>
      <c r="K685" s="196"/>
      <c r="L685" s="196"/>
      <c r="M685" s="196"/>
      <c r="N685" s="196"/>
      <c r="O685" s="196"/>
      <c r="P685" s="196"/>
      <c r="Q685" s="196"/>
      <c r="R685" s="196"/>
      <c r="S685" s="196"/>
      <c r="T685" s="196"/>
      <c r="U685" s="196"/>
      <c r="V685" s="196"/>
      <c r="W685" s="196"/>
      <c r="X685" s="196"/>
      <c r="Y685" s="196"/>
      <c r="Z685" s="196"/>
      <c r="AA685" s="196"/>
      <c r="AB685" s="196"/>
      <c r="AC685" s="196"/>
      <c r="AD685" s="196"/>
    </row>
    <row r="686" spans="1:30" ht="12.9">
      <c r="A686" s="196"/>
      <c r="B686" s="143"/>
      <c r="C686" s="196"/>
      <c r="D686" s="196"/>
      <c r="E686" s="196"/>
      <c r="F686" s="196"/>
      <c r="G686" s="24"/>
      <c r="H686" s="24"/>
      <c r="I686" s="196"/>
      <c r="J686" s="196"/>
      <c r="K686" s="196"/>
      <c r="L686" s="196"/>
      <c r="M686" s="196"/>
      <c r="N686" s="196"/>
      <c r="O686" s="196"/>
      <c r="P686" s="196"/>
      <c r="Q686" s="196"/>
      <c r="R686" s="196"/>
      <c r="S686" s="196"/>
      <c r="T686" s="196"/>
      <c r="U686" s="196"/>
      <c r="V686" s="196"/>
      <c r="W686" s="196"/>
      <c r="X686" s="196"/>
      <c r="Y686" s="196"/>
      <c r="Z686" s="196"/>
      <c r="AA686" s="196"/>
      <c r="AB686" s="196"/>
      <c r="AC686" s="196"/>
      <c r="AD686" s="196"/>
    </row>
    <row r="687" spans="1:30" ht="12.9">
      <c r="A687" s="196"/>
      <c r="B687" s="143"/>
      <c r="C687" s="196"/>
      <c r="D687" s="196"/>
      <c r="E687" s="196"/>
      <c r="F687" s="196"/>
      <c r="G687" s="24"/>
      <c r="H687" s="24"/>
      <c r="I687" s="196"/>
      <c r="J687" s="196"/>
      <c r="K687" s="196"/>
      <c r="L687" s="196"/>
      <c r="M687" s="196"/>
      <c r="N687" s="196"/>
      <c r="O687" s="196"/>
      <c r="P687" s="196"/>
      <c r="Q687" s="196"/>
      <c r="R687" s="196"/>
      <c r="S687" s="196"/>
      <c r="T687" s="196"/>
      <c r="U687" s="196"/>
      <c r="V687" s="196"/>
      <c r="W687" s="196"/>
      <c r="X687" s="196"/>
      <c r="Y687" s="196"/>
      <c r="Z687" s="196"/>
      <c r="AA687" s="196"/>
      <c r="AB687" s="196"/>
      <c r="AC687" s="196"/>
      <c r="AD687" s="196"/>
    </row>
    <row r="688" spans="1:30" ht="12.9">
      <c r="A688" s="196"/>
      <c r="B688" s="143"/>
      <c r="C688" s="196"/>
      <c r="D688" s="196"/>
      <c r="E688" s="196"/>
      <c r="F688" s="196"/>
      <c r="G688" s="24"/>
      <c r="H688" s="24"/>
      <c r="I688" s="196"/>
      <c r="J688" s="196"/>
      <c r="K688" s="196"/>
      <c r="L688" s="196"/>
      <c r="M688" s="196"/>
      <c r="N688" s="196"/>
      <c r="O688" s="196"/>
      <c r="P688" s="196"/>
      <c r="Q688" s="196"/>
      <c r="R688" s="196"/>
      <c r="S688" s="196"/>
      <c r="T688" s="196"/>
      <c r="U688" s="196"/>
      <c r="V688" s="196"/>
      <c r="W688" s="196"/>
      <c r="X688" s="196"/>
      <c r="Y688" s="196"/>
      <c r="Z688" s="196"/>
      <c r="AA688" s="196"/>
      <c r="AB688" s="196"/>
      <c r="AC688" s="196"/>
      <c r="AD688" s="196"/>
    </row>
    <row r="689" spans="1:30" ht="12.9">
      <c r="A689" s="196"/>
      <c r="B689" s="143"/>
      <c r="C689" s="196"/>
      <c r="D689" s="196"/>
      <c r="E689" s="196"/>
      <c r="F689" s="196"/>
      <c r="G689" s="24"/>
      <c r="H689" s="24"/>
      <c r="I689" s="196"/>
      <c r="J689" s="196"/>
      <c r="K689" s="196"/>
      <c r="L689" s="196"/>
      <c r="M689" s="196"/>
      <c r="N689" s="196"/>
      <c r="O689" s="196"/>
      <c r="P689" s="196"/>
      <c r="Q689" s="196"/>
      <c r="R689" s="196"/>
      <c r="S689" s="196"/>
      <c r="T689" s="196"/>
      <c r="U689" s="196"/>
      <c r="V689" s="196"/>
      <c r="W689" s="196"/>
      <c r="X689" s="196"/>
      <c r="Y689" s="196"/>
      <c r="Z689" s="196"/>
      <c r="AA689" s="196"/>
      <c r="AB689" s="196"/>
      <c r="AC689" s="196"/>
      <c r="AD689" s="196"/>
    </row>
    <row r="690" spans="1:30" ht="12.9">
      <c r="A690" s="196"/>
      <c r="B690" s="143"/>
      <c r="C690" s="196"/>
      <c r="D690" s="196"/>
      <c r="E690" s="196"/>
      <c r="F690" s="196"/>
      <c r="G690" s="24"/>
      <c r="H690" s="24"/>
      <c r="I690" s="196"/>
      <c r="J690" s="196"/>
      <c r="K690" s="196"/>
      <c r="L690" s="196"/>
      <c r="M690" s="196"/>
      <c r="N690" s="196"/>
      <c r="O690" s="196"/>
      <c r="P690" s="196"/>
      <c r="Q690" s="196"/>
      <c r="R690" s="196"/>
      <c r="S690" s="196"/>
      <c r="T690" s="196"/>
      <c r="U690" s="196"/>
      <c r="V690" s="196"/>
      <c r="W690" s="196"/>
      <c r="X690" s="196"/>
      <c r="Y690" s="196"/>
      <c r="Z690" s="196"/>
      <c r="AA690" s="196"/>
      <c r="AB690" s="196"/>
      <c r="AC690" s="196"/>
      <c r="AD690" s="196"/>
    </row>
    <row r="691" spans="1:30" ht="12.9">
      <c r="A691" s="196"/>
      <c r="B691" s="143"/>
      <c r="C691" s="196"/>
      <c r="D691" s="196"/>
      <c r="E691" s="196"/>
      <c r="F691" s="196"/>
      <c r="G691" s="24"/>
      <c r="H691" s="24"/>
      <c r="I691" s="196"/>
      <c r="J691" s="196"/>
      <c r="K691" s="196"/>
      <c r="L691" s="196"/>
      <c r="M691" s="196"/>
      <c r="N691" s="196"/>
      <c r="O691" s="196"/>
      <c r="P691" s="196"/>
      <c r="Q691" s="196"/>
      <c r="R691" s="196"/>
      <c r="S691" s="196"/>
      <c r="T691" s="196"/>
      <c r="U691" s="196"/>
      <c r="V691" s="196"/>
      <c r="W691" s="196"/>
      <c r="X691" s="196"/>
      <c r="Y691" s="196"/>
      <c r="Z691" s="196"/>
      <c r="AA691" s="196"/>
      <c r="AB691" s="196"/>
      <c r="AC691" s="196"/>
      <c r="AD691" s="196"/>
    </row>
    <row r="692" spans="1:30" ht="12.9">
      <c r="A692" s="196"/>
      <c r="B692" s="143"/>
      <c r="C692" s="196"/>
      <c r="D692" s="196"/>
      <c r="E692" s="196"/>
      <c r="F692" s="196"/>
      <c r="G692" s="24"/>
      <c r="H692" s="24"/>
      <c r="I692" s="196"/>
      <c r="J692" s="196"/>
      <c r="K692" s="196"/>
      <c r="L692" s="196"/>
      <c r="M692" s="196"/>
      <c r="N692" s="196"/>
      <c r="O692" s="196"/>
      <c r="P692" s="196"/>
      <c r="Q692" s="196"/>
      <c r="R692" s="196"/>
      <c r="S692" s="196"/>
      <c r="T692" s="196"/>
      <c r="U692" s="196"/>
      <c r="V692" s="196"/>
      <c r="W692" s="196"/>
      <c r="X692" s="196"/>
      <c r="Y692" s="196"/>
      <c r="Z692" s="196"/>
      <c r="AA692" s="196"/>
      <c r="AB692" s="196"/>
      <c r="AC692" s="196"/>
      <c r="AD692" s="196"/>
    </row>
    <row r="693" spans="1:30" ht="12.9">
      <c r="A693" s="196"/>
      <c r="B693" s="143"/>
      <c r="C693" s="196"/>
      <c r="D693" s="196"/>
      <c r="E693" s="196"/>
      <c r="F693" s="196"/>
      <c r="G693" s="24"/>
      <c r="H693" s="24"/>
      <c r="I693" s="196"/>
      <c r="J693" s="196"/>
      <c r="K693" s="196"/>
      <c r="L693" s="196"/>
      <c r="M693" s="196"/>
      <c r="N693" s="196"/>
      <c r="O693" s="196"/>
      <c r="P693" s="196"/>
      <c r="Q693" s="196"/>
      <c r="R693" s="196"/>
      <c r="S693" s="196"/>
      <c r="T693" s="196"/>
      <c r="U693" s="196"/>
      <c r="V693" s="196"/>
      <c r="W693" s="196"/>
      <c r="X693" s="196"/>
      <c r="Y693" s="196"/>
      <c r="Z693" s="196"/>
      <c r="AA693" s="196"/>
      <c r="AB693" s="196"/>
      <c r="AC693" s="196"/>
      <c r="AD693" s="196"/>
    </row>
    <row r="694" spans="1:30" ht="12.9">
      <c r="A694" s="196"/>
      <c r="B694" s="143"/>
      <c r="C694" s="196"/>
      <c r="D694" s="196"/>
      <c r="E694" s="196"/>
      <c r="F694" s="196"/>
      <c r="G694" s="24"/>
      <c r="H694" s="24"/>
      <c r="I694" s="196"/>
      <c r="J694" s="196"/>
      <c r="K694" s="196"/>
      <c r="L694" s="196"/>
      <c r="M694" s="196"/>
      <c r="N694" s="196"/>
      <c r="O694" s="196"/>
      <c r="P694" s="196"/>
      <c r="Q694" s="196"/>
      <c r="R694" s="196"/>
      <c r="S694" s="196"/>
      <c r="T694" s="196"/>
      <c r="U694" s="196"/>
      <c r="V694" s="196"/>
      <c r="W694" s="196"/>
      <c r="X694" s="196"/>
      <c r="Y694" s="196"/>
      <c r="Z694" s="196"/>
      <c r="AA694" s="196"/>
      <c r="AB694" s="196"/>
      <c r="AC694" s="196"/>
      <c r="AD694" s="196"/>
    </row>
    <row r="695" spans="1:30" ht="12.9">
      <c r="A695" s="196"/>
      <c r="B695" s="143"/>
      <c r="C695" s="196"/>
      <c r="D695" s="196"/>
      <c r="E695" s="196"/>
      <c r="F695" s="196"/>
      <c r="G695" s="24"/>
      <c r="H695" s="24"/>
      <c r="I695" s="196"/>
      <c r="J695" s="196"/>
      <c r="K695" s="196"/>
      <c r="L695" s="196"/>
      <c r="M695" s="196"/>
      <c r="N695" s="196"/>
      <c r="O695" s="196"/>
      <c r="P695" s="196"/>
      <c r="Q695" s="196"/>
      <c r="R695" s="196"/>
      <c r="S695" s="196"/>
      <c r="T695" s="196"/>
      <c r="U695" s="196"/>
      <c r="V695" s="196"/>
      <c r="W695" s="196"/>
      <c r="X695" s="196"/>
      <c r="Y695" s="196"/>
      <c r="Z695" s="196"/>
      <c r="AA695" s="196"/>
      <c r="AB695" s="196"/>
      <c r="AC695" s="196"/>
      <c r="AD695" s="196"/>
    </row>
    <row r="696" spans="1:30" ht="12.9">
      <c r="A696" s="196"/>
      <c r="B696" s="143"/>
      <c r="C696" s="196"/>
      <c r="D696" s="196"/>
      <c r="E696" s="196"/>
      <c r="F696" s="196"/>
      <c r="G696" s="24"/>
      <c r="H696" s="24"/>
      <c r="I696" s="196"/>
      <c r="J696" s="196"/>
      <c r="K696" s="196"/>
      <c r="L696" s="196"/>
      <c r="M696" s="196"/>
      <c r="N696" s="196"/>
      <c r="O696" s="196"/>
      <c r="P696" s="196"/>
      <c r="Q696" s="196"/>
      <c r="R696" s="196"/>
      <c r="S696" s="196"/>
      <c r="T696" s="196"/>
      <c r="U696" s="196"/>
      <c r="V696" s="196"/>
      <c r="W696" s="196"/>
      <c r="X696" s="196"/>
      <c r="Y696" s="196"/>
      <c r="Z696" s="196"/>
      <c r="AA696" s="196"/>
      <c r="AB696" s="196"/>
      <c r="AC696" s="196"/>
      <c r="AD696" s="196"/>
    </row>
    <row r="697" spans="1:30" ht="12.9">
      <c r="A697" s="196"/>
      <c r="B697" s="143"/>
      <c r="C697" s="196"/>
      <c r="D697" s="196"/>
      <c r="E697" s="196"/>
      <c r="F697" s="196"/>
      <c r="G697" s="24"/>
      <c r="H697" s="24"/>
      <c r="I697" s="196"/>
      <c r="J697" s="196"/>
      <c r="K697" s="196"/>
      <c r="L697" s="196"/>
      <c r="M697" s="196"/>
      <c r="N697" s="196"/>
      <c r="O697" s="196"/>
      <c r="P697" s="196"/>
      <c r="Q697" s="196"/>
      <c r="R697" s="196"/>
      <c r="S697" s="196"/>
      <c r="T697" s="196"/>
      <c r="U697" s="196"/>
      <c r="V697" s="196"/>
      <c r="W697" s="196"/>
      <c r="X697" s="196"/>
      <c r="Y697" s="196"/>
      <c r="Z697" s="196"/>
      <c r="AA697" s="196"/>
      <c r="AB697" s="196"/>
      <c r="AC697" s="196"/>
      <c r="AD697" s="196"/>
    </row>
    <row r="698" spans="1:30" ht="12.9">
      <c r="A698" s="196"/>
      <c r="B698" s="143"/>
      <c r="C698" s="196"/>
      <c r="D698" s="196"/>
      <c r="E698" s="196"/>
      <c r="F698" s="196"/>
      <c r="G698" s="24"/>
      <c r="H698" s="24"/>
      <c r="I698" s="196"/>
      <c r="J698" s="196"/>
      <c r="K698" s="196"/>
      <c r="L698" s="196"/>
      <c r="M698" s="196"/>
      <c r="N698" s="196"/>
      <c r="O698" s="196"/>
      <c r="P698" s="196"/>
      <c r="Q698" s="196"/>
      <c r="R698" s="196"/>
      <c r="S698" s="196"/>
      <c r="T698" s="196"/>
      <c r="U698" s="196"/>
      <c r="V698" s="196"/>
      <c r="W698" s="196"/>
      <c r="X698" s="196"/>
      <c r="Y698" s="196"/>
      <c r="Z698" s="196"/>
      <c r="AA698" s="196"/>
      <c r="AB698" s="196"/>
      <c r="AC698" s="196"/>
      <c r="AD698" s="196"/>
    </row>
    <row r="699" spans="1:30" ht="12.9">
      <c r="A699" s="196"/>
      <c r="B699" s="143"/>
      <c r="C699" s="196"/>
      <c r="D699" s="196"/>
      <c r="E699" s="196"/>
      <c r="F699" s="196"/>
      <c r="G699" s="24"/>
      <c r="H699" s="24"/>
      <c r="I699" s="196"/>
      <c r="J699" s="196"/>
      <c r="K699" s="196"/>
      <c r="L699" s="196"/>
      <c r="M699" s="196"/>
      <c r="N699" s="196"/>
      <c r="O699" s="196"/>
      <c r="P699" s="196"/>
      <c r="Q699" s="196"/>
      <c r="R699" s="196"/>
      <c r="S699" s="196"/>
      <c r="T699" s="196"/>
      <c r="U699" s="196"/>
      <c r="V699" s="196"/>
      <c r="W699" s="196"/>
      <c r="X699" s="196"/>
      <c r="Y699" s="196"/>
      <c r="Z699" s="196"/>
      <c r="AA699" s="196"/>
      <c r="AB699" s="196"/>
      <c r="AC699" s="196"/>
      <c r="AD699" s="196"/>
    </row>
    <row r="700" spans="1:30" ht="12.9">
      <c r="A700" s="196"/>
      <c r="B700" s="143"/>
      <c r="C700" s="196"/>
      <c r="D700" s="196"/>
      <c r="E700" s="196"/>
      <c r="F700" s="196"/>
      <c r="G700" s="24"/>
      <c r="H700" s="24"/>
      <c r="I700" s="196"/>
      <c r="J700" s="196"/>
      <c r="K700" s="196"/>
      <c r="L700" s="196"/>
      <c r="M700" s="196"/>
      <c r="N700" s="196"/>
      <c r="O700" s="196"/>
      <c r="P700" s="196"/>
      <c r="Q700" s="196"/>
      <c r="R700" s="196"/>
      <c r="S700" s="196"/>
      <c r="T700" s="196"/>
      <c r="U700" s="196"/>
      <c r="V700" s="196"/>
      <c r="W700" s="196"/>
      <c r="X700" s="196"/>
      <c r="Y700" s="196"/>
      <c r="Z700" s="196"/>
      <c r="AA700" s="196"/>
      <c r="AB700" s="196"/>
      <c r="AC700" s="196"/>
      <c r="AD700" s="196"/>
    </row>
    <row r="701" spans="1:30" ht="12.9">
      <c r="A701" s="196"/>
      <c r="B701" s="143"/>
      <c r="C701" s="196"/>
      <c r="D701" s="196"/>
      <c r="E701" s="196"/>
      <c r="F701" s="196"/>
      <c r="G701" s="24"/>
      <c r="H701" s="24"/>
      <c r="I701" s="196"/>
      <c r="J701" s="196"/>
      <c r="K701" s="196"/>
      <c r="L701" s="196"/>
      <c r="M701" s="196"/>
      <c r="N701" s="196"/>
      <c r="O701" s="196"/>
      <c r="P701" s="196"/>
      <c r="Q701" s="196"/>
      <c r="R701" s="196"/>
      <c r="S701" s="196"/>
      <c r="T701" s="196"/>
      <c r="U701" s="196"/>
      <c r="V701" s="196"/>
      <c r="W701" s="196"/>
      <c r="X701" s="196"/>
      <c r="Y701" s="196"/>
      <c r="Z701" s="196"/>
      <c r="AA701" s="196"/>
      <c r="AB701" s="196"/>
      <c r="AC701" s="196"/>
      <c r="AD701" s="196"/>
    </row>
    <row r="702" spans="1:30" ht="12.9">
      <c r="A702" s="196"/>
      <c r="B702" s="143"/>
      <c r="C702" s="196"/>
      <c r="D702" s="196"/>
      <c r="E702" s="196"/>
      <c r="F702" s="196"/>
      <c r="G702" s="24"/>
      <c r="H702" s="24"/>
      <c r="I702" s="196"/>
      <c r="J702" s="196"/>
      <c r="K702" s="196"/>
      <c r="L702" s="196"/>
      <c r="M702" s="196"/>
      <c r="N702" s="196"/>
      <c r="O702" s="196"/>
      <c r="P702" s="196"/>
      <c r="Q702" s="196"/>
      <c r="R702" s="196"/>
      <c r="S702" s="196"/>
      <c r="T702" s="196"/>
      <c r="U702" s="196"/>
      <c r="V702" s="196"/>
      <c r="W702" s="196"/>
      <c r="X702" s="196"/>
      <c r="Y702" s="196"/>
      <c r="Z702" s="196"/>
      <c r="AA702" s="196"/>
      <c r="AB702" s="196"/>
      <c r="AC702" s="196"/>
      <c r="AD702" s="196"/>
    </row>
    <row r="703" spans="1:30" ht="12.9">
      <c r="A703" s="196"/>
      <c r="B703" s="143"/>
      <c r="C703" s="196"/>
      <c r="D703" s="196"/>
      <c r="E703" s="196"/>
      <c r="F703" s="196"/>
      <c r="G703" s="24"/>
      <c r="H703" s="24"/>
      <c r="I703" s="196"/>
      <c r="J703" s="196"/>
      <c r="K703" s="196"/>
      <c r="L703" s="196"/>
      <c r="M703" s="196"/>
      <c r="N703" s="196"/>
      <c r="O703" s="196"/>
      <c r="P703" s="196"/>
      <c r="Q703" s="196"/>
      <c r="R703" s="196"/>
      <c r="S703" s="196"/>
      <c r="T703" s="196"/>
      <c r="U703" s="196"/>
      <c r="V703" s="196"/>
      <c r="W703" s="196"/>
      <c r="X703" s="196"/>
      <c r="Y703" s="196"/>
      <c r="Z703" s="196"/>
      <c r="AA703" s="196"/>
      <c r="AB703" s="196"/>
      <c r="AC703" s="196"/>
      <c r="AD703" s="196"/>
    </row>
    <row r="704" spans="1:30" ht="12.9">
      <c r="A704" s="196"/>
      <c r="B704" s="143"/>
      <c r="C704" s="196"/>
      <c r="D704" s="196"/>
      <c r="E704" s="196"/>
      <c r="F704" s="196"/>
      <c r="G704" s="24"/>
      <c r="H704" s="24"/>
      <c r="I704" s="196"/>
      <c r="J704" s="196"/>
      <c r="K704" s="196"/>
      <c r="L704" s="196"/>
      <c r="M704" s="196"/>
      <c r="N704" s="196"/>
      <c r="O704" s="196"/>
      <c r="P704" s="196"/>
      <c r="Q704" s="196"/>
      <c r="R704" s="196"/>
      <c r="S704" s="196"/>
      <c r="T704" s="196"/>
      <c r="U704" s="196"/>
      <c r="V704" s="196"/>
      <c r="W704" s="196"/>
      <c r="X704" s="196"/>
      <c r="Y704" s="196"/>
      <c r="Z704" s="196"/>
      <c r="AA704" s="196"/>
      <c r="AB704" s="196"/>
      <c r="AC704" s="196"/>
      <c r="AD704" s="196"/>
    </row>
    <row r="705" spans="1:30" ht="12.9">
      <c r="A705" s="196"/>
      <c r="B705" s="143"/>
      <c r="C705" s="196"/>
      <c r="D705" s="196"/>
      <c r="E705" s="196"/>
      <c r="F705" s="196"/>
      <c r="G705" s="24"/>
      <c r="H705" s="24"/>
      <c r="I705" s="196"/>
      <c r="J705" s="196"/>
      <c r="K705" s="196"/>
      <c r="L705" s="196"/>
      <c r="M705" s="196"/>
      <c r="N705" s="196"/>
      <c r="O705" s="196"/>
      <c r="P705" s="196"/>
      <c r="Q705" s="196"/>
      <c r="R705" s="196"/>
      <c r="S705" s="196"/>
      <c r="T705" s="196"/>
      <c r="U705" s="196"/>
      <c r="V705" s="196"/>
      <c r="W705" s="196"/>
      <c r="X705" s="196"/>
      <c r="Y705" s="196"/>
      <c r="Z705" s="196"/>
      <c r="AA705" s="196"/>
      <c r="AB705" s="196"/>
      <c r="AC705" s="196"/>
      <c r="AD705" s="196"/>
    </row>
    <row r="706" spans="1:30" ht="12.9">
      <c r="A706" s="196"/>
      <c r="B706" s="143"/>
      <c r="C706" s="196"/>
      <c r="D706" s="196"/>
      <c r="E706" s="196"/>
      <c r="F706" s="196"/>
      <c r="G706" s="24"/>
      <c r="H706" s="24"/>
      <c r="I706" s="196"/>
      <c r="J706" s="196"/>
      <c r="K706" s="196"/>
      <c r="L706" s="196"/>
      <c r="M706" s="196"/>
      <c r="N706" s="196"/>
      <c r="O706" s="196"/>
      <c r="P706" s="196"/>
      <c r="Q706" s="196"/>
      <c r="R706" s="196"/>
      <c r="S706" s="196"/>
      <c r="T706" s="196"/>
      <c r="U706" s="196"/>
      <c r="V706" s="196"/>
      <c r="W706" s="196"/>
      <c r="X706" s="196"/>
      <c r="Y706" s="196"/>
      <c r="Z706" s="196"/>
      <c r="AA706" s="196"/>
      <c r="AB706" s="196"/>
      <c r="AC706" s="196"/>
      <c r="AD706" s="196"/>
    </row>
    <row r="707" spans="1:30" ht="12.9">
      <c r="A707" s="196"/>
      <c r="B707" s="143"/>
      <c r="C707" s="196"/>
      <c r="D707" s="196"/>
      <c r="E707" s="196"/>
      <c r="F707" s="196"/>
      <c r="G707" s="24"/>
      <c r="H707" s="24"/>
      <c r="I707" s="196"/>
      <c r="J707" s="196"/>
      <c r="K707" s="196"/>
      <c r="L707" s="196"/>
      <c r="M707" s="196"/>
      <c r="N707" s="196"/>
      <c r="O707" s="196"/>
      <c r="P707" s="196"/>
      <c r="Q707" s="196"/>
      <c r="R707" s="196"/>
      <c r="S707" s="196"/>
      <c r="T707" s="196"/>
      <c r="U707" s="196"/>
      <c r="V707" s="196"/>
      <c r="W707" s="196"/>
      <c r="X707" s="196"/>
      <c r="Y707" s="196"/>
      <c r="Z707" s="196"/>
      <c r="AA707" s="196"/>
      <c r="AB707" s="196"/>
      <c r="AC707" s="196"/>
      <c r="AD707" s="196"/>
    </row>
    <row r="708" spans="1:30" ht="12.9">
      <c r="A708" s="196"/>
      <c r="B708" s="143"/>
      <c r="C708" s="196"/>
      <c r="D708" s="196"/>
      <c r="E708" s="196"/>
      <c r="F708" s="196"/>
      <c r="G708" s="24"/>
      <c r="H708" s="24"/>
      <c r="I708" s="196"/>
      <c r="J708" s="196"/>
      <c r="K708" s="196"/>
      <c r="L708" s="196"/>
      <c r="M708" s="196"/>
      <c r="N708" s="196"/>
      <c r="O708" s="196"/>
      <c r="P708" s="196"/>
      <c r="Q708" s="196"/>
      <c r="R708" s="196"/>
      <c r="S708" s="196"/>
      <c r="T708" s="196"/>
      <c r="U708" s="196"/>
      <c r="V708" s="196"/>
      <c r="W708" s="196"/>
      <c r="X708" s="196"/>
      <c r="Y708" s="196"/>
      <c r="Z708" s="196"/>
      <c r="AA708" s="196"/>
      <c r="AB708" s="196"/>
      <c r="AC708" s="196"/>
      <c r="AD708" s="196"/>
    </row>
    <row r="709" spans="1:30" ht="12.9">
      <c r="A709" s="196"/>
      <c r="B709" s="143"/>
      <c r="C709" s="196"/>
      <c r="D709" s="196"/>
      <c r="E709" s="196"/>
      <c r="F709" s="196"/>
      <c r="G709" s="24"/>
      <c r="H709" s="24"/>
      <c r="I709" s="196"/>
      <c r="J709" s="196"/>
      <c r="K709" s="196"/>
      <c r="L709" s="196"/>
      <c r="M709" s="196"/>
      <c r="N709" s="196"/>
      <c r="O709" s="196"/>
      <c r="P709" s="196"/>
      <c r="Q709" s="196"/>
      <c r="R709" s="196"/>
      <c r="S709" s="196"/>
      <c r="T709" s="196"/>
      <c r="U709" s="196"/>
      <c r="V709" s="196"/>
      <c r="W709" s="196"/>
      <c r="X709" s="196"/>
      <c r="Y709" s="196"/>
      <c r="Z709" s="196"/>
      <c r="AA709" s="196"/>
      <c r="AB709" s="196"/>
      <c r="AC709" s="196"/>
      <c r="AD709" s="196"/>
    </row>
    <row r="710" spans="1:30" ht="12.9">
      <c r="A710" s="196"/>
      <c r="B710" s="143"/>
      <c r="C710" s="196"/>
      <c r="D710" s="196"/>
      <c r="E710" s="196"/>
      <c r="F710" s="196"/>
      <c r="G710" s="24"/>
      <c r="H710" s="24"/>
      <c r="I710" s="196"/>
      <c r="J710" s="196"/>
      <c r="K710" s="196"/>
      <c r="L710" s="196"/>
      <c r="M710" s="196"/>
      <c r="N710" s="196"/>
      <c r="O710" s="196"/>
      <c r="P710" s="196"/>
      <c r="Q710" s="196"/>
      <c r="R710" s="196"/>
      <c r="S710" s="196"/>
      <c r="T710" s="196"/>
      <c r="U710" s="196"/>
      <c r="V710" s="196"/>
      <c r="W710" s="196"/>
      <c r="X710" s="196"/>
      <c r="Y710" s="196"/>
      <c r="Z710" s="196"/>
      <c r="AA710" s="196"/>
      <c r="AB710" s="196"/>
      <c r="AC710" s="196"/>
      <c r="AD710" s="196"/>
    </row>
    <row r="711" spans="1:30" ht="12.9">
      <c r="A711" s="196"/>
      <c r="B711" s="143"/>
      <c r="C711" s="196"/>
      <c r="D711" s="196"/>
      <c r="E711" s="196"/>
      <c r="F711" s="196"/>
      <c r="G711" s="24"/>
      <c r="H711" s="24"/>
      <c r="I711" s="196"/>
      <c r="J711" s="196"/>
      <c r="K711" s="196"/>
      <c r="L711" s="196"/>
      <c r="M711" s="196"/>
      <c r="N711" s="196"/>
      <c r="O711" s="196"/>
      <c r="P711" s="196"/>
      <c r="Q711" s="196"/>
      <c r="R711" s="196"/>
      <c r="S711" s="196"/>
      <c r="T711" s="196"/>
      <c r="U711" s="196"/>
      <c r="V711" s="196"/>
      <c r="W711" s="196"/>
      <c r="X711" s="196"/>
      <c r="Y711" s="196"/>
      <c r="Z711" s="196"/>
      <c r="AA711" s="196"/>
      <c r="AB711" s="196"/>
      <c r="AC711" s="196"/>
      <c r="AD711" s="196"/>
    </row>
    <row r="712" spans="1:30" ht="12.9">
      <c r="A712" s="196"/>
      <c r="B712" s="143"/>
      <c r="C712" s="196"/>
      <c r="D712" s="196"/>
      <c r="E712" s="196"/>
      <c r="F712" s="196"/>
      <c r="G712" s="24"/>
      <c r="H712" s="24"/>
      <c r="I712" s="196"/>
      <c r="J712" s="196"/>
      <c r="K712" s="196"/>
      <c r="L712" s="196"/>
      <c r="M712" s="196"/>
      <c r="N712" s="196"/>
      <c r="O712" s="196"/>
      <c r="P712" s="196"/>
      <c r="Q712" s="196"/>
      <c r="R712" s="196"/>
      <c r="S712" s="196"/>
      <c r="T712" s="196"/>
      <c r="U712" s="196"/>
      <c r="V712" s="196"/>
      <c r="W712" s="196"/>
      <c r="X712" s="196"/>
      <c r="Y712" s="196"/>
      <c r="Z712" s="196"/>
      <c r="AA712" s="196"/>
      <c r="AB712" s="196"/>
      <c r="AC712" s="196"/>
      <c r="AD712" s="196"/>
    </row>
    <row r="713" spans="1:30" ht="12.9">
      <c r="A713" s="196"/>
      <c r="B713" s="143"/>
      <c r="C713" s="196"/>
      <c r="D713" s="196"/>
      <c r="E713" s="196"/>
      <c r="F713" s="196"/>
      <c r="G713" s="24"/>
      <c r="H713" s="24"/>
      <c r="I713" s="196"/>
      <c r="J713" s="196"/>
      <c r="K713" s="196"/>
      <c r="L713" s="196"/>
      <c r="M713" s="196"/>
      <c r="N713" s="196"/>
      <c r="O713" s="196"/>
      <c r="P713" s="196"/>
      <c r="Q713" s="196"/>
      <c r="R713" s="196"/>
      <c r="S713" s="196"/>
      <c r="T713" s="196"/>
      <c r="U713" s="196"/>
      <c r="V713" s="196"/>
      <c r="W713" s="196"/>
      <c r="X713" s="196"/>
      <c r="Y713" s="196"/>
      <c r="Z713" s="196"/>
      <c r="AA713" s="196"/>
      <c r="AB713" s="196"/>
      <c r="AC713" s="196"/>
      <c r="AD713" s="196"/>
    </row>
    <row r="714" spans="1:30" ht="12.9">
      <c r="A714" s="196"/>
      <c r="B714" s="143"/>
      <c r="C714" s="196"/>
      <c r="D714" s="196"/>
      <c r="E714" s="196"/>
      <c r="F714" s="196"/>
      <c r="G714" s="24"/>
      <c r="H714" s="24"/>
      <c r="I714" s="196"/>
      <c r="J714" s="196"/>
      <c r="K714" s="196"/>
      <c r="L714" s="196"/>
      <c r="M714" s="196"/>
      <c r="N714" s="196"/>
      <c r="O714" s="196"/>
      <c r="P714" s="196"/>
      <c r="Q714" s="196"/>
      <c r="R714" s="196"/>
      <c r="S714" s="196"/>
      <c r="T714" s="196"/>
      <c r="U714" s="196"/>
      <c r="V714" s="196"/>
      <c r="W714" s="196"/>
      <c r="X714" s="196"/>
      <c r="Y714" s="196"/>
      <c r="Z714" s="196"/>
      <c r="AA714" s="196"/>
      <c r="AB714" s="196"/>
      <c r="AC714" s="196"/>
      <c r="AD714" s="196"/>
    </row>
    <row r="715" spans="1:30" ht="12.9">
      <c r="A715" s="196"/>
      <c r="B715" s="143"/>
      <c r="C715" s="196"/>
      <c r="D715" s="196"/>
      <c r="E715" s="196"/>
      <c r="F715" s="196"/>
      <c r="G715" s="24"/>
      <c r="H715" s="24"/>
      <c r="I715" s="196"/>
      <c r="J715" s="196"/>
      <c r="K715" s="196"/>
      <c r="L715" s="196"/>
      <c r="M715" s="196"/>
      <c r="N715" s="196"/>
      <c r="O715" s="196"/>
      <c r="P715" s="196"/>
      <c r="Q715" s="196"/>
      <c r="R715" s="196"/>
      <c r="S715" s="196"/>
      <c r="T715" s="196"/>
      <c r="U715" s="196"/>
      <c r="V715" s="196"/>
      <c r="W715" s="196"/>
      <c r="X715" s="196"/>
      <c r="Y715" s="196"/>
      <c r="Z715" s="196"/>
      <c r="AA715" s="196"/>
      <c r="AB715" s="196"/>
      <c r="AC715" s="196"/>
      <c r="AD715" s="196"/>
    </row>
    <row r="716" spans="1:30" ht="12.9">
      <c r="A716" s="196"/>
      <c r="B716" s="143"/>
      <c r="C716" s="196"/>
      <c r="D716" s="196"/>
      <c r="E716" s="196"/>
      <c r="F716" s="196"/>
      <c r="G716" s="24"/>
      <c r="H716" s="24"/>
      <c r="I716" s="196"/>
      <c r="J716" s="196"/>
      <c r="K716" s="196"/>
      <c r="L716" s="196"/>
      <c r="M716" s="196"/>
      <c r="N716" s="196"/>
      <c r="O716" s="196"/>
      <c r="P716" s="196"/>
      <c r="Q716" s="196"/>
      <c r="R716" s="196"/>
      <c r="S716" s="196"/>
      <c r="T716" s="196"/>
      <c r="U716" s="196"/>
      <c r="V716" s="196"/>
      <c r="W716" s="196"/>
      <c r="X716" s="196"/>
      <c r="Y716" s="196"/>
      <c r="Z716" s="196"/>
      <c r="AA716" s="196"/>
      <c r="AB716" s="196"/>
      <c r="AC716" s="196"/>
      <c r="AD716" s="196"/>
    </row>
    <row r="717" spans="1:30" ht="12.9">
      <c r="A717" s="196"/>
      <c r="B717" s="143"/>
      <c r="C717" s="196"/>
      <c r="D717" s="196"/>
      <c r="E717" s="196"/>
      <c r="F717" s="196"/>
      <c r="G717" s="24"/>
      <c r="H717" s="24"/>
      <c r="I717" s="196"/>
      <c r="J717" s="196"/>
      <c r="K717" s="196"/>
      <c r="L717" s="196"/>
      <c r="M717" s="196"/>
      <c r="N717" s="196"/>
      <c r="O717" s="196"/>
      <c r="P717" s="196"/>
      <c r="Q717" s="196"/>
      <c r="R717" s="196"/>
      <c r="S717" s="196"/>
      <c r="T717" s="196"/>
      <c r="U717" s="196"/>
      <c r="V717" s="196"/>
      <c r="W717" s="196"/>
      <c r="X717" s="196"/>
      <c r="Y717" s="196"/>
      <c r="Z717" s="196"/>
      <c r="AA717" s="196"/>
      <c r="AB717" s="196"/>
      <c r="AC717" s="196"/>
      <c r="AD717" s="196"/>
    </row>
    <row r="718" spans="1:30" ht="12.9">
      <c r="A718" s="196"/>
      <c r="B718" s="143"/>
      <c r="C718" s="196"/>
      <c r="D718" s="196"/>
      <c r="E718" s="196"/>
      <c r="F718" s="196"/>
      <c r="G718" s="24"/>
      <c r="H718" s="24"/>
      <c r="I718" s="196"/>
      <c r="J718" s="196"/>
      <c r="K718" s="196"/>
      <c r="L718" s="196"/>
      <c r="M718" s="196"/>
      <c r="N718" s="196"/>
      <c r="O718" s="196"/>
      <c r="P718" s="196"/>
      <c r="Q718" s="196"/>
      <c r="R718" s="196"/>
      <c r="S718" s="196"/>
      <c r="T718" s="196"/>
      <c r="U718" s="196"/>
      <c r="V718" s="196"/>
      <c r="W718" s="196"/>
      <c r="X718" s="196"/>
      <c r="Y718" s="196"/>
      <c r="Z718" s="196"/>
      <c r="AA718" s="196"/>
      <c r="AB718" s="196"/>
      <c r="AC718" s="196"/>
      <c r="AD718" s="196"/>
    </row>
    <row r="719" spans="1:30" ht="12.9">
      <c r="A719" s="196"/>
      <c r="B719" s="143"/>
      <c r="C719" s="196"/>
      <c r="D719" s="196"/>
      <c r="E719" s="196"/>
      <c r="F719" s="196"/>
      <c r="G719" s="24"/>
      <c r="H719" s="24"/>
      <c r="I719" s="196"/>
      <c r="J719" s="196"/>
      <c r="K719" s="196"/>
      <c r="L719" s="196"/>
      <c r="M719" s="196"/>
      <c r="N719" s="196"/>
      <c r="O719" s="196"/>
      <c r="P719" s="196"/>
      <c r="Q719" s="196"/>
      <c r="R719" s="196"/>
      <c r="S719" s="196"/>
      <c r="T719" s="196"/>
      <c r="U719" s="196"/>
      <c r="V719" s="196"/>
      <c r="W719" s="196"/>
      <c r="X719" s="196"/>
      <c r="Y719" s="196"/>
      <c r="Z719" s="196"/>
      <c r="AA719" s="196"/>
      <c r="AB719" s="196"/>
      <c r="AC719" s="196"/>
      <c r="AD719" s="196"/>
    </row>
    <row r="720" spans="1:30" ht="12.9">
      <c r="A720" s="196"/>
      <c r="B720" s="143"/>
      <c r="C720" s="196"/>
      <c r="D720" s="196"/>
      <c r="E720" s="196"/>
      <c r="F720" s="196"/>
      <c r="G720" s="24"/>
      <c r="H720" s="24"/>
      <c r="I720" s="196"/>
      <c r="J720" s="196"/>
      <c r="K720" s="196"/>
      <c r="L720" s="196"/>
      <c r="M720" s="196"/>
      <c r="N720" s="196"/>
      <c r="O720" s="196"/>
      <c r="P720" s="196"/>
      <c r="Q720" s="196"/>
      <c r="R720" s="196"/>
      <c r="S720" s="196"/>
      <c r="T720" s="196"/>
      <c r="U720" s="196"/>
      <c r="V720" s="196"/>
      <c r="W720" s="196"/>
      <c r="X720" s="196"/>
      <c r="Y720" s="196"/>
      <c r="Z720" s="196"/>
      <c r="AA720" s="196"/>
      <c r="AB720" s="196"/>
      <c r="AC720" s="196"/>
      <c r="AD720" s="196"/>
    </row>
    <row r="721" spans="1:30" ht="12.9">
      <c r="A721" s="196"/>
      <c r="B721" s="143"/>
      <c r="C721" s="196"/>
      <c r="D721" s="196"/>
      <c r="E721" s="196"/>
      <c r="F721" s="196"/>
      <c r="G721" s="24"/>
      <c r="H721" s="24"/>
      <c r="I721" s="196"/>
      <c r="J721" s="196"/>
      <c r="K721" s="196"/>
      <c r="L721" s="196"/>
      <c r="M721" s="196"/>
      <c r="N721" s="196"/>
      <c r="O721" s="196"/>
      <c r="P721" s="196"/>
      <c r="Q721" s="196"/>
      <c r="R721" s="196"/>
      <c r="S721" s="196"/>
      <c r="T721" s="196"/>
      <c r="U721" s="196"/>
      <c r="V721" s="196"/>
      <c r="W721" s="196"/>
      <c r="X721" s="196"/>
      <c r="Y721" s="196"/>
      <c r="Z721" s="196"/>
      <c r="AA721" s="196"/>
      <c r="AB721" s="196"/>
      <c r="AC721" s="196"/>
      <c r="AD721" s="196"/>
    </row>
    <row r="722" spans="1:30" ht="12.9">
      <c r="A722" s="196"/>
      <c r="B722" s="143"/>
      <c r="C722" s="196"/>
      <c r="D722" s="196"/>
      <c r="E722" s="196"/>
      <c r="F722" s="196"/>
      <c r="G722" s="24"/>
      <c r="H722" s="24"/>
      <c r="I722" s="196"/>
      <c r="J722" s="196"/>
      <c r="K722" s="196"/>
      <c r="L722" s="196"/>
      <c r="M722" s="196"/>
      <c r="N722" s="196"/>
      <c r="O722" s="196"/>
      <c r="P722" s="196"/>
      <c r="Q722" s="196"/>
      <c r="R722" s="196"/>
      <c r="S722" s="196"/>
      <c r="T722" s="196"/>
      <c r="U722" s="196"/>
      <c r="V722" s="196"/>
      <c r="W722" s="196"/>
      <c r="X722" s="196"/>
      <c r="Y722" s="196"/>
      <c r="Z722" s="196"/>
      <c r="AA722" s="196"/>
      <c r="AB722" s="196"/>
      <c r="AC722" s="196"/>
      <c r="AD722" s="196"/>
    </row>
    <row r="723" spans="1:30" ht="12.9">
      <c r="A723" s="196"/>
      <c r="B723" s="143"/>
      <c r="C723" s="196"/>
      <c r="D723" s="196"/>
      <c r="E723" s="196"/>
      <c r="F723" s="196"/>
      <c r="G723" s="24"/>
      <c r="H723" s="24"/>
      <c r="I723" s="196"/>
      <c r="J723" s="196"/>
      <c r="K723" s="196"/>
      <c r="L723" s="196"/>
      <c r="M723" s="196"/>
      <c r="N723" s="196"/>
      <c r="O723" s="196"/>
      <c r="P723" s="196"/>
      <c r="Q723" s="196"/>
      <c r="R723" s="196"/>
      <c r="S723" s="196"/>
      <c r="T723" s="196"/>
      <c r="U723" s="196"/>
      <c r="V723" s="196"/>
      <c r="W723" s="196"/>
      <c r="X723" s="196"/>
      <c r="Y723" s="196"/>
      <c r="Z723" s="196"/>
      <c r="AA723" s="196"/>
      <c r="AB723" s="196"/>
      <c r="AC723" s="196"/>
      <c r="AD723" s="196"/>
    </row>
    <row r="724" spans="1:30" ht="12.9">
      <c r="A724" s="196"/>
      <c r="B724" s="143"/>
      <c r="C724" s="196"/>
      <c r="D724" s="196"/>
      <c r="E724" s="196"/>
      <c r="F724" s="196"/>
      <c r="G724" s="24"/>
      <c r="H724" s="24"/>
      <c r="I724" s="196"/>
      <c r="J724" s="196"/>
      <c r="K724" s="196"/>
      <c r="L724" s="196"/>
      <c r="M724" s="196"/>
      <c r="N724" s="196"/>
      <c r="O724" s="196"/>
      <c r="P724" s="196"/>
      <c r="Q724" s="196"/>
      <c r="R724" s="196"/>
      <c r="S724" s="196"/>
      <c r="T724" s="196"/>
      <c r="U724" s="196"/>
      <c r="V724" s="196"/>
      <c r="W724" s="196"/>
      <c r="X724" s="196"/>
      <c r="Y724" s="196"/>
      <c r="Z724" s="196"/>
      <c r="AA724" s="196"/>
      <c r="AB724" s="196"/>
      <c r="AC724" s="196"/>
      <c r="AD724" s="196"/>
    </row>
    <row r="725" spans="1:30" ht="12.9">
      <c r="A725" s="196"/>
      <c r="B725" s="143"/>
      <c r="C725" s="196"/>
      <c r="D725" s="196"/>
      <c r="E725" s="196"/>
      <c r="F725" s="196"/>
      <c r="G725" s="24"/>
      <c r="H725" s="24"/>
      <c r="I725" s="196"/>
      <c r="J725" s="196"/>
      <c r="K725" s="196"/>
      <c r="L725" s="196"/>
      <c r="M725" s="196"/>
      <c r="N725" s="196"/>
      <c r="O725" s="196"/>
      <c r="P725" s="196"/>
      <c r="Q725" s="196"/>
      <c r="R725" s="196"/>
      <c r="S725" s="196"/>
      <c r="T725" s="196"/>
      <c r="U725" s="196"/>
      <c r="V725" s="196"/>
      <c r="W725" s="196"/>
      <c r="X725" s="196"/>
      <c r="Y725" s="196"/>
      <c r="Z725" s="196"/>
      <c r="AA725" s="196"/>
      <c r="AB725" s="196"/>
      <c r="AC725" s="196"/>
      <c r="AD725" s="196"/>
    </row>
    <row r="726" spans="1:30" ht="12.9">
      <c r="A726" s="196"/>
      <c r="B726" s="143"/>
      <c r="C726" s="196"/>
      <c r="D726" s="196"/>
      <c r="E726" s="196"/>
      <c r="F726" s="196"/>
      <c r="G726" s="24"/>
      <c r="H726" s="24"/>
      <c r="I726" s="196"/>
      <c r="J726" s="196"/>
      <c r="K726" s="196"/>
      <c r="L726" s="196"/>
      <c r="M726" s="196"/>
      <c r="N726" s="196"/>
      <c r="O726" s="196"/>
      <c r="P726" s="196"/>
      <c r="Q726" s="196"/>
      <c r="R726" s="196"/>
      <c r="S726" s="196"/>
      <c r="T726" s="196"/>
      <c r="U726" s="196"/>
      <c r="V726" s="196"/>
      <c r="W726" s="196"/>
      <c r="X726" s="196"/>
      <c r="Y726" s="196"/>
      <c r="Z726" s="196"/>
      <c r="AA726" s="196"/>
      <c r="AB726" s="196"/>
      <c r="AC726" s="196"/>
      <c r="AD726" s="196"/>
    </row>
    <row r="727" spans="1:30" ht="12.9">
      <c r="A727" s="196"/>
      <c r="B727" s="143"/>
      <c r="C727" s="196"/>
      <c r="D727" s="196"/>
      <c r="E727" s="196"/>
      <c r="F727" s="196"/>
      <c r="G727" s="24"/>
      <c r="H727" s="24"/>
      <c r="I727" s="196"/>
      <c r="J727" s="196"/>
      <c r="K727" s="196"/>
      <c r="L727" s="196"/>
      <c r="M727" s="196"/>
      <c r="N727" s="196"/>
      <c r="O727" s="196"/>
      <c r="P727" s="196"/>
      <c r="Q727" s="196"/>
      <c r="R727" s="196"/>
      <c r="S727" s="196"/>
      <c r="T727" s="196"/>
      <c r="U727" s="196"/>
      <c r="V727" s="196"/>
      <c r="W727" s="196"/>
      <c r="X727" s="196"/>
      <c r="Y727" s="196"/>
      <c r="Z727" s="196"/>
      <c r="AA727" s="196"/>
      <c r="AB727" s="196"/>
      <c r="AC727" s="196"/>
      <c r="AD727" s="196"/>
    </row>
    <row r="728" spans="1:30" ht="12.9">
      <c r="A728" s="196"/>
      <c r="B728" s="143"/>
      <c r="C728" s="196"/>
      <c r="D728" s="196"/>
      <c r="E728" s="196"/>
      <c r="F728" s="196"/>
      <c r="G728" s="24"/>
      <c r="H728" s="24"/>
      <c r="I728" s="196"/>
      <c r="J728" s="196"/>
      <c r="K728" s="196"/>
      <c r="L728" s="196"/>
      <c r="M728" s="196"/>
      <c r="N728" s="196"/>
      <c r="O728" s="196"/>
      <c r="P728" s="196"/>
      <c r="Q728" s="196"/>
      <c r="R728" s="196"/>
      <c r="S728" s="196"/>
      <c r="T728" s="196"/>
      <c r="U728" s="196"/>
      <c r="V728" s="196"/>
      <c r="W728" s="196"/>
      <c r="X728" s="196"/>
      <c r="Y728" s="196"/>
      <c r="Z728" s="196"/>
      <c r="AA728" s="196"/>
      <c r="AB728" s="196"/>
      <c r="AC728" s="196"/>
      <c r="AD728" s="196"/>
    </row>
    <row r="729" spans="1:30" ht="12.9">
      <c r="A729" s="196"/>
      <c r="B729" s="143"/>
      <c r="C729" s="196"/>
      <c r="D729" s="196"/>
      <c r="E729" s="196"/>
      <c r="F729" s="196"/>
      <c r="G729" s="24"/>
      <c r="H729" s="24"/>
      <c r="I729" s="196"/>
      <c r="J729" s="196"/>
      <c r="K729" s="196"/>
      <c r="L729" s="196"/>
      <c r="M729" s="196"/>
      <c r="N729" s="196"/>
      <c r="O729" s="196"/>
      <c r="P729" s="196"/>
      <c r="Q729" s="196"/>
      <c r="R729" s="196"/>
      <c r="S729" s="196"/>
      <c r="T729" s="196"/>
      <c r="U729" s="196"/>
      <c r="V729" s="196"/>
      <c r="W729" s="196"/>
      <c r="X729" s="196"/>
      <c r="Y729" s="196"/>
      <c r="Z729" s="196"/>
      <c r="AA729" s="196"/>
      <c r="AB729" s="196"/>
      <c r="AC729" s="196"/>
      <c r="AD729" s="196"/>
    </row>
    <row r="730" spans="1:30" ht="12.9">
      <c r="A730" s="196"/>
      <c r="B730" s="143"/>
      <c r="C730" s="196"/>
      <c r="D730" s="196"/>
      <c r="E730" s="196"/>
      <c r="F730" s="196"/>
      <c r="G730" s="24"/>
      <c r="H730" s="24"/>
      <c r="I730" s="196"/>
      <c r="J730" s="196"/>
      <c r="K730" s="196"/>
      <c r="L730" s="196"/>
      <c r="M730" s="196"/>
      <c r="N730" s="196"/>
      <c r="O730" s="196"/>
      <c r="P730" s="196"/>
      <c r="Q730" s="196"/>
      <c r="R730" s="196"/>
      <c r="S730" s="196"/>
      <c r="T730" s="196"/>
      <c r="U730" s="196"/>
      <c r="V730" s="196"/>
      <c r="W730" s="196"/>
      <c r="X730" s="196"/>
      <c r="Y730" s="196"/>
      <c r="Z730" s="196"/>
      <c r="AA730" s="196"/>
      <c r="AB730" s="196"/>
      <c r="AC730" s="196"/>
      <c r="AD730" s="196"/>
    </row>
    <row r="731" spans="1:30" ht="12.9">
      <c r="A731" s="196"/>
      <c r="B731" s="143"/>
      <c r="C731" s="196"/>
      <c r="D731" s="196"/>
      <c r="E731" s="196"/>
      <c r="F731" s="196"/>
      <c r="G731" s="24"/>
      <c r="H731" s="24"/>
      <c r="I731" s="196"/>
      <c r="J731" s="196"/>
      <c r="K731" s="196"/>
      <c r="L731" s="196"/>
      <c r="M731" s="196"/>
      <c r="N731" s="196"/>
      <c r="O731" s="196"/>
      <c r="P731" s="196"/>
      <c r="Q731" s="196"/>
      <c r="R731" s="196"/>
      <c r="S731" s="196"/>
      <c r="T731" s="196"/>
      <c r="U731" s="196"/>
      <c r="V731" s="196"/>
      <c r="W731" s="196"/>
      <c r="X731" s="196"/>
      <c r="Y731" s="196"/>
      <c r="Z731" s="196"/>
      <c r="AA731" s="196"/>
      <c r="AB731" s="196"/>
      <c r="AC731" s="196"/>
      <c r="AD731" s="196"/>
    </row>
    <row r="732" spans="1:30" ht="12.9">
      <c r="A732" s="196"/>
      <c r="B732" s="143"/>
      <c r="C732" s="196"/>
      <c r="D732" s="196"/>
      <c r="E732" s="196"/>
      <c r="F732" s="196"/>
      <c r="G732" s="24"/>
      <c r="H732" s="24"/>
      <c r="I732" s="196"/>
      <c r="J732" s="196"/>
      <c r="K732" s="196"/>
      <c r="L732" s="196"/>
      <c r="M732" s="196"/>
      <c r="N732" s="196"/>
      <c r="O732" s="196"/>
      <c r="P732" s="196"/>
      <c r="Q732" s="196"/>
      <c r="R732" s="196"/>
      <c r="S732" s="196"/>
      <c r="T732" s="196"/>
      <c r="U732" s="196"/>
      <c r="V732" s="196"/>
      <c r="W732" s="196"/>
      <c r="X732" s="196"/>
      <c r="Y732" s="196"/>
      <c r="Z732" s="196"/>
      <c r="AA732" s="196"/>
      <c r="AB732" s="196"/>
      <c r="AC732" s="196"/>
      <c r="AD732" s="196"/>
    </row>
    <row r="733" spans="1:30" ht="12.9">
      <c r="A733" s="196"/>
      <c r="B733" s="143"/>
      <c r="C733" s="196"/>
      <c r="D733" s="196"/>
      <c r="E733" s="196"/>
      <c r="F733" s="196"/>
      <c r="G733" s="24"/>
      <c r="H733" s="24"/>
      <c r="I733" s="196"/>
      <c r="J733" s="196"/>
      <c r="K733" s="196"/>
      <c r="L733" s="196"/>
      <c r="M733" s="196"/>
      <c r="N733" s="196"/>
      <c r="O733" s="196"/>
      <c r="P733" s="196"/>
      <c r="Q733" s="196"/>
      <c r="R733" s="196"/>
      <c r="S733" s="196"/>
      <c r="T733" s="196"/>
      <c r="U733" s="196"/>
      <c r="V733" s="196"/>
      <c r="W733" s="196"/>
      <c r="X733" s="196"/>
      <c r="Y733" s="196"/>
      <c r="Z733" s="196"/>
      <c r="AA733" s="196"/>
      <c r="AB733" s="196"/>
      <c r="AC733" s="196"/>
      <c r="AD733" s="196"/>
    </row>
    <row r="734" spans="1:30" ht="12.9">
      <c r="A734" s="196"/>
      <c r="B734" s="143"/>
      <c r="C734" s="196"/>
      <c r="D734" s="196"/>
      <c r="E734" s="196"/>
      <c r="F734" s="196"/>
      <c r="G734" s="24"/>
      <c r="H734" s="24"/>
      <c r="I734" s="196"/>
      <c r="J734" s="196"/>
      <c r="K734" s="196"/>
      <c r="L734" s="196"/>
      <c r="M734" s="196"/>
      <c r="N734" s="196"/>
      <c r="O734" s="196"/>
      <c r="P734" s="196"/>
      <c r="Q734" s="196"/>
      <c r="R734" s="196"/>
      <c r="S734" s="196"/>
      <c r="T734" s="196"/>
      <c r="U734" s="196"/>
      <c r="V734" s="196"/>
      <c r="W734" s="196"/>
      <c r="X734" s="196"/>
      <c r="Y734" s="196"/>
      <c r="Z734" s="196"/>
      <c r="AA734" s="196"/>
      <c r="AB734" s="196"/>
      <c r="AC734" s="196"/>
      <c r="AD734" s="196"/>
    </row>
    <row r="735" spans="1:30" ht="12.9">
      <c r="A735" s="196"/>
      <c r="B735" s="143"/>
      <c r="C735" s="196"/>
      <c r="D735" s="196"/>
      <c r="E735" s="196"/>
      <c r="F735" s="196"/>
      <c r="G735" s="24"/>
      <c r="H735" s="24"/>
      <c r="I735" s="196"/>
      <c r="J735" s="196"/>
      <c r="K735" s="196"/>
      <c r="L735" s="196"/>
      <c r="M735" s="196"/>
      <c r="N735" s="196"/>
      <c r="O735" s="196"/>
      <c r="P735" s="196"/>
      <c r="Q735" s="196"/>
      <c r="R735" s="196"/>
      <c r="S735" s="196"/>
      <c r="T735" s="196"/>
      <c r="U735" s="196"/>
      <c r="V735" s="196"/>
      <c r="W735" s="196"/>
      <c r="X735" s="196"/>
      <c r="Y735" s="196"/>
      <c r="Z735" s="196"/>
      <c r="AA735" s="196"/>
      <c r="AB735" s="196"/>
      <c r="AC735" s="196"/>
      <c r="AD735" s="196"/>
    </row>
    <row r="736" spans="1:30" ht="12.9">
      <c r="A736" s="196"/>
      <c r="B736" s="143"/>
      <c r="C736" s="196"/>
      <c r="D736" s="196"/>
      <c r="E736" s="196"/>
      <c r="F736" s="196"/>
      <c r="G736" s="24"/>
      <c r="H736" s="24"/>
      <c r="I736" s="196"/>
      <c r="J736" s="196"/>
      <c r="K736" s="196"/>
      <c r="L736" s="196"/>
      <c r="M736" s="196"/>
      <c r="N736" s="196"/>
      <c r="O736" s="196"/>
      <c r="P736" s="196"/>
      <c r="Q736" s="196"/>
      <c r="R736" s="196"/>
      <c r="S736" s="196"/>
      <c r="T736" s="196"/>
      <c r="U736" s="196"/>
      <c r="V736" s="196"/>
      <c r="W736" s="196"/>
      <c r="X736" s="196"/>
      <c r="Y736" s="196"/>
      <c r="Z736" s="196"/>
      <c r="AA736" s="196"/>
      <c r="AB736" s="196"/>
      <c r="AC736" s="196"/>
      <c r="AD736" s="196"/>
    </row>
    <row r="737" spans="1:30" ht="12.9">
      <c r="A737" s="196"/>
      <c r="B737" s="143"/>
      <c r="C737" s="196"/>
      <c r="D737" s="196"/>
      <c r="E737" s="196"/>
      <c r="F737" s="196"/>
      <c r="G737" s="24"/>
      <c r="H737" s="24"/>
      <c r="I737" s="196"/>
      <c r="J737" s="196"/>
      <c r="K737" s="196"/>
      <c r="L737" s="196"/>
      <c r="M737" s="196"/>
      <c r="N737" s="196"/>
      <c r="O737" s="196"/>
      <c r="P737" s="196"/>
      <c r="Q737" s="196"/>
      <c r="R737" s="196"/>
      <c r="S737" s="196"/>
      <c r="T737" s="196"/>
      <c r="U737" s="196"/>
      <c r="V737" s="196"/>
      <c r="W737" s="196"/>
      <c r="X737" s="196"/>
      <c r="Y737" s="196"/>
      <c r="Z737" s="196"/>
      <c r="AA737" s="196"/>
      <c r="AB737" s="196"/>
      <c r="AC737" s="196"/>
      <c r="AD737" s="196"/>
    </row>
    <row r="738" spans="1:30" ht="12.9">
      <c r="A738" s="196"/>
      <c r="B738" s="143"/>
      <c r="C738" s="196"/>
      <c r="D738" s="196"/>
      <c r="E738" s="196"/>
      <c r="F738" s="196"/>
      <c r="G738" s="24"/>
      <c r="H738" s="24"/>
      <c r="I738" s="196"/>
      <c r="J738" s="196"/>
      <c r="K738" s="196"/>
      <c r="L738" s="196"/>
      <c r="M738" s="196"/>
      <c r="N738" s="196"/>
      <c r="O738" s="196"/>
      <c r="P738" s="196"/>
      <c r="Q738" s="196"/>
      <c r="R738" s="196"/>
      <c r="S738" s="196"/>
      <c r="T738" s="196"/>
      <c r="U738" s="196"/>
      <c r="V738" s="196"/>
      <c r="W738" s="196"/>
      <c r="X738" s="196"/>
      <c r="Y738" s="196"/>
      <c r="Z738" s="196"/>
      <c r="AA738" s="196"/>
      <c r="AB738" s="196"/>
      <c r="AC738" s="196"/>
      <c r="AD738" s="196"/>
    </row>
    <row r="739" spans="1:30" ht="12.9">
      <c r="A739" s="196"/>
      <c r="B739" s="143"/>
      <c r="C739" s="196"/>
      <c r="D739" s="196"/>
      <c r="E739" s="196"/>
      <c r="F739" s="196"/>
      <c r="G739" s="24"/>
      <c r="H739" s="24"/>
      <c r="I739" s="196"/>
      <c r="J739" s="196"/>
      <c r="K739" s="196"/>
      <c r="L739" s="196"/>
      <c r="M739" s="196"/>
      <c r="N739" s="196"/>
      <c r="O739" s="196"/>
      <c r="P739" s="196"/>
      <c r="Q739" s="196"/>
      <c r="R739" s="196"/>
      <c r="S739" s="196"/>
      <c r="T739" s="196"/>
      <c r="U739" s="196"/>
      <c r="V739" s="196"/>
      <c r="W739" s="196"/>
      <c r="X739" s="196"/>
      <c r="Y739" s="196"/>
      <c r="Z739" s="196"/>
      <c r="AA739" s="196"/>
      <c r="AB739" s="196"/>
      <c r="AC739" s="196"/>
      <c r="AD739" s="196"/>
    </row>
    <row r="740" spans="1:30" ht="12.9">
      <c r="A740" s="196"/>
      <c r="B740" s="143"/>
      <c r="C740" s="196"/>
      <c r="D740" s="196"/>
      <c r="E740" s="196"/>
      <c r="F740" s="196"/>
      <c r="G740" s="24"/>
      <c r="H740" s="24"/>
      <c r="I740" s="196"/>
      <c r="J740" s="196"/>
      <c r="K740" s="196"/>
      <c r="L740" s="196"/>
      <c r="M740" s="196"/>
      <c r="N740" s="196"/>
      <c r="O740" s="196"/>
      <c r="P740" s="196"/>
      <c r="Q740" s="196"/>
      <c r="R740" s="196"/>
      <c r="S740" s="196"/>
      <c r="T740" s="196"/>
      <c r="U740" s="196"/>
      <c r="V740" s="196"/>
      <c r="W740" s="196"/>
      <c r="X740" s="196"/>
      <c r="Y740" s="196"/>
      <c r="Z740" s="196"/>
      <c r="AA740" s="196"/>
      <c r="AB740" s="196"/>
      <c r="AC740" s="196"/>
      <c r="AD740" s="196"/>
    </row>
    <row r="741" spans="1:30" ht="12.9">
      <c r="A741" s="196"/>
      <c r="B741" s="143"/>
      <c r="C741" s="196"/>
      <c r="D741" s="196"/>
      <c r="E741" s="196"/>
      <c r="F741" s="196"/>
      <c r="G741" s="24"/>
      <c r="H741" s="24"/>
      <c r="I741" s="196"/>
      <c r="J741" s="196"/>
      <c r="K741" s="196"/>
      <c r="L741" s="196"/>
      <c r="M741" s="196"/>
      <c r="N741" s="196"/>
      <c r="O741" s="196"/>
      <c r="P741" s="196"/>
      <c r="Q741" s="196"/>
      <c r="R741" s="196"/>
      <c r="S741" s="196"/>
      <c r="T741" s="196"/>
      <c r="U741" s="196"/>
      <c r="V741" s="196"/>
      <c r="W741" s="196"/>
      <c r="X741" s="196"/>
      <c r="Y741" s="196"/>
      <c r="Z741" s="196"/>
      <c r="AA741" s="196"/>
      <c r="AB741" s="196"/>
      <c r="AC741" s="196"/>
      <c r="AD741" s="196"/>
    </row>
    <row r="742" spans="1:30" ht="12.9">
      <c r="A742" s="196"/>
      <c r="B742" s="143"/>
      <c r="C742" s="196"/>
      <c r="D742" s="196"/>
      <c r="E742" s="196"/>
      <c r="F742" s="196"/>
      <c r="G742" s="24"/>
      <c r="H742" s="24"/>
      <c r="I742" s="196"/>
      <c r="J742" s="196"/>
      <c r="K742" s="196"/>
      <c r="L742" s="196"/>
      <c r="M742" s="196"/>
      <c r="N742" s="196"/>
      <c r="O742" s="196"/>
      <c r="P742" s="196"/>
      <c r="Q742" s="196"/>
      <c r="R742" s="196"/>
      <c r="S742" s="196"/>
      <c r="T742" s="196"/>
      <c r="U742" s="196"/>
      <c r="V742" s="196"/>
      <c r="W742" s="196"/>
      <c r="X742" s="196"/>
      <c r="Y742" s="196"/>
      <c r="Z742" s="196"/>
      <c r="AA742" s="196"/>
      <c r="AB742" s="196"/>
      <c r="AC742" s="196"/>
      <c r="AD742" s="196"/>
    </row>
    <row r="743" spans="1:30" ht="12.9">
      <c r="A743" s="196"/>
      <c r="B743" s="143"/>
      <c r="C743" s="196"/>
      <c r="D743" s="196"/>
      <c r="E743" s="196"/>
      <c r="F743" s="196"/>
      <c r="G743" s="24"/>
      <c r="H743" s="24"/>
      <c r="I743" s="196"/>
      <c r="J743" s="196"/>
      <c r="K743" s="196"/>
      <c r="L743" s="196"/>
      <c r="M743" s="196"/>
      <c r="N743" s="196"/>
      <c r="O743" s="196"/>
      <c r="P743" s="196"/>
      <c r="Q743" s="196"/>
      <c r="R743" s="196"/>
      <c r="S743" s="196"/>
      <c r="T743" s="196"/>
      <c r="U743" s="196"/>
      <c r="V743" s="196"/>
      <c r="W743" s="196"/>
      <c r="X743" s="196"/>
      <c r="Y743" s="196"/>
      <c r="Z743" s="196"/>
      <c r="AA743" s="196"/>
      <c r="AB743" s="196"/>
      <c r="AC743" s="196"/>
      <c r="AD743" s="196"/>
    </row>
    <row r="744" spans="1:30" ht="12.9">
      <c r="A744" s="196"/>
      <c r="B744" s="143"/>
      <c r="C744" s="196"/>
      <c r="D744" s="196"/>
      <c r="E744" s="196"/>
      <c r="F744" s="196"/>
      <c r="G744" s="24"/>
      <c r="H744" s="24"/>
      <c r="I744" s="196"/>
      <c r="J744" s="196"/>
      <c r="K744" s="196"/>
      <c r="L744" s="196"/>
      <c r="M744" s="196"/>
      <c r="N744" s="196"/>
      <c r="O744" s="196"/>
      <c r="P744" s="196"/>
      <c r="Q744" s="196"/>
      <c r="R744" s="196"/>
      <c r="S744" s="196"/>
      <c r="T744" s="196"/>
      <c r="U744" s="196"/>
      <c r="V744" s="196"/>
      <c r="W744" s="196"/>
      <c r="X744" s="196"/>
      <c r="Y744" s="196"/>
      <c r="Z744" s="196"/>
      <c r="AA744" s="196"/>
      <c r="AB744" s="196"/>
      <c r="AC744" s="196"/>
      <c r="AD744" s="196"/>
    </row>
    <row r="745" spans="1:30" ht="12.9">
      <c r="A745" s="196"/>
      <c r="B745" s="143"/>
      <c r="C745" s="196"/>
      <c r="D745" s="196"/>
      <c r="E745" s="196"/>
      <c r="F745" s="196"/>
      <c r="G745" s="24"/>
      <c r="H745" s="24"/>
      <c r="I745" s="196"/>
      <c r="J745" s="196"/>
      <c r="K745" s="196"/>
      <c r="L745" s="196"/>
      <c r="M745" s="196"/>
      <c r="N745" s="196"/>
      <c r="O745" s="196"/>
      <c r="P745" s="196"/>
      <c r="Q745" s="196"/>
      <c r="R745" s="196"/>
      <c r="S745" s="196"/>
      <c r="T745" s="196"/>
      <c r="U745" s="196"/>
      <c r="V745" s="196"/>
      <c r="W745" s="196"/>
      <c r="X745" s="196"/>
      <c r="Y745" s="196"/>
      <c r="Z745" s="196"/>
      <c r="AA745" s="196"/>
      <c r="AB745" s="196"/>
      <c r="AC745" s="196"/>
      <c r="AD745" s="196"/>
    </row>
    <row r="746" spans="1:30" ht="12.9">
      <c r="A746" s="196"/>
      <c r="B746" s="143"/>
      <c r="C746" s="196"/>
      <c r="D746" s="196"/>
      <c r="E746" s="196"/>
      <c r="F746" s="196"/>
      <c r="G746" s="24"/>
      <c r="H746" s="24"/>
      <c r="I746" s="196"/>
      <c r="J746" s="196"/>
      <c r="K746" s="196"/>
      <c r="L746" s="196"/>
      <c r="M746" s="196"/>
      <c r="N746" s="196"/>
      <c r="O746" s="196"/>
      <c r="P746" s="196"/>
      <c r="Q746" s="196"/>
      <c r="R746" s="196"/>
      <c r="S746" s="196"/>
      <c r="T746" s="196"/>
      <c r="U746" s="196"/>
      <c r="V746" s="196"/>
      <c r="W746" s="196"/>
      <c r="X746" s="196"/>
      <c r="Y746" s="196"/>
      <c r="Z746" s="196"/>
      <c r="AA746" s="196"/>
      <c r="AB746" s="196"/>
      <c r="AC746" s="196"/>
      <c r="AD746" s="196"/>
    </row>
    <row r="747" spans="1:30" ht="12.9">
      <c r="A747" s="196"/>
      <c r="B747" s="143"/>
      <c r="C747" s="196"/>
      <c r="D747" s="196"/>
      <c r="E747" s="196"/>
      <c r="F747" s="196"/>
      <c r="G747" s="24"/>
      <c r="H747" s="24"/>
      <c r="I747" s="196"/>
      <c r="J747" s="196"/>
      <c r="K747" s="196"/>
      <c r="L747" s="196"/>
      <c r="M747" s="196"/>
      <c r="N747" s="196"/>
      <c r="O747" s="196"/>
      <c r="P747" s="196"/>
      <c r="Q747" s="196"/>
      <c r="R747" s="196"/>
      <c r="S747" s="196"/>
      <c r="T747" s="196"/>
      <c r="U747" s="196"/>
      <c r="V747" s="196"/>
      <c r="W747" s="196"/>
      <c r="X747" s="196"/>
      <c r="Y747" s="196"/>
      <c r="Z747" s="196"/>
      <c r="AA747" s="196"/>
      <c r="AB747" s="196"/>
      <c r="AC747" s="196"/>
      <c r="AD747" s="196"/>
    </row>
    <row r="748" spans="1:30" ht="12.9">
      <c r="A748" s="196"/>
      <c r="B748" s="143"/>
      <c r="C748" s="196"/>
      <c r="D748" s="196"/>
      <c r="E748" s="196"/>
      <c r="F748" s="196"/>
      <c r="G748" s="24"/>
      <c r="H748" s="24"/>
      <c r="I748" s="196"/>
      <c r="J748" s="196"/>
      <c r="K748" s="196"/>
      <c r="L748" s="196"/>
      <c r="M748" s="196"/>
      <c r="N748" s="196"/>
      <c r="O748" s="196"/>
      <c r="P748" s="196"/>
      <c r="Q748" s="196"/>
      <c r="R748" s="196"/>
      <c r="S748" s="196"/>
      <c r="T748" s="196"/>
      <c r="U748" s="196"/>
      <c r="V748" s="196"/>
      <c r="W748" s="196"/>
      <c r="X748" s="196"/>
      <c r="Y748" s="196"/>
      <c r="Z748" s="196"/>
      <c r="AA748" s="196"/>
      <c r="AB748" s="196"/>
      <c r="AC748" s="196"/>
      <c r="AD748" s="196"/>
    </row>
    <row r="749" spans="1:30" ht="12.9">
      <c r="A749" s="196"/>
      <c r="B749" s="143"/>
      <c r="C749" s="196"/>
      <c r="D749" s="196"/>
      <c r="E749" s="196"/>
      <c r="F749" s="196"/>
      <c r="G749" s="24"/>
      <c r="H749" s="24"/>
      <c r="I749" s="196"/>
      <c r="J749" s="196"/>
      <c r="K749" s="196"/>
      <c r="L749" s="196"/>
      <c r="M749" s="196"/>
      <c r="N749" s="196"/>
      <c r="O749" s="196"/>
      <c r="P749" s="196"/>
      <c r="Q749" s="196"/>
      <c r="R749" s="196"/>
      <c r="S749" s="196"/>
      <c r="T749" s="196"/>
      <c r="U749" s="196"/>
      <c r="V749" s="196"/>
      <c r="W749" s="196"/>
      <c r="X749" s="196"/>
      <c r="Y749" s="196"/>
      <c r="Z749" s="196"/>
      <c r="AA749" s="196"/>
      <c r="AB749" s="196"/>
      <c r="AC749" s="196"/>
      <c r="AD749" s="196"/>
    </row>
    <row r="750" spans="1:30" ht="12.9">
      <c r="A750" s="196"/>
      <c r="B750" s="143"/>
      <c r="C750" s="196"/>
      <c r="D750" s="196"/>
      <c r="E750" s="196"/>
      <c r="F750" s="196"/>
      <c r="G750" s="24"/>
      <c r="H750" s="24"/>
      <c r="I750" s="196"/>
      <c r="J750" s="196"/>
      <c r="K750" s="196"/>
      <c r="L750" s="196"/>
      <c r="M750" s="196"/>
      <c r="N750" s="196"/>
      <c r="O750" s="196"/>
      <c r="P750" s="196"/>
      <c r="Q750" s="196"/>
      <c r="R750" s="196"/>
      <c r="S750" s="196"/>
      <c r="T750" s="196"/>
      <c r="U750" s="196"/>
      <c r="V750" s="196"/>
      <c r="W750" s="196"/>
      <c r="X750" s="196"/>
      <c r="Y750" s="196"/>
      <c r="Z750" s="196"/>
      <c r="AA750" s="196"/>
      <c r="AB750" s="196"/>
      <c r="AC750" s="196"/>
      <c r="AD750" s="196"/>
    </row>
    <row r="751" spans="1:30" ht="12.9">
      <c r="A751" s="196"/>
      <c r="B751" s="143"/>
      <c r="C751" s="196"/>
      <c r="D751" s="196"/>
      <c r="E751" s="196"/>
      <c r="F751" s="196"/>
      <c r="G751" s="24"/>
      <c r="H751" s="24"/>
      <c r="I751" s="196"/>
      <c r="J751" s="196"/>
      <c r="K751" s="196"/>
      <c r="L751" s="196"/>
      <c r="M751" s="196"/>
      <c r="N751" s="196"/>
      <c r="O751" s="196"/>
      <c r="P751" s="196"/>
      <c r="Q751" s="196"/>
      <c r="R751" s="196"/>
      <c r="S751" s="196"/>
      <c r="T751" s="196"/>
      <c r="U751" s="196"/>
      <c r="V751" s="196"/>
      <c r="W751" s="196"/>
      <c r="X751" s="196"/>
      <c r="Y751" s="196"/>
      <c r="Z751" s="196"/>
      <c r="AA751" s="196"/>
      <c r="AB751" s="196"/>
      <c r="AC751" s="196"/>
      <c r="AD751" s="196"/>
    </row>
    <row r="752" spans="1:30" ht="12.9">
      <c r="A752" s="196"/>
      <c r="B752" s="143"/>
      <c r="C752" s="196"/>
      <c r="D752" s="196"/>
      <c r="E752" s="196"/>
      <c r="F752" s="196"/>
      <c r="G752" s="24"/>
      <c r="H752" s="24"/>
      <c r="I752" s="196"/>
      <c r="J752" s="196"/>
      <c r="K752" s="196"/>
      <c r="L752" s="196"/>
      <c r="M752" s="196"/>
      <c r="N752" s="196"/>
      <c r="O752" s="196"/>
      <c r="P752" s="196"/>
      <c r="Q752" s="196"/>
      <c r="R752" s="196"/>
      <c r="S752" s="196"/>
      <c r="T752" s="196"/>
      <c r="U752" s="196"/>
      <c r="V752" s="196"/>
      <c r="W752" s="196"/>
      <c r="X752" s="196"/>
      <c r="Y752" s="196"/>
      <c r="Z752" s="196"/>
      <c r="AA752" s="196"/>
      <c r="AB752" s="196"/>
      <c r="AC752" s="196"/>
      <c r="AD752" s="196"/>
    </row>
    <row r="753" spans="1:30" ht="12.9">
      <c r="A753" s="196"/>
      <c r="B753" s="143"/>
      <c r="C753" s="196"/>
      <c r="D753" s="196"/>
      <c r="E753" s="196"/>
      <c r="F753" s="196"/>
      <c r="G753" s="24"/>
      <c r="H753" s="24"/>
      <c r="I753" s="196"/>
      <c r="J753" s="196"/>
      <c r="K753" s="196"/>
      <c r="L753" s="196"/>
      <c r="M753" s="196"/>
      <c r="N753" s="196"/>
      <c r="O753" s="196"/>
      <c r="P753" s="196"/>
      <c r="Q753" s="196"/>
      <c r="R753" s="196"/>
      <c r="S753" s="196"/>
      <c r="T753" s="196"/>
      <c r="U753" s="196"/>
      <c r="V753" s="196"/>
      <c r="W753" s="196"/>
      <c r="X753" s="196"/>
      <c r="Y753" s="196"/>
      <c r="Z753" s="196"/>
      <c r="AA753" s="196"/>
      <c r="AB753" s="196"/>
      <c r="AC753" s="196"/>
      <c r="AD753" s="196"/>
    </row>
    <row r="754" spans="1:30" ht="12.9">
      <c r="A754" s="196"/>
      <c r="B754" s="143"/>
      <c r="C754" s="196"/>
      <c r="D754" s="196"/>
      <c r="E754" s="196"/>
      <c r="F754" s="196"/>
      <c r="G754" s="24"/>
      <c r="H754" s="24"/>
      <c r="I754" s="196"/>
      <c r="J754" s="196"/>
      <c r="K754" s="196"/>
      <c r="L754" s="196"/>
      <c r="M754" s="196"/>
      <c r="N754" s="196"/>
      <c r="O754" s="196"/>
      <c r="P754" s="196"/>
      <c r="Q754" s="196"/>
      <c r="R754" s="196"/>
      <c r="S754" s="196"/>
      <c r="T754" s="196"/>
      <c r="U754" s="196"/>
      <c r="V754" s="196"/>
      <c r="W754" s="196"/>
      <c r="X754" s="196"/>
      <c r="Y754" s="196"/>
      <c r="Z754" s="196"/>
      <c r="AA754" s="196"/>
      <c r="AB754" s="196"/>
      <c r="AC754" s="196"/>
      <c r="AD754" s="196"/>
    </row>
    <row r="755" spans="1:30" ht="12.9">
      <c r="A755" s="196"/>
      <c r="B755" s="143"/>
      <c r="C755" s="196"/>
      <c r="D755" s="196"/>
      <c r="E755" s="196"/>
      <c r="F755" s="196"/>
      <c r="G755" s="24"/>
      <c r="H755" s="24"/>
      <c r="I755" s="196"/>
      <c r="J755" s="196"/>
      <c r="K755" s="196"/>
      <c r="L755" s="196"/>
      <c r="M755" s="196"/>
      <c r="N755" s="196"/>
      <c r="O755" s="196"/>
      <c r="P755" s="196"/>
      <c r="Q755" s="196"/>
      <c r="R755" s="196"/>
      <c r="S755" s="196"/>
      <c r="T755" s="196"/>
      <c r="U755" s="196"/>
      <c r="V755" s="196"/>
      <c r="W755" s="196"/>
      <c r="X755" s="196"/>
      <c r="Y755" s="196"/>
      <c r="Z755" s="196"/>
      <c r="AA755" s="196"/>
      <c r="AB755" s="196"/>
      <c r="AC755" s="196"/>
      <c r="AD755" s="196"/>
    </row>
    <row r="756" spans="1:30" ht="12.9">
      <c r="A756" s="196"/>
      <c r="B756" s="143"/>
      <c r="C756" s="196"/>
      <c r="D756" s="196"/>
      <c r="E756" s="196"/>
      <c r="F756" s="196"/>
      <c r="G756" s="24"/>
      <c r="H756" s="24"/>
      <c r="I756" s="196"/>
      <c r="J756" s="196"/>
      <c r="K756" s="196"/>
      <c r="L756" s="196"/>
      <c r="M756" s="196"/>
      <c r="N756" s="196"/>
      <c r="O756" s="196"/>
      <c r="P756" s="196"/>
      <c r="Q756" s="196"/>
      <c r="R756" s="196"/>
      <c r="S756" s="196"/>
      <c r="T756" s="196"/>
      <c r="U756" s="196"/>
      <c r="V756" s="196"/>
      <c r="W756" s="196"/>
      <c r="X756" s="196"/>
      <c r="Y756" s="196"/>
      <c r="Z756" s="196"/>
      <c r="AA756" s="196"/>
      <c r="AB756" s="196"/>
      <c r="AC756" s="196"/>
      <c r="AD756" s="196"/>
    </row>
    <row r="757" spans="1:30" ht="12.9">
      <c r="A757" s="196"/>
      <c r="B757" s="143"/>
      <c r="C757" s="196"/>
      <c r="D757" s="196"/>
      <c r="E757" s="196"/>
      <c r="F757" s="196"/>
      <c r="G757" s="24"/>
      <c r="H757" s="24"/>
      <c r="I757" s="196"/>
      <c r="J757" s="196"/>
      <c r="K757" s="196"/>
      <c r="L757" s="196"/>
      <c r="M757" s="196"/>
      <c r="N757" s="196"/>
      <c r="O757" s="196"/>
      <c r="P757" s="196"/>
      <c r="Q757" s="196"/>
      <c r="R757" s="196"/>
      <c r="S757" s="196"/>
      <c r="T757" s="196"/>
      <c r="U757" s="196"/>
      <c r="V757" s="196"/>
      <c r="W757" s="196"/>
      <c r="X757" s="196"/>
      <c r="Y757" s="196"/>
      <c r="Z757" s="196"/>
      <c r="AA757" s="196"/>
      <c r="AB757" s="196"/>
      <c r="AC757" s="196"/>
      <c r="AD757" s="196"/>
    </row>
    <row r="758" spans="1:30" ht="12.9">
      <c r="A758" s="196"/>
      <c r="B758" s="143"/>
      <c r="C758" s="196"/>
      <c r="D758" s="196"/>
      <c r="E758" s="196"/>
      <c r="F758" s="196"/>
      <c r="G758" s="24"/>
      <c r="H758" s="24"/>
      <c r="I758" s="196"/>
      <c r="J758" s="196"/>
      <c r="K758" s="196"/>
      <c r="L758" s="196"/>
      <c r="M758" s="196"/>
      <c r="N758" s="196"/>
      <c r="O758" s="196"/>
      <c r="P758" s="196"/>
      <c r="Q758" s="196"/>
      <c r="R758" s="196"/>
      <c r="S758" s="196"/>
      <c r="T758" s="196"/>
      <c r="U758" s="196"/>
      <c r="V758" s="196"/>
      <c r="W758" s="196"/>
      <c r="X758" s="196"/>
      <c r="Y758" s="196"/>
      <c r="Z758" s="196"/>
      <c r="AA758" s="196"/>
      <c r="AB758" s="196"/>
      <c r="AC758" s="196"/>
      <c r="AD758" s="196"/>
    </row>
    <row r="759" spans="1:30" ht="12.9">
      <c r="A759" s="196"/>
      <c r="B759" s="143"/>
      <c r="C759" s="196"/>
      <c r="D759" s="196"/>
      <c r="E759" s="196"/>
      <c r="F759" s="196"/>
      <c r="G759" s="24"/>
      <c r="H759" s="24"/>
      <c r="I759" s="196"/>
      <c r="J759" s="196"/>
      <c r="K759" s="196"/>
      <c r="L759" s="196"/>
      <c r="M759" s="196"/>
      <c r="N759" s="196"/>
      <c r="O759" s="196"/>
      <c r="P759" s="196"/>
      <c r="Q759" s="196"/>
      <c r="R759" s="196"/>
      <c r="S759" s="196"/>
      <c r="T759" s="196"/>
      <c r="U759" s="196"/>
      <c r="V759" s="196"/>
      <c r="W759" s="196"/>
      <c r="X759" s="196"/>
      <c r="Y759" s="196"/>
      <c r="Z759" s="196"/>
      <c r="AA759" s="196"/>
      <c r="AB759" s="196"/>
      <c r="AC759" s="196"/>
      <c r="AD759" s="196"/>
    </row>
    <row r="760" spans="1:30" ht="12.9">
      <c r="A760" s="196"/>
      <c r="B760" s="143"/>
      <c r="C760" s="196"/>
      <c r="D760" s="196"/>
      <c r="E760" s="196"/>
      <c r="F760" s="196"/>
      <c r="G760" s="24"/>
      <c r="H760" s="24"/>
      <c r="I760" s="196"/>
      <c r="J760" s="196"/>
      <c r="K760" s="196"/>
      <c r="L760" s="196"/>
      <c r="M760" s="196"/>
      <c r="N760" s="196"/>
      <c r="O760" s="196"/>
      <c r="P760" s="196"/>
      <c r="Q760" s="196"/>
      <c r="R760" s="196"/>
      <c r="S760" s="196"/>
      <c r="T760" s="196"/>
      <c r="U760" s="196"/>
      <c r="V760" s="196"/>
      <c r="W760" s="196"/>
      <c r="X760" s="196"/>
      <c r="Y760" s="196"/>
      <c r="Z760" s="196"/>
      <c r="AA760" s="196"/>
      <c r="AB760" s="196"/>
      <c r="AC760" s="196"/>
      <c r="AD760" s="196"/>
    </row>
    <row r="761" spans="1:30" ht="12.9">
      <c r="A761" s="196"/>
      <c r="B761" s="143"/>
      <c r="C761" s="196"/>
      <c r="D761" s="196"/>
      <c r="E761" s="196"/>
      <c r="F761" s="196"/>
      <c r="G761" s="24"/>
      <c r="H761" s="24"/>
      <c r="I761" s="196"/>
      <c r="J761" s="196"/>
      <c r="K761" s="196"/>
      <c r="L761" s="196"/>
      <c r="M761" s="196"/>
      <c r="N761" s="196"/>
      <c r="O761" s="196"/>
      <c r="P761" s="196"/>
      <c r="Q761" s="196"/>
      <c r="R761" s="196"/>
      <c r="S761" s="196"/>
      <c r="T761" s="196"/>
      <c r="U761" s="196"/>
      <c r="V761" s="196"/>
      <c r="W761" s="196"/>
      <c r="X761" s="196"/>
      <c r="Y761" s="196"/>
      <c r="Z761" s="196"/>
      <c r="AA761" s="196"/>
      <c r="AB761" s="196"/>
      <c r="AC761" s="196"/>
      <c r="AD761" s="196"/>
    </row>
    <row r="762" spans="1:30" ht="12.9">
      <c r="A762" s="196"/>
      <c r="B762" s="143"/>
      <c r="C762" s="196"/>
      <c r="D762" s="196"/>
      <c r="E762" s="196"/>
      <c r="F762" s="196"/>
      <c r="G762" s="24"/>
      <c r="H762" s="24"/>
      <c r="I762" s="196"/>
      <c r="J762" s="196"/>
      <c r="K762" s="196"/>
      <c r="L762" s="196"/>
      <c r="M762" s="196"/>
      <c r="N762" s="196"/>
      <c r="O762" s="196"/>
      <c r="P762" s="196"/>
      <c r="Q762" s="196"/>
      <c r="R762" s="196"/>
      <c r="S762" s="196"/>
      <c r="T762" s="196"/>
      <c r="U762" s="196"/>
      <c r="V762" s="196"/>
      <c r="W762" s="196"/>
      <c r="X762" s="196"/>
      <c r="Y762" s="196"/>
      <c r="Z762" s="196"/>
      <c r="AA762" s="196"/>
      <c r="AB762" s="196"/>
      <c r="AC762" s="196"/>
      <c r="AD762" s="196"/>
    </row>
    <row r="763" spans="1:30" ht="12.9">
      <c r="A763" s="196"/>
      <c r="B763" s="143"/>
      <c r="C763" s="196"/>
      <c r="D763" s="196"/>
      <c r="E763" s="196"/>
      <c r="F763" s="196"/>
      <c r="G763" s="24"/>
      <c r="H763" s="24"/>
      <c r="I763" s="196"/>
      <c r="J763" s="196"/>
      <c r="K763" s="196"/>
      <c r="L763" s="196"/>
      <c r="M763" s="196"/>
      <c r="N763" s="196"/>
      <c r="O763" s="196"/>
      <c r="P763" s="196"/>
      <c r="Q763" s="196"/>
      <c r="R763" s="196"/>
      <c r="S763" s="196"/>
      <c r="T763" s="196"/>
      <c r="U763" s="196"/>
      <c r="V763" s="196"/>
      <c r="W763" s="196"/>
      <c r="X763" s="196"/>
      <c r="Y763" s="196"/>
      <c r="Z763" s="196"/>
      <c r="AA763" s="196"/>
      <c r="AB763" s="196"/>
      <c r="AC763" s="196"/>
      <c r="AD763" s="196"/>
    </row>
    <row r="764" spans="1:30" ht="12.9">
      <c r="A764" s="196"/>
      <c r="B764" s="143"/>
      <c r="C764" s="196"/>
      <c r="D764" s="196"/>
      <c r="E764" s="196"/>
      <c r="F764" s="196"/>
      <c r="G764" s="24"/>
      <c r="H764" s="24"/>
      <c r="I764" s="196"/>
      <c r="J764" s="196"/>
      <c r="K764" s="196"/>
      <c r="L764" s="196"/>
      <c r="M764" s="196"/>
      <c r="N764" s="196"/>
      <c r="O764" s="196"/>
      <c r="P764" s="196"/>
      <c r="Q764" s="196"/>
      <c r="R764" s="196"/>
      <c r="S764" s="196"/>
      <c r="T764" s="196"/>
      <c r="U764" s="196"/>
      <c r="V764" s="196"/>
      <c r="W764" s="196"/>
      <c r="X764" s="196"/>
      <c r="Y764" s="196"/>
      <c r="Z764" s="196"/>
      <c r="AA764" s="196"/>
      <c r="AB764" s="196"/>
      <c r="AC764" s="196"/>
      <c r="AD764" s="196"/>
    </row>
    <row r="765" spans="1:30" ht="12.9">
      <c r="A765" s="196"/>
      <c r="B765" s="143"/>
      <c r="C765" s="196"/>
      <c r="D765" s="196"/>
      <c r="E765" s="196"/>
      <c r="F765" s="196"/>
      <c r="G765" s="24"/>
      <c r="H765" s="24"/>
      <c r="I765" s="196"/>
      <c r="J765" s="196"/>
      <c r="K765" s="196"/>
      <c r="L765" s="196"/>
      <c r="M765" s="196"/>
      <c r="N765" s="196"/>
      <c r="O765" s="196"/>
      <c r="P765" s="196"/>
      <c r="Q765" s="196"/>
      <c r="R765" s="196"/>
      <c r="S765" s="196"/>
      <c r="T765" s="196"/>
      <c r="U765" s="196"/>
      <c r="V765" s="196"/>
      <c r="W765" s="196"/>
      <c r="X765" s="196"/>
      <c r="Y765" s="196"/>
      <c r="Z765" s="196"/>
      <c r="AA765" s="196"/>
      <c r="AB765" s="196"/>
      <c r="AC765" s="196"/>
      <c r="AD765" s="196"/>
    </row>
    <row r="766" spans="1:30" ht="12.9">
      <c r="A766" s="196"/>
      <c r="B766" s="143"/>
      <c r="C766" s="196"/>
      <c r="D766" s="196"/>
      <c r="E766" s="196"/>
      <c r="F766" s="196"/>
      <c r="G766" s="24"/>
      <c r="H766" s="24"/>
      <c r="I766" s="196"/>
      <c r="J766" s="196"/>
      <c r="K766" s="196"/>
      <c r="L766" s="196"/>
      <c r="M766" s="196"/>
      <c r="N766" s="196"/>
      <c r="O766" s="196"/>
      <c r="P766" s="196"/>
      <c r="Q766" s="196"/>
      <c r="R766" s="196"/>
      <c r="S766" s="196"/>
      <c r="T766" s="196"/>
      <c r="U766" s="196"/>
      <c r="V766" s="196"/>
      <c r="W766" s="196"/>
      <c r="X766" s="196"/>
      <c r="Y766" s="196"/>
      <c r="Z766" s="196"/>
      <c r="AA766" s="196"/>
      <c r="AB766" s="196"/>
      <c r="AC766" s="196"/>
      <c r="AD766" s="196"/>
    </row>
    <row r="767" spans="1:30" ht="12.9">
      <c r="A767" s="196"/>
      <c r="B767" s="143"/>
      <c r="C767" s="196"/>
      <c r="D767" s="196"/>
      <c r="E767" s="196"/>
      <c r="F767" s="196"/>
      <c r="G767" s="24"/>
      <c r="H767" s="24"/>
      <c r="I767" s="196"/>
      <c r="J767" s="196"/>
      <c r="K767" s="196"/>
      <c r="L767" s="196"/>
      <c r="M767" s="196"/>
      <c r="N767" s="196"/>
      <c r="O767" s="196"/>
      <c r="P767" s="196"/>
      <c r="Q767" s="196"/>
      <c r="R767" s="196"/>
      <c r="S767" s="196"/>
      <c r="T767" s="196"/>
      <c r="U767" s="196"/>
      <c r="V767" s="196"/>
      <c r="W767" s="196"/>
      <c r="X767" s="196"/>
      <c r="Y767" s="196"/>
      <c r="Z767" s="196"/>
      <c r="AA767" s="196"/>
      <c r="AB767" s="196"/>
      <c r="AC767" s="196"/>
      <c r="AD767" s="196"/>
    </row>
    <row r="768" spans="1:30" ht="12.9">
      <c r="A768" s="196"/>
      <c r="B768" s="143"/>
      <c r="C768" s="196"/>
      <c r="D768" s="196"/>
      <c r="E768" s="196"/>
      <c r="F768" s="196"/>
      <c r="G768" s="24"/>
      <c r="H768" s="24"/>
      <c r="I768" s="196"/>
      <c r="J768" s="196"/>
      <c r="K768" s="196"/>
      <c r="L768" s="196"/>
      <c r="M768" s="196"/>
      <c r="N768" s="196"/>
      <c r="O768" s="196"/>
      <c r="P768" s="196"/>
      <c r="Q768" s="196"/>
      <c r="R768" s="196"/>
      <c r="S768" s="196"/>
      <c r="T768" s="196"/>
      <c r="U768" s="196"/>
      <c r="V768" s="196"/>
      <c r="W768" s="196"/>
      <c r="X768" s="196"/>
      <c r="Y768" s="196"/>
      <c r="Z768" s="196"/>
      <c r="AA768" s="196"/>
      <c r="AB768" s="196"/>
      <c r="AC768" s="196"/>
      <c r="AD768" s="196"/>
    </row>
    <row r="769" spans="1:30" ht="12.9">
      <c r="A769" s="196"/>
      <c r="B769" s="143"/>
      <c r="C769" s="196"/>
      <c r="D769" s="196"/>
      <c r="E769" s="196"/>
      <c r="F769" s="196"/>
      <c r="G769" s="24"/>
      <c r="H769" s="24"/>
      <c r="I769" s="196"/>
      <c r="J769" s="196"/>
      <c r="K769" s="196"/>
      <c r="L769" s="196"/>
      <c r="M769" s="196"/>
      <c r="N769" s="196"/>
      <c r="O769" s="196"/>
      <c r="P769" s="196"/>
      <c r="Q769" s="196"/>
      <c r="R769" s="196"/>
      <c r="S769" s="196"/>
      <c r="T769" s="196"/>
      <c r="U769" s="196"/>
      <c r="V769" s="196"/>
      <c r="W769" s="196"/>
      <c r="X769" s="196"/>
      <c r="Y769" s="196"/>
      <c r="Z769" s="196"/>
      <c r="AA769" s="196"/>
      <c r="AB769" s="196"/>
      <c r="AC769" s="196"/>
      <c r="AD769" s="196"/>
    </row>
    <row r="770" spans="1:30" ht="12.9">
      <c r="A770" s="196"/>
      <c r="B770" s="143"/>
      <c r="C770" s="196"/>
      <c r="D770" s="196"/>
      <c r="E770" s="196"/>
      <c r="F770" s="196"/>
      <c r="G770" s="24"/>
      <c r="H770" s="24"/>
      <c r="I770" s="196"/>
      <c r="J770" s="196"/>
      <c r="K770" s="196"/>
      <c r="L770" s="196"/>
      <c r="M770" s="196"/>
      <c r="N770" s="196"/>
      <c r="O770" s="196"/>
      <c r="P770" s="196"/>
      <c r="Q770" s="196"/>
      <c r="R770" s="196"/>
      <c r="S770" s="196"/>
      <c r="T770" s="196"/>
      <c r="U770" s="196"/>
      <c r="V770" s="196"/>
      <c r="W770" s="196"/>
      <c r="X770" s="196"/>
      <c r="Y770" s="196"/>
      <c r="Z770" s="196"/>
      <c r="AA770" s="196"/>
      <c r="AB770" s="196"/>
      <c r="AC770" s="196"/>
      <c r="AD770" s="196"/>
    </row>
    <row r="771" spans="1:30" ht="12.9">
      <c r="A771" s="196"/>
      <c r="B771" s="143"/>
      <c r="C771" s="196"/>
      <c r="D771" s="196"/>
      <c r="E771" s="196"/>
      <c r="F771" s="196"/>
      <c r="G771" s="24"/>
      <c r="H771" s="24"/>
      <c r="I771" s="196"/>
      <c r="J771" s="196"/>
      <c r="K771" s="196"/>
      <c r="L771" s="196"/>
      <c r="M771" s="196"/>
      <c r="N771" s="196"/>
      <c r="O771" s="196"/>
      <c r="P771" s="196"/>
      <c r="Q771" s="196"/>
      <c r="R771" s="196"/>
      <c r="S771" s="196"/>
      <c r="T771" s="196"/>
      <c r="U771" s="196"/>
      <c r="V771" s="196"/>
      <c r="W771" s="196"/>
      <c r="X771" s="196"/>
      <c r="Y771" s="196"/>
      <c r="Z771" s="196"/>
      <c r="AA771" s="196"/>
      <c r="AB771" s="196"/>
      <c r="AC771" s="196"/>
      <c r="AD771" s="196"/>
    </row>
    <row r="772" spans="1:30" ht="12.9">
      <c r="A772" s="196"/>
      <c r="B772" s="143"/>
      <c r="C772" s="196"/>
      <c r="D772" s="196"/>
      <c r="E772" s="196"/>
      <c r="F772" s="196"/>
      <c r="G772" s="24"/>
      <c r="H772" s="24"/>
      <c r="I772" s="196"/>
      <c r="J772" s="196"/>
      <c r="K772" s="196"/>
      <c r="L772" s="196"/>
      <c r="M772" s="196"/>
      <c r="N772" s="196"/>
      <c r="O772" s="196"/>
      <c r="P772" s="196"/>
      <c r="Q772" s="196"/>
      <c r="R772" s="196"/>
      <c r="S772" s="196"/>
      <c r="T772" s="196"/>
      <c r="U772" s="196"/>
      <c r="V772" s="196"/>
      <c r="W772" s="196"/>
      <c r="X772" s="196"/>
      <c r="Y772" s="196"/>
      <c r="Z772" s="196"/>
      <c r="AA772" s="196"/>
      <c r="AB772" s="196"/>
      <c r="AC772" s="196"/>
      <c r="AD772" s="196"/>
    </row>
    <row r="773" spans="1:30" ht="12.9">
      <c r="A773" s="196"/>
      <c r="B773" s="143"/>
      <c r="C773" s="196"/>
      <c r="D773" s="196"/>
      <c r="E773" s="196"/>
      <c r="F773" s="196"/>
      <c r="G773" s="24"/>
      <c r="H773" s="24"/>
      <c r="I773" s="196"/>
      <c r="J773" s="196"/>
      <c r="K773" s="196"/>
      <c r="L773" s="196"/>
      <c r="M773" s="196"/>
      <c r="N773" s="196"/>
      <c r="O773" s="196"/>
      <c r="P773" s="196"/>
      <c r="Q773" s="196"/>
      <c r="R773" s="196"/>
      <c r="S773" s="196"/>
      <c r="T773" s="196"/>
      <c r="U773" s="196"/>
      <c r="V773" s="196"/>
      <c r="W773" s="196"/>
      <c r="X773" s="196"/>
      <c r="Y773" s="196"/>
      <c r="Z773" s="196"/>
      <c r="AA773" s="196"/>
      <c r="AB773" s="196"/>
      <c r="AC773" s="196"/>
      <c r="AD773" s="196"/>
    </row>
    <row r="774" spans="1:30" ht="12.9">
      <c r="A774" s="196"/>
      <c r="B774" s="143"/>
      <c r="C774" s="196"/>
      <c r="D774" s="196"/>
      <c r="E774" s="196"/>
      <c r="F774" s="196"/>
      <c r="G774" s="24"/>
      <c r="H774" s="24"/>
      <c r="I774" s="196"/>
      <c r="J774" s="196"/>
      <c r="K774" s="196"/>
      <c r="L774" s="196"/>
      <c r="M774" s="196"/>
      <c r="N774" s="196"/>
      <c r="O774" s="196"/>
      <c r="P774" s="196"/>
      <c r="Q774" s="196"/>
      <c r="R774" s="196"/>
      <c r="S774" s="196"/>
      <c r="T774" s="196"/>
      <c r="U774" s="196"/>
      <c r="V774" s="196"/>
      <c r="W774" s="196"/>
      <c r="X774" s="196"/>
      <c r="Y774" s="196"/>
      <c r="Z774" s="196"/>
      <c r="AA774" s="196"/>
      <c r="AB774" s="196"/>
      <c r="AC774" s="196"/>
      <c r="AD774" s="196"/>
    </row>
    <row r="775" spans="1:30" ht="12.9">
      <c r="A775" s="196"/>
      <c r="B775" s="143"/>
      <c r="C775" s="196"/>
      <c r="D775" s="196"/>
      <c r="E775" s="196"/>
      <c r="F775" s="196"/>
      <c r="G775" s="24"/>
      <c r="H775" s="24"/>
      <c r="I775" s="196"/>
      <c r="J775" s="196"/>
      <c r="K775" s="196"/>
      <c r="L775" s="196"/>
      <c r="M775" s="196"/>
      <c r="N775" s="196"/>
      <c r="O775" s="196"/>
      <c r="P775" s="196"/>
      <c r="Q775" s="196"/>
      <c r="R775" s="196"/>
      <c r="S775" s="196"/>
      <c r="T775" s="196"/>
      <c r="U775" s="196"/>
      <c r="V775" s="196"/>
      <c r="W775" s="196"/>
      <c r="X775" s="196"/>
      <c r="Y775" s="196"/>
      <c r="Z775" s="196"/>
      <c r="AA775" s="196"/>
      <c r="AB775" s="196"/>
      <c r="AC775" s="196"/>
      <c r="AD775" s="196"/>
    </row>
    <row r="776" spans="1:30" ht="12.9">
      <c r="A776" s="196"/>
      <c r="B776" s="143"/>
      <c r="C776" s="196"/>
      <c r="D776" s="196"/>
      <c r="E776" s="196"/>
      <c r="F776" s="196"/>
      <c r="G776" s="24"/>
      <c r="H776" s="24"/>
      <c r="I776" s="196"/>
      <c r="J776" s="196"/>
      <c r="K776" s="196"/>
      <c r="L776" s="196"/>
      <c r="M776" s="196"/>
      <c r="N776" s="196"/>
      <c r="O776" s="196"/>
      <c r="P776" s="196"/>
      <c r="Q776" s="196"/>
      <c r="R776" s="196"/>
      <c r="S776" s="196"/>
      <c r="T776" s="196"/>
      <c r="U776" s="196"/>
      <c r="V776" s="196"/>
      <c r="W776" s="196"/>
      <c r="X776" s="196"/>
      <c r="Y776" s="196"/>
      <c r="Z776" s="196"/>
      <c r="AA776" s="196"/>
      <c r="AB776" s="196"/>
      <c r="AC776" s="196"/>
      <c r="AD776" s="196"/>
    </row>
    <row r="777" spans="1:30" ht="12.9">
      <c r="A777" s="196"/>
      <c r="B777" s="143"/>
      <c r="C777" s="196"/>
      <c r="D777" s="196"/>
      <c r="E777" s="196"/>
      <c r="F777" s="196"/>
      <c r="G777" s="24"/>
      <c r="H777" s="24"/>
      <c r="I777" s="196"/>
      <c r="J777" s="196"/>
      <c r="K777" s="196"/>
      <c r="L777" s="196"/>
      <c r="M777" s="196"/>
      <c r="N777" s="196"/>
      <c r="O777" s="196"/>
      <c r="P777" s="196"/>
      <c r="Q777" s="196"/>
      <c r="R777" s="196"/>
      <c r="S777" s="196"/>
      <c r="T777" s="196"/>
      <c r="U777" s="196"/>
      <c r="V777" s="196"/>
      <c r="W777" s="196"/>
      <c r="X777" s="196"/>
      <c r="Y777" s="196"/>
      <c r="Z777" s="196"/>
      <c r="AA777" s="196"/>
      <c r="AB777" s="196"/>
      <c r="AC777" s="196"/>
      <c r="AD777" s="196"/>
    </row>
    <row r="778" spans="1:30" ht="12.9">
      <c r="A778" s="196"/>
      <c r="B778" s="143"/>
      <c r="C778" s="196"/>
      <c r="D778" s="196"/>
      <c r="E778" s="196"/>
      <c r="F778" s="196"/>
      <c r="G778" s="24"/>
      <c r="H778" s="24"/>
      <c r="I778" s="196"/>
      <c r="J778" s="196"/>
      <c r="K778" s="196"/>
      <c r="L778" s="196"/>
      <c r="M778" s="196"/>
      <c r="N778" s="196"/>
      <c r="O778" s="196"/>
      <c r="P778" s="196"/>
      <c r="Q778" s="196"/>
      <c r="R778" s="196"/>
      <c r="S778" s="196"/>
      <c r="T778" s="196"/>
      <c r="U778" s="196"/>
      <c r="V778" s="196"/>
      <c r="W778" s="196"/>
      <c r="X778" s="196"/>
      <c r="Y778" s="196"/>
      <c r="Z778" s="196"/>
      <c r="AA778" s="196"/>
      <c r="AB778" s="196"/>
      <c r="AC778" s="196"/>
      <c r="AD778" s="196"/>
    </row>
    <row r="779" spans="1:30" ht="12.9">
      <c r="A779" s="196"/>
      <c r="B779" s="143"/>
      <c r="C779" s="196"/>
      <c r="D779" s="196"/>
      <c r="E779" s="196"/>
      <c r="F779" s="196"/>
      <c r="G779" s="24"/>
      <c r="H779" s="24"/>
      <c r="I779" s="196"/>
      <c r="J779" s="196"/>
      <c r="K779" s="196"/>
      <c r="L779" s="196"/>
      <c r="M779" s="196"/>
      <c r="N779" s="196"/>
      <c r="O779" s="196"/>
      <c r="P779" s="196"/>
      <c r="Q779" s="196"/>
      <c r="R779" s="196"/>
      <c r="S779" s="196"/>
      <c r="T779" s="196"/>
      <c r="U779" s="196"/>
      <c r="V779" s="196"/>
      <c r="W779" s="196"/>
      <c r="X779" s="196"/>
      <c r="Y779" s="196"/>
      <c r="Z779" s="196"/>
      <c r="AA779" s="196"/>
      <c r="AB779" s="196"/>
      <c r="AC779" s="196"/>
      <c r="AD779" s="196"/>
    </row>
    <row r="780" spans="1:30" ht="12.9">
      <c r="A780" s="196"/>
      <c r="B780" s="143"/>
      <c r="C780" s="196"/>
      <c r="D780" s="196"/>
      <c r="E780" s="196"/>
      <c r="F780" s="196"/>
      <c r="G780" s="24"/>
      <c r="H780" s="24"/>
      <c r="I780" s="196"/>
      <c r="J780" s="196"/>
      <c r="K780" s="196"/>
      <c r="L780" s="196"/>
      <c r="M780" s="196"/>
      <c r="N780" s="196"/>
      <c r="O780" s="196"/>
      <c r="P780" s="196"/>
      <c r="Q780" s="196"/>
      <c r="R780" s="196"/>
      <c r="S780" s="196"/>
      <c r="T780" s="196"/>
      <c r="U780" s="196"/>
      <c r="V780" s="196"/>
      <c r="W780" s="196"/>
      <c r="X780" s="196"/>
      <c r="Y780" s="196"/>
      <c r="Z780" s="196"/>
      <c r="AA780" s="196"/>
      <c r="AB780" s="196"/>
      <c r="AC780" s="196"/>
      <c r="AD780" s="196"/>
    </row>
    <row r="781" spans="1:30" ht="12.9">
      <c r="A781" s="196"/>
      <c r="B781" s="143"/>
      <c r="C781" s="196"/>
      <c r="D781" s="196"/>
      <c r="E781" s="196"/>
      <c r="F781" s="196"/>
      <c r="G781" s="24"/>
      <c r="H781" s="24"/>
      <c r="I781" s="196"/>
      <c r="J781" s="196"/>
      <c r="K781" s="196"/>
      <c r="L781" s="196"/>
      <c r="M781" s="196"/>
      <c r="N781" s="196"/>
      <c r="O781" s="196"/>
      <c r="P781" s="196"/>
      <c r="Q781" s="196"/>
      <c r="R781" s="196"/>
      <c r="S781" s="196"/>
      <c r="T781" s="196"/>
      <c r="U781" s="196"/>
      <c r="V781" s="196"/>
      <c r="W781" s="196"/>
      <c r="X781" s="196"/>
      <c r="Y781" s="196"/>
      <c r="Z781" s="196"/>
      <c r="AA781" s="196"/>
      <c r="AB781" s="196"/>
      <c r="AC781" s="196"/>
      <c r="AD781" s="196"/>
    </row>
    <row r="782" spans="1:30" ht="12.9">
      <c r="A782" s="196"/>
      <c r="B782" s="143"/>
      <c r="C782" s="196"/>
      <c r="D782" s="196"/>
      <c r="E782" s="196"/>
      <c r="F782" s="196"/>
      <c r="G782" s="24"/>
      <c r="H782" s="24"/>
      <c r="I782" s="196"/>
      <c r="J782" s="196"/>
      <c r="K782" s="196"/>
      <c r="L782" s="196"/>
      <c r="M782" s="196"/>
      <c r="N782" s="196"/>
      <c r="O782" s="196"/>
      <c r="P782" s="196"/>
      <c r="Q782" s="196"/>
      <c r="R782" s="196"/>
      <c r="S782" s="196"/>
      <c r="T782" s="196"/>
      <c r="U782" s="196"/>
      <c r="V782" s="196"/>
      <c r="W782" s="196"/>
      <c r="X782" s="196"/>
      <c r="Y782" s="196"/>
      <c r="Z782" s="196"/>
      <c r="AA782" s="196"/>
      <c r="AB782" s="196"/>
      <c r="AC782" s="196"/>
      <c r="AD782" s="196"/>
    </row>
    <row r="783" spans="1:30" ht="12.9">
      <c r="A783" s="196"/>
      <c r="B783" s="143"/>
      <c r="C783" s="196"/>
      <c r="D783" s="196"/>
      <c r="E783" s="196"/>
      <c r="F783" s="196"/>
      <c r="G783" s="24"/>
      <c r="H783" s="24"/>
      <c r="I783" s="196"/>
      <c r="J783" s="196"/>
      <c r="K783" s="196"/>
      <c r="L783" s="196"/>
      <c r="M783" s="196"/>
      <c r="N783" s="196"/>
      <c r="O783" s="196"/>
      <c r="P783" s="196"/>
      <c r="Q783" s="196"/>
      <c r="R783" s="196"/>
      <c r="S783" s="196"/>
      <c r="T783" s="196"/>
      <c r="U783" s="196"/>
      <c r="V783" s="196"/>
      <c r="W783" s="196"/>
      <c r="X783" s="196"/>
      <c r="Y783" s="196"/>
      <c r="Z783" s="196"/>
      <c r="AA783" s="196"/>
      <c r="AB783" s="196"/>
      <c r="AC783" s="196"/>
      <c r="AD783" s="196"/>
    </row>
    <row r="784" spans="1:30" ht="12.9">
      <c r="A784" s="196"/>
      <c r="B784" s="143"/>
      <c r="C784" s="196"/>
      <c r="D784" s="196"/>
      <c r="E784" s="196"/>
      <c r="F784" s="196"/>
      <c r="G784" s="24"/>
      <c r="H784" s="24"/>
      <c r="I784" s="196"/>
      <c r="J784" s="196"/>
      <c r="K784" s="196"/>
      <c r="L784" s="196"/>
      <c r="M784" s="196"/>
      <c r="N784" s="196"/>
      <c r="O784" s="196"/>
      <c r="P784" s="196"/>
      <c r="Q784" s="196"/>
      <c r="R784" s="196"/>
      <c r="S784" s="196"/>
      <c r="T784" s="196"/>
      <c r="U784" s="196"/>
      <c r="V784" s="196"/>
      <c r="W784" s="196"/>
      <c r="X784" s="196"/>
      <c r="Y784" s="196"/>
      <c r="Z784" s="196"/>
      <c r="AA784" s="196"/>
      <c r="AB784" s="196"/>
      <c r="AC784" s="196"/>
      <c r="AD784" s="196"/>
    </row>
    <row r="785" spans="1:30" ht="12.9">
      <c r="A785" s="196"/>
      <c r="B785" s="143"/>
      <c r="C785" s="196"/>
      <c r="D785" s="196"/>
      <c r="E785" s="196"/>
      <c r="F785" s="196"/>
      <c r="G785" s="24"/>
      <c r="H785" s="24"/>
      <c r="I785" s="196"/>
      <c r="J785" s="196"/>
      <c r="K785" s="196"/>
      <c r="L785" s="196"/>
      <c r="M785" s="196"/>
      <c r="N785" s="196"/>
      <c r="O785" s="196"/>
      <c r="P785" s="196"/>
      <c r="Q785" s="196"/>
      <c r="R785" s="196"/>
      <c r="S785" s="196"/>
      <c r="T785" s="196"/>
      <c r="U785" s="196"/>
      <c r="V785" s="196"/>
      <c r="W785" s="196"/>
      <c r="X785" s="196"/>
      <c r="Y785" s="196"/>
      <c r="Z785" s="196"/>
      <c r="AA785" s="196"/>
      <c r="AB785" s="196"/>
      <c r="AC785" s="196"/>
      <c r="AD785" s="196"/>
    </row>
    <row r="786" spans="1:30" ht="12.9">
      <c r="A786" s="196"/>
      <c r="B786" s="143"/>
      <c r="C786" s="196"/>
      <c r="D786" s="196"/>
      <c r="E786" s="196"/>
      <c r="F786" s="196"/>
      <c r="G786" s="24"/>
      <c r="H786" s="24"/>
      <c r="I786" s="196"/>
      <c r="J786" s="196"/>
      <c r="K786" s="196"/>
      <c r="L786" s="196"/>
      <c r="M786" s="196"/>
      <c r="N786" s="196"/>
      <c r="O786" s="196"/>
      <c r="P786" s="196"/>
      <c r="Q786" s="196"/>
      <c r="R786" s="196"/>
      <c r="S786" s="196"/>
      <c r="T786" s="196"/>
      <c r="U786" s="196"/>
      <c r="V786" s="196"/>
      <c r="W786" s="196"/>
      <c r="X786" s="196"/>
      <c r="Y786" s="196"/>
      <c r="Z786" s="196"/>
      <c r="AA786" s="196"/>
      <c r="AB786" s="196"/>
      <c r="AC786" s="196"/>
      <c r="AD786" s="196"/>
    </row>
    <row r="787" spans="1:30" ht="12.9">
      <c r="A787" s="196"/>
      <c r="B787" s="143"/>
      <c r="C787" s="196"/>
      <c r="D787" s="196"/>
      <c r="E787" s="196"/>
      <c r="F787" s="196"/>
      <c r="G787" s="24"/>
      <c r="H787" s="24"/>
      <c r="I787" s="196"/>
      <c r="J787" s="196"/>
      <c r="K787" s="196"/>
      <c r="L787" s="196"/>
      <c r="M787" s="196"/>
      <c r="N787" s="196"/>
      <c r="O787" s="196"/>
      <c r="P787" s="196"/>
      <c r="Q787" s="196"/>
      <c r="R787" s="196"/>
      <c r="S787" s="196"/>
      <c r="T787" s="196"/>
      <c r="U787" s="196"/>
      <c r="V787" s="196"/>
      <c r="W787" s="196"/>
      <c r="X787" s="196"/>
      <c r="Y787" s="196"/>
      <c r="Z787" s="196"/>
      <c r="AA787" s="196"/>
      <c r="AB787" s="196"/>
      <c r="AC787" s="196"/>
      <c r="AD787" s="196"/>
    </row>
    <row r="788" spans="1:30" ht="12.9">
      <c r="A788" s="196"/>
      <c r="B788" s="143"/>
      <c r="C788" s="196"/>
      <c r="D788" s="196"/>
      <c r="E788" s="196"/>
      <c r="F788" s="196"/>
      <c r="G788" s="24"/>
      <c r="H788" s="24"/>
      <c r="I788" s="196"/>
      <c r="J788" s="196"/>
      <c r="K788" s="196"/>
      <c r="L788" s="196"/>
      <c r="M788" s="196"/>
      <c r="N788" s="196"/>
      <c r="O788" s="196"/>
      <c r="P788" s="196"/>
      <c r="Q788" s="196"/>
      <c r="R788" s="196"/>
      <c r="S788" s="196"/>
      <c r="T788" s="196"/>
      <c r="U788" s="196"/>
      <c r="V788" s="196"/>
      <c r="W788" s="196"/>
      <c r="X788" s="196"/>
      <c r="Y788" s="196"/>
      <c r="Z788" s="196"/>
      <c r="AA788" s="196"/>
      <c r="AB788" s="196"/>
      <c r="AC788" s="196"/>
      <c r="AD788" s="196"/>
    </row>
    <row r="789" spans="1:30" ht="12.9">
      <c r="A789" s="196"/>
      <c r="B789" s="143"/>
      <c r="C789" s="196"/>
      <c r="D789" s="196"/>
      <c r="E789" s="196"/>
      <c r="F789" s="196"/>
      <c r="G789" s="24"/>
      <c r="H789" s="24"/>
      <c r="I789" s="196"/>
      <c r="J789" s="196"/>
      <c r="K789" s="196"/>
      <c r="L789" s="196"/>
      <c r="M789" s="196"/>
      <c r="N789" s="196"/>
      <c r="O789" s="196"/>
      <c r="P789" s="196"/>
      <c r="Q789" s="196"/>
      <c r="R789" s="196"/>
      <c r="S789" s="196"/>
      <c r="T789" s="196"/>
      <c r="U789" s="196"/>
      <c r="V789" s="196"/>
      <c r="W789" s="196"/>
      <c r="X789" s="196"/>
      <c r="Y789" s="196"/>
      <c r="Z789" s="196"/>
      <c r="AA789" s="196"/>
      <c r="AB789" s="196"/>
      <c r="AC789" s="196"/>
      <c r="AD789" s="196"/>
    </row>
    <row r="790" spans="1:30" ht="12.9">
      <c r="A790" s="196"/>
      <c r="B790" s="143"/>
      <c r="C790" s="196"/>
      <c r="D790" s="196"/>
      <c r="E790" s="196"/>
      <c r="F790" s="196"/>
      <c r="G790" s="24"/>
      <c r="H790" s="24"/>
      <c r="I790" s="196"/>
      <c r="J790" s="196"/>
      <c r="K790" s="196"/>
      <c r="L790" s="196"/>
      <c r="M790" s="196"/>
      <c r="N790" s="196"/>
      <c r="O790" s="196"/>
      <c r="P790" s="196"/>
      <c r="Q790" s="196"/>
      <c r="R790" s="196"/>
      <c r="S790" s="196"/>
      <c r="T790" s="196"/>
      <c r="U790" s="196"/>
      <c r="V790" s="196"/>
      <c r="W790" s="196"/>
      <c r="X790" s="196"/>
      <c r="Y790" s="196"/>
      <c r="Z790" s="196"/>
      <c r="AA790" s="196"/>
      <c r="AB790" s="196"/>
      <c r="AC790" s="196"/>
      <c r="AD790" s="196"/>
    </row>
    <row r="791" spans="1:30" ht="12.9">
      <c r="A791" s="196"/>
      <c r="B791" s="143"/>
      <c r="C791" s="196"/>
      <c r="D791" s="196"/>
      <c r="E791" s="196"/>
      <c r="F791" s="196"/>
      <c r="G791" s="24"/>
      <c r="H791" s="24"/>
      <c r="I791" s="196"/>
      <c r="J791" s="196"/>
      <c r="K791" s="196"/>
      <c r="L791" s="196"/>
      <c r="M791" s="196"/>
      <c r="N791" s="196"/>
      <c r="O791" s="196"/>
      <c r="P791" s="196"/>
      <c r="Q791" s="196"/>
      <c r="R791" s="196"/>
      <c r="S791" s="196"/>
      <c r="T791" s="196"/>
      <c r="U791" s="196"/>
      <c r="V791" s="196"/>
      <c r="W791" s="196"/>
      <c r="X791" s="196"/>
      <c r="Y791" s="196"/>
      <c r="Z791" s="196"/>
      <c r="AA791" s="196"/>
      <c r="AB791" s="196"/>
      <c r="AC791" s="196"/>
      <c r="AD791" s="196"/>
    </row>
    <row r="792" spans="1:30" ht="12.9">
      <c r="A792" s="196"/>
      <c r="B792" s="143"/>
      <c r="C792" s="196"/>
      <c r="D792" s="196"/>
      <c r="E792" s="196"/>
      <c r="F792" s="196"/>
      <c r="G792" s="24"/>
      <c r="H792" s="24"/>
      <c r="I792" s="196"/>
      <c r="J792" s="196"/>
      <c r="K792" s="196"/>
      <c r="L792" s="196"/>
      <c r="M792" s="196"/>
      <c r="N792" s="196"/>
      <c r="O792" s="196"/>
      <c r="P792" s="196"/>
      <c r="Q792" s="196"/>
      <c r="R792" s="196"/>
      <c r="S792" s="196"/>
      <c r="T792" s="196"/>
      <c r="U792" s="196"/>
      <c r="V792" s="196"/>
      <c r="W792" s="196"/>
      <c r="X792" s="196"/>
      <c r="Y792" s="196"/>
      <c r="Z792" s="196"/>
      <c r="AA792" s="196"/>
      <c r="AB792" s="196"/>
      <c r="AC792" s="196"/>
      <c r="AD792" s="196"/>
    </row>
    <row r="793" spans="1:30" ht="12.9">
      <c r="A793" s="196"/>
      <c r="B793" s="143"/>
      <c r="C793" s="196"/>
      <c r="D793" s="196"/>
      <c r="E793" s="196"/>
      <c r="F793" s="196"/>
      <c r="G793" s="24"/>
      <c r="H793" s="24"/>
      <c r="I793" s="196"/>
      <c r="J793" s="196"/>
      <c r="K793" s="196"/>
      <c r="L793" s="196"/>
      <c r="M793" s="196"/>
      <c r="N793" s="196"/>
      <c r="O793" s="196"/>
      <c r="P793" s="196"/>
      <c r="Q793" s="196"/>
      <c r="R793" s="196"/>
      <c r="S793" s="196"/>
      <c r="T793" s="196"/>
      <c r="U793" s="196"/>
      <c r="V793" s="196"/>
      <c r="W793" s="196"/>
      <c r="X793" s="196"/>
      <c r="Y793" s="196"/>
      <c r="Z793" s="196"/>
      <c r="AA793" s="196"/>
      <c r="AB793" s="196"/>
      <c r="AC793" s="196"/>
      <c r="AD793" s="196"/>
    </row>
    <row r="794" spans="1:30" ht="12.9">
      <c r="A794" s="196"/>
      <c r="B794" s="143"/>
      <c r="C794" s="196"/>
      <c r="D794" s="196"/>
      <c r="E794" s="196"/>
      <c r="F794" s="196"/>
      <c r="G794" s="24"/>
      <c r="H794" s="24"/>
      <c r="I794" s="196"/>
      <c r="J794" s="196"/>
      <c r="K794" s="196"/>
      <c r="L794" s="196"/>
      <c r="M794" s="196"/>
      <c r="N794" s="196"/>
      <c r="O794" s="196"/>
      <c r="P794" s="196"/>
      <c r="Q794" s="196"/>
      <c r="R794" s="196"/>
      <c r="S794" s="196"/>
      <c r="T794" s="196"/>
      <c r="U794" s="196"/>
      <c r="V794" s="196"/>
      <c r="W794" s="196"/>
      <c r="X794" s="196"/>
      <c r="Y794" s="196"/>
      <c r="Z794" s="196"/>
      <c r="AA794" s="196"/>
      <c r="AB794" s="196"/>
      <c r="AC794" s="196"/>
      <c r="AD794" s="196"/>
    </row>
    <row r="795" spans="1:30" ht="12.9">
      <c r="A795" s="196"/>
      <c r="B795" s="143"/>
      <c r="C795" s="196"/>
      <c r="D795" s="196"/>
      <c r="E795" s="196"/>
      <c r="F795" s="196"/>
      <c r="G795" s="24"/>
      <c r="H795" s="24"/>
      <c r="I795" s="196"/>
      <c r="J795" s="196"/>
      <c r="K795" s="196"/>
      <c r="L795" s="196"/>
      <c r="M795" s="196"/>
      <c r="N795" s="196"/>
      <c r="O795" s="196"/>
      <c r="P795" s="196"/>
      <c r="Q795" s="196"/>
      <c r="R795" s="196"/>
      <c r="S795" s="196"/>
      <c r="T795" s="196"/>
      <c r="U795" s="196"/>
      <c r="V795" s="196"/>
      <c r="W795" s="196"/>
      <c r="X795" s="196"/>
      <c r="Y795" s="196"/>
      <c r="Z795" s="196"/>
      <c r="AA795" s="196"/>
      <c r="AB795" s="196"/>
      <c r="AC795" s="196"/>
      <c r="AD795" s="196"/>
    </row>
    <row r="796" spans="1:30" ht="12.9">
      <c r="A796" s="196"/>
      <c r="B796" s="143"/>
      <c r="C796" s="196"/>
      <c r="D796" s="196"/>
      <c r="E796" s="196"/>
      <c r="F796" s="196"/>
      <c r="G796" s="24"/>
      <c r="H796" s="24"/>
      <c r="I796" s="196"/>
      <c r="J796" s="196"/>
      <c r="K796" s="196"/>
      <c r="L796" s="196"/>
      <c r="M796" s="196"/>
      <c r="N796" s="196"/>
      <c r="O796" s="196"/>
      <c r="P796" s="196"/>
      <c r="Q796" s="196"/>
      <c r="R796" s="196"/>
      <c r="S796" s="196"/>
      <c r="T796" s="196"/>
      <c r="U796" s="196"/>
      <c r="V796" s="196"/>
      <c r="W796" s="196"/>
      <c r="X796" s="196"/>
      <c r="Y796" s="196"/>
      <c r="Z796" s="196"/>
      <c r="AA796" s="196"/>
      <c r="AB796" s="196"/>
      <c r="AC796" s="196"/>
      <c r="AD796" s="196"/>
    </row>
    <row r="797" spans="1:30" ht="12.9">
      <c r="A797" s="196"/>
      <c r="B797" s="143"/>
      <c r="C797" s="196"/>
      <c r="D797" s="196"/>
      <c r="E797" s="196"/>
      <c r="F797" s="196"/>
      <c r="G797" s="24"/>
      <c r="H797" s="24"/>
      <c r="I797" s="196"/>
      <c r="J797" s="196"/>
      <c r="K797" s="196"/>
      <c r="L797" s="196"/>
      <c r="M797" s="196"/>
      <c r="N797" s="196"/>
      <c r="O797" s="196"/>
      <c r="P797" s="196"/>
      <c r="Q797" s="196"/>
      <c r="R797" s="196"/>
      <c r="S797" s="196"/>
      <c r="T797" s="196"/>
      <c r="U797" s="196"/>
      <c r="V797" s="196"/>
      <c r="W797" s="196"/>
      <c r="X797" s="196"/>
      <c r="Y797" s="196"/>
      <c r="Z797" s="196"/>
      <c r="AA797" s="196"/>
      <c r="AB797" s="196"/>
      <c r="AC797" s="196"/>
      <c r="AD797" s="196"/>
    </row>
    <row r="798" spans="1:30" ht="12.9">
      <c r="A798" s="196"/>
      <c r="B798" s="143"/>
      <c r="C798" s="196"/>
      <c r="D798" s="196"/>
      <c r="E798" s="196"/>
      <c r="F798" s="196"/>
      <c r="G798" s="24"/>
      <c r="H798" s="24"/>
      <c r="I798" s="196"/>
      <c r="J798" s="196"/>
      <c r="K798" s="196"/>
      <c r="L798" s="196"/>
      <c r="M798" s="196"/>
      <c r="N798" s="196"/>
      <c r="O798" s="196"/>
      <c r="P798" s="196"/>
      <c r="Q798" s="196"/>
      <c r="R798" s="196"/>
      <c r="S798" s="196"/>
      <c r="T798" s="196"/>
      <c r="U798" s="196"/>
      <c r="V798" s="196"/>
      <c r="W798" s="196"/>
      <c r="X798" s="196"/>
      <c r="Y798" s="196"/>
      <c r="Z798" s="196"/>
      <c r="AA798" s="196"/>
      <c r="AB798" s="196"/>
      <c r="AC798" s="196"/>
      <c r="AD798" s="196"/>
    </row>
    <row r="799" spans="1:30" ht="12.9">
      <c r="A799" s="196"/>
      <c r="B799" s="143"/>
      <c r="C799" s="196"/>
      <c r="D799" s="196"/>
      <c r="E799" s="196"/>
      <c r="F799" s="196"/>
      <c r="G799" s="24"/>
      <c r="H799" s="24"/>
      <c r="I799" s="196"/>
      <c r="J799" s="196"/>
      <c r="K799" s="196"/>
      <c r="L799" s="196"/>
      <c r="M799" s="196"/>
      <c r="N799" s="196"/>
      <c r="O799" s="196"/>
      <c r="P799" s="196"/>
      <c r="Q799" s="196"/>
      <c r="R799" s="196"/>
      <c r="S799" s="196"/>
      <c r="T799" s="196"/>
      <c r="U799" s="196"/>
      <c r="V799" s="196"/>
      <c r="W799" s="196"/>
      <c r="X799" s="196"/>
      <c r="Y799" s="196"/>
      <c r="Z799" s="196"/>
      <c r="AA799" s="196"/>
      <c r="AB799" s="196"/>
      <c r="AC799" s="196"/>
      <c r="AD799" s="196"/>
    </row>
    <row r="800" spans="1:30" ht="12.9">
      <c r="A800" s="196"/>
      <c r="B800" s="143"/>
      <c r="C800" s="196"/>
      <c r="D800" s="196"/>
      <c r="E800" s="196"/>
      <c r="F800" s="196"/>
      <c r="G800" s="24"/>
      <c r="H800" s="24"/>
      <c r="I800" s="196"/>
      <c r="J800" s="196"/>
      <c r="K800" s="196"/>
      <c r="L800" s="196"/>
      <c r="M800" s="196"/>
      <c r="N800" s="196"/>
      <c r="O800" s="196"/>
      <c r="P800" s="196"/>
      <c r="Q800" s="196"/>
      <c r="R800" s="196"/>
      <c r="S800" s="196"/>
      <c r="T800" s="196"/>
      <c r="U800" s="196"/>
      <c r="V800" s="196"/>
      <c r="W800" s="196"/>
      <c r="X800" s="196"/>
      <c r="Y800" s="196"/>
      <c r="Z800" s="196"/>
      <c r="AA800" s="196"/>
      <c r="AB800" s="196"/>
      <c r="AC800" s="196"/>
      <c r="AD800" s="196"/>
    </row>
    <row r="801" spans="1:30" ht="12.9">
      <c r="A801" s="196"/>
      <c r="B801" s="143"/>
      <c r="C801" s="196"/>
      <c r="D801" s="196"/>
      <c r="E801" s="196"/>
      <c r="F801" s="196"/>
      <c r="G801" s="24"/>
      <c r="H801" s="24"/>
      <c r="I801" s="196"/>
      <c r="J801" s="196"/>
      <c r="K801" s="196"/>
      <c r="L801" s="196"/>
      <c r="M801" s="196"/>
      <c r="N801" s="196"/>
      <c r="O801" s="196"/>
      <c r="P801" s="196"/>
      <c r="Q801" s="196"/>
      <c r="R801" s="196"/>
      <c r="S801" s="196"/>
      <c r="T801" s="196"/>
      <c r="U801" s="196"/>
      <c r="V801" s="196"/>
      <c r="W801" s="196"/>
      <c r="X801" s="196"/>
      <c r="Y801" s="196"/>
      <c r="Z801" s="196"/>
      <c r="AA801" s="196"/>
      <c r="AB801" s="196"/>
      <c r="AC801" s="196"/>
      <c r="AD801" s="196"/>
    </row>
    <row r="802" spans="1:30" ht="12.9">
      <c r="A802" s="196"/>
      <c r="B802" s="143"/>
      <c r="C802" s="196"/>
      <c r="D802" s="196"/>
      <c r="E802" s="196"/>
      <c r="F802" s="196"/>
      <c r="G802" s="24"/>
      <c r="H802" s="24"/>
      <c r="I802" s="196"/>
      <c r="J802" s="196"/>
      <c r="K802" s="196"/>
      <c r="L802" s="196"/>
      <c r="M802" s="196"/>
      <c r="N802" s="196"/>
      <c r="O802" s="196"/>
      <c r="P802" s="196"/>
      <c r="Q802" s="196"/>
      <c r="R802" s="196"/>
      <c r="S802" s="196"/>
      <c r="T802" s="196"/>
      <c r="U802" s="196"/>
      <c r="V802" s="196"/>
      <c r="W802" s="196"/>
      <c r="X802" s="196"/>
      <c r="Y802" s="196"/>
      <c r="Z802" s="196"/>
      <c r="AA802" s="196"/>
      <c r="AB802" s="196"/>
      <c r="AC802" s="196"/>
      <c r="AD802" s="196"/>
    </row>
    <row r="803" spans="1:30" ht="12.9">
      <c r="A803" s="196"/>
      <c r="B803" s="143"/>
      <c r="C803" s="196"/>
      <c r="D803" s="196"/>
      <c r="E803" s="196"/>
      <c r="F803" s="196"/>
      <c r="G803" s="24"/>
      <c r="H803" s="24"/>
      <c r="I803" s="196"/>
      <c r="J803" s="196"/>
      <c r="K803" s="196"/>
      <c r="L803" s="196"/>
      <c r="M803" s="196"/>
      <c r="N803" s="196"/>
      <c r="O803" s="196"/>
      <c r="P803" s="196"/>
      <c r="Q803" s="196"/>
      <c r="R803" s="196"/>
      <c r="S803" s="196"/>
      <c r="T803" s="196"/>
      <c r="U803" s="196"/>
      <c r="V803" s="196"/>
      <c r="W803" s="196"/>
      <c r="X803" s="196"/>
      <c r="Y803" s="196"/>
      <c r="Z803" s="196"/>
      <c r="AA803" s="196"/>
      <c r="AB803" s="196"/>
      <c r="AC803" s="196"/>
      <c r="AD803" s="196"/>
    </row>
    <row r="804" spans="1:30" ht="12.9">
      <c r="A804" s="196"/>
      <c r="B804" s="143"/>
      <c r="C804" s="196"/>
      <c r="D804" s="196"/>
      <c r="E804" s="196"/>
      <c r="F804" s="196"/>
      <c r="G804" s="24"/>
      <c r="H804" s="24"/>
      <c r="I804" s="196"/>
      <c r="J804" s="196"/>
      <c r="K804" s="196"/>
      <c r="L804" s="196"/>
      <c r="M804" s="196"/>
      <c r="N804" s="196"/>
      <c r="O804" s="196"/>
      <c r="P804" s="196"/>
      <c r="Q804" s="196"/>
      <c r="R804" s="196"/>
      <c r="S804" s="196"/>
      <c r="T804" s="196"/>
      <c r="U804" s="196"/>
      <c r="V804" s="196"/>
      <c r="W804" s="196"/>
      <c r="X804" s="196"/>
      <c r="Y804" s="196"/>
      <c r="Z804" s="196"/>
      <c r="AA804" s="196"/>
      <c r="AB804" s="196"/>
      <c r="AC804" s="196"/>
      <c r="AD804" s="196"/>
    </row>
    <row r="805" spans="1:30" ht="12.9">
      <c r="A805" s="196"/>
      <c r="B805" s="143"/>
      <c r="C805" s="196"/>
      <c r="D805" s="196"/>
      <c r="E805" s="196"/>
      <c r="F805" s="196"/>
      <c r="G805" s="24"/>
      <c r="H805" s="24"/>
      <c r="I805" s="196"/>
      <c r="J805" s="196"/>
      <c r="K805" s="196"/>
      <c r="L805" s="196"/>
      <c r="M805" s="196"/>
      <c r="N805" s="196"/>
      <c r="O805" s="196"/>
      <c r="P805" s="196"/>
      <c r="Q805" s="196"/>
      <c r="R805" s="196"/>
      <c r="S805" s="196"/>
      <c r="T805" s="196"/>
      <c r="U805" s="196"/>
      <c r="V805" s="196"/>
      <c r="W805" s="196"/>
      <c r="X805" s="196"/>
      <c r="Y805" s="196"/>
      <c r="Z805" s="196"/>
      <c r="AA805" s="196"/>
      <c r="AB805" s="196"/>
      <c r="AC805" s="196"/>
      <c r="AD805" s="196"/>
    </row>
    <row r="806" spans="1:30" ht="12.9">
      <c r="A806" s="196"/>
      <c r="B806" s="143"/>
      <c r="C806" s="196"/>
      <c r="D806" s="196"/>
      <c r="E806" s="196"/>
      <c r="F806" s="196"/>
      <c r="G806" s="24"/>
      <c r="H806" s="24"/>
      <c r="I806" s="196"/>
      <c r="J806" s="196"/>
      <c r="K806" s="196"/>
      <c r="L806" s="196"/>
      <c r="M806" s="196"/>
      <c r="N806" s="196"/>
      <c r="O806" s="196"/>
      <c r="P806" s="196"/>
      <c r="Q806" s="196"/>
      <c r="R806" s="196"/>
      <c r="S806" s="196"/>
      <c r="T806" s="196"/>
      <c r="U806" s="196"/>
      <c r="V806" s="196"/>
      <c r="W806" s="196"/>
      <c r="X806" s="196"/>
      <c r="Y806" s="196"/>
      <c r="Z806" s="196"/>
      <c r="AA806" s="196"/>
      <c r="AB806" s="196"/>
      <c r="AC806" s="196"/>
      <c r="AD806" s="196"/>
    </row>
    <row r="807" spans="1:30" ht="12.9">
      <c r="A807" s="196"/>
      <c r="B807" s="143"/>
      <c r="C807" s="196"/>
      <c r="D807" s="196"/>
      <c r="E807" s="196"/>
      <c r="F807" s="196"/>
      <c r="G807" s="24"/>
      <c r="H807" s="24"/>
      <c r="I807" s="196"/>
      <c r="J807" s="196"/>
      <c r="K807" s="196"/>
      <c r="L807" s="196"/>
      <c r="M807" s="196"/>
      <c r="N807" s="196"/>
      <c r="O807" s="196"/>
      <c r="P807" s="196"/>
      <c r="Q807" s="196"/>
      <c r="R807" s="196"/>
      <c r="S807" s="196"/>
      <c r="T807" s="196"/>
      <c r="U807" s="196"/>
      <c r="V807" s="196"/>
      <c r="W807" s="196"/>
      <c r="X807" s="196"/>
      <c r="Y807" s="196"/>
      <c r="Z807" s="196"/>
      <c r="AA807" s="196"/>
      <c r="AB807" s="196"/>
      <c r="AC807" s="196"/>
      <c r="AD807" s="196"/>
    </row>
    <row r="808" spans="1:30" ht="12.9">
      <c r="A808" s="196"/>
      <c r="B808" s="143"/>
      <c r="C808" s="196"/>
      <c r="D808" s="196"/>
      <c r="E808" s="196"/>
      <c r="F808" s="196"/>
      <c r="G808" s="24"/>
      <c r="H808" s="24"/>
      <c r="I808" s="196"/>
      <c r="J808" s="196"/>
      <c r="K808" s="196"/>
      <c r="L808" s="196"/>
      <c r="M808" s="196"/>
      <c r="N808" s="196"/>
      <c r="O808" s="196"/>
      <c r="P808" s="196"/>
      <c r="Q808" s="196"/>
      <c r="R808" s="196"/>
      <c r="S808" s="196"/>
      <c r="T808" s="196"/>
      <c r="U808" s="196"/>
      <c r="V808" s="196"/>
      <c r="W808" s="196"/>
      <c r="X808" s="196"/>
      <c r="Y808" s="196"/>
      <c r="Z808" s="196"/>
      <c r="AA808" s="196"/>
      <c r="AB808" s="196"/>
      <c r="AC808" s="196"/>
      <c r="AD808" s="196"/>
    </row>
    <row r="809" spans="1:30" ht="12.9">
      <c r="A809" s="196"/>
      <c r="B809" s="143"/>
      <c r="C809" s="196"/>
      <c r="D809" s="196"/>
      <c r="E809" s="196"/>
      <c r="F809" s="196"/>
      <c r="G809" s="24"/>
      <c r="H809" s="24"/>
      <c r="I809" s="196"/>
      <c r="J809" s="196"/>
      <c r="K809" s="196"/>
      <c r="L809" s="196"/>
      <c r="M809" s="196"/>
      <c r="N809" s="196"/>
      <c r="O809" s="196"/>
      <c r="P809" s="196"/>
      <c r="Q809" s="196"/>
      <c r="R809" s="196"/>
      <c r="S809" s="196"/>
      <c r="T809" s="196"/>
      <c r="U809" s="196"/>
      <c r="V809" s="196"/>
      <c r="W809" s="196"/>
      <c r="X809" s="196"/>
      <c r="Y809" s="196"/>
      <c r="Z809" s="196"/>
      <c r="AA809" s="196"/>
      <c r="AB809" s="196"/>
      <c r="AC809" s="196"/>
      <c r="AD809" s="196"/>
    </row>
    <row r="810" spans="1:30" ht="12.9">
      <c r="A810" s="196"/>
      <c r="B810" s="143"/>
      <c r="C810" s="196"/>
      <c r="D810" s="196"/>
      <c r="E810" s="196"/>
      <c r="F810" s="196"/>
      <c r="G810" s="24"/>
      <c r="H810" s="24"/>
      <c r="I810" s="196"/>
      <c r="J810" s="196"/>
      <c r="K810" s="196"/>
      <c r="L810" s="196"/>
      <c r="M810" s="196"/>
      <c r="N810" s="196"/>
      <c r="O810" s="196"/>
      <c r="P810" s="196"/>
      <c r="Q810" s="196"/>
      <c r="R810" s="196"/>
      <c r="S810" s="196"/>
      <c r="T810" s="196"/>
      <c r="U810" s="196"/>
      <c r="V810" s="196"/>
      <c r="W810" s="196"/>
      <c r="X810" s="196"/>
      <c r="Y810" s="196"/>
      <c r="Z810" s="196"/>
      <c r="AA810" s="196"/>
      <c r="AB810" s="196"/>
      <c r="AC810" s="196"/>
      <c r="AD810" s="196"/>
    </row>
    <row r="811" spans="1:30" ht="12.9">
      <c r="A811" s="196"/>
      <c r="B811" s="143"/>
      <c r="C811" s="196"/>
      <c r="D811" s="196"/>
      <c r="E811" s="196"/>
      <c r="F811" s="196"/>
      <c r="G811" s="24"/>
      <c r="H811" s="24"/>
      <c r="I811" s="196"/>
      <c r="J811" s="196"/>
      <c r="K811" s="196"/>
      <c r="L811" s="196"/>
      <c r="M811" s="196"/>
      <c r="N811" s="196"/>
      <c r="O811" s="196"/>
      <c r="P811" s="196"/>
      <c r="Q811" s="196"/>
      <c r="R811" s="196"/>
      <c r="S811" s="196"/>
      <c r="T811" s="196"/>
      <c r="U811" s="196"/>
      <c r="V811" s="196"/>
      <c r="W811" s="196"/>
      <c r="X811" s="196"/>
      <c r="Y811" s="196"/>
      <c r="Z811" s="196"/>
      <c r="AA811" s="196"/>
      <c r="AB811" s="196"/>
      <c r="AC811" s="196"/>
      <c r="AD811" s="196"/>
    </row>
    <row r="812" spans="1:30" ht="12.9">
      <c r="A812" s="196"/>
      <c r="B812" s="143"/>
      <c r="C812" s="196"/>
      <c r="D812" s="196"/>
      <c r="E812" s="196"/>
      <c r="F812" s="196"/>
      <c r="G812" s="24"/>
      <c r="H812" s="24"/>
      <c r="I812" s="196"/>
      <c r="J812" s="196"/>
      <c r="K812" s="196"/>
      <c r="L812" s="196"/>
      <c r="M812" s="196"/>
      <c r="N812" s="196"/>
      <c r="O812" s="196"/>
      <c r="P812" s="196"/>
      <c r="Q812" s="196"/>
      <c r="R812" s="196"/>
      <c r="S812" s="196"/>
      <c r="T812" s="196"/>
      <c r="U812" s="196"/>
      <c r="V812" s="196"/>
      <c r="W812" s="196"/>
      <c r="X812" s="196"/>
      <c r="Y812" s="196"/>
      <c r="Z812" s="196"/>
      <c r="AA812" s="196"/>
      <c r="AB812" s="196"/>
      <c r="AC812" s="196"/>
      <c r="AD812" s="196"/>
    </row>
    <row r="813" spans="1:30" ht="12.9">
      <c r="A813" s="196"/>
      <c r="B813" s="143"/>
      <c r="C813" s="196"/>
      <c r="D813" s="196"/>
      <c r="E813" s="196"/>
      <c r="F813" s="196"/>
      <c r="G813" s="24"/>
      <c r="H813" s="24"/>
      <c r="I813" s="196"/>
      <c r="J813" s="196"/>
      <c r="K813" s="196"/>
      <c r="L813" s="196"/>
      <c r="M813" s="196"/>
      <c r="N813" s="196"/>
      <c r="O813" s="196"/>
      <c r="P813" s="196"/>
      <c r="Q813" s="196"/>
      <c r="R813" s="196"/>
      <c r="S813" s="196"/>
      <c r="T813" s="196"/>
      <c r="U813" s="196"/>
      <c r="V813" s="196"/>
      <c r="W813" s="196"/>
      <c r="X813" s="196"/>
      <c r="Y813" s="196"/>
      <c r="Z813" s="196"/>
      <c r="AA813" s="196"/>
      <c r="AB813" s="196"/>
      <c r="AC813" s="196"/>
      <c r="AD813" s="196"/>
    </row>
    <row r="814" spans="1:30" ht="12.9">
      <c r="A814" s="196"/>
      <c r="B814" s="143"/>
      <c r="C814" s="196"/>
      <c r="D814" s="196"/>
      <c r="E814" s="196"/>
      <c r="F814" s="196"/>
      <c r="G814" s="24"/>
      <c r="H814" s="24"/>
      <c r="I814" s="196"/>
      <c r="J814" s="196"/>
      <c r="K814" s="196"/>
      <c r="L814" s="196"/>
      <c r="M814" s="196"/>
      <c r="N814" s="196"/>
      <c r="O814" s="196"/>
      <c r="P814" s="196"/>
      <c r="Q814" s="196"/>
      <c r="R814" s="196"/>
      <c r="S814" s="196"/>
      <c r="T814" s="196"/>
      <c r="U814" s="196"/>
      <c r="V814" s="196"/>
      <c r="W814" s="196"/>
      <c r="X814" s="196"/>
      <c r="Y814" s="196"/>
      <c r="Z814" s="196"/>
      <c r="AA814" s="196"/>
      <c r="AB814" s="196"/>
      <c r="AC814" s="196"/>
      <c r="AD814" s="196"/>
    </row>
    <row r="815" spans="1:30" ht="12.9">
      <c r="A815" s="196"/>
      <c r="B815" s="143"/>
      <c r="C815" s="196"/>
      <c r="D815" s="196"/>
      <c r="E815" s="196"/>
      <c r="F815" s="196"/>
      <c r="G815" s="24"/>
      <c r="H815" s="24"/>
      <c r="I815" s="196"/>
      <c r="J815" s="196"/>
      <c r="K815" s="196"/>
      <c r="L815" s="196"/>
      <c r="M815" s="196"/>
      <c r="N815" s="196"/>
      <c r="O815" s="196"/>
      <c r="P815" s="196"/>
      <c r="Q815" s="196"/>
      <c r="R815" s="196"/>
      <c r="S815" s="196"/>
      <c r="T815" s="196"/>
      <c r="U815" s="196"/>
      <c r="V815" s="196"/>
      <c r="W815" s="196"/>
      <c r="X815" s="196"/>
      <c r="Y815" s="196"/>
      <c r="Z815" s="196"/>
      <c r="AA815" s="196"/>
      <c r="AB815" s="196"/>
      <c r="AC815" s="196"/>
      <c r="AD815" s="196"/>
    </row>
    <row r="816" spans="1:30" ht="12.9">
      <c r="A816" s="196"/>
      <c r="B816" s="143"/>
      <c r="C816" s="196"/>
      <c r="D816" s="196"/>
      <c r="E816" s="196"/>
      <c r="F816" s="196"/>
      <c r="G816" s="24"/>
      <c r="H816" s="24"/>
      <c r="I816" s="196"/>
      <c r="J816" s="196"/>
      <c r="K816" s="196"/>
      <c r="L816" s="196"/>
      <c r="M816" s="196"/>
      <c r="N816" s="196"/>
      <c r="O816" s="196"/>
      <c r="P816" s="196"/>
      <c r="Q816" s="196"/>
      <c r="R816" s="196"/>
      <c r="S816" s="196"/>
      <c r="T816" s="196"/>
      <c r="U816" s="196"/>
      <c r="V816" s="196"/>
      <c r="W816" s="196"/>
      <c r="X816" s="196"/>
      <c r="Y816" s="196"/>
      <c r="Z816" s="196"/>
      <c r="AA816" s="196"/>
      <c r="AB816" s="196"/>
      <c r="AC816" s="196"/>
      <c r="AD816" s="196"/>
    </row>
    <row r="817" spans="1:30" ht="12.9">
      <c r="A817" s="196"/>
      <c r="B817" s="143"/>
      <c r="C817" s="196"/>
      <c r="D817" s="196"/>
      <c r="E817" s="196"/>
      <c r="F817" s="196"/>
      <c r="G817" s="24"/>
      <c r="H817" s="24"/>
      <c r="I817" s="196"/>
      <c r="J817" s="196"/>
      <c r="K817" s="196"/>
      <c r="L817" s="196"/>
      <c r="M817" s="196"/>
      <c r="N817" s="196"/>
      <c r="O817" s="196"/>
      <c r="P817" s="196"/>
      <c r="Q817" s="196"/>
      <c r="R817" s="196"/>
      <c r="S817" s="196"/>
      <c r="T817" s="196"/>
      <c r="U817" s="196"/>
      <c r="V817" s="196"/>
      <c r="W817" s="196"/>
      <c r="X817" s="196"/>
      <c r="Y817" s="196"/>
      <c r="Z817" s="196"/>
      <c r="AA817" s="196"/>
      <c r="AB817" s="196"/>
      <c r="AC817" s="196"/>
      <c r="AD817" s="196"/>
    </row>
    <row r="818" spans="1:30" ht="12.9">
      <c r="A818" s="196"/>
      <c r="B818" s="143"/>
      <c r="C818" s="196"/>
      <c r="D818" s="196"/>
      <c r="E818" s="196"/>
      <c r="F818" s="196"/>
      <c r="G818" s="24"/>
      <c r="H818" s="24"/>
      <c r="I818" s="196"/>
      <c r="J818" s="196"/>
      <c r="K818" s="196"/>
      <c r="L818" s="196"/>
      <c r="M818" s="196"/>
      <c r="N818" s="196"/>
      <c r="O818" s="196"/>
      <c r="P818" s="196"/>
      <c r="Q818" s="196"/>
      <c r="R818" s="196"/>
      <c r="S818" s="196"/>
      <c r="T818" s="196"/>
      <c r="U818" s="196"/>
      <c r="V818" s="196"/>
      <c r="W818" s="196"/>
      <c r="X818" s="196"/>
      <c r="Y818" s="196"/>
      <c r="Z818" s="196"/>
      <c r="AA818" s="196"/>
      <c r="AB818" s="196"/>
      <c r="AC818" s="196"/>
      <c r="AD818" s="196"/>
    </row>
    <row r="819" spans="1:30" ht="12.9">
      <c r="A819" s="196"/>
      <c r="B819" s="143"/>
      <c r="C819" s="196"/>
      <c r="D819" s="196"/>
      <c r="E819" s="196"/>
      <c r="F819" s="196"/>
      <c r="G819" s="24"/>
      <c r="H819" s="24"/>
      <c r="I819" s="196"/>
      <c r="J819" s="196"/>
      <c r="K819" s="196"/>
      <c r="L819" s="196"/>
      <c r="M819" s="196"/>
      <c r="N819" s="196"/>
      <c r="O819" s="196"/>
      <c r="P819" s="196"/>
      <c r="Q819" s="196"/>
      <c r="R819" s="196"/>
      <c r="S819" s="196"/>
      <c r="T819" s="196"/>
      <c r="U819" s="196"/>
      <c r="V819" s="196"/>
      <c r="W819" s="196"/>
      <c r="X819" s="196"/>
      <c r="Y819" s="196"/>
      <c r="Z819" s="196"/>
      <c r="AA819" s="196"/>
      <c r="AB819" s="196"/>
      <c r="AC819" s="196"/>
      <c r="AD819" s="196"/>
    </row>
    <row r="820" spans="1:30" ht="12.9">
      <c r="A820" s="196"/>
      <c r="B820" s="143"/>
      <c r="C820" s="196"/>
      <c r="D820" s="196"/>
      <c r="E820" s="196"/>
      <c r="F820" s="196"/>
      <c r="G820" s="24"/>
      <c r="H820" s="24"/>
      <c r="I820" s="196"/>
      <c r="J820" s="196"/>
      <c r="K820" s="196"/>
      <c r="L820" s="196"/>
      <c r="M820" s="196"/>
      <c r="N820" s="196"/>
      <c r="O820" s="196"/>
      <c r="P820" s="196"/>
      <c r="Q820" s="196"/>
      <c r="R820" s="196"/>
      <c r="S820" s="196"/>
      <c r="T820" s="196"/>
      <c r="U820" s="196"/>
      <c r="V820" s="196"/>
      <c r="W820" s="196"/>
      <c r="X820" s="196"/>
      <c r="Y820" s="196"/>
      <c r="Z820" s="196"/>
      <c r="AA820" s="196"/>
      <c r="AB820" s="196"/>
      <c r="AC820" s="196"/>
      <c r="AD820" s="196"/>
    </row>
    <row r="821" spans="1:30" ht="12.9">
      <c r="A821" s="196"/>
      <c r="B821" s="143"/>
      <c r="C821" s="196"/>
      <c r="D821" s="196"/>
      <c r="E821" s="196"/>
      <c r="F821" s="196"/>
      <c r="G821" s="24"/>
      <c r="H821" s="24"/>
      <c r="I821" s="196"/>
      <c r="J821" s="196"/>
      <c r="K821" s="196"/>
      <c r="L821" s="196"/>
      <c r="M821" s="196"/>
      <c r="N821" s="196"/>
      <c r="O821" s="196"/>
      <c r="P821" s="196"/>
      <c r="Q821" s="196"/>
      <c r="R821" s="196"/>
      <c r="S821" s="196"/>
      <c r="T821" s="196"/>
      <c r="U821" s="196"/>
      <c r="V821" s="196"/>
      <c r="W821" s="196"/>
      <c r="X821" s="196"/>
      <c r="Y821" s="196"/>
      <c r="Z821" s="196"/>
      <c r="AA821" s="196"/>
      <c r="AB821" s="196"/>
      <c r="AC821" s="196"/>
      <c r="AD821" s="196"/>
    </row>
    <row r="822" spans="1:30" ht="12.9">
      <c r="A822" s="196"/>
      <c r="B822" s="143"/>
      <c r="C822" s="196"/>
      <c r="D822" s="196"/>
      <c r="E822" s="196"/>
      <c r="F822" s="196"/>
      <c r="G822" s="24"/>
      <c r="H822" s="24"/>
      <c r="I822" s="196"/>
      <c r="J822" s="196"/>
      <c r="K822" s="196"/>
      <c r="L822" s="196"/>
      <c r="M822" s="196"/>
      <c r="N822" s="196"/>
      <c r="O822" s="196"/>
      <c r="P822" s="196"/>
      <c r="Q822" s="196"/>
      <c r="R822" s="196"/>
      <c r="S822" s="196"/>
      <c r="T822" s="196"/>
      <c r="U822" s="196"/>
      <c r="V822" s="196"/>
      <c r="W822" s="196"/>
      <c r="X822" s="196"/>
      <c r="Y822" s="196"/>
      <c r="Z822" s="196"/>
      <c r="AA822" s="196"/>
      <c r="AB822" s="196"/>
      <c r="AC822" s="196"/>
      <c r="AD822" s="196"/>
    </row>
    <row r="823" spans="1:30" ht="12.9">
      <c r="A823" s="196"/>
      <c r="B823" s="143"/>
      <c r="C823" s="196"/>
      <c r="D823" s="196"/>
      <c r="E823" s="196"/>
      <c r="F823" s="196"/>
      <c r="G823" s="24"/>
      <c r="H823" s="24"/>
      <c r="I823" s="196"/>
      <c r="J823" s="196"/>
      <c r="K823" s="196"/>
      <c r="L823" s="196"/>
      <c r="M823" s="196"/>
      <c r="N823" s="196"/>
      <c r="O823" s="196"/>
      <c r="P823" s="196"/>
      <c r="Q823" s="196"/>
      <c r="R823" s="196"/>
      <c r="S823" s="196"/>
      <c r="T823" s="196"/>
      <c r="U823" s="196"/>
      <c r="V823" s="196"/>
      <c r="W823" s="196"/>
      <c r="X823" s="196"/>
      <c r="Y823" s="196"/>
      <c r="Z823" s="196"/>
      <c r="AA823" s="196"/>
      <c r="AB823" s="196"/>
      <c r="AC823" s="196"/>
      <c r="AD823" s="196"/>
    </row>
    <row r="824" spans="1:30" ht="12.9">
      <c r="A824" s="196"/>
      <c r="B824" s="143"/>
      <c r="C824" s="196"/>
      <c r="D824" s="196"/>
      <c r="E824" s="196"/>
      <c r="F824" s="196"/>
      <c r="G824" s="24"/>
      <c r="H824" s="24"/>
      <c r="I824" s="196"/>
      <c r="J824" s="196"/>
      <c r="K824" s="196"/>
      <c r="L824" s="196"/>
      <c r="M824" s="196"/>
      <c r="N824" s="196"/>
      <c r="O824" s="196"/>
      <c r="P824" s="196"/>
      <c r="Q824" s="196"/>
      <c r="R824" s="196"/>
      <c r="S824" s="196"/>
      <c r="T824" s="196"/>
      <c r="U824" s="196"/>
      <c r="V824" s="196"/>
      <c r="W824" s="196"/>
      <c r="X824" s="196"/>
      <c r="Y824" s="196"/>
      <c r="Z824" s="196"/>
      <c r="AA824" s="196"/>
      <c r="AB824" s="196"/>
      <c r="AC824" s="196"/>
      <c r="AD824" s="196"/>
    </row>
    <row r="825" spans="1:30" ht="12.9">
      <c r="A825" s="196"/>
      <c r="B825" s="143"/>
      <c r="C825" s="196"/>
      <c r="D825" s="196"/>
      <c r="E825" s="196"/>
      <c r="F825" s="196"/>
      <c r="G825" s="24"/>
      <c r="H825" s="24"/>
      <c r="I825" s="196"/>
      <c r="J825" s="196"/>
      <c r="K825" s="196"/>
      <c r="L825" s="196"/>
      <c r="M825" s="196"/>
      <c r="N825" s="196"/>
      <c r="O825" s="196"/>
      <c r="P825" s="196"/>
      <c r="Q825" s="196"/>
      <c r="R825" s="196"/>
      <c r="S825" s="196"/>
      <c r="T825" s="196"/>
      <c r="U825" s="196"/>
      <c r="V825" s="196"/>
      <c r="W825" s="196"/>
      <c r="X825" s="196"/>
      <c r="Y825" s="196"/>
      <c r="Z825" s="196"/>
      <c r="AA825" s="196"/>
      <c r="AB825" s="196"/>
      <c r="AC825" s="196"/>
      <c r="AD825" s="196"/>
    </row>
    <row r="826" spans="1:30" ht="12.9">
      <c r="A826" s="196"/>
      <c r="B826" s="143"/>
      <c r="C826" s="196"/>
      <c r="D826" s="196"/>
      <c r="E826" s="196"/>
      <c r="F826" s="196"/>
      <c r="G826" s="24"/>
      <c r="H826" s="24"/>
      <c r="I826" s="196"/>
      <c r="J826" s="196"/>
      <c r="K826" s="196"/>
      <c r="L826" s="196"/>
      <c r="M826" s="196"/>
      <c r="N826" s="196"/>
      <c r="O826" s="196"/>
      <c r="P826" s="196"/>
      <c r="Q826" s="196"/>
      <c r="R826" s="196"/>
      <c r="S826" s="196"/>
      <c r="T826" s="196"/>
      <c r="U826" s="196"/>
      <c r="V826" s="196"/>
      <c r="W826" s="196"/>
      <c r="X826" s="196"/>
      <c r="Y826" s="196"/>
      <c r="Z826" s="196"/>
      <c r="AA826" s="196"/>
      <c r="AB826" s="196"/>
      <c r="AC826" s="196"/>
      <c r="AD826" s="196"/>
    </row>
    <row r="827" spans="1:30" ht="12.9">
      <c r="A827" s="196"/>
      <c r="B827" s="143"/>
      <c r="C827" s="196"/>
      <c r="D827" s="196"/>
      <c r="E827" s="196"/>
      <c r="F827" s="196"/>
      <c r="G827" s="24"/>
      <c r="H827" s="24"/>
      <c r="I827" s="196"/>
      <c r="J827" s="196"/>
      <c r="K827" s="196"/>
      <c r="L827" s="196"/>
      <c r="M827" s="196"/>
      <c r="N827" s="196"/>
      <c r="O827" s="196"/>
      <c r="P827" s="196"/>
      <c r="Q827" s="196"/>
      <c r="R827" s="196"/>
      <c r="S827" s="196"/>
      <c r="T827" s="196"/>
      <c r="U827" s="196"/>
      <c r="V827" s="196"/>
      <c r="W827" s="196"/>
      <c r="X827" s="196"/>
      <c r="Y827" s="196"/>
      <c r="Z827" s="196"/>
      <c r="AA827" s="196"/>
      <c r="AB827" s="196"/>
      <c r="AC827" s="196"/>
      <c r="AD827" s="196"/>
    </row>
    <row r="828" spans="1:30" ht="12.9">
      <c r="A828" s="196"/>
      <c r="B828" s="143"/>
      <c r="C828" s="196"/>
      <c r="D828" s="196"/>
      <c r="E828" s="196"/>
      <c r="F828" s="196"/>
      <c r="G828" s="24"/>
      <c r="H828" s="24"/>
      <c r="I828" s="196"/>
      <c r="J828" s="196"/>
      <c r="K828" s="196"/>
      <c r="L828" s="196"/>
      <c r="M828" s="196"/>
      <c r="N828" s="196"/>
      <c r="O828" s="196"/>
      <c r="P828" s="196"/>
      <c r="Q828" s="196"/>
      <c r="R828" s="196"/>
      <c r="S828" s="196"/>
      <c r="T828" s="196"/>
      <c r="U828" s="196"/>
      <c r="V828" s="196"/>
      <c r="W828" s="196"/>
      <c r="X828" s="196"/>
      <c r="Y828" s="196"/>
      <c r="Z828" s="196"/>
      <c r="AA828" s="196"/>
      <c r="AB828" s="196"/>
      <c r="AC828" s="196"/>
      <c r="AD828" s="196"/>
    </row>
    <row r="829" spans="1:30" ht="12.9">
      <c r="A829" s="196"/>
      <c r="B829" s="143"/>
      <c r="C829" s="196"/>
      <c r="D829" s="196"/>
      <c r="E829" s="196"/>
      <c r="F829" s="196"/>
      <c r="G829" s="24"/>
      <c r="H829" s="24"/>
      <c r="I829" s="196"/>
      <c r="J829" s="196"/>
      <c r="K829" s="196"/>
      <c r="L829" s="196"/>
      <c r="M829" s="196"/>
      <c r="N829" s="196"/>
      <c r="O829" s="196"/>
      <c r="P829" s="196"/>
      <c r="Q829" s="196"/>
      <c r="R829" s="196"/>
      <c r="S829" s="196"/>
      <c r="T829" s="196"/>
      <c r="U829" s="196"/>
      <c r="V829" s="196"/>
      <c r="W829" s="196"/>
      <c r="X829" s="196"/>
      <c r="Y829" s="196"/>
      <c r="Z829" s="196"/>
      <c r="AA829" s="196"/>
      <c r="AB829" s="196"/>
      <c r="AC829" s="196"/>
      <c r="AD829" s="196"/>
    </row>
    <row r="830" spans="1:30" ht="12.9">
      <c r="A830" s="196"/>
      <c r="B830" s="143"/>
      <c r="C830" s="196"/>
      <c r="D830" s="196"/>
      <c r="E830" s="196"/>
      <c r="F830" s="196"/>
      <c r="G830" s="24"/>
      <c r="H830" s="24"/>
      <c r="I830" s="196"/>
      <c r="J830" s="196"/>
      <c r="K830" s="196"/>
      <c r="L830" s="196"/>
      <c r="M830" s="196"/>
      <c r="N830" s="196"/>
      <c r="O830" s="196"/>
      <c r="P830" s="196"/>
      <c r="Q830" s="196"/>
      <c r="R830" s="196"/>
      <c r="S830" s="196"/>
      <c r="T830" s="196"/>
      <c r="U830" s="196"/>
      <c r="V830" s="196"/>
      <c r="W830" s="196"/>
      <c r="X830" s="196"/>
      <c r="Y830" s="196"/>
      <c r="Z830" s="196"/>
      <c r="AA830" s="196"/>
      <c r="AB830" s="196"/>
      <c r="AC830" s="196"/>
      <c r="AD830" s="196"/>
    </row>
    <row r="831" spans="1:30" ht="12.9">
      <c r="A831" s="196"/>
      <c r="B831" s="143"/>
      <c r="C831" s="196"/>
      <c r="D831" s="196"/>
      <c r="E831" s="196"/>
      <c r="F831" s="196"/>
      <c r="G831" s="24"/>
      <c r="H831" s="24"/>
      <c r="I831" s="196"/>
      <c r="J831" s="196"/>
      <c r="K831" s="196"/>
      <c r="L831" s="196"/>
      <c r="M831" s="196"/>
      <c r="N831" s="196"/>
      <c r="O831" s="196"/>
      <c r="P831" s="196"/>
      <c r="Q831" s="196"/>
      <c r="R831" s="196"/>
      <c r="S831" s="196"/>
      <c r="T831" s="196"/>
      <c r="U831" s="196"/>
      <c r="V831" s="196"/>
      <c r="W831" s="196"/>
      <c r="X831" s="196"/>
      <c r="Y831" s="196"/>
      <c r="Z831" s="196"/>
      <c r="AA831" s="196"/>
      <c r="AB831" s="196"/>
      <c r="AC831" s="196"/>
      <c r="AD831" s="196"/>
    </row>
    <row r="832" spans="1:30" ht="12.9">
      <c r="A832" s="196"/>
      <c r="B832" s="143"/>
      <c r="C832" s="196"/>
      <c r="D832" s="196"/>
      <c r="E832" s="196"/>
      <c r="F832" s="196"/>
      <c r="G832" s="24"/>
      <c r="H832" s="24"/>
      <c r="I832" s="196"/>
      <c r="J832" s="196"/>
      <c r="K832" s="196"/>
      <c r="L832" s="196"/>
      <c r="M832" s="196"/>
      <c r="N832" s="196"/>
      <c r="O832" s="196"/>
      <c r="P832" s="196"/>
      <c r="Q832" s="196"/>
      <c r="R832" s="196"/>
      <c r="S832" s="196"/>
      <c r="T832" s="196"/>
      <c r="U832" s="196"/>
      <c r="V832" s="196"/>
      <c r="W832" s="196"/>
      <c r="X832" s="196"/>
      <c r="Y832" s="196"/>
      <c r="Z832" s="196"/>
      <c r="AA832" s="196"/>
      <c r="AB832" s="196"/>
      <c r="AC832" s="196"/>
      <c r="AD832" s="196"/>
    </row>
    <row r="833" spans="1:30" ht="12.9">
      <c r="A833" s="196"/>
      <c r="B833" s="143"/>
      <c r="C833" s="196"/>
      <c r="D833" s="196"/>
      <c r="E833" s="196"/>
      <c r="F833" s="196"/>
      <c r="G833" s="24"/>
      <c r="H833" s="24"/>
      <c r="I833" s="196"/>
      <c r="J833" s="196"/>
      <c r="K833" s="196"/>
      <c r="L833" s="196"/>
      <c r="M833" s="196"/>
      <c r="N833" s="196"/>
      <c r="O833" s="196"/>
      <c r="P833" s="196"/>
      <c r="Q833" s="196"/>
      <c r="R833" s="196"/>
      <c r="S833" s="196"/>
      <c r="T833" s="196"/>
      <c r="U833" s="196"/>
      <c r="V833" s="196"/>
      <c r="W833" s="196"/>
      <c r="X833" s="196"/>
      <c r="Y833" s="196"/>
      <c r="Z833" s="196"/>
      <c r="AA833" s="196"/>
      <c r="AB833" s="196"/>
      <c r="AC833" s="196"/>
      <c r="AD833" s="196"/>
    </row>
    <row r="834" spans="1:30" ht="12.9">
      <c r="A834" s="196"/>
      <c r="B834" s="143"/>
      <c r="C834" s="196"/>
      <c r="D834" s="196"/>
      <c r="E834" s="196"/>
      <c r="F834" s="196"/>
      <c r="G834" s="24"/>
      <c r="H834" s="24"/>
      <c r="I834" s="196"/>
      <c r="J834" s="196"/>
      <c r="K834" s="196"/>
      <c r="L834" s="196"/>
      <c r="M834" s="196"/>
      <c r="N834" s="196"/>
      <c r="O834" s="196"/>
      <c r="P834" s="196"/>
      <c r="Q834" s="196"/>
      <c r="R834" s="196"/>
      <c r="S834" s="196"/>
      <c r="T834" s="196"/>
      <c r="U834" s="196"/>
      <c r="V834" s="196"/>
      <c r="W834" s="196"/>
      <c r="X834" s="196"/>
      <c r="Y834" s="196"/>
      <c r="Z834" s="196"/>
      <c r="AA834" s="196"/>
      <c r="AB834" s="196"/>
      <c r="AC834" s="196"/>
      <c r="AD834" s="196"/>
    </row>
    <row r="835" spans="1:30" ht="12.9">
      <c r="A835" s="196"/>
      <c r="B835" s="143"/>
      <c r="C835" s="196"/>
      <c r="D835" s="196"/>
      <c r="E835" s="196"/>
      <c r="F835" s="196"/>
      <c r="G835" s="24"/>
      <c r="H835" s="24"/>
      <c r="I835" s="196"/>
      <c r="J835" s="196"/>
      <c r="K835" s="196"/>
      <c r="L835" s="196"/>
      <c r="M835" s="196"/>
      <c r="N835" s="196"/>
      <c r="O835" s="196"/>
      <c r="P835" s="196"/>
      <c r="Q835" s="196"/>
      <c r="R835" s="196"/>
      <c r="S835" s="196"/>
      <c r="T835" s="196"/>
      <c r="U835" s="196"/>
      <c r="V835" s="196"/>
      <c r="W835" s="196"/>
      <c r="X835" s="196"/>
      <c r="Y835" s="196"/>
      <c r="Z835" s="196"/>
      <c r="AA835" s="196"/>
      <c r="AB835" s="196"/>
      <c r="AC835" s="196"/>
      <c r="AD835" s="196"/>
    </row>
    <row r="836" spans="1:30" ht="12.9">
      <c r="A836" s="196"/>
      <c r="B836" s="143"/>
      <c r="C836" s="196"/>
      <c r="D836" s="196"/>
      <c r="E836" s="196"/>
      <c r="F836" s="196"/>
      <c r="G836" s="24"/>
      <c r="H836" s="24"/>
      <c r="I836" s="196"/>
      <c r="J836" s="196"/>
      <c r="K836" s="196"/>
      <c r="L836" s="196"/>
      <c r="M836" s="196"/>
      <c r="N836" s="196"/>
      <c r="O836" s="196"/>
      <c r="P836" s="196"/>
      <c r="Q836" s="196"/>
      <c r="R836" s="196"/>
      <c r="S836" s="196"/>
      <c r="T836" s="196"/>
      <c r="U836" s="196"/>
      <c r="V836" s="196"/>
      <c r="W836" s="196"/>
      <c r="X836" s="196"/>
      <c r="Y836" s="196"/>
      <c r="Z836" s="196"/>
      <c r="AA836" s="196"/>
      <c r="AB836" s="196"/>
      <c r="AC836" s="196"/>
      <c r="AD836" s="196"/>
    </row>
    <row r="837" spans="1:30" ht="12.9">
      <c r="A837" s="196"/>
      <c r="B837" s="143"/>
      <c r="C837" s="196"/>
      <c r="D837" s="196"/>
      <c r="E837" s="196"/>
      <c r="F837" s="196"/>
      <c r="G837" s="24"/>
      <c r="H837" s="24"/>
      <c r="I837" s="196"/>
      <c r="J837" s="196"/>
      <c r="K837" s="196"/>
      <c r="L837" s="196"/>
      <c r="M837" s="196"/>
      <c r="N837" s="196"/>
      <c r="O837" s="196"/>
      <c r="P837" s="196"/>
      <c r="Q837" s="196"/>
      <c r="R837" s="196"/>
      <c r="S837" s="196"/>
      <c r="T837" s="196"/>
      <c r="U837" s="196"/>
      <c r="V837" s="196"/>
      <c r="W837" s="196"/>
      <c r="X837" s="196"/>
      <c r="Y837" s="196"/>
      <c r="Z837" s="196"/>
      <c r="AA837" s="196"/>
      <c r="AB837" s="196"/>
      <c r="AC837" s="196"/>
      <c r="AD837" s="196"/>
    </row>
    <row r="838" spans="1:30" ht="12.9">
      <c r="A838" s="196"/>
      <c r="B838" s="143"/>
      <c r="C838" s="196"/>
      <c r="D838" s="196"/>
      <c r="E838" s="196"/>
      <c r="F838" s="196"/>
      <c r="G838" s="24"/>
      <c r="H838" s="24"/>
      <c r="I838" s="196"/>
      <c r="J838" s="196"/>
      <c r="K838" s="196"/>
      <c r="L838" s="196"/>
      <c r="M838" s="196"/>
      <c r="N838" s="196"/>
      <c r="O838" s="196"/>
      <c r="P838" s="196"/>
      <c r="Q838" s="196"/>
      <c r="R838" s="196"/>
      <c r="S838" s="196"/>
      <c r="T838" s="196"/>
      <c r="U838" s="196"/>
      <c r="V838" s="196"/>
      <c r="W838" s="196"/>
      <c r="X838" s="196"/>
      <c r="Y838" s="196"/>
      <c r="Z838" s="196"/>
      <c r="AA838" s="196"/>
      <c r="AB838" s="196"/>
      <c r="AC838" s="196"/>
      <c r="AD838" s="196"/>
    </row>
    <row r="839" spans="1:30" ht="12.9">
      <c r="A839" s="196"/>
      <c r="B839" s="143"/>
      <c r="C839" s="196"/>
      <c r="D839" s="196"/>
      <c r="E839" s="196"/>
      <c r="F839" s="196"/>
      <c r="G839" s="24"/>
      <c r="H839" s="24"/>
      <c r="I839" s="196"/>
      <c r="J839" s="196"/>
      <c r="K839" s="196"/>
      <c r="L839" s="196"/>
      <c r="M839" s="196"/>
      <c r="N839" s="196"/>
      <c r="O839" s="196"/>
      <c r="P839" s="196"/>
      <c r="Q839" s="196"/>
      <c r="R839" s="196"/>
      <c r="S839" s="196"/>
      <c r="T839" s="196"/>
      <c r="U839" s="196"/>
      <c r="V839" s="196"/>
      <c r="W839" s="196"/>
      <c r="X839" s="196"/>
      <c r="Y839" s="196"/>
      <c r="Z839" s="196"/>
      <c r="AA839" s="196"/>
      <c r="AB839" s="196"/>
      <c r="AC839" s="196"/>
      <c r="AD839" s="196"/>
    </row>
    <row r="840" spans="1:30" ht="12.9">
      <c r="A840" s="196"/>
      <c r="B840" s="143"/>
      <c r="C840" s="196"/>
      <c r="D840" s="196"/>
      <c r="E840" s="196"/>
      <c r="F840" s="196"/>
      <c r="G840" s="24"/>
      <c r="H840" s="24"/>
      <c r="I840" s="196"/>
      <c r="J840" s="196"/>
      <c r="K840" s="196"/>
      <c r="L840" s="196"/>
      <c r="M840" s="196"/>
      <c r="N840" s="196"/>
      <c r="O840" s="196"/>
      <c r="P840" s="196"/>
      <c r="Q840" s="196"/>
      <c r="R840" s="196"/>
      <c r="S840" s="196"/>
      <c r="T840" s="196"/>
      <c r="U840" s="196"/>
      <c r="V840" s="196"/>
      <c r="W840" s="196"/>
      <c r="X840" s="196"/>
      <c r="Y840" s="196"/>
      <c r="Z840" s="196"/>
      <c r="AA840" s="196"/>
      <c r="AB840" s="196"/>
      <c r="AC840" s="196"/>
      <c r="AD840" s="196"/>
    </row>
    <row r="841" spans="1:30" ht="12.9">
      <c r="A841" s="196"/>
      <c r="B841" s="143"/>
      <c r="C841" s="196"/>
      <c r="D841" s="196"/>
      <c r="E841" s="196"/>
      <c r="F841" s="196"/>
      <c r="G841" s="24"/>
      <c r="H841" s="24"/>
      <c r="I841" s="196"/>
      <c r="J841" s="196"/>
      <c r="K841" s="196"/>
      <c r="L841" s="196"/>
      <c r="M841" s="196"/>
      <c r="N841" s="196"/>
      <c r="O841" s="196"/>
      <c r="P841" s="196"/>
      <c r="Q841" s="196"/>
      <c r="R841" s="196"/>
      <c r="S841" s="196"/>
      <c r="T841" s="196"/>
      <c r="U841" s="196"/>
      <c r="V841" s="196"/>
      <c r="W841" s="196"/>
      <c r="X841" s="196"/>
      <c r="Y841" s="196"/>
      <c r="Z841" s="196"/>
      <c r="AA841" s="196"/>
      <c r="AB841" s="196"/>
      <c r="AC841" s="196"/>
      <c r="AD841" s="196"/>
    </row>
    <row r="842" spans="1:30" ht="12.9">
      <c r="A842" s="196"/>
      <c r="B842" s="143"/>
      <c r="C842" s="196"/>
      <c r="D842" s="196"/>
      <c r="E842" s="196"/>
      <c r="F842" s="196"/>
      <c r="G842" s="24"/>
      <c r="H842" s="24"/>
      <c r="I842" s="196"/>
      <c r="J842" s="196"/>
      <c r="K842" s="196"/>
      <c r="L842" s="196"/>
      <c r="M842" s="196"/>
      <c r="N842" s="196"/>
      <c r="O842" s="196"/>
      <c r="P842" s="196"/>
      <c r="Q842" s="196"/>
      <c r="R842" s="196"/>
      <c r="S842" s="196"/>
      <c r="T842" s="196"/>
      <c r="U842" s="196"/>
      <c r="V842" s="196"/>
      <c r="W842" s="196"/>
      <c r="X842" s="196"/>
      <c r="Y842" s="196"/>
      <c r="Z842" s="196"/>
      <c r="AA842" s="196"/>
      <c r="AB842" s="196"/>
      <c r="AC842" s="196"/>
      <c r="AD842" s="196"/>
    </row>
    <row r="843" spans="1:30" ht="12.9">
      <c r="A843" s="196"/>
      <c r="B843" s="143"/>
      <c r="C843" s="196"/>
      <c r="D843" s="196"/>
      <c r="E843" s="196"/>
      <c r="F843" s="196"/>
      <c r="G843" s="24"/>
      <c r="H843" s="24"/>
      <c r="I843" s="196"/>
      <c r="J843" s="196"/>
      <c r="K843" s="196"/>
      <c r="L843" s="196"/>
      <c r="M843" s="196"/>
      <c r="N843" s="196"/>
      <c r="O843" s="196"/>
      <c r="P843" s="196"/>
      <c r="Q843" s="196"/>
      <c r="R843" s="196"/>
      <c r="S843" s="196"/>
      <c r="T843" s="196"/>
      <c r="U843" s="196"/>
      <c r="V843" s="196"/>
      <c r="W843" s="196"/>
      <c r="X843" s="196"/>
      <c r="Y843" s="196"/>
      <c r="Z843" s="196"/>
      <c r="AA843" s="196"/>
      <c r="AB843" s="196"/>
      <c r="AC843" s="196"/>
      <c r="AD843" s="196"/>
    </row>
    <row r="844" spans="1:30" ht="12.9">
      <c r="A844" s="196"/>
      <c r="B844" s="143"/>
      <c r="C844" s="196"/>
      <c r="D844" s="196"/>
      <c r="E844" s="196"/>
      <c r="F844" s="196"/>
      <c r="G844" s="24"/>
      <c r="H844" s="24"/>
      <c r="I844" s="196"/>
      <c r="J844" s="196"/>
      <c r="K844" s="196"/>
      <c r="L844" s="196"/>
      <c r="M844" s="196"/>
      <c r="N844" s="196"/>
      <c r="O844" s="196"/>
      <c r="P844" s="196"/>
      <c r="Q844" s="196"/>
      <c r="R844" s="196"/>
      <c r="S844" s="196"/>
      <c r="T844" s="196"/>
      <c r="U844" s="196"/>
      <c r="V844" s="196"/>
      <c r="W844" s="196"/>
      <c r="X844" s="196"/>
      <c r="Y844" s="196"/>
      <c r="Z844" s="196"/>
      <c r="AA844" s="196"/>
      <c r="AB844" s="196"/>
      <c r="AC844" s="196"/>
      <c r="AD844" s="196"/>
    </row>
    <row r="845" spans="1:30" ht="12.9">
      <c r="A845" s="196"/>
      <c r="B845" s="143"/>
      <c r="C845" s="196"/>
      <c r="D845" s="196"/>
      <c r="E845" s="196"/>
      <c r="F845" s="196"/>
      <c r="G845" s="24"/>
      <c r="H845" s="24"/>
      <c r="I845" s="196"/>
      <c r="J845" s="196"/>
      <c r="K845" s="196"/>
      <c r="L845" s="196"/>
      <c r="M845" s="196"/>
      <c r="N845" s="196"/>
      <c r="O845" s="196"/>
      <c r="P845" s="196"/>
      <c r="Q845" s="196"/>
      <c r="R845" s="196"/>
      <c r="S845" s="196"/>
      <c r="T845" s="196"/>
      <c r="U845" s="196"/>
      <c r="V845" s="196"/>
      <c r="W845" s="196"/>
      <c r="X845" s="196"/>
      <c r="Y845" s="196"/>
      <c r="Z845" s="196"/>
      <c r="AA845" s="196"/>
      <c r="AB845" s="196"/>
      <c r="AC845" s="196"/>
      <c r="AD845" s="196"/>
    </row>
    <row r="846" spans="1:30" ht="12.9">
      <c r="A846" s="196"/>
      <c r="B846" s="143"/>
      <c r="C846" s="196"/>
      <c r="D846" s="196"/>
      <c r="E846" s="196"/>
      <c r="F846" s="196"/>
      <c r="G846" s="24"/>
      <c r="H846" s="24"/>
      <c r="I846" s="196"/>
      <c r="J846" s="196"/>
      <c r="K846" s="196"/>
      <c r="L846" s="196"/>
      <c r="M846" s="196"/>
      <c r="N846" s="196"/>
      <c r="O846" s="196"/>
      <c r="P846" s="196"/>
      <c r="Q846" s="196"/>
      <c r="R846" s="196"/>
      <c r="S846" s="196"/>
      <c r="T846" s="196"/>
      <c r="U846" s="196"/>
      <c r="V846" s="196"/>
      <c r="W846" s="196"/>
      <c r="X846" s="196"/>
      <c r="Y846" s="196"/>
      <c r="Z846" s="196"/>
      <c r="AA846" s="196"/>
      <c r="AB846" s="196"/>
      <c r="AC846" s="196"/>
      <c r="AD846" s="196"/>
    </row>
    <row r="847" spans="1:30" ht="12.9">
      <c r="A847" s="196"/>
      <c r="B847" s="143"/>
      <c r="C847" s="196"/>
      <c r="D847" s="196"/>
      <c r="E847" s="196"/>
      <c r="F847" s="196"/>
      <c r="G847" s="24"/>
      <c r="H847" s="24"/>
      <c r="I847" s="196"/>
      <c r="J847" s="196"/>
      <c r="K847" s="196"/>
      <c r="L847" s="196"/>
      <c r="M847" s="196"/>
      <c r="N847" s="196"/>
      <c r="O847" s="196"/>
      <c r="P847" s="196"/>
      <c r="Q847" s="196"/>
      <c r="R847" s="196"/>
      <c r="S847" s="196"/>
      <c r="T847" s="196"/>
      <c r="U847" s="196"/>
      <c r="V847" s="196"/>
      <c r="W847" s="196"/>
      <c r="X847" s="196"/>
      <c r="Y847" s="196"/>
      <c r="Z847" s="196"/>
      <c r="AA847" s="196"/>
      <c r="AB847" s="196"/>
      <c r="AC847" s="196"/>
      <c r="AD847" s="196"/>
    </row>
    <row r="848" spans="1:30" ht="12.9">
      <c r="A848" s="196"/>
      <c r="B848" s="143"/>
      <c r="C848" s="196"/>
      <c r="D848" s="196"/>
      <c r="E848" s="196"/>
      <c r="F848" s="196"/>
      <c r="G848" s="24"/>
      <c r="H848" s="24"/>
      <c r="I848" s="196"/>
      <c r="J848" s="196"/>
      <c r="K848" s="196"/>
      <c r="L848" s="196"/>
      <c r="M848" s="196"/>
      <c r="N848" s="196"/>
      <c r="O848" s="196"/>
      <c r="P848" s="196"/>
      <c r="Q848" s="196"/>
      <c r="R848" s="196"/>
      <c r="S848" s="196"/>
      <c r="T848" s="196"/>
      <c r="U848" s="196"/>
      <c r="V848" s="196"/>
      <c r="W848" s="196"/>
      <c r="X848" s="196"/>
      <c r="Y848" s="196"/>
      <c r="Z848" s="196"/>
      <c r="AA848" s="196"/>
      <c r="AB848" s="196"/>
      <c r="AC848" s="196"/>
      <c r="AD848" s="196"/>
    </row>
    <row r="849" spans="1:30" ht="12.9">
      <c r="A849" s="196"/>
      <c r="B849" s="143"/>
      <c r="C849" s="196"/>
      <c r="D849" s="196"/>
      <c r="E849" s="196"/>
      <c r="F849" s="196"/>
      <c r="G849" s="24"/>
      <c r="H849" s="24"/>
      <c r="I849" s="196"/>
      <c r="J849" s="196"/>
      <c r="K849" s="196"/>
      <c r="L849" s="196"/>
      <c r="M849" s="196"/>
      <c r="N849" s="196"/>
      <c r="O849" s="196"/>
      <c r="P849" s="196"/>
      <c r="Q849" s="196"/>
      <c r="R849" s="196"/>
      <c r="S849" s="196"/>
      <c r="T849" s="196"/>
      <c r="U849" s="196"/>
      <c r="V849" s="196"/>
      <c r="W849" s="196"/>
      <c r="X849" s="196"/>
      <c r="Y849" s="196"/>
      <c r="Z849" s="196"/>
      <c r="AA849" s="196"/>
      <c r="AB849" s="196"/>
      <c r="AC849" s="196"/>
      <c r="AD849" s="196"/>
    </row>
    <row r="850" spans="1:30" ht="12.9">
      <c r="A850" s="196"/>
      <c r="B850" s="143"/>
      <c r="C850" s="196"/>
      <c r="D850" s="196"/>
      <c r="E850" s="196"/>
      <c r="F850" s="196"/>
      <c r="G850" s="24"/>
      <c r="H850" s="24"/>
      <c r="I850" s="196"/>
      <c r="J850" s="196"/>
      <c r="K850" s="196"/>
      <c r="L850" s="196"/>
      <c r="M850" s="196"/>
      <c r="N850" s="196"/>
      <c r="O850" s="196"/>
      <c r="P850" s="196"/>
      <c r="Q850" s="196"/>
      <c r="R850" s="196"/>
      <c r="S850" s="196"/>
      <c r="T850" s="196"/>
      <c r="U850" s="196"/>
      <c r="V850" s="196"/>
      <c r="W850" s="196"/>
      <c r="X850" s="196"/>
      <c r="Y850" s="196"/>
      <c r="Z850" s="196"/>
      <c r="AA850" s="196"/>
      <c r="AB850" s="196"/>
      <c r="AC850" s="196"/>
      <c r="AD850" s="196"/>
    </row>
    <row r="851" spans="1:30" ht="12.9">
      <c r="A851" s="196"/>
      <c r="B851" s="143"/>
      <c r="C851" s="196"/>
      <c r="D851" s="196"/>
      <c r="E851" s="196"/>
      <c r="F851" s="196"/>
      <c r="G851" s="24"/>
      <c r="H851" s="24"/>
      <c r="I851" s="196"/>
      <c r="J851" s="196"/>
      <c r="K851" s="196"/>
      <c r="L851" s="196"/>
      <c r="M851" s="196"/>
      <c r="N851" s="196"/>
      <c r="O851" s="196"/>
      <c r="P851" s="196"/>
      <c r="Q851" s="196"/>
      <c r="R851" s="196"/>
      <c r="S851" s="196"/>
      <c r="T851" s="196"/>
      <c r="U851" s="196"/>
      <c r="V851" s="196"/>
      <c r="W851" s="196"/>
      <c r="X851" s="196"/>
      <c r="Y851" s="196"/>
      <c r="Z851" s="196"/>
      <c r="AA851" s="196"/>
      <c r="AB851" s="196"/>
      <c r="AC851" s="196"/>
      <c r="AD851" s="196"/>
    </row>
    <row r="852" spans="1:30" ht="12.9">
      <c r="A852" s="196"/>
      <c r="B852" s="143"/>
      <c r="C852" s="196"/>
      <c r="D852" s="196"/>
      <c r="E852" s="196"/>
      <c r="F852" s="196"/>
      <c r="G852" s="24"/>
      <c r="H852" s="24"/>
      <c r="I852" s="196"/>
      <c r="J852" s="196"/>
      <c r="K852" s="196"/>
      <c r="L852" s="196"/>
      <c r="M852" s="196"/>
      <c r="N852" s="196"/>
      <c r="O852" s="196"/>
      <c r="P852" s="196"/>
      <c r="Q852" s="196"/>
      <c r="R852" s="196"/>
      <c r="S852" s="196"/>
      <c r="T852" s="196"/>
      <c r="U852" s="196"/>
      <c r="V852" s="196"/>
      <c r="W852" s="196"/>
      <c r="X852" s="196"/>
      <c r="Y852" s="196"/>
      <c r="Z852" s="196"/>
      <c r="AA852" s="196"/>
      <c r="AB852" s="196"/>
      <c r="AC852" s="196"/>
      <c r="AD852" s="196"/>
    </row>
    <row r="853" spans="1:30" ht="12.9">
      <c r="A853" s="196"/>
      <c r="B853" s="143"/>
      <c r="C853" s="196"/>
      <c r="D853" s="196"/>
      <c r="E853" s="196"/>
      <c r="F853" s="196"/>
      <c r="G853" s="24"/>
      <c r="H853" s="24"/>
      <c r="I853" s="196"/>
      <c r="J853" s="196"/>
      <c r="K853" s="196"/>
      <c r="L853" s="196"/>
      <c r="M853" s="196"/>
      <c r="N853" s="196"/>
      <c r="O853" s="196"/>
      <c r="P853" s="196"/>
      <c r="Q853" s="196"/>
      <c r="R853" s="196"/>
      <c r="S853" s="196"/>
      <c r="T853" s="196"/>
      <c r="U853" s="196"/>
      <c r="V853" s="196"/>
      <c r="W853" s="196"/>
      <c r="X853" s="196"/>
      <c r="Y853" s="196"/>
      <c r="Z853" s="196"/>
      <c r="AA853" s="196"/>
      <c r="AB853" s="196"/>
      <c r="AC853" s="196"/>
      <c r="AD853" s="196"/>
    </row>
    <row r="854" spans="1:30" ht="12.9">
      <c r="A854" s="196"/>
      <c r="B854" s="143"/>
      <c r="C854" s="196"/>
      <c r="D854" s="196"/>
      <c r="E854" s="196"/>
      <c r="F854" s="196"/>
      <c r="G854" s="24"/>
      <c r="H854" s="24"/>
      <c r="I854" s="196"/>
      <c r="J854" s="196"/>
      <c r="K854" s="196"/>
      <c r="L854" s="196"/>
      <c r="M854" s="196"/>
      <c r="N854" s="196"/>
      <c r="O854" s="196"/>
      <c r="P854" s="196"/>
      <c r="Q854" s="196"/>
      <c r="R854" s="196"/>
      <c r="S854" s="196"/>
      <c r="T854" s="196"/>
      <c r="U854" s="196"/>
      <c r="V854" s="196"/>
      <c r="W854" s="196"/>
      <c r="X854" s="196"/>
      <c r="Y854" s="196"/>
      <c r="Z854" s="196"/>
      <c r="AA854" s="196"/>
      <c r="AB854" s="196"/>
      <c r="AC854" s="196"/>
      <c r="AD854" s="196"/>
    </row>
    <row r="855" spans="1:30" ht="12.9">
      <c r="A855" s="196"/>
      <c r="B855" s="143"/>
      <c r="C855" s="196"/>
      <c r="D855" s="196"/>
      <c r="E855" s="196"/>
      <c r="F855" s="196"/>
      <c r="G855" s="24"/>
      <c r="H855" s="24"/>
      <c r="I855" s="196"/>
      <c r="J855" s="196"/>
      <c r="K855" s="196"/>
      <c r="L855" s="196"/>
      <c r="M855" s="196"/>
      <c r="N855" s="196"/>
      <c r="O855" s="196"/>
      <c r="P855" s="196"/>
      <c r="Q855" s="196"/>
      <c r="R855" s="196"/>
      <c r="S855" s="196"/>
      <c r="T855" s="196"/>
      <c r="U855" s="196"/>
      <c r="V855" s="196"/>
      <c r="W855" s="196"/>
      <c r="X855" s="196"/>
      <c r="Y855" s="196"/>
      <c r="Z855" s="196"/>
      <c r="AA855" s="196"/>
      <c r="AB855" s="196"/>
      <c r="AC855" s="196"/>
      <c r="AD855" s="196"/>
    </row>
    <row r="856" spans="1:30" ht="12.9">
      <c r="A856" s="196"/>
      <c r="B856" s="143"/>
      <c r="C856" s="196"/>
      <c r="D856" s="196"/>
      <c r="E856" s="196"/>
      <c r="F856" s="196"/>
      <c r="G856" s="24"/>
      <c r="H856" s="24"/>
      <c r="I856" s="196"/>
      <c r="J856" s="196"/>
      <c r="K856" s="196"/>
      <c r="L856" s="196"/>
      <c r="M856" s="196"/>
      <c r="N856" s="196"/>
      <c r="O856" s="196"/>
      <c r="P856" s="196"/>
      <c r="Q856" s="196"/>
      <c r="R856" s="196"/>
      <c r="S856" s="196"/>
      <c r="T856" s="196"/>
      <c r="U856" s="196"/>
      <c r="V856" s="196"/>
      <c r="W856" s="196"/>
      <c r="X856" s="196"/>
      <c r="Y856" s="196"/>
      <c r="Z856" s="196"/>
      <c r="AA856" s="196"/>
      <c r="AB856" s="196"/>
      <c r="AC856" s="196"/>
      <c r="AD856" s="196"/>
    </row>
    <row r="857" spans="1:30" ht="12.9">
      <c r="A857" s="196"/>
      <c r="B857" s="143"/>
      <c r="C857" s="196"/>
      <c r="D857" s="196"/>
      <c r="E857" s="196"/>
      <c r="F857" s="196"/>
      <c r="G857" s="24"/>
      <c r="H857" s="24"/>
      <c r="I857" s="196"/>
      <c r="J857" s="196"/>
      <c r="K857" s="196"/>
      <c r="L857" s="196"/>
      <c r="M857" s="196"/>
      <c r="N857" s="196"/>
      <c r="O857" s="196"/>
      <c r="P857" s="196"/>
      <c r="Q857" s="196"/>
      <c r="R857" s="196"/>
      <c r="S857" s="196"/>
      <c r="T857" s="196"/>
      <c r="U857" s="196"/>
      <c r="V857" s="196"/>
      <c r="W857" s="196"/>
      <c r="X857" s="196"/>
      <c r="Y857" s="196"/>
      <c r="Z857" s="196"/>
      <c r="AA857" s="196"/>
      <c r="AB857" s="196"/>
      <c r="AC857" s="196"/>
      <c r="AD857" s="196"/>
    </row>
    <row r="858" spans="1:30" ht="12.9">
      <c r="A858" s="196"/>
      <c r="B858" s="143"/>
      <c r="C858" s="196"/>
      <c r="D858" s="196"/>
      <c r="E858" s="196"/>
      <c r="F858" s="196"/>
      <c r="G858" s="24"/>
      <c r="H858" s="24"/>
      <c r="I858" s="196"/>
      <c r="J858" s="196"/>
      <c r="K858" s="196"/>
      <c r="L858" s="196"/>
      <c r="M858" s="196"/>
      <c r="N858" s="196"/>
      <c r="O858" s="196"/>
      <c r="P858" s="196"/>
      <c r="Q858" s="196"/>
      <c r="R858" s="196"/>
      <c r="S858" s="196"/>
      <c r="T858" s="196"/>
      <c r="U858" s="196"/>
      <c r="V858" s="196"/>
      <c r="W858" s="196"/>
      <c r="X858" s="196"/>
      <c r="Y858" s="196"/>
      <c r="Z858" s="196"/>
      <c r="AA858" s="196"/>
      <c r="AB858" s="196"/>
      <c r="AC858" s="196"/>
      <c r="AD858" s="196"/>
    </row>
    <row r="859" spans="1:30" ht="12.9">
      <c r="A859" s="196"/>
      <c r="B859" s="143"/>
      <c r="C859" s="196"/>
      <c r="D859" s="196"/>
      <c r="E859" s="196"/>
      <c r="F859" s="196"/>
      <c r="G859" s="24"/>
      <c r="H859" s="24"/>
      <c r="I859" s="196"/>
      <c r="J859" s="196"/>
      <c r="K859" s="196"/>
      <c r="L859" s="196"/>
      <c r="M859" s="196"/>
      <c r="N859" s="196"/>
      <c r="O859" s="196"/>
      <c r="P859" s="196"/>
      <c r="Q859" s="196"/>
      <c r="R859" s="196"/>
      <c r="S859" s="196"/>
      <c r="T859" s="196"/>
      <c r="U859" s="196"/>
      <c r="V859" s="196"/>
      <c r="W859" s="196"/>
      <c r="X859" s="196"/>
      <c r="Y859" s="196"/>
      <c r="Z859" s="196"/>
      <c r="AA859" s="196"/>
      <c r="AB859" s="196"/>
      <c r="AC859" s="196"/>
      <c r="AD859" s="196"/>
    </row>
    <row r="860" spans="1:30" ht="12.9">
      <c r="A860" s="196"/>
      <c r="B860" s="143"/>
      <c r="C860" s="196"/>
      <c r="D860" s="196"/>
      <c r="E860" s="196"/>
      <c r="F860" s="196"/>
      <c r="G860" s="24"/>
      <c r="H860" s="24"/>
      <c r="I860" s="196"/>
      <c r="J860" s="196"/>
      <c r="K860" s="196"/>
      <c r="L860" s="196"/>
      <c r="M860" s="196"/>
      <c r="N860" s="196"/>
      <c r="O860" s="196"/>
      <c r="P860" s="196"/>
      <c r="Q860" s="196"/>
      <c r="R860" s="196"/>
      <c r="S860" s="196"/>
      <c r="T860" s="196"/>
      <c r="U860" s="196"/>
      <c r="V860" s="196"/>
      <c r="W860" s="196"/>
      <c r="X860" s="196"/>
      <c r="Y860" s="196"/>
      <c r="Z860" s="196"/>
      <c r="AA860" s="196"/>
      <c r="AB860" s="196"/>
      <c r="AC860" s="196"/>
      <c r="AD860" s="196"/>
    </row>
    <row r="861" spans="1:30" ht="12.9">
      <c r="A861" s="196"/>
      <c r="B861" s="143"/>
      <c r="C861" s="196"/>
      <c r="D861" s="196"/>
      <c r="E861" s="196"/>
      <c r="F861" s="196"/>
      <c r="G861" s="24"/>
      <c r="H861" s="24"/>
      <c r="I861" s="196"/>
      <c r="J861" s="196"/>
      <c r="K861" s="196"/>
      <c r="L861" s="196"/>
      <c r="M861" s="196"/>
      <c r="N861" s="196"/>
      <c r="O861" s="196"/>
      <c r="P861" s="196"/>
      <c r="Q861" s="196"/>
      <c r="R861" s="196"/>
      <c r="S861" s="196"/>
      <c r="T861" s="196"/>
      <c r="U861" s="196"/>
      <c r="V861" s="196"/>
      <c r="W861" s="196"/>
      <c r="X861" s="196"/>
      <c r="Y861" s="196"/>
      <c r="Z861" s="196"/>
      <c r="AA861" s="196"/>
      <c r="AB861" s="196"/>
      <c r="AC861" s="196"/>
      <c r="AD861" s="196"/>
    </row>
    <row r="862" spans="1:30" ht="12.9">
      <c r="A862" s="196"/>
      <c r="B862" s="143"/>
      <c r="C862" s="196"/>
      <c r="D862" s="196"/>
      <c r="E862" s="196"/>
      <c r="F862" s="196"/>
      <c r="G862" s="24"/>
      <c r="H862" s="24"/>
      <c r="I862" s="196"/>
      <c r="J862" s="196"/>
      <c r="K862" s="196"/>
      <c r="L862" s="196"/>
      <c r="M862" s="196"/>
      <c r="N862" s="196"/>
      <c r="O862" s="196"/>
      <c r="P862" s="196"/>
      <c r="Q862" s="196"/>
      <c r="R862" s="196"/>
      <c r="S862" s="196"/>
      <c r="T862" s="196"/>
      <c r="U862" s="196"/>
      <c r="V862" s="196"/>
      <c r="W862" s="196"/>
      <c r="X862" s="196"/>
      <c r="Y862" s="196"/>
      <c r="Z862" s="196"/>
      <c r="AA862" s="196"/>
      <c r="AB862" s="196"/>
      <c r="AC862" s="196"/>
      <c r="AD862" s="196"/>
    </row>
    <row r="863" spans="1:30" ht="12.9">
      <c r="A863" s="196"/>
      <c r="B863" s="143"/>
      <c r="C863" s="196"/>
      <c r="D863" s="196"/>
      <c r="E863" s="196"/>
      <c r="F863" s="196"/>
      <c r="G863" s="24"/>
      <c r="H863" s="24"/>
      <c r="I863" s="196"/>
      <c r="J863" s="196"/>
      <c r="K863" s="196"/>
      <c r="L863" s="196"/>
      <c r="M863" s="196"/>
      <c r="N863" s="196"/>
      <c r="O863" s="196"/>
      <c r="P863" s="196"/>
      <c r="Q863" s="196"/>
      <c r="R863" s="196"/>
      <c r="S863" s="196"/>
      <c r="T863" s="196"/>
      <c r="U863" s="196"/>
      <c r="V863" s="196"/>
      <c r="W863" s="196"/>
      <c r="X863" s="196"/>
      <c r="Y863" s="196"/>
      <c r="Z863" s="196"/>
      <c r="AA863" s="196"/>
      <c r="AB863" s="196"/>
      <c r="AC863" s="196"/>
      <c r="AD863" s="196"/>
    </row>
    <row r="864" spans="1:30" ht="12.9">
      <c r="A864" s="196"/>
      <c r="B864" s="143"/>
      <c r="C864" s="196"/>
      <c r="D864" s="196"/>
      <c r="E864" s="196"/>
      <c r="F864" s="196"/>
      <c r="G864" s="24"/>
      <c r="H864" s="24"/>
      <c r="I864" s="196"/>
      <c r="J864" s="196"/>
      <c r="K864" s="196"/>
      <c r="L864" s="196"/>
      <c r="M864" s="196"/>
      <c r="N864" s="196"/>
      <c r="O864" s="196"/>
      <c r="P864" s="196"/>
      <c r="Q864" s="196"/>
      <c r="R864" s="196"/>
      <c r="S864" s="196"/>
      <c r="T864" s="196"/>
      <c r="U864" s="196"/>
      <c r="V864" s="196"/>
      <c r="W864" s="196"/>
      <c r="X864" s="196"/>
      <c r="Y864" s="196"/>
      <c r="Z864" s="196"/>
      <c r="AA864" s="196"/>
      <c r="AB864" s="196"/>
      <c r="AC864" s="196"/>
      <c r="AD864" s="196"/>
    </row>
    <row r="865" spans="1:30" ht="12.9">
      <c r="A865" s="196"/>
      <c r="B865" s="143"/>
      <c r="C865" s="196"/>
      <c r="D865" s="196"/>
      <c r="E865" s="196"/>
      <c r="F865" s="196"/>
      <c r="G865" s="24"/>
      <c r="H865" s="24"/>
      <c r="I865" s="196"/>
      <c r="J865" s="196"/>
      <c r="K865" s="196"/>
      <c r="L865" s="196"/>
      <c r="M865" s="196"/>
      <c r="N865" s="196"/>
      <c r="O865" s="196"/>
      <c r="P865" s="196"/>
      <c r="Q865" s="196"/>
      <c r="R865" s="196"/>
      <c r="S865" s="196"/>
      <c r="T865" s="196"/>
      <c r="U865" s="196"/>
      <c r="V865" s="196"/>
      <c r="W865" s="196"/>
      <c r="X865" s="196"/>
      <c r="Y865" s="196"/>
      <c r="Z865" s="196"/>
      <c r="AA865" s="196"/>
      <c r="AB865" s="196"/>
      <c r="AC865" s="196"/>
      <c r="AD865" s="196"/>
    </row>
    <row r="866" spans="1:30" ht="12.9">
      <c r="A866" s="196"/>
      <c r="B866" s="143"/>
      <c r="C866" s="196"/>
      <c r="D866" s="196"/>
      <c r="E866" s="196"/>
      <c r="F866" s="196"/>
      <c r="G866" s="24"/>
      <c r="H866" s="24"/>
      <c r="I866" s="196"/>
      <c r="J866" s="196"/>
      <c r="K866" s="196"/>
      <c r="L866" s="196"/>
      <c r="M866" s="196"/>
      <c r="N866" s="196"/>
      <c r="O866" s="196"/>
      <c r="P866" s="196"/>
      <c r="Q866" s="196"/>
      <c r="R866" s="196"/>
      <c r="S866" s="196"/>
      <c r="T866" s="196"/>
      <c r="U866" s="196"/>
      <c r="V866" s="196"/>
      <c r="W866" s="196"/>
      <c r="X866" s="196"/>
      <c r="Y866" s="196"/>
      <c r="Z866" s="196"/>
      <c r="AA866" s="196"/>
      <c r="AB866" s="196"/>
      <c r="AC866" s="196"/>
      <c r="AD866" s="196"/>
    </row>
    <row r="867" spans="1:30" ht="12.9">
      <c r="A867" s="196"/>
      <c r="B867" s="143"/>
      <c r="C867" s="196"/>
      <c r="D867" s="196"/>
      <c r="E867" s="196"/>
      <c r="F867" s="196"/>
      <c r="G867" s="24"/>
      <c r="H867" s="24"/>
      <c r="I867" s="196"/>
      <c r="J867" s="196"/>
      <c r="K867" s="196"/>
      <c r="L867" s="196"/>
      <c r="M867" s="196"/>
      <c r="N867" s="196"/>
      <c r="O867" s="196"/>
      <c r="P867" s="196"/>
      <c r="Q867" s="196"/>
      <c r="R867" s="196"/>
      <c r="S867" s="196"/>
      <c r="T867" s="196"/>
      <c r="U867" s="196"/>
      <c r="V867" s="196"/>
      <c r="W867" s="196"/>
      <c r="X867" s="196"/>
      <c r="Y867" s="196"/>
      <c r="Z867" s="196"/>
      <c r="AA867" s="196"/>
      <c r="AB867" s="196"/>
      <c r="AC867" s="196"/>
      <c r="AD867" s="196"/>
    </row>
    <row r="868" spans="1:30" ht="12.9">
      <c r="A868" s="196"/>
      <c r="B868" s="143"/>
      <c r="C868" s="196"/>
      <c r="D868" s="196"/>
      <c r="E868" s="196"/>
      <c r="F868" s="196"/>
      <c r="G868" s="24"/>
      <c r="H868" s="24"/>
      <c r="I868" s="196"/>
      <c r="J868" s="196"/>
      <c r="K868" s="196"/>
      <c r="L868" s="196"/>
      <c r="M868" s="196"/>
      <c r="N868" s="196"/>
      <c r="O868" s="196"/>
      <c r="P868" s="196"/>
      <c r="Q868" s="196"/>
      <c r="R868" s="196"/>
      <c r="S868" s="196"/>
      <c r="T868" s="196"/>
      <c r="U868" s="196"/>
      <c r="V868" s="196"/>
      <c r="W868" s="196"/>
      <c r="X868" s="196"/>
      <c r="Y868" s="196"/>
      <c r="Z868" s="196"/>
      <c r="AA868" s="196"/>
      <c r="AB868" s="196"/>
      <c r="AC868" s="196"/>
      <c r="AD868" s="196"/>
    </row>
    <row r="869" spans="1:30" ht="12.9">
      <c r="A869" s="196"/>
      <c r="B869" s="143"/>
      <c r="C869" s="196"/>
      <c r="D869" s="196"/>
      <c r="E869" s="196"/>
      <c r="F869" s="196"/>
      <c r="G869" s="24"/>
      <c r="H869" s="24"/>
      <c r="I869" s="196"/>
      <c r="J869" s="196"/>
      <c r="K869" s="196"/>
      <c r="L869" s="196"/>
      <c r="M869" s="196"/>
      <c r="N869" s="196"/>
      <c r="O869" s="196"/>
      <c r="P869" s="196"/>
      <c r="Q869" s="196"/>
      <c r="R869" s="196"/>
      <c r="S869" s="196"/>
      <c r="T869" s="196"/>
      <c r="U869" s="196"/>
      <c r="V869" s="196"/>
      <c r="W869" s="196"/>
      <c r="X869" s="196"/>
      <c r="Y869" s="196"/>
      <c r="Z869" s="196"/>
      <c r="AA869" s="196"/>
      <c r="AB869" s="196"/>
      <c r="AC869" s="196"/>
      <c r="AD869" s="196"/>
    </row>
    <row r="870" spans="1:30" ht="12.9">
      <c r="A870" s="196"/>
      <c r="B870" s="143"/>
      <c r="C870" s="196"/>
      <c r="D870" s="196"/>
      <c r="E870" s="196"/>
      <c r="F870" s="196"/>
      <c r="G870" s="24"/>
      <c r="H870" s="24"/>
      <c r="I870" s="196"/>
      <c r="J870" s="196"/>
      <c r="K870" s="196"/>
      <c r="L870" s="196"/>
      <c r="M870" s="196"/>
      <c r="N870" s="196"/>
      <c r="O870" s="196"/>
      <c r="P870" s="196"/>
      <c r="Q870" s="196"/>
      <c r="R870" s="196"/>
      <c r="S870" s="196"/>
      <c r="T870" s="196"/>
      <c r="U870" s="196"/>
      <c r="V870" s="196"/>
      <c r="W870" s="196"/>
      <c r="X870" s="196"/>
      <c r="Y870" s="196"/>
      <c r="Z870" s="196"/>
      <c r="AA870" s="196"/>
      <c r="AB870" s="196"/>
      <c r="AC870" s="196"/>
      <c r="AD870" s="196"/>
    </row>
    <row r="871" spans="1:30" ht="12.9">
      <c r="A871" s="196"/>
      <c r="B871" s="143"/>
      <c r="C871" s="196"/>
      <c r="D871" s="196"/>
      <c r="E871" s="196"/>
      <c r="F871" s="196"/>
      <c r="G871" s="24"/>
      <c r="H871" s="24"/>
      <c r="I871" s="196"/>
      <c r="J871" s="196"/>
      <c r="K871" s="196"/>
      <c r="L871" s="196"/>
      <c r="M871" s="196"/>
      <c r="N871" s="196"/>
      <c r="O871" s="196"/>
      <c r="P871" s="196"/>
      <c r="Q871" s="196"/>
      <c r="R871" s="196"/>
      <c r="S871" s="196"/>
      <c r="T871" s="196"/>
      <c r="U871" s="196"/>
      <c r="V871" s="196"/>
      <c r="W871" s="196"/>
      <c r="X871" s="196"/>
      <c r="Y871" s="196"/>
      <c r="Z871" s="196"/>
      <c r="AA871" s="196"/>
      <c r="AB871" s="196"/>
      <c r="AC871" s="196"/>
      <c r="AD871" s="196"/>
    </row>
    <row r="872" spans="1:30" ht="12.9">
      <c r="A872" s="196"/>
      <c r="B872" s="143"/>
      <c r="C872" s="196"/>
      <c r="D872" s="196"/>
      <c r="E872" s="196"/>
      <c r="F872" s="196"/>
      <c r="G872" s="24"/>
      <c r="H872" s="24"/>
      <c r="I872" s="196"/>
      <c r="J872" s="196"/>
      <c r="K872" s="196"/>
      <c r="L872" s="196"/>
      <c r="M872" s="196"/>
      <c r="N872" s="196"/>
      <c r="O872" s="196"/>
      <c r="P872" s="196"/>
      <c r="Q872" s="196"/>
      <c r="R872" s="196"/>
      <c r="S872" s="196"/>
      <c r="T872" s="196"/>
      <c r="U872" s="196"/>
      <c r="V872" s="196"/>
      <c r="W872" s="196"/>
      <c r="X872" s="196"/>
      <c r="Y872" s="196"/>
      <c r="Z872" s="196"/>
      <c r="AA872" s="196"/>
      <c r="AB872" s="196"/>
      <c r="AC872" s="196"/>
      <c r="AD872" s="196"/>
    </row>
    <row r="873" spans="1:30" ht="12.9">
      <c r="A873" s="196"/>
      <c r="B873" s="143"/>
      <c r="C873" s="196"/>
      <c r="D873" s="196"/>
      <c r="E873" s="196"/>
      <c r="F873" s="196"/>
      <c r="G873" s="24"/>
      <c r="H873" s="24"/>
      <c r="I873" s="196"/>
      <c r="J873" s="196"/>
      <c r="K873" s="196"/>
      <c r="L873" s="196"/>
      <c r="M873" s="196"/>
      <c r="N873" s="196"/>
      <c r="O873" s="196"/>
      <c r="P873" s="196"/>
      <c r="Q873" s="196"/>
      <c r="R873" s="196"/>
      <c r="S873" s="196"/>
      <c r="T873" s="196"/>
      <c r="U873" s="196"/>
      <c r="V873" s="196"/>
      <c r="W873" s="196"/>
      <c r="X873" s="196"/>
      <c r="Y873" s="196"/>
      <c r="Z873" s="196"/>
      <c r="AA873" s="196"/>
      <c r="AB873" s="196"/>
      <c r="AC873" s="196"/>
      <c r="AD873" s="196"/>
    </row>
    <row r="874" spans="1:30" ht="12.9">
      <c r="A874" s="196"/>
      <c r="B874" s="143"/>
      <c r="C874" s="196"/>
      <c r="D874" s="196"/>
      <c r="E874" s="196"/>
      <c r="F874" s="196"/>
      <c r="G874" s="24"/>
      <c r="H874" s="24"/>
      <c r="I874" s="196"/>
      <c r="J874" s="196"/>
      <c r="K874" s="196"/>
      <c r="L874" s="196"/>
      <c r="M874" s="196"/>
      <c r="N874" s="196"/>
      <c r="O874" s="196"/>
      <c r="P874" s="196"/>
      <c r="Q874" s="196"/>
      <c r="R874" s="196"/>
      <c r="S874" s="196"/>
      <c r="T874" s="196"/>
      <c r="U874" s="196"/>
      <c r="V874" s="196"/>
      <c r="W874" s="196"/>
      <c r="X874" s="196"/>
      <c r="Y874" s="196"/>
      <c r="Z874" s="196"/>
      <c r="AA874" s="196"/>
      <c r="AB874" s="196"/>
      <c r="AC874" s="196"/>
      <c r="AD874" s="196"/>
    </row>
    <row r="875" spans="1:30" ht="12.9">
      <c r="A875" s="196"/>
      <c r="B875" s="143"/>
      <c r="C875" s="196"/>
      <c r="D875" s="196"/>
      <c r="E875" s="196"/>
      <c r="F875" s="196"/>
      <c r="G875" s="24"/>
      <c r="H875" s="24"/>
      <c r="I875" s="196"/>
      <c r="J875" s="196"/>
      <c r="K875" s="196"/>
      <c r="L875" s="196"/>
      <c r="M875" s="196"/>
      <c r="N875" s="196"/>
      <c r="O875" s="196"/>
      <c r="P875" s="196"/>
      <c r="Q875" s="196"/>
      <c r="R875" s="196"/>
      <c r="S875" s="196"/>
      <c r="T875" s="196"/>
      <c r="U875" s="196"/>
      <c r="V875" s="196"/>
      <c r="W875" s="196"/>
      <c r="X875" s="196"/>
      <c r="Y875" s="196"/>
      <c r="Z875" s="196"/>
      <c r="AA875" s="196"/>
      <c r="AB875" s="196"/>
      <c r="AC875" s="196"/>
      <c r="AD875" s="196"/>
    </row>
    <row r="876" spans="1:30" ht="12.9">
      <c r="A876" s="196"/>
      <c r="B876" s="143"/>
      <c r="C876" s="196"/>
      <c r="D876" s="196"/>
      <c r="E876" s="196"/>
      <c r="F876" s="196"/>
      <c r="G876" s="24"/>
      <c r="H876" s="24"/>
      <c r="I876" s="196"/>
      <c r="J876" s="196"/>
      <c r="K876" s="196"/>
      <c r="L876" s="196"/>
      <c r="M876" s="196"/>
      <c r="N876" s="196"/>
      <c r="O876" s="196"/>
      <c r="P876" s="196"/>
      <c r="Q876" s="196"/>
      <c r="R876" s="196"/>
      <c r="S876" s="196"/>
      <c r="T876" s="196"/>
      <c r="U876" s="196"/>
      <c r="V876" s="196"/>
      <c r="W876" s="196"/>
      <c r="X876" s="196"/>
      <c r="Y876" s="196"/>
      <c r="Z876" s="196"/>
      <c r="AA876" s="196"/>
      <c r="AB876" s="196"/>
      <c r="AC876" s="196"/>
      <c r="AD876" s="196"/>
    </row>
    <row r="877" spans="1:30" ht="12.9">
      <c r="A877" s="196"/>
      <c r="B877" s="143"/>
      <c r="C877" s="196"/>
      <c r="D877" s="196"/>
      <c r="E877" s="196"/>
      <c r="F877" s="196"/>
      <c r="G877" s="24"/>
      <c r="H877" s="24"/>
      <c r="I877" s="196"/>
      <c r="J877" s="196"/>
      <c r="K877" s="196"/>
      <c r="L877" s="196"/>
      <c r="M877" s="196"/>
      <c r="N877" s="196"/>
      <c r="O877" s="196"/>
      <c r="P877" s="196"/>
      <c r="Q877" s="196"/>
      <c r="R877" s="196"/>
      <c r="S877" s="196"/>
      <c r="T877" s="196"/>
      <c r="U877" s="196"/>
      <c r="V877" s="196"/>
      <c r="W877" s="196"/>
      <c r="X877" s="196"/>
      <c r="Y877" s="196"/>
      <c r="Z877" s="196"/>
      <c r="AA877" s="196"/>
      <c r="AB877" s="196"/>
      <c r="AC877" s="196"/>
      <c r="AD877" s="196"/>
    </row>
    <row r="878" spans="1:30" ht="12.9">
      <c r="A878" s="196"/>
      <c r="B878" s="143"/>
      <c r="C878" s="196"/>
      <c r="D878" s="196"/>
      <c r="E878" s="196"/>
      <c r="F878" s="196"/>
      <c r="G878" s="24"/>
      <c r="H878" s="24"/>
      <c r="I878" s="196"/>
      <c r="J878" s="196"/>
      <c r="K878" s="196"/>
      <c r="L878" s="196"/>
      <c r="M878" s="196"/>
      <c r="N878" s="196"/>
      <c r="O878" s="196"/>
      <c r="P878" s="196"/>
      <c r="Q878" s="196"/>
      <c r="R878" s="196"/>
      <c r="S878" s="196"/>
      <c r="T878" s="196"/>
      <c r="U878" s="196"/>
      <c r="V878" s="196"/>
      <c r="W878" s="196"/>
      <c r="X878" s="196"/>
      <c r="Y878" s="196"/>
      <c r="Z878" s="196"/>
      <c r="AA878" s="196"/>
      <c r="AB878" s="196"/>
      <c r="AC878" s="196"/>
      <c r="AD878" s="196"/>
    </row>
    <row r="879" spans="1:30" ht="12.9">
      <c r="A879" s="196"/>
      <c r="B879" s="143"/>
      <c r="C879" s="196"/>
      <c r="D879" s="196"/>
      <c r="E879" s="196"/>
      <c r="F879" s="196"/>
      <c r="G879" s="24"/>
      <c r="H879" s="24"/>
      <c r="I879" s="196"/>
      <c r="J879" s="196"/>
      <c r="K879" s="196"/>
      <c r="L879" s="196"/>
      <c r="M879" s="196"/>
      <c r="N879" s="196"/>
      <c r="O879" s="196"/>
      <c r="P879" s="196"/>
      <c r="Q879" s="196"/>
      <c r="R879" s="196"/>
      <c r="S879" s="196"/>
      <c r="T879" s="196"/>
      <c r="U879" s="196"/>
      <c r="V879" s="196"/>
      <c r="W879" s="196"/>
      <c r="X879" s="196"/>
      <c r="Y879" s="196"/>
      <c r="Z879" s="196"/>
      <c r="AA879" s="196"/>
      <c r="AB879" s="196"/>
      <c r="AC879" s="196"/>
      <c r="AD879" s="196"/>
    </row>
    <row r="880" spans="1:30" ht="12.9">
      <c r="A880" s="196"/>
      <c r="B880" s="143"/>
      <c r="C880" s="196"/>
      <c r="D880" s="196"/>
      <c r="E880" s="196"/>
      <c r="F880" s="196"/>
      <c r="G880" s="24"/>
      <c r="H880" s="24"/>
      <c r="I880" s="196"/>
      <c r="J880" s="196"/>
      <c r="K880" s="196"/>
      <c r="L880" s="196"/>
      <c r="M880" s="196"/>
      <c r="N880" s="196"/>
      <c r="O880" s="196"/>
      <c r="P880" s="196"/>
      <c r="Q880" s="196"/>
      <c r="R880" s="196"/>
      <c r="S880" s="196"/>
      <c r="T880" s="196"/>
      <c r="U880" s="196"/>
      <c r="V880" s="196"/>
      <c r="W880" s="196"/>
      <c r="X880" s="196"/>
      <c r="Y880" s="196"/>
      <c r="Z880" s="196"/>
      <c r="AA880" s="196"/>
      <c r="AB880" s="196"/>
      <c r="AC880" s="196"/>
      <c r="AD880" s="196"/>
    </row>
    <row r="881" spans="1:30" ht="12.9">
      <c r="A881" s="196"/>
      <c r="B881" s="143"/>
      <c r="C881" s="196"/>
      <c r="D881" s="196"/>
      <c r="E881" s="196"/>
      <c r="F881" s="196"/>
      <c r="G881" s="24"/>
      <c r="H881" s="24"/>
      <c r="I881" s="196"/>
      <c r="J881" s="196"/>
      <c r="K881" s="196"/>
      <c r="L881" s="196"/>
      <c r="M881" s="196"/>
      <c r="N881" s="196"/>
      <c r="O881" s="196"/>
      <c r="P881" s="196"/>
      <c r="Q881" s="196"/>
      <c r="R881" s="196"/>
      <c r="S881" s="196"/>
      <c r="T881" s="196"/>
      <c r="U881" s="196"/>
      <c r="V881" s="196"/>
      <c r="W881" s="196"/>
      <c r="X881" s="196"/>
      <c r="Y881" s="196"/>
      <c r="Z881" s="196"/>
      <c r="AA881" s="196"/>
      <c r="AB881" s="196"/>
      <c r="AC881" s="196"/>
      <c r="AD881" s="196"/>
    </row>
    <row r="882" spans="1:30" ht="12.9">
      <c r="A882" s="196"/>
      <c r="B882" s="143"/>
      <c r="C882" s="196"/>
      <c r="D882" s="196"/>
      <c r="E882" s="196"/>
      <c r="F882" s="196"/>
      <c r="G882" s="24"/>
      <c r="H882" s="24"/>
      <c r="I882" s="196"/>
      <c r="J882" s="196"/>
      <c r="K882" s="196"/>
      <c r="L882" s="196"/>
      <c r="M882" s="196"/>
      <c r="N882" s="196"/>
      <c r="O882" s="196"/>
      <c r="P882" s="196"/>
      <c r="Q882" s="196"/>
      <c r="R882" s="196"/>
      <c r="S882" s="196"/>
      <c r="T882" s="196"/>
      <c r="U882" s="196"/>
      <c r="V882" s="196"/>
      <c r="W882" s="196"/>
      <c r="X882" s="196"/>
      <c r="Y882" s="196"/>
      <c r="Z882" s="196"/>
      <c r="AA882" s="196"/>
      <c r="AB882" s="196"/>
      <c r="AC882" s="196"/>
      <c r="AD882" s="196"/>
    </row>
    <row r="883" spans="1:30" ht="12.9">
      <c r="A883" s="196"/>
      <c r="B883" s="143"/>
      <c r="C883" s="196"/>
      <c r="D883" s="196"/>
      <c r="E883" s="196"/>
      <c r="F883" s="196"/>
      <c r="G883" s="24"/>
      <c r="H883" s="24"/>
      <c r="I883" s="196"/>
      <c r="J883" s="196"/>
      <c r="K883" s="196"/>
      <c r="L883" s="196"/>
      <c r="M883" s="196"/>
      <c r="N883" s="196"/>
      <c r="O883" s="196"/>
      <c r="P883" s="196"/>
      <c r="Q883" s="196"/>
      <c r="R883" s="196"/>
      <c r="S883" s="196"/>
      <c r="T883" s="196"/>
      <c r="U883" s="196"/>
      <c r="V883" s="196"/>
      <c r="W883" s="196"/>
      <c r="X883" s="196"/>
      <c r="Y883" s="196"/>
      <c r="Z883" s="196"/>
      <c r="AA883" s="196"/>
      <c r="AB883" s="196"/>
      <c r="AC883" s="196"/>
      <c r="AD883" s="196"/>
    </row>
    <row r="884" spans="1:30" ht="12.9">
      <c r="A884" s="196"/>
      <c r="B884" s="143"/>
      <c r="C884" s="196"/>
      <c r="D884" s="196"/>
      <c r="E884" s="196"/>
      <c r="F884" s="196"/>
      <c r="G884" s="24"/>
      <c r="H884" s="24"/>
      <c r="I884" s="196"/>
      <c r="J884" s="196"/>
      <c r="K884" s="196"/>
      <c r="L884" s="196"/>
      <c r="M884" s="196"/>
      <c r="N884" s="196"/>
      <c r="O884" s="196"/>
      <c r="P884" s="196"/>
      <c r="Q884" s="196"/>
      <c r="R884" s="196"/>
      <c r="S884" s="196"/>
      <c r="T884" s="196"/>
      <c r="U884" s="196"/>
      <c r="V884" s="196"/>
      <c r="W884" s="196"/>
      <c r="X884" s="196"/>
      <c r="Y884" s="196"/>
      <c r="Z884" s="196"/>
      <c r="AA884" s="196"/>
      <c r="AB884" s="196"/>
      <c r="AC884" s="196"/>
      <c r="AD884" s="196"/>
    </row>
    <row r="885" spans="1:30" ht="12.9">
      <c r="A885" s="196"/>
      <c r="B885" s="143"/>
      <c r="C885" s="196"/>
      <c r="D885" s="196"/>
      <c r="E885" s="196"/>
      <c r="F885" s="196"/>
      <c r="G885" s="24"/>
      <c r="H885" s="24"/>
      <c r="I885" s="196"/>
      <c r="J885" s="196"/>
      <c r="K885" s="196"/>
      <c r="L885" s="196"/>
      <c r="M885" s="196"/>
      <c r="N885" s="196"/>
      <c r="O885" s="196"/>
      <c r="P885" s="196"/>
      <c r="Q885" s="196"/>
      <c r="R885" s="196"/>
      <c r="S885" s="196"/>
      <c r="T885" s="196"/>
      <c r="U885" s="196"/>
      <c r="V885" s="196"/>
      <c r="W885" s="196"/>
      <c r="X885" s="196"/>
      <c r="Y885" s="196"/>
      <c r="Z885" s="196"/>
      <c r="AA885" s="196"/>
      <c r="AB885" s="196"/>
      <c r="AC885" s="196"/>
      <c r="AD885" s="196"/>
    </row>
    <row r="886" spans="1:30" ht="12.9">
      <c r="A886" s="196"/>
      <c r="B886" s="143"/>
      <c r="C886" s="196"/>
      <c r="D886" s="196"/>
      <c r="E886" s="196"/>
      <c r="F886" s="196"/>
      <c r="G886" s="24"/>
      <c r="H886" s="24"/>
      <c r="I886" s="196"/>
      <c r="J886" s="196"/>
      <c r="K886" s="196"/>
      <c r="L886" s="196"/>
      <c r="M886" s="196"/>
      <c r="N886" s="196"/>
      <c r="O886" s="196"/>
      <c r="P886" s="196"/>
      <c r="Q886" s="196"/>
      <c r="R886" s="196"/>
      <c r="S886" s="196"/>
      <c r="T886" s="196"/>
      <c r="U886" s="196"/>
      <c r="V886" s="196"/>
      <c r="W886" s="196"/>
      <c r="X886" s="196"/>
      <c r="Y886" s="196"/>
      <c r="Z886" s="196"/>
      <c r="AA886" s="196"/>
      <c r="AB886" s="196"/>
      <c r="AC886" s="196"/>
      <c r="AD886" s="196"/>
    </row>
    <row r="887" spans="1:30" ht="12.9">
      <c r="A887" s="196"/>
      <c r="B887" s="143"/>
      <c r="C887" s="196"/>
      <c r="D887" s="196"/>
      <c r="E887" s="196"/>
      <c r="F887" s="196"/>
      <c r="G887" s="24"/>
      <c r="H887" s="24"/>
      <c r="I887" s="196"/>
      <c r="J887" s="196"/>
      <c r="K887" s="196"/>
      <c r="L887" s="196"/>
      <c r="M887" s="196"/>
      <c r="N887" s="196"/>
      <c r="O887" s="196"/>
      <c r="P887" s="196"/>
      <c r="Q887" s="196"/>
      <c r="R887" s="196"/>
      <c r="S887" s="196"/>
      <c r="T887" s="196"/>
      <c r="U887" s="196"/>
      <c r="V887" s="196"/>
      <c r="W887" s="196"/>
      <c r="X887" s="196"/>
      <c r="Y887" s="196"/>
      <c r="Z887" s="196"/>
      <c r="AA887" s="196"/>
      <c r="AB887" s="196"/>
      <c r="AC887" s="196"/>
      <c r="AD887" s="196"/>
    </row>
    <row r="888" spans="1:30" ht="12.9">
      <c r="A888" s="196"/>
      <c r="B888" s="143"/>
      <c r="C888" s="196"/>
      <c r="D888" s="196"/>
      <c r="E888" s="196"/>
      <c r="F888" s="196"/>
      <c r="G888" s="24"/>
      <c r="H888" s="24"/>
      <c r="I888" s="196"/>
      <c r="J888" s="196"/>
      <c r="K888" s="196"/>
      <c r="L888" s="196"/>
      <c r="M888" s="196"/>
      <c r="N888" s="196"/>
      <c r="O888" s="196"/>
      <c r="P888" s="196"/>
      <c r="Q888" s="196"/>
      <c r="R888" s="196"/>
      <c r="S888" s="196"/>
      <c r="T888" s="196"/>
      <c r="U888" s="196"/>
      <c r="V888" s="196"/>
      <c r="W888" s="196"/>
      <c r="X888" s="196"/>
      <c r="Y888" s="196"/>
      <c r="Z888" s="196"/>
      <c r="AA888" s="196"/>
      <c r="AB888" s="196"/>
      <c r="AC888" s="196"/>
      <c r="AD888" s="196"/>
    </row>
    <row r="889" spans="1:30" ht="12.9">
      <c r="A889" s="196"/>
      <c r="B889" s="143"/>
      <c r="C889" s="196"/>
      <c r="D889" s="196"/>
      <c r="E889" s="196"/>
      <c r="F889" s="196"/>
      <c r="G889" s="24"/>
      <c r="H889" s="24"/>
      <c r="I889" s="196"/>
      <c r="J889" s="196"/>
      <c r="K889" s="196"/>
      <c r="L889" s="196"/>
      <c r="M889" s="196"/>
      <c r="N889" s="196"/>
      <c r="O889" s="196"/>
      <c r="P889" s="196"/>
      <c r="Q889" s="196"/>
      <c r="R889" s="196"/>
      <c r="S889" s="196"/>
      <c r="T889" s="196"/>
      <c r="U889" s="196"/>
      <c r="V889" s="196"/>
      <c r="W889" s="196"/>
      <c r="X889" s="196"/>
      <c r="Y889" s="196"/>
      <c r="Z889" s="196"/>
      <c r="AA889" s="196"/>
      <c r="AB889" s="196"/>
      <c r="AC889" s="196"/>
      <c r="AD889" s="196"/>
    </row>
    <row r="890" spans="1:30" ht="12.9">
      <c r="A890" s="196"/>
      <c r="B890" s="143"/>
      <c r="C890" s="196"/>
      <c r="D890" s="196"/>
      <c r="E890" s="196"/>
      <c r="F890" s="196"/>
      <c r="G890" s="24"/>
      <c r="H890" s="24"/>
      <c r="I890" s="196"/>
      <c r="J890" s="196"/>
      <c r="K890" s="196"/>
      <c r="L890" s="196"/>
      <c r="M890" s="196"/>
      <c r="N890" s="196"/>
      <c r="O890" s="196"/>
      <c r="P890" s="196"/>
      <c r="Q890" s="196"/>
      <c r="R890" s="196"/>
      <c r="S890" s="196"/>
      <c r="T890" s="196"/>
      <c r="U890" s="196"/>
      <c r="V890" s="196"/>
      <c r="W890" s="196"/>
      <c r="X890" s="196"/>
      <c r="Y890" s="196"/>
      <c r="Z890" s="196"/>
      <c r="AA890" s="196"/>
      <c r="AB890" s="196"/>
      <c r="AC890" s="196"/>
      <c r="AD890" s="196"/>
    </row>
    <row r="891" spans="1:30" ht="12.9">
      <c r="A891" s="196"/>
      <c r="B891" s="143"/>
      <c r="C891" s="196"/>
      <c r="D891" s="196"/>
      <c r="E891" s="196"/>
      <c r="F891" s="196"/>
      <c r="G891" s="24"/>
      <c r="H891" s="24"/>
      <c r="I891" s="196"/>
      <c r="J891" s="196"/>
      <c r="K891" s="196"/>
      <c r="L891" s="196"/>
      <c r="M891" s="196"/>
      <c r="N891" s="196"/>
      <c r="O891" s="196"/>
      <c r="P891" s="196"/>
      <c r="Q891" s="196"/>
      <c r="R891" s="196"/>
      <c r="S891" s="196"/>
      <c r="T891" s="196"/>
      <c r="U891" s="196"/>
      <c r="V891" s="196"/>
      <c r="W891" s="196"/>
      <c r="X891" s="196"/>
      <c r="Y891" s="196"/>
      <c r="Z891" s="196"/>
      <c r="AA891" s="196"/>
      <c r="AB891" s="196"/>
      <c r="AC891" s="196"/>
      <c r="AD891" s="196"/>
    </row>
    <row r="892" spans="1:30" ht="12.9">
      <c r="A892" s="196"/>
      <c r="B892" s="143"/>
      <c r="C892" s="196"/>
      <c r="D892" s="196"/>
      <c r="E892" s="196"/>
      <c r="F892" s="196"/>
      <c r="G892" s="24"/>
      <c r="H892" s="24"/>
      <c r="I892" s="196"/>
      <c r="J892" s="196"/>
      <c r="K892" s="196"/>
      <c r="L892" s="196"/>
      <c r="M892" s="196"/>
      <c r="N892" s="196"/>
      <c r="O892" s="196"/>
      <c r="P892" s="196"/>
      <c r="Q892" s="196"/>
      <c r="R892" s="196"/>
      <c r="S892" s="196"/>
      <c r="T892" s="196"/>
      <c r="U892" s="196"/>
      <c r="V892" s="196"/>
      <c r="W892" s="196"/>
      <c r="X892" s="196"/>
      <c r="Y892" s="196"/>
      <c r="Z892" s="196"/>
      <c r="AA892" s="196"/>
      <c r="AB892" s="196"/>
      <c r="AC892" s="196"/>
      <c r="AD892" s="196"/>
    </row>
    <row r="893" spans="1:30" ht="12.9">
      <c r="A893" s="196"/>
      <c r="B893" s="143"/>
      <c r="C893" s="196"/>
      <c r="D893" s="196"/>
      <c r="E893" s="196"/>
      <c r="F893" s="196"/>
      <c r="G893" s="24"/>
      <c r="H893" s="24"/>
      <c r="I893" s="196"/>
      <c r="J893" s="196"/>
      <c r="K893" s="196"/>
      <c r="L893" s="196"/>
      <c r="M893" s="196"/>
      <c r="N893" s="196"/>
      <c r="O893" s="196"/>
      <c r="P893" s="196"/>
      <c r="Q893" s="196"/>
      <c r="R893" s="196"/>
      <c r="S893" s="196"/>
      <c r="T893" s="196"/>
      <c r="U893" s="196"/>
      <c r="V893" s="196"/>
      <c r="W893" s="196"/>
      <c r="X893" s="196"/>
      <c r="Y893" s="196"/>
      <c r="Z893" s="196"/>
      <c r="AA893" s="196"/>
      <c r="AB893" s="196"/>
      <c r="AC893" s="196"/>
      <c r="AD893" s="196"/>
    </row>
    <row r="894" spans="1:30" ht="12.9">
      <c r="A894" s="196"/>
      <c r="B894" s="143"/>
      <c r="C894" s="196"/>
      <c r="D894" s="196"/>
      <c r="E894" s="196"/>
      <c r="F894" s="196"/>
      <c r="G894" s="24"/>
      <c r="H894" s="24"/>
      <c r="I894" s="196"/>
      <c r="J894" s="196"/>
      <c r="K894" s="196"/>
      <c r="L894" s="196"/>
      <c r="M894" s="196"/>
      <c r="N894" s="196"/>
      <c r="O894" s="196"/>
      <c r="P894" s="196"/>
      <c r="Q894" s="196"/>
      <c r="R894" s="196"/>
      <c r="S894" s="196"/>
      <c r="T894" s="196"/>
      <c r="U894" s="196"/>
      <c r="V894" s="196"/>
      <c r="W894" s="196"/>
      <c r="X894" s="196"/>
      <c r="Y894" s="196"/>
      <c r="Z894" s="196"/>
      <c r="AA894" s="196"/>
      <c r="AB894" s="196"/>
      <c r="AC894" s="196"/>
      <c r="AD894" s="196"/>
    </row>
    <row r="895" spans="1:30" ht="12.9">
      <c r="A895" s="196"/>
      <c r="B895" s="143"/>
      <c r="C895" s="196"/>
      <c r="D895" s="196"/>
      <c r="E895" s="196"/>
      <c r="F895" s="196"/>
      <c r="G895" s="24"/>
      <c r="H895" s="24"/>
      <c r="I895" s="196"/>
      <c r="J895" s="196"/>
      <c r="K895" s="196"/>
      <c r="L895" s="196"/>
      <c r="M895" s="196"/>
      <c r="N895" s="196"/>
      <c r="O895" s="196"/>
      <c r="P895" s="196"/>
      <c r="Q895" s="196"/>
      <c r="R895" s="196"/>
      <c r="S895" s="196"/>
      <c r="T895" s="196"/>
      <c r="U895" s="196"/>
      <c r="V895" s="196"/>
      <c r="W895" s="196"/>
      <c r="X895" s="196"/>
      <c r="Y895" s="196"/>
      <c r="Z895" s="196"/>
      <c r="AA895" s="196"/>
      <c r="AB895" s="196"/>
      <c r="AC895" s="196"/>
      <c r="AD895" s="196"/>
    </row>
    <row r="896" spans="1:30" ht="12.9">
      <c r="A896" s="196"/>
      <c r="B896" s="143"/>
      <c r="C896" s="196"/>
      <c r="D896" s="196"/>
      <c r="E896" s="196"/>
      <c r="F896" s="196"/>
      <c r="G896" s="24"/>
      <c r="H896" s="24"/>
      <c r="I896" s="196"/>
      <c r="J896" s="196"/>
      <c r="K896" s="196"/>
      <c r="L896" s="196"/>
      <c r="M896" s="196"/>
      <c r="N896" s="196"/>
      <c r="O896" s="196"/>
      <c r="P896" s="196"/>
      <c r="Q896" s="196"/>
      <c r="R896" s="196"/>
      <c r="S896" s="196"/>
      <c r="T896" s="196"/>
      <c r="U896" s="196"/>
      <c r="V896" s="196"/>
      <c r="W896" s="196"/>
      <c r="X896" s="196"/>
      <c r="Y896" s="196"/>
      <c r="Z896" s="196"/>
      <c r="AA896" s="196"/>
      <c r="AB896" s="196"/>
      <c r="AC896" s="196"/>
      <c r="AD896" s="196"/>
    </row>
    <row r="897" spans="1:30" ht="12.9">
      <c r="A897" s="196"/>
      <c r="B897" s="143"/>
      <c r="C897" s="196"/>
      <c r="D897" s="196"/>
      <c r="E897" s="196"/>
      <c r="F897" s="196"/>
      <c r="G897" s="24"/>
      <c r="H897" s="24"/>
      <c r="I897" s="196"/>
      <c r="J897" s="196"/>
      <c r="K897" s="196"/>
      <c r="L897" s="196"/>
      <c r="M897" s="196"/>
      <c r="N897" s="196"/>
      <c r="O897" s="196"/>
      <c r="P897" s="196"/>
      <c r="Q897" s="196"/>
      <c r="R897" s="196"/>
      <c r="S897" s="196"/>
      <c r="T897" s="196"/>
      <c r="U897" s="196"/>
      <c r="V897" s="196"/>
      <c r="W897" s="196"/>
      <c r="X897" s="196"/>
      <c r="Y897" s="196"/>
      <c r="Z897" s="196"/>
      <c r="AA897" s="196"/>
      <c r="AB897" s="196"/>
      <c r="AC897" s="196"/>
      <c r="AD897" s="196"/>
    </row>
    <row r="898" spans="1:30" ht="12.9">
      <c r="A898" s="196"/>
      <c r="B898" s="143"/>
      <c r="C898" s="196"/>
      <c r="D898" s="196"/>
      <c r="E898" s="196"/>
      <c r="F898" s="196"/>
      <c r="G898" s="24"/>
      <c r="H898" s="24"/>
      <c r="I898" s="196"/>
      <c r="J898" s="196"/>
      <c r="K898" s="196"/>
      <c r="L898" s="196"/>
      <c r="M898" s="196"/>
      <c r="N898" s="196"/>
      <c r="O898" s="196"/>
      <c r="P898" s="196"/>
      <c r="Q898" s="196"/>
      <c r="R898" s="196"/>
      <c r="S898" s="196"/>
      <c r="T898" s="196"/>
      <c r="U898" s="196"/>
      <c r="V898" s="196"/>
      <c r="W898" s="196"/>
      <c r="X898" s="196"/>
      <c r="Y898" s="196"/>
      <c r="Z898" s="196"/>
      <c r="AA898" s="196"/>
      <c r="AB898" s="196"/>
      <c r="AC898" s="196"/>
      <c r="AD898" s="196"/>
    </row>
    <row r="899" spans="1:30" ht="12.9">
      <c r="A899" s="196"/>
      <c r="B899" s="143"/>
      <c r="C899" s="196"/>
      <c r="D899" s="196"/>
      <c r="E899" s="196"/>
      <c r="F899" s="196"/>
      <c r="G899" s="24"/>
      <c r="H899" s="24"/>
      <c r="I899" s="196"/>
      <c r="J899" s="196"/>
      <c r="K899" s="196"/>
      <c r="L899" s="196"/>
      <c r="M899" s="196"/>
      <c r="N899" s="196"/>
      <c r="O899" s="196"/>
      <c r="P899" s="196"/>
      <c r="Q899" s="196"/>
      <c r="R899" s="196"/>
      <c r="S899" s="196"/>
      <c r="T899" s="196"/>
      <c r="U899" s="196"/>
      <c r="V899" s="196"/>
      <c r="W899" s="196"/>
      <c r="X899" s="196"/>
      <c r="Y899" s="196"/>
      <c r="Z899" s="196"/>
      <c r="AA899" s="196"/>
      <c r="AB899" s="196"/>
      <c r="AC899" s="196"/>
      <c r="AD899" s="196"/>
    </row>
    <row r="900" spans="1:30" ht="12.9">
      <c r="A900" s="196"/>
      <c r="B900" s="143"/>
      <c r="C900" s="196"/>
      <c r="D900" s="196"/>
      <c r="E900" s="196"/>
      <c r="F900" s="196"/>
      <c r="G900" s="24"/>
      <c r="H900" s="24"/>
      <c r="I900" s="196"/>
      <c r="J900" s="196"/>
      <c r="K900" s="196"/>
      <c r="L900" s="196"/>
      <c r="M900" s="196"/>
      <c r="N900" s="196"/>
      <c r="O900" s="196"/>
      <c r="P900" s="196"/>
      <c r="Q900" s="196"/>
      <c r="R900" s="196"/>
      <c r="S900" s="196"/>
      <c r="T900" s="196"/>
      <c r="U900" s="196"/>
      <c r="V900" s="196"/>
      <c r="W900" s="196"/>
      <c r="X900" s="196"/>
      <c r="Y900" s="196"/>
      <c r="Z900" s="196"/>
      <c r="AA900" s="196"/>
      <c r="AB900" s="196"/>
      <c r="AC900" s="196"/>
      <c r="AD900" s="196"/>
    </row>
    <row r="901" spans="1:30" ht="12.9">
      <c r="A901" s="196"/>
      <c r="B901" s="143"/>
      <c r="C901" s="196"/>
      <c r="D901" s="196"/>
      <c r="E901" s="196"/>
      <c r="F901" s="196"/>
      <c r="G901" s="24"/>
      <c r="H901" s="24"/>
      <c r="I901" s="196"/>
      <c r="J901" s="196"/>
      <c r="K901" s="196"/>
      <c r="L901" s="196"/>
      <c r="M901" s="196"/>
      <c r="N901" s="196"/>
      <c r="O901" s="196"/>
      <c r="P901" s="196"/>
      <c r="Q901" s="196"/>
      <c r="R901" s="196"/>
      <c r="S901" s="196"/>
      <c r="T901" s="196"/>
      <c r="U901" s="196"/>
      <c r="V901" s="196"/>
      <c r="W901" s="196"/>
      <c r="X901" s="196"/>
      <c r="Y901" s="196"/>
      <c r="Z901" s="196"/>
      <c r="AA901" s="196"/>
      <c r="AB901" s="196"/>
      <c r="AC901" s="196"/>
      <c r="AD901" s="196"/>
    </row>
    <row r="902" spans="1:30" ht="12.9">
      <c r="A902" s="196"/>
      <c r="B902" s="143"/>
      <c r="C902" s="196"/>
      <c r="D902" s="196"/>
      <c r="E902" s="196"/>
      <c r="F902" s="196"/>
      <c r="G902" s="24"/>
      <c r="H902" s="24"/>
      <c r="I902" s="196"/>
      <c r="J902" s="196"/>
      <c r="K902" s="196"/>
      <c r="L902" s="196"/>
      <c r="M902" s="196"/>
      <c r="N902" s="196"/>
      <c r="O902" s="196"/>
      <c r="P902" s="196"/>
      <c r="Q902" s="196"/>
      <c r="R902" s="196"/>
      <c r="S902" s="196"/>
      <c r="T902" s="196"/>
      <c r="U902" s="196"/>
      <c r="V902" s="196"/>
      <c r="W902" s="196"/>
      <c r="X902" s="196"/>
      <c r="Y902" s="196"/>
      <c r="Z902" s="196"/>
      <c r="AA902" s="196"/>
      <c r="AB902" s="196"/>
      <c r="AC902" s="196"/>
      <c r="AD902" s="196"/>
    </row>
    <row r="903" spans="1:30" ht="12.9">
      <c r="A903" s="196"/>
      <c r="B903" s="143"/>
      <c r="C903" s="196"/>
      <c r="D903" s="196"/>
      <c r="E903" s="196"/>
      <c r="F903" s="196"/>
      <c r="G903" s="24"/>
      <c r="H903" s="24"/>
      <c r="I903" s="196"/>
      <c r="J903" s="196"/>
      <c r="K903" s="196"/>
      <c r="L903" s="196"/>
      <c r="M903" s="196"/>
      <c r="N903" s="196"/>
      <c r="O903" s="196"/>
      <c r="P903" s="196"/>
      <c r="Q903" s="196"/>
      <c r="R903" s="196"/>
      <c r="S903" s="196"/>
      <c r="T903" s="196"/>
      <c r="U903" s="196"/>
      <c r="V903" s="196"/>
      <c r="W903" s="196"/>
      <c r="X903" s="196"/>
      <c r="Y903" s="196"/>
      <c r="Z903" s="196"/>
      <c r="AA903" s="196"/>
      <c r="AB903" s="196"/>
      <c r="AC903" s="196"/>
      <c r="AD903" s="196"/>
    </row>
    <row r="904" spans="1:30" ht="12.9">
      <c r="A904" s="196"/>
      <c r="B904" s="143"/>
      <c r="C904" s="196"/>
      <c r="D904" s="196"/>
      <c r="E904" s="196"/>
      <c r="F904" s="196"/>
      <c r="G904" s="24"/>
      <c r="H904" s="24"/>
      <c r="I904" s="196"/>
      <c r="J904" s="196"/>
      <c r="K904" s="196"/>
      <c r="L904" s="196"/>
      <c r="M904" s="196"/>
      <c r="N904" s="196"/>
      <c r="O904" s="196"/>
      <c r="P904" s="196"/>
      <c r="Q904" s="196"/>
      <c r="R904" s="196"/>
      <c r="S904" s="196"/>
      <c r="T904" s="196"/>
      <c r="U904" s="196"/>
      <c r="V904" s="196"/>
      <c r="W904" s="196"/>
      <c r="X904" s="196"/>
      <c r="Y904" s="196"/>
      <c r="Z904" s="196"/>
      <c r="AA904" s="196"/>
      <c r="AB904" s="196"/>
      <c r="AC904" s="196"/>
      <c r="AD904" s="196"/>
    </row>
    <row r="905" spans="1:30" ht="12.9">
      <c r="A905" s="196"/>
      <c r="B905" s="143"/>
      <c r="C905" s="196"/>
      <c r="D905" s="196"/>
      <c r="E905" s="196"/>
      <c r="F905" s="196"/>
      <c r="G905" s="24"/>
      <c r="H905" s="24"/>
      <c r="I905" s="196"/>
      <c r="J905" s="196"/>
      <c r="K905" s="196"/>
      <c r="L905" s="196"/>
      <c r="M905" s="196"/>
      <c r="N905" s="196"/>
      <c r="O905" s="196"/>
      <c r="P905" s="196"/>
      <c r="Q905" s="196"/>
      <c r="R905" s="196"/>
      <c r="S905" s="196"/>
      <c r="T905" s="196"/>
      <c r="U905" s="196"/>
      <c r="V905" s="196"/>
      <c r="W905" s="196"/>
      <c r="X905" s="196"/>
      <c r="Y905" s="196"/>
      <c r="Z905" s="196"/>
      <c r="AA905" s="196"/>
      <c r="AB905" s="196"/>
      <c r="AC905" s="196"/>
      <c r="AD905" s="196"/>
    </row>
    <row r="906" spans="1:30" ht="12.9">
      <c r="A906" s="196"/>
      <c r="B906" s="143"/>
      <c r="C906" s="196"/>
      <c r="D906" s="196"/>
      <c r="E906" s="196"/>
      <c r="F906" s="196"/>
      <c r="G906" s="24"/>
      <c r="H906" s="24"/>
      <c r="I906" s="196"/>
      <c r="J906" s="196"/>
      <c r="K906" s="196"/>
      <c r="L906" s="196"/>
      <c r="M906" s="196"/>
      <c r="N906" s="196"/>
      <c r="O906" s="196"/>
      <c r="P906" s="196"/>
      <c r="Q906" s="196"/>
      <c r="R906" s="196"/>
      <c r="S906" s="196"/>
      <c r="T906" s="196"/>
      <c r="U906" s="196"/>
      <c r="V906" s="196"/>
      <c r="W906" s="196"/>
      <c r="X906" s="196"/>
      <c r="Y906" s="196"/>
      <c r="Z906" s="196"/>
      <c r="AA906" s="196"/>
      <c r="AB906" s="196"/>
      <c r="AC906" s="196"/>
      <c r="AD906" s="196"/>
    </row>
    <row r="907" spans="1:30" ht="12.9">
      <c r="A907" s="196"/>
      <c r="B907" s="143"/>
      <c r="C907" s="196"/>
      <c r="D907" s="196"/>
      <c r="E907" s="196"/>
      <c r="F907" s="196"/>
      <c r="G907" s="24"/>
      <c r="H907" s="24"/>
      <c r="I907" s="196"/>
      <c r="J907" s="196"/>
      <c r="K907" s="196"/>
      <c r="L907" s="196"/>
      <c r="M907" s="196"/>
      <c r="N907" s="196"/>
      <c r="O907" s="196"/>
      <c r="P907" s="196"/>
      <c r="Q907" s="196"/>
      <c r="R907" s="196"/>
      <c r="S907" s="196"/>
      <c r="T907" s="196"/>
      <c r="U907" s="196"/>
      <c r="V907" s="196"/>
      <c r="W907" s="196"/>
      <c r="X907" s="196"/>
      <c r="Y907" s="196"/>
      <c r="Z907" s="196"/>
      <c r="AA907" s="196"/>
      <c r="AB907" s="196"/>
      <c r="AC907" s="196"/>
      <c r="AD907" s="196"/>
    </row>
    <row r="908" spans="1:30" ht="12.9">
      <c r="A908" s="196"/>
      <c r="B908" s="143"/>
      <c r="C908" s="196"/>
      <c r="D908" s="196"/>
      <c r="E908" s="196"/>
      <c r="F908" s="196"/>
      <c r="G908" s="24"/>
      <c r="H908" s="24"/>
      <c r="I908" s="196"/>
      <c r="J908" s="196"/>
      <c r="K908" s="196"/>
      <c r="L908" s="196"/>
      <c r="M908" s="196"/>
      <c r="N908" s="196"/>
      <c r="O908" s="196"/>
      <c r="P908" s="196"/>
      <c r="Q908" s="196"/>
      <c r="R908" s="196"/>
      <c r="S908" s="196"/>
      <c r="T908" s="196"/>
      <c r="U908" s="196"/>
      <c r="V908" s="196"/>
      <c r="W908" s="196"/>
      <c r="X908" s="196"/>
      <c r="Y908" s="196"/>
      <c r="Z908" s="196"/>
      <c r="AA908" s="196"/>
      <c r="AB908" s="196"/>
      <c r="AC908" s="196"/>
      <c r="AD908" s="196"/>
    </row>
    <row r="909" spans="1:30" ht="12.9">
      <c r="A909" s="196"/>
      <c r="B909" s="143"/>
      <c r="C909" s="196"/>
      <c r="D909" s="196"/>
      <c r="E909" s="196"/>
      <c r="F909" s="196"/>
      <c r="G909" s="24"/>
      <c r="H909" s="24"/>
      <c r="I909" s="196"/>
      <c r="J909" s="196"/>
      <c r="K909" s="196"/>
      <c r="L909" s="196"/>
      <c r="M909" s="196"/>
      <c r="N909" s="196"/>
      <c r="O909" s="196"/>
      <c r="P909" s="196"/>
      <c r="Q909" s="196"/>
      <c r="R909" s="196"/>
      <c r="S909" s="196"/>
      <c r="T909" s="196"/>
      <c r="U909" s="196"/>
      <c r="V909" s="196"/>
      <c r="W909" s="196"/>
      <c r="X909" s="196"/>
      <c r="Y909" s="196"/>
      <c r="Z909" s="196"/>
      <c r="AA909" s="196"/>
      <c r="AB909" s="196"/>
      <c r="AC909" s="196"/>
      <c r="AD909" s="196"/>
    </row>
    <row r="910" spans="1:30" ht="12.9">
      <c r="A910" s="196"/>
      <c r="B910" s="143"/>
      <c r="C910" s="196"/>
      <c r="D910" s="196"/>
      <c r="E910" s="196"/>
      <c r="F910" s="196"/>
      <c r="G910" s="24"/>
      <c r="H910" s="24"/>
      <c r="I910" s="196"/>
      <c r="J910" s="196"/>
      <c r="K910" s="196"/>
      <c r="L910" s="196"/>
      <c r="M910" s="196"/>
      <c r="N910" s="196"/>
      <c r="O910" s="196"/>
      <c r="P910" s="196"/>
      <c r="Q910" s="196"/>
      <c r="R910" s="196"/>
      <c r="S910" s="196"/>
      <c r="T910" s="196"/>
      <c r="U910" s="196"/>
      <c r="V910" s="196"/>
      <c r="W910" s="196"/>
      <c r="X910" s="196"/>
      <c r="Y910" s="196"/>
      <c r="Z910" s="196"/>
      <c r="AA910" s="196"/>
      <c r="AB910" s="196"/>
      <c r="AC910" s="196"/>
      <c r="AD910" s="196"/>
    </row>
    <row r="911" spans="1:30" ht="12.9">
      <c r="A911" s="196"/>
      <c r="B911" s="143"/>
      <c r="C911" s="196"/>
      <c r="D911" s="196"/>
      <c r="E911" s="196"/>
      <c r="F911" s="196"/>
      <c r="G911" s="24"/>
      <c r="H911" s="24"/>
      <c r="I911" s="196"/>
      <c r="J911" s="196"/>
      <c r="K911" s="196"/>
      <c r="L911" s="196"/>
      <c r="M911" s="196"/>
      <c r="N911" s="196"/>
      <c r="O911" s="196"/>
      <c r="P911" s="196"/>
      <c r="Q911" s="196"/>
      <c r="R911" s="196"/>
      <c r="S911" s="196"/>
      <c r="T911" s="196"/>
      <c r="U911" s="196"/>
      <c r="V911" s="196"/>
      <c r="W911" s="196"/>
      <c r="X911" s="196"/>
      <c r="Y911" s="196"/>
      <c r="Z911" s="196"/>
      <c r="AA911" s="196"/>
      <c r="AB911" s="196"/>
      <c r="AC911" s="196"/>
      <c r="AD911" s="196"/>
    </row>
    <row r="912" spans="1:30" ht="12.9">
      <c r="A912" s="196"/>
      <c r="B912" s="143"/>
      <c r="C912" s="196"/>
      <c r="D912" s="196"/>
      <c r="E912" s="196"/>
      <c r="F912" s="196"/>
      <c r="G912" s="24"/>
      <c r="H912" s="24"/>
      <c r="I912" s="196"/>
      <c r="J912" s="196"/>
      <c r="K912" s="196"/>
      <c r="L912" s="196"/>
      <c r="M912" s="196"/>
      <c r="N912" s="196"/>
      <c r="O912" s="196"/>
      <c r="P912" s="196"/>
      <c r="Q912" s="196"/>
      <c r="R912" s="196"/>
      <c r="S912" s="196"/>
      <c r="T912" s="196"/>
      <c r="U912" s="196"/>
      <c r="V912" s="196"/>
      <c r="W912" s="196"/>
      <c r="X912" s="196"/>
      <c r="Y912" s="196"/>
      <c r="Z912" s="196"/>
      <c r="AA912" s="196"/>
      <c r="AB912" s="196"/>
      <c r="AC912" s="196"/>
      <c r="AD912" s="196"/>
    </row>
    <row r="913" spans="1:30" ht="12.9">
      <c r="A913" s="196"/>
      <c r="B913" s="143"/>
      <c r="C913" s="196"/>
      <c r="D913" s="196"/>
      <c r="E913" s="196"/>
      <c r="F913" s="196"/>
      <c r="G913" s="24"/>
      <c r="H913" s="24"/>
      <c r="I913" s="196"/>
      <c r="J913" s="196"/>
      <c r="K913" s="196"/>
      <c r="L913" s="196"/>
      <c r="M913" s="196"/>
      <c r="N913" s="196"/>
      <c r="O913" s="196"/>
      <c r="P913" s="196"/>
      <c r="Q913" s="196"/>
      <c r="R913" s="196"/>
      <c r="S913" s="196"/>
      <c r="T913" s="196"/>
      <c r="U913" s="196"/>
      <c r="V913" s="196"/>
      <c r="W913" s="196"/>
      <c r="X913" s="196"/>
      <c r="Y913" s="196"/>
      <c r="Z913" s="196"/>
      <c r="AA913" s="196"/>
      <c r="AB913" s="196"/>
      <c r="AC913" s="196"/>
      <c r="AD913" s="196"/>
    </row>
    <row r="914" spans="1:30" ht="12.9">
      <c r="A914" s="196"/>
      <c r="B914" s="143"/>
      <c r="C914" s="196"/>
      <c r="D914" s="196"/>
      <c r="E914" s="196"/>
      <c r="F914" s="196"/>
      <c r="G914" s="24"/>
      <c r="H914" s="24"/>
      <c r="I914" s="196"/>
      <c r="J914" s="196"/>
      <c r="K914" s="196"/>
      <c r="L914" s="196"/>
      <c r="M914" s="196"/>
      <c r="N914" s="196"/>
      <c r="O914" s="196"/>
      <c r="P914" s="196"/>
      <c r="Q914" s="196"/>
      <c r="R914" s="196"/>
      <c r="S914" s="196"/>
      <c r="T914" s="196"/>
      <c r="U914" s="196"/>
      <c r="V914" s="196"/>
      <c r="W914" s="196"/>
      <c r="X914" s="196"/>
      <c r="Y914" s="196"/>
      <c r="Z914" s="196"/>
      <c r="AA914" s="196"/>
      <c r="AB914" s="196"/>
      <c r="AC914" s="196"/>
      <c r="AD914" s="196"/>
    </row>
    <row r="915" spans="1:30" ht="12.9">
      <c r="A915" s="196"/>
      <c r="B915" s="143"/>
      <c r="C915" s="196"/>
      <c r="D915" s="196"/>
      <c r="E915" s="196"/>
      <c r="F915" s="196"/>
      <c r="G915" s="24"/>
      <c r="H915" s="24"/>
      <c r="I915" s="196"/>
      <c r="J915" s="196"/>
      <c r="K915" s="196"/>
      <c r="L915" s="196"/>
      <c r="M915" s="196"/>
      <c r="N915" s="196"/>
      <c r="O915" s="196"/>
      <c r="P915" s="196"/>
      <c r="Q915" s="196"/>
      <c r="R915" s="196"/>
      <c r="S915" s="196"/>
      <c r="T915" s="196"/>
      <c r="U915" s="196"/>
      <c r="V915" s="196"/>
      <c r="W915" s="196"/>
      <c r="X915" s="196"/>
      <c r="Y915" s="196"/>
      <c r="Z915" s="196"/>
      <c r="AA915" s="196"/>
      <c r="AB915" s="196"/>
      <c r="AC915" s="196"/>
      <c r="AD915" s="196"/>
    </row>
    <row r="916" spans="1:30" ht="12.9">
      <c r="A916" s="196"/>
      <c r="B916" s="143"/>
      <c r="C916" s="196"/>
      <c r="D916" s="196"/>
      <c r="E916" s="196"/>
      <c r="F916" s="196"/>
      <c r="G916" s="24"/>
      <c r="H916" s="24"/>
      <c r="I916" s="196"/>
      <c r="J916" s="196"/>
      <c r="K916" s="196"/>
      <c r="L916" s="196"/>
      <c r="M916" s="196"/>
      <c r="N916" s="196"/>
      <c r="O916" s="196"/>
      <c r="P916" s="196"/>
      <c r="Q916" s="196"/>
      <c r="R916" s="196"/>
      <c r="S916" s="196"/>
      <c r="T916" s="196"/>
      <c r="U916" s="196"/>
      <c r="V916" s="196"/>
      <c r="W916" s="196"/>
      <c r="X916" s="196"/>
      <c r="Y916" s="196"/>
      <c r="Z916" s="196"/>
      <c r="AA916" s="196"/>
      <c r="AB916" s="196"/>
      <c r="AC916" s="196"/>
      <c r="AD916" s="196"/>
    </row>
    <row r="917" spans="1:30" ht="12.9">
      <c r="A917" s="196"/>
      <c r="B917" s="143"/>
      <c r="C917" s="196"/>
      <c r="D917" s="196"/>
      <c r="E917" s="196"/>
      <c r="F917" s="196"/>
      <c r="G917" s="24"/>
      <c r="H917" s="24"/>
      <c r="I917" s="196"/>
      <c r="J917" s="196"/>
      <c r="K917" s="196"/>
      <c r="L917" s="196"/>
      <c r="M917" s="196"/>
      <c r="N917" s="196"/>
      <c r="O917" s="196"/>
      <c r="P917" s="196"/>
      <c r="Q917" s="196"/>
      <c r="R917" s="196"/>
      <c r="S917" s="196"/>
      <c r="T917" s="196"/>
      <c r="U917" s="196"/>
      <c r="V917" s="196"/>
      <c r="W917" s="196"/>
      <c r="X917" s="196"/>
      <c r="Y917" s="196"/>
      <c r="Z917" s="196"/>
      <c r="AA917" s="196"/>
      <c r="AB917" s="196"/>
      <c r="AC917" s="196"/>
      <c r="AD917" s="196"/>
    </row>
    <row r="918" spans="1:30" ht="12.9">
      <c r="A918" s="196"/>
      <c r="B918" s="143"/>
      <c r="C918" s="196"/>
      <c r="D918" s="196"/>
      <c r="E918" s="196"/>
      <c r="F918" s="196"/>
      <c r="G918" s="24"/>
      <c r="H918" s="24"/>
      <c r="I918" s="196"/>
      <c r="J918" s="196"/>
      <c r="K918" s="196"/>
      <c r="L918" s="196"/>
      <c r="M918" s="196"/>
      <c r="N918" s="196"/>
      <c r="O918" s="196"/>
      <c r="P918" s="196"/>
      <c r="Q918" s="196"/>
      <c r="R918" s="196"/>
      <c r="S918" s="196"/>
      <c r="T918" s="196"/>
      <c r="U918" s="196"/>
      <c r="V918" s="196"/>
      <c r="W918" s="196"/>
      <c r="X918" s="196"/>
      <c r="Y918" s="196"/>
      <c r="Z918" s="196"/>
      <c r="AA918" s="196"/>
      <c r="AB918" s="196"/>
      <c r="AC918" s="196"/>
      <c r="AD918" s="196"/>
    </row>
    <row r="919" spans="1:30" ht="12.9">
      <c r="A919" s="196"/>
      <c r="B919" s="143"/>
      <c r="C919" s="196"/>
      <c r="D919" s="196"/>
      <c r="E919" s="196"/>
      <c r="F919" s="196"/>
      <c r="G919" s="24"/>
      <c r="H919" s="24"/>
      <c r="I919" s="196"/>
      <c r="J919" s="196"/>
      <c r="K919" s="196"/>
      <c r="L919" s="196"/>
      <c r="M919" s="196"/>
      <c r="N919" s="196"/>
      <c r="O919" s="196"/>
      <c r="P919" s="196"/>
      <c r="Q919" s="196"/>
      <c r="R919" s="196"/>
      <c r="S919" s="196"/>
      <c r="T919" s="196"/>
      <c r="U919" s="196"/>
      <c r="V919" s="196"/>
      <c r="W919" s="196"/>
      <c r="X919" s="196"/>
      <c r="Y919" s="196"/>
      <c r="Z919" s="196"/>
      <c r="AA919" s="196"/>
      <c r="AB919" s="196"/>
      <c r="AC919" s="196"/>
      <c r="AD919" s="196"/>
    </row>
    <row r="920" spans="1:30" ht="12.9">
      <c r="A920" s="196"/>
      <c r="B920" s="143"/>
      <c r="C920" s="196"/>
      <c r="D920" s="196"/>
      <c r="E920" s="196"/>
      <c r="F920" s="196"/>
      <c r="G920" s="24"/>
      <c r="H920" s="24"/>
      <c r="I920" s="196"/>
      <c r="J920" s="196"/>
      <c r="K920" s="196"/>
      <c r="L920" s="196"/>
      <c r="M920" s="196"/>
      <c r="N920" s="196"/>
      <c r="O920" s="196"/>
      <c r="P920" s="196"/>
      <c r="Q920" s="196"/>
      <c r="R920" s="196"/>
      <c r="S920" s="196"/>
      <c r="T920" s="196"/>
      <c r="U920" s="196"/>
      <c r="V920" s="196"/>
      <c r="W920" s="196"/>
      <c r="X920" s="196"/>
      <c r="Y920" s="196"/>
      <c r="Z920" s="196"/>
      <c r="AA920" s="196"/>
      <c r="AB920" s="196"/>
      <c r="AC920" s="196"/>
      <c r="AD920" s="196"/>
    </row>
    <row r="921" spans="1:30" ht="12.9">
      <c r="A921" s="196"/>
      <c r="B921" s="143"/>
      <c r="C921" s="196"/>
      <c r="D921" s="196"/>
      <c r="E921" s="196"/>
      <c r="F921" s="196"/>
      <c r="G921" s="24"/>
      <c r="H921" s="24"/>
      <c r="I921" s="196"/>
      <c r="J921" s="196"/>
      <c r="K921" s="196"/>
      <c r="L921" s="196"/>
      <c r="M921" s="196"/>
      <c r="N921" s="196"/>
      <c r="O921" s="196"/>
      <c r="P921" s="196"/>
      <c r="Q921" s="196"/>
      <c r="R921" s="196"/>
      <c r="S921" s="196"/>
      <c r="T921" s="196"/>
      <c r="U921" s="196"/>
      <c r="V921" s="196"/>
      <c r="W921" s="196"/>
      <c r="X921" s="196"/>
      <c r="Y921" s="196"/>
      <c r="Z921" s="196"/>
      <c r="AA921" s="196"/>
      <c r="AB921" s="196"/>
      <c r="AC921" s="196"/>
      <c r="AD921" s="196"/>
    </row>
    <row r="922" spans="1:30" ht="12.9">
      <c r="A922" s="196"/>
      <c r="B922" s="143"/>
      <c r="C922" s="196"/>
      <c r="D922" s="196"/>
      <c r="E922" s="196"/>
      <c r="F922" s="196"/>
      <c r="G922" s="24"/>
      <c r="H922" s="24"/>
      <c r="I922" s="196"/>
      <c r="J922" s="196"/>
      <c r="K922" s="196"/>
      <c r="L922" s="196"/>
      <c r="M922" s="196"/>
      <c r="N922" s="196"/>
      <c r="O922" s="196"/>
      <c r="P922" s="196"/>
      <c r="Q922" s="196"/>
      <c r="R922" s="196"/>
      <c r="S922" s="196"/>
      <c r="T922" s="196"/>
      <c r="U922" s="196"/>
      <c r="V922" s="196"/>
      <c r="W922" s="196"/>
      <c r="X922" s="196"/>
      <c r="Y922" s="196"/>
      <c r="Z922" s="196"/>
      <c r="AA922" s="196"/>
      <c r="AB922" s="196"/>
      <c r="AC922" s="196"/>
      <c r="AD922" s="196"/>
    </row>
    <row r="923" spans="1:30" ht="12.9">
      <c r="A923" s="196"/>
      <c r="B923" s="143"/>
      <c r="C923" s="196"/>
      <c r="D923" s="196"/>
      <c r="E923" s="196"/>
      <c r="F923" s="196"/>
      <c r="G923" s="24"/>
      <c r="H923" s="24"/>
      <c r="I923" s="196"/>
      <c r="J923" s="196"/>
      <c r="K923" s="196"/>
      <c r="L923" s="196"/>
      <c r="M923" s="196"/>
      <c r="N923" s="196"/>
      <c r="O923" s="196"/>
      <c r="P923" s="196"/>
      <c r="Q923" s="196"/>
      <c r="R923" s="196"/>
      <c r="S923" s="196"/>
      <c r="T923" s="196"/>
      <c r="U923" s="196"/>
      <c r="V923" s="196"/>
      <c r="W923" s="196"/>
      <c r="X923" s="196"/>
      <c r="Y923" s="196"/>
      <c r="Z923" s="196"/>
      <c r="AA923" s="196"/>
      <c r="AB923" s="196"/>
      <c r="AC923" s="196"/>
      <c r="AD923" s="196"/>
    </row>
    <row r="924" spans="1:30" ht="12.9">
      <c r="A924" s="196"/>
      <c r="B924" s="143"/>
      <c r="C924" s="196"/>
      <c r="D924" s="196"/>
      <c r="E924" s="196"/>
      <c r="F924" s="196"/>
      <c r="G924" s="24"/>
      <c r="H924" s="24"/>
      <c r="I924" s="196"/>
      <c r="J924" s="196"/>
      <c r="K924" s="196"/>
      <c r="L924" s="196"/>
      <c r="M924" s="196"/>
      <c r="N924" s="196"/>
      <c r="O924" s="196"/>
      <c r="P924" s="196"/>
      <c r="Q924" s="196"/>
      <c r="R924" s="196"/>
      <c r="S924" s="196"/>
      <c r="T924" s="196"/>
      <c r="U924" s="196"/>
      <c r="V924" s="196"/>
      <c r="W924" s="196"/>
      <c r="X924" s="196"/>
      <c r="Y924" s="196"/>
      <c r="Z924" s="196"/>
      <c r="AA924" s="196"/>
      <c r="AB924" s="196"/>
      <c r="AC924" s="196"/>
      <c r="AD924" s="196"/>
    </row>
    <row r="925" spans="1:30" ht="12.9">
      <c r="A925" s="196"/>
      <c r="B925" s="143"/>
      <c r="C925" s="196"/>
      <c r="D925" s="196"/>
      <c r="E925" s="196"/>
      <c r="F925" s="196"/>
      <c r="G925" s="24"/>
      <c r="H925" s="24"/>
      <c r="I925" s="196"/>
      <c r="J925" s="196"/>
      <c r="K925" s="196"/>
      <c r="L925" s="196"/>
      <c r="M925" s="196"/>
      <c r="N925" s="196"/>
      <c r="O925" s="196"/>
      <c r="P925" s="196"/>
      <c r="Q925" s="196"/>
      <c r="R925" s="196"/>
      <c r="S925" s="196"/>
      <c r="T925" s="196"/>
      <c r="U925" s="196"/>
      <c r="V925" s="196"/>
      <c r="W925" s="196"/>
      <c r="X925" s="196"/>
      <c r="Y925" s="196"/>
      <c r="Z925" s="196"/>
      <c r="AA925" s="196"/>
      <c r="AB925" s="196"/>
      <c r="AC925" s="196"/>
      <c r="AD925" s="196"/>
    </row>
    <row r="926" spans="1:30" ht="12.9">
      <c r="A926" s="196"/>
      <c r="B926" s="143"/>
      <c r="C926" s="196"/>
      <c r="D926" s="196"/>
      <c r="E926" s="196"/>
      <c r="F926" s="196"/>
      <c r="G926" s="24"/>
      <c r="H926" s="24"/>
      <c r="I926" s="196"/>
      <c r="J926" s="196"/>
      <c r="K926" s="196"/>
      <c r="L926" s="196"/>
      <c r="M926" s="196"/>
      <c r="N926" s="196"/>
      <c r="O926" s="196"/>
      <c r="P926" s="196"/>
      <c r="Q926" s="196"/>
      <c r="R926" s="196"/>
      <c r="S926" s="196"/>
      <c r="T926" s="196"/>
      <c r="U926" s="196"/>
      <c r="V926" s="196"/>
      <c r="W926" s="196"/>
      <c r="X926" s="196"/>
      <c r="Y926" s="196"/>
      <c r="Z926" s="196"/>
      <c r="AA926" s="196"/>
      <c r="AB926" s="196"/>
      <c r="AC926" s="196"/>
      <c r="AD926" s="196"/>
    </row>
    <row r="927" spans="1:30" ht="12.9">
      <c r="A927" s="196"/>
      <c r="B927" s="143"/>
      <c r="C927" s="196"/>
      <c r="D927" s="196"/>
      <c r="E927" s="196"/>
      <c r="F927" s="196"/>
      <c r="G927" s="24"/>
      <c r="H927" s="24"/>
      <c r="I927" s="196"/>
      <c r="J927" s="196"/>
      <c r="K927" s="196"/>
      <c r="L927" s="196"/>
      <c r="M927" s="196"/>
      <c r="N927" s="196"/>
      <c r="O927" s="196"/>
      <c r="P927" s="196"/>
      <c r="Q927" s="196"/>
      <c r="R927" s="196"/>
      <c r="S927" s="196"/>
      <c r="T927" s="196"/>
      <c r="U927" s="196"/>
      <c r="V927" s="196"/>
      <c r="W927" s="196"/>
      <c r="X927" s="196"/>
      <c r="Y927" s="196"/>
      <c r="Z927" s="196"/>
      <c r="AA927" s="196"/>
      <c r="AB927" s="196"/>
      <c r="AC927" s="196"/>
      <c r="AD927" s="196"/>
    </row>
    <row r="928" spans="1:30" ht="12.9">
      <c r="A928" s="196"/>
      <c r="B928" s="143"/>
      <c r="C928" s="196"/>
      <c r="D928" s="196"/>
      <c r="E928" s="196"/>
      <c r="F928" s="196"/>
      <c r="G928" s="24"/>
      <c r="H928" s="24"/>
      <c r="I928" s="196"/>
      <c r="J928" s="196"/>
      <c r="K928" s="196"/>
      <c r="L928" s="196"/>
      <c r="M928" s="196"/>
      <c r="N928" s="196"/>
      <c r="O928" s="196"/>
      <c r="P928" s="196"/>
      <c r="Q928" s="196"/>
      <c r="R928" s="196"/>
      <c r="S928" s="196"/>
      <c r="T928" s="196"/>
      <c r="U928" s="196"/>
      <c r="V928" s="196"/>
      <c r="W928" s="196"/>
      <c r="X928" s="196"/>
      <c r="Y928" s="196"/>
      <c r="Z928" s="196"/>
      <c r="AA928" s="196"/>
      <c r="AB928" s="196"/>
      <c r="AC928" s="196"/>
      <c r="AD928" s="196"/>
    </row>
    <row r="929" spans="1:30" ht="12.9">
      <c r="A929" s="196"/>
      <c r="B929" s="143"/>
      <c r="C929" s="196"/>
      <c r="D929" s="196"/>
      <c r="E929" s="196"/>
      <c r="F929" s="196"/>
      <c r="G929" s="24"/>
      <c r="H929" s="24"/>
      <c r="I929" s="196"/>
      <c r="J929" s="196"/>
      <c r="K929" s="196"/>
      <c r="L929" s="196"/>
      <c r="M929" s="196"/>
      <c r="N929" s="196"/>
      <c r="O929" s="196"/>
      <c r="P929" s="196"/>
      <c r="Q929" s="196"/>
      <c r="R929" s="196"/>
      <c r="S929" s="196"/>
      <c r="T929" s="196"/>
      <c r="U929" s="196"/>
      <c r="V929" s="196"/>
      <c r="W929" s="196"/>
      <c r="X929" s="196"/>
      <c r="Y929" s="196"/>
      <c r="Z929" s="196"/>
      <c r="AA929" s="196"/>
      <c r="AB929" s="196"/>
      <c r="AC929" s="196"/>
      <c r="AD929" s="196"/>
    </row>
    <row r="930" spans="1:30" ht="12.9">
      <c r="A930" s="196"/>
      <c r="B930" s="143"/>
      <c r="C930" s="196"/>
      <c r="D930" s="196"/>
      <c r="E930" s="196"/>
      <c r="F930" s="196"/>
      <c r="G930" s="24"/>
      <c r="H930" s="24"/>
      <c r="I930" s="196"/>
      <c r="J930" s="196"/>
      <c r="K930" s="196"/>
      <c r="L930" s="196"/>
      <c r="M930" s="196"/>
      <c r="N930" s="196"/>
      <c r="O930" s="196"/>
      <c r="P930" s="196"/>
      <c r="Q930" s="196"/>
      <c r="R930" s="196"/>
      <c r="S930" s="196"/>
      <c r="T930" s="196"/>
      <c r="U930" s="196"/>
      <c r="V930" s="196"/>
      <c r="W930" s="196"/>
      <c r="X930" s="196"/>
      <c r="Y930" s="196"/>
      <c r="Z930" s="196"/>
      <c r="AA930" s="196"/>
      <c r="AB930" s="196"/>
      <c r="AC930" s="196"/>
      <c r="AD930" s="196"/>
    </row>
    <row r="931" spans="1:30" ht="12.9">
      <c r="A931" s="196"/>
      <c r="B931" s="143"/>
      <c r="C931" s="196"/>
      <c r="D931" s="196"/>
      <c r="E931" s="196"/>
      <c r="F931" s="196"/>
      <c r="G931" s="24"/>
      <c r="H931" s="24"/>
      <c r="I931" s="196"/>
      <c r="J931" s="196"/>
      <c r="K931" s="196"/>
      <c r="L931" s="196"/>
      <c r="M931" s="196"/>
      <c r="N931" s="196"/>
      <c r="O931" s="196"/>
      <c r="P931" s="196"/>
      <c r="Q931" s="196"/>
      <c r="R931" s="196"/>
      <c r="S931" s="196"/>
      <c r="T931" s="196"/>
      <c r="U931" s="196"/>
      <c r="V931" s="196"/>
      <c r="W931" s="196"/>
      <c r="X931" s="196"/>
      <c r="Y931" s="196"/>
      <c r="Z931" s="196"/>
      <c r="AA931" s="196"/>
      <c r="AB931" s="196"/>
      <c r="AC931" s="196"/>
      <c r="AD931" s="196"/>
    </row>
    <row r="932" spans="1:30" ht="12.9">
      <c r="A932" s="196"/>
      <c r="B932" s="143"/>
      <c r="C932" s="196"/>
      <c r="D932" s="196"/>
      <c r="E932" s="196"/>
      <c r="F932" s="196"/>
      <c r="G932" s="24"/>
      <c r="H932" s="24"/>
      <c r="I932" s="196"/>
      <c r="J932" s="196"/>
      <c r="K932" s="196"/>
      <c r="L932" s="196"/>
      <c r="M932" s="196"/>
      <c r="N932" s="196"/>
      <c r="O932" s="196"/>
      <c r="P932" s="196"/>
      <c r="Q932" s="196"/>
      <c r="R932" s="196"/>
      <c r="S932" s="196"/>
      <c r="T932" s="196"/>
      <c r="U932" s="196"/>
      <c r="V932" s="196"/>
      <c r="W932" s="196"/>
      <c r="X932" s="196"/>
      <c r="Y932" s="196"/>
      <c r="Z932" s="196"/>
      <c r="AA932" s="196"/>
      <c r="AB932" s="196"/>
      <c r="AC932" s="196"/>
      <c r="AD932" s="196"/>
    </row>
    <row r="933" spans="1:30" ht="12.9">
      <c r="A933" s="196"/>
      <c r="B933" s="143"/>
      <c r="C933" s="196"/>
      <c r="D933" s="196"/>
      <c r="E933" s="196"/>
      <c r="F933" s="196"/>
      <c r="G933" s="24"/>
      <c r="H933" s="24"/>
      <c r="I933" s="196"/>
      <c r="J933" s="196"/>
      <c r="K933" s="196"/>
      <c r="L933" s="196"/>
      <c r="M933" s="196"/>
      <c r="N933" s="196"/>
      <c r="O933" s="196"/>
      <c r="P933" s="196"/>
      <c r="Q933" s="196"/>
      <c r="R933" s="196"/>
      <c r="S933" s="196"/>
      <c r="T933" s="196"/>
      <c r="U933" s="196"/>
      <c r="V933" s="196"/>
      <c r="W933" s="196"/>
      <c r="X933" s="196"/>
      <c r="Y933" s="196"/>
      <c r="Z933" s="196"/>
      <c r="AA933" s="196"/>
      <c r="AB933" s="196"/>
      <c r="AC933" s="196"/>
      <c r="AD933" s="196"/>
    </row>
    <row r="934" spans="1:30" ht="12.9">
      <c r="A934" s="196"/>
      <c r="B934" s="143"/>
      <c r="C934" s="196"/>
      <c r="D934" s="196"/>
      <c r="E934" s="196"/>
      <c r="F934" s="196"/>
      <c r="G934" s="24"/>
      <c r="H934" s="24"/>
      <c r="I934" s="196"/>
      <c r="J934" s="196"/>
      <c r="K934" s="196"/>
      <c r="L934" s="196"/>
      <c r="M934" s="196"/>
      <c r="N934" s="196"/>
      <c r="O934" s="196"/>
      <c r="P934" s="196"/>
      <c r="Q934" s="196"/>
      <c r="R934" s="196"/>
      <c r="S934" s="196"/>
      <c r="T934" s="196"/>
      <c r="U934" s="196"/>
      <c r="V934" s="196"/>
      <c r="W934" s="196"/>
      <c r="X934" s="196"/>
      <c r="Y934" s="196"/>
      <c r="Z934" s="196"/>
      <c r="AA934" s="196"/>
      <c r="AB934" s="196"/>
      <c r="AC934" s="196"/>
      <c r="AD934" s="196"/>
    </row>
    <row r="935" spans="1:30" ht="12.9">
      <c r="A935" s="196"/>
      <c r="B935" s="143"/>
      <c r="C935" s="196"/>
      <c r="D935" s="196"/>
      <c r="E935" s="196"/>
      <c r="F935" s="196"/>
      <c r="G935" s="24"/>
      <c r="H935" s="24"/>
      <c r="I935" s="196"/>
      <c r="J935" s="196"/>
      <c r="K935" s="196"/>
      <c r="L935" s="196"/>
      <c r="M935" s="196"/>
      <c r="N935" s="196"/>
      <c r="O935" s="196"/>
      <c r="P935" s="196"/>
      <c r="Q935" s="196"/>
      <c r="R935" s="196"/>
      <c r="S935" s="196"/>
      <c r="T935" s="196"/>
      <c r="U935" s="196"/>
      <c r="V935" s="196"/>
      <c r="W935" s="196"/>
      <c r="X935" s="196"/>
      <c r="Y935" s="196"/>
      <c r="Z935" s="196"/>
      <c r="AA935" s="196"/>
      <c r="AB935" s="196"/>
      <c r="AC935" s="196"/>
      <c r="AD935" s="196"/>
    </row>
    <row r="936" spans="1:30" ht="12.9">
      <c r="A936" s="196"/>
      <c r="B936" s="143"/>
      <c r="C936" s="196"/>
      <c r="D936" s="196"/>
      <c r="E936" s="196"/>
      <c r="F936" s="196"/>
      <c r="G936" s="24"/>
      <c r="H936" s="24"/>
      <c r="I936" s="196"/>
      <c r="J936" s="196"/>
      <c r="K936" s="196"/>
      <c r="L936" s="196"/>
      <c r="M936" s="196"/>
      <c r="N936" s="196"/>
      <c r="O936" s="196"/>
      <c r="P936" s="196"/>
      <c r="Q936" s="196"/>
      <c r="R936" s="196"/>
      <c r="S936" s="196"/>
      <c r="T936" s="196"/>
      <c r="U936" s="196"/>
      <c r="V936" s="196"/>
      <c r="W936" s="196"/>
      <c r="X936" s="196"/>
      <c r="Y936" s="196"/>
      <c r="Z936" s="196"/>
      <c r="AA936" s="196"/>
      <c r="AB936" s="196"/>
      <c r="AC936" s="196"/>
      <c r="AD936" s="196"/>
    </row>
    <row r="937" spans="1:30" ht="12.9">
      <c r="A937" s="196"/>
      <c r="B937" s="143"/>
      <c r="C937" s="196"/>
      <c r="D937" s="196"/>
      <c r="E937" s="196"/>
      <c r="F937" s="196"/>
      <c r="G937" s="24"/>
      <c r="H937" s="24"/>
      <c r="I937" s="196"/>
      <c r="J937" s="196"/>
      <c r="K937" s="196"/>
      <c r="L937" s="196"/>
      <c r="M937" s="196"/>
      <c r="N937" s="196"/>
      <c r="O937" s="196"/>
      <c r="P937" s="196"/>
      <c r="Q937" s="196"/>
      <c r="R937" s="196"/>
      <c r="S937" s="196"/>
      <c r="T937" s="196"/>
      <c r="U937" s="196"/>
      <c r="V937" s="196"/>
      <c r="W937" s="196"/>
      <c r="X937" s="196"/>
      <c r="Y937" s="196"/>
      <c r="Z937" s="196"/>
      <c r="AA937" s="196"/>
      <c r="AB937" s="196"/>
      <c r="AC937" s="196"/>
      <c r="AD937" s="196"/>
    </row>
    <row r="938" spans="1:30" ht="12.9">
      <c r="A938" s="196"/>
      <c r="B938" s="143"/>
      <c r="C938" s="196"/>
      <c r="D938" s="196"/>
      <c r="E938" s="196"/>
      <c r="F938" s="196"/>
      <c r="G938" s="24"/>
      <c r="H938" s="24"/>
      <c r="I938" s="196"/>
      <c r="J938" s="196"/>
      <c r="K938" s="196"/>
      <c r="L938" s="196"/>
      <c r="M938" s="196"/>
      <c r="N938" s="196"/>
      <c r="O938" s="196"/>
      <c r="P938" s="196"/>
      <c r="Q938" s="196"/>
      <c r="R938" s="196"/>
      <c r="S938" s="196"/>
      <c r="T938" s="196"/>
      <c r="U938" s="196"/>
      <c r="V938" s="196"/>
      <c r="W938" s="196"/>
      <c r="X938" s="196"/>
      <c r="Y938" s="196"/>
      <c r="Z938" s="196"/>
      <c r="AA938" s="196"/>
      <c r="AB938" s="196"/>
      <c r="AC938" s="196"/>
      <c r="AD938" s="196"/>
    </row>
    <row r="939" spans="1:30" ht="12.9">
      <c r="A939" s="196"/>
      <c r="B939" s="143"/>
      <c r="C939" s="196"/>
      <c r="D939" s="196"/>
      <c r="E939" s="196"/>
      <c r="F939" s="196"/>
      <c r="G939" s="24"/>
      <c r="H939" s="24"/>
      <c r="I939" s="196"/>
      <c r="J939" s="196"/>
      <c r="K939" s="196"/>
      <c r="L939" s="196"/>
      <c r="M939" s="196"/>
      <c r="N939" s="196"/>
      <c r="O939" s="196"/>
      <c r="P939" s="196"/>
      <c r="Q939" s="196"/>
      <c r="R939" s="196"/>
      <c r="S939" s="196"/>
      <c r="T939" s="196"/>
      <c r="U939" s="196"/>
      <c r="V939" s="196"/>
      <c r="W939" s="196"/>
      <c r="X939" s="196"/>
      <c r="Y939" s="196"/>
      <c r="Z939" s="196"/>
      <c r="AA939" s="196"/>
      <c r="AB939" s="196"/>
      <c r="AC939" s="196"/>
      <c r="AD939" s="196"/>
    </row>
    <row r="940" spans="1:30" ht="12.9">
      <c r="A940" s="196"/>
      <c r="B940" s="143"/>
      <c r="C940" s="196"/>
      <c r="D940" s="196"/>
      <c r="E940" s="196"/>
      <c r="F940" s="196"/>
      <c r="G940" s="24"/>
      <c r="H940" s="24"/>
      <c r="I940" s="196"/>
      <c r="J940" s="196"/>
      <c r="K940" s="196"/>
      <c r="L940" s="196"/>
      <c r="M940" s="196"/>
      <c r="N940" s="196"/>
      <c r="O940" s="196"/>
      <c r="P940" s="196"/>
      <c r="Q940" s="196"/>
      <c r="R940" s="196"/>
      <c r="S940" s="196"/>
      <c r="T940" s="196"/>
      <c r="U940" s="196"/>
      <c r="V940" s="196"/>
      <c r="W940" s="196"/>
      <c r="X940" s="196"/>
      <c r="Y940" s="196"/>
      <c r="Z940" s="196"/>
      <c r="AA940" s="196"/>
      <c r="AB940" s="196"/>
      <c r="AC940" s="196"/>
      <c r="AD940" s="196"/>
    </row>
    <row r="941" spans="1:30" ht="12.9">
      <c r="A941" s="196"/>
      <c r="B941" s="143"/>
      <c r="C941" s="196"/>
      <c r="D941" s="196"/>
      <c r="E941" s="196"/>
      <c r="F941" s="196"/>
      <c r="G941" s="24"/>
      <c r="H941" s="24"/>
      <c r="I941" s="196"/>
      <c r="J941" s="196"/>
      <c r="K941" s="196"/>
      <c r="L941" s="196"/>
      <c r="M941" s="196"/>
      <c r="N941" s="196"/>
      <c r="O941" s="196"/>
      <c r="P941" s="196"/>
      <c r="Q941" s="196"/>
      <c r="R941" s="196"/>
      <c r="S941" s="196"/>
      <c r="T941" s="196"/>
      <c r="U941" s="196"/>
      <c r="V941" s="196"/>
      <c r="W941" s="196"/>
      <c r="X941" s="196"/>
      <c r="Y941" s="196"/>
      <c r="Z941" s="196"/>
      <c r="AA941" s="196"/>
      <c r="AB941" s="196"/>
      <c r="AC941" s="196"/>
      <c r="AD941" s="196"/>
    </row>
    <row r="942" spans="1:30" ht="12.9">
      <c r="A942" s="196"/>
      <c r="B942" s="143"/>
      <c r="C942" s="196"/>
      <c r="D942" s="196"/>
      <c r="E942" s="196"/>
      <c r="F942" s="196"/>
      <c r="G942" s="24"/>
      <c r="H942" s="24"/>
      <c r="I942" s="196"/>
      <c r="J942" s="196"/>
      <c r="K942" s="196"/>
      <c r="L942" s="196"/>
      <c r="M942" s="196"/>
      <c r="N942" s="196"/>
      <c r="O942" s="196"/>
      <c r="P942" s="196"/>
      <c r="Q942" s="196"/>
      <c r="R942" s="196"/>
      <c r="S942" s="196"/>
      <c r="T942" s="196"/>
      <c r="U942" s="196"/>
      <c r="V942" s="196"/>
      <c r="W942" s="196"/>
      <c r="X942" s="196"/>
      <c r="Y942" s="196"/>
      <c r="Z942" s="196"/>
      <c r="AA942" s="196"/>
      <c r="AB942" s="196"/>
      <c r="AC942" s="196"/>
      <c r="AD942" s="196"/>
    </row>
    <row r="943" spans="1:30" ht="12.9">
      <c r="A943" s="196"/>
      <c r="B943" s="143"/>
      <c r="C943" s="196"/>
      <c r="D943" s="196"/>
      <c r="E943" s="196"/>
      <c r="F943" s="196"/>
      <c r="G943" s="24"/>
      <c r="H943" s="24"/>
      <c r="I943" s="196"/>
      <c r="J943" s="196"/>
      <c r="K943" s="196"/>
      <c r="L943" s="196"/>
      <c r="M943" s="196"/>
      <c r="N943" s="196"/>
      <c r="O943" s="196"/>
      <c r="P943" s="196"/>
      <c r="Q943" s="196"/>
      <c r="R943" s="196"/>
      <c r="S943" s="196"/>
      <c r="T943" s="196"/>
      <c r="U943" s="196"/>
      <c r="V943" s="196"/>
      <c r="W943" s="196"/>
      <c r="X943" s="196"/>
      <c r="Y943" s="196"/>
      <c r="Z943" s="196"/>
      <c r="AA943" s="196"/>
      <c r="AB943" s="196"/>
      <c r="AC943" s="196"/>
      <c r="AD943" s="196"/>
    </row>
    <row r="944" spans="1:30" ht="12.9">
      <c r="A944" s="196"/>
      <c r="B944" s="143"/>
      <c r="C944" s="196"/>
      <c r="D944" s="196"/>
      <c r="E944" s="196"/>
      <c r="F944" s="196"/>
      <c r="G944" s="24"/>
      <c r="H944" s="24"/>
      <c r="I944" s="196"/>
      <c r="J944" s="196"/>
      <c r="K944" s="196"/>
      <c r="L944" s="196"/>
      <c r="M944" s="196"/>
      <c r="N944" s="196"/>
      <c r="O944" s="196"/>
      <c r="P944" s="196"/>
      <c r="Q944" s="196"/>
      <c r="R944" s="196"/>
      <c r="S944" s="196"/>
      <c r="T944" s="196"/>
      <c r="U944" s="196"/>
      <c r="V944" s="196"/>
      <c r="W944" s="196"/>
      <c r="X944" s="196"/>
      <c r="Y944" s="196"/>
      <c r="Z944" s="196"/>
      <c r="AA944" s="196"/>
      <c r="AB944" s="196"/>
      <c r="AC944" s="196"/>
      <c r="AD944" s="196"/>
    </row>
    <row r="945" spans="1:30" ht="12.9">
      <c r="A945" s="196"/>
      <c r="B945" s="143"/>
      <c r="C945" s="196"/>
      <c r="D945" s="196"/>
      <c r="E945" s="196"/>
      <c r="F945" s="196"/>
      <c r="G945" s="24"/>
      <c r="H945" s="24"/>
      <c r="I945" s="196"/>
      <c r="J945" s="196"/>
      <c r="K945" s="196"/>
      <c r="L945" s="196"/>
      <c r="M945" s="196"/>
      <c r="N945" s="196"/>
      <c r="O945" s="196"/>
      <c r="P945" s="196"/>
      <c r="Q945" s="196"/>
      <c r="R945" s="196"/>
      <c r="S945" s="196"/>
      <c r="T945" s="196"/>
      <c r="U945" s="196"/>
      <c r="V945" s="196"/>
      <c r="W945" s="196"/>
      <c r="X945" s="196"/>
      <c r="Y945" s="196"/>
      <c r="Z945" s="196"/>
      <c r="AA945" s="196"/>
      <c r="AB945" s="196"/>
      <c r="AC945" s="196"/>
      <c r="AD945" s="196"/>
    </row>
    <row r="946" spans="1:30" ht="12.9">
      <c r="A946" s="196"/>
      <c r="B946" s="143"/>
      <c r="C946" s="196"/>
      <c r="D946" s="196"/>
      <c r="E946" s="196"/>
      <c r="F946" s="196"/>
      <c r="G946" s="24"/>
      <c r="H946" s="24"/>
      <c r="I946" s="196"/>
      <c r="J946" s="196"/>
      <c r="K946" s="196"/>
      <c r="L946" s="196"/>
      <c r="M946" s="196"/>
      <c r="N946" s="196"/>
      <c r="O946" s="196"/>
      <c r="P946" s="196"/>
      <c r="Q946" s="196"/>
      <c r="R946" s="196"/>
      <c r="S946" s="196"/>
      <c r="T946" s="196"/>
      <c r="U946" s="196"/>
      <c r="V946" s="196"/>
      <c r="W946" s="196"/>
      <c r="X946" s="196"/>
      <c r="Y946" s="196"/>
      <c r="Z946" s="196"/>
      <c r="AA946" s="196"/>
      <c r="AB946" s="196"/>
      <c r="AC946" s="196"/>
      <c r="AD946" s="196"/>
    </row>
    <row r="947" spans="1:30" ht="12.9">
      <c r="A947" s="196"/>
      <c r="B947" s="143"/>
      <c r="C947" s="196"/>
      <c r="D947" s="196"/>
      <c r="E947" s="196"/>
      <c r="F947" s="196"/>
      <c r="G947" s="24"/>
      <c r="H947" s="24"/>
      <c r="I947" s="196"/>
      <c r="J947" s="196"/>
      <c r="K947" s="196"/>
      <c r="L947" s="196"/>
      <c r="M947" s="196"/>
      <c r="N947" s="196"/>
      <c r="O947" s="196"/>
      <c r="P947" s="196"/>
      <c r="Q947" s="196"/>
      <c r="R947" s="196"/>
      <c r="S947" s="196"/>
      <c r="T947" s="196"/>
      <c r="U947" s="196"/>
      <c r="V947" s="196"/>
      <c r="W947" s="196"/>
      <c r="X947" s="196"/>
      <c r="Y947" s="196"/>
      <c r="Z947" s="196"/>
      <c r="AA947" s="196"/>
      <c r="AB947" s="196"/>
      <c r="AC947" s="196"/>
      <c r="AD947" s="196"/>
    </row>
    <row r="948" spans="1:30" ht="12.9">
      <c r="A948" s="196"/>
      <c r="B948" s="143"/>
      <c r="C948" s="196"/>
      <c r="D948" s="196"/>
      <c r="E948" s="196"/>
      <c r="F948" s="196"/>
      <c r="G948" s="24"/>
      <c r="H948" s="24"/>
      <c r="I948" s="196"/>
      <c r="J948" s="196"/>
      <c r="K948" s="196"/>
      <c r="L948" s="196"/>
      <c r="M948" s="196"/>
      <c r="N948" s="196"/>
      <c r="O948" s="196"/>
      <c r="P948" s="196"/>
      <c r="Q948" s="196"/>
      <c r="R948" s="196"/>
      <c r="S948" s="196"/>
      <c r="T948" s="196"/>
      <c r="U948" s="196"/>
      <c r="V948" s="196"/>
      <c r="W948" s="196"/>
      <c r="X948" s="196"/>
      <c r="Y948" s="196"/>
      <c r="Z948" s="196"/>
      <c r="AA948" s="196"/>
      <c r="AB948" s="196"/>
      <c r="AC948" s="196"/>
      <c r="AD948" s="196"/>
    </row>
    <row r="949" spans="1:30" ht="12.9">
      <c r="A949" s="196"/>
      <c r="B949" s="143"/>
      <c r="C949" s="196"/>
      <c r="D949" s="196"/>
      <c r="E949" s="196"/>
      <c r="F949" s="196"/>
      <c r="G949" s="24"/>
      <c r="H949" s="24"/>
      <c r="I949" s="196"/>
      <c r="J949" s="196"/>
      <c r="K949" s="196"/>
      <c r="L949" s="196"/>
      <c r="M949" s="196"/>
      <c r="N949" s="196"/>
      <c r="O949" s="196"/>
      <c r="P949" s="196"/>
      <c r="Q949" s="196"/>
      <c r="R949" s="196"/>
      <c r="S949" s="196"/>
      <c r="T949" s="196"/>
      <c r="U949" s="196"/>
      <c r="V949" s="196"/>
      <c r="W949" s="196"/>
      <c r="X949" s="196"/>
      <c r="Y949" s="196"/>
      <c r="Z949" s="196"/>
      <c r="AA949" s="196"/>
      <c r="AB949" s="196"/>
      <c r="AC949" s="196"/>
      <c r="AD949" s="196"/>
    </row>
    <row r="950" spans="1:30" ht="12.9">
      <c r="A950" s="196"/>
      <c r="B950" s="143"/>
      <c r="C950" s="196"/>
      <c r="D950" s="196"/>
      <c r="E950" s="196"/>
      <c r="F950" s="196"/>
      <c r="G950" s="24"/>
      <c r="H950" s="24"/>
      <c r="I950" s="196"/>
      <c r="J950" s="196"/>
      <c r="K950" s="196"/>
      <c r="L950" s="196"/>
      <c r="M950" s="196"/>
      <c r="N950" s="196"/>
      <c r="O950" s="196"/>
      <c r="P950" s="196"/>
      <c r="Q950" s="196"/>
      <c r="R950" s="196"/>
      <c r="S950" s="196"/>
      <c r="T950" s="196"/>
      <c r="U950" s="196"/>
      <c r="V950" s="196"/>
      <c r="W950" s="196"/>
      <c r="X950" s="196"/>
      <c r="Y950" s="196"/>
      <c r="Z950" s="196"/>
      <c r="AA950" s="196"/>
      <c r="AB950" s="196"/>
      <c r="AC950" s="196"/>
      <c r="AD950" s="196"/>
    </row>
    <row r="951" spans="1:30" ht="12.9">
      <c r="A951" s="196"/>
      <c r="B951" s="143"/>
      <c r="C951" s="196"/>
      <c r="D951" s="196"/>
      <c r="E951" s="196"/>
      <c r="F951" s="196"/>
      <c r="G951" s="24"/>
      <c r="H951" s="24"/>
      <c r="I951" s="196"/>
      <c r="J951" s="196"/>
      <c r="K951" s="196"/>
      <c r="L951" s="196"/>
      <c r="M951" s="196"/>
      <c r="N951" s="196"/>
      <c r="O951" s="196"/>
      <c r="P951" s="196"/>
      <c r="Q951" s="196"/>
      <c r="R951" s="196"/>
      <c r="S951" s="196"/>
      <c r="T951" s="196"/>
      <c r="U951" s="196"/>
      <c r="V951" s="196"/>
      <c r="W951" s="196"/>
      <c r="X951" s="196"/>
      <c r="Y951" s="196"/>
      <c r="Z951" s="196"/>
      <c r="AA951" s="196"/>
      <c r="AB951" s="196"/>
      <c r="AC951" s="196"/>
      <c r="AD951" s="196"/>
    </row>
    <row r="952" spans="1:30" ht="12.9">
      <c r="A952" s="196"/>
      <c r="B952" s="143"/>
      <c r="C952" s="196"/>
      <c r="D952" s="196"/>
      <c r="E952" s="196"/>
      <c r="F952" s="196"/>
      <c r="G952" s="24"/>
      <c r="H952" s="24"/>
      <c r="I952" s="196"/>
      <c r="J952" s="196"/>
      <c r="K952" s="196"/>
      <c r="L952" s="196"/>
      <c r="M952" s="196"/>
      <c r="N952" s="196"/>
      <c r="O952" s="196"/>
      <c r="P952" s="196"/>
      <c r="Q952" s="196"/>
      <c r="R952" s="196"/>
      <c r="S952" s="196"/>
      <c r="T952" s="196"/>
      <c r="U952" s="196"/>
      <c r="V952" s="196"/>
      <c r="W952" s="196"/>
      <c r="X952" s="196"/>
      <c r="Y952" s="196"/>
      <c r="Z952" s="196"/>
      <c r="AA952" s="196"/>
      <c r="AB952" s="196"/>
      <c r="AC952" s="196"/>
      <c r="AD952" s="196"/>
    </row>
    <row r="953" spans="1:30" ht="12.9">
      <c r="A953" s="196"/>
      <c r="B953" s="143"/>
      <c r="C953" s="196"/>
      <c r="D953" s="196"/>
      <c r="E953" s="196"/>
      <c r="F953" s="196"/>
      <c r="G953" s="24"/>
      <c r="H953" s="24"/>
      <c r="I953" s="196"/>
      <c r="J953" s="196"/>
      <c r="K953" s="196"/>
      <c r="L953" s="196"/>
      <c r="M953" s="196"/>
      <c r="N953" s="196"/>
      <c r="O953" s="196"/>
      <c r="P953" s="196"/>
      <c r="Q953" s="196"/>
      <c r="R953" s="196"/>
      <c r="S953" s="196"/>
      <c r="T953" s="196"/>
      <c r="U953" s="196"/>
      <c r="V953" s="196"/>
      <c r="W953" s="196"/>
      <c r="X953" s="196"/>
      <c r="Y953" s="196"/>
      <c r="Z953" s="196"/>
      <c r="AA953" s="196"/>
      <c r="AB953" s="196"/>
      <c r="AC953" s="196"/>
      <c r="AD953" s="196"/>
    </row>
    <row r="954" spans="1:30" ht="12.9">
      <c r="A954" s="196"/>
      <c r="B954" s="143"/>
      <c r="C954" s="196"/>
      <c r="D954" s="196"/>
      <c r="E954" s="196"/>
      <c r="F954" s="196"/>
      <c r="G954" s="24"/>
      <c r="H954" s="24"/>
      <c r="I954" s="196"/>
      <c r="J954" s="196"/>
      <c r="K954" s="196"/>
      <c r="L954" s="196"/>
      <c r="M954" s="196"/>
      <c r="N954" s="196"/>
      <c r="O954" s="196"/>
      <c r="P954" s="196"/>
      <c r="Q954" s="196"/>
      <c r="R954" s="196"/>
      <c r="S954" s="196"/>
      <c r="T954" s="196"/>
      <c r="U954" s="196"/>
      <c r="V954" s="196"/>
      <c r="W954" s="196"/>
      <c r="X954" s="196"/>
      <c r="Y954" s="196"/>
      <c r="Z954" s="196"/>
      <c r="AA954" s="196"/>
      <c r="AB954" s="196"/>
      <c r="AC954" s="196"/>
      <c r="AD954" s="196"/>
    </row>
    <row r="955" spans="1:30" ht="12.9">
      <c r="A955" s="196"/>
      <c r="B955" s="143"/>
      <c r="C955" s="196"/>
      <c r="D955" s="196"/>
      <c r="E955" s="196"/>
      <c r="F955" s="196"/>
      <c r="G955" s="24"/>
      <c r="H955" s="24"/>
      <c r="I955" s="196"/>
      <c r="J955" s="196"/>
      <c r="K955" s="196"/>
      <c r="L955" s="196"/>
      <c r="M955" s="196"/>
      <c r="N955" s="196"/>
      <c r="O955" s="196"/>
      <c r="P955" s="196"/>
      <c r="Q955" s="196"/>
      <c r="R955" s="196"/>
      <c r="S955" s="196"/>
      <c r="T955" s="196"/>
      <c r="U955" s="196"/>
      <c r="V955" s="196"/>
      <c r="W955" s="196"/>
      <c r="X955" s="196"/>
      <c r="Y955" s="196"/>
      <c r="Z955" s="196"/>
      <c r="AA955" s="196"/>
      <c r="AB955" s="196"/>
      <c r="AC955" s="196"/>
      <c r="AD955" s="196"/>
    </row>
    <row r="956" spans="1:30" ht="12.9">
      <c r="A956" s="196"/>
      <c r="B956" s="143"/>
      <c r="C956" s="196"/>
      <c r="D956" s="196"/>
      <c r="E956" s="196"/>
      <c r="F956" s="196"/>
      <c r="G956" s="24"/>
      <c r="H956" s="24"/>
      <c r="I956" s="196"/>
      <c r="J956" s="196"/>
      <c r="K956" s="196"/>
      <c r="L956" s="196"/>
      <c r="M956" s="196"/>
      <c r="N956" s="196"/>
      <c r="O956" s="196"/>
      <c r="P956" s="196"/>
      <c r="Q956" s="196"/>
      <c r="R956" s="196"/>
      <c r="S956" s="196"/>
      <c r="T956" s="196"/>
      <c r="U956" s="196"/>
      <c r="V956" s="196"/>
      <c r="W956" s="196"/>
      <c r="X956" s="196"/>
      <c r="Y956" s="196"/>
      <c r="Z956" s="196"/>
      <c r="AA956" s="196"/>
      <c r="AB956" s="196"/>
      <c r="AC956" s="196"/>
      <c r="AD956" s="196"/>
    </row>
    <row r="957" spans="1:30" ht="12.9">
      <c r="A957" s="196"/>
      <c r="B957" s="143"/>
      <c r="C957" s="196"/>
      <c r="D957" s="196"/>
      <c r="E957" s="196"/>
      <c r="F957" s="196"/>
      <c r="G957" s="24"/>
      <c r="H957" s="24"/>
      <c r="I957" s="196"/>
      <c r="J957" s="196"/>
      <c r="K957" s="196"/>
      <c r="L957" s="196"/>
      <c r="M957" s="196"/>
      <c r="N957" s="196"/>
      <c r="O957" s="196"/>
      <c r="P957" s="196"/>
      <c r="Q957" s="196"/>
      <c r="R957" s="196"/>
      <c r="S957" s="196"/>
      <c r="T957" s="196"/>
      <c r="U957" s="196"/>
      <c r="V957" s="196"/>
      <c r="W957" s="196"/>
      <c r="X957" s="196"/>
      <c r="Y957" s="196"/>
      <c r="Z957" s="196"/>
      <c r="AA957" s="196"/>
      <c r="AB957" s="196"/>
      <c r="AC957" s="196"/>
      <c r="AD957" s="196"/>
    </row>
    <row r="958" spans="1:30" ht="12.9">
      <c r="A958" s="196"/>
      <c r="B958" s="143"/>
      <c r="C958" s="196"/>
      <c r="D958" s="196"/>
      <c r="E958" s="196"/>
      <c r="F958" s="196"/>
      <c r="G958" s="24"/>
      <c r="H958" s="24"/>
      <c r="I958" s="196"/>
      <c r="J958" s="196"/>
      <c r="K958" s="196"/>
      <c r="L958" s="196"/>
      <c r="M958" s="196"/>
      <c r="N958" s="196"/>
      <c r="O958" s="196"/>
      <c r="P958" s="196"/>
      <c r="Q958" s="196"/>
      <c r="R958" s="196"/>
      <c r="S958" s="196"/>
      <c r="T958" s="196"/>
      <c r="U958" s="196"/>
      <c r="V958" s="196"/>
      <c r="W958" s="196"/>
      <c r="X958" s="196"/>
      <c r="Y958" s="196"/>
      <c r="Z958" s="196"/>
      <c r="AA958" s="196"/>
      <c r="AB958" s="196"/>
      <c r="AC958" s="196"/>
      <c r="AD958" s="196"/>
    </row>
    <row r="959" spans="1:30" ht="12.9">
      <c r="A959" s="196"/>
      <c r="B959" s="143"/>
      <c r="C959" s="196"/>
      <c r="D959" s="196"/>
      <c r="E959" s="196"/>
      <c r="F959" s="196"/>
      <c r="G959" s="24"/>
      <c r="H959" s="24"/>
      <c r="I959" s="196"/>
      <c r="J959" s="196"/>
      <c r="K959" s="196"/>
      <c r="L959" s="196"/>
      <c r="M959" s="196"/>
      <c r="N959" s="196"/>
      <c r="O959" s="196"/>
      <c r="P959" s="196"/>
      <c r="Q959" s="196"/>
      <c r="R959" s="196"/>
      <c r="S959" s="196"/>
      <c r="T959" s="196"/>
      <c r="U959" s="196"/>
      <c r="V959" s="196"/>
      <c r="W959" s="196"/>
      <c r="X959" s="196"/>
      <c r="Y959" s="196"/>
      <c r="Z959" s="196"/>
      <c r="AA959" s="196"/>
      <c r="AB959" s="196"/>
      <c r="AC959" s="196"/>
      <c r="AD959" s="196"/>
    </row>
    <row r="960" spans="1:30" ht="12.9">
      <c r="A960" s="196"/>
      <c r="B960" s="143"/>
      <c r="C960" s="196"/>
      <c r="D960" s="196"/>
      <c r="E960" s="196"/>
      <c r="F960" s="196"/>
      <c r="G960" s="24"/>
      <c r="H960" s="24"/>
      <c r="I960" s="196"/>
      <c r="J960" s="196"/>
      <c r="K960" s="196"/>
      <c r="L960" s="196"/>
      <c r="M960" s="196"/>
      <c r="N960" s="196"/>
      <c r="O960" s="196"/>
      <c r="P960" s="196"/>
      <c r="Q960" s="196"/>
      <c r="R960" s="196"/>
      <c r="S960" s="196"/>
      <c r="T960" s="196"/>
      <c r="U960" s="196"/>
      <c r="V960" s="196"/>
      <c r="W960" s="196"/>
      <c r="X960" s="196"/>
      <c r="Y960" s="196"/>
      <c r="Z960" s="196"/>
      <c r="AA960" s="196"/>
      <c r="AB960" s="196"/>
      <c r="AC960" s="196"/>
      <c r="AD960" s="196"/>
    </row>
    <row r="961" spans="1:30" ht="12.9">
      <c r="A961" s="196"/>
      <c r="B961" s="143"/>
      <c r="C961" s="196"/>
      <c r="D961" s="196"/>
      <c r="E961" s="196"/>
      <c r="F961" s="196"/>
      <c r="G961" s="24"/>
      <c r="H961" s="24"/>
      <c r="I961" s="196"/>
      <c r="J961" s="196"/>
      <c r="K961" s="196"/>
      <c r="L961" s="196"/>
      <c r="M961" s="196"/>
      <c r="N961" s="196"/>
      <c r="O961" s="196"/>
      <c r="P961" s="196"/>
      <c r="Q961" s="196"/>
      <c r="R961" s="196"/>
      <c r="S961" s="196"/>
      <c r="T961" s="196"/>
      <c r="U961" s="196"/>
      <c r="V961" s="196"/>
      <c r="W961" s="196"/>
      <c r="X961" s="196"/>
      <c r="Y961" s="196"/>
      <c r="Z961" s="196"/>
      <c r="AA961" s="196"/>
      <c r="AB961" s="196"/>
      <c r="AC961" s="196"/>
      <c r="AD961" s="196"/>
    </row>
    <row r="962" spans="1:30" ht="12.9">
      <c r="A962" s="196"/>
      <c r="B962" s="143"/>
      <c r="C962" s="196"/>
      <c r="D962" s="196"/>
      <c r="E962" s="196"/>
      <c r="F962" s="196"/>
      <c r="G962" s="24"/>
      <c r="H962" s="24"/>
      <c r="I962" s="196"/>
      <c r="J962" s="196"/>
      <c r="K962" s="196"/>
      <c r="L962" s="196"/>
      <c r="M962" s="196"/>
      <c r="N962" s="196"/>
      <c r="O962" s="196"/>
      <c r="P962" s="196"/>
      <c r="Q962" s="196"/>
      <c r="R962" s="196"/>
      <c r="S962" s="196"/>
      <c r="T962" s="196"/>
      <c r="U962" s="196"/>
      <c r="V962" s="196"/>
      <c r="W962" s="196"/>
      <c r="X962" s="196"/>
      <c r="Y962" s="196"/>
      <c r="Z962" s="196"/>
      <c r="AA962" s="196"/>
      <c r="AB962" s="196"/>
      <c r="AC962" s="196"/>
      <c r="AD962" s="196"/>
    </row>
    <row r="963" spans="1:30" ht="12.9">
      <c r="A963" s="196"/>
      <c r="B963" s="143"/>
      <c r="C963" s="196"/>
      <c r="D963" s="196"/>
      <c r="E963" s="196"/>
      <c r="F963" s="196"/>
      <c r="G963" s="24"/>
      <c r="H963" s="24"/>
      <c r="I963" s="196"/>
      <c r="J963" s="196"/>
      <c r="K963" s="196"/>
      <c r="L963" s="196"/>
      <c r="M963" s="196"/>
      <c r="N963" s="196"/>
      <c r="O963" s="196"/>
      <c r="P963" s="196"/>
      <c r="Q963" s="196"/>
      <c r="R963" s="196"/>
      <c r="S963" s="196"/>
      <c r="T963" s="196"/>
      <c r="U963" s="196"/>
      <c r="V963" s="196"/>
      <c r="W963" s="196"/>
      <c r="X963" s="196"/>
      <c r="Y963" s="196"/>
      <c r="Z963" s="196"/>
      <c r="AA963" s="196"/>
      <c r="AB963" s="196"/>
      <c r="AC963" s="196"/>
      <c r="AD963" s="196"/>
    </row>
    <row r="964" spans="1:30" ht="12.9">
      <c r="A964" s="196"/>
      <c r="B964" s="143"/>
      <c r="C964" s="196"/>
      <c r="D964" s="196"/>
      <c r="E964" s="196"/>
      <c r="F964" s="196"/>
      <c r="G964" s="24"/>
      <c r="H964" s="24"/>
      <c r="I964" s="196"/>
      <c r="J964" s="196"/>
      <c r="K964" s="196"/>
      <c r="L964" s="196"/>
      <c r="M964" s="196"/>
      <c r="N964" s="196"/>
      <c r="O964" s="196"/>
      <c r="P964" s="196"/>
      <c r="Q964" s="196"/>
      <c r="R964" s="196"/>
      <c r="S964" s="196"/>
      <c r="T964" s="196"/>
      <c r="U964" s="196"/>
      <c r="V964" s="196"/>
      <c r="W964" s="196"/>
      <c r="X964" s="196"/>
      <c r="Y964" s="196"/>
      <c r="Z964" s="196"/>
      <c r="AA964" s="196"/>
      <c r="AB964" s="196"/>
      <c r="AC964" s="196"/>
      <c r="AD964" s="196"/>
    </row>
    <row r="965" spans="1:30" ht="12.9">
      <c r="A965" s="196"/>
      <c r="B965" s="143"/>
      <c r="C965" s="196"/>
      <c r="D965" s="196"/>
      <c r="E965" s="196"/>
      <c r="F965" s="196"/>
      <c r="G965" s="24"/>
      <c r="H965" s="24"/>
      <c r="I965" s="196"/>
      <c r="J965" s="196"/>
      <c r="K965" s="196"/>
      <c r="L965" s="196"/>
      <c r="M965" s="196"/>
      <c r="N965" s="196"/>
      <c r="O965" s="196"/>
      <c r="P965" s="196"/>
      <c r="Q965" s="196"/>
      <c r="R965" s="196"/>
      <c r="S965" s="196"/>
      <c r="T965" s="196"/>
      <c r="U965" s="196"/>
      <c r="V965" s="196"/>
      <c r="W965" s="196"/>
      <c r="X965" s="196"/>
      <c r="Y965" s="196"/>
      <c r="Z965" s="196"/>
      <c r="AA965" s="196"/>
      <c r="AB965" s="196"/>
      <c r="AC965" s="196"/>
      <c r="AD965" s="196"/>
    </row>
    <row r="966" spans="1:30" ht="12.9">
      <c r="A966" s="196"/>
      <c r="B966" s="143"/>
      <c r="C966" s="196"/>
      <c r="D966" s="196"/>
      <c r="E966" s="196"/>
      <c r="F966" s="196"/>
      <c r="G966" s="24"/>
      <c r="H966" s="24"/>
      <c r="I966" s="196"/>
      <c r="J966" s="196"/>
      <c r="K966" s="196"/>
      <c r="L966" s="196"/>
      <c r="M966" s="196"/>
      <c r="N966" s="196"/>
      <c r="O966" s="196"/>
      <c r="P966" s="196"/>
      <c r="Q966" s="196"/>
      <c r="R966" s="196"/>
      <c r="S966" s="196"/>
      <c r="T966" s="196"/>
      <c r="U966" s="196"/>
      <c r="V966" s="196"/>
      <c r="W966" s="196"/>
      <c r="X966" s="196"/>
      <c r="Y966" s="196"/>
      <c r="Z966" s="196"/>
      <c r="AA966" s="196"/>
      <c r="AB966" s="196"/>
      <c r="AC966" s="196"/>
      <c r="AD966" s="196"/>
    </row>
    <row r="967" spans="1:30" ht="12.9">
      <c r="A967" s="196"/>
      <c r="B967" s="143"/>
      <c r="C967" s="196"/>
      <c r="D967" s="196"/>
      <c r="E967" s="196"/>
      <c r="F967" s="196"/>
      <c r="G967" s="24"/>
      <c r="H967" s="24"/>
      <c r="I967" s="196"/>
      <c r="J967" s="196"/>
      <c r="K967" s="196"/>
      <c r="L967" s="196"/>
      <c r="M967" s="196"/>
      <c r="N967" s="196"/>
      <c r="O967" s="196"/>
      <c r="P967" s="196"/>
      <c r="Q967" s="196"/>
      <c r="R967" s="196"/>
      <c r="S967" s="196"/>
      <c r="T967" s="196"/>
      <c r="U967" s="196"/>
      <c r="V967" s="196"/>
      <c r="W967" s="196"/>
      <c r="X967" s="196"/>
      <c r="Y967" s="196"/>
      <c r="Z967" s="196"/>
      <c r="AA967" s="196"/>
      <c r="AB967" s="196"/>
      <c r="AC967" s="196"/>
      <c r="AD967" s="196"/>
    </row>
    <row r="968" spans="1:30" ht="12.9">
      <c r="A968" s="196"/>
      <c r="B968" s="143"/>
      <c r="C968" s="196"/>
      <c r="D968" s="196"/>
      <c r="E968" s="196"/>
      <c r="F968" s="196"/>
      <c r="G968" s="24"/>
      <c r="H968" s="24"/>
      <c r="I968" s="196"/>
      <c r="J968" s="196"/>
      <c r="K968" s="196"/>
      <c r="L968" s="196"/>
      <c r="M968" s="196"/>
      <c r="N968" s="196"/>
      <c r="O968" s="196"/>
      <c r="P968" s="196"/>
      <c r="Q968" s="196"/>
      <c r="R968" s="196"/>
      <c r="S968" s="196"/>
      <c r="T968" s="196"/>
      <c r="U968" s="196"/>
      <c r="V968" s="196"/>
      <c r="W968" s="196"/>
      <c r="X968" s="196"/>
      <c r="Y968" s="196"/>
      <c r="Z968" s="196"/>
      <c r="AA968" s="196"/>
      <c r="AB968" s="196"/>
      <c r="AC968" s="196"/>
      <c r="AD968" s="196"/>
    </row>
    <row r="969" spans="1:30" ht="12.9">
      <c r="A969" s="196"/>
      <c r="B969" s="143"/>
      <c r="C969" s="196"/>
      <c r="D969" s="196"/>
      <c r="E969" s="196"/>
      <c r="F969" s="196"/>
      <c r="G969" s="24"/>
      <c r="H969" s="24"/>
      <c r="I969" s="196"/>
      <c r="J969" s="196"/>
      <c r="K969" s="196"/>
      <c r="L969" s="196"/>
      <c r="M969" s="196"/>
      <c r="N969" s="196"/>
      <c r="O969" s="196"/>
      <c r="P969" s="196"/>
      <c r="Q969" s="196"/>
      <c r="R969" s="196"/>
      <c r="S969" s="196"/>
      <c r="T969" s="196"/>
      <c r="U969" s="196"/>
      <c r="V969" s="196"/>
      <c r="W969" s="196"/>
      <c r="X969" s="196"/>
      <c r="Y969" s="196"/>
      <c r="Z969" s="196"/>
      <c r="AA969" s="196"/>
      <c r="AB969" s="196"/>
      <c r="AC969" s="196"/>
      <c r="AD969" s="196"/>
    </row>
    <row r="970" spans="1:30" ht="12.9">
      <c r="A970" s="196"/>
      <c r="B970" s="143"/>
      <c r="C970" s="196"/>
      <c r="D970" s="196"/>
      <c r="E970" s="196"/>
      <c r="F970" s="196"/>
      <c r="G970" s="24"/>
      <c r="H970" s="24"/>
      <c r="I970" s="196"/>
      <c r="J970" s="196"/>
      <c r="K970" s="196"/>
      <c r="L970" s="196"/>
      <c r="M970" s="196"/>
      <c r="N970" s="196"/>
      <c r="O970" s="196"/>
      <c r="P970" s="196"/>
      <c r="Q970" s="196"/>
      <c r="R970" s="196"/>
      <c r="S970" s="196"/>
      <c r="T970" s="196"/>
      <c r="U970" s="196"/>
      <c r="V970" s="196"/>
      <c r="W970" s="196"/>
      <c r="X970" s="196"/>
      <c r="Y970" s="196"/>
      <c r="Z970" s="196"/>
      <c r="AA970" s="196"/>
      <c r="AB970" s="196"/>
      <c r="AC970" s="196"/>
      <c r="AD970" s="196"/>
    </row>
    <row r="971" spans="1:30" ht="12.9">
      <c r="A971" s="196"/>
      <c r="B971" s="143"/>
      <c r="C971" s="196"/>
      <c r="D971" s="196"/>
      <c r="E971" s="196"/>
      <c r="F971" s="196"/>
      <c r="G971" s="24"/>
      <c r="H971" s="24"/>
      <c r="I971" s="196"/>
      <c r="J971" s="196"/>
      <c r="K971" s="196"/>
      <c r="L971" s="196"/>
      <c r="M971" s="196"/>
      <c r="N971" s="196"/>
      <c r="O971" s="196"/>
      <c r="P971" s="196"/>
      <c r="Q971" s="196"/>
      <c r="R971" s="196"/>
      <c r="S971" s="196"/>
      <c r="T971" s="196"/>
      <c r="U971" s="196"/>
      <c r="V971" s="196"/>
      <c r="W971" s="196"/>
      <c r="X971" s="196"/>
      <c r="Y971" s="196"/>
      <c r="Z971" s="196"/>
      <c r="AA971" s="196"/>
      <c r="AB971" s="196"/>
      <c r="AC971" s="196"/>
      <c r="AD971" s="196"/>
    </row>
    <row r="972" spans="1:30" ht="12.9">
      <c r="A972" s="196"/>
      <c r="B972" s="143"/>
      <c r="C972" s="196"/>
      <c r="D972" s="196"/>
      <c r="E972" s="196"/>
      <c r="F972" s="196"/>
      <c r="G972" s="24"/>
      <c r="H972" s="24"/>
      <c r="I972" s="196"/>
      <c r="J972" s="196"/>
      <c r="K972" s="196"/>
      <c r="L972" s="196"/>
      <c r="M972" s="196"/>
      <c r="N972" s="196"/>
      <c r="O972" s="196"/>
      <c r="P972" s="196"/>
      <c r="Q972" s="196"/>
      <c r="R972" s="196"/>
      <c r="S972" s="196"/>
      <c r="T972" s="196"/>
      <c r="U972" s="196"/>
      <c r="V972" s="196"/>
      <c r="W972" s="196"/>
      <c r="X972" s="196"/>
      <c r="Y972" s="196"/>
      <c r="Z972" s="196"/>
      <c r="AA972" s="196"/>
      <c r="AB972" s="196"/>
      <c r="AC972" s="196"/>
      <c r="AD972" s="196"/>
    </row>
    <row r="973" spans="1:30" ht="12.9">
      <c r="A973" s="196"/>
      <c r="B973" s="143"/>
      <c r="C973" s="196"/>
      <c r="D973" s="196"/>
      <c r="E973" s="196"/>
      <c r="F973" s="196"/>
      <c r="G973" s="24"/>
      <c r="H973" s="24"/>
      <c r="I973" s="196"/>
      <c r="J973" s="196"/>
      <c r="K973" s="196"/>
      <c r="L973" s="196"/>
      <c r="M973" s="196"/>
      <c r="N973" s="196"/>
      <c r="O973" s="196"/>
      <c r="P973" s="196"/>
      <c r="Q973" s="196"/>
      <c r="R973" s="196"/>
      <c r="S973" s="196"/>
      <c r="T973" s="196"/>
      <c r="U973" s="196"/>
      <c r="V973" s="196"/>
      <c r="W973" s="196"/>
      <c r="X973" s="196"/>
      <c r="Y973" s="196"/>
      <c r="Z973" s="196"/>
      <c r="AA973" s="196"/>
      <c r="AB973" s="196"/>
      <c r="AC973" s="196"/>
      <c r="AD973" s="196"/>
    </row>
    <row r="974" spans="1:30" ht="12.9">
      <c r="A974" s="196"/>
      <c r="B974" s="143"/>
      <c r="C974" s="196"/>
      <c r="D974" s="196"/>
      <c r="E974" s="196"/>
      <c r="F974" s="196"/>
      <c r="G974" s="24"/>
      <c r="H974" s="24"/>
      <c r="I974" s="196"/>
      <c r="J974" s="196"/>
      <c r="K974" s="196"/>
      <c r="L974" s="196"/>
      <c r="M974" s="196"/>
      <c r="N974" s="196"/>
      <c r="O974" s="196"/>
      <c r="P974" s="196"/>
      <c r="Q974" s="196"/>
      <c r="R974" s="196"/>
      <c r="S974" s="196"/>
      <c r="T974" s="196"/>
      <c r="U974" s="196"/>
      <c r="V974" s="196"/>
      <c r="W974" s="196"/>
      <c r="X974" s="196"/>
      <c r="Y974" s="196"/>
      <c r="Z974" s="196"/>
      <c r="AA974" s="196"/>
      <c r="AB974" s="196"/>
      <c r="AC974" s="196"/>
      <c r="AD974" s="196"/>
    </row>
    <row r="975" spans="1:30" ht="12.9">
      <c r="A975" s="196"/>
      <c r="B975" s="143"/>
      <c r="C975" s="196"/>
      <c r="D975" s="196"/>
      <c r="E975" s="196"/>
      <c r="F975" s="196"/>
      <c r="G975" s="24"/>
      <c r="H975" s="24"/>
      <c r="I975" s="196"/>
      <c r="J975" s="196"/>
      <c r="K975" s="196"/>
      <c r="L975" s="196"/>
      <c r="M975" s="196"/>
      <c r="N975" s="196"/>
      <c r="O975" s="196"/>
      <c r="P975" s="196"/>
      <c r="Q975" s="196"/>
      <c r="R975" s="196"/>
      <c r="S975" s="196"/>
      <c r="T975" s="196"/>
      <c r="U975" s="196"/>
      <c r="V975" s="196"/>
      <c r="W975" s="196"/>
      <c r="X975" s="196"/>
      <c r="Y975" s="196"/>
      <c r="Z975" s="196"/>
      <c r="AA975" s="196"/>
      <c r="AB975" s="196"/>
      <c r="AC975" s="196"/>
      <c r="AD975" s="196"/>
    </row>
    <row r="976" spans="1:30" ht="12.9">
      <c r="A976" s="196"/>
      <c r="B976" s="143"/>
      <c r="C976" s="196"/>
      <c r="D976" s="196"/>
      <c r="E976" s="196"/>
      <c r="F976" s="196"/>
      <c r="G976" s="24"/>
      <c r="H976" s="24"/>
      <c r="I976" s="196"/>
      <c r="J976" s="196"/>
      <c r="K976" s="196"/>
      <c r="L976" s="196"/>
      <c r="M976" s="196"/>
      <c r="N976" s="196"/>
      <c r="O976" s="196"/>
      <c r="P976" s="196"/>
      <c r="Q976" s="196"/>
      <c r="R976" s="196"/>
      <c r="S976" s="196"/>
      <c r="T976" s="196"/>
      <c r="U976" s="196"/>
      <c r="V976" s="196"/>
      <c r="W976" s="196"/>
      <c r="X976" s="196"/>
      <c r="Y976" s="196"/>
      <c r="Z976" s="196"/>
      <c r="AA976" s="196"/>
      <c r="AB976" s="196"/>
      <c r="AC976" s="196"/>
      <c r="AD976" s="196"/>
    </row>
    <row r="977" spans="1:30" ht="12.9">
      <c r="A977" s="196"/>
      <c r="B977" s="143"/>
      <c r="C977" s="196"/>
      <c r="D977" s="196"/>
      <c r="E977" s="196"/>
      <c r="F977" s="196"/>
      <c r="G977" s="24"/>
      <c r="H977" s="24"/>
      <c r="I977" s="196"/>
      <c r="J977" s="196"/>
      <c r="K977" s="196"/>
      <c r="L977" s="196"/>
      <c r="M977" s="196"/>
      <c r="N977" s="196"/>
      <c r="O977" s="196"/>
      <c r="P977" s="196"/>
      <c r="Q977" s="196"/>
      <c r="R977" s="196"/>
      <c r="S977" s="196"/>
      <c r="T977" s="196"/>
      <c r="U977" s="196"/>
      <c r="V977" s="196"/>
      <c r="W977" s="196"/>
      <c r="X977" s="196"/>
      <c r="Y977" s="196"/>
      <c r="Z977" s="196"/>
      <c r="AA977" s="196"/>
      <c r="AB977" s="196"/>
      <c r="AC977" s="196"/>
      <c r="AD977" s="196"/>
    </row>
    <row r="978" spans="1:30" ht="12.9">
      <c r="A978" s="196"/>
      <c r="B978" s="143"/>
      <c r="C978" s="196"/>
      <c r="D978" s="196"/>
      <c r="E978" s="196"/>
      <c r="F978" s="196"/>
      <c r="G978" s="24"/>
      <c r="H978" s="24"/>
      <c r="I978" s="196"/>
      <c r="J978" s="196"/>
      <c r="K978" s="196"/>
      <c r="L978" s="196"/>
      <c r="M978" s="196"/>
      <c r="N978" s="196"/>
      <c r="O978" s="196"/>
      <c r="P978" s="196"/>
      <c r="Q978" s="196"/>
      <c r="R978" s="196"/>
      <c r="S978" s="196"/>
      <c r="T978" s="196"/>
      <c r="U978" s="196"/>
      <c r="V978" s="196"/>
      <c r="W978" s="196"/>
      <c r="X978" s="196"/>
      <c r="Y978" s="196"/>
      <c r="Z978" s="196"/>
      <c r="AA978" s="196"/>
      <c r="AB978" s="196"/>
      <c r="AC978" s="196"/>
      <c r="AD978" s="196"/>
    </row>
    <row r="979" spans="1:30" ht="12.9">
      <c r="A979" s="196"/>
      <c r="B979" s="143"/>
      <c r="C979" s="196"/>
      <c r="D979" s="196"/>
      <c r="E979" s="196"/>
      <c r="F979" s="196"/>
      <c r="G979" s="24"/>
      <c r="H979" s="24"/>
      <c r="I979" s="196"/>
      <c r="J979" s="196"/>
      <c r="K979" s="196"/>
      <c r="L979" s="196"/>
      <c r="M979" s="196"/>
      <c r="N979" s="196"/>
      <c r="O979" s="196"/>
      <c r="P979" s="196"/>
      <c r="Q979" s="196"/>
      <c r="R979" s="196"/>
      <c r="S979" s="196"/>
      <c r="T979" s="196"/>
      <c r="U979" s="196"/>
      <c r="V979" s="196"/>
      <c r="W979" s="196"/>
      <c r="X979" s="196"/>
      <c r="Y979" s="196"/>
      <c r="Z979" s="196"/>
      <c r="AA979" s="196"/>
      <c r="AB979" s="196"/>
      <c r="AC979" s="196"/>
      <c r="AD979" s="196"/>
    </row>
    <row r="980" spans="1:30" ht="12.9">
      <c r="A980" s="196"/>
      <c r="B980" s="143"/>
      <c r="C980" s="196"/>
      <c r="D980" s="196"/>
      <c r="E980" s="196"/>
      <c r="F980" s="196"/>
      <c r="G980" s="24"/>
      <c r="H980" s="24"/>
      <c r="I980" s="196"/>
      <c r="J980" s="196"/>
      <c r="K980" s="196"/>
      <c r="L980" s="196"/>
      <c r="M980" s="196"/>
      <c r="N980" s="196"/>
      <c r="O980" s="196"/>
      <c r="P980" s="196"/>
      <c r="Q980" s="196"/>
      <c r="R980" s="196"/>
      <c r="S980" s="196"/>
      <c r="T980" s="196"/>
      <c r="U980" s="196"/>
      <c r="V980" s="196"/>
      <c r="W980" s="196"/>
      <c r="X980" s="196"/>
      <c r="Y980" s="196"/>
      <c r="Z980" s="196"/>
      <c r="AA980" s="196"/>
      <c r="AB980" s="196"/>
      <c r="AC980" s="196"/>
      <c r="AD980" s="196"/>
    </row>
    <row r="981" spans="1:30" ht="12.9">
      <c r="A981" s="196"/>
      <c r="B981" s="143"/>
      <c r="C981" s="196"/>
      <c r="D981" s="196"/>
      <c r="E981" s="196"/>
      <c r="F981" s="196"/>
      <c r="G981" s="24"/>
      <c r="H981" s="24"/>
      <c r="I981" s="196"/>
      <c r="J981" s="196"/>
      <c r="K981" s="196"/>
      <c r="L981" s="196"/>
      <c r="M981" s="196"/>
      <c r="N981" s="196"/>
      <c r="O981" s="196"/>
      <c r="P981" s="196"/>
      <c r="Q981" s="196"/>
      <c r="R981" s="196"/>
      <c r="S981" s="196"/>
      <c r="T981" s="196"/>
      <c r="U981" s="196"/>
      <c r="V981" s="196"/>
      <c r="W981" s="196"/>
      <c r="X981" s="196"/>
      <c r="Y981" s="196"/>
      <c r="Z981" s="196"/>
      <c r="AA981" s="196"/>
      <c r="AB981" s="196"/>
      <c r="AC981" s="196"/>
      <c r="AD981" s="196"/>
    </row>
    <row r="982" spans="1:30" ht="12.9">
      <c r="A982" s="196"/>
      <c r="B982" s="143"/>
      <c r="C982" s="196"/>
      <c r="D982" s="196"/>
      <c r="E982" s="196"/>
      <c r="F982" s="196"/>
      <c r="G982" s="24"/>
      <c r="H982" s="24"/>
      <c r="I982" s="196"/>
      <c r="J982" s="196"/>
      <c r="K982" s="196"/>
      <c r="L982" s="196"/>
      <c r="M982" s="196"/>
      <c r="N982" s="196"/>
      <c r="O982" s="196"/>
      <c r="P982" s="196"/>
      <c r="Q982" s="196"/>
      <c r="R982" s="196"/>
      <c r="S982" s="196"/>
      <c r="T982" s="196"/>
      <c r="U982" s="196"/>
      <c r="V982" s="196"/>
      <c r="W982" s="196"/>
      <c r="X982" s="196"/>
      <c r="Y982" s="196"/>
      <c r="Z982" s="196"/>
      <c r="AA982" s="196"/>
      <c r="AB982" s="196"/>
      <c r="AC982" s="196"/>
      <c r="AD982" s="196"/>
    </row>
    <row r="983" spans="1:30" ht="12.9">
      <c r="A983" s="196"/>
      <c r="B983" s="143"/>
      <c r="C983" s="196"/>
      <c r="D983" s="196"/>
      <c r="E983" s="196"/>
      <c r="F983" s="196"/>
      <c r="G983" s="24"/>
      <c r="H983" s="24"/>
      <c r="I983" s="196"/>
      <c r="J983" s="196"/>
      <c r="K983" s="196"/>
      <c r="L983" s="196"/>
      <c r="M983" s="196"/>
      <c r="N983" s="196"/>
      <c r="O983" s="196"/>
      <c r="P983" s="196"/>
      <c r="Q983" s="196"/>
      <c r="R983" s="196"/>
      <c r="S983" s="196"/>
      <c r="T983" s="196"/>
      <c r="U983" s="196"/>
      <c r="V983" s="196"/>
      <c r="W983" s="196"/>
      <c r="X983" s="196"/>
      <c r="Y983" s="196"/>
      <c r="Z983" s="196"/>
      <c r="AA983" s="196"/>
      <c r="AB983" s="196"/>
      <c r="AC983" s="196"/>
      <c r="AD983" s="196"/>
    </row>
    <row r="984" spans="1:30" ht="12.9">
      <c r="A984" s="196"/>
      <c r="B984" s="143"/>
      <c r="C984" s="196"/>
      <c r="D984" s="196"/>
      <c r="E984" s="196"/>
      <c r="F984" s="196"/>
      <c r="G984" s="24"/>
      <c r="H984" s="24"/>
      <c r="I984" s="196"/>
      <c r="J984" s="196"/>
      <c r="K984" s="196"/>
      <c r="L984" s="196"/>
      <c r="M984" s="196"/>
      <c r="N984" s="196"/>
      <c r="O984" s="196"/>
      <c r="P984" s="196"/>
      <c r="Q984" s="196"/>
      <c r="R984" s="196"/>
      <c r="S984" s="196"/>
      <c r="T984" s="196"/>
      <c r="U984" s="196"/>
      <c r="V984" s="196"/>
      <c r="W984" s="196"/>
      <c r="X984" s="196"/>
      <c r="Y984" s="196"/>
      <c r="Z984" s="196"/>
      <c r="AA984" s="196"/>
      <c r="AB984" s="196"/>
      <c r="AC984" s="196"/>
      <c r="AD984" s="196"/>
    </row>
    <row r="985" spans="1:30" ht="12.9">
      <c r="A985" s="196"/>
      <c r="B985" s="143"/>
      <c r="C985" s="196"/>
      <c r="D985" s="196"/>
      <c r="E985" s="196"/>
      <c r="F985" s="196"/>
      <c r="G985" s="24"/>
      <c r="H985" s="24"/>
      <c r="I985" s="196"/>
      <c r="J985" s="196"/>
      <c r="K985" s="196"/>
      <c r="L985" s="196"/>
      <c r="M985" s="196"/>
      <c r="N985" s="196"/>
      <c r="O985" s="196"/>
      <c r="P985" s="196"/>
      <c r="Q985" s="196"/>
      <c r="R985" s="196"/>
      <c r="S985" s="196"/>
      <c r="T985" s="196"/>
      <c r="U985" s="196"/>
      <c r="V985" s="196"/>
      <c r="W985" s="196"/>
      <c r="X985" s="196"/>
      <c r="Y985" s="196"/>
      <c r="Z985" s="196"/>
      <c r="AA985" s="196"/>
      <c r="AB985" s="196"/>
      <c r="AC985" s="196"/>
      <c r="AD985" s="196"/>
    </row>
    <row r="986" spans="1:30" ht="12.9">
      <c r="A986" s="196"/>
      <c r="B986" s="143"/>
      <c r="C986" s="196"/>
      <c r="D986" s="196"/>
      <c r="E986" s="196"/>
      <c r="F986" s="196"/>
      <c r="G986" s="24"/>
      <c r="H986" s="24"/>
      <c r="I986" s="196"/>
      <c r="J986" s="196"/>
      <c r="K986" s="196"/>
      <c r="L986" s="196"/>
      <c r="M986" s="196"/>
      <c r="N986" s="196"/>
      <c r="O986" s="196"/>
      <c r="P986" s="196"/>
      <c r="Q986" s="196"/>
      <c r="R986" s="196"/>
      <c r="S986" s="196"/>
      <c r="T986" s="196"/>
      <c r="U986" s="196"/>
      <c r="V986" s="196"/>
      <c r="W986" s="196"/>
      <c r="X986" s="196"/>
      <c r="Y986" s="196"/>
      <c r="Z986" s="196"/>
      <c r="AA986" s="196"/>
      <c r="AB986" s="196"/>
      <c r="AC986" s="196"/>
      <c r="AD986" s="196"/>
    </row>
    <row r="987" spans="1:30" ht="12.9">
      <c r="A987" s="196"/>
      <c r="B987" s="143"/>
      <c r="C987" s="196"/>
      <c r="D987" s="196"/>
      <c r="E987" s="196"/>
      <c r="F987" s="196"/>
      <c r="G987" s="24"/>
      <c r="H987" s="24"/>
      <c r="I987" s="196"/>
      <c r="J987" s="196"/>
      <c r="K987" s="196"/>
      <c r="L987" s="196"/>
      <c r="M987" s="196"/>
      <c r="N987" s="196"/>
      <c r="O987" s="196"/>
      <c r="P987" s="196"/>
      <c r="Q987" s="196"/>
      <c r="R987" s="196"/>
      <c r="S987" s="196"/>
      <c r="T987" s="196"/>
      <c r="U987" s="196"/>
      <c r="V987" s="196"/>
      <c r="W987" s="196"/>
      <c r="X987" s="196"/>
      <c r="Y987" s="196"/>
      <c r="Z987" s="196"/>
      <c r="AA987" s="196"/>
      <c r="AB987" s="196"/>
      <c r="AC987" s="196"/>
      <c r="AD987" s="196"/>
    </row>
    <row r="988" spans="1:30" ht="12.9">
      <c r="A988" s="196"/>
      <c r="B988" s="143"/>
      <c r="C988" s="196"/>
      <c r="D988" s="196"/>
      <c r="E988" s="196"/>
      <c r="F988" s="196"/>
      <c r="G988" s="24"/>
      <c r="H988" s="24"/>
      <c r="I988" s="196"/>
      <c r="J988" s="196"/>
      <c r="K988" s="196"/>
      <c r="L988" s="196"/>
      <c r="M988" s="196"/>
      <c r="N988" s="196"/>
      <c r="O988" s="196"/>
      <c r="P988" s="196"/>
      <c r="Q988" s="196"/>
      <c r="R988" s="196"/>
      <c r="S988" s="196"/>
      <c r="T988" s="196"/>
      <c r="U988" s="196"/>
      <c r="V988" s="196"/>
      <c r="W988" s="196"/>
      <c r="X988" s="196"/>
      <c r="Y988" s="196"/>
      <c r="Z988" s="196"/>
      <c r="AA988" s="196"/>
      <c r="AB988" s="196"/>
      <c r="AC988" s="196"/>
      <c r="AD988" s="196"/>
    </row>
    <row r="989" spans="1:30" ht="12.9">
      <c r="A989" s="196"/>
      <c r="B989" s="143"/>
      <c r="C989" s="196"/>
      <c r="D989" s="196"/>
      <c r="E989" s="196"/>
      <c r="F989" s="196"/>
      <c r="G989" s="24"/>
      <c r="H989" s="24"/>
      <c r="I989" s="196"/>
      <c r="J989" s="196"/>
      <c r="K989" s="196"/>
      <c r="L989" s="196"/>
      <c r="M989" s="196"/>
      <c r="N989" s="196"/>
      <c r="O989" s="196"/>
      <c r="P989" s="196"/>
      <c r="Q989" s="196"/>
      <c r="R989" s="196"/>
      <c r="S989" s="196"/>
      <c r="T989" s="196"/>
      <c r="U989" s="196"/>
      <c r="V989" s="196"/>
      <c r="W989" s="196"/>
      <c r="X989" s="196"/>
      <c r="Y989" s="196"/>
      <c r="Z989" s="196"/>
      <c r="AA989" s="196"/>
      <c r="AB989" s="196"/>
      <c r="AC989" s="196"/>
      <c r="AD989" s="196"/>
    </row>
    <row r="990" spans="1:30" ht="12.9">
      <c r="A990" s="196"/>
      <c r="B990" s="143"/>
      <c r="C990" s="196"/>
      <c r="D990" s="196"/>
      <c r="E990" s="196"/>
      <c r="F990" s="196"/>
      <c r="G990" s="24"/>
      <c r="H990" s="24"/>
      <c r="I990" s="196"/>
      <c r="J990" s="196"/>
      <c r="K990" s="196"/>
      <c r="L990" s="196"/>
      <c r="M990" s="196"/>
      <c r="N990" s="196"/>
      <c r="O990" s="196"/>
      <c r="P990" s="196"/>
      <c r="Q990" s="196"/>
      <c r="R990" s="196"/>
      <c r="S990" s="196"/>
      <c r="T990" s="196"/>
      <c r="U990" s="196"/>
      <c r="V990" s="196"/>
      <c r="W990" s="196"/>
      <c r="X990" s="196"/>
      <c r="Y990" s="196"/>
      <c r="Z990" s="196"/>
      <c r="AA990" s="196"/>
      <c r="AB990" s="196"/>
      <c r="AC990" s="196"/>
      <c r="AD990" s="196"/>
    </row>
    <row r="991" spans="1:30" ht="12.9">
      <c r="A991" s="196"/>
      <c r="B991" s="143"/>
      <c r="C991" s="196"/>
      <c r="D991" s="196"/>
      <c r="E991" s="196"/>
      <c r="F991" s="196"/>
      <c r="G991" s="24"/>
      <c r="H991" s="24"/>
      <c r="I991" s="196"/>
      <c r="J991" s="196"/>
      <c r="K991" s="196"/>
      <c r="L991" s="196"/>
      <c r="M991" s="196"/>
      <c r="N991" s="196"/>
      <c r="O991" s="196"/>
      <c r="P991" s="196"/>
      <c r="Q991" s="196"/>
      <c r="R991" s="196"/>
      <c r="S991" s="196"/>
      <c r="T991" s="196"/>
      <c r="U991" s="196"/>
      <c r="V991" s="196"/>
      <c r="W991" s="196"/>
      <c r="X991" s="196"/>
      <c r="Y991" s="196"/>
      <c r="Z991" s="196"/>
      <c r="AA991" s="196"/>
      <c r="AB991" s="196"/>
      <c r="AC991" s="196"/>
      <c r="AD991" s="196"/>
    </row>
    <row r="992" spans="1:30" ht="12.9">
      <c r="A992" s="196"/>
      <c r="B992" s="143"/>
      <c r="C992" s="196"/>
      <c r="D992" s="196"/>
      <c r="E992" s="196"/>
      <c r="F992" s="196"/>
      <c r="G992" s="24"/>
      <c r="H992" s="24"/>
      <c r="I992" s="196"/>
      <c r="J992" s="196"/>
      <c r="K992" s="196"/>
      <c r="L992" s="196"/>
      <c r="M992" s="196"/>
      <c r="N992" s="196"/>
      <c r="O992" s="196"/>
      <c r="P992" s="196"/>
      <c r="Q992" s="196"/>
      <c r="R992" s="196"/>
      <c r="S992" s="196"/>
      <c r="T992" s="196"/>
      <c r="U992" s="196"/>
      <c r="V992" s="196"/>
      <c r="W992" s="196"/>
      <c r="X992" s="196"/>
      <c r="Y992" s="196"/>
      <c r="Z992" s="196"/>
      <c r="AA992" s="196"/>
      <c r="AB992" s="196"/>
      <c r="AC992" s="196"/>
      <c r="AD992" s="196"/>
    </row>
    <row r="993" spans="1:30" ht="12.9">
      <c r="A993" s="196"/>
      <c r="B993" s="143"/>
      <c r="C993" s="196"/>
      <c r="D993" s="196"/>
      <c r="E993" s="196"/>
      <c r="F993" s="196"/>
      <c r="G993" s="24"/>
      <c r="H993" s="24"/>
      <c r="I993" s="196"/>
      <c r="J993" s="196"/>
      <c r="K993" s="196"/>
      <c r="L993" s="196"/>
      <c r="M993" s="196"/>
      <c r="N993" s="196"/>
      <c r="O993" s="196"/>
      <c r="P993" s="196"/>
      <c r="Q993" s="196"/>
      <c r="R993" s="196"/>
      <c r="S993" s="196"/>
      <c r="T993" s="196"/>
      <c r="U993" s="196"/>
      <c r="V993" s="196"/>
      <c r="W993" s="196"/>
      <c r="X993" s="196"/>
      <c r="Y993" s="196"/>
      <c r="Z993" s="196"/>
      <c r="AA993" s="196"/>
      <c r="AB993" s="196"/>
      <c r="AC993" s="196"/>
      <c r="AD993" s="196"/>
    </row>
    <row r="994" spans="1:30" ht="12.9">
      <c r="A994" s="196"/>
      <c r="B994" s="143"/>
      <c r="C994" s="196"/>
      <c r="D994" s="196"/>
      <c r="E994" s="196"/>
      <c r="F994" s="196"/>
      <c r="G994" s="24"/>
      <c r="H994" s="24"/>
      <c r="I994" s="196"/>
      <c r="J994" s="196"/>
      <c r="K994" s="196"/>
      <c r="L994" s="196"/>
      <c r="M994" s="196"/>
      <c r="N994" s="196"/>
      <c r="O994" s="196"/>
      <c r="P994" s="196"/>
      <c r="Q994" s="196"/>
      <c r="R994" s="196"/>
      <c r="S994" s="196"/>
      <c r="T994" s="196"/>
      <c r="U994" s="196"/>
      <c r="V994" s="196"/>
      <c r="W994" s="196"/>
      <c r="X994" s="196"/>
      <c r="Y994" s="196"/>
      <c r="Z994" s="196"/>
      <c r="AA994" s="196"/>
      <c r="AB994" s="196"/>
      <c r="AC994" s="196"/>
      <c r="AD994" s="196"/>
    </row>
    <row r="995" spans="1:30" ht="12.9">
      <c r="A995" s="196"/>
      <c r="B995" s="143"/>
      <c r="C995" s="196"/>
      <c r="D995" s="196"/>
      <c r="E995" s="196"/>
      <c r="F995" s="196"/>
      <c r="G995" s="24"/>
      <c r="H995" s="24"/>
      <c r="I995" s="196"/>
      <c r="J995" s="196"/>
      <c r="K995" s="196"/>
      <c r="L995" s="196"/>
      <c r="M995" s="196"/>
      <c r="N995" s="196"/>
      <c r="O995" s="196"/>
      <c r="P995" s="196"/>
      <c r="Q995" s="196"/>
      <c r="R995" s="196"/>
      <c r="S995" s="196"/>
      <c r="T995" s="196"/>
      <c r="U995" s="196"/>
      <c r="V995" s="196"/>
      <c r="W995" s="196"/>
      <c r="X995" s="196"/>
      <c r="Y995" s="196"/>
      <c r="Z995" s="196"/>
      <c r="AA995" s="196"/>
      <c r="AB995" s="196"/>
      <c r="AC995" s="196"/>
      <c r="AD995" s="196"/>
    </row>
    <row r="996" spans="1:30" ht="12.9">
      <c r="A996" s="196"/>
      <c r="B996" s="143"/>
      <c r="C996" s="196"/>
      <c r="D996" s="196"/>
      <c r="E996" s="196"/>
      <c r="F996" s="196"/>
      <c r="G996" s="24"/>
      <c r="H996" s="24"/>
      <c r="I996" s="196"/>
      <c r="J996" s="196"/>
      <c r="K996" s="196"/>
      <c r="L996" s="196"/>
      <c r="M996" s="196"/>
      <c r="N996" s="196"/>
      <c r="O996" s="196"/>
      <c r="P996" s="196"/>
      <c r="Q996" s="196"/>
      <c r="R996" s="196"/>
      <c r="S996" s="196"/>
      <c r="T996" s="196"/>
      <c r="U996" s="196"/>
      <c r="V996" s="196"/>
      <c r="W996" s="196"/>
      <c r="X996" s="196"/>
      <c r="Y996" s="196"/>
      <c r="Z996" s="196"/>
      <c r="AA996" s="196"/>
      <c r="AB996" s="196"/>
      <c r="AC996" s="196"/>
      <c r="AD996" s="196"/>
    </row>
    <row r="997" spans="1:30" ht="12.9">
      <c r="A997" s="196"/>
      <c r="B997" s="143"/>
      <c r="C997" s="196"/>
      <c r="D997" s="196"/>
      <c r="E997" s="196"/>
      <c r="F997" s="196"/>
      <c r="G997" s="24"/>
      <c r="H997" s="24"/>
      <c r="I997" s="196"/>
      <c r="J997" s="196"/>
      <c r="K997" s="196"/>
      <c r="L997" s="196"/>
      <c r="M997" s="196"/>
      <c r="N997" s="196"/>
      <c r="O997" s="196"/>
      <c r="P997" s="196"/>
      <c r="Q997" s="196"/>
      <c r="R997" s="196"/>
      <c r="S997" s="196"/>
      <c r="T997" s="196"/>
      <c r="U997" s="196"/>
      <c r="V997" s="196"/>
      <c r="W997" s="196"/>
      <c r="X997" s="196"/>
      <c r="Y997" s="196"/>
      <c r="Z997" s="196"/>
      <c r="AA997" s="196"/>
      <c r="AB997" s="196"/>
      <c r="AC997" s="196"/>
      <c r="AD997" s="196"/>
    </row>
    <row r="998" spans="1:30" ht="12.9">
      <c r="A998" s="196"/>
      <c r="B998" s="143"/>
      <c r="C998" s="196"/>
      <c r="D998" s="196"/>
      <c r="E998" s="196"/>
      <c r="F998" s="196"/>
      <c r="G998" s="24"/>
      <c r="H998" s="24"/>
      <c r="I998" s="196"/>
      <c r="J998" s="196"/>
      <c r="K998" s="196"/>
      <c r="L998" s="196"/>
      <c r="M998" s="196"/>
      <c r="N998" s="196"/>
      <c r="O998" s="196"/>
      <c r="P998" s="196"/>
      <c r="Q998" s="196"/>
      <c r="R998" s="196"/>
      <c r="S998" s="196"/>
      <c r="T998" s="196"/>
      <c r="U998" s="196"/>
      <c r="V998" s="196"/>
      <c r="W998" s="196"/>
      <c r="X998" s="196"/>
      <c r="Y998" s="196"/>
      <c r="Z998" s="196"/>
      <c r="AA998" s="196"/>
      <c r="AB998" s="196"/>
      <c r="AC998" s="196"/>
      <c r="AD998" s="196"/>
    </row>
    <row r="999" spans="1:30" ht="12.9">
      <c r="A999" s="196"/>
      <c r="B999" s="143"/>
      <c r="C999" s="196"/>
      <c r="D999" s="196"/>
      <c r="E999" s="196"/>
      <c r="F999" s="196"/>
      <c r="G999" s="24"/>
      <c r="H999" s="24"/>
      <c r="I999" s="196"/>
      <c r="J999" s="196"/>
      <c r="K999" s="196"/>
      <c r="L999" s="196"/>
      <c r="M999" s="196"/>
      <c r="N999" s="196"/>
      <c r="O999" s="196"/>
      <c r="P999" s="196"/>
      <c r="Q999" s="196"/>
      <c r="R999" s="196"/>
      <c r="S999" s="196"/>
      <c r="T999" s="196"/>
      <c r="U999" s="196"/>
      <c r="V999" s="196"/>
      <c r="W999" s="196"/>
      <c r="X999" s="196"/>
      <c r="Y999" s="196"/>
      <c r="Z999" s="196"/>
      <c r="AA999" s="196"/>
      <c r="AB999" s="196"/>
      <c r="AC999" s="196"/>
      <c r="AD999" s="196"/>
    </row>
    <row r="1000" spans="1:30" ht="12.9">
      <c r="A1000" s="196"/>
      <c r="B1000" s="143"/>
      <c r="C1000" s="196"/>
      <c r="D1000" s="196"/>
      <c r="E1000" s="196"/>
      <c r="F1000" s="196"/>
      <c r="G1000" s="24"/>
      <c r="H1000" s="24"/>
      <c r="I1000" s="196"/>
      <c r="J1000" s="196"/>
      <c r="K1000" s="196"/>
      <c r="L1000" s="196"/>
      <c r="M1000" s="196"/>
      <c r="N1000" s="196"/>
      <c r="O1000" s="196"/>
      <c r="P1000" s="196"/>
      <c r="Q1000" s="196"/>
      <c r="R1000" s="196"/>
      <c r="S1000" s="196"/>
      <c r="T1000" s="196"/>
      <c r="U1000" s="196"/>
      <c r="V1000" s="196"/>
      <c r="W1000" s="196"/>
      <c r="X1000" s="196"/>
      <c r="Y1000" s="196"/>
      <c r="Z1000" s="196"/>
      <c r="AA1000" s="196"/>
      <c r="AB1000" s="196"/>
      <c r="AC1000" s="196"/>
      <c r="AD1000" s="196"/>
    </row>
    <row r="1001" spans="1:30" ht="12.9">
      <c r="A1001" s="196"/>
      <c r="B1001" s="143"/>
      <c r="C1001" s="196"/>
      <c r="D1001" s="196"/>
      <c r="E1001" s="196"/>
      <c r="F1001" s="196"/>
      <c r="G1001" s="24"/>
      <c r="H1001" s="24"/>
      <c r="I1001" s="196"/>
      <c r="J1001" s="196"/>
      <c r="K1001" s="196"/>
      <c r="L1001" s="196"/>
      <c r="M1001" s="196"/>
      <c r="N1001" s="196"/>
      <c r="O1001" s="196"/>
      <c r="P1001" s="196"/>
      <c r="Q1001" s="196"/>
      <c r="R1001" s="196"/>
      <c r="S1001" s="196"/>
      <c r="T1001" s="196"/>
      <c r="U1001" s="196"/>
      <c r="V1001" s="196"/>
      <c r="W1001" s="196"/>
      <c r="X1001" s="196"/>
      <c r="Y1001" s="196"/>
      <c r="Z1001" s="196"/>
      <c r="AA1001" s="196"/>
      <c r="AB1001" s="196"/>
      <c r="AC1001" s="196"/>
      <c r="AD1001" s="196"/>
    </row>
    <row r="1002" spans="1:30" ht="12.9">
      <c r="A1002" s="196"/>
      <c r="B1002" s="143"/>
      <c r="C1002" s="196"/>
      <c r="D1002" s="196"/>
      <c r="E1002" s="196"/>
      <c r="F1002" s="196"/>
      <c r="G1002" s="24"/>
      <c r="H1002" s="24"/>
      <c r="I1002" s="196"/>
      <c r="J1002" s="196"/>
      <c r="K1002" s="196"/>
      <c r="L1002" s="196"/>
      <c r="M1002" s="196"/>
      <c r="N1002" s="196"/>
      <c r="O1002" s="196"/>
      <c r="P1002" s="196"/>
      <c r="Q1002" s="196"/>
      <c r="R1002" s="196"/>
      <c r="S1002" s="196"/>
      <c r="T1002" s="196"/>
      <c r="U1002" s="196"/>
      <c r="V1002" s="196"/>
      <c r="W1002" s="196"/>
      <c r="X1002" s="196"/>
      <c r="Y1002" s="196"/>
      <c r="Z1002" s="196"/>
      <c r="AA1002" s="196"/>
      <c r="AB1002" s="196"/>
      <c r="AC1002" s="196"/>
      <c r="AD1002" s="196"/>
    </row>
    <row r="1003" spans="1:30" ht="12.9">
      <c r="A1003" s="196"/>
      <c r="B1003" s="143"/>
      <c r="C1003" s="196"/>
      <c r="D1003" s="196"/>
      <c r="E1003" s="196"/>
      <c r="F1003" s="196"/>
      <c r="G1003" s="24"/>
      <c r="H1003" s="24"/>
      <c r="I1003" s="196"/>
      <c r="J1003" s="196"/>
      <c r="K1003" s="196"/>
      <c r="L1003" s="196"/>
      <c r="M1003" s="196"/>
      <c r="N1003" s="196"/>
      <c r="O1003" s="196"/>
      <c r="P1003" s="196"/>
      <c r="Q1003" s="196"/>
      <c r="R1003" s="196"/>
      <c r="S1003" s="196"/>
      <c r="T1003" s="196"/>
      <c r="U1003" s="196"/>
      <c r="V1003" s="196"/>
      <c r="W1003" s="196"/>
      <c r="X1003" s="196"/>
      <c r="Y1003" s="196"/>
      <c r="Z1003" s="196"/>
      <c r="AA1003" s="196"/>
      <c r="AB1003" s="196"/>
      <c r="AC1003" s="196"/>
      <c r="AD1003" s="196"/>
    </row>
    <row r="1004" spans="1:30" ht="12.9">
      <c r="A1004" s="196"/>
      <c r="B1004" s="143"/>
      <c r="C1004" s="196"/>
      <c r="D1004" s="196"/>
      <c r="E1004" s="196"/>
      <c r="F1004" s="196"/>
      <c r="G1004" s="24"/>
      <c r="H1004" s="24"/>
      <c r="I1004" s="196"/>
      <c r="J1004" s="196"/>
      <c r="K1004" s="196"/>
      <c r="L1004" s="196"/>
      <c r="M1004" s="196"/>
      <c r="N1004" s="196"/>
      <c r="O1004" s="196"/>
      <c r="P1004" s="196"/>
      <c r="Q1004" s="196"/>
      <c r="R1004" s="196"/>
      <c r="S1004" s="196"/>
      <c r="T1004" s="196"/>
      <c r="U1004" s="196"/>
      <c r="V1004" s="196"/>
      <c r="W1004" s="196"/>
      <c r="X1004" s="196"/>
      <c r="Y1004" s="196"/>
      <c r="Z1004" s="196"/>
      <c r="AA1004" s="196"/>
      <c r="AB1004" s="196"/>
      <c r="AC1004" s="196"/>
      <c r="AD1004" s="196"/>
    </row>
    <row r="1005" spans="1:30" ht="12.9">
      <c r="A1005" s="196"/>
      <c r="B1005" s="143"/>
      <c r="C1005" s="196"/>
      <c r="D1005" s="196"/>
      <c r="E1005" s="196"/>
      <c r="F1005" s="196"/>
      <c r="G1005" s="24"/>
      <c r="H1005" s="24"/>
      <c r="I1005" s="196"/>
      <c r="J1005" s="196"/>
      <c r="K1005" s="196"/>
      <c r="L1005" s="196"/>
      <c r="M1005" s="196"/>
      <c r="N1005" s="196"/>
      <c r="O1005" s="196"/>
      <c r="P1005" s="196"/>
      <c r="Q1005" s="196"/>
      <c r="R1005" s="196"/>
      <c r="S1005" s="196"/>
      <c r="T1005" s="196"/>
      <c r="U1005" s="196"/>
      <c r="V1005" s="196"/>
      <c r="W1005" s="196"/>
      <c r="X1005" s="196"/>
      <c r="Y1005" s="196"/>
      <c r="Z1005" s="196"/>
      <c r="AA1005" s="196"/>
      <c r="AB1005" s="196"/>
      <c r="AC1005" s="196"/>
      <c r="AD1005" s="196"/>
    </row>
    <row r="1006" spans="1:30" ht="12.9">
      <c r="A1006" s="196"/>
      <c r="B1006" s="143"/>
      <c r="C1006" s="196"/>
      <c r="D1006" s="196"/>
      <c r="E1006" s="196"/>
      <c r="F1006" s="196"/>
      <c r="G1006" s="24"/>
      <c r="H1006" s="24"/>
      <c r="I1006" s="196"/>
      <c r="J1006" s="196"/>
      <c r="K1006" s="196"/>
      <c r="L1006" s="196"/>
      <c r="M1006" s="196"/>
      <c r="N1006" s="196"/>
      <c r="O1006" s="196"/>
      <c r="P1006" s="196"/>
      <c r="Q1006" s="196"/>
      <c r="R1006" s="196"/>
      <c r="S1006" s="196"/>
      <c r="T1006" s="196"/>
      <c r="U1006" s="196"/>
      <c r="V1006" s="196"/>
      <c r="W1006" s="196"/>
      <c r="X1006" s="196"/>
      <c r="Y1006" s="196"/>
      <c r="Z1006" s="196"/>
      <c r="AA1006" s="196"/>
      <c r="AB1006" s="196"/>
      <c r="AC1006" s="196"/>
      <c r="AD1006" s="196"/>
    </row>
    <row r="1007" spans="1:30" ht="12.9">
      <c r="A1007" s="196"/>
      <c r="B1007" s="143"/>
      <c r="C1007" s="196"/>
      <c r="D1007" s="196"/>
      <c r="E1007" s="196"/>
      <c r="F1007" s="196"/>
      <c r="G1007" s="24"/>
      <c r="H1007" s="24"/>
      <c r="I1007" s="196"/>
      <c r="J1007" s="196"/>
      <c r="K1007" s="196"/>
      <c r="L1007" s="196"/>
      <c r="M1007" s="196"/>
      <c r="N1007" s="196"/>
      <c r="O1007" s="196"/>
      <c r="P1007" s="196"/>
      <c r="Q1007" s="196"/>
      <c r="R1007" s="196"/>
      <c r="S1007" s="196"/>
      <c r="T1007" s="196"/>
      <c r="U1007" s="196"/>
      <c r="V1007" s="196"/>
      <c r="W1007" s="196"/>
      <c r="X1007" s="196"/>
      <c r="Y1007" s="196"/>
      <c r="Z1007" s="196"/>
      <c r="AA1007" s="196"/>
      <c r="AB1007" s="196"/>
      <c r="AC1007" s="196"/>
      <c r="AD1007" s="196"/>
    </row>
    <row r="1008" spans="1:30" ht="12.9">
      <c r="A1008" s="196"/>
      <c r="B1008" s="143"/>
      <c r="C1008" s="196"/>
      <c r="D1008" s="196"/>
      <c r="E1008" s="196"/>
      <c r="F1008" s="196"/>
      <c r="G1008" s="24"/>
      <c r="H1008" s="24"/>
      <c r="I1008" s="196"/>
      <c r="J1008" s="196"/>
      <c r="K1008" s="196"/>
      <c r="L1008" s="196"/>
      <c r="M1008" s="196"/>
      <c r="N1008" s="196"/>
      <c r="O1008" s="196"/>
      <c r="P1008" s="196"/>
      <c r="Q1008" s="196"/>
      <c r="R1008" s="196"/>
      <c r="S1008" s="196"/>
      <c r="T1008" s="196"/>
      <c r="U1008" s="196"/>
      <c r="V1008" s="196"/>
      <c r="W1008" s="196"/>
      <c r="X1008" s="196"/>
      <c r="Y1008" s="196"/>
      <c r="Z1008" s="196"/>
      <c r="AA1008" s="196"/>
      <c r="AB1008" s="196"/>
      <c r="AC1008" s="196"/>
      <c r="AD1008" s="196"/>
    </row>
    <row r="1009" spans="1:30" ht="12.9">
      <c r="A1009" s="196"/>
      <c r="B1009" s="143"/>
      <c r="C1009" s="196"/>
      <c r="D1009" s="196"/>
      <c r="E1009" s="196"/>
      <c r="F1009" s="196"/>
      <c r="G1009" s="24"/>
      <c r="H1009" s="24"/>
      <c r="I1009" s="196"/>
      <c r="J1009" s="196"/>
      <c r="K1009" s="196"/>
      <c r="L1009" s="196"/>
      <c r="M1009" s="196"/>
      <c r="N1009" s="196"/>
      <c r="O1009" s="196"/>
      <c r="P1009" s="196"/>
      <c r="Q1009" s="196"/>
      <c r="R1009" s="196"/>
      <c r="S1009" s="196"/>
      <c r="T1009" s="196"/>
      <c r="U1009" s="196"/>
      <c r="V1009" s="196"/>
      <c r="W1009" s="196"/>
      <c r="X1009" s="196"/>
      <c r="Y1009" s="196"/>
      <c r="Z1009" s="196"/>
      <c r="AA1009" s="196"/>
      <c r="AB1009" s="196"/>
      <c r="AC1009" s="196"/>
      <c r="AD1009" s="196"/>
    </row>
    <row r="1010" spans="1:30" ht="12.9">
      <c r="A1010" s="196"/>
      <c r="B1010" s="143"/>
      <c r="C1010" s="196"/>
      <c r="D1010" s="196"/>
      <c r="E1010" s="196"/>
      <c r="F1010" s="196"/>
      <c r="G1010" s="24"/>
      <c r="H1010" s="24"/>
      <c r="I1010" s="196"/>
      <c r="J1010" s="196"/>
      <c r="K1010" s="196"/>
      <c r="L1010" s="196"/>
      <c r="M1010" s="196"/>
      <c r="N1010" s="196"/>
      <c r="O1010" s="196"/>
      <c r="P1010" s="196"/>
      <c r="Q1010" s="196"/>
      <c r="R1010" s="196"/>
      <c r="S1010" s="196"/>
      <c r="T1010" s="196"/>
      <c r="U1010" s="196"/>
      <c r="V1010" s="196"/>
      <c r="W1010" s="196"/>
      <c r="X1010" s="196"/>
      <c r="Y1010" s="196"/>
      <c r="Z1010" s="196"/>
      <c r="AA1010" s="196"/>
      <c r="AB1010" s="196"/>
      <c r="AC1010" s="196"/>
      <c r="AD1010" s="196"/>
    </row>
    <row r="1011" spans="1:30" ht="12.9">
      <c r="A1011" s="196"/>
      <c r="B1011" s="143"/>
      <c r="C1011" s="196"/>
      <c r="D1011" s="196"/>
      <c r="E1011" s="196"/>
      <c r="F1011" s="196"/>
      <c r="G1011" s="24"/>
      <c r="H1011" s="24"/>
      <c r="I1011" s="196"/>
      <c r="J1011" s="196"/>
      <c r="K1011" s="196"/>
      <c r="L1011" s="196"/>
      <c r="M1011" s="196"/>
      <c r="N1011" s="196"/>
      <c r="O1011" s="196"/>
      <c r="P1011" s="196"/>
      <c r="Q1011" s="196"/>
      <c r="R1011" s="196"/>
      <c r="S1011" s="196"/>
      <c r="T1011" s="196"/>
      <c r="U1011" s="196"/>
      <c r="V1011" s="196"/>
      <c r="W1011" s="196"/>
      <c r="X1011" s="196"/>
      <c r="Y1011" s="196"/>
      <c r="Z1011" s="196"/>
      <c r="AA1011" s="196"/>
      <c r="AB1011" s="196"/>
      <c r="AC1011" s="196"/>
      <c r="AD1011" s="196"/>
    </row>
    <row r="1012" spans="1:30" ht="12.9">
      <c r="A1012" s="196"/>
      <c r="B1012" s="143"/>
      <c r="C1012" s="196"/>
      <c r="D1012" s="196"/>
      <c r="E1012" s="196"/>
      <c r="F1012" s="196"/>
      <c r="G1012" s="24"/>
      <c r="H1012" s="24"/>
      <c r="I1012" s="196"/>
      <c r="J1012" s="196"/>
      <c r="K1012" s="196"/>
      <c r="L1012" s="196"/>
      <c r="M1012" s="196"/>
      <c r="N1012" s="196"/>
      <c r="O1012" s="196"/>
      <c r="P1012" s="196"/>
      <c r="Q1012" s="196"/>
      <c r="R1012" s="196"/>
      <c r="S1012" s="196"/>
      <c r="T1012" s="196"/>
      <c r="U1012" s="196"/>
      <c r="V1012" s="196"/>
      <c r="W1012" s="196"/>
      <c r="X1012" s="196"/>
      <c r="Y1012" s="196"/>
      <c r="Z1012" s="196"/>
      <c r="AA1012" s="196"/>
      <c r="AB1012" s="196"/>
      <c r="AC1012" s="196"/>
      <c r="AD1012" s="196"/>
    </row>
    <row r="1013" spans="1:30" ht="12.9">
      <c r="A1013" s="196"/>
      <c r="B1013" s="143"/>
      <c r="C1013" s="196"/>
      <c r="D1013" s="196"/>
      <c r="E1013" s="196"/>
      <c r="F1013" s="196"/>
      <c r="G1013" s="24"/>
      <c r="H1013" s="24"/>
      <c r="I1013" s="196"/>
      <c r="J1013" s="196"/>
      <c r="K1013" s="196"/>
      <c r="L1013" s="196"/>
      <c r="M1013" s="196"/>
      <c r="N1013" s="196"/>
      <c r="O1013" s="196"/>
      <c r="P1013" s="196"/>
      <c r="Q1013" s="196"/>
      <c r="R1013" s="196"/>
      <c r="S1013" s="196"/>
      <c r="T1013" s="196"/>
      <c r="U1013" s="196"/>
      <c r="V1013" s="196"/>
      <c r="W1013" s="196"/>
      <c r="X1013" s="196"/>
      <c r="Y1013" s="196"/>
      <c r="Z1013" s="196"/>
      <c r="AA1013" s="196"/>
      <c r="AB1013" s="196"/>
      <c r="AC1013" s="196"/>
      <c r="AD1013" s="196"/>
    </row>
    <row r="1014" spans="1:30" ht="12.9">
      <c r="A1014" s="196"/>
      <c r="B1014" s="143"/>
      <c r="C1014" s="196"/>
      <c r="D1014" s="196"/>
      <c r="E1014" s="196"/>
      <c r="F1014" s="196"/>
      <c r="G1014" s="24"/>
      <c r="H1014" s="24"/>
      <c r="I1014" s="196"/>
      <c r="J1014" s="196"/>
      <c r="K1014" s="196"/>
      <c r="L1014" s="196"/>
      <c r="M1014" s="196"/>
      <c r="N1014" s="196"/>
      <c r="O1014" s="196"/>
      <c r="P1014" s="196"/>
      <c r="Q1014" s="196"/>
      <c r="R1014" s="196"/>
      <c r="S1014" s="196"/>
      <c r="T1014" s="196"/>
      <c r="U1014" s="196"/>
      <c r="V1014" s="196"/>
      <c r="W1014" s="196"/>
      <c r="X1014" s="196"/>
      <c r="Y1014" s="196"/>
      <c r="Z1014" s="196"/>
      <c r="AA1014" s="196"/>
      <c r="AB1014" s="196"/>
      <c r="AC1014" s="196"/>
      <c r="AD1014" s="196"/>
    </row>
    <row r="1015" spans="1:30" ht="12.9">
      <c r="A1015" s="196"/>
      <c r="B1015" s="143"/>
      <c r="C1015" s="196"/>
      <c r="D1015" s="196"/>
      <c r="E1015" s="196"/>
      <c r="F1015" s="196"/>
      <c r="G1015" s="24"/>
      <c r="H1015" s="24"/>
      <c r="I1015" s="196"/>
      <c r="J1015" s="196"/>
      <c r="K1015" s="196"/>
      <c r="L1015" s="196"/>
      <c r="M1015" s="196"/>
      <c r="N1015" s="196"/>
      <c r="O1015" s="196"/>
      <c r="P1015" s="196"/>
      <c r="Q1015" s="196"/>
      <c r="R1015" s="196"/>
      <c r="S1015" s="196"/>
      <c r="T1015" s="196"/>
      <c r="U1015" s="196"/>
      <c r="V1015" s="196"/>
      <c r="W1015" s="196"/>
      <c r="X1015" s="196"/>
      <c r="Y1015" s="196"/>
      <c r="Z1015" s="196"/>
      <c r="AA1015" s="196"/>
      <c r="AB1015" s="196"/>
      <c r="AC1015" s="196"/>
      <c r="AD1015" s="196"/>
    </row>
    <row r="1016" spans="1:30" ht="12.9">
      <c r="A1016" s="196"/>
      <c r="B1016" s="143"/>
      <c r="C1016" s="196"/>
      <c r="D1016" s="196"/>
      <c r="E1016" s="196"/>
      <c r="F1016" s="196"/>
      <c r="G1016" s="24"/>
      <c r="H1016" s="24"/>
      <c r="I1016" s="196"/>
      <c r="J1016" s="196"/>
      <c r="K1016" s="196"/>
      <c r="L1016" s="196"/>
      <c r="M1016" s="196"/>
      <c r="N1016" s="196"/>
      <c r="O1016" s="196"/>
      <c r="P1016" s="196"/>
      <c r="Q1016" s="196"/>
      <c r="R1016" s="196"/>
      <c r="S1016" s="196"/>
      <c r="T1016" s="196"/>
      <c r="U1016" s="196"/>
      <c r="V1016" s="196"/>
      <c r="W1016" s="196"/>
      <c r="X1016" s="196"/>
      <c r="Y1016" s="196"/>
      <c r="Z1016" s="196"/>
      <c r="AA1016" s="196"/>
      <c r="AB1016" s="196"/>
      <c r="AC1016" s="196"/>
      <c r="AD1016" s="196"/>
    </row>
    <row r="1017" spans="1:30" ht="12.9">
      <c r="A1017" s="196"/>
      <c r="B1017" s="143"/>
      <c r="C1017" s="196"/>
      <c r="D1017" s="196"/>
      <c r="E1017" s="196"/>
      <c r="F1017" s="196"/>
      <c r="G1017" s="24"/>
      <c r="H1017" s="24"/>
      <c r="I1017" s="196"/>
      <c r="J1017" s="196"/>
      <c r="K1017" s="196"/>
      <c r="L1017" s="196"/>
      <c r="M1017" s="196"/>
      <c r="N1017" s="196"/>
      <c r="O1017" s="196"/>
      <c r="P1017" s="196"/>
      <c r="Q1017" s="196"/>
      <c r="R1017" s="196"/>
      <c r="S1017" s="196"/>
      <c r="T1017" s="196"/>
      <c r="U1017" s="196"/>
      <c r="V1017" s="196"/>
      <c r="W1017" s="196"/>
      <c r="X1017" s="196"/>
      <c r="Y1017" s="196"/>
      <c r="Z1017" s="196"/>
      <c r="AA1017" s="196"/>
      <c r="AB1017" s="196"/>
      <c r="AC1017" s="196"/>
      <c r="AD1017" s="196"/>
    </row>
    <row r="1018" spans="1:30" ht="12.9">
      <c r="A1018" s="196"/>
      <c r="B1018" s="143"/>
      <c r="C1018" s="196"/>
      <c r="D1018" s="196"/>
      <c r="E1018" s="196"/>
      <c r="F1018" s="196"/>
      <c r="G1018" s="24"/>
      <c r="H1018" s="24"/>
      <c r="I1018" s="196"/>
      <c r="J1018" s="196"/>
      <c r="K1018" s="196"/>
      <c r="L1018" s="196"/>
      <c r="M1018" s="196"/>
      <c r="N1018" s="196"/>
      <c r="O1018" s="196"/>
      <c r="P1018" s="196"/>
      <c r="Q1018" s="196"/>
      <c r="R1018" s="196"/>
      <c r="S1018" s="196"/>
      <c r="T1018" s="196"/>
      <c r="U1018" s="196"/>
      <c r="V1018" s="196"/>
      <c r="W1018" s="196"/>
      <c r="X1018" s="196"/>
      <c r="Y1018" s="196"/>
      <c r="Z1018" s="196"/>
      <c r="AA1018" s="196"/>
      <c r="AB1018" s="196"/>
      <c r="AC1018" s="196"/>
      <c r="AD1018" s="196"/>
    </row>
    <row r="1019" spans="1:30" ht="12.9">
      <c r="A1019" s="196"/>
      <c r="B1019" s="143"/>
      <c r="C1019" s="196"/>
      <c r="D1019" s="196"/>
      <c r="E1019" s="196"/>
      <c r="F1019" s="196"/>
      <c r="G1019" s="24"/>
      <c r="H1019" s="24"/>
      <c r="I1019" s="196"/>
      <c r="J1019" s="196"/>
      <c r="K1019" s="196"/>
      <c r="L1019" s="196"/>
      <c r="M1019" s="196"/>
      <c r="N1019" s="196"/>
      <c r="O1019" s="196"/>
      <c r="P1019" s="196"/>
      <c r="Q1019" s="196"/>
      <c r="R1019" s="196"/>
      <c r="S1019" s="196"/>
      <c r="T1019" s="196"/>
      <c r="U1019" s="196"/>
      <c r="V1019" s="196"/>
      <c r="W1019" s="196"/>
      <c r="X1019" s="196"/>
      <c r="Y1019" s="196"/>
      <c r="Z1019" s="196"/>
      <c r="AA1019" s="196"/>
      <c r="AB1019" s="196"/>
      <c r="AC1019" s="196"/>
      <c r="AD1019" s="196"/>
    </row>
    <row r="1020" spans="1:30" ht="12.9">
      <c r="A1020" s="196"/>
      <c r="B1020" s="143"/>
      <c r="C1020" s="196"/>
      <c r="D1020" s="196"/>
      <c r="E1020" s="196"/>
      <c r="F1020" s="196"/>
      <c r="G1020" s="24"/>
      <c r="H1020" s="24"/>
      <c r="I1020" s="196"/>
      <c r="J1020" s="196"/>
      <c r="K1020" s="196"/>
      <c r="L1020" s="196"/>
      <c r="M1020" s="196"/>
      <c r="N1020" s="196"/>
      <c r="O1020" s="196"/>
      <c r="P1020" s="196"/>
      <c r="Q1020" s="196"/>
      <c r="R1020" s="196"/>
      <c r="S1020" s="196"/>
      <c r="T1020" s="196"/>
      <c r="U1020" s="196"/>
      <c r="V1020" s="196"/>
      <c r="W1020" s="196"/>
      <c r="X1020" s="196"/>
      <c r="Y1020" s="196"/>
      <c r="Z1020" s="196"/>
      <c r="AA1020" s="196"/>
      <c r="AB1020" s="196"/>
      <c r="AC1020" s="196"/>
      <c r="AD1020" s="196"/>
    </row>
    <row r="1021" spans="1:30" ht="12.9">
      <c r="A1021" s="196"/>
      <c r="B1021" s="143"/>
      <c r="C1021" s="196"/>
      <c r="D1021" s="196"/>
      <c r="E1021" s="196"/>
      <c r="F1021" s="196"/>
      <c r="G1021" s="24"/>
      <c r="H1021" s="24"/>
      <c r="I1021" s="196"/>
      <c r="J1021" s="196"/>
      <c r="K1021" s="196"/>
      <c r="L1021" s="196"/>
      <c r="M1021" s="196"/>
      <c r="N1021" s="196"/>
      <c r="O1021" s="196"/>
      <c r="P1021" s="196"/>
      <c r="Q1021" s="196"/>
      <c r="R1021" s="196"/>
      <c r="S1021" s="196"/>
      <c r="T1021" s="196"/>
      <c r="U1021" s="196"/>
      <c r="V1021" s="196"/>
      <c r="W1021" s="196"/>
      <c r="X1021" s="196"/>
      <c r="Y1021" s="196"/>
      <c r="Z1021" s="196"/>
      <c r="AA1021" s="196"/>
      <c r="AB1021" s="196"/>
      <c r="AC1021" s="196"/>
      <c r="AD1021" s="196"/>
    </row>
    <row r="1022" spans="1:30" ht="12.9">
      <c r="A1022" s="196"/>
      <c r="B1022" s="143"/>
      <c r="C1022" s="196"/>
      <c r="D1022" s="196"/>
      <c r="E1022" s="196"/>
      <c r="F1022" s="196"/>
      <c r="G1022" s="24"/>
      <c r="H1022" s="24"/>
      <c r="I1022" s="196"/>
      <c r="J1022" s="196"/>
      <c r="K1022" s="196"/>
      <c r="L1022" s="196"/>
      <c r="M1022" s="196"/>
      <c r="N1022" s="196"/>
      <c r="O1022" s="196"/>
      <c r="P1022" s="196"/>
      <c r="Q1022" s="196"/>
      <c r="R1022" s="196"/>
      <c r="S1022" s="196"/>
      <c r="T1022" s="196"/>
      <c r="U1022" s="196"/>
      <c r="V1022" s="196"/>
      <c r="W1022" s="196"/>
      <c r="X1022" s="196"/>
      <c r="Y1022" s="196"/>
      <c r="Z1022" s="196"/>
      <c r="AA1022" s="196"/>
      <c r="AB1022" s="196"/>
      <c r="AC1022" s="196"/>
      <c r="AD1022" s="196"/>
    </row>
    <row r="1023" spans="1:30" ht="12.9">
      <c r="A1023" s="196"/>
      <c r="B1023" s="143"/>
      <c r="C1023" s="196"/>
      <c r="D1023" s="196"/>
      <c r="E1023" s="196"/>
      <c r="F1023" s="196"/>
      <c r="G1023" s="24"/>
      <c r="H1023" s="24"/>
      <c r="I1023" s="196"/>
      <c r="J1023" s="196"/>
      <c r="K1023" s="196"/>
      <c r="L1023" s="196"/>
      <c r="M1023" s="196"/>
      <c r="N1023" s="196"/>
      <c r="O1023" s="196"/>
      <c r="P1023" s="196"/>
      <c r="Q1023" s="196"/>
      <c r="R1023" s="196"/>
      <c r="S1023" s="196"/>
      <c r="T1023" s="196"/>
      <c r="U1023" s="196"/>
      <c r="V1023" s="196"/>
      <c r="W1023" s="196"/>
      <c r="X1023" s="196"/>
      <c r="Y1023" s="196"/>
      <c r="Z1023" s="196"/>
      <c r="AA1023" s="196"/>
      <c r="AB1023" s="196"/>
      <c r="AC1023" s="196"/>
      <c r="AD1023" s="196"/>
    </row>
    <row r="1024" spans="1:30" ht="12.9">
      <c r="A1024" s="196"/>
      <c r="B1024" s="143"/>
      <c r="C1024" s="196"/>
      <c r="D1024" s="196"/>
      <c r="E1024" s="196"/>
      <c r="F1024" s="196"/>
      <c r="G1024" s="24"/>
      <c r="H1024" s="24"/>
      <c r="I1024" s="196"/>
      <c r="J1024" s="196"/>
      <c r="K1024" s="196"/>
      <c r="L1024" s="196"/>
      <c r="M1024" s="196"/>
      <c r="N1024" s="196"/>
      <c r="O1024" s="196"/>
      <c r="P1024" s="196"/>
      <c r="Q1024" s="196"/>
      <c r="R1024" s="196"/>
      <c r="S1024" s="196"/>
      <c r="T1024" s="196"/>
      <c r="U1024" s="196"/>
      <c r="V1024" s="196"/>
      <c r="W1024" s="196"/>
      <c r="X1024" s="196"/>
      <c r="Y1024" s="196"/>
      <c r="Z1024" s="196"/>
      <c r="AA1024" s="196"/>
      <c r="AB1024" s="196"/>
      <c r="AC1024" s="196"/>
      <c r="AD1024" s="196"/>
    </row>
    <row r="1025" spans="1:30" ht="12.9">
      <c r="A1025" s="196"/>
      <c r="B1025" s="143"/>
      <c r="C1025" s="196"/>
      <c r="D1025" s="196"/>
      <c r="E1025" s="196"/>
      <c r="F1025" s="196"/>
      <c r="G1025" s="24"/>
      <c r="H1025" s="24"/>
      <c r="I1025" s="196"/>
      <c r="J1025" s="196"/>
      <c r="K1025" s="196"/>
      <c r="L1025" s="196"/>
      <c r="M1025" s="196"/>
      <c r="N1025" s="196"/>
      <c r="O1025" s="196"/>
      <c r="P1025" s="196"/>
      <c r="Q1025" s="196"/>
      <c r="R1025" s="196"/>
      <c r="S1025" s="196"/>
      <c r="T1025" s="196"/>
      <c r="U1025" s="196"/>
      <c r="V1025" s="196"/>
      <c r="W1025" s="196"/>
      <c r="X1025" s="196"/>
      <c r="Y1025" s="196"/>
      <c r="Z1025" s="196"/>
      <c r="AA1025" s="196"/>
      <c r="AB1025" s="196"/>
      <c r="AC1025" s="196"/>
      <c r="AD1025" s="196"/>
    </row>
    <row r="1026" spans="1:30" ht="12.9">
      <c r="A1026" s="196"/>
      <c r="B1026" s="143"/>
      <c r="C1026" s="196"/>
      <c r="D1026" s="196"/>
      <c r="E1026" s="196"/>
      <c r="F1026" s="196"/>
      <c r="G1026" s="24"/>
      <c r="H1026" s="24"/>
      <c r="I1026" s="196"/>
      <c r="J1026" s="196"/>
      <c r="K1026" s="196"/>
      <c r="L1026" s="196"/>
      <c r="M1026" s="196"/>
      <c r="N1026" s="196"/>
      <c r="O1026" s="196"/>
      <c r="P1026" s="196"/>
      <c r="Q1026" s="196"/>
      <c r="R1026" s="196"/>
      <c r="S1026" s="196"/>
      <c r="T1026" s="196"/>
      <c r="U1026" s="196"/>
      <c r="V1026" s="196"/>
      <c r="W1026" s="196"/>
      <c r="X1026" s="196"/>
      <c r="Y1026" s="196"/>
      <c r="Z1026" s="196"/>
      <c r="AA1026" s="196"/>
      <c r="AB1026" s="196"/>
      <c r="AC1026" s="196"/>
      <c r="AD1026" s="196"/>
    </row>
    <row r="1027" spans="1:30" ht="12.9">
      <c r="A1027" s="196"/>
      <c r="B1027" s="143"/>
      <c r="C1027" s="196"/>
      <c r="D1027" s="196"/>
      <c r="E1027" s="196"/>
      <c r="F1027" s="196"/>
      <c r="G1027" s="24"/>
      <c r="H1027" s="24"/>
      <c r="I1027" s="196"/>
      <c r="J1027" s="196"/>
      <c r="K1027" s="196"/>
      <c r="L1027" s="196"/>
      <c r="M1027" s="196"/>
      <c r="N1027" s="196"/>
      <c r="O1027" s="196"/>
      <c r="P1027" s="196"/>
      <c r="Q1027" s="196"/>
      <c r="R1027" s="196"/>
      <c r="S1027" s="196"/>
      <c r="T1027" s="196"/>
      <c r="U1027" s="196"/>
      <c r="V1027" s="196"/>
      <c r="W1027" s="196"/>
      <c r="X1027" s="196"/>
      <c r="Y1027" s="196"/>
      <c r="Z1027" s="196"/>
      <c r="AA1027" s="196"/>
      <c r="AB1027" s="196"/>
      <c r="AC1027" s="196"/>
      <c r="AD1027" s="196"/>
    </row>
    <row r="1028" spans="1:30" ht="12.9">
      <c r="A1028" s="196"/>
      <c r="B1028" s="143"/>
      <c r="C1028" s="196"/>
      <c r="D1028" s="196"/>
      <c r="E1028" s="196"/>
      <c r="F1028" s="196"/>
      <c r="G1028" s="24"/>
      <c r="H1028" s="24"/>
      <c r="I1028" s="196"/>
      <c r="J1028" s="196"/>
      <c r="K1028" s="196"/>
      <c r="L1028" s="196"/>
      <c r="M1028" s="196"/>
      <c r="N1028" s="196"/>
      <c r="O1028" s="196"/>
      <c r="P1028" s="196"/>
      <c r="Q1028" s="196"/>
      <c r="R1028" s="196"/>
      <c r="S1028" s="196"/>
      <c r="T1028" s="196"/>
      <c r="U1028" s="196"/>
      <c r="V1028" s="196"/>
      <c r="W1028" s="196"/>
      <c r="X1028" s="196"/>
      <c r="Y1028" s="196"/>
      <c r="Z1028" s="196"/>
      <c r="AA1028" s="196"/>
      <c r="AB1028" s="196"/>
      <c r="AC1028" s="196"/>
      <c r="AD1028" s="196"/>
    </row>
    <row r="1029" spans="1:30" ht="12.9">
      <c r="A1029" s="196"/>
      <c r="B1029" s="143"/>
      <c r="C1029" s="196"/>
      <c r="D1029" s="196"/>
      <c r="E1029" s="196"/>
      <c r="F1029" s="196"/>
      <c r="G1029" s="24"/>
      <c r="H1029" s="24"/>
      <c r="I1029" s="196"/>
      <c r="J1029" s="196"/>
      <c r="K1029" s="196"/>
      <c r="L1029" s="196"/>
      <c r="M1029" s="196"/>
      <c r="N1029" s="196"/>
      <c r="O1029" s="196"/>
      <c r="P1029" s="196"/>
      <c r="Q1029" s="196"/>
      <c r="R1029" s="196"/>
      <c r="S1029" s="196"/>
      <c r="T1029" s="196"/>
      <c r="U1029" s="196"/>
      <c r="V1029" s="196"/>
      <c r="W1029" s="196"/>
      <c r="X1029" s="196"/>
      <c r="Y1029" s="196"/>
      <c r="Z1029" s="196"/>
      <c r="AA1029" s="196"/>
      <c r="AB1029" s="196"/>
      <c r="AC1029" s="196"/>
      <c r="AD1029" s="196"/>
    </row>
    <row r="1030" spans="1:30" ht="12.9">
      <c r="A1030" s="196"/>
      <c r="B1030" s="143"/>
      <c r="C1030" s="196"/>
      <c r="D1030" s="196"/>
      <c r="E1030" s="196"/>
      <c r="F1030" s="196"/>
      <c r="G1030" s="24"/>
      <c r="H1030" s="24"/>
      <c r="I1030" s="196"/>
      <c r="J1030" s="196"/>
      <c r="K1030" s="196"/>
      <c r="L1030" s="196"/>
      <c r="M1030" s="196"/>
      <c r="N1030" s="196"/>
      <c r="O1030" s="196"/>
      <c r="P1030" s="196"/>
      <c r="Q1030" s="196"/>
      <c r="R1030" s="196"/>
      <c r="S1030" s="196"/>
      <c r="T1030" s="196"/>
      <c r="U1030" s="196"/>
      <c r="V1030" s="196"/>
      <c r="W1030" s="196"/>
      <c r="X1030" s="196"/>
      <c r="Y1030" s="196"/>
      <c r="Z1030" s="196"/>
      <c r="AA1030" s="196"/>
      <c r="AB1030" s="196"/>
      <c r="AC1030" s="196"/>
      <c r="AD1030" s="196"/>
    </row>
    <row r="1031" spans="1:30" ht="12.9">
      <c r="A1031" s="196"/>
      <c r="B1031" s="143"/>
      <c r="C1031" s="196"/>
      <c r="D1031" s="196"/>
      <c r="E1031" s="196"/>
      <c r="F1031" s="196"/>
      <c r="G1031" s="24"/>
      <c r="H1031" s="24"/>
      <c r="I1031" s="196"/>
      <c r="J1031" s="196"/>
      <c r="K1031" s="196"/>
      <c r="L1031" s="196"/>
      <c r="M1031" s="196"/>
      <c r="N1031" s="196"/>
      <c r="O1031" s="196"/>
      <c r="P1031" s="196"/>
      <c r="Q1031" s="196"/>
      <c r="R1031" s="196"/>
      <c r="S1031" s="196"/>
      <c r="T1031" s="196"/>
      <c r="U1031" s="196"/>
      <c r="V1031" s="196"/>
      <c r="W1031" s="196"/>
      <c r="X1031" s="196"/>
      <c r="Y1031" s="196"/>
      <c r="Z1031" s="196"/>
      <c r="AA1031" s="196"/>
      <c r="AB1031" s="196"/>
      <c r="AC1031" s="196"/>
      <c r="AD1031" s="196"/>
    </row>
    <row r="1032" spans="1:30" ht="12.9">
      <c r="A1032" s="196"/>
      <c r="B1032" s="143"/>
      <c r="C1032" s="196"/>
      <c r="D1032" s="196"/>
      <c r="E1032" s="196"/>
      <c r="F1032" s="196"/>
      <c r="G1032" s="24"/>
      <c r="H1032" s="24"/>
      <c r="I1032" s="196"/>
      <c r="J1032" s="196"/>
      <c r="K1032" s="196"/>
      <c r="L1032" s="196"/>
      <c r="M1032" s="196"/>
      <c r="N1032" s="196"/>
      <c r="O1032" s="196"/>
      <c r="P1032" s="196"/>
      <c r="Q1032" s="196"/>
      <c r="R1032" s="196"/>
      <c r="S1032" s="196"/>
      <c r="T1032" s="196"/>
      <c r="U1032" s="196"/>
      <c r="V1032" s="196"/>
      <c r="W1032" s="196"/>
      <c r="X1032" s="196"/>
      <c r="Y1032" s="196"/>
      <c r="Z1032" s="196"/>
      <c r="AA1032" s="196"/>
      <c r="AB1032" s="196"/>
      <c r="AC1032" s="196"/>
      <c r="AD1032" s="196"/>
    </row>
    <row r="1033" spans="1:30" ht="12.9">
      <c r="A1033" s="196"/>
      <c r="B1033" s="143"/>
      <c r="C1033" s="196"/>
      <c r="D1033" s="196"/>
      <c r="E1033" s="196"/>
      <c r="F1033" s="196"/>
      <c r="G1033" s="24"/>
      <c r="H1033" s="24"/>
      <c r="I1033" s="196"/>
      <c r="J1033" s="196"/>
      <c r="K1033" s="196"/>
      <c r="L1033" s="196"/>
      <c r="M1033" s="196"/>
      <c r="N1033" s="196"/>
      <c r="O1033" s="196"/>
      <c r="P1033" s="196"/>
      <c r="Q1033" s="196"/>
      <c r="R1033" s="196"/>
      <c r="S1033" s="196"/>
      <c r="T1033" s="196"/>
      <c r="U1033" s="196"/>
      <c r="V1033" s="196"/>
      <c r="W1033" s="196"/>
      <c r="X1033" s="196"/>
      <c r="Y1033" s="196"/>
      <c r="Z1033" s="196"/>
      <c r="AA1033" s="196"/>
      <c r="AB1033" s="196"/>
      <c r="AC1033" s="196"/>
      <c r="AD1033" s="196"/>
    </row>
    <row r="1034" spans="1:30" ht="12.9">
      <c r="A1034" s="196"/>
      <c r="B1034" s="143"/>
      <c r="C1034" s="196"/>
      <c r="D1034" s="196"/>
      <c r="E1034" s="196"/>
      <c r="F1034" s="196"/>
      <c r="G1034" s="24"/>
      <c r="H1034" s="24"/>
      <c r="I1034" s="196"/>
      <c r="J1034" s="196"/>
      <c r="K1034" s="196"/>
      <c r="L1034" s="196"/>
      <c r="M1034" s="196"/>
      <c r="N1034" s="196"/>
      <c r="O1034" s="196"/>
      <c r="P1034" s="196"/>
      <c r="Q1034" s="196"/>
      <c r="R1034" s="196"/>
      <c r="S1034" s="196"/>
      <c r="T1034" s="196"/>
      <c r="U1034" s="196"/>
      <c r="V1034" s="196"/>
      <c r="W1034" s="196"/>
      <c r="X1034" s="196"/>
      <c r="Y1034" s="196"/>
      <c r="Z1034" s="196"/>
      <c r="AA1034" s="196"/>
      <c r="AB1034" s="196"/>
      <c r="AC1034" s="196"/>
      <c r="AD1034" s="196"/>
    </row>
    <row r="1035" spans="1:30" ht="12.9">
      <c r="A1035" s="196"/>
      <c r="B1035" s="143"/>
      <c r="C1035" s="196"/>
      <c r="D1035" s="196"/>
      <c r="E1035" s="196"/>
      <c r="F1035" s="196"/>
      <c r="G1035" s="24"/>
      <c r="H1035" s="24"/>
      <c r="I1035" s="196"/>
      <c r="J1035" s="196"/>
      <c r="K1035" s="196"/>
      <c r="L1035" s="196"/>
      <c r="M1035" s="196"/>
      <c r="N1035" s="196"/>
      <c r="O1035" s="196"/>
      <c r="P1035" s="196"/>
      <c r="Q1035" s="196"/>
      <c r="R1035" s="196"/>
      <c r="S1035" s="196"/>
      <c r="T1035" s="196"/>
      <c r="U1035" s="196"/>
      <c r="V1035" s="196"/>
      <c r="W1035" s="196"/>
      <c r="X1035" s="196"/>
      <c r="Y1035" s="196"/>
      <c r="Z1035" s="196"/>
      <c r="AA1035" s="196"/>
      <c r="AB1035" s="196"/>
      <c r="AC1035" s="196"/>
      <c r="AD1035" s="196"/>
    </row>
    <row r="1036" spans="1:30" ht="12.9">
      <c r="A1036" s="196"/>
      <c r="B1036" s="143"/>
      <c r="C1036" s="196"/>
      <c r="D1036" s="196"/>
      <c r="E1036" s="196"/>
      <c r="F1036" s="196"/>
      <c r="G1036" s="24"/>
      <c r="H1036" s="24"/>
      <c r="I1036" s="196"/>
      <c r="J1036" s="196"/>
      <c r="K1036" s="196"/>
      <c r="L1036" s="196"/>
      <c r="M1036" s="196"/>
      <c r="N1036" s="196"/>
      <c r="O1036" s="196"/>
      <c r="P1036" s="196"/>
      <c r="Q1036" s="196"/>
      <c r="R1036" s="196"/>
      <c r="S1036" s="196"/>
      <c r="T1036" s="196"/>
      <c r="U1036" s="196"/>
      <c r="V1036" s="196"/>
      <c r="W1036" s="196"/>
      <c r="X1036" s="196"/>
      <c r="Y1036" s="196"/>
      <c r="Z1036" s="196"/>
      <c r="AA1036" s="196"/>
      <c r="AB1036" s="196"/>
      <c r="AC1036" s="196"/>
      <c r="AD1036" s="196"/>
    </row>
    <row r="1037" spans="1:30" ht="12.9">
      <c r="A1037" s="196"/>
      <c r="B1037" s="143"/>
      <c r="C1037" s="196"/>
      <c r="D1037" s="196"/>
      <c r="E1037" s="196"/>
      <c r="F1037" s="196"/>
      <c r="G1037" s="24"/>
      <c r="H1037" s="24"/>
      <c r="I1037" s="196"/>
      <c r="J1037" s="196"/>
      <c r="K1037" s="196"/>
      <c r="L1037" s="196"/>
      <c r="M1037" s="196"/>
      <c r="N1037" s="196"/>
      <c r="O1037" s="196"/>
      <c r="P1037" s="196"/>
      <c r="Q1037" s="196"/>
      <c r="R1037" s="196"/>
      <c r="S1037" s="196"/>
      <c r="T1037" s="196"/>
      <c r="U1037" s="196"/>
      <c r="V1037" s="196"/>
      <c r="W1037" s="196"/>
      <c r="X1037" s="196"/>
      <c r="Y1037" s="196"/>
      <c r="Z1037" s="196"/>
      <c r="AA1037" s="196"/>
      <c r="AB1037" s="196"/>
      <c r="AC1037" s="196"/>
      <c r="AD1037" s="196"/>
    </row>
    <row r="1038" spans="1:30" ht="12.9">
      <c r="A1038" s="196"/>
      <c r="B1038" s="143"/>
      <c r="C1038" s="196"/>
      <c r="D1038" s="196"/>
      <c r="E1038" s="196"/>
      <c r="F1038" s="196"/>
      <c r="G1038" s="24"/>
      <c r="H1038" s="24"/>
      <c r="I1038" s="196"/>
      <c r="J1038" s="196"/>
      <c r="K1038" s="196"/>
      <c r="L1038" s="196"/>
      <c r="M1038" s="196"/>
      <c r="N1038" s="196"/>
      <c r="O1038" s="196"/>
      <c r="P1038" s="196"/>
      <c r="Q1038" s="196"/>
      <c r="R1038" s="196"/>
      <c r="S1038" s="196"/>
      <c r="T1038" s="196"/>
      <c r="U1038" s="196"/>
      <c r="V1038" s="196"/>
      <c r="W1038" s="196"/>
      <c r="X1038" s="196"/>
      <c r="Y1038" s="196"/>
      <c r="Z1038" s="196"/>
      <c r="AA1038" s="196"/>
      <c r="AB1038" s="196"/>
      <c r="AC1038" s="196"/>
      <c r="AD1038" s="196"/>
    </row>
    <row r="1039" spans="1:30" ht="12.9">
      <c r="A1039" s="196"/>
      <c r="B1039" s="143"/>
      <c r="C1039" s="196"/>
      <c r="D1039" s="196"/>
      <c r="E1039" s="196"/>
      <c r="F1039" s="196"/>
      <c r="G1039" s="24"/>
      <c r="H1039" s="24"/>
      <c r="I1039" s="196"/>
      <c r="J1039" s="196"/>
      <c r="K1039" s="196"/>
      <c r="L1039" s="196"/>
      <c r="M1039" s="196"/>
      <c r="N1039" s="196"/>
      <c r="O1039" s="196"/>
      <c r="P1039" s="196"/>
      <c r="Q1039" s="196"/>
      <c r="R1039" s="196"/>
      <c r="S1039" s="196"/>
      <c r="T1039" s="196"/>
      <c r="U1039" s="196"/>
      <c r="V1039" s="196"/>
      <c r="W1039" s="196"/>
      <c r="X1039" s="196"/>
      <c r="Y1039" s="196"/>
      <c r="Z1039" s="196"/>
      <c r="AA1039" s="196"/>
      <c r="AB1039" s="196"/>
      <c r="AC1039" s="196"/>
      <c r="AD1039" s="196"/>
    </row>
    <row r="1040" spans="1:30" ht="12.9">
      <c r="A1040" s="196"/>
      <c r="B1040" s="143"/>
      <c r="C1040" s="196"/>
      <c r="D1040" s="196"/>
      <c r="E1040" s="196"/>
      <c r="F1040" s="196"/>
      <c r="G1040" s="24"/>
      <c r="H1040" s="24"/>
      <c r="I1040" s="196"/>
      <c r="J1040" s="196"/>
      <c r="K1040" s="196"/>
      <c r="L1040" s="196"/>
      <c r="M1040" s="196"/>
      <c r="N1040" s="196"/>
      <c r="O1040" s="196"/>
      <c r="P1040" s="196"/>
      <c r="Q1040" s="196"/>
      <c r="R1040" s="196"/>
      <c r="S1040" s="196"/>
      <c r="T1040" s="196"/>
      <c r="U1040" s="196"/>
      <c r="V1040" s="196"/>
      <c r="W1040" s="196"/>
      <c r="X1040" s="196"/>
      <c r="Y1040" s="196"/>
      <c r="Z1040" s="196"/>
      <c r="AA1040" s="196"/>
      <c r="AB1040" s="196"/>
      <c r="AC1040" s="196"/>
      <c r="AD1040" s="196"/>
    </row>
    <row r="1041" spans="1:30" ht="12.9">
      <c r="A1041" s="196"/>
      <c r="B1041" s="143"/>
      <c r="C1041" s="196"/>
      <c r="D1041" s="196"/>
      <c r="E1041" s="196"/>
      <c r="F1041" s="196"/>
      <c r="G1041" s="24"/>
      <c r="H1041" s="24"/>
      <c r="I1041" s="196"/>
      <c r="J1041" s="196"/>
      <c r="K1041" s="196"/>
      <c r="L1041" s="196"/>
      <c r="M1041" s="196"/>
      <c r="N1041" s="196"/>
      <c r="O1041" s="196"/>
      <c r="P1041" s="196"/>
      <c r="Q1041" s="196"/>
      <c r="R1041" s="196"/>
      <c r="S1041" s="196"/>
      <c r="T1041" s="196"/>
      <c r="U1041" s="196"/>
      <c r="V1041" s="196"/>
      <c r="W1041" s="196"/>
      <c r="X1041" s="196"/>
      <c r="Y1041" s="196"/>
      <c r="Z1041" s="196"/>
      <c r="AA1041" s="196"/>
      <c r="AB1041" s="196"/>
      <c r="AC1041" s="196"/>
      <c r="AD1041" s="196"/>
    </row>
    <row r="1042" spans="1:30" ht="12.9">
      <c r="A1042" s="196"/>
      <c r="B1042" s="143"/>
      <c r="C1042" s="196"/>
      <c r="D1042" s="196"/>
      <c r="E1042" s="196"/>
      <c r="F1042" s="196"/>
      <c r="G1042" s="24"/>
      <c r="H1042" s="24"/>
      <c r="I1042" s="196"/>
      <c r="J1042" s="196"/>
      <c r="K1042" s="196"/>
      <c r="L1042" s="196"/>
      <c r="M1042" s="196"/>
      <c r="N1042" s="196"/>
      <c r="O1042" s="196"/>
      <c r="P1042" s="196"/>
      <c r="Q1042" s="196"/>
      <c r="R1042" s="196"/>
      <c r="S1042" s="196"/>
      <c r="T1042" s="196"/>
      <c r="U1042" s="196"/>
      <c r="V1042" s="196"/>
      <c r="W1042" s="196"/>
      <c r="X1042" s="196"/>
      <c r="Y1042" s="196"/>
      <c r="Z1042" s="196"/>
      <c r="AA1042" s="196"/>
      <c r="AB1042" s="196"/>
      <c r="AC1042" s="196"/>
      <c r="AD1042" s="196"/>
    </row>
    <row r="1043" spans="1:30" ht="12.9">
      <c r="A1043" s="196"/>
      <c r="B1043" s="143"/>
      <c r="C1043" s="196"/>
      <c r="D1043" s="196"/>
      <c r="E1043" s="196"/>
      <c r="F1043" s="196"/>
      <c r="G1043" s="24"/>
      <c r="H1043" s="24"/>
      <c r="I1043" s="196"/>
      <c r="J1043" s="196"/>
      <c r="K1043" s="196"/>
      <c r="L1043" s="196"/>
      <c r="M1043" s="196"/>
      <c r="N1043" s="196"/>
      <c r="O1043" s="196"/>
      <c r="P1043" s="196"/>
      <c r="Q1043" s="196"/>
      <c r="R1043" s="196"/>
      <c r="S1043" s="196"/>
      <c r="T1043" s="196"/>
      <c r="U1043" s="196"/>
      <c r="V1043" s="196"/>
      <c r="W1043" s="196"/>
      <c r="X1043" s="196"/>
      <c r="Y1043" s="196"/>
      <c r="Z1043" s="196"/>
      <c r="AA1043" s="196"/>
      <c r="AB1043" s="196"/>
      <c r="AC1043" s="196"/>
      <c r="AD1043" s="196"/>
    </row>
    <row r="1044" spans="1:30" ht="12.9">
      <c r="A1044" s="196"/>
      <c r="B1044" s="143"/>
      <c r="C1044" s="196"/>
      <c r="D1044" s="196"/>
      <c r="E1044" s="196"/>
      <c r="F1044" s="196"/>
      <c r="G1044" s="24"/>
      <c r="H1044" s="24"/>
      <c r="I1044" s="196"/>
      <c r="J1044" s="196"/>
      <c r="K1044" s="196"/>
      <c r="L1044" s="196"/>
      <c r="M1044" s="196"/>
      <c r="N1044" s="196"/>
      <c r="O1044" s="196"/>
      <c r="P1044" s="196"/>
      <c r="Q1044" s="196"/>
      <c r="R1044" s="196"/>
      <c r="S1044" s="196"/>
      <c r="T1044" s="196"/>
      <c r="U1044" s="196"/>
      <c r="V1044" s="196"/>
      <c r="W1044" s="196"/>
      <c r="X1044" s="196"/>
      <c r="Y1044" s="196"/>
      <c r="Z1044" s="196"/>
      <c r="AA1044" s="196"/>
      <c r="AB1044" s="196"/>
      <c r="AC1044" s="196"/>
      <c r="AD1044" s="196"/>
    </row>
    <row r="1045" spans="1:30" ht="12.9">
      <c r="A1045" s="196"/>
      <c r="B1045" s="143"/>
      <c r="C1045" s="196"/>
      <c r="D1045" s="196"/>
      <c r="E1045" s="196"/>
      <c r="F1045" s="196"/>
      <c r="G1045" s="24"/>
      <c r="H1045" s="24"/>
      <c r="I1045" s="196"/>
      <c r="J1045" s="196"/>
      <c r="K1045" s="196"/>
      <c r="L1045" s="196"/>
      <c r="M1045" s="196"/>
      <c r="N1045" s="196"/>
      <c r="O1045" s="196"/>
      <c r="P1045" s="196"/>
      <c r="Q1045" s="196"/>
      <c r="R1045" s="196"/>
      <c r="S1045" s="196"/>
      <c r="T1045" s="196"/>
      <c r="U1045" s="196"/>
      <c r="V1045" s="196"/>
      <c r="W1045" s="196"/>
      <c r="X1045" s="196"/>
      <c r="Y1045" s="196"/>
      <c r="Z1045" s="196"/>
      <c r="AA1045" s="196"/>
      <c r="AB1045" s="196"/>
      <c r="AC1045" s="196"/>
      <c r="AD1045" s="196"/>
    </row>
    <row r="1046" spans="1:30" ht="12.9">
      <c r="A1046" s="196"/>
      <c r="B1046" s="143"/>
      <c r="C1046" s="196"/>
      <c r="D1046" s="196"/>
      <c r="E1046" s="196"/>
      <c r="F1046" s="196"/>
      <c r="G1046" s="24"/>
      <c r="H1046" s="24"/>
      <c r="I1046" s="196"/>
      <c r="J1046" s="196"/>
      <c r="K1046" s="196"/>
      <c r="L1046" s="196"/>
      <c r="M1046" s="196"/>
      <c r="N1046" s="196"/>
      <c r="O1046" s="196"/>
      <c r="P1046" s="196"/>
      <c r="Q1046" s="196"/>
      <c r="R1046" s="196"/>
      <c r="S1046" s="196"/>
      <c r="T1046" s="196"/>
      <c r="U1046" s="196"/>
      <c r="V1046" s="196"/>
      <c r="W1046" s="196"/>
      <c r="X1046" s="196"/>
      <c r="Y1046" s="196"/>
      <c r="Z1046" s="196"/>
      <c r="AA1046" s="196"/>
      <c r="AB1046" s="196"/>
      <c r="AC1046" s="196"/>
      <c r="AD1046" s="196"/>
    </row>
    <row r="1047" spans="1:30" ht="12.9">
      <c r="A1047" s="196"/>
      <c r="B1047" s="143"/>
      <c r="C1047" s="196"/>
      <c r="D1047" s="196"/>
      <c r="E1047" s="196"/>
      <c r="F1047" s="196"/>
      <c r="G1047" s="24"/>
      <c r="H1047" s="24"/>
      <c r="I1047" s="196"/>
      <c r="J1047" s="196"/>
      <c r="K1047" s="196"/>
      <c r="L1047" s="196"/>
      <c r="M1047" s="196"/>
      <c r="N1047" s="196"/>
      <c r="O1047" s="196"/>
      <c r="P1047" s="196"/>
      <c r="Q1047" s="196"/>
      <c r="R1047" s="196"/>
      <c r="S1047" s="196"/>
      <c r="T1047" s="196"/>
      <c r="U1047" s="196"/>
      <c r="V1047" s="196"/>
      <c r="W1047" s="196"/>
      <c r="X1047" s="196"/>
      <c r="Y1047" s="196"/>
      <c r="Z1047" s="196"/>
      <c r="AA1047" s="196"/>
      <c r="AB1047" s="196"/>
      <c r="AC1047" s="196"/>
      <c r="AD1047" s="196"/>
    </row>
    <row r="1048" spans="1:30" ht="12.9">
      <c r="A1048" s="196"/>
      <c r="B1048" s="143"/>
      <c r="C1048" s="196"/>
      <c r="D1048" s="196"/>
      <c r="E1048" s="196"/>
      <c r="F1048" s="196"/>
      <c r="G1048" s="24"/>
      <c r="H1048" s="24"/>
      <c r="I1048" s="196"/>
      <c r="J1048" s="196"/>
      <c r="K1048" s="196"/>
      <c r="L1048" s="196"/>
      <c r="M1048" s="196"/>
      <c r="N1048" s="196"/>
      <c r="O1048" s="196"/>
      <c r="P1048" s="196"/>
      <c r="Q1048" s="196"/>
      <c r="R1048" s="196"/>
      <c r="S1048" s="196"/>
      <c r="T1048" s="196"/>
      <c r="U1048" s="196"/>
      <c r="V1048" s="196"/>
      <c r="W1048" s="196"/>
      <c r="X1048" s="196"/>
      <c r="Y1048" s="196"/>
      <c r="Z1048" s="196"/>
      <c r="AA1048" s="196"/>
      <c r="AB1048" s="196"/>
      <c r="AC1048" s="196"/>
      <c r="AD1048" s="196"/>
    </row>
    <row r="1049" spans="1:30" ht="12.9">
      <c r="A1049" s="196"/>
      <c r="B1049" s="143"/>
      <c r="C1049" s="196"/>
      <c r="D1049" s="196"/>
      <c r="E1049" s="196"/>
      <c r="F1049" s="196"/>
      <c r="G1049" s="24"/>
      <c r="H1049" s="24"/>
      <c r="I1049" s="196"/>
      <c r="J1049" s="196"/>
      <c r="K1049" s="196"/>
      <c r="L1049" s="196"/>
      <c r="M1049" s="196"/>
      <c r="N1049" s="196"/>
      <c r="O1049" s="196"/>
      <c r="P1049" s="196"/>
      <c r="Q1049" s="196"/>
      <c r="R1049" s="196"/>
      <c r="S1049" s="196"/>
      <c r="T1049" s="196"/>
      <c r="U1049" s="196"/>
      <c r="V1049" s="196"/>
      <c r="W1049" s="196"/>
      <c r="X1049" s="196"/>
      <c r="Y1049" s="196"/>
      <c r="Z1049" s="196"/>
      <c r="AA1049" s="196"/>
      <c r="AB1049" s="196"/>
      <c r="AC1049" s="196"/>
      <c r="AD1049" s="196"/>
    </row>
    <row r="1050" spans="1:30" ht="12.9">
      <c r="A1050" s="196"/>
      <c r="B1050" s="143"/>
      <c r="C1050" s="196"/>
      <c r="D1050" s="196"/>
      <c r="E1050" s="196"/>
      <c r="F1050" s="196"/>
      <c r="G1050" s="24"/>
      <c r="H1050" s="24"/>
      <c r="I1050" s="196"/>
      <c r="J1050" s="196"/>
      <c r="K1050" s="196"/>
      <c r="L1050" s="196"/>
      <c r="M1050" s="196"/>
      <c r="N1050" s="196"/>
      <c r="O1050" s="196"/>
      <c r="P1050" s="196"/>
      <c r="Q1050" s="196"/>
      <c r="R1050" s="196"/>
      <c r="S1050" s="196"/>
      <c r="T1050" s="196"/>
      <c r="U1050" s="196"/>
      <c r="V1050" s="196"/>
      <c r="W1050" s="196"/>
      <c r="X1050" s="196"/>
      <c r="Y1050" s="196"/>
      <c r="Z1050" s="196"/>
      <c r="AA1050" s="196"/>
      <c r="AB1050" s="196"/>
      <c r="AC1050" s="196"/>
      <c r="AD1050" s="196"/>
    </row>
    <row r="1051" spans="1:30" ht="12.9">
      <c r="A1051" s="196"/>
      <c r="B1051" s="143"/>
      <c r="C1051" s="196"/>
      <c r="D1051" s="196"/>
      <c r="E1051" s="196"/>
      <c r="F1051" s="196"/>
      <c r="G1051" s="24"/>
      <c r="H1051" s="24"/>
      <c r="I1051" s="196"/>
      <c r="J1051" s="196"/>
      <c r="K1051" s="196"/>
      <c r="L1051" s="196"/>
      <c r="M1051" s="196"/>
      <c r="N1051" s="196"/>
      <c r="O1051" s="196"/>
      <c r="P1051" s="196"/>
      <c r="Q1051" s="196"/>
      <c r="R1051" s="196"/>
      <c r="S1051" s="196"/>
      <c r="T1051" s="196"/>
      <c r="U1051" s="196"/>
      <c r="V1051" s="196"/>
      <c r="W1051" s="196"/>
      <c r="X1051" s="196"/>
      <c r="Y1051" s="196"/>
      <c r="Z1051" s="196"/>
      <c r="AA1051" s="196"/>
      <c r="AB1051" s="196"/>
      <c r="AC1051" s="196"/>
      <c r="AD1051" s="196"/>
    </row>
    <row r="1052" spans="1:30" ht="12.9">
      <c r="A1052" s="196"/>
      <c r="B1052" s="143"/>
      <c r="C1052" s="196"/>
      <c r="D1052" s="196"/>
      <c r="E1052" s="196"/>
      <c r="F1052" s="196"/>
      <c r="G1052" s="24"/>
      <c r="H1052" s="24"/>
      <c r="I1052" s="196"/>
      <c r="J1052" s="196"/>
      <c r="K1052" s="196"/>
      <c r="L1052" s="196"/>
      <c r="M1052" s="196"/>
      <c r="N1052" s="196"/>
      <c r="O1052" s="196"/>
      <c r="P1052" s="196"/>
      <c r="Q1052" s="196"/>
      <c r="R1052" s="196"/>
      <c r="S1052" s="196"/>
      <c r="T1052" s="196"/>
      <c r="U1052" s="196"/>
      <c r="V1052" s="196"/>
      <c r="W1052" s="196"/>
      <c r="X1052" s="196"/>
      <c r="Y1052" s="196"/>
      <c r="Z1052" s="196"/>
      <c r="AA1052" s="196"/>
      <c r="AB1052" s="196"/>
      <c r="AC1052" s="196"/>
      <c r="AD1052" s="196"/>
    </row>
    <row r="1053" spans="1:30" ht="12.9">
      <c r="A1053" s="196"/>
      <c r="B1053" s="143"/>
      <c r="C1053" s="196"/>
      <c r="D1053" s="196"/>
      <c r="E1053" s="196"/>
      <c r="F1053" s="196"/>
      <c r="G1053" s="24"/>
      <c r="H1053" s="24"/>
      <c r="I1053" s="196"/>
      <c r="J1053" s="196"/>
      <c r="K1053" s="196"/>
      <c r="L1053" s="196"/>
      <c r="M1053" s="196"/>
      <c r="N1053" s="196"/>
      <c r="O1053" s="196"/>
      <c r="P1053" s="196"/>
      <c r="Q1053" s="196"/>
      <c r="R1053" s="196"/>
      <c r="S1053" s="196"/>
      <c r="T1053" s="196"/>
      <c r="U1053" s="196"/>
      <c r="V1053" s="196"/>
      <c r="W1053" s="196"/>
      <c r="X1053" s="196"/>
      <c r="Y1053" s="196"/>
      <c r="Z1053" s="196"/>
      <c r="AA1053" s="196"/>
      <c r="AB1053" s="196"/>
      <c r="AC1053" s="196"/>
      <c r="AD1053" s="196"/>
    </row>
    <row r="1054" spans="1:30" ht="12.9">
      <c r="A1054" s="196"/>
      <c r="B1054" s="143"/>
      <c r="C1054" s="196"/>
      <c r="D1054" s="196"/>
      <c r="E1054" s="196"/>
      <c r="F1054" s="196"/>
      <c r="G1054" s="24"/>
      <c r="H1054" s="24"/>
      <c r="I1054" s="196"/>
      <c r="J1054" s="196"/>
      <c r="K1054" s="196"/>
      <c r="L1054" s="196"/>
      <c r="M1054" s="196"/>
      <c r="N1054" s="196"/>
      <c r="O1054" s="196"/>
      <c r="P1054" s="196"/>
      <c r="Q1054" s="196"/>
      <c r="R1054" s="196"/>
      <c r="S1054" s="196"/>
      <c r="T1054" s="196"/>
      <c r="U1054" s="196"/>
      <c r="V1054" s="196"/>
      <c r="W1054" s="196"/>
      <c r="X1054" s="196"/>
      <c r="Y1054" s="196"/>
      <c r="Z1054" s="196"/>
      <c r="AA1054" s="196"/>
      <c r="AB1054" s="196"/>
      <c r="AC1054" s="196"/>
      <c r="AD1054" s="196"/>
    </row>
    <row r="1055" spans="1:30" ht="12.9">
      <c r="A1055" s="196"/>
      <c r="B1055" s="143"/>
      <c r="C1055" s="196"/>
      <c r="D1055" s="196"/>
      <c r="E1055" s="196"/>
      <c r="F1055" s="196"/>
      <c r="G1055" s="24"/>
      <c r="H1055" s="24"/>
      <c r="I1055" s="196"/>
      <c r="J1055" s="196"/>
      <c r="K1055" s="196"/>
      <c r="L1055" s="196"/>
      <c r="M1055" s="196"/>
      <c r="N1055" s="196"/>
      <c r="O1055" s="196"/>
      <c r="P1055" s="196"/>
      <c r="Q1055" s="196"/>
      <c r="R1055" s="196"/>
      <c r="S1055" s="196"/>
      <c r="T1055" s="196"/>
      <c r="U1055" s="196"/>
      <c r="V1055" s="196"/>
      <c r="W1055" s="196"/>
      <c r="X1055" s="196"/>
      <c r="Y1055" s="196"/>
      <c r="Z1055" s="196"/>
      <c r="AA1055" s="196"/>
      <c r="AB1055" s="196"/>
      <c r="AC1055" s="196"/>
      <c r="AD1055" s="196"/>
    </row>
    <row r="1056" spans="1:30" ht="12.9">
      <c r="A1056" s="196"/>
      <c r="B1056" s="143"/>
      <c r="C1056" s="196"/>
      <c r="D1056" s="196"/>
      <c r="E1056" s="196"/>
      <c r="F1056" s="196"/>
      <c r="G1056" s="24"/>
      <c r="H1056" s="24"/>
      <c r="I1056" s="196"/>
      <c r="J1056" s="196"/>
      <c r="K1056" s="196"/>
      <c r="L1056" s="196"/>
      <c r="M1056" s="196"/>
      <c r="N1056" s="196"/>
      <c r="O1056" s="196"/>
      <c r="P1056" s="196"/>
      <c r="Q1056" s="196"/>
      <c r="R1056" s="196"/>
      <c r="S1056" s="196"/>
      <c r="T1056" s="196"/>
      <c r="U1056" s="196"/>
      <c r="V1056" s="196"/>
      <c r="W1056" s="196"/>
      <c r="X1056" s="196"/>
      <c r="Y1056" s="196"/>
      <c r="Z1056" s="196"/>
      <c r="AA1056" s="196"/>
      <c r="AB1056" s="196"/>
      <c r="AC1056" s="196"/>
      <c r="AD1056" s="196"/>
    </row>
    <row r="1057" spans="1:30" ht="12.9">
      <c r="A1057" s="196"/>
      <c r="B1057" s="143"/>
      <c r="C1057" s="196"/>
      <c r="D1057" s="196"/>
      <c r="E1057" s="196"/>
      <c r="F1057" s="196"/>
      <c r="G1057" s="24"/>
      <c r="H1057" s="24"/>
      <c r="I1057" s="196"/>
      <c r="J1057" s="196"/>
      <c r="K1057" s="196"/>
      <c r="L1057" s="196"/>
      <c r="M1057" s="196"/>
      <c r="N1057" s="196"/>
      <c r="O1057" s="196"/>
      <c r="P1057" s="196"/>
      <c r="Q1057" s="196"/>
      <c r="R1057" s="196"/>
      <c r="S1057" s="196"/>
      <c r="T1057" s="196"/>
      <c r="U1057" s="196"/>
      <c r="V1057" s="196"/>
      <c r="W1057" s="196"/>
      <c r="X1057" s="196"/>
      <c r="Y1057" s="196"/>
      <c r="Z1057" s="196"/>
      <c r="AA1057" s="196"/>
      <c r="AB1057" s="196"/>
      <c r="AC1057" s="196"/>
      <c r="AD1057" s="196"/>
    </row>
    <row r="1058" spans="1:30" ht="12.9">
      <c r="A1058" s="196"/>
      <c r="B1058" s="143"/>
      <c r="C1058" s="196"/>
      <c r="D1058" s="196"/>
      <c r="E1058" s="196"/>
      <c r="F1058" s="196"/>
      <c r="G1058" s="24"/>
      <c r="H1058" s="24"/>
      <c r="I1058" s="196"/>
      <c r="J1058" s="196"/>
      <c r="K1058" s="196"/>
      <c r="L1058" s="196"/>
      <c r="M1058" s="196"/>
      <c r="N1058" s="196"/>
      <c r="O1058" s="196"/>
      <c r="P1058" s="196"/>
      <c r="Q1058" s="196"/>
      <c r="R1058" s="196"/>
      <c r="S1058" s="196"/>
      <c r="T1058" s="196"/>
      <c r="U1058" s="196"/>
      <c r="V1058" s="196"/>
      <c r="W1058" s="196"/>
      <c r="X1058" s="196"/>
      <c r="Y1058" s="196"/>
      <c r="Z1058" s="196"/>
      <c r="AA1058" s="196"/>
      <c r="AB1058" s="196"/>
      <c r="AC1058" s="196"/>
      <c r="AD1058" s="196"/>
    </row>
    <row r="1059" spans="1:30" ht="12.9">
      <c r="A1059" s="196"/>
      <c r="B1059" s="143"/>
      <c r="C1059" s="196"/>
      <c r="D1059" s="196"/>
      <c r="E1059" s="196"/>
      <c r="F1059" s="196"/>
      <c r="G1059" s="24"/>
      <c r="H1059" s="24"/>
      <c r="I1059" s="196"/>
      <c r="J1059" s="196"/>
      <c r="K1059" s="196"/>
      <c r="L1059" s="196"/>
      <c r="M1059" s="196"/>
      <c r="N1059" s="196"/>
      <c r="O1059" s="196"/>
      <c r="P1059" s="196"/>
      <c r="Q1059" s="196"/>
      <c r="R1059" s="196"/>
      <c r="S1059" s="196"/>
      <c r="T1059" s="196"/>
      <c r="U1059" s="196"/>
      <c r="V1059" s="196"/>
      <c r="W1059" s="196"/>
      <c r="X1059" s="196"/>
      <c r="Y1059" s="196"/>
      <c r="Z1059" s="196"/>
      <c r="AA1059" s="196"/>
      <c r="AB1059" s="196"/>
      <c r="AC1059" s="196"/>
      <c r="AD1059" s="196"/>
    </row>
    <row r="1060" spans="1:30" ht="12.9">
      <c r="A1060" s="196"/>
      <c r="B1060" s="143"/>
      <c r="C1060" s="196"/>
      <c r="D1060" s="196"/>
      <c r="E1060" s="196"/>
      <c r="F1060" s="196"/>
      <c r="G1060" s="24"/>
      <c r="H1060" s="24"/>
      <c r="I1060" s="196"/>
      <c r="J1060" s="196"/>
      <c r="K1060" s="196"/>
      <c r="L1060" s="196"/>
      <c r="M1060" s="196"/>
      <c r="N1060" s="196"/>
      <c r="O1060" s="196"/>
      <c r="P1060" s="196"/>
      <c r="Q1060" s="196"/>
      <c r="R1060" s="196"/>
      <c r="S1060" s="196"/>
      <c r="T1060" s="196"/>
      <c r="U1060" s="196"/>
      <c r="V1060" s="196"/>
      <c r="W1060" s="196"/>
      <c r="X1060" s="196"/>
      <c r="Y1060" s="196"/>
      <c r="Z1060" s="196"/>
      <c r="AA1060" s="196"/>
      <c r="AB1060" s="196"/>
      <c r="AC1060" s="196"/>
      <c r="AD1060" s="196"/>
    </row>
    <row r="1061" spans="1:30" ht="12.9">
      <c r="A1061" s="196"/>
      <c r="B1061" s="143"/>
      <c r="C1061" s="196"/>
      <c r="D1061" s="196"/>
      <c r="E1061" s="196"/>
      <c r="F1061" s="196"/>
      <c r="G1061" s="24"/>
      <c r="H1061" s="24"/>
      <c r="I1061" s="196"/>
      <c r="J1061" s="196"/>
      <c r="K1061" s="196"/>
      <c r="L1061" s="196"/>
      <c r="M1061" s="196"/>
      <c r="N1061" s="196"/>
      <c r="O1061" s="196"/>
      <c r="P1061" s="196"/>
      <c r="Q1061" s="196"/>
      <c r="R1061" s="196"/>
      <c r="S1061" s="196"/>
      <c r="T1061" s="196"/>
      <c r="U1061" s="196"/>
      <c r="V1061" s="196"/>
      <c r="W1061" s="196"/>
      <c r="X1061" s="196"/>
      <c r="Y1061" s="196"/>
      <c r="Z1061" s="196"/>
      <c r="AA1061" s="196"/>
      <c r="AB1061" s="196"/>
      <c r="AC1061" s="196"/>
      <c r="AD1061" s="196"/>
    </row>
    <row r="1062" spans="1:30" ht="12.9">
      <c r="A1062" s="196"/>
      <c r="B1062" s="143"/>
      <c r="C1062" s="196"/>
      <c r="D1062" s="196"/>
      <c r="E1062" s="196"/>
      <c r="F1062" s="196"/>
      <c r="G1062" s="24"/>
      <c r="H1062" s="24"/>
      <c r="I1062" s="196"/>
      <c r="J1062" s="196"/>
      <c r="K1062" s="196"/>
      <c r="L1062" s="196"/>
      <c r="M1062" s="196"/>
      <c r="N1062" s="196"/>
      <c r="O1062" s="196"/>
      <c r="P1062" s="196"/>
      <c r="Q1062" s="196"/>
      <c r="R1062" s="196"/>
      <c r="S1062" s="196"/>
      <c r="T1062" s="196"/>
      <c r="U1062" s="196"/>
      <c r="V1062" s="196"/>
      <c r="W1062" s="196"/>
      <c r="X1062" s="196"/>
      <c r="Y1062" s="196"/>
      <c r="Z1062" s="196"/>
      <c r="AA1062" s="196"/>
      <c r="AB1062" s="196"/>
      <c r="AC1062" s="196"/>
      <c r="AD1062" s="196"/>
    </row>
    <row r="1063" spans="1:30" ht="12.9">
      <c r="A1063" s="196"/>
      <c r="B1063" s="143"/>
      <c r="C1063" s="196"/>
      <c r="D1063" s="196"/>
      <c r="E1063" s="196"/>
      <c r="F1063" s="196"/>
      <c r="G1063" s="24"/>
      <c r="H1063" s="24"/>
      <c r="I1063" s="196"/>
      <c r="J1063" s="196"/>
      <c r="K1063" s="196"/>
      <c r="L1063" s="196"/>
      <c r="M1063" s="196"/>
      <c r="N1063" s="196"/>
      <c r="O1063" s="196"/>
      <c r="P1063" s="196"/>
      <c r="Q1063" s="196"/>
      <c r="R1063" s="196"/>
      <c r="S1063" s="196"/>
      <c r="T1063" s="196"/>
      <c r="U1063" s="196"/>
      <c r="V1063" s="196"/>
      <c r="W1063" s="196"/>
      <c r="X1063" s="196"/>
      <c r="Y1063" s="196"/>
      <c r="Z1063" s="196"/>
      <c r="AA1063" s="196"/>
      <c r="AB1063" s="196"/>
      <c r="AC1063" s="196"/>
      <c r="AD1063" s="196"/>
    </row>
    <row r="1064" spans="1:30" ht="12.9">
      <c r="A1064" s="196"/>
      <c r="B1064" s="143"/>
      <c r="C1064" s="196"/>
      <c r="D1064" s="196"/>
      <c r="E1064" s="196"/>
      <c r="F1064" s="196"/>
      <c r="G1064" s="24"/>
      <c r="H1064" s="24"/>
      <c r="I1064" s="196"/>
      <c r="J1064" s="196"/>
      <c r="K1064" s="196"/>
      <c r="L1064" s="196"/>
      <c r="M1064" s="196"/>
      <c r="N1064" s="196"/>
      <c r="O1064" s="196"/>
      <c r="P1064" s="196"/>
      <c r="Q1064" s="196"/>
      <c r="R1064" s="196"/>
      <c r="S1064" s="196"/>
      <c r="T1064" s="196"/>
      <c r="U1064" s="196"/>
      <c r="V1064" s="196"/>
      <c r="W1064" s="196"/>
      <c r="X1064" s="196"/>
      <c r="Y1064" s="196"/>
      <c r="Z1064" s="196"/>
      <c r="AA1064" s="196"/>
      <c r="AB1064" s="196"/>
      <c r="AC1064" s="196"/>
      <c r="AD1064" s="196"/>
    </row>
    <row r="1065" spans="1:30" ht="12.9">
      <c r="A1065" s="196"/>
      <c r="B1065" s="143"/>
      <c r="C1065" s="196"/>
      <c r="D1065" s="196"/>
      <c r="E1065" s="196"/>
      <c r="F1065" s="196"/>
      <c r="G1065" s="24"/>
      <c r="H1065" s="24"/>
      <c r="I1065" s="196"/>
      <c r="J1065" s="196"/>
      <c r="K1065" s="196"/>
      <c r="L1065" s="196"/>
      <c r="M1065" s="196"/>
      <c r="N1065" s="196"/>
      <c r="O1065" s="196"/>
      <c r="P1065" s="196"/>
      <c r="Q1065" s="196"/>
      <c r="R1065" s="196"/>
      <c r="S1065" s="196"/>
      <c r="T1065" s="196"/>
      <c r="U1065" s="196"/>
      <c r="V1065" s="196"/>
      <c r="W1065" s="196"/>
      <c r="X1065" s="196"/>
      <c r="Y1065" s="196"/>
      <c r="Z1065" s="196"/>
      <c r="AA1065" s="196"/>
      <c r="AB1065" s="196"/>
      <c r="AC1065" s="196"/>
      <c r="AD1065" s="196"/>
    </row>
    <row r="1066" spans="1:30" ht="12.9">
      <c r="A1066" s="196"/>
      <c r="B1066" s="143"/>
      <c r="C1066" s="196"/>
      <c r="D1066" s="196"/>
      <c r="E1066" s="196"/>
      <c r="F1066" s="196"/>
      <c r="G1066" s="24"/>
      <c r="H1066" s="24"/>
      <c r="I1066" s="196"/>
      <c r="J1066" s="196"/>
      <c r="K1066" s="196"/>
      <c r="L1066" s="196"/>
      <c r="M1066" s="196"/>
      <c r="N1066" s="196"/>
      <c r="O1066" s="196"/>
      <c r="P1066" s="196"/>
      <c r="Q1066" s="196"/>
      <c r="R1066" s="196"/>
      <c r="S1066" s="196"/>
      <c r="T1066" s="196"/>
      <c r="U1066" s="196"/>
      <c r="V1066" s="196"/>
      <c r="W1066" s="196"/>
      <c r="X1066" s="196"/>
      <c r="Y1066" s="196"/>
      <c r="Z1066" s="196"/>
      <c r="AA1066" s="196"/>
      <c r="AB1066" s="196"/>
      <c r="AC1066" s="196"/>
      <c r="AD1066" s="196"/>
    </row>
    <row r="1067" spans="1:30" ht="12.9">
      <c r="A1067" s="196"/>
      <c r="B1067" s="143"/>
      <c r="C1067" s="196"/>
      <c r="D1067" s="196"/>
      <c r="E1067" s="196"/>
      <c r="F1067" s="196"/>
      <c r="G1067" s="24"/>
      <c r="H1067" s="24"/>
      <c r="I1067" s="196"/>
      <c r="J1067" s="196"/>
      <c r="K1067" s="196"/>
      <c r="L1067" s="196"/>
      <c r="M1067" s="196"/>
      <c r="N1067" s="196"/>
      <c r="O1067" s="196"/>
      <c r="P1067" s="196"/>
      <c r="Q1067" s="196"/>
      <c r="R1067" s="196"/>
      <c r="S1067" s="196"/>
      <c r="T1067" s="196"/>
      <c r="U1067" s="196"/>
      <c r="V1067" s="196"/>
      <c r="W1067" s="196"/>
      <c r="X1067" s="196"/>
      <c r="Y1067" s="196"/>
      <c r="Z1067" s="196"/>
      <c r="AA1067" s="196"/>
      <c r="AB1067" s="196"/>
      <c r="AC1067" s="196"/>
      <c r="AD1067" s="196"/>
    </row>
    <row r="1068" spans="1:30" ht="12.9">
      <c r="A1068" s="196"/>
      <c r="B1068" s="143"/>
      <c r="C1068" s="196"/>
      <c r="D1068" s="196"/>
      <c r="E1068" s="196"/>
      <c r="F1068" s="196"/>
      <c r="G1068" s="24"/>
      <c r="H1068" s="24"/>
      <c r="I1068" s="196"/>
      <c r="J1068" s="196"/>
      <c r="K1068" s="196"/>
      <c r="L1068" s="196"/>
      <c r="M1068" s="196"/>
      <c r="N1068" s="196"/>
      <c r="O1068" s="196"/>
      <c r="P1068" s="196"/>
      <c r="Q1068" s="196"/>
      <c r="R1068" s="196"/>
      <c r="S1068" s="196"/>
      <c r="T1068" s="196"/>
      <c r="U1068" s="196"/>
      <c r="V1068" s="196"/>
      <c r="W1068" s="196"/>
      <c r="X1068" s="196"/>
      <c r="Y1068" s="196"/>
      <c r="Z1068" s="196"/>
      <c r="AA1068" s="196"/>
      <c r="AB1068" s="196"/>
      <c r="AC1068" s="196"/>
      <c r="AD1068" s="196"/>
    </row>
    <row r="1069" spans="1:30" ht="12.9">
      <c r="A1069" s="196"/>
      <c r="B1069" s="143"/>
      <c r="C1069" s="196"/>
      <c r="D1069" s="196"/>
      <c r="E1069" s="196"/>
      <c r="F1069" s="196"/>
      <c r="G1069" s="24"/>
      <c r="H1069" s="24"/>
      <c r="I1069" s="196"/>
      <c r="J1069" s="196"/>
      <c r="K1069" s="196"/>
      <c r="L1069" s="196"/>
      <c r="M1069" s="196"/>
      <c r="N1069" s="196"/>
      <c r="O1069" s="196"/>
      <c r="P1069" s="196"/>
      <c r="Q1069" s="196"/>
      <c r="R1069" s="196"/>
      <c r="S1069" s="196"/>
      <c r="T1069" s="196"/>
      <c r="U1069" s="196"/>
      <c r="V1069" s="196"/>
      <c r="W1069" s="196"/>
      <c r="X1069" s="196"/>
      <c r="Y1069" s="196"/>
      <c r="Z1069" s="196"/>
      <c r="AA1069" s="196"/>
      <c r="AB1069" s="196"/>
      <c r="AC1069" s="196"/>
      <c r="AD1069" s="196"/>
    </row>
    <row r="1070" spans="1:30" ht="12.9">
      <c r="A1070" s="196"/>
      <c r="B1070" s="143"/>
      <c r="C1070" s="196"/>
      <c r="D1070" s="196"/>
      <c r="E1070" s="196"/>
      <c r="F1070" s="196"/>
      <c r="G1070" s="24"/>
      <c r="H1070" s="24"/>
      <c r="I1070" s="196"/>
      <c r="J1070" s="196"/>
      <c r="K1070" s="196"/>
      <c r="L1070" s="196"/>
      <c r="M1070" s="196"/>
      <c r="N1070" s="196"/>
      <c r="O1070" s="196"/>
      <c r="P1070" s="196"/>
      <c r="Q1070" s="196"/>
      <c r="R1070" s="196"/>
      <c r="S1070" s="196"/>
      <c r="T1070" s="196"/>
      <c r="U1070" s="196"/>
      <c r="V1070" s="196"/>
      <c r="W1070" s="196"/>
      <c r="X1070" s="196"/>
      <c r="Y1070" s="196"/>
      <c r="Z1070" s="196"/>
      <c r="AA1070" s="196"/>
      <c r="AB1070" s="196"/>
      <c r="AC1070" s="196"/>
      <c r="AD1070" s="196"/>
    </row>
    <row r="1071" spans="1:30" ht="12.9">
      <c r="A1071" s="196"/>
      <c r="B1071" s="143"/>
      <c r="C1071" s="196"/>
      <c r="D1071" s="196"/>
      <c r="E1071" s="196"/>
      <c r="F1071" s="196"/>
      <c r="G1071" s="24"/>
      <c r="H1071" s="24"/>
      <c r="I1071" s="196"/>
      <c r="J1071" s="196"/>
      <c r="K1071" s="196"/>
      <c r="L1071" s="196"/>
      <c r="M1071" s="196"/>
      <c r="N1071" s="196"/>
      <c r="O1071" s="196"/>
      <c r="P1071" s="196"/>
      <c r="Q1071" s="196"/>
      <c r="R1071" s="196"/>
      <c r="S1071" s="196"/>
      <c r="T1071" s="196"/>
      <c r="U1071" s="196"/>
      <c r="V1071" s="196"/>
      <c r="W1071" s="196"/>
      <c r="X1071" s="196"/>
      <c r="Y1071" s="196"/>
      <c r="Z1071" s="196"/>
      <c r="AA1071" s="196"/>
      <c r="AB1071" s="196"/>
      <c r="AC1071" s="196"/>
      <c r="AD1071" s="196"/>
    </row>
    <row r="1072" spans="1:30" ht="12.9">
      <c r="A1072" s="196"/>
      <c r="B1072" s="143"/>
      <c r="C1072" s="196"/>
      <c r="D1072" s="196"/>
      <c r="E1072" s="196"/>
      <c r="F1072" s="196"/>
      <c r="G1072" s="24"/>
      <c r="H1072" s="24"/>
      <c r="I1072" s="196"/>
      <c r="J1072" s="196"/>
      <c r="K1072" s="196"/>
      <c r="L1072" s="196"/>
      <c r="M1072" s="196"/>
      <c r="N1072" s="196"/>
      <c r="O1072" s="196"/>
      <c r="P1072" s="196"/>
      <c r="Q1072" s="196"/>
      <c r="R1072" s="196"/>
      <c r="S1072" s="196"/>
      <c r="T1072" s="196"/>
      <c r="U1072" s="196"/>
      <c r="V1072" s="196"/>
      <c r="W1072" s="196"/>
      <c r="X1072" s="196"/>
      <c r="Y1072" s="196"/>
      <c r="Z1072" s="196"/>
      <c r="AA1072" s="196"/>
      <c r="AB1072" s="196"/>
      <c r="AC1072" s="196"/>
      <c r="AD1072" s="196"/>
    </row>
    <row r="1073" spans="1:30" ht="12.9">
      <c r="A1073" s="196"/>
      <c r="B1073" s="143"/>
      <c r="C1073" s="196"/>
      <c r="D1073" s="196"/>
      <c r="E1073" s="196"/>
      <c r="F1073" s="196"/>
      <c r="G1073" s="24"/>
      <c r="H1073" s="24"/>
      <c r="I1073" s="196"/>
      <c r="J1073" s="196"/>
      <c r="K1073" s="196"/>
      <c r="L1073" s="196"/>
      <c r="M1073" s="196"/>
      <c r="N1073" s="196"/>
      <c r="O1073" s="196"/>
      <c r="P1073" s="196"/>
      <c r="Q1073" s="196"/>
      <c r="R1073" s="196"/>
      <c r="S1073" s="196"/>
      <c r="T1073" s="196"/>
      <c r="U1073" s="196"/>
      <c r="V1073" s="196"/>
      <c r="W1073" s="196"/>
      <c r="X1073" s="196"/>
      <c r="Y1073" s="196"/>
      <c r="Z1073" s="196"/>
      <c r="AA1073" s="196"/>
      <c r="AB1073" s="196"/>
      <c r="AC1073" s="196"/>
      <c r="AD1073" s="196"/>
    </row>
    <row r="1074" spans="1:30" ht="12.9">
      <c r="A1074" s="196"/>
      <c r="B1074" s="143"/>
      <c r="C1074" s="196"/>
      <c r="D1074" s="196"/>
      <c r="E1074" s="196"/>
      <c r="F1074" s="196"/>
      <c r="G1074" s="24"/>
      <c r="H1074" s="24"/>
      <c r="I1074" s="196"/>
      <c r="J1074" s="196"/>
      <c r="K1074" s="196"/>
      <c r="L1074" s="196"/>
      <c r="M1074" s="196"/>
      <c r="N1074" s="196"/>
      <c r="O1074" s="196"/>
      <c r="P1074" s="196"/>
      <c r="Q1074" s="196"/>
      <c r="R1074" s="196"/>
      <c r="S1074" s="196"/>
      <c r="T1074" s="196"/>
      <c r="U1074" s="196"/>
      <c r="V1074" s="196"/>
      <c r="W1074" s="196"/>
      <c r="X1074" s="196"/>
      <c r="Y1074" s="196"/>
      <c r="Z1074" s="196"/>
      <c r="AA1074" s="196"/>
      <c r="AB1074" s="196"/>
      <c r="AC1074" s="196"/>
      <c r="AD1074" s="196"/>
    </row>
    <row r="1075" spans="1:30" ht="12.9">
      <c r="A1075" s="196"/>
      <c r="B1075" s="143"/>
      <c r="C1075" s="196"/>
      <c r="D1075" s="196"/>
      <c r="E1075" s="196"/>
      <c r="F1075" s="196"/>
      <c r="G1075" s="24"/>
      <c r="H1075" s="24"/>
      <c r="I1075" s="196"/>
      <c r="J1075" s="196"/>
      <c r="K1075" s="196"/>
      <c r="L1075" s="196"/>
      <c r="M1075" s="196"/>
      <c r="N1075" s="196"/>
      <c r="O1075" s="196"/>
      <c r="P1075" s="196"/>
      <c r="Q1075" s="196"/>
      <c r="R1075" s="196"/>
      <c r="S1075" s="196"/>
      <c r="T1075" s="196"/>
      <c r="U1075" s="196"/>
      <c r="V1075" s="196"/>
      <c r="W1075" s="196"/>
      <c r="X1075" s="196"/>
      <c r="Y1075" s="196"/>
      <c r="Z1075" s="196"/>
      <c r="AA1075" s="196"/>
      <c r="AB1075" s="196"/>
      <c r="AC1075" s="196"/>
      <c r="AD1075" s="196"/>
    </row>
    <row r="1076" spans="1:30" ht="12.9">
      <c r="A1076" s="196"/>
      <c r="B1076" s="143"/>
      <c r="C1076" s="196"/>
      <c r="D1076" s="196"/>
      <c r="E1076" s="196"/>
      <c r="F1076" s="196"/>
      <c r="G1076" s="24"/>
      <c r="H1076" s="24"/>
      <c r="I1076" s="196"/>
      <c r="J1076" s="196"/>
      <c r="K1076" s="196"/>
      <c r="L1076" s="196"/>
      <c r="M1076" s="196"/>
      <c r="N1076" s="196"/>
      <c r="O1076" s="196"/>
      <c r="P1076" s="196"/>
      <c r="Q1076" s="196"/>
      <c r="R1076" s="196"/>
      <c r="S1076" s="196"/>
      <c r="T1076" s="196"/>
      <c r="U1076" s="196"/>
      <c r="V1076" s="196"/>
      <c r="W1076" s="196"/>
      <c r="X1076" s="196"/>
      <c r="Y1076" s="196"/>
      <c r="Z1076" s="196"/>
      <c r="AA1076" s="196"/>
      <c r="AB1076" s="196"/>
      <c r="AC1076" s="196"/>
      <c r="AD1076" s="196"/>
    </row>
    <row r="1077" spans="1:30" ht="12.9">
      <c r="A1077" s="196"/>
      <c r="B1077" s="143"/>
      <c r="C1077" s="196"/>
      <c r="D1077" s="196"/>
      <c r="E1077" s="196"/>
      <c r="F1077" s="196"/>
      <c r="G1077" s="24"/>
      <c r="H1077" s="24"/>
      <c r="I1077" s="196"/>
      <c r="J1077" s="196"/>
      <c r="K1077" s="196"/>
      <c r="L1077" s="196"/>
      <c r="M1077" s="196"/>
      <c r="N1077" s="196"/>
      <c r="O1077" s="196"/>
      <c r="P1077" s="196"/>
      <c r="Q1077" s="196"/>
      <c r="R1077" s="196"/>
      <c r="S1077" s="196"/>
      <c r="T1077" s="196"/>
      <c r="U1077" s="196"/>
      <c r="V1077" s="196"/>
      <c r="W1077" s="196"/>
      <c r="X1077" s="196"/>
      <c r="Y1077" s="196"/>
      <c r="Z1077" s="196"/>
      <c r="AA1077" s="196"/>
      <c r="AB1077" s="196"/>
      <c r="AC1077" s="196"/>
      <c r="AD1077" s="196"/>
    </row>
    <row r="1078" spans="1:30" ht="12.9">
      <c r="A1078" s="196"/>
      <c r="B1078" s="143"/>
      <c r="C1078" s="196"/>
      <c r="D1078" s="196"/>
      <c r="E1078" s="196"/>
      <c r="F1078" s="196"/>
      <c r="G1078" s="24"/>
      <c r="H1078" s="24"/>
      <c r="I1078" s="196"/>
      <c r="J1078" s="196"/>
      <c r="K1078" s="196"/>
      <c r="L1078" s="196"/>
      <c r="M1078" s="196"/>
      <c r="N1078" s="196"/>
      <c r="O1078" s="196"/>
      <c r="P1078" s="196"/>
      <c r="Q1078" s="196"/>
      <c r="R1078" s="196"/>
      <c r="S1078" s="196"/>
      <c r="T1078" s="196"/>
      <c r="U1078" s="196"/>
      <c r="V1078" s="196"/>
      <c r="W1078" s="196"/>
      <c r="X1078" s="196"/>
      <c r="Y1078" s="196"/>
      <c r="Z1078" s="196"/>
      <c r="AA1078" s="196"/>
      <c r="AB1078" s="196"/>
      <c r="AC1078" s="196"/>
      <c r="AD1078" s="196"/>
    </row>
    <row r="1079" spans="1:30" ht="12.9">
      <c r="A1079" s="196"/>
      <c r="B1079" s="143"/>
      <c r="C1079" s="196"/>
      <c r="D1079" s="196"/>
      <c r="E1079" s="196"/>
      <c r="F1079" s="196"/>
      <c r="G1079" s="24"/>
      <c r="H1079" s="24"/>
      <c r="I1079" s="196"/>
      <c r="J1079" s="196"/>
      <c r="K1079" s="196"/>
      <c r="L1079" s="196"/>
      <c r="M1079" s="196"/>
      <c r="N1079" s="196"/>
      <c r="O1079" s="196"/>
      <c r="P1079" s="196"/>
      <c r="Q1079" s="196"/>
      <c r="R1079" s="196"/>
      <c r="S1079" s="196"/>
      <c r="T1079" s="196"/>
      <c r="U1079" s="196"/>
      <c r="V1079" s="196"/>
      <c r="W1079" s="196"/>
      <c r="X1079" s="196"/>
      <c r="Y1079" s="196"/>
      <c r="Z1079" s="196"/>
      <c r="AA1079" s="196"/>
      <c r="AB1079" s="196"/>
      <c r="AC1079" s="196"/>
      <c r="AD1079" s="196"/>
    </row>
    <row r="1080" spans="1:30" ht="12.9">
      <c r="A1080" s="196"/>
      <c r="B1080" s="143"/>
      <c r="C1080" s="196"/>
      <c r="D1080" s="196"/>
      <c r="E1080" s="196"/>
      <c r="F1080" s="196"/>
      <c r="G1080" s="24"/>
      <c r="H1080" s="24"/>
      <c r="I1080" s="196"/>
      <c r="J1080" s="196"/>
      <c r="K1080" s="196"/>
      <c r="L1080" s="196"/>
      <c r="M1080" s="196"/>
      <c r="N1080" s="196"/>
      <c r="O1080" s="196"/>
      <c r="P1080" s="196"/>
      <c r="Q1080" s="196"/>
      <c r="R1080" s="196"/>
      <c r="S1080" s="196"/>
      <c r="T1080" s="196"/>
      <c r="U1080" s="196"/>
      <c r="V1080" s="196"/>
      <c r="W1080" s="196"/>
      <c r="X1080" s="196"/>
      <c r="Y1080" s="196"/>
      <c r="Z1080" s="196"/>
      <c r="AA1080" s="196"/>
      <c r="AB1080" s="196"/>
      <c r="AC1080" s="196"/>
      <c r="AD1080" s="196"/>
    </row>
    <row r="1081" spans="1:30" ht="12.9">
      <c r="A1081" s="196"/>
      <c r="B1081" s="143"/>
      <c r="C1081" s="196"/>
      <c r="D1081" s="196"/>
      <c r="E1081" s="196"/>
      <c r="F1081" s="196"/>
      <c r="G1081" s="24"/>
      <c r="H1081" s="24"/>
      <c r="I1081" s="196"/>
      <c r="J1081" s="196"/>
      <c r="K1081" s="196"/>
      <c r="L1081" s="196"/>
      <c r="M1081" s="196"/>
      <c r="N1081" s="196"/>
      <c r="O1081" s="196"/>
      <c r="P1081" s="196"/>
      <c r="Q1081" s="196"/>
      <c r="R1081" s="196"/>
      <c r="S1081" s="196"/>
      <c r="T1081" s="196"/>
      <c r="U1081" s="196"/>
      <c r="V1081" s="196"/>
      <c r="W1081" s="196"/>
      <c r="X1081" s="196"/>
      <c r="Y1081" s="196"/>
      <c r="Z1081" s="196"/>
      <c r="AA1081" s="196"/>
      <c r="AB1081" s="196"/>
      <c r="AC1081" s="196"/>
      <c r="AD1081" s="196"/>
    </row>
    <row r="1082" spans="1:30" ht="12.9">
      <c r="A1082" s="196"/>
      <c r="B1082" s="143"/>
      <c r="C1082" s="196"/>
      <c r="D1082" s="196"/>
      <c r="E1082" s="196"/>
      <c r="F1082" s="196"/>
      <c r="G1082" s="24"/>
      <c r="H1082" s="24"/>
      <c r="I1082" s="196"/>
      <c r="J1082" s="196"/>
      <c r="K1082" s="196"/>
      <c r="L1082" s="196"/>
      <c r="M1082" s="196"/>
      <c r="N1082" s="196"/>
      <c r="O1082" s="196"/>
      <c r="P1082" s="196"/>
      <c r="Q1082" s="196"/>
      <c r="R1082" s="196"/>
      <c r="S1082" s="196"/>
      <c r="T1082" s="196"/>
      <c r="U1082" s="196"/>
      <c r="V1082" s="196"/>
      <c r="W1082" s="196"/>
      <c r="X1082" s="196"/>
      <c r="Y1082" s="196"/>
      <c r="Z1082" s="196"/>
      <c r="AA1082" s="196"/>
      <c r="AB1082" s="196"/>
      <c r="AC1082" s="196"/>
      <c r="AD1082" s="196"/>
    </row>
    <row r="1083" spans="1:30" ht="12.9">
      <c r="A1083" s="196"/>
      <c r="B1083" s="143"/>
      <c r="C1083" s="196"/>
      <c r="D1083" s="196"/>
      <c r="E1083" s="196"/>
      <c r="F1083" s="196"/>
      <c r="G1083" s="24"/>
      <c r="H1083" s="24"/>
      <c r="I1083" s="196"/>
      <c r="J1083" s="196"/>
      <c r="K1083" s="196"/>
      <c r="L1083" s="196"/>
      <c r="M1083" s="196"/>
      <c r="N1083" s="196"/>
      <c r="O1083" s="196"/>
      <c r="P1083" s="196"/>
      <c r="Q1083" s="196"/>
      <c r="R1083" s="196"/>
      <c r="S1083" s="196"/>
      <c r="T1083" s="196"/>
      <c r="U1083" s="196"/>
      <c r="V1083" s="196"/>
      <c r="W1083" s="196"/>
      <c r="X1083" s="196"/>
      <c r="Y1083" s="196"/>
      <c r="Z1083" s="196"/>
      <c r="AA1083" s="196"/>
      <c r="AB1083" s="196"/>
      <c r="AC1083" s="196"/>
      <c r="AD1083" s="196"/>
    </row>
    <row r="1084" spans="1:30" ht="12.9">
      <c r="A1084" s="196"/>
      <c r="B1084" s="143"/>
      <c r="C1084" s="196"/>
      <c r="D1084" s="196"/>
      <c r="E1084" s="196"/>
      <c r="F1084" s="196"/>
      <c r="G1084" s="24"/>
      <c r="H1084" s="24"/>
      <c r="I1084" s="196"/>
      <c r="J1084" s="196"/>
      <c r="K1084" s="196"/>
      <c r="L1084" s="196"/>
      <c r="M1084" s="196"/>
      <c r="N1084" s="196"/>
      <c r="O1084" s="196"/>
      <c r="P1084" s="196"/>
      <c r="Q1084" s="196"/>
      <c r="R1084" s="196"/>
      <c r="S1084" s="196"/>
      <c r="T1084" s="196"/>
      <c r="U1084" s="196"/>
      <c r="V1084" s="196"/>
      <c r="W1084" s="196"/>
      <c r="X1084" s="196"/>
      <c r="Y1084" s="196"/>
      <c r="Z1084" s="196"/>
      <c r="AA1084" s="196"/>
      <c r="AB1084" s="196"/>
      <c r="AC1084" s="196"/>
      <c r="AD1084" s="196"/>
    </row>
    <row r="1085" spans="1:30" ht="12.9">
      <c r="A1085" s="196"/>
      <c r="B1085" s="143"/>
      <c r="C1085" s="196"/>
      <c r="D1085" s="196"/>
      <c r="E1085" s="196"/>
      <c r="F1085" s="196"/>
      <c r="G1085" s="24"/>
      <c r="H1085" s="24"/>
      <c r="I1085" s="196"/>
      <c r="J1085" s="196"/>
      <c r="K1085" s="196"/>
      <c r="L1085" s="196"/>
      <c r="M1085" s="196"/>
      <c r="N1085" s="196"/>
      <c r="O1085" s="196"/>
      <c r="P1085" s="196"/>
      <c r="Q1085" s="196"/>
      <c r="R1085" s="196"/>
      <c r="S1085" s="196"/>
      <c r="T1085" s="196"/>
      <c r="U1085" s="196"/>
      <c r="V1085" s="196"/>
      <c r="W1085" s="196"/>
      <c r="X1085" s="196"/>
      <c r="Y1085" s="196"/>
      <c r="Z1085" s="196"/>
      <c r="AA1085" s="196"/>
      <c r="AB1085" s="196"/>
      <c r="AC1085" s="196"/>
      <c r="AD1085" s="196"/>
    </row>
    <row r="1086" spans="1:30" ht="12.9">
      <c r="A1086" s="196"/>
      <c r="B1086" s="143"/>
      <c r="C1086" s="196"/>
      <c r="D1086" s="196"/>
      <c r="E1086" s="196"/>
      <c r="F1086" s="196"/>
      <c r="G1086" s="24"/>
      <c r="H1086" s="24"/>
      <c r="I1086" s="196"/>
      <c r="J1086" s="196"/>
      <c r="K1086" s="196"/>
      <c r="L1086" s="196"/>
      <c r="M1086" s="196"/>
      <c r="N1086" s="196"/>
      <c r="O1086" s="196"/>
      <c r="P1086" s="196"/>
      <c r="Q1086" s="196"/>
      <c r="R1086" s="196"/>
      <c r="S1086" s="196"/>
      <c r="T1086" s="196"/>
      <c r="U1086" s="196"/>
      <c r="V1086" s="196"/>
      <c r="W1086" s="196"/>
      <c r="X1086" s="196"/>
      <c r="Y1086" s="196"/>
      <c r="Z1086" s="196"/>
      <c r="AA1086" s="196"/>
      <c r="AB1086" s="196"/>
      <c r="AC1086" s="196"/>
      <c r="AD1086" s="196"/>
    </row>
    <row r="1087" spans="1:30" ht="12.9">
      <c r="A1087" s="196"/>
      <c r="B1087" s="143"/>
      <c r="C1087" s="196"/>
      <c r="D1087" s="196"/>
      <c r="E1087" s="196"/>
      <c r="F1087" s="196"/>
      <c r="G1087" s="24"/>
      <c r="H1087" s="24"/>
      <c r="I1087" s="196"/>
      <c r="J1087" s="196"/>
      <c r="K1087" s="196"/>
      <c r="L1087" s="196"/>
      <c r="M1087" s="196"/>
      <c r="N1087" s="196"/>
      <c r="O1087" s="196"/>
      <c r="P1087" s="196"/>
      <c r="Q1087" s="196"/>
      <c r="R1087" s="196"/>
      <c r="S1087" s="196"/>
      <c r="T1087" s="196"/>
      <c r="U1087" s="196"/>
      <c r="V1087" s="196"/>
      <c r="W1087" s="196"/>
      <c r="X1087" s="196"/>
      <c r="Y1087" s="196"/>
      <c r="Z1087" s="196"/>
      <c r="AA1087" s="196"/>
      <c r="AB1087" s="196"/>
      <c r="AC1087" s="196"/>
      <c r="AD1087" s="196"/>
    </row>
    <row r="1088" spans="1:30" ht="12.9">
      <c r="A1088" s="196"/>
      <c r="B1088" s="143"/>
      <c r="C1088" s="196"/>
      <c r="D1088" s="196"/>
      <c r="E1088" s="196"/>
      <c r="F1088" s="196"/>
      <c r="G1088" s="24"/>
      <c r="H1088" s="24"/>
      <c r="I1088" s="196"/>
      <c r="J1088" s="196"/>
      <c r="K1088" s="196"/>
      <c r="L1088" s="196"/>
      <c r="M1088" s="196"/>
      <c r="N1088" s="196"/>
      <c r="O1088" s="196"/>
      <c r="P1088" s="196"/>
      <c r="Q1088" s="196"/>
      <c r="R1088" s="196"/>
      <c r="S1088" s="196"/>
      <c r="T1088" s="196"/>
      <c r="U1088" s="196"/>
      <c r="V1088" s="196"/>
      <c r="W1088" s="196"/>
      <c r="X1088" s="196"/>
      <c r="Y1088" s="196"/>
      <c r="Z1088" s="196"/>
      <c r="AA1088" s="196"/>
      <c r="AB1088" s="196"/>
      <c r="AC1088" s="196"/>
      <c r="AD1088" s="196"/>
    </row>
    <row r="1089" spans="1:30" ht="12.9">
      <c r="A1089" s="196"/>
      <c r="B1089" s="143"/>
      <c r="C1089" s="196"/>
      <c r="D1089" s="196"/>
      <c r="E1089" s="196"/>
      <c r="F1089" s="196"/>
      <c r="G1089" s="24"/>
      <c r="H1089" s="24"/>
      <c r="I1089" s="196"/>
      <c r="J1089" s="196"/>
      <c r="K1089" s="196"/>
      <c r="L1089" s="196"/>
      <c r="M1089" s="196"/>
      <c r="N1089" s="196"/>
      <c r="O1089" s="196"/>
      <c r="P1089" s="196"/>
      <c r="Q1089" s="196"/>
      <c r="R1089" s="196"/>
      <c r="S1089" s="196"/>
      <c r="T1089" s="196"/>
      <c r="U1089" s="196"/>
      <c r="V1089" s="196"/>
      <c r="W1089" s="196"/>
      <c r="X1089" s="196"/>
      <c r="Y1089" s="196"/>
      <c r="Z1089" s="196"/>
      <c r="AA1089" s="196"/>
      <c r="AB1089" s="196"/>
      <c r="AC1089" s="196"/>
      <c r="AD1089" s="196"/>
    </row>
    <row r="1090" spans="1:30" ht="12.9">
      <c r="A1090" s="196"/>
      <c r="B1090" s="143"/>
      <c r="C1090" s="196"/>
      <c r="D1090" s="196"/>
      <c r="E1090" s="196"/>
      <c r="F1090" s="196"/>
      <c r="G1090" s="24"/>
      <c r="H1090" s="24"/>
      <c r="I1090" s="196"/>
      <c r="J1090" s="196"/>
      <c r="K1090" s="196"/>
      <c r="L1090" s="196"/>
      <c r="M1090" s="196"/>
      <c r="N1090" s="196"/>
      <c r="O1090" s="196"/>
      <c r="P1090" s="196"/>
      <c r="Q1090" s="196"/>
      <c r="R1090" s="196"/>
      <c r="S1090" s="196"/>
      <c r="T1090" s="196"/>
      <c r="U1090" s="196"/>
      <c r="V1090" s="196"/>
      <c r="W1090" s="196"/>
      <c r="X1090" s="196"/>
      <c r="Y1090" s="196"/>
      <c r="Z1090" s="196"/>
      <c r="AA1090" s="196"/>
      <c r="AB1090" s="196"/>
      <c r="AC1090" s="196"/>
      <c r="AD1090" s="196"/>
    </row>
    <row r="1091" spans="1:30" ht="12.9">
      <c r="A1091" s="196"/>
      <c r="B1091" s="143"/>
      <c r="C1091" s="196"/>
      <c r="D1091" s="196"/>
      <c r="E1091" s="196"/>
      <c r="F1091" s="196"/>
      <c r="G1091" s="24"/>
      <c r="H1091" s="24"/>
      <c r="I1091" s="196"/>
      <c r="J1091" s="196"/>
      <c r="K1091" s="196"/>
      <c r="L1091" s="196"/>
      <c r="M1091" s="196"/>
      <c r="N1091" s="196"/>
      <c r="O1091" s="196"/>
      <c r="P1091" s="196"/>
      <c r="Q1091" s="196"/>
      <c r="R1091" s="196"/>
      <c r="S1091" s="196"/>
      <c r="T1091" s="196"/>
      <c r="U1091" s="196"/>
      <c r="V1091" s="196"/>
      <c r="W1091" s="196"/>
      <c r="X1091" s="196"/>
      <c r="Y1091" s="196"/>
      <c r="Z1091" s="196"/>
      <c r="AA1091" s="196"/>
      <c r="AB1091" s="196"/>
      <c r="AC1091" s="196"/>
      <c r="AD1091" s="196"/>
    </row>
    <row r="1092" spans="1:30" ht="12.9">
      <c r="A1092" s="196"/>
      <c r="B1092" s="143"/>
      <c r="C1092" s="196"/>
      <c r="D1092" s="196"/>
      <c r="E1092" s="196"/>
      <c r="F1092" s="196"/>
      <c r="G1092" s="24"/>
      <c r="H1092" s="24"/>
      <c r="I1092" s="196"/>
      <c r="J1092" s="196"/>
      <c r="K1092" s="196"/>
      <c r="L1092" s="196"/>
      <c r="M1092" s="196"/>
      <c r="N1092" s="196"/>
      <c r="O1092" s="196"/>
      <c r="P1092" s="196"/>
      <c r="Q1092" s="196"/>
      <c r="R1092" s="196"/>
      <c r="S1092" s="196"/>
      <c r="T1092" s="196"/>
      <c r="U1092" s="196"/>
      <c r="V1092" s="196"/>
      <c r="W1092" s="196"/>
      <c r="X1092" s="196"/>
      <c r="Y1092" s="196"/>
      <c r="Z1092" s="196"/>
      <c r="AA1092" s="196"/>
      <c r="AB1092" s="196"/>
      <c r="AC1092" s="196"/>
      <c r="AD1092" s="196"/>
    </row>
    <row r="1093" spans="1:30" ht="12.9">
      <c r="A1093" s="196"/>
      <c r="B1093" s="143"/>
      <c r="C1093" s="196"/>
      <c r="D1093" s="196"/>
      <c r="E1093" s="196"/>
      <c r="F1093" s="196"/>
      <c r="G1093" s="24"/>
      <c r="H1093" s="24"/>
      <c r="I1093" s="196"/>
      <c r="J1093" s="196"/>
      <c r="K1093" s="196"/>
      <c r="L1093" s="196"/>
      <c r="M1093" s="196"/>
      <c r="N1093" s="196"/>
      <c r="O1093" s="196"/>
      <c r="P1093" s="196"/>
      <c r="Q1093" s="196"/>
      <c r="R1093" s="196"/>
      <c r="S1093" s="196"/>
      <c r="T1093" s="196"/>
      <c r="U1093" s="196"/>
      <c r="V1093" s="196"/>
      <c r="W1093" s="196"/>
      <c r="X1093" s="196"/>
      <c r="Y1093" s="196"/>
      <c r="Z1093" s="196"/>
      <c r="AA1093" s="196"/>
      <c r="AB1093" s="196"/>
      <c r="AC1093" s="196"/>
      <c r="AD1093" s="196"/>
    </row>
    <row r="1094" spans="1:30" ht="12.9">
      <c r="A1094" s="196"/>
      <c r="B1094" s="143"/>
      <c r="C1094" s="196"/>
      <c r="D1094" s="196"/>
      <c r="E1094" s="196"/>
      <c r="F1094" s="196"/>
      <c r="G1094" s="24"/>
      <c r="H1094" s="24"/>
      <c r="I1094" s="196"/>
      <c r="J1094" s="196"/>
      <c r="K1094" s="196"/>
      <c r="L1094" s="196"/>
      <c r="M1094" s="196"/>
      <c r="N1094" s="196"/>
      <c r="O1094" s="196"/>
      <c r="P1094" s="196"/>
      <c r="Q1094" s="196"/>
      <c r="R1094" s="196"/>
      <c r="S1094" s="196"/>
      <c r="T1094" s="196"/>
      <c r="U1094" s="196"/>
      <c r="V1094" s="196"/>
      <c r="W1094" s="196"/>
      <c r="X1094" s="196"/>
      <c r="Y1094" s="196"/>
      <c r="Z1094" s="196"/>
      <c r="AA1094" s="196"/>
      <c r="AB1094" s="196"/>
      <c r="AC1094" s="196"/>
      <c r="AD1094" s="196"/>
    </row>
    <row r="1095" spans="1:30" ht="12.9">
      <c r="A1095" s="196"/>
      <c r="B1095" s="143"/>
      <c r="C1095" s="196"/>
      <c r="D1095" s="196"/>
      <c r="E1095" s="196"/>
      <c r="F1095" s="196"/>
      <c r="G1095" s="24"/>
      <c r="H1095" s="24"/>
      <c r="I1095" s="196"/>
      <c r="J1095" s="196"/>
      <c r="K1095" s="196"/>
      <c r="L1095" s="196"/>
      <c r="M1095" s="196"/>
      <c r="N1095" s="196"/>
      <c r="O1095" s="196"/>
      <c r="P1095" s="196"/>
      <c r="Q1095" s="196"/>
      <c r="R1095" s="196"/>
      <c r="S1095" s="196"/>
      <c r="T1095" s="196"/>
      <c r="U1095" s="196"/>
      <c r="V1095" s="196"/>
      <c r="W1095" s="196"/>
      <c r="X1095" s="196"/>
      <c r="Y1095" s="196"/>
      <c r="Z1095" s="196"/>
      <c r="AA1095" s="196"/>
      <c r="AB1095" s="196"/>
      <c r="AC1095" s="196"/>
      <c r="AD1095" s="196"/>
    </row>
    <row r="1096" spans="1:30" ht="12.9">
      <c r="A1096" s="196"/>
      <c r="B1096" s="143"/>
      <c r="C1096" s="196"/>
      <c r="D1096" s="196"/>
      <c r="E1096" s="196"/>
      <c r="F1096" s="196"/>
      <c r="G1096" s="24"/>
      <c r="H1096" s="24"/>
      <c r="I1096" s="196"/>
      <c r="J1096" s="196"/>
      <c r="K1096" s="196"/>
      <c r="L1096" s="196"/>
      <c r="M1096" s="196"/>
      <c r="N1096" s="196"/>
      <c r="O1096" s="196"/>
      <c r="P1096" s="196"/>
      <c r="Q1096" s="196"/>
      <c r="R1096" s="196"/>
      <c r="S1096" s="196"/>
      <c r="T1096" s="196"/>
      <c r="U1096" s="196"/>
      <c r="V1096" s="196"/>
      <c r="W1096" s="196"/>
      <c r="X1096" s="196"/>
      <c r="Y1096" s="196"/>
      <c r="Z1096" s="196"/>
      <c r="AA1096" s="196"/>
      <c r="AB1096" s="196"/>
      <c r="AC1096" s="196"/>
      <c r="AD1096" s="196"/>
    </row>
    <row r="1097" spans="1:30" ht="12.9">
      <c r="A1097" s="196"/>
      <c r="B1097" s="143"/>
      <c r="C1097" s="196"/>
      <c r="D1097" s="196"/>
      <c r="E1097" s="196"/>
      <c r="F1097" s="196"/>
      <c r="G1097" s="24"/>
      <c r="H1097" s="24"/>
      <c r="I1097" s="196"/>
      <c r="J1097" s="196"/>
      <c r="K1097" s="196"/>
      <c r="L1097" s="196"/>
      <c r="M1097" s="196"/>
      <c r="N1097" s="196"/>
      <c r="O1097" s="196"/>
      <c r="P1097" s="196"/>
      <c r="Q1097" s="196"/>
      <c r="R1097" s="196"/>
      <c r="S1097" s="196"/>
      <c r="T1097" s="196"/>
      <c r="U1097" s="196"/>
      <c r="V1097" s="196"/>
      <c r="W1097" s="196"/>
      <c r="X1097" s="196"/>
      <c r="Y1097" s="196"/>
      <c r="Z1097" s="196"/>
      <c r="AA1097" s="196"/>
      <c r="AB1097" s="196"/>
      <c r="AC1097" s="196"/>
      <c r="AD1097" s="196"/>
    </row>
    <row r="1098" spans="1:30" ht="12.9">
      <c r="A1098" s="196"/>
      <c r="B1098" s="143"/>
      <c r="C1098" s="196"/>
      <c r="D1098" s="196"/>
      <c r="E1098" s="196"/>
      <c r="F1098" s="196"/>
      <c r="G1098" s="24"/>
      <c r="H1098" s="24"/>
      <c r="I1098" s="196"/>
      <c r="J1098" s="196"/>
      <c r="K1098" s="196"/>
      <c r="L1098" s="196"/>
      <c r="M1098" s="196"/>
      <c r="N1098" s="196"/>
      <c r="O1098" s="196"/>
      <c r="P1098" s="196"/>
      <c r="Q1098" s="196"/>
      <c r="R1098" s="196"/>
      <c r="S1098" s="196"/>
      <c r="T1098" s="196"/>
      <c r="U1098" s="196"/>
      <c r="V1098" s="196"/>
      <c r="W1098" s="196"/>
      <c r="X1098" s="196"/>
      <c r="Y1098" s="196"/>
      <c r="Z1098" s="196"/>
      <c r="AA1098" s="196"/>
      <c r="AB1098" s="196"/>
      <c r="AC1098" s="196"/>
      <c r="AD1098" s="196"/>
    </row>
    <row r="1099" spans="1:30" ht="12.9">
      <c r="A1099" s="196"/>
      <c r="B1099" s="143"/>
      <c r="C1099" s="196"/>
      <c r="D1099" s="196"/>
      <c r="E1099" s="196"/>
      <c r="F1099" s="196"/>
      <c r="G1099" s="24"/>
      <c r="H1099" s="24"/>
      <c r="I1099" s="196"/>
      <c r="J1099" s="196"/>
      <c r="K1099" s="196"/>
      <c r="L1099" s="196"/>
      <c r="M1099" s="196"/>
      <c r="N1099" s="196"/>
      <c r="O1099" s="196"/>
      <c r="P1099" s="196"/>
      <c r="Q1099" s="196"/>
      <c r="R1099" s="196"/>
      <c r="S1099" s="196"/>
      <c r="T1099" s="196"/>
      <c r="U1099" s="196"/>
      <c r="V1099" s="196"/>
      <c r="W1099" s="196"/>
      <c r="X1099" s="196"/>
      <c r="Y1099" s="196"/>
      <c r="Z1099" s="196"/>
      <c r="AA1099" s="196"/>
      <c r="AB1099" s="196"/>
      <c r="AC1099" s="196"/>
      <c r="AD1099" s="196"/>
    </row>
    <row r="1100" spans="1:30" ht="12.9">
      <c r="A1100" s="196"/>
      <c r="B1100" s="143"/>
      <c r="C1100" s="196"/>
      <c r="D1100" s="196"/>
      <c r="E1100" s="196"/>
      <c r="F1100" s="196"/>
      <c r="G1100" s="24"/>
      <c r="H1100" s="24"/>
      <c r="I1100" s="196"/>
      <c r="J1100" s="196"/>
      <c r="K1100" s="196"/>
      <c r="L1100" s="196"/>
      <c r="M1100" s="196"/>
      <c r="N1100" s="196"/>
      <c r="O1100" s="196"/>
      <c r="P1100" s="196"/>
      <c r="Q1100" s="196"/>
      <c r="R1100" s="196"/>
      <c r="S1100" s="196"/>
      <c r="T1100" s="196"/>
      <c r="U1100" s="196"/>
      <c r="V1100" s="196"/>
      <c r="W1100" s="196"/>
      <c r="X1100" s="196"/>
      <c r="Y1100" s="196"/>
      <c r="Z1100" s="196"/>
      <c r="AA1100" s="196"/>
      <c r="AB1100" s="196"/>
      <c r="AC1100" s="196"/>
      <c r="AD1100" s="196"/>
    </row>
    <row r="1101" spans="1:30" ht="12.9">
      <c r="A1101" s="196"/>
      <c r="B1101" s="143"/>
      <c r="C1101" s="196"/>
      <c r="D1101" s="196"/>
      <c r="E1101" s="196"/>
      <c r="F1101" s="196"/>
      <c r="G1101" s="24"/>
      <c r="H1101" s="24"/>
      <c r="I1101" s="196"/>
      <c r="J1101" s="196"/>
      <c r="K1101" s="196"/>
      <c r="L1101" s="196"/>
      <c r="M1101" s="196"/>
      <c r="N1101" s="196"/>
      <c r="O1101" s="196"/>
      <c r="P1101" s="196"/>
      <c r="Q1101" s="196"/>
      <c r="R1101" s="196"/>
      <c r="S1101" s="196"/>
      <c r="T1101" s="196"/>
      <c r="U1101" s="196"/>
      <c r="V1101" s="196"/>
      <c r="W1101" s="196"/>
      <c r="X1101" s="196"/>
      <c r="Y1101" s="196"/>
      <c r="Z1101" s="196"/>
      <c r="AA1101" s="196"/>
      <c r="AB1101" s="196"/>
      <c r="AC1101" s="196"/>
      <c r="AD1101" s="196"/>
    </row>
    <row r="1102" spans="1:30" ht="12.9">
      <c r="A1102" s="196"/>
      <c r="B1102" s="143"/>
      <c r="C1102" s="196"/>
      <c r="D1102" s="196"/>
      <c r="E1102" s="196"/>
      <c r="F1102" s="196"/>
      <c r="G1102" s="24"/>
      <c r="H1102" s="24"/>
      <c r="I1102" s="196"/>
      <c r="J1102" s="196"/>
      <c r="K1102" s="196"/>
      <c r="L1102" s="196"/>
      <c r="M1102" s="196"/>
      <c r="N1102" s="196"/>
      <c r="O1102" s="196"/>
      <c r="P1102" s="196"/>
      <c r="Q1102" s="196"/>
      <c r="R1102" s="196"/>
      <c r="S1102" s="196"/>
      <c r="T1102" s="196"/>
      <c r="U1102" s="196"/>
      <c r="V1102" s="196"/>
      <c r="W1102" s="196"/>
      <c r="X1102" s="196"/>
      <c r="Y1102" s="196"/>
      <c r="Z1102" s="196"/>
      <c r="AA1102" s="196"/>
      <c r="AB1102" s="196"/>
      <c r="AC1102" s="196"/>
      <c r="AD1102" s="196"/>
    </row>
    <row r="1103" spans="1:30" ht="12.9">
      <c r="A1103" s="196"/>
      <c r="B1103" s="143"/>
      <c r="C1103" s="196"/>
      <c r="D1103" s="196"/>
      <c r="E1103" s="196"/>
      <c r="F1103" s="196"/>
      <c r="G1103" s="24"/>
      <c r="H1103" s="24"/>
      <c r="I1103" s="196"/>
      <c r="J1103" s="196"/>
      <c r="K1103" s="196"/>
      <c r="L1103" s="196"/>
      <c r="M1103" s="196"/>
      <c r="N1103" s="196"/>
      <c r="O1103" s="196"/>
      <c r="P1103" s="196"/>
      <c r="Q1103" s="196"/>
      <c r="R1103" s="196"/>
      <c r="S1103" s="196"/>
      <c r="T1103" s="196"/>
      <c r="U1103" s="196"/>
      <c r="V1103" s="196"/>
      <c r="W1103" s="196"/>
      <c r="X1103" s="196"/>
      <c r="Y1103" s="196"/>
      <c r="Z1103" s="196"/>
      <c r="AA1103" s="196"/>
      <c r="AB1103" s="196"/>
      <c r="AC1103" s="196"/>
      <c r="AD1103" s="196"/>
    </row>
    <row r="1104" spans="1:30" ht="12.9">
      <c r="A1104" s="196"/>
      <c r="B1104" s="143"/>
      <c r="C1104" s="196"/>
      <c r="D1104" s="196"/>
      <c r="E1104" s="196"/>
      <c r="F1104" s="196"/>
      <c r="G1104" s="24"/>
      <c r="H1104" s="24"/>
      <c r="I1104" s="196"/>
      <c r="J1104" s="196"/>
      <c r="K1104" s="196"/>
      <c r="L1104" s="196"/>
      <c r="M1104" s="196"/>
      <c r="N1104" s="196"/>
      <c r="O1104" s="196"/>
      <c r="P1104" s="196"/>
      <c r="Q1104" s="196"/>
      <c r="R1104" s="196"/>
      <c r="S1104" s="196"/>
      <c r="T1104" s="196"/>
      <c r="U1104" s="196"/>
      <c r="V1104" s="196"/>
      <c r="W1104" s="196"/>
      <c r="X1104" s="196"/>
      <c r="Y1104" s="196"/>
      <c r="Z1104" s="196"/>
      <c r="AA1104" s="196"/>
      <c r="AB1104" s="196"/>
      <c r="AC1104" s="196"/>
      <c r="AD1104" s="196"/>
    </row>
    <row r="1105" spans="1:30" ht="12.9">
      <c r="A1105" s="196"/>
      <c r="B1105" s="143"/>
      <c r="C1105" s="196"/>
      <c r="D1105" s="196"/>
      <c r="E1105" s="196"/>
      <c r="F1105" s="196"/>
      <c r="G1105" s="24"/>
      <c r="H1105" s="24"/>
      <c r="I1105" s="196"/>
      <c r="J1105" s="196"/>
      <c r="K1105" s="196"/>
      <c r="L1105" s="196"/>
      <c r="M1105" s="196"/>
      <c r="N1105" s="196"/>
      <c r="O1105" s="196"/>
      <c r="P1105" s="196"/>
      <c r="Q1105" s="196"/>
      <c r="R1105" s="196"/>
      <c r="S1105" s="196"/>
      <c r="T1105" s="196"/>
      <c r="U1105" s="196"/>
      <c r="V1105" s="196"/>
      <c r="W1105" s="196"/>
      <c r="X1105" s="196"/>
      <c r="Y1105" s="196"/>
      <c r="Z1105" s="196"/>
      <c r="AA1105" s="196"/>
      <c r="AB1105" s="196"/>
      <c r="AC1105" s="196"/>
      <c r="AD1105" s="196"/>
    </row>
    <row r="1106" spans="1:30" ht="12.9">
      <c r="A1106" s="196"/>
      <c r="B1106" s="143"/>
      <c r="C1106" s="196"/>
      <c r="D1106" s="196"/>
      <c r="E1106" s="196"/>
      <c r="F1106" s="196"/>
      <c r="G1106" s="24"/>
      <c r="H1106" s="24"/>
      <c r="I1106" s="196"/>
      <c r="J1106" s="196"/>
      <c r="K1106" s="196"/>
      <c r="L1106" s="196"/>
      <c r="M1106" s="196"/>
      <c r="N1106" s="196"/>
      <c r="O1106" s="196"/>
      <c r="P1106" s="196"/>
      <c r="Q1106" s="196"/>
      <c r="R1106" s="196"/>
      <c r="S1106" s="196"/>
      <c r="T1106" s="196"/>
      <c r="U1106" s="196"/>
      <c r="V1106" s="196"/>
      <c r="W1106" s="196"/>
      <c r="X1106" s="196"/>
      <c r="Y1106" s="196"/>
      <c r="Z1106" s="196"/>
      <c r="AA1106" s="196"/>
      <c r="AB1106" s="196"/>
      <c r="AC1106" s="196"/>
      <c r="AD1106" s="196"/>
    </row>
    <row r="1107" spans="1:30" ht="12.9">
      <c r="A1107" s="196"/>
      <c r="B1107" s="143"/>
      <c r="C1107" s="196"/>
      <c r="D1107" s="196"/>
      <c r="E1107" s="196"/>
      <c r="F1107" s="196"/>
      <c r="G1107" s="24"/>
      <c r="H1107" s="24"/>
      <c r="I1107" s="196"/>
      <c r="J1107" s="196"/>
      <c r="K1107" s="196"/>
      <c r="L1107" s="196"/>
      <c r="M1107" s="196"/>
      <c r="N1107" s="196"/>
      <c r="O1107" s="196"/>
      <c r="P1107" s="196"/>
      <c r="Q1107" s="196"/>
      <c r="R1107" s="196"/>
      <c r="S1107" s="196"/>
      <c r="T1107" s="196"/>
      <c r="U1107" s="196"/>
      <c r="V1107" s="196"/>
      <c r="W1107" s="196"/>
      <c r="X1107" s="196"/>
      <c r="Y1107" s="196"/>
      <c r="Z1107" s="196"/>
      <c r="AA1107" s="196"/>
      <c r="AB1107" s="196"/>
      <c r="AC1107" s="196"/>
      <c r="AD1107" s="196"/>
    </row>
    <row r="1108" spans="1:30" ht="12.9">
      <c r="A1108" s="196"/>
      <c r="B1108" s="143"/>
      <c r="C1108" s="196"/>
      <c r="D1108" s="196"/>
      <c r="E1108" s="196"/>
      <c r="F1108" s="196"/>
      <c r="G1108" s="24"/>
      <c r="H1108" s="24"/>
      <c r="I1108" s="196"/>
      <c r="J1108" s="196"/>
      <c r="K1108" s="196"/>
      <c r="L1108" s="196"/>
      <c r="M1108" s="196"/>
      <c r="N1108" s="196"/>
      <c r="O1108" s="196"/>
      <c r="P1108" s="196"/>
      <c r="Q1108" s="196"/>
      <c r="R1108" s="196"/>
      <c r="S1108" s="196"/>
      <c r="T1108" s="196"/>
      <c r="U1108" s="196"/>
      <c r="V1108" s="196"/>
      <c r="W1108" s="196"/>
      <c r="X1108" s="196"/>
      <c r="Y1108" s="196"/>
      <c r="Z1108" s="196"/>
      <c r="AA1108" s="196"/>
      <c r="AB1108" s="196"/>
      <c r="AC1108" s="196"/>
      <c r="AD1108" s="196"/>
    </row>
    <row r="1109" spans="1:30" ht="12.9">
      <c r="A1109" s="196"/>
      <c r="B1109" s="143"/>
      <c r="C1109" s="196"/>
      <c r="D1109" s="196"/>
      <c r="E1109" s="196"/>
      <c r="F1109" s="196"/>
      <c r="G1109" s="24"/>
      <c r="H1109" s="24"/>
      <c r="I1109" s="196"/>
      <c r="J1109" s="196"/>
      <c r="K1109" s="196"/>
      <c r="L1109" s="196"/>
      <c r="M1109" s="196"/>
      <c r="N1109" s="196"/>
      <c r="O1109" s="196"/>
      <c r="P1109" s="196"/>
      <c r="Q1109" s="196"/>
      <c r="R1109" s="196"/>
      <c r="S1109" s="196"/>
      <c r="T1109" s="196"/>
      <c r="U1109" s="196"/>
      <c r="V1109" s="196"/>
      <c r="W1109" s="196"/>
      <c r="X1109" s="196"/>
      <c r="Y1109" s="196"/>
      <c r="Z1109" s="196"/>
      <c r="AA1109" s="196"/>
      <c r="AB1109" s="196"/>
      <c r="AC1109" s="196"/>
      <c r="AD1109" s="196"/>
    </row>
    <row r="1110" spans="1:30" ht="12.9">
      <c r="A1110" s="196"/>
      <c r="B1110" s="143"/>
      <c r="C1110" s="196"/>
      <c r="D1110" s="196"/>
      <c r="E1110" s="196"/>
      <c r="F1110" s="196"/>
      <c r="G1110" s="24"/>
      <c r="H1110" s="24"/>
      <c r="I1110" s="196"/>
      <c r="J1110" s="196"/>
      <c r="K1110" s="196"/>
      <c r="L1110" s="196"/>
      <c r="M1110" s="196"/>
      <c r="N1110" s="196"/>
      <c r="O1110" s="196"/>
      <c r="P1110" s="196"/>
      <c r="Q1110" s="196"/>
      <c r="R1110" s="196"/>
      <c r="S1110" s="196"/>
      <c r="T1110" s="196"/>
      <c r="U1110" s="196"/>
      <c r="V1110" s="196"/>
      <c r="W1110" s="196"/>
      <c r="X1110" s="196"/>
      <c r="Y1110" s="196"/>
      <c r="Z1110" s="196"/>
      <c r="AA1110" s="196"/>
      <c r="AB1110" s="196"/>
      <c r="AC1110" s="196"/>
      <c r="AD1110" s="196"/>
    </row>
    <row r="1111" spans="1:30" ht="12.9">
      <c r="A1111" s="196"/>
      <c r="B1111" s="143"/>
      <c r="C1111" s="196"/>
      <c r="D1111" s="196"/>
      <c r="E1111" s="196"/>
      <c r="F1111" s="196"/>
      <c r="G1111" s="24"/>
      <c r="H1111" s="24"/>
      <c r="I1111" s="196"/>
      <c r="J1111" s="196"/>
      <c r="K1111" s="196"/>
      <c r="L1111" s="196"/>
      <c r="M1111" s="196"/>
      <c r="N1111" s="196"/>
      <c r="O1111" s="196"/>
      <c r="P1111" s="196"/>
      <c r="Q1111" s="196"/>
      <c r="R1111" s="196"/>
      <c r="S1111" s="196"/>
      <c r="T1111" s="196"/>
      <c r="U1111" s="196"/>
      <c r="V1111" s="196"/>
      <c r="W1111" s="196"/>
      <c r="X1111" s="196"/>
      <c r="Y1111" s="196"/>
      <c r="Z1111" s="196"/>
      <c r="AA1111" s="196"/>
      <c r="AB1111" s="196"/>
      <c r="AC1111" s="196"/>
      <c r="AD1111" s="196"/>
    </row>
    <row r="1112" spans="1:30" ht="12.9">
      <c r="A1112" s="196"/>
      <c r="B1112" s="143"/>
      <c r="C1112" s="196"/>
      <c r="D1112" s="196"/>
      <c r="E1112" s="196"/>
      <c r="F1112" s="196"/>
      <c r="G1112" s="24"/>
      <c r="H1112" s="24"/>
      <c r="I1112" s="196"/>
      <c r="J1112" s="196"/>
      <c r="K1112" s="196"/>
      <c r="L1112" s="196"/>
      <c r="M1112" s="196"/>
      <c r="N1112" s="196"/>
      <c r="O1112" s="196"/>
      <c r="P1112" s="196"/>
      <c r="Q1112" s="196"/>
      <c r="R1112" s="196"/>
      <c r="S1112" s="196"/>
      <c r="T1112" s="196"/>
      <c r="U1112" s="196"/>
      <c r="V1112" s="196"/>
      <c r="W1112" s="196"/>
      <c r="X1112" s="196"/>
      <c r="Y1112" s="196"/>
      <c r="Z1112" s="196"/>
      <c r="AA1112" s="196"/>
      <c r="AB1112" s="196"/>
      <c r="AC1112" s="196"/>
      <c r="AD1112" s="196"/>
    </row>
    <row r="1113" spans="1:30" ht="12.9">
      <c r="A1113" s="196"/>
      <c r="B1113" s="143"/>
      <c r="C1113" s="196"/>
      <c r="D1113" s="196"/>
      <c r="E1113" s="196"/>
      <c r="F1113" s="196"/>
      <c r="G1113" s="24"/>
      <c r="H1113" s="24"/>
      <c r="I1113" s="196"/>
      <c r="J1113" s="196"/>
      <c r="K1113" s="196"/>
      <c r="L1113" s="196"/>
      <c r="M1113" s="196"/>
      <c r="N1113" s="196"/>
      <c r="O1113" s="196"/>
      <c r="P1113" s="196"/>
      <c r="Q1113" s="196"/>
      <c r="R1113" s="196"/>
      <c r="S1113" s="196"/>
      <c r="T1113" s="196"/>
      <c r="U1113" s="196"/>
      <c r="V1113" s="196"/>
      <c r="W1113" s="196"/>
      <c r="X1113" s="196"/>
      <c r="Y1113" s="196"/>
      <c r="Z1113" s="196"/>
      <c r="AA1113" s="196"/>
      <c r="AB1113" s="196"/>
      <c r="AC1113" s="196"/>
      <c r="AD1113" s="196"/>
    </row>
    <row r="1114" spans="1:30" ht="12.9">
      <c r="A1114" s="196"/>
      <c r="B1114" s="143"/>
      <c r="C1114" s="196"/>
      <c r="D1114" s="196"/>
      <c r="E1114" s="196"/>
      <c r="F1114" s="196"/>
      <c r="G1114" s="24"/>
      <c r="H1114" s="24"/>
      <c r="I1114" s="196"/>
      <c r="J1114" s="196"/>
      <c r="K1114" s="196"/>
      <c r="L1114" s="196"/>
      <c r="M1114" s="196"/>
      <c r="N1114" s="196"/>
      <c r="O1114" s="196"/>
      <c r="P1114" s="196"/>
      <c r="Q1114" s="196"/>
      <c r="R1114" s="196"/>
      <c r="S1114" s="196"/>
      <c r="T1114" s="196"/>
      <c r="U1114" s="196"/>
      <c r="V1114" s="196"/>
      <c r="W1114" s="196"/>
      <c r="X1114" s="196"/>
      <c r="Y1114" s="196"/>
      <c r="Z1114" s="196"/>
      <c r="AA1114" s="196"/>
      <c r="AB1114" s="196"/>
      <c r="AC1114" s="196"/>
      <c r="AD1114" s="196"/>
    </row>
    <row r="1115" spans="1:30" ht="12.9">
      <c r="A1115" s="196"/>
      <c r="B1115" s="143"/>
      <c r="C1115" s="196"/>
      <c r="D1115" s="196"/>
      <c r="E1115" s="196"/>
      <c r="F1115" s="196"/>
      <c r="G1115" s="24"/>
      <c r="H1115" s="24"/>
      <c r="I1115" s="196"/>
      <c r="J1115" s="196"/>
      <c r="K1115" s="196"/>
      <c r="L1115" s="196"/>
      <c r="M1115" s="196"/>
      <c r="N1115" s="196"/>
      <c r="O1115" s="196"/>
      <c r="P1115" s="196"/>
      <c r="Q1115" s="196"/>
      <c r="R1115" s="196"/>
      <c r="S1115" s="196"/>
      <c r="T1115" s="196"/>
      <c r="U1115" s="196"/>
      <c r="V1115" s="196"/>
      <c r="W1115" s="196"/>
      <c r="X1115" s="196"/>
      <c r="Y1115" s="196"/>
      <c r="Z1115" s="196"/>
      <c r="AA1115" s="196"/>
      <c r="AB1115" s="196"/>
      <c r="AC1115" s="196"/>
      <c r="AD1115" s="196"/>
    </row>
    <row r="1116" spans="1:30" ht="12.9">
      <c r="A1116" s="196"/>
      <c r="B1116" s="143"/>
      <c r="C1116" s="196"/>
      <c r="D1116" s="196"/>
      <c r="E1116" s="196"/>
      <c r="F1116" s="196"/>
      <c r="G1116" s="24"/>
      <c r="H1116" s="24"/>
      <c r="I1116" s="196"/>
      <c r="J1116" s="196"/>
      <c r="K1116" s="196"/>
      <c r="L1116" s="196"/>
      <c r="M1116" s="196"/>
      <c r="N1116" s="196"/>
      <c r="O1116" s="196"/>
      <c r="P1116" s="196"/>
      <c r="Q1116" s="196"/>
      <c r="R1116" s="196"/>
      <c r="S1116" s="196"/>
      <c r="T1116" s="196"/>
      <c r="U1116" s="196"/>
      <c r="V1116" s="196"/>
      <c r="W1116" s="196"/>
      <c r="X1116" s="196"/>
      <c r="Y1116" s="196"/>
      <c r="Z1116" s="196"/>
      <c r="AA1116" s="196"/>
      <c r="AB1116" s="196"/>
      <c r="AC1116" s="196"/>
      <c r="AD1116" s="196"/>
    </row>
    <row r="1117" spans="1:30" ht="12.9">
      <c r="A1117" s="196"/>
      <c r="B1117" s="143"/>
      <c r="C1117" s="196"/>
      <c r="D1117" s="196"/>
      <c r="E1117" s="196"/>
      <c r="F1117" s="196"/>
      <c r="G1117" s="24"/>
      <c r="H1117" s="24"/>
      <c r="I1117" s="196"/>
      <c r="J1117" s="196"/>
      <c r="K1117" s="196"/>
      <c r="L1117" s="196"/>
      <c r="M1117" s="196"/>
      <c r="N1117" s="196"/>
      <c r="O1117" s="196"/>
      <c r="P1117" s="196"/>
      <c r="Q1117" s="196"/>
      <c r="R1117" s="196"/>
      <c r="S1117" s="196"/>
      <c r="T1117" s="196"/>
      <c r="U1117" s="196"/>
      <c r="V1117" s="196"/>
      <c r="W1117" s="196"/>
      <c r="X1117" s="196"/>
      <c r="Y1117" s="196"/>
      <c r="Z1117" s="196"/>
      <c r="AA1117" s="196"/>
      <c r="AB1117" s="196"/>
      <c r="AC1117" s="196"/>
      <c r="AD1117" s="196"/>
    </row>
    <row r="1118" spans="1:30" ht="12.9">
      <c r="A1118" s="196"/>
      <c r="B1118" s="143"/>
      <c r="C1118" s="196"/>
      <c r="D1118" s="196"/>
      <c r="E1118" s="196"/>
      <c r="F1118" s="196"/>
      <c r="G1118" s="24"/>
      <c r="H1118" s="24"/>
      <c r="I1118" s="196"/>
      <c r="J1118" s="196"/>
      <c r="K1118" s="196"/>
      <c r="L1118" s="196"/>
      <c r="M1118" s="196"/>
      <c r="N1118" s="196"/>
      <c r="O1118" s="196"/>
      <c r="P1118" s="196"/>
      <c r="Q1118" s="196"/>
      <c r="R1118" s="196"/>
      <c r="S1118" s="196"/>
      <c r="T1118" s="196"/>
      <c r="U1118" s="196"/>
      <c r="V1118" s="196"/>
      <c r="W1118" s="196"/>
      <c r="X1118" s="196"/>
      <c r="Y1118" s="196"/>
      <c r="Z1118" s="196"/>
      <c r="AA1118" s="196"/>
      <c r="AB1118" s="196"/>
      <c r="AC1118" s="196"/>
      <c r="AD1118" s="196"/>
    </row>
    <row r="1119" spans="1:30" ht="12.9">
      <c r="A1119" s="196"/>
      <c r="B1119" s="143"/>
      <c r="C1119" s="196"/>
      <c r="D1119" s="196"/>
      <c r="E1119" s="196"/>
      <c r="F1119" s="196"/>
      <c r="G1119" s="24"/>
      <c r="H1119" s="24"/>
      <c r="I1119" s="196"/>
      <c r="J1119" s="196"/>
      <c r="K1119" s="196"/>
      <c r="L1119" s="196"/>
      <c r="M1119" s="196"/>
      <c r="N1119" s="196"/>
      <c r="O1119" s="196"/>
      <c r="P1119" s="196"/>
      <c r="Q1119" s="196"/>
      <c r="R1119" s="196"/>
      <c r="S1119" s="196"/>
      <c r="T1119" s="196"/>
      <c r="U1119" s="196"/>
      <c r="V1119" s="196"/>
      <c r="W1119" s="196"/>
      <c r="X1119" s="196"/>
      <c r="Y1119" s="196"/>
      <c r="Z1119" s="196"/>
      <c r="AA1119" s="196"/>
      <c r="AB1119" s="196"/>
      <c r="AC1119" s="196"/>
      <c r="AD1119" s="196"/>
    </row>
    <row r="1120" spans="1:30" ht="12.9">
      <c r="A1120" s="196"/>
      <c r="B1120" s="143"/>
      <c r="C1120" s="196"/>
      <c r="D1120" s="196"/>
      <c r="E1120" s="196"/>
      <c r="F1120" s="196"/>
      <c r="G1120" s="24"/>
      <c r="H1120" s="24"/>
      <c r="I1120" s="196"/>
      <c r="J1120" s="196"/>
      <c r="K1120" s="196"/>
      <c r="L1120" s="196"/>
      <c r="M1120" s="196"/>
      <c r="N1120" s="196"/>
      <c r="O1120" s="196"/>
      <c r="P1120" s="196"/>
      <c r="Q1120" s="196"/>
      <c r="R1120" s="196"/>
      <c r="S1120" s="196"/>
      <c r="T1120" s="196"/>
      <c r="U1120" s="196"/>
      <c r="V1120" s="196"/>
      <c r="W1120" s="196"/>
      <c r="X1120" s="196"/>
      <c r="Y1120" s="196"/>
      <c r="Z1120" s="196"/>
      <c r="AA1120" s="196"/>
      <c r="AB1120" s="196"/>
      <c r="AC1120" s="196"/>
      <c r="AD1120" s="196"/>
    </row>
    <row r="1121" spans="1:30" ht="12.9">
      <c r="A1121" s="196"/>
      <c r="B1121" s="143"/>
      <c r="C1121" s="196"/>
      <c r="D1121" s="196"/>
      <c r="E1121" s="196"/>
      <c r="F1121" s="196"/>
      <c r="G1121" s="24"/>
      <c r="H1121" s="24"/>
      <c r="I1121" s="196"/>
      <c r="J1121" s="196"/>
      <c r="K1121" s="196"/>
      <c r="L1121" s="196"/>
      <c r="M1121" s="196"/>
      <c r="N1121" s="196"/>
      <c r="O1121" s="196"/>
      <c r="P1121" s="196"/>
      <c r="Q1121" s="196"/>
      <c r="R1121" s="196"/>
      <c r="S1121" s="196"/>
      <c r="T1121" s="196"/>
      <c r="U1121" s="196"/>
      <c r="V1121" s="196"/>
      <c r="W1121" s="196"/>
      <c r="X1121" s="196"/>
      <c r="Y1121" s="196"/>
      <c r="Z1121" s="196"/>
      <c r="AA1121" s="196"/>
      <c r="AB1121" s="196"/>
      <c r="AC1121" s="196"/>
      <c r="AD1121" s="196"/>
    </row>
    <row r="1122" spans="1:30" ht="12.9">
      <c r="A1122" s="196"/>
      <c r="B1122" s="143"/>
      <c r="C1122" s="196"/>
      <c r="D1122" s="196"/>
      <c r="E1122" s="196"/>
      <c r="F1122" s="196"/>
      <c r="G1122" s="24"/>
      <c r="H1122" s="24"/>
      <c r="I1122" s="196"/>
      <c r="J1122" s="196"/>
      <c r="K1122" s="196"/>
      <c r="L1122" s="196"/>
      <c r="M1122" s="196"/>
      <c r="N1122" s="196"/>
      <c r="O1122" s="196"/>
      <c r="P1122" s="196"/>
      <c r="Q1122" s="196"/>
      <c r="R1122" s="196"/>
      <c r="S1122" s="196"/>
      <c r="T1122" s="196"/>
      <c r="U1122" s="196"/>
      <c r="V1122" s="196"/>
      <c r="W1122" s="196"/>
      <c r="X1122" s="196"/>
      <c r="Y1122" s="196"/>
      <c r="Z1122" s="196"/>
      <c r="AA1122" s="196"/>
      <c r="AB1122" s="196"/>
      <c r="AC1122" s="196"/>
      <c r="AD1122" s="196"/>
    </row>
    <row r="1123" spans="1:30" ht="12.9">
      <c r="A1123" s="196"/>
      <c r="B1123" s="143"/>
      <c r="C1123" s="196"/>
      <c r="D1123" s="196"/>
      <c r="E1123" s="196"/>
      <c r="F1123" s="196"/>
      <c r="G1123" s="24"/>
      <c r="H1123" s="24"/>
      <c r="I1123" s="196"/>
      <c r="J1123" s="196"/>
      <c r="K1123" s="196"/>
      <c r="L1123" s="196"/>
      <c r="M1123" s="196"/>
      <c r="N1123" s="196"/>
      <c r="O1123" s="196"/>
      <c r="P1123" s="196"/>
      <c r="Q1123" s="196"/>
      <c r="R1123" s="196"/>
      <c r="S1123" s="196"/>
      <c r="T1123" s="196"/>
      <c r="U1123" s="196"/>
      <c r="V1123" s="196"/>
      <c r="W1123" s="196"/>
      <c r="X1123" s="196"/>
      <c r="Y1123" s="196"/>
      <c r="Z1123" s="196"/>
      <c r="AA1123" s="196"/>
      <c r="AB1123" s="196"/>
      <c r="AC1123" s="196"/>
      <c r="AD1123" s="196"/>
    </row>
    <row r="1124" spans="1:30" ht="12.9">
      <c r="A1124" s="196"/>
      <c r="B1124" s="143"/>
      <c r="C1124" s="196"/>
      <c r="D1124" s="196"/>
      <c r="E1124" s="196"/>
      <c r="F1124" s="196"/>
      <c r="G1124" s="24"/>
      <c r="H1124" s="24"/>
      <c r="I1124" s="196"/>
      <c r="J1124" s="196"/>
      <c r="K1124" s="196"/>
      <c r="L1124" s="196"/>
      <c r="M1124" s="196"/>
      <c r="N1124" s="196"/>
      <c r="O1124" s="196"/>
      <c r="P1124" s="196"/>
      <c r="Q1124" s="196"/>
      <c r="R1124" s="196"/>
      <c r="S1124" s="196"/>
      <c r="T1124" s="196"/>
      <c r="U1124" s="196"/>
      <c r="V1124" s="196"/>
      <c r="W1124" s="196"/>
      <c r="X1124" s="196"/>
      <c r="Y1124" s="196"/>
      <c r="Z1124" s="196"/>
      <c r="AA1124" s="196"/>
      <c r="AB1124" s="196"/>
      <c r="AC1124" s="196"/>
      <c r="AD1124" s="196"/>
    </row>
    <row r="1125" spans="1:30" ht="12.9">
      <c r="A1125" s="196"/>
      <c r="B1125" s="143"/>
      <c r="C1125" s="196"/>
      <c r="D1125" s="196"/>
      <c r="E1125" s="196"/>
      <c r="F1125" s="196"/>
      <c r="G1125" s="24"/>
      <c r="H1125" s="24"/>
      <c r="I1125" s="196"/>
      <c r="J1125" s="196"/>
      <c r="K1125" s="196"/>
      <c r="L1125" s="196"/>
      <c r="M1125" s="196"/>
      <c r="N1125" s="196"/>
      <c r="O1125" s="196"/>
      <c r="P1125" s="196"/>
      <c r="Q1125" s="196"/>
      <c r="R1125" s="196"/>
      <c r="S1125" s="196"/>
      <c r="T1125" s="196"/>
      <c r="U1125" s="196"/>
      <c r="V1125" s="196"/>
      <c r="W1125" s="196"/>
      <c r="X1125" s="196"/>
      <c r="Y1125" s="196"/>
      <c r="Z1125" s="196"/>
      <c r="AA1125" s="196"/>
      <c r="AB1125" s="196"/>
      <c r="AC1125" s="196"/>
      <c r="AD1125" s="196"/>
    </row>
    <row r="1126" spans="1:30" ht="12.9">
      <c r="A1126" s="196"/>
      <c r="B1126" s="143"/>
      <c r="C1126" s="196"/>
      <c r="D1126" s="196"/>
      <c r="E1126" s="196"/>
      <c r="F1126" s="196"/>
      <c r="G1126" s="24"/>
      <c r="H1126" s="24"/>
      <c r="I1126" s="196"/>
      <c r="J1126" s="196"/>
      <c r="K1126" s="196"/>
      <c r="L1126" s="196"/>
      <c r="M1126" s="196"/>
      <c r="N1126" s="196"/>
      <c r="O1126" s="196"/>
      <c r="P1126" s="196"/>
      <c r="Q1126" s="196"/>
      <c r="R1126" s="196"/>
      <c r="S1126" s="196"/>
      <c r="T1126" s="196"/>
      <c r="U1126" s="196"/>
      <c r="V1126" s="196"/>
      <c r="W1126" s="196"/>
      <c r="X1126" s="196"/>
      <c r="Y1126" s="196"/>
      <c r="Z1126" s="196"/>
      <c r="AA1126" s="196"/>
      <c r="AB1126" s="196"/>
      <c r="AC1126" s="196"/>
      <c r="AD1126" s="196"/>
    </row>
    <row r="1127" spans="1:30" ht="12.9">
      <c r="A1127" s="196"/>
      <c r="B1127" s="143"/>
      <c r="C1127" s="196"/>
      <c r="D1127" s="196"/>
      <c r="E1127" s="196"/>
      <c r="F1127" s="196"/>
      <c r="G1127" s="24"/>
      <c r="H1127" s="24"/>
      <c r="I1127" s="196"/>
      <c r="J1127" s="196"/>
      <c r="K1127" s="196"/>
      <c r="L1127" s="196"/>
      <c r="M1127" s="196"/>
      <c r="N1127" s="196"/>
      <c r="O1127" s="196"/>
      <c r="P1127" s="196"/>
      <c r="Q1127" s="196"/>
      <c r="R1127" s="196"/>
      <c r="S1127" s="196"/>
      <c r="T1127" s="196"/>
      <c r="U1127" s="196"/>
      <c r="V1127" s="196"/>
      <c r="W1127" s="196"/>
      <c r="X1127" s="196"/>
      <c r="Y1127" s="196"/>
      <c r="Z1127" s="196"/>
      <c r="AA1127" s="196"/>
      <c r="AB1127" s="196"/>
      <c r="AC1127" s="196"/>
      <c r="AD1127" s="196"/>
    </row>
    <row r="1128" spans="1:30" ht="12.9">
      <c r="A1128" s="196"/>
      <c r="B1128" s="143"/>
      <c r="C1128" s="196"/>
      <c r="D1128" s="196"/>
      <c r="E1128" s="196"/>
      <c r="F1128" s="196"/>
      <c r="G1128" s="24"/>
      <c r="H1128" s="24"/>
      <c r="I1128" s="196"/>
      <c r="J1128" s="196"/>
      <c r="K1128" s="196"/>
      <c r="L1128" s="196"/>
      <c r="M1128" s="196"/>
      <c r="N1128" s="196"/>
      <c r="O1128" s="196"/>
      <c r="P1128" s="196"/>
      <c r="Q1128" s="196"/>
      <c r="R1128" s="196"/>
      <c r="S1128" s="196"/>
      <c r="T1128" s="196"/>
      <c r="U1128" s="196"/>
      <c r="V1128" s="196"/>
      <c r="W1128" s="196"/>
      <c r="X1128" s="196"/>
      <c r="Y1128" s="196"/>
      <c r="Z1128" s="196"/>
      <c r="AA1128" s="196"/>
      <c r="AB1128" s="196"/>
      <c r="AC1128" s="196"/>
      <c r="AD1128" s="196"/>
    </row>
    <row r="1129" spans="1:30" ht="12.9">
      <c r="A1129" s="196"/>
      <c r="B1129" s="143"/>
      <c r="C1129" s="196"/>
      <c r="D1129" s="196"/>
      <c r="E1129" s="196"/>
      <c r="F1129" s="196"/>
      <c r="G1129" s="24"/>
      <c r="H1129" s="24"/>
      <c r="I1129" s="196"/>
      <c r="J1129" s="196"/>
      <c r="K1129" s="196"/>
      <c r="L1129" s="196"/>
      <c r="M1129" s="196"/>
      <c r="N1129" s="196"/>
      <c r="O1129" s="196"/>
      <c r="P1129" s="196"/>
      <c r="Q1129" s="196"/>
      <c r="R1129" s="196"/>
      <c r="S1129" s="196"/>
      <c r="T1129" s="196"/>
      <c r="U1129" s="196"/>
      <c r="V1129" s="196"/>
      <c r="W1129" s="196"/>
      <c r="X1129" s="196"/>
      <c r="Y1129" s="196"/>
      <c r="Z1129" s="196"/>
      <c r="AA1129" s="196"/>
      <c r="AB1129" s="196"/>
      <c r="AC1129" s="196"/>
      <c r="AD1129" s="196"/>
    </row>
    <row r="1130" spans="1:30" ht="12.9">
      <c r="A1130" s="196"/>
      <c r="B1130" s="143"/>
      <c r="C1130" s="196"/>
      <c r="D1130" s="196"/>
      <c r="E1130" s="196"/>
      <c r="F1130" s="196"/>
      <c r="G1130" s="24"/>
      <c r="H1130" s="24"/>
      <c r="I1130" s="196"/>
      <c r="J1130" s="196"/>
      <c r="K1130" s="196"/>
      <c r="L1130" s="196"/>
      <c r="M1130" s="196"/>
      <c r="N1130" s="196"/>
      <c r="O1130" s="196"/>
      <c r="P1130" s="196"/>
      <c r="Q1130" s="196"/>
      <c r="R1130" s="196"/>
      <c r="S1130" s="196"/>
      <c r="T1130" s="196"/>
      <c r="U1130" s="196"/>
      <c r="V1130" s="196"/>
      <c r="W1130" s="196"/>
      <c r="X1130" s="196"/>
      <c r="Y1130" s="196"/>
      <c r="Z1130" s="196"/>
      <c r="AA1130" s="196"/>
      <c r="AB1130" s="196"/>
      <c r="AC1130" s="196"/>
      <c r="AD1130" s="196"/>
    </row>
    <row r="1131" spans="1:30" ht="12.9">
      <c r="A1131" s="196"/>
      <c r="B1131" s="143"/>
      <c r="C1131" s="196"/>
      <c r="D1131" s="196"/>
      <c r="E1131" s="196"/>
      <c r="F1131" s="196"/>
      <c r="G1131" s="24"/>
      <c r="H1131" s="24"/>
      <c r="I1131" s="196"/>
      <c r="J1131" s="196"/>
      <c r="K1131" s="196"/>
      <c r="L1131" s="196"/>
      <c r="M1131" s="196"/>
      <c r="N1131" s="196"/>
      <c r="O1131" s="196"/>
      <c r="P1131" s="196"/>
      <c r="Q1131" s="196"/>
      <c r="R1131" s="196"/>
      <c r="S1131" s="196"/>
      <c r="T1131" s="196"/>
      <c r="U1131" s="196"/>
      <c r="V1131" s="196"/>
      <c r="W1131" s="196"/>
      <c r="X1131" s="196"/>
      <c r="Y1131" s="196"/>
      <c r="Z1131" s="196"/>
      <c r="AA1131" s="196"/>
      <c r="AB1131" s="196"/>
      <c r="AC1131" s="196"/>
      <c r="AD1131" s="196"/>
    </row>
    <row r="1132" spans="1:30" ht="12.9">
      <c r="A1132" s="196"/>
      <c r="B1132" s="143"/>
      <c r="C1132" s="196"/>
      <c r="D1132" s="196"/>
      <c r="E1132" s="196"/>
      <c r="F1132" s="196"/>
      <c r="G1132" s="24"/>
      <c r="H1132" s="24"/>
      <c r="I1132" s="196"/>
      <c r="J1132" s="196"/>
      <c r="K1132" s="196"/>
      <c r="L1132" s="196"/>
      <c r="M1132" s="196"/>
      <c r="N1132" s="196"/>
      <c r="O1132" s="196"/>
      <c r="P1132" s="196"/>
      <c r="Q1132" s="196"/>
      <c r="R1132" s="196"/>
      <c r="S1132" s="196"/>
      <c r="T1132" s="196"/>
      <c r="U1132" s="196"/>
      <c r="V1132" s="196"/>
      <c r="W1132" s="196"/>
      <c r="X1132" s="196"/>
      <c r="Y1132" s="196"/>
      <c r="Z1132" s="196"/>
      <c r="AA1132" s="196"/>
      <c r="AB1132" s="196"/>
      <c r="AC1132" s="196"/>
      <c r="AD1132" s="196"/>
    </row>
    <row r="1133" spans="1:30" ht="12.9">
      <c r="A1133" s="196"/>
      <c r="B1133" s="143"/>
      <c r="C1133" s="196"/>
      <c r="D1133" s="196"/>
      <c r="E1133" s="196"/>
      <c r="F1133" s="196"/>
      <c r="G1133" s="24"/>
      <c r="H1133" s="24"/>
      <c r="I1133" s="196"/>
      <c r="J1133" s="196"/>
      <c r="K1133" s="196"/>
      <c r="L1133" s="196"/>
      <c r="M1133" s="196"/>
      <c r="N1133" s="196"/>
      <c r="O1133" s="196"/>
      <c r="P1133" s="196"/>
      <c r="Q1133" s="196"/>
      <c r="R1133" s="196"/>
      <c r="S1133" s="196"/>
      <c r="T1133" s="196"/>
      <c r="U1133" s="196"/>
      <c r="V1133" s="196"/>
      <c r="W1133" s="196"/>
      <c r="X1133" s="196"/>
      <c r="Y1133" s="196"/>
      <c r="Z1133" s="196"/>
      <c r="AA1133" s="196"/>
      <c r="AB1133" s="196"/>
      <c r="AC1133" s="196"/>
      <c r="AD1133" s="196"/>
    </row>
    <row r="1134" spans="1:30" ht="12.9">
      <c r="A1134" s="196"/>
      <c r="B1134" s="143"/>
      <c r="C1134" s="196"/>
      <c r="D1134" s="196"/>
      <c r="E1134" s="196"/>
      <c r="F1134" s="196"/>
      <c r="G1134" s="24"/>
      <c r="H1134" s="24"/>
      <c r="I1134" s="196"/>
      <c r="J1134" s="196"/>
      <c r="K1134" s="196"/>
      <c r="L1134" s="196"/>
      <c r="M1134" s="196"/>
      <c r="N1134" s="196"/>
      <c r="O1134" s="196"/>
      <c r="P1134" s="196"/>
      <c r="Q1134" s="196"/>
      <c r="R1134" s="196"/>
      <c r="S1134" s="196"/>
      <c r="T1134" s="196"/>
      <c r="U1134" s="196"/>
      <c r="V1134" s="196"/>
      <c r="W1134" s="196"/>
      <c r="X1134" s="196"/>
      <c r="Y1134" s="196"/>
      <c r="Z1134" s="196"/>
      <c r="AA1134" s="196"/>
      <c r="AB1134" s="196"/>
      <c r="AC1134" s="196"/>
      <c r="AD1134" s="196"/>
    </row>
    <row r="1135" spans="1:30" ht="12.9">
      <c r="A1135" s="196"/>
      <c r="B1135" s="143"/>
      <c r="C1135" s="196"/>
      <c r="D1135" s="196"/>
      <c r="E1135" s="196"/>
      <c r="F1135" s="196"/>
      <c r="G1135" s="24"/>
      <c r="H1135" s="24"/>
      <c r="I1135" s="196"/>
      <c r="J1135" s="196"/>
      <c r="K1135" s="196"/>
      <c r="L1135" s="196"/>
      <c r="M1135" s="196"/>
      <c r="N1135" s="196"/>
      <c r="O1135" s="196"/>
      <c r="P1135" s="196"/>
      <c r="Q1135" s="196"/>
      <c r="R1135" s="196"/>
      <c r="S1135" s="196"/>
      <c r="T1135" s="196"/>
      <c r="U1135" s="196"/>
      <c r="V1135" s="196"/>
      <c r="W1135" s="196"/>
      <c r="X1135" s="196"/>
      <c r="Y1135" s="196"/>
      <c r="Z1135" s="196"/>
      <c r="AA1135" s="196"/>
      <c r="AB1135" s="196"/>
      <c r="AC1135" s="196"/>
      <c r="AD1135" s="196"/>
    </row>
    <row r="1136" spans="1:30" ht="12.9">
      <c r="A1136" s="196"/>
      <c r="B1136" s="143"/>
      <c r="C1136" s="196"/>
      <c r="D1136" s="196"/>
      <c r="E1136" s="196"/>
      <c r="F1136" s="196"/>
      <c r="G1136" s="24"/>
      <c r="H1136" s="24"/>
      <c r="I1136" s="196"/>
      <c r="J1136" s="196"/>
      <c r="K1136" s="196"/>
      <c r="L1136" s="196"/>
      <c r="M1136" s="196"/>
      <c r="N1136" s="196"/>
      <c r="O1136" s="196"/>
      <c r="P1136" s="196"/>
      <c r="Q1136" s="196"/>
      <c r="R1136" s="196"/>
      <c r="S1136" s="196"/>
      <c r="T1136" s="196"/>
      <c r="U1136" s="196"/>
      <c r="V1136" s="196"/>
      <c r="W1136" s="196"/>
      <c r="X1136" s="196"/>
      <c r="Y1136" s="196"/>
      <c r="Z1136" s="196"/>
      <c r="AA1136" s="196"/>
      <c r="AB1136" s="196"/>
      <c r="AC1136" s="196"/>
      <c r="AD1136" s="196"/>
    </row>
    <row r="1137" spans="1:30" ht="12.9">
      <c r="A1137" s="196"/>
      <c r="B1137" s="143"/>
      <c r="C1137" s="196"/>
      <c r="D1137" s="196"/>
      <c r="E1137" s="196"/>
      <c r="F1137" s="196"/>
      <c r="G1137" s="24"/>
      <c r="H1137" s="24"/>
      <c r="I1137" s="196"/>
      <c r="J1137" s="196"/>
      <c r="K1137" s="196"/>
      <c r="L1137" s="196"/>
      <c r="M1137" s="196"/>
      <c r="N1137" s="196"/>
      <c r="O1137" s="196"/>
      <c r="P1137" s="196"/>
      <c r="Q1137" s="196"/>
      <c r="R1137" s="196"/>
      <c r="S1137" s="196"/>
      <c r="T1137" s="196"/>
      <c r="U1137" s="196"/>
      <c r="V1137" s="196"/>
      <c r="W1137" s="196"/>
      <c r="X1137" s="196"/>
      <c r="Y1137" s="196"/>
      <c r="Z1137" s="196"/>
      <c r="AA1137" s="196"/>
      <c r="AB1137" s="196"/>
      <c r="AC1137" s="196"/>
      <c r="AD1137" s="196"/>
    </row>
    <row r="1138" spans="1:30" ht="12.9">
      <c r="A1138" s="196"/>
      <c r="B1138" s="143"/>
      <c r="C1138" s="196"/>
      <c r="D1138" s="196"/>
      <c r="E1138" s="196"/>
      <c r="F1138" s="196"/>
      <c r="G1138" s="24"/>
      <c r="H1138" s="24"/>
      <c r="I1138" s="196"/>
      <c r="J1138" s="196"/>
      <c r="K1138" s="196"/>
      <c r="L1138" s="196"/>
      <c r="M1138" s="196"/>
      <c r="N1138" s="196"/>
      <c r="O1138" s="196"/>
      <c r="P1138" s="196"/>
      <c r="Q1138" s="196"/>
      <c r="R1138" s="196"/>
      <c r="S1138" s="196"/>
      <c r="T1138" s="196"/>
      <c r="U1138" s="196"/>
      <c r="V1138" s="196"/>
      <c r="W1138" s="196"/>
      <c r="X1138" s="196"/>
      <c r="Y1138" s="196"/>
      <c r="Z1138" s="196"/>
      <c r="AA1138" s="196"/>
      <c r="AB1138" s="196"/>
      <c r="AC1138" s="196"/>
      <c r="AD1138" s="196"/>
    </row>
    <row r="1139" spans="1:30" ht="12.9">
      <c r="A1139" s="196"/>
      <c r="B1139" s="143"/>
      <c r="C1139" s="196"/>
      <c r="D1139" s="196"/>
      <c r="E1139" s="196"/>
      <c r="F1139" s="196"/>
      <c r="G1139" s="24"/>
      <c r="H1139" s="24"/>
      <c r="I1139" s="196"/>
      <c r="J1139" s="196"/>
      <c r="K1139" s="196"/>
      <c r="L1139" s="196"/>
      <c r="M1139" s="196"/>
      <c r="N1139" s="196"/>
      <c r="O1139" s="196"/>
      <c r="P1139" s="196"/>
      <c r="Q1139" s="196"/>
      <c r="R1139" s="196"/>
      <c r="S1139" s="196"/>
      <c r="T1139" s="196"/>
      <c r="U1139" s="196"/>
      <c r="V1139" s="196"/>
      <c r="W1139" s="196"/>
      <c r="X1139" s="196"/>
      <c r="Y1139" s="196"/>
      <c r="Z1139" s="196"/>
      <c r="AA1139" s="196"/>
      <c r="AB1139" s="196"/>
      <c r="AC1139" s="196"/>
      <c r="AD1139" s="196"/>
    </row>
    <row r="1140" spans="1:30" ht="12.9">
      <c r="A1140" s="196"/>
      <c r="B1140" s="143"/>
      <c r="C1140" s="196"/>
      <c r="D1140" s="196"/>
      <c r="E1140" s="196"/>
      <c r="F1140" s="196"/>
      <c r="G1140" s="24"/>
      <c r="H1140" s="24"/>
      <c r="I1140" s="196"/>
      <c r="J1140" s="196"/>
      <c r="K1140" s="196"/>
      <c r="L1140" s="196"/>
      <c r="M1140" s="196"/>
      <c r="N1140" s="196"/>
      <c r="O1140" s="196"/>
      <c r="P1140" s="196"/>
      <c r="Q1140" s="196"/>
      <c r="R1140" s="196"/>
      <c r="S1140" s="196"/>
      <c r="T1140" s="196"/>
      <c r="U1140" s="196"/>
      <c r="V1140" s="196"/>
      <c r="W1140" s="196"/>
      <c r="X1140" s="196"/>
      <c r="Y1140" s="196"/>
      <c r="Z1140" s="196"/>
      <c r="AA1140" s="196"/>
      <c r="AB1140" s="196"/>
      <c r="AC1140" s="196"/>
      <c r="AD1140" s="196"/>
    </row>
    <row r="1141" spans="1:30" ht="12.9">
      <c r="A1141" s="196"/>
      <c r="B1141" s="143"/>
      <c r="C1141" s="196"/>
      <c r="D1141" s="196"/>
      <c r="E1141" s="196"/>
      <c r="F1141" s="196"/>
      <c r="G1141" s="24"/>
      <c r="H1141" s="24"/>
      <c r="I1141" s="196"/>
      <c r="J1141" s="196"/>
      <c r="K1141" s="196"/>
      <c r="L1141" s="196"/>
      <c r="M1141" s="196"/>
      <c r="N1141" s="196"/>
      <c r="O1141" s="196"/>
      <c r="P1141" s="196"/>
      <c r="Q1141" s="196"/>
      <c r="R1141" s="196"/>
      <c r="S1141" s="196"/>
      <c r="T1141" s="196"/>
      <c r="U1141" s="196"/>
      <c r="V1141" s="196"/>
      <c r="W1141" s="196"/>
      <c r="X1141" s="196"/>
      <c r="Y1141" s="196"/>
      <c r="Z1141" s="196"/>
      <c r="AA1141" s="196"/>
      <c r="AB1141" s="196"/>
      <c r="AC1141" s="196"/>
      <c r="AD1141" s="196"/>
    </row>
    <row r="1142" spans="1:30" ht="12.9">
      <c r="A1142" s="196"/>
      <c r="B1142" s="143"/>
      <c r="C1142" s="196"/>
      <c r="D1142" s="196"/>
      <c r="E1142" s="196"/>
      <c r="F1142" s="196"/>
      <c r="G1142" s="24"/>
      <c r="H1142" s="24"/>
      <c r="I1142" s="196"/>
      <c r="J1142" s="196"/>
      <c r="K1142" s="196"/>
      <c r="L1142" s="196"/>
      <c r="M1142" s="196"/>
      <c r="N1142" s="196"/>
      <c r="O1142" s="196"/>
      <c r="P1142" s="196"/>
      <c r="Q1142" s="196"/>
      <c r="R1142" s="196"/>
      <c r="S1142" s="196"/>
      <c r="T1142" s="196"/>
      <c r="U1142" s="196"/>
      <c r="V1142" s="196"/>
      <c r="W1142" s="196"/>
      <c r="X1142" s="196"/>
      <c r="Y1142" s="196"/>
      <c r="Z1142" s="196"/>
      <c r="AA1142" s="196"/>
      <c r="AB1142" s="196"/>
      <c r="AC1142" s="196"/>
      <c r="AD1142" s="196"/>
    </row>
    <row r="1143" spans="1:30" ht="12.9">
      <c r="A1143" s="196"/>
      <c r="B1143" s="143"/>
      <c r="C1143" s="196"/>
      <c r="D1143" s="196"/>
      <c r="E1143" s="196"/>
      <c r="F1143" s="196"/>
      <c r="G1143" s="24"/>
      <c r="H1143" s="24"/>
      <c r="I1143" s="196"/>
      <c r="J1143" s="196"/>
      <c r="K1143" s="196"/>
      <c r="L1143" s="196"/>
      <c r="M1143" s="196"/>
      <c r="N1143" s="196"/>
      <c r="O1143" s="196"/>
      <c r="P1143" s="196"/>
      <c r="Q1143" s="196"/>
      <c r="R1143" s="196"/>
      <c r="S1143" s="196"/>
      <c r="T1143" s="196"/>
      <c r="U1143" s="196"/>
      <c r="V1143" s="196"/>
      <c r="W1143" s="196"/>
      <c r="X1143" s="196"/>
      <c r="Y1143" s="196"/>
      <c r="Z1143" s="196"/>
      <c r="AA1143" s="196"/>
      <c r="AB1143" s="196"/>
      <c r="AC1143" s="196"/>
      <c r="AD1143" s="196"/>
    </row>
    <row r="1144" spans="1:30" ht="12.9">
      <c r="A1144" s="196"/>
      <c r="B1144" s="143"/>
      <c r="C1144" s="196"/>
      <c r="D1144" s="196"/>
      <c r="E1144" s="196"/>
      <c r="F1144" s="196"/>
      <c r="G1144" s="24"/>
      <c r="H1144" s="24"/>
      <c r="I1144" s="196"/>
      <c r="J1144" s="196"/>
      <c r="K1144" s="196"/>
      <c r="L1144" s="196"/>
      <c r="M1144" s="196"/>
      <c r="N1144" s="196"/>
      <c r="O1144" s="196"/>
      <c r="P1144" s="196"/>
      <c r="Q1144" s="196"/>
      <c r="R1144" s="196"/>
      <c r="S1144" s="196"/>
      <c r="T1144" s="196"/>
      <c r="U1144" s="196"/>
      <c r="V1144" s="196"/>
      <c r="W1144" s="196"/>
      <c r="X1144" s="196"/>
      <c r="Y1144" s="196"/>
      <c r="Z1144" s="196"/>
      <c r="AA1144" s="196"/>
      <c r="AB1144" s="196"/>
      <c r="AC1144" s="196"/>
      <c r="AD1144" s="196"/>
    </row>
    <row r="1145" spans="1:30" ht="12.9">
      <c r="A1145" s="196"/>
      <c r="B1145" s="143"/>
      <c r="C1145" s="196"/>
      <c r="D1145" s="196"/>
      <c r="E1145" s="196"/>
      <c r="F1145" s="196"/>
      <c r="G1145" s="24"/>
      <c r="H1145" s="24"/>
      <c r="I1145" s="196"/>
      <c r="J1145" s="196"/>
      <c r="K1145" s="196"/>
      <c r="L1145" s="196"/>
      <c r="M1145" s="196"/>
      <c r="N1145" s="196"/>
      <c r="O1145" s="196"/>
      <c r="P1145" s="196"/>
      <c r="Q1145" s="196"/>
      <c r="R1145" s="196"/>
      <c r="S1145" s="196"/>
      <c r="T1145" s="196"/>
      <c r="U1145" s="196"/>
      <c r="V1145" s="196"/>
      <c r="W1145" s="196"/>
      <c r="X1145" s="196"/>
      <c r="Y1145" s="196"/>
      <c r="Z1145" s="196"/>
      <c r="AA1145" s="196"/>
      <c r="AB1145" s="196"/>
      <c r="AC1145" s="196"/>
      <c r="AD1145" s="196"/>
    </row>
    <row r="1146" spans="1:30" ht="12.9">
      <c r="A1146" s="196"/>
      <c r="B1146" s="143"/>
      <c r="C1146" s="196"/>
      <c r="D1146" s="196"/>
      <c r="E1146" s="196"/>
      <c r="F1146" s="196"/>
      <c r="G1146" s="24"/>
      <c r="H1146" s="24"/>
      <c r="I1146" s="196"/>
      <c r="J1146" s="196"/>
      <c r="K1146" s="196"/>
      <c r="L1146" s="196"/>
      <c r="M1146" s="196"/>
      <c r="N1146" s="196"/>
      <c r="O1146" s="196"/>
      <c r="P1146" s="196"/>
      <c r="Q1146" s="196"/>
      <c r="R1146" s="196"/>
      <c r="S1146" s="196"/>
      <c r="T1146" s="196"/>
      <c r="U1146" s="196"/>
      <c r="V1146" s="196"/>
      <c r="W1146" s="196"/>
      <c r="X1146" s="196"/>
      <c r="Y1146" s="196"/>
      <c r="Z1146" s="196"/>
      <c r="AA1146" s="196"/>
      <c r="AB1146" s="196"/>
      <c r="AC1146" s="196"/>
      <c r="AD1146" s="196"/>
    </row>
    <row r="1147" spans="1:30" ht="12.9">
      <c r="A1147" s="196"/>
      <c r="B1147" s="143"/>
      <c r="C1147" s="196"/>
      <c r="D1147" s="196"/>
      <c r="E1147" s="196"/>
      <c r="F1147" s="196"/>
      <c r="G1147" s="24"/>
      <c r="H1147" s="24"/>
      <c r="I1147" s="196"/>
      <c r="J1147" s="196"/>
      <c r="K1147" s="196"/>
      <c r="L1147" s="196"/>
      <c r="M1147" s="196"/>
      <c r="N1147" s="196"/>
      <c r="O1147" s="196"/>
      <c r="P1147" s="196"/>
      <c r="Q1147" s="196"/>
      <c r="R1147" s="196"/>
      <c r="S1147" s="196"/>
      <c r="T1147" s="196"/>
      <c r="U1147" s="196"/>
      <c r="V1147" s="196"/>
      <c r="W1147" s="196"/>
      <c r="X1147" s="196"/>
      <c r="Y1147" s="196"/>
      <c r="Z1147" s="196"/>
      <c r="AA1147" s="196"/>
      <c r="AB1147" s="196"/>
      <c r="AC1147" s="196"/>
      <c r="AD1147" s="196"/>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x14:formula1>
            <xm:f>'Self Assessment Total Score'!$C$18:$C$21</xm:f>
          </x14:formula1>
          <xm:sqref>H2:H15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D1139"/>
  <sheetViews>
    <sheetView workbookViewId="0">
      <selection activeCell="I2" sqref="I2:I76"/>
    </sheetView>
  </sheetViews>
  <sheetFormatPr defaultColWidth="14.375" defaultRowHeight="15.8" customHeight="1"/>
  <cols>
    <col min="2" max="2" width="16.25" customWidth="1"/>
    <col min="3" max="3" width="14.875" customWidth="1"/>
    <col min="4" max="4" width="48.125" customWidth="1"/>
    <col min="5" max="5" width="31.625" customWidth="1"/>
    <col min="6" max="6" width="29.875" customWidth="1"/>
    <col min="7" max="7" width="16.25" customWidth="1"/>
    <col min="8" max="8" width="18" customWidth="1"/>
    <col min="9" max="9" width="28.875" customWidth="1"/>
  </cols>
  <sheetData>
    <row r="1" spans="1:30" ht="15.8" customHeight="1">
      <c r="A1" s="247" t="s">
        <v>7362</v>
      </c>
      <c r="B1" s="248" t="s">
        <v>3443</v>
      </c>
      <c r="C1" s="248"/>
      <c r="D1" s="248" t="s">
        <v>3444</v>
      </c>
      <c r="E1" s="248" t="s">
        <v>36</v>
      </c>
      <c r="F1" s="248" t="s">
        <v>39</v>
      </c>
      <c r="G1" s="248" t="s">
        <v>3445</v>
      </c>
      <c r="H1" s="248" t="s">
        <v>3446</v>
      </c>
      <c r="I1" s="135" t="s">
        <v>44</v>
      </c>
      <c r="J1" s="135" t="s">
        <v>46</v>
      </c>
      <c r="K1" s="249"/>
      <c r="L1" s="249"/>
      <c r="M1" s="249"/>
      <c r="N1" s="249"/>
      <c r="O1" s="249"/>
      <c r="P1" s="249"/>
      <c r="Q1" s="249"/>
      <c r="R1" s="249"/>
      <c r="S1" s="249"/>
      <c r="T1" s="249"/>
      <c r="U1" s="249"/>
      <c r="V1" s="249"/>
      <c r="W1" s="249"/>
      <c r="X1" s="249"/>
      <c r="Y1" s="249"/>
      <c r="Z1" s="249"/>
      <c r="AA1" s="249"/>
      <c r="AB1" s="249"/>
      <c r="AC1" s="249"/>
      <c r="AD1" s="249"/>
    </row>
    <row r="2" spans="1:30" ht="15.8" customHeight="1">
      <c r="A2" s="250" t="s">
        <v>8096</v>
      </c>
      <c r="B2" s="251" t="s">
        <v>29</v>
      </c>
      <c r="C2" s="251" t="s">
        <v>18</v>
      </c>
      <c r="D2" s="252" t="s">
        <v>8097</v>
      </c>
      <c r="E2" s="252" t="s">
        <v>8098</v>
      </c>
      <c r="F2" s="253" t="s">
        <v>7312</v>
      </c>
      <c r="G2" s="254"/>
      <c r="H2" s="254"/>
      <c r="I2" s="64"/>
      <c r="J2" s="45" t="b">
        <f t="shared" ref="J2:J76" si="0">IF(AND(I2="Meet the requirements traceability “out of the box”"), 10, IF(AND(I2="Can meet the requirements traceability with configuration or through the use of another commercial product “out of the box” or other arrangement as part of the service offering quoted (i.e. at no additional cost)"), 8, IF(AND(I2="Can meet the requirements traceability with customization at additional cost"), 3, IF(AND(I2="Cannot meet the requirements traceability requirement"), 0))))</f>
        <v>0</v>
      </c>
      <c r="K2" s="249"/>
      <c r="L2" s="249"/>
      <c r="M2" s="249"/>
      <c r="N2" s="249"/>
      <c r="O2" s="249"/>
      <c r="P2" s="249"/>
      <c r="Q2" s="249"/>
      <c r="R2" s="249"/>
      <c r="S2" s="249"/>
      <c r="T2" s="249"/>
      <c r="U2" s="249"/>
      <c r="V2" s="249"/>
      <c r="W2" s="249"/>
      <c r="X2" s="249"/>
      <c r="Y2" s="249"/>
      <c r="Z2" s="249"/>
      <c r="AA2" s="249"/>
      <c r="AB2" s="249"/>
      <c r="AC2" s="249"/>
      <c r="AD2" s="249"/>
    </row>
    <row r="3" spans="1:30" ht="15.8" customHeight="1">
      <c r="A3" s="250" t="s">
        <v>8099</v>
      </c>
      <c r="B3" s="253" t="s">
        <v>29</v>
      </c>
      <c r="C3" s="251" t="s">
        <v>8100</v>
      </c>
      <c r="D3" s="251" t="s">
        <v>8101</v>
      </c>
      <c r="E3" s="253" t="s">
        <v>8102</v>
      </c>
      <c r="F3" s="253" t="s">
        <v>8103</v>
      </c>
      <c r="G3" s="255" t="str">
        <f>HYPERLINK("https://www.acquisition.gov/content/part-4-administrative-matters#i4_1003","FAR 4.1103 and 4.1104")</f>
        <v>FAR 4.1103 and 4.1104</v>
      </c>
      <c r="H3" s="254"/>
      <c r="I3" s="64"/>
      <c r="J3" s="45" t="b">
        <f t="shared" si="0"/>
        <v>0</v>
      </c>
      <c r="K3" s="249"/>
      <c r="L3" s="249"/>
      <c r="M3" s="249"/>
      <c r="N3" s="249"/>
      <c r="O3" s="249"/>
      <c r="P3" s="249"/>
      <c r="Q3" s="249"/>
      <c r="R3" s="249"/>
      <c r="S3" s="249"/>
      <c r="T3" s="249"/>
      <c r="U3" s="249"/>
      <c r="V3" s="249"/>
      <c r="W3" s="249"/>
      <c r="X3" s="249"/>
      <c r="Y3" s="249"/>
      <c r="Z3" s="249"/>
      <c r="AA3" s="249"/>
      <c r="AB3" s="249"/>
      <c r="AC3" s="249"/>
      <c r="AD3" s="249"/>
    </row>
    <row r="4" spans="1:30" ht="15.8" customHeight="1">
      <c r="A4" s="250" t="s">
        <v>8104</v>
      </c>
      <c r="B4" s="253" t="s">
        <v>29</v>
      </c>
      <c r="C4" s="251" t="s">
        <v>8100</v>
      </c>
      <c r="D4" s="252" t="s">
        <v>8105</v>
      </c>
      <c r="E4" s="252" t="s">
        <v>8106</v>
      </c>
      <c r="F4" s="252" t="s">
        <v>8107</v>
      </c>
      <c r="G4" s="254"/>
      <c r="H4" s="254"/>
      <c r="I4" s="64"/>
      <c r="J4" s="45" t="b">
        <f t="shared" si="0"/>
        <v>0</v>
      </c>
      <c r="K4" s="249"/>
      <c r="L4" s="249"/>
      <c r="M4" s="249"/>
      <c r="N4" s="249"/>
      <c r="O4" s="249"/>
      <c r="P4" s="249"/>
      <c r="Q4" s="249"/>
      <c r="R4" s="249"/>
      <c r="S4" s="249"/>
      <c r="T4" s="249"/>
      <c r="U4" s="249"/>
      <c r="V4" s="249"/>
      <c r="W4" s="249"/>
      <c r="X4" s="249"/>
      <c r="Y4" s="249"/>
      <c r="Z4" s="249"/>
      <c r="AA4" s="249"/>
      <c r="AB4" s="249"/>
      <c r="AC4" s="249"/>
      <c r="AD4" s="249"/>
    </row>
    <row r="5" spans="1:30" ht="15.8" customHeight="1">
      <c r="A5" s="250" t="s">
        <v>8108</v>
      </c>
      <c r="B5" s="253" t="s">
        <v>29</v>
      </c>
      <c r="C5" s="251" t="s">
        <v>8109</v>
      </c>
      <c r="D5" s="251" t="s">
        <v>8110</v>
      </c>
      <c r="E5" s="253" t="s">
        <v>8111</v>
      </c>
      <c r="F5" s="253" t="s">
        <v>8112</v>
      </c>
      <c r="G5" s="254"/>
      <c r="H5" s="254"/>
      <c r="I5" s="64"/>
      <c r="J5" s="45" t="b">
        <f t="shared" si="0"/>
        <v>0</v>
      </c>
      <c r="K5" s="249"/>
      <c r="L5" s="249"/>
      <c r="M5" s="249"/>
      <c r="N5" s="249"/>
      <c r="O5" s="249"/>
      <c r="P5" s="249"/>
      <c r="Q5" s="249"/>
      <c r="R5" s="249"/>
      <c r="S5" s="249"/>
      <c r="T5" s="249"/>
      <c r="U5" s="249"/>
      <c r="V5" s="249"/>
      <c r="W5" s="249"/>
      <c r="X5" s="249"/>
      <c r="Y5" s="249"/>
      <c r="Z5" s="249"/>
      <c r="AA5" s="249"/>
      <c r="AB5" s="249"/>
      <c r="AC5" s="249"/>
      <c r="AD5" s="249"/>
    </row>
    <row r="6" spans="1:30" ht="15.8" customHeight="1">
      <c r="A6" s="250" t="s">
        <v>8113</v>
      </c>
      <c r="B6" s="253" t="s">
        <v>29</v>
      </c>
      <c r="C6" s="251" t="s">
        <v>8114</v>
      </c>
      <c r="D6" s="252" t="s">
        <v>8115</v>
      </c>
      <c r="E6" s="251" t="s">
        <v>8116</v>
      </c>
      <c r="F6" s="252" t="s">
        <v>8117</v>
      </c>
      <c r="G6" s="254"/>
      <c r="H6" s="254"/>
      <c r="I6" s="64"/>
      <c r="J6" s="45" t="b">
        <f t="shared" si="0"/>
        <v>0</v>
      </c>
      <c r="K6" s="249"/>
      <c r="L6" s="249"/>
      <c r="M6" s="249"/>
      <c r="N6" s="249"/>
      <c r="O6" s="249"/>
      <c r="P6" s="249"/>
      <c r="Q6" s="249"/>
      <c r="R6" s="249"/>
      <c r="S6" s="249"/>
      <c r="T6" s="249"/>
      <c r="U6" s="249"/>
      <c r="V6" s="249"/>
      <c r="W6" s="249"/>
      <c r="X6" s="249"/>
      <c r="Y6" s="249"/>
      <c r="Z6" s="249"/>
      <c r="AA6" s="249"/>
      <c r="AB6" s="249"/>
      <c r="AC6" s="249"/>
      <c r="AD6" s="249"/>
    </row>
    <row r="7" spans="1:30" ht="15.8" customHeight="1">
      <c r="A7" s="250" t="s">
        <v>8118</v>
      </c>
      <c r="B7" s="253" t="s">
        <v>29</v>
      </c>
      <c r="C7" s="251" t="s">
        <v>8100</v>
      </c>
      <c r="D7" s="252" t="s">
        <v>8119</v>
      </c>
      <c r="E7" s="253" t="s">
        <v>8120</v>
      </c>
      <c r="F7" s="251" t="s">
        <v>8121</v>
      </c>
      <c r="G7" s="254"/>
      <c r="H7" s="254"/>
      <c r="I7" s="64"/>
      <c r="J7" s="45" t="b">
        <f t="shared" si="0"/>
        <v>0</v>
      </c>
      <c r="K7" s="249"/>
      <c r="L7" s="249"/>
      <c r="M7" s="249"/>
      <c r="N7" s="249"/>
      <c r="O7" s="249"/>
      <c r="P7" s="249"/>
      <c r="Q7" s="249"/>
      <c r="R7" s="249"/>
      <c r="S7" s="249"/>
      <c r="T7" s="249"/>
      <c r="U7" s="249"/>
      <c r="V7" s="249"/>
      <c r="W7" s="249"/>
      <c r="X7" s="249"/>
      <c r="Y7" s="249"/>
      <c r="Z7" s="249"/>
      <c r="AA7" s="249"/>
      <c r="AB7" s="249"/>
      <c r="AC7" s="249"/>
      <c r="AD7" s="249"/>
    </row>
    <row r="8" spans="1:30" ht="15.8" customHeight="1">
      <c r="A8" s="250" t="s">
        <v>8122</v>
      </c>
      <c r="B8" s="253" t="s">
        <v>29</v>
      </c>
      <c r="C8" s="251" t="s">
        <v>8123</v>
      </c>
      <c r="D8" s="251" t="s">
        <v>8124</v>
      </c>
      <c r="E8" s="253" t="s">
        <v>8125</v>
      </c>
      <c r="F8" s="253" t="s">
        <v>8126</v>
      </c>
      <c r="G8" s="254"/>
      <c r="H8" s="254"/>
      <c r="I8" s="64"/>
      <c r="J8" s="45" t="b">
        <f t="shared" si="0"/>
        <v>0</v>
      </c>
      <c r="K8" s="249"/>
      <c r="L8" s="249"/>
      <c r="M8" s="249"/>
      <c r="N8" s="249"/>
      <c r="O8" s="249"/>
      <c r="P8" s="249"/>
      <c r="Q8" s="249"/>
      <c r="R8" s="249"/>
      <c r="S8" s="249"/>
      <c r="T8" s="249"/>
      <c r="U8" s="249"/>
      <c r="V8" s="249"/>
      <c r="W8" s="249"/>
      <c r="X8" s="249"/>
      <c r="Y8" s="249"/>
      <c r="Z8" s="249"/>
      <c r="AA8" s="249"/>
      <c r="AB8" s="249"/>
      <c r="AC8" s="249"/>
      <c r="AD8" s="249"/>
    </row>
    <row r="9" spans="1:30" ht="15.8" customHeight="1">
      <c r="A9" s="250" t="s">
        <v>8127</v>
      </c>
      <c r="B9" s="253" t="s">
        <v>29</v>
      </c>
      <c r="C9" s="251" t="s">
        <v>8128</v>
      </c>
      <c r="D9" s="251" t="s">
        <v>8129</v>
      </c>
      <c r="E9" s="253" t="s">
        <v>8130</v>
      </c>
      <c r="F9" s="253" t="s">
        <v>8131</v>
      </c>
      <c r="G9" s="254"/>
      <c r="H9" s="254"/>
      <c r="I9" s="64"/>
      <c r="J9" s="45" t="b">
        <f t="shared" si="0"/>
        <v>0</v>
      </c>
      <c r="K9" s="249"/>
      <c r="L9" s="249"/>
      <c r="M9" s="249"/>
      <c r="N9" s="249"/>
      <c r="O9" s="249"/>
      <c r="P9" s="249"/>
      <c r="Q9" s="249"/>
      <c r="R9" s="249"/>
      <c r="S9" s="249"/>
      <c r="T9" s="249"/>
      <c r="U9" s="249"/>
      <c r="V9" s="249"/>
      <c r="W9" s="249"/>
      <c r="X9" s="249"/>
      <c r="Y9" s="249"/>
      <c r="Z9" s="249"/>
      <c r="AA9" s="249"/>
      <c r="AB9" s="249"/>
      <c r="AC9" s="249"/>
      <c r="AD9" s="249"/>
    </row>
    <row r="10" spans="1:30" ht="15.8" customHeight="1">
      <c r="A10" s="250" t="s">
        <v>8132</v>
      </c>
      <c r="B10" s="253" t="s">
        <v>29</v>
      </c>
      <c r="C10" s="251" t="s">
        <v>3445</v>
      </c>
      <c r="D10" s="251" t="s">
        <v>8133</v>
      </c>
      <c r="E10" s="253" t="s">
        <v>8134</v>
      </c>
      <c r="F10" s="253" t="s">
        <v>8135</v>
      </c>
      <c r="G10" s="254"/>
      <c r="H10" s="254"/>
      <c r="I10" s="64"/>
      <c r="J10" s="45" t="b">
        <f t="shared" si="0"/>
        <v>0</v>
      </c>
      <c r="K10" s="249"/>
      <c r="L10" s="249"/>
      <c r="M10" s="249"/>
      <c r="N10" s="249"/>
      <c r="O10" s="249"/>
      <c r="P10" s="249"/>
      <c r="Q10" s="249"/>
      <c r="R10" s="249"/>
      <c r="S10" s="249"/>
      <c r="T10" s="249"/>
      <c r="U10" s="249"/>
      <c r="V10" s="249"/>
      <c r="W10" s="249"/>
      <c r="X10" s="249"/>
      <c r="Y10" s="249"/>
      <c r="Z10" s="249"/>
      <c r="AA10" s="249"/>
      <c r="AB10" s="249"/>
      <c r="AC10" s="249"/>
      <c r="AD10" s="249"/>
    </row>
    <row r="11" spans="1:30" ht="15.8" customHeight="1">
      <c r="A11" s="250" t="s">
        <v>8136</v>
      </c>
      <c r="B11" s="253" t="s">
        <v>29</v>
      </c>
      <c r="C11" s="251" t="s">
        <v>8109</v>
      </c>
      <c r="D11" s="251" t="s">
        <v>8137</v>
      </c>
      <c r="E11" s="252" t="s">
        <v>8138</v>
      </c>
      <c r="F11" s="252" t="s">
        <v>8139</v>
      </c>
      <c r="G11" s="254"/>
      <c r="H11" s="254"/>
      <c r="I11" s="64"/>
      <c r="J11" s="45" t="b">
        <f t="shared" si="0"/>
        <v>0</v>
      </c>
      <c r="K11" s="249"/>
      <c r="L11" s="249"/>
      <c r="M11" s="249"/>
      <c r="N11" s="249"/>
      <c r="O11" s="249"/>
      <c r="P11" s="249"/>
      <c r="Q11" s="249"/>
      <c r="R11" s="249"/>
      <c r="S11" s="249"/>
      <c r="T11" s="249"/>
      <c r="U11" s="249"/>
      <c r="V11" s="249"/>
      <c r="W11" s="249"/>
      <c r="X11" s="249"/>
      <c r="Y11" s="249"/>
      <c r="Z11" s="249"/>
      <c r="AA11" s="249"/>
      <c r="AB11" s="249"/>
      <c r="AC11" s="249"/>
      <c r="AD11" s="249"/>
    </row>
    <row r="12" spans="1:30" ht="15.8" customHeight="1">
      <c r="A12" s="250" t="s">
        <v>8140</v>
      </c>
      <c r="B12" s="253" t="s">
        <v>29</v>
      </c>
      <c r="C12" s="251" t="s">
        <v>8141</v>
      </c>
      <c r="D12" s="251" t="s">
        <v>8142</v>
      </c>
      <c r="E12" s="253" t="s">
        <v>8143</v>
      </c>
      <c r="F12" s="253" t="s">
        <v>8144</v>
      </c>
      <c r="G12" s="254"/>
      <c r="H12" s="254"/>
      <c r="I12" s="64"/>
      <c r="J12" s="45" t="b">
        <f t="shared" si="0"/>
        <v>0</v>
      </c>
      <c r="K12" s="249"/>
      <c r="L12" s="249"/>
      <c r="M12" s="249"/>
      <c r="N12" s="249"/>
      <c r="O12" s="249"/>
      <c r="P12" s="249"/>
      <c r="Q12" s="249"/>
      <c r="R12" s="249"/>
      <c r="S12" s="249"/>
      <c r="T12" s="249"/>
      <c r="U12" s="249"/>
      <c r="V12" s="249"/>
      <c r="W12" s="249"/>
      <c r="X12" s="249"/>
      <c r="Y12" s="249"/>
      <c r="Z12" s="249"/>
      <c r="AA12" s="249"/>
      <c r="AB12" s="249"/>
      <c r="AC12" s="249"/>
      <c r="AD12" s="249"/>
    </row>
    <row r="13" spans="1:30" ht="15.8" customHeight="1">
      <c r="A13" s="250" t="s">
        <v>8145</v>
      </c>
      <c r="B13" s="253" t="s">
        <v>29</v>
      </c>
      <c r="C13" s="251" t="s">
        <v>8100</v>
      </c>
      <c r="D13" s="251" t="s">
        <v>8146</v>
      </c>
      <c r="E13" s="253" t="s">
        <v>8147</v>
      </c>
      <c r="F13" s="253" t="s">
        <v>8148</v>
      </c>
      <c r="G13" s="255" t="str">
        <f>HYPERLINK("https://www.acquisition.gov/content/part-4-administrative-matters#i4_1003","FAR 4.1103 and 4.1104")</f>
        <v>FAR 4.1103 and 4.1104</v>
      </c>
      <c r="H13" s="254"/>
      <c r="I13" s="64"/>
      <c r="J13" s="45" t="b">
        <f t="shared" si="0"/>
        <v>0</v>
      </c>
      <c r="K13" s="249"/>
      <c r="L13" s="249"/>
      <c r="M13" s="249"/>
      <c r="N13" s="249"/>
      <c r="O13" s="249"/>
      <c r="P13" s="249"/>
      <c r="Q13" s="249"/>
      <c r="R13" s="249"/>
      <c r="S13" s="249"/>
      <c r="T13" s="249"/>
      <c r="U13" s="249"/>
      <c r="V13" s="249"/>
      <c r="W13" s="249"/>
      <c r="X13" s="249"/>
      <c r="Y13" s="249"/>
      <c r="Z13" s="249"/>
      <c r="AA13" s="249"/>
      <c r="AB13" s="249"/>
      <c r="AC13" s="249"/>
      <c r="AD13" s="249"/>
    </row>
    <row r="14" spans="1:30" ht="15.8" customHeight="1">
      <c r="A14" s="250" t="s">
        <v>8149</v>
      </c>
      <c r="B14" s="253" t="s">
        <v>29</v>
      </c>
      <c r="C14" s="251" t="s">
        <v>8128</v>
      </c>
      <c r="D14" s="251" t="s">
        <v>8150</v>
      </c>
      <c r="E14" s="253" t="s">
        <v>8151</v>
      </c>
      <c r="F14" s="253" t="s">
        <v>8152</v>
      </c>
      <c r="G14" s="254"/>
      <c r="H14" s="254"/>
      <c r="I14" s="64"/>
      <c r="J14" s="45" t="b">
        <f t="shared" si="0"/>
        <v>0</v>
      </c>
      <c r="K14" s="249"/>
      <c r="L14" s="249"/>
      <c r="M14" s="249"/>
      <c r="N14" s="249"/>
      <c r="O14" s="249"/>
      <c r="P14" s="249"/>
      <c r="Q14" s="249"/>
      <c r="R14" s="249"/>
      <c r="S14" s="249"/>
      <c r="T14" s="249"/>
      <c r="U14" s="249"/>
      <c r="V14" s="249"/>
      <c r="W14" s="249"/>
      <c r="X14" s="249"/>
      <c r="Y14" s="249"/>
      <c r="Z14" s="249"/>
      <c r="AA14" s="249"/>
      <c r="AB14" s="249"/>
      <c r="AC14" s="249"/>
      <c r="AD14" s="249"/>
    </row>
    <row r="15" spans="1:30" ht="15.8" customHeight="1">
      <c r="A15" s="250" t="s">
        <v>8153</v>
      </c>
      <c r="B15" s="253" t="s">
        <v>29</v>
      </c>
      <c r="C15" s="251" t="s">
        <v>8109</v>
      </c>
      <c r="D15" s="251" t="s">
        <v>8154</v>
      </c>
      <c r="E15" s="253" t="s">
        <v>8155</v>
      </c>
      <c r="F15" s="253" t="s">
        <v>8156</v>
      </c>
      <c r="G15" s="254"/>
      <c r="H15" s="254"/>
      <c r="I15" s="64"/>
      <c r="J15" s="45" t="b">
        <f t="shared" si="0"/>
        <v>0</v>
      </c>
      <c r="K15" s="249"/>
      <c r="L15" s="249"/>
      <c r="M15" s="249"/>
      <c r="N15" s="249"/>
      <c r="O15" s="249"/>
      <c r="P15" s="249"/>
      <c r="Q15" s="249"/>
      <c r="R15" s="249"/>
      <c r="S15" s="249"/>
      <c r="T15" s="249"/>
      <c r="U15" s="249"/>
      <c r="V15" s="249"/>
      <c r="W15" s="249"/>
      <c r="X15" s="249"/>
      <c r="Y15" s="249"/>
      <c r="Z15" s="249"/>
      <c r="AA15" s="249"/>
      <c r="AB15" s="249"/>
      <c r="AC15" s="249"/>
      <c r="AD15" s="249"/>
    </row>
    <row r="16" spans="1:30" ht="15.8" customHeight="1">
      <c r="A16" s="250" t="s">
        <v>8157</v>
      </c>
      <c r="B16" s="253" t="s">
        <v>29</v>
      </c>
      <c r="C16" s="251" t="s">
        <v>8114</v>
      </c>
      <c r="D16" s="251" t="s">
        <v>8158</v>
      </c>
      <c r="E16" s="251" t="s">
        <v>8159</v>
      </c>
      <c r="F16" s="252" t="s">
        <v>8160</v>
      </c>
      <c r="G16" s="254"/>
      <c r="H16" s="254"/>
      <c r="I16" s="64"/>
      <c r="J16" s="45" t="b">
        <f t="shared" si="0"/>
        <v>0</v>
      </c>
      <c r="K16" s="249"/>
      <c r="L16" s="249"/>
      <c r="M16" s="249"/>
      <c r="N16" s="249"/>
      <c r="O16" s="249"/>
      <c r="P16" s="249"/>
      <c r="Q16" s="249"/>
      <c r="R16" s="249"/>
      <c r="S16" s="249"/>
      <c r="T16" s="249"/>
      <c r="U16" s="249"/>
      <c r="V16" s="249"/>
      <c r="W16" s="249"/>
      <c r="X16" s="249"/>
      <c r="Y16" s="249"/>
      <c r="Z16" s="249"/>
      <c r="AA16" s="249"/>
      <c r="AB16" s="249"/>
      <c r="AC16" s="249"/>
      <c r="AD16" s="249"/>
    </row>
    <row r="17" spans="1:30" ht="15.8" customHeight="1">
      <c r="A17" s="250" t="s">
        <v>8161</v>
      </c>
      <c r="B17" s="253" t="s">
        <v>29</v>
      </c>
      <c r="C17" s="251" t="s">
        <v>8162</v>
      </c>
      <c r="D17" s="251" t="s">
        <v>8163</v>
      </c>
      <c r="E17" s="253" t="s">
        <v>8164</v>
      </c>
      <c r="F17" s="253" t="s">
        <v>8165</v>
      </c>
      <c r="G17" s="254"/>
      <c r="H17" s="254"/>
      <c r="I17" s="64"/>
      <c r="J17" s="45" t="b">
        <f t="shared" si="0"/>
        <v>0</v>
      </c>
      <c r="K17" s="249"/>
      <c r="L17" s="249"/>
      <c r="M17" s="249"/>
      <c r="N17" s="249"/>
      <c r="O17" s="249"/>
      <c r="P17" s="249"/>
      <c r="Q17" s="249"/>
      <c r="R17" s="249"/>
      <c r="S17" s="249"/>
      <c r="T17" s="249"/>
      <c r="U17" s="249"/>
      <c r="V17" s="249"/>
      <c r="W17" s="249"/>
      <c r="X17" s="249"/>
      <c r="Y17" s="249"/>
      <c r="Z17" s="249"/>
      <c r="AA17" s="249"/>
      <c r="AB17" s="249"/>
      <c r="AC17" s="249"/>
      <c r="AD17" s="249"/>
    </row>
    <row r="18" spans="1:30" ht="15.8" customHeight="1">
      <c r="A18" s="250" t="s">
        <v>8166</v>
      </c>
      <c r="B18" s="253" t="s">
        <v>29</v>
      </c>
      <c r="C18" s="253" t="s">
        <v>3445</v>
      </c>
      <c r="D18" s="256" t="s">
        <v>8167</v>
      </c>
      <c r="E18" s="256" t="s">
        <v>8168</v>
      </c>
      <c r="F18" s="256" t="s">
        <v>8169</v>
      </c>
      <c r="G18" s="257"/>
      <c r="H18" s="257"/>
      <c r="I18" s="64"/>
      <c r="J18" s="45" t="b">
        <f t="shared" si="0"/>
        <v>0</v>
      </c>
      <c r="K18" s="249"/>
      <c r="L18" s="249"/>
      <c r="M18" s="249"/>
      <c r="N18" s="249"/>
      <c r="O18" s="249"/>
      <c r="P18" s="249"/>
      <c r="Q18" s="249"/>
      <c r="R18" s="249"/>
      <c r="S18" s="249"/>
      <c r="T18" s="249"/>
      <c r="U18" s="249"/>
      <c r="V18" s="249"/>
      <c r="W18" s="249"/>
      <c r="X18" s="249"/>
      <c r="Y18" s="249"/>
      <c r="Z18" s="249"/>
      <c r="AA18" s="249"/>
      <c r="AB18" s="249"/>
      <c r="AC18" s="249"/>
      <c r="AD18" s="249"/>
    </row>
    <row r="19" spans="1:30" ht="15.8" customHeight="1">
      <c r="A19" s="250" t="s">
        <v>8170</v>
      </c>
      <c r="B19" s="253" t="s">
        <v>29</v>
      </c>
      <c r="C19" s="253" t="s">
        <v>3445</v>
      </c>
      <c r="D19" s="256" t="s">
        <v>8171</v>
      </c>
      <c r="E19" s="256" t="s">
        <v>8172</v>
      </c>
      <c r="F19" s="256" t="s">
        <v>8173</v>
      </c>
      <c r="G19" s="257"/>
      <c r="H19" s="257"/>
      <c r="I19" s="64"/>
      <c r="J19" s="45" t="b">
        <f t="shared" si="0"/>
        <v>0</v>
      </c>
      <c r="K19" s="249"/>
      <c r="L19" s="249"/>
      <c r="M19" s="249"/>
      <c r="N19" s="249"/>
      <c r="O19" s="249"/>
      <c r="P19" s="249"/>
      <c r="Q19" s="249"/>
      <c r="R19" s="249"/>
      <c r="S19" s="249"/>
      <c r="T19" s="249"/>
      <c r="U19" s="249"/>
      <c r="V19" s="249"/>
      <c r="W19" s="249"/>
      <c r="X19" s="249"/>
      <c r="Y19" s="249"/>
      <c r="Z19" s="249"/>
      <c r="AA19" s="249"/>
      <c r="AB19" s="249"/>
      <c r="AC19" s="249"/>
      <c r="AD19" s="249"/>
    </row>
    <row r="20" spans="1:30" ht="15.8" customHeight="1">
      <c r="A20" s="250" t="s">
        <v>8174</v>
      </c>
      <c r="B20" s="253" t="s">
        <v>29</v>
      </c>
      <c r="C20" s="253" t="s">
        <v>3445</v>
      </c>
      <c r="D20" s="256" t="s">
        <v>8175</v>
      </c>
      <c r="E20" s="256" t="s">
        <v>8176</v>
      </c>
      <c r="F20" s="256" t="s">
        <v>8177</v>
      </c>
      <c r="G20" s="257"/>
      <c r="H20" s="257"/>
      <c r="I20" s="64"/>
      <c r="J20" s="45" t="b">
        <f t="shared" si="0"/>
        <v>0</v>
      </c>
      <c r="K20" s="249"/>
      <c r="L20" s="249"/>
      <c r="M20" s="249"/>
      <c r="N20" s="249"/>
      <c r="O20" s="249"/>
      <c r="P20" s="249"/>
      <c r="Q20" s="249"/>
      <c r="R20" s="249"/>
      <c r="S20" s="249"/>
      <c r="T20" s="249"/>
      <c r="U20" s="249"/>
      <c r="V20" s="249"/>
      <c r="W20" s="249"/>
      <c r="X20" s="249"/>
      <c r="Y20" s="249"/>
      <c r="Z20" s="249"/>
      <c r="AA20" s="249"/>
      <c r="AB20" s="249"/>
      <c r="AC20" s="249"/>
      <c r="AD20" s="249"/>
    </row>
    <row r="21" spans="1:30" ht="15.8" customHeight="1">
      <c r="A21" s="250" t="s">
        <v>8178</v>
      </c>
      <c r="B21" s="253" t="s">
        <v>29</v>
      </c>
      <c r="C21" s="253" t="s">
        <v>3445</v>
      </c>
      <c r="D21" s="256" t="s">
        <v>8179</v>
      </c>
      <c r="E21" s="256" t="s">
        <v>8180</v>
      </c>
      <c r="F21" s="256" t="s">
        <v>8181</v>
      </c>
      <c r="G21" s="257"/>
      <c r="H21" s="257"/>
      <c r="I21" s="64"/>
      <c r="J21" s="45" t="b">
        <f t="shared" si="0"/>
        <v>0</v>
      </c>
      <c r="K21" s="249"/>
      <c r="L21" s="249"/>
      <c r="M21" s="249"/>
      <c r="N21" s="249"/>
      <c r="O21" s="249"/>
      <c r="P21" s="249"/>
      <c r="Q21" s="249"/>
      <c r="R21" s="249"/>
      <c r="S21" s="249"/>
      <c r="T21" s="249"/>
      <c r="U21" s="249"/>
      <c r="V21" s="249"/>
      <c r="W21" s="249"/>
      <c r="X21" s="249"/>
      <c r="Y21" s="249"/>
      <c r="Z21" s="249"/>
      <c r="AA21" s="249"/>
      <c r="AB21" s="249"/>
      <c r="AC21" s="249"/>
      <c r="AD21" s="249"/>
    </row>
    <row r="22" spans="1:30" ht="15.8" customHeight="1">
      <c r="A22" s="250" t="s">
        <v>8182</v>
      </c>
      <c r="B22" s="253" t="s">
        <v>29</v>
      </c>
      <c r="C22" s="253" t="s">
        <v>3445</v>
      </c>
      <c r="D22" s="256" t="s">
        <v>8183</v>
      </c>
      <c r="E22" s="256" t="s">
        <v>8184</v>
      </c>
      <c r="F22" s="256" t="s">
        <v>8185</v>
      </c>
      <c r="G22" s="257"/>
      <c r="H22" s="257"/>
      <c r="I22" s="64"/>
      <c r="J22" s="45" t="b">
        <f t="shared" si="0"/>
        <v>0</v>
      </c>
      <c r="K22" s="249"/>
      <c r="L22" s="249"/>
      <c r="M22" s="249"/>
      <c r="N22" s="249"/>
      <c r="O22" s="249"/>
      <c r="P22" s="249"/>
      <c r="Q22" s="249"/>
      <c r="R22" s="249"/>
      <c r="S22" s="249"/>
      <c r="T22" s="249"/>
      <c r="U22" s="249"/>
      <c r="V22" s="249"/>
      <c r="W22" s="249"/>
      <c r="X22" s="249"/>
      <c r="Y22" s="249"/>
      <c r="Z22" s="249"/>
      <c r="AA22" s="249"/>
      <c r="AB22" s="249"/>
      <c r="AC22" s="249"/>
      <c r="AD22" s="249"/>
    </row>
    <row r="23" spans="1:30" ht="15.8" customHeight="1">
      <c r="A23" s="250" t="s">
        <v>8186</v>
      </c>
      <c r="B23" s="253" t="s">
        <v>29</v>
      </c>
      <c r="C23" s="253" t="s">
        <v>8100</v>
      </c>
      <c r="D23" s="256" t="s">
        <v>8187</v>
      </c>
      <c r="E23" s="256" t="s">
        <v>8188</v>
      </c>
      <c r="F23" s="256" t="s">
        <v>8189</v>
      </c>
      <c r="G23" s="257"/>
      <c r="H23" s="257"/>
      <c r="I23" s="64"/>
      <c r="J23" s="45" t="b">
        <f t="shared" si="0"/>
        <v>0</v>
      </c>
      <c r="K23" s="249"/>
      <c r="L23" s="249"/>
      <c r="M23" s="249"/>
      <c r="N23" s="249"/>
      <c r="O23" s="249"/>
      <c r="P23" s="249"/>
      <c r="Q23" s="249"/>
      <c r="R23" s="249"/>
      <c r="S23" s="249"/>
      <c r="T23" s="249"/>
      <c r="U23" s="249"/>
      <c r="V23" s="249"/>
      <c r="W23" s="249"/>
      <c r="X23" s="249"/>
      <c r="Y23" s="249"/>
      <c r="Z23" s="249"/>
      <c r="AA23" s="249"/>
      <c r="AB23" s="249"/>
      <c r="AC23" s="249"/>
      <c r="AD23" s="249"/>
    </row>
    <row r="24" spans="1:30" ht="15.8" customHeight="1">
      <c r="A24" s="250" t="s">
        <v>8190</v>
      </c>
      <c r="B24" s="253" t="s">
        <v>29</v>
      </c>
      <c r="C24" s="253" t="s">
        <v>8100</v>
      </c>
      <c r="D24" s="253" t="s">
        <v>8191</v>
      </c>
      <c r="E24" s="258" t="s">
        <v>8192</v>
      </c>
      <c r="F24" s="258" t="s">
        <v>8193</v>
      </c>
      <c r="G24" s="257"/>
      <c r="H24" s="257"/>
      <c r="I24" s="64"/>
      <c r="J24" s="45" t="b">
        <f t="shared" si="0"/>
        <v>0</v>
      </c>
      <c r="K24" s="249"/>
      <c r="L24" s="249"/>
      <c r="M24" s="249"/>
      <c r="N24" s="249"/>
      <c r="O24" s="249"/>
      <c r="P24" s="249"/>
      <c r="Q24" s="249"/>
      <c r="R24" s="249"/>
      <c r="S24" s="249"/>
      <c r="T24" s="249"/>
      <c r="U24" s="249"/>
      <c r="V24" s="249"/>
      <c r="W24" s="249"/>
      <c r="X24" s="249"/>
      <c r="Y24" s="249"/>
      <c r="Z24" s="249"/>
      <c r="AA24" s="249"/>
      <c r="AB24" s="249"/>
      <c r="AC24" s="249"/>
      <c r="AD24" s="249"/>
    </row>
    <row r="25" spans="1:30" ht="15.8" customHeight="1">
      <c r="A25" s="250" t="s">
        <v>8194</v>
      </c>
      <c r="B25" s="253" t="s">
        <v>29</v>
      </c>
      <c r="C25" s="253" t="s">
        <v>8162</v>
      </c>
      <c r="D25" s="253" t="s">
        <v>8195</v>
      </c>
      <c r="E25" s="258" t="s">
        <v>8196</v>
      </c>
      <c r="F25" s="258" t="s">
        <v>8197</v>
      </c>
      <c r="G25" s="257"/>
      <c r="H25" s="257"/>
      <c r="I25" s="64"/>
      <c r="J25" s="45" t="b">
        <f t="shared" si="0"/>
        <v>0</v>
      </c>
      <c r="K25" s="249"/>
      <c r="L25" s="249"/>
      <c r="M25" s="249"/>
      <c r="N25" s="249"/>
      <c r="O25" s="249"/>
      <c r="P25" s="249"/>
      <c r="Q25" s="249"/>
      <c r="R25" s="249"/>
      <c r="S25" s="249"/>
      <c r="T25" s="249"/>
      <c r="U25" s="249"/>
      <c r="V25" s="249"/>
      <c r="W25" s="249"/>
      <c r="X25" s="249"/>
      <c r="Y25" s="249"/>
      <c r="Z25" s="249"/>
      <c r="AA25" s="249"/>
      <c r="AB25" s="249"/>
      <c r="AC25" s="249"/>
      <c r="AD25" s="249"/>
    </row>
    <row r="26" spans="1:30" ht="15.8" customHeight="1">
      <c r="A26" s="250" t="s">
        <v>8198</v>
      </c>
      <c r="B26" s="253" t="s">
        <v>29</v>
      </c>
      <c r="C26" s="253" t="s">
        <v>8100</v>
      </c>
      <c r="D26" s="253" t="s">
        <v>8199</v>
      </c>
      <c r="E26" s="253" t="s">
        <v>8200</v>
      </c>
      <c r="F26" s="258" t="s">
        <v>8201</v>
      </c>
      <c r="G26" s="257"/>
      <c r="H26" s="257"/>
      <c r="I26" s="64"/>
      <c r="J26" s="45" t="b">
        <f t="shared" si="0"/>
        <v>0</v>
      </c>
      <c r="K26" s="249"/>
      <c r="L26" s="249"/>
      <c r="M26" s="249"/>
      <c r="N26" s="249"/>
      <c r="O26" s="249"/>
      <c r="P26" s="249"/>
      <c r="Q26" s="249"/>
      <c r="R26" s="249"/>
      <c r="S26" s="249"/>
      <c r="T26" s="249"/>
      <c r="U26" s="249"/>
      <c r="V26" s="249"/>
      <c r="W26" s="249"/>
      <c r="X26" s="249"/>
      <c r="Y26" s="249"/>
      <c r="Z26" s="249"/>
      <c r="AA26" s="249"/>
      <c r="AB26" s="249"/>
      <c r="AC26" s="249"/>
      <c r="AD26" s="249"/>
    </row>
    <row r="27" spans="1:30" ht="15.8" customHeight="1">
      <c r="A27" s="250" t="s">
        <v>8202</v>
      </c>
      <c r="B27" s="253" t="s">
        <v>29</v>
      </c>
      <c r="C27" s="253" t="s">
        <v>8100</v>
      </c>
      <c r="D27" s="253" t="s">
        <v>8203</v>
      </c>
      <c r="E27" s="253" t="s">
        <v>8204</v>
      </c>
      <c r="F27" s="258" t="s">
        <v>8205</v>
      </c>
      <c r="G27" s="257"/>
      <c r="H27" s="257"/>
      <c r="I27" s="64"/>
      <c r="J27" s="45" t="b">
        <f t="shared" si="0"/>
        <v>0</v>
      </c>
      <c r="K27" s="249"/>
      <c r="L27" s="249"/>
      <c r="M27" s="249"/>
      <c r="N27" s="249"/>
      <c r="O27" s="249"/>
      <c r="P27" s="249"/>
      <c r="Q27" s="249"/>
      <c r="R27" s="249"/>
      <c r="S27" s="249"/>
      <c r="T27" s="249"/>
      <c r="U27" s="249"/>
      <c r="V27" s="249"/>
      <c r="W27" s="249"/>
      <c r="X27" s="249"/>
      <c r="Y27" s="249"/>
      <c r="Z27" s="249"/>
      <c r="AA27" s="249"/>
      <c r="AB27" s="249"/>
      <c r="AC27" s="249"/>
      <c r="AD27" s="249"/>
    </row>
    <row r="28" spans="1:30" ht="15.8" customHeight="1">
      <c r="A28" s="250" t="s">
        <v>8206</v>
      </c>
      <c r="B28" s="253" t="s">
        <v>29</v>
      </c>
      <c r="C28" s="253" t="s">
        <v>3445</v>
      </c>
      <c r="D28" s="253" t="s">
        <v>8207</v>
      </c>
      <c r="E28" s="253" t="s">
        <v>8208</v>
      </c>
      <c r="F28" s="258" t="s">
        <v>8209</v>
      </c>
      <c r="G28" s="257"/>
      <c r="H28" s="257"/>
      <c r="I28" s="64"/>
      <c r="J28" s="45" t="b">
        <f t="shared" si="0"/>
        <v>0</v>
      </c>
      <c r="K28" s="249"/>
      <c r="L28" s="249"/>
      <c r="M28" s="249"/>
      <c r="N28" s="249"/>
      <c r="O28" s="249"/>
      <c r="P28" s="249"/>
      <c r="Q28" s="249"/>
      <c r="R28" s="249"/>
      <c r="S28" s="249"/>
      <c r="T28" s="249"/>
      <c r="U28" s="249"/>
      <c r="V28" s="249"/>
      <c r="W28" s="249"/>
      <c r="X28" s="249"/>
      <c r="Y28" s="249"/>
      <c r="Z28" s="249"/>
      <c r="AA28" s="249"/>
      <c r="AB28" s="249"/>
      <c r="AC28" s="249"/>
      <c r="AD28" s="249"/>
    </row>
    <row r="29" spans="1:30" ht="15.8" customHeight="1">
      <c r="A29" s="250" t="s">
        <v>8210</v>
      </c>
      <c r="B29" s="253" t="s">
        <v>29</v>
      </c>
      <c r="C29" s="253" t="s">
        <v>3445</v>
      </c>
      <c r="D29" s="253" t="s">
        <v>8211</v>
      </c>
      <c r="E29" s="251" t="s">
        <v>8212</v>
      </c>
      <c r="F29" s="258" t="s">
        <v>8213</v>
      </c>
      <c r="G29" s="257"/>
      <c r="H29" s="257"/>
      <c r="I29" s="64"/>
      <c r="J29" s="45" t="b">
        <f t="shared" si="0"/>
        <v>0</v>
      </c>
      <c r="K29" s="249"/>
      <c r="L29" s="249"/>
      <c r="M29" s="249"/>
      <c r="N29" s="249"/>
      <c r="O29" s="249"/>
      <c r="P29" s="249"/>
      <c r="Q29" s="249"/>
      <c r="R29" s="249"/>
      <c r="S29" s="249"/>
      <c r="T29" s="249"/>
      <c r="U29" s="249"/>
      <c r="V29" s="249"/>
      <c r="W29" s="249"/>
      <c r="X29" s="249"/>
      <c r="Y29" s="249"/>
      <c r="Z29" s="249"/>
      <c r="AA29" s="249"/>
      <c r="AB29" s="249"/>
      <c r="AC29" s="249"/>
      <c r="AD29" s="249"/>
    </row>
    <row r="30" spans="1:30" ht="15.8" customHeight="1">
      <c r="A30" s="250" t="s">
        <v>8214</v>
      </c>
      <c r="B30" s="253" t="s">
        <v>29</v>
      </c>
      <c r="C30" s="253" t="s">
        <v>3445</v>
      </c>
      <c r="D30" s="253" t="s">
        <v>8215</v>
      </c>
      <c r="E30" s="251" t="s">
        <v>8216</v>
      </c>
      <c r="F30" s="258" t="s">
        <v>8217</v>
      </c>
      <c r="G30" s="257"/>
      <c r="H30" s="257"/>
      <c r="I30" s="64"/>
      <c r="J30" s="45" t="b">
        <f t="shared" si="0"/>
        <v>0</v>
      </c>
      <c r="K30" s="249"/>
      <c r="L30" s="249"/>
      <c r="M30" s="249"/>
      <c r="N30" s="249"/>
      <c r="O30" s="249"/>
      <c r="P30" s="249"/>
      <c r="Q30" s="249"/>
      <c r="R30" s="249"/>
      <c r="S30" s="249"/>
      <c r="T30" s="249"/>
      <c r="U30" s="249"/>
      <c r="V30" s="249"/>
      <c r="W30" s="249"/>
      <c r="X30" s="249"/>
      <c r="Y30" s="249"/>
      <c r="Z30" s="249"/>
      <c r="AA30" s="249"/>
      <c r="AB30" s="249"/>
      <c r="AC30" s="249"/>
      <c r="AD30" s="249"/>
    </row>
    <row r="31" spans="1:30" ht="15.8" customHeight="1">
      <c r="A31" s="250" t="s">
        <v>8218</v>
      </c>
      <c r="B31" s="253" t="s">
        <v>29</v>
      </c>
      <c r="C31" s="253" t="s">
        <v>3445</v>
      </c>
      <c r="D31" s="253" t="s">
        <v>8219</v>
      </c>
      <c r="E31" s="258" t="s">
        <v>8220</v>
      </c>
      <c r="F31" s="258" t="s">
        <v>8221</v>
      </c>
      <c r="G31" s="257"/>
      <c r="H31" s="257"/>
      <c r="I31" s="64"/>
      <c r="J31" s="45" t="b">
        <f t="shared" si="0"/>
        <v>0</v>
      </c>
      <c r="K31" s="249"/>
      <c r="L31" s="249"/>
      <c r="M31" s="249"/>
      <c r="N31" s="249"/>
      <c r="O31" s="249"/>
      <c r="P31" s="249"/>
      <c r="Q31" s="249"/>
      <c r="R31" s="249"/>
      <c r="S31" s="249"/>
      <c r="T31" s="249"/>
      <c r="U31" s="249"/>
      <c r="V31" s="249"/>
      <c r="W31" s="249"/>
      <c r="X31" s="249"/>
      <c r="Y31" s="249"/>
      <c r="Z31" s="249"/>
      <c r="AA31" s="249"/>
      <c r="AB31" s="249"/>
      <c r="AC31" s="249"/>
      <c r="AD31" s="249"/>
    </row>
    <row r="32" spans="1:30" ht="15.8" customHeight="1">
      <c r="A32" s="250" t="s">
        <v>8222</v>
      </c>
      <c r="B32" s="253" t="s">
        <v>29</v>
      </c>
      <c r="C32" s="253" t="s">
        <v>3445</v>
      </c>
      <c r="D32" s="253" t="s">
        <v>8223</v>
      </c>
      <c r="E32" s="251" t="s">
        <v>8224</v>
      </c>
      <c r="F32" s="258" t="s">
        <v>8225</v>
      </c>
      <c r="G32" s="257"/>
      <c r="H32" s="257"/>
      <c r="I32" s="64"/>
      <c r="J32" s="45" t="b">
        <f t="shared" si="0"/>
        <v>0</v>
      </c>
      <c r="K32" s="249"/>
      <c r="L32" s="249"/>
      <c r="M32" s="249"/>
      <c r="N32" s="249"/>
      <c r="O32" s="249"/>
      <c r="P32" s="249"/>
      <c r="Q32" s="249"/>
      <c r="R32" s="249"/>
      <c r="S32" s="249"/>
      <c r="T32" s="249"/>
      <c r="U32" s="249"/>
      <c r="V32" s="249"/>
      <c r="W32" s="249"/>
      <c r="X32" s="249"/>
      <c r="Y32" s="249"/>
      <c r="Z32" s="249"/>
      <c r="AA32" s="249"/>
      <c r="AB32" s="249"/>
      <c r="AC32" s="249"/>
      <c r="AD32" s="249"/>
    </row>
    <row r="33" spans="1:30" ht="15.8" customHeight="1">
      <c r="A33" s="250" t="s">
        <v>8226</v>
      </c>
      <c r="B33" s="253" t="s">
        <v>29</v>
      </c>
      <c r="C33" s="253" t="s">
        <v>8100</v>
      </c>
      <c r="D33" s="253" t="s">
        <v>8227</v>
      </c>
      <c r="E33" s="253" t="s">
        <v>8228</v>
      </c>
      <c r="F33" s="258" t="s">
        <v>8229</v>
      </c>
      <c r="G33" s="257"/>
      <c r="H33" s="257"/>
      <c r="I33" s="64"/>
      <c r="J33" s="45" t="b">
        <f t="shared" si="0"/>
        <v>0</v>
      </c>
      <c r="K33" s="249"/>
      <c r="L33" s="249"/>
      <c r="M33" s="249"/>
      <c r="N33" s="249"/>
      <c r="O33" s="249"/>
      <c r="P33" s="249"/>
      <c r="Q33" s="249"/>
      <c r="R33" s="249"/>
      <c r="S33" s="249"/>
      <c r="T33" s="249"/>
      <c r="U33" s="249"/>
      <c r="V33" s="249"/>
      <c r="W33" s="249"/>
      <c r="X33" s="249"/>
      <c r="Y33" s="249"/>
      <c r="Z33" s="249"/>
      <c r="AA33" s="249"/>
      <c r="AB33" s="249"/>
      <c r="AC33" s="249"/>
      <c r="AD33" s="249"/>
    </row>
    <row r="34" spans="1:30" ht="15.8" customHeight="1">
      <c r="A34" s="250" t="s">
        <v>8230</v>
      </c>
      <c r="B34" s="253" t="s">
        <v>29</v>
      </c>
      <c r="C34" s="253" t="s">
        <v>8100</v>
      </c>
      <c r="D34" s="253" t="s">
        <v>8231</v>
      </c>
      <c r="E34" s="253" t="s">
        <v>8232</v>
      </c>
      <c r="F34" s="258" t="s">
        <v>8233</v>
      </c>
      <c r="G34" s="257"/>
      <c r="H34" s="257"/>
      <c r="I34" s="64"/>
      <c r="J34" s="45" t="b">
        <f t="shared" si="0"/>
        <v>0</v>
      </c>
      <c r="K34" s="249"/>
      <c r="L34" s="249"/>
      <c r="M34" s="249"/>
      <c r="N34" s="249"/>
      <c r="O34" s="249"/>
      <c r="P34" s="249"/>
      <c r="Q34" s="249"/>
      <c r="R34" s="249"/>
      <c r="S34" s="249"/>
      <c r="T34" s="249"/>
      <c r="U34" s="249"/>
      <c r="V34" s="249"/>
      <c r="W34" s="249"/>
      <c r="X34" s="249"/>
      <c r="Y34" s="249"/>
      <c r="Z34" s="249"/>
      <c r="AA34" s="249"/>
      <c r="AB34" s="249"/>
      <c r="AC34" s="249"/>
      <c r="AD34" s="249"/>
    </row>
    <row r="35" spans="1:30" ht="15.8" customHeight="1">
      <c r="A35" s="250" t="s">
        <v>8234</v>
      </c>
      <c r="B35" s="253" t="s">
        <v>29</v>
      </c>
      <c r="C35" s="253" t="s">
        <v>8100</v>
      </c>
      <c r="D35" s="253" t="s">
        <v>8235</v>
      </c>
      <c r="E35" s="258" t="s">
        <v>8236</v>
      </c>
      <c r="F35" s="258" t="s">
        <v>8237</v>
      </c>
      <c r="G35" s="257"/>
      <c r="H35" s="257"/>
      <c r="I35" s="64"/>
      <c r="J35" s="45" t="b">
        <f t="shared" si="0"/>
        <v>0</v>
      </c>
      <c r="K35" s="249"/>
      <c r="L35" s="249"/>
      <c r="M35" s="249"/>
      <c r="N35" s="249"/>
      <c r="O35" s="249"/>
      <c r="P35" s="249"/>
      <c r="Q35" s="249"/>
      <c r="R35" s="249"/>
      <c r="S35" s="249"/>
      <c r="T35" s="249"/>
      <c r="U35" s="249"/>
      <c r="V35" s="249"/>
      <c r="W35" s="249"/>
      <c r="X35" s="249"/>
      <c r="Y35" s="249"/>
      <c r="Z35" s="249"/>
      <c r="AA35" s="249"/>
      <c r="AB35" s="249"/>
      <c r="AC35" s="249"/>
      <c r="AD35" s="249"/>
    </row>
    <row r="36" spans="1:30" ht="80.849999999999994">
      <c r="A36" s="250" t="s">
        <v>8238</v>
      </c>
      <c r="B36" s="253" t="s">
        <v>29</v>
      </c>
      <c r="C36" s="253" t="s">
        <v>8100</v>
      </c>
      <c r="D36" s="253" t="s">
        <v>8239</v>
      </c>
      <c r="E36" s="253" t="s">
        <v>8240</v>
      </c>
      <c r="F36" s="258" t="s">
        <v>8241</v>
      </c>
      <c r="G36" s="257"/>
      <c r="H36" s="257"/>
      <c r="I36" s="64"/>
      <c r="J36" s="45" t="b">
        <f t="shared" si="0"/>
        <v>0</v>
      </c>
      <c r="K36" s="249"/>
      <c r="L36" s="249"/>
      <c r="M36" s="249"/>
      <c r="N36" s="249"/>
      <c r="O36" s="249"/>
      <c r="P36" s="249"/>
      <c r="Q36" s="249"/>
      <c r="R36" s="249"/>
      <c r="S36" s="249"/>
      <c r="T36" s="249"/>
      <c r="U36" s="249"/>
      <c r="V36" s="249"/>
      <c r="W36" s="249"/>
      <c r="X36" s="249"/>
      <c r="Y36" s="249"/>
      <c r="Z36" s="249"/>
      <c r="AA36" s="249"/>
      <c r="AB36" s="249"/>
      <c r="AC36" s="249"/>
      <c r="AD36" s="249"/>
    </row>
    <row r="37" spans="1:30" ht="80.849999999999994">
      <c r="A37" s="250" t="s">
        <v>8242</v>
      </c>
      <c r="B37" s="253" t="s">
        <v>29</v>
      </c>
      <c r="C37" s="253" t="s">
        <v>8100</v>
      </c>
      <c r="D37" s="253" t="s">
        <v>8243</v>
      </c>
      <c r="E37" s="253" t="s">
        <v>8244</v>
      </c>
      <c r="F37" s="258" t="s">
        <v>8245</v>
      </c>
      <c r="G37" s="257"/>
      <c r="H37" s="257"/>
      <c r="I37" s="64"/>
      <c r="J37" s="45" t="b">
        <f t="shared" si="0"/>
        <v>0</v>
      </c>
      <c r="K37" s="249"/>
      <c r="L37" s="249"/>
      <c r="M37" s="249"/>
      <c r="N37" s="249"/>
      <c r="O37" s="249"/>
      <c r="P37" s="249"/>
      <c r="Q37" s="249"/>
      <c r="R37" s="249"/>
      <c r="S37" s="249"/>
      <c r="T37" s="249"/>
      <c r="U37" s="249"/>
      <c r="V37" s="249"/>
      <c r="W37" s="249"/>
      <c r="X37" s="249"/>
      <c r="Y37" s="249"/>
      <c r="Z37" s="249"/>
      <c r="AA37" s="249"/>
      <c r="AB37" s="249"/>
      <c r="AC37" s="249"/>
      <c r="AD37" s="249"/>
    </row>
    <row r="38" spans="1:30" ht="80.849999999999994">
      <c r="A38" s="250" t="s">
        <v>8246</v>
      </c>
      <c r="B38" s="253" t="s">
        <v>29</v>
      </c>
      <c r="C38" s="253" t="s">
        <v>8100</v>
      </c>
      <c r="D38" s="253" t="s">
        <v>8247</v>
      </c>
      <c r="E38" s="258" t="s">
        <v>8248</v>
      </c>
      <c r="F38" s="258" t="s">
        <v>8249</v>
      </c>
      <c r="G38" s="257"/>
      <c r="H38" s="257"/>
      <c r="I38" s="64"/>
      <c r="J38" s="45" t="b">
        <f t="shared" si="0"/>
        <v>0</v>
      </c>
      <c r="K38" s="249"/>
      <c r="L38" s="249"/>
      <c r="M38" s="249"/>
      <c r="N38" s="249"/>
      <c r="O38" s="249"/>
      <c r="P38" s="249"/>
      <c r="Q38" s="249"/>
      <c r="R38" s="249"/>
      <c r="S38" s="249"/>
      <c r="T38" s="249"/>
      <c r="U38" s="249"/>
      <c r="V38" s="249"/>
      <c r="W38" s="249"/>
      <c r="X38" s="249"/>
      <c r="Y38" s="249"/>
      <c r="Z38" s="249"/>
      <c r="AA38" s="249"/>
      <c r="AB38" s="249"/>
      <c r="AC38" s="249"/>
      <c r="AD38" s="249"/>
    </row>
    <row r="39" spans="1:30" ht="80.849999999999994">
      <c r="A39" s="250" t="s">
        <v>8250</v>
      </c>
      <c r="B39" s="253" t="s">
        <v>29</v>
      </c>
      <c r="C39" s="253" t="s">
        <v>8100</v>
      </c>
      <c r="D39" s="253" t="s">
        <v>8251</v>
      </c>
      <c r="E39" s="253" t="s">
        <v>8252</v>
      </c>
      <c r="F39" s="258" t="s">
        <v>8253</v>
      </c>
      <c r="G39" s="257"/>
      <c r="H39" s="257"/>
      <c r="I39" s="64"/>
      <c r="J39" s="45" t="b">
        <f t="shared" si="0"/>
        <v>0</v>
      </c>
      <c r="K39" s="249"/>
      <c r="L39" s="249"/>
      <c r="M39" s="249"/>
      <c r="N39" s="249"/>
      <c r="O39" s="249"/>
      <c r="P39" s="249"/>
      <c r="Q39" s="249"/>
      <c r="R39" s="249"/>
      <c r="S39" s="249"/>
      <c r="T39" s="249"/>
      <c r="U39" s="249"/>
      <c r="V39" s="249"/>
      <c r="W39" s="249"/>
      <c r="X39" s="249"/>
      <c r="Y39" s="249"/>
      <c r="Z39" s="249"/>
      <c r="AA39" s="249"/>
      <c r="AB39" s="249"/>
      <c r="AC39" s="249"/>
      <c r="AD39" s="249"/>
    </row>
    <row r="40" spans="1:30" ht="69.3">
      <c r="A40" s="250" t="s">
        <v>8254</v>
      </c>
      <c r="B40" s="253" t="s">
        <v>29</v>
      </c>
      <c r="C40" s="253" t="s">
        <v>8100</v>
      </c>
      <c r="D40" s="253" t="s">
        <v>8255</v>
      </c>
      <c r="E40" s="259" t="s">
        <v>8256</v>
      </c>
      <c r="F40" s="258" t="s">
        <v>8257</v>
      </c>
      <c r="G40" s="257"/>
      <c r="H40" s="257"/>
      <c r="I40" s="64"/>
      <c r="J40" s="45" t="b">
        <f t="shared" si="0"/>
        <v>0</v>
      </c>
      <c r="K40" s="249"/>
      <c r="L40" s="249"/>
      <c r="M40" s="249"/>
      <c r="N40" s="249"/>
      <c r="O40" s="249"/>
      <c r="P40" s="249"/>
      <c r="Q40" s="249"/>
      <c r="R40" s="249"/>
      <c r="S40" s="249"/>
      <c r="T40" s="249"/>
      <c r="U40" s="249"/>
      <c r="V40" s="249"/>
      <c r="W40" s="249"/>
      <c r="X40" s="249"/>
      <c r="Y40" s="249"/>
      <c r="Z40" s="249"/>
      <c r="AA40" s="249"/>
      <c r="AB40" s="249"/>
      <c r="AC40" s="249"/>
      <c r="AD40" s="249"/>
    </row>
    <row r="41" spans="1:30" ht="80.849999999999994">
      <c r="A41" s="250" t="s">
        <v>8258</v>
      </c>
      <c r="B41" s="253" t="s">
        <v>29</v>
      </c>
      <c r="C41" s="253" t="s">
        <v>8100</v>
      </c>
      <c r="D41" s="253" t="s">
        <v>8259</v>
      </c>
      <c r="E41" s="258" t="s">
        <v>8236</v>
      </c>
      <c r="F41" s="258" t="s">
        <v>8260</v>
      </c>
      <c r="G41" s="257"/>
      <c r="H41" s="257"/>
      <c r="I41" s="64"/>
      <c r="J41" s="45" t="b">
        <f t="shared" si="0"/>
        <v>0</v>
      </c>
      <c r="K41" s="249"/>
      <c r="L41" s="249"/>
      <c r="M41" s="249"/>
      <c r="N41" s="249"/>
      <c r="O41" s="249"/>
      <c r="P41" s="249"/>
      <c r="Q41" s="249"/>
      <c r="R41" s="249"/>
      <c r="S41" s="249"/>
      <c r="T41" s="249"/>
      <c r="U41" s="249"/>
      <c r="V41" s="249"/>
      <c r="W41" s="249"/>
      <c r="X41" s="249"/>
      <c r="Y41" s="249"/>
      <c r="Z41" s="249"/>
      <c r="AA41" s="249"/>
      <c r="AB41" s="249"/>
      <c r="AC41" s="249"/>
      <c r="AD41" s="249"/>
    </row>
    <row r="42" spans="1:30" ht="92.4">
      <c r="A42" s="250" t="s">
        <v>8261</v>
      </c>
      <c r="B42" s="253" t="s">
        <v>29</v>
      </c>
      <c r="C42" s="253" t="s">
        <v>8162</v>
      </c>
      <c r="D42" s="253" t="s">
        <v>8262</v>
      </c>
      <c r="E42" s="258" t="s">
        <v>8263</v>
      </c>
      <c r="F42" s="258" t="s">
        <v>8264</v>
      </c>
      <c r="G42" s="257"/>
      <c r="H42" s="257"/>
      <c r="I42" s="64"/>
      <c r="J42" s="45" t="b">
        <f t="shared" si="0"/>
        <v>0</v>
      </c>
      <c r="K42" s="249"/>
      <c r="L42" s="249"/>
      <c r="M42" s="249"/>
      <c r="N42" s="249"/>
      <c r="O42" s="249"/>
      <c r="P42" s="249"/>
      <c r="Q42" s="249"/>
      <c r="R42" s="249"/>
      <c r="S42" s="249"/>
      <c r="T42" s="249"/>
      <c r="U42" s="249"/>
      <c r="V42" s="249"/>
      <c r="W42" s="249"/>
      <c r="X42" s="249"/>
      <c r="Y42" s="249"/>
      <c r="Z42" s="249"/>
      <c r="AA42" s="249"/>
      <c r="AB42" s="249"/>
      <c r="AC42" s="249"/>
      <c r="AD42" s="249"/>
    </row>
    <row r="43" spans="1:30" ht="80.849999999999994">
      <c r="A43" s="250" t="s">
        <v>8265</v>
      </c>
      <c r="B43" s="253" t="s">
        <v>29</v>
      </c>
      <c r="C43" s="253" t="s">
        <v>8162</v>
      </c>
      <c r="D43" s="253" t="s">
        <v>8266</v>
      </c>
      <c r="E43" s="258" t="s">
        <v>8267</v>
      </c>
      <c r="F43" s="258" t="s">
        <v>8268</v>
      </c>
      <c r="G43" s="257"/>
      <c r="H43" s="257"/>
      <c r="I43" s="64"/>
      <c r="J43" s="45" t="b">
        <f t="shared" si="0"/>
        <v>0</v>
      </c>
      <c r="K43" s="249"/>
      <c r="L43" s="249"/>
      <c r="M43" s="249"/>
      <c r="N43" s="249"/>
      <c r="O43" s="249"/>
      <c r="P43" s="249"/>
      <c r="Q43" s="249"/>
      <c r="R43" s="249"/>
      <c r="S43" s="249"/>
      <c r="T43" s="249"/>
      <c r="U43" s="249"/>
      <c r="V43" s="249"/>
      <c r="W43" s="249"/>
      <c r="X43" s="249"/>
      <c r="Y43" s="249"/>
      <c r="Z43" s="249"/>
      <c r="AA43" s="249"/>
      <c r="AB43" s="249"/>
      <c r="AC43" s="249"/>
      <c r="AD43" s="249"/>
    </row>
    <row r="44" spans="1:30" ht="57.75">
      <c r="A44" s="250" t="s">
        <v>8269</v>
      </c>
      <c r="B44" s="253" t="s">
        <v>29</v>
      </c>
      <c r="C44" s="253" t="s">
        <v>8123</v>
      </c>
      <c r="D44" s="253" t="s">
        <v>8270</v>
      </c>
      <c r="E44" s="258" t="s">
        <v>8271</v>
      </c>
      <c r="F44" s="258" t="s">
        <v>8272</v>
      </c>
      <c r="G44" s="257"/>
      <c r="H44" s="257"/>
      <c r="I44" s="64"/>
      <c r="J44" s="45" t="b">
        <f t="shared" si="0"/>
        <v>0</v>
      </c>
      <c r="K44" s="249"/>
      <c r="L44" s="249"/>
      <c r="M44" s="249"/>
      <c r="N44" s="249"/>
      <c r="O44" s="249"/>
      <c r="P44" s="249"/>
      <c r="Q44" s="249"/>
      <c r="R44" s="249"/>
      <c r="S44" s="249"/>
      <c r="T44" s="249"/>
      <c r="U44" s="249"/>
      <c r="V44" s="249"/>
      <c r="W44" s="249"/>
      <c r="X44" s="249"/>
      <c r="Y44" s="249"/>
      <c r="Z44" s="249"/>
      <c r="AA44" s="249"/>
      <c r="AB44" s="249"/>
      <c r="AC44" s="249"/>
      <c r="AD44" s="249"/>
    </row>
    <row r="45" spans="1:30" ht="115.5">
      <c r="A45" s="250" t="s">
        <v>8273</v>
      </c>
      <c r="B45" s="253" t="s">
        <v>29</v>
      </c>
      <c r="C45" s="253" t="s">
        <v>8123</v>
      </c>
      <c r="D45" s="253" t="s">
        <v>8274</v>
      </c>
      <c r="E45" s="258" t="s">
        <v>8275</v>
      </c>
      <c r="F45" s="258" t="s">
        <v>8276</v>
      </c>
      <c r="G45" s="257"/>
      <c r="H45" s="257"/>
      <c r="I45" s="64"/>
      <c r="J45" s="45" t="b">
        <f t="shared" si="0"/>
        <v>0</v>
      </c>
      <c r="K45" s="249"/>
      <c r="L45" s="249"/>
      <c r="M45" s="249"/>
      <c r="N45" s="249"/>
      <c r="O45" s="249"/>
      <c r="P45" s="249"/>
      <c r="Q45" s="249"/>
      <c r="R45" s="249"/>
      <c r="S45" s="249"/>
      <c r="T45" s="249"/>
      <c r="U45" s="249"/>
      <c r="V45" s="249"/>
      <c r="W45" s="249"/>
      <c r="X45" s="249"/>
      <c r="Y45" s="249"/>
      <c r="Z45" s="249"/>
      <c r="AA45" s="249"/>
      <c r="AB45" s="249"/>
      <c r="AC45" s="249"/>
      <c r="AD45" s="249"/>
    </row>
    <row r="46" spans="1:30" ht="69.3">
      <c r="A46" s="250" t="s">
        <v>8277</v>
      </c>
      <c r="B46" s="253" t="s">
        <v>29</v>
      </c>
      <c r="C46" s="253" t="s">
        <v>8123</v>
      </c>
      <c r="D46" s="253" t="s">
        <v>8278</v>
      </c>
      <c r="E46" s="251" t="s">
        <v>8279</v>
      </c>
      <c r="F46" s="258" t="s">
        <v>8280</v>
      </c>
      <c r="G46" s="257"/>
      <c r="H46" s="257"/>
      <c r="I46" s="64"/>
      <c r="J46" s="45" t="b">
        <f t="shared" si="0"/>
        <v>0</v>
      </c>
      <c r="K46" s="249"/>
      <c r="L46" s="249"/>
      <c r="M46" s="249"/>
      <c r="N46" s="249"/>
      <c r="O46" s="249"/>
      <c r="P46" s="249"/>
      <c r="Q46" s="249"/>
      <c r="R46" s="249"/>
      <c r="S46" s="249"/>
      <c r="T46" s="249"/>
      <c r="U46" s="249"/>
      <c r="V46" s="249"/>
      <c r="W46" s="249"/>
      <c r="X46" s="249"/>
      <c r="Y46" s="249"/>
      <c r="Z46" s="249"/>
      <c r="AA46" s="249"/>
      <c r="AB46" s="249"/>
      <c r="AC46" s="249"/>
      <c r="AD46" s="249"/>
    </row>
    <row r="47" spans="1:30" ht="57.75">
      <c r="A47" s="250" t="s">
        <v>8281</v>
      </c>
      <c r="B47" s="253" t="s">
        <v>29</v>
      </c>
      <c r="C47" s="253" t="s">
        <v>3445</v>
      </c>
      <c r="D47" s="253" t="s">
        <v>8282</v>
      </c>
      <c r="E47" s="251" t="s">
        <v>8283</v>
      </c>
      <c r="F47" s="258" t="s">
        <v>8284</v>
      </c>
      <c r="G47" s="257"/>
      <c r="H47" s="257"/>
      <c r="I47" s="64"/>
      <c r="J47" s="45" t="b">
        <f t="shared" si="0"/>
        <v>0</v>
      </c>
      <c r="K47" s="249"/>
      <c r="L47" s="249"/>
      <c r="M47" s="249"/>
      <c r="N47" s="249"/>
      <c r="O47" s="249"/>
      <c r="P47" s="249"/>
      <c r="Q47" s="249"/>
      <c r="R47" s="249"/>
      <c r="S47" s="249"/>
      <c r="T47" s="249"/>
      <c r="U47" s="249"/>
      <c r="V47" s="249"/>
      <c r="W47" s="249"/>
      <c r="X47" s="249"/>
      <c r="Y47" s="249"/>
      <c r="Z47" s="249"/>
      <c r="AA47" s="249"/>
      <c r="AB47" s="249"/>
      <c r="AC47" s="249"/>
      <c r="AD47" s="249"/>
    </row>
    <row r="48" spans="1:30" ht="80.849999999999994">
      <c r="A48" s="250" t="s">
        <v>8285</v>
      </c>
      <c r="B48" s="253" t="s">
        <v>29</v>
      </c>
      <c r="C48" s="253" t="s">
        <v>8123</v>
      </c>
      <c r="D48" s="253" t="s">
        <v>8286</v>
      </c>
      <c r="E48" s="251" t="s">
        <v>8287</v>
      </c>
      <c r="F48" s="258" t="s">
        <v>8288</v>
      </c>
      <c r="G48" s="257"/>
      <c r="H48" s="257"/>
      <c r="I48" s="64"/>
      <c r="J48" s="45" t="b">
        <f t="shared" si="0"/>
        <v>0</v>
      </c>
      <c r="K48" s="249"/>
      <c r="L48" s="249"/>
      <c r="M48" s="249"/>
      <c r="N48" s="249"/>
      <c r="O48" s="249"/>
      <c r="P48" s="249"/>
      <c r="Q48" s="249"/>
      <c r="R48" s="249"/>
      <c r="S48" s="249"/>
      <c r="T48" s="249"/>
      <c r="U48" s="249"/>
      <c r="V48" s="249"/>
      <c r="W48" s="249"/>
      <c r="X48" s="249"/>
      <c r="Y48" s="249"/>
      <c r="Z48" s="249"/>
      <c r="AA48" s="249"/>
      <c r="AB48" s="249"/>
      <c r="AC48" s="249"/>
      <c r="AD48" s="249"/>
    </row>
    <row r="49" spans="1:30" ht="103.95">
      <c r="A49" s="250" t="s">
        <v>8289</v>
      </c>
      <c r="B49" s="253" t="s">
        <v>29</v>
      </c>
      <c r="C49" s="253" t="s">
        <v>8123</v>
      </c>
      <c r="D49" s="253" t="s">
        <v>8290</v>
      </c>
      <c r="E49" s="251" t="s">
        <v>8291</v>
      </c>
      <c r="F49" s="258" t="s">
        <v>8292</v>
      </c>
      <c r="G49" s="257"/>
      <c r="H49" s="257"/>
      <c r="I49" s="64"/>
      <c r="J49" s="45" t="b">
        <f t="shared" si="0"/>
        <v>0</v>
      </c>
      <c r="K49" s="249"/>
      <c r="L49" s="249"/>
      <c r="M49" s="249"/>
      <c r="N49" s="249"/>
      <c r="O49" s="249"/>
      <c r="P49" s="249"/>
      <c r="Q49" s="249"/>
      <c r="R49" s="249"/>
      <c r="S49" s="249"/>
      <c r="T49" s="249"/>
      <c r="U49" s="249"/>
      <c r="V49" s="249"/>
      <c r="W49" s="249"/>
      <c r="X49" s="249"/>
      <c r="Y49" s="249"/>
      <c r="Z49" s="249"/>
      <c r="AA49" s="249"/>
      <c r="AB49" s="249"/>
      <c r="AC49" s="249"/>
      <c r="AD49" s="249"/>
    </row>
    <row r="50" spans="1:30" ht="115.5">
      <c r="A50" s="250" t="s">
        <v>8293</v>
      </c>
      <c r="B50" s="253" t="s">
        <v>29</v>
      </c>
      <c r="C50" s="253" t="s">
        <v>8123</v>
      </c>
      <c r="D50" s="253" t="s">
        <v>8294</v>
      </c>
      <c r="E50" s="258" t="s">
        <v>8295</v>
      </c>
      <c r="F50" s="258" t="s">
        <v>8296</v>
      </c>
      <c r="G50" s="257"/>
      <c r="H50" s="257"/>
      <c r="I50" s="64"/>
      <c r="J50" s="45" t="b">
        <f t="shared" si="0"/>
        <v>0</v>
      </c>
      <c r="K50" s="249"/>
      <c r="L50" s="249"/>
      <c r="M50" s="249"/>
      <c r="N50" s="249"/>
      <c r="O50" s="249"/>
      <c r="P50" s="249"/>
      <c r="Q50" s="249"/>
      <c r="R50" s="249"/>
      <c r="S50" s="249"/>
      <c r="T50" s="249"/>
      <c r="U50" s="249"/>
      <c r="V50" s="249"/>
      <c r="W50" s="249"/>
      <c r="X50" s="249"/>
      <c r="Y50" s="249"/>
      <c r="Z50" s="249"/>
      <c r="AA50" s="249"/>
      <c r="AB50" s="249"/>
      <c r="AC50" s="249"/>
      <c r="AD50" s="249"/>
    </row>
    <row r="51" spans="1:30" ht="80.849999999999994">
      <c r="A51" s="250" t="s">
        <v>8297</v>
      </c>
      <c r="B51" s="253" t="s">
        <v>29</v>
      </c>
      <c r="C51" s="253" t="s">
        <v>8123</v>
      </c>
      <c r="D51" s="253" t="s">
        <v>8298</v>
      </c>
      <c r="E51" s="251" t="s">
        <v>8299</v>
      </c>
      <c r="F51" s="258" t="s">
        <v>8300</v>
      </c>
      <c r="G51" s="257"/>
      <c r="H51" s="257"/>
      <c r="I51" s="64"/>
      <c r="J51" s="45" t="b">
        <f t="shared" si="0"/>
        <v>0</v>
      </c>
      <c r="K51" s="249"/>
      <c r="L51" s="249"/>
      <c r="M51" s="249"/>
      <c r="N51" s="249"/>
      <c r="O51" s="249"/>
      <c r="P51" s="249"/>
      <c r="Q51" s="249"/>
      <c r="R51" s="249"/>
      <c r="S51" s="249"/>
      <c r="T51" s="249"/>
      <c r="U51" s="249"/>
      <c r="V51" s="249"/>
      <c r="W51" s="249"/>
      <c r="X51" s="249"/>
      <c r="Y51" s="249"/>
      <c r="Z51" s="249"/>
      <c r="AA51" s="249"/>
      <c r="AB51" s="249"/>
      <c r="AC51" s="249"/>
      <c r="AD51" s="249"/>
    </row>
    <row r="52" spans="1:30" ht="92.4">
      <c r="A52" s="250" t="s">
        <v>8301</v>
      </c>
      <c r="B52" s="253" t="s">
        <v>29</v>
      </c>
      <c r="C52" s="253" t="s">
        <v>8123</v>
      </c>
      <c r="D52" s="253" t="s">
        <v>8302</v>
      </c>
      <c r="E52" s="251" t="s">
        <v>8303</v>
      </c>
      <c r="F52" s="258" t="s">
        <v>8304</v>
      </c>
      <c r="G52" s="257"/>
      <c r="H52" s="257"/>
      <c r="I52" s="64"/>
      <c r="J52" s="45" t="b">
        <f t="shared" si="0"/>
        <v>0</v>
      </c>
      <c r="K52" s="249"/>
      <c r="L52" s="249"/>
      <c r="M52" s="249"/>
      <c r="N52" s="249"/>
      <c r="O52" s="249"/>
      <c r="P52" s="249"/>
      <c r="Q52" s="249"/>
      <c r="R52" s="249"/>
      <c r="S52" s="249"/>
      <c r="T52" s="249"/>
      <c r="U52" s="249"/>
      <c r="V52" s="249"/>
      <c r="W52" s="249"/>
      <c r="X52" s="249"/>
      <c r="Y52" s="249"/>
      <c r="Z52" s="249"/>
      <c r="AA52" s="249"/>
      <c r="AB52" s="249"/>
      <c r="AC52" s="249"/>
      <c r="AD52" s="249"/>
    </row>
    <row r="53" spans="1:30" ht="103.95">
      <c r="A53" s="250" t="s">
        <v>8305</v>
      </c>
      <c r="B53" s="253" t="s">
        <v>29</v>
      </c>
      <c r="C53" s="253" t="s">
        <v>8162</v>
      </c>
      <c r="D53" s="253" t="s">
        <v>8306</v>
      </c>
      <c r="E53" s="253" t="s">
        <v>8307</v>
      </c>
      <c r="F53" s="258" t="s">
        <v>8308</v>
      </c>
      <c r="G53" s="257"/>
      <c r="H53" s="257"/>
      <c r="I53" s="64"/>
      <c r="J53" s="45" t="b">
        <f t="shared" si="0"/>
        <v>0</v>
      </c>
      <c r="K53" s="249"/>
      <c r="L53" s="249"/>
      <c r="M53" s="249"/>
      <c r="N53" s="249"/>
      <c r="O53" s="249"/>
      <c r="P53" s="249"/>
      <c r="Q53" s="249"/>
      <c r="R53" s="249"/>
      <c r="S53" s="249"/>
      <c r="T53" s="249"/>
      <c r="U53" s="249"/>
      <c r="V53" s="249"/>
      <c r="W53" s="249"/>
      <c r="X53" s="249"/>
      <c r="Y53" s="249"/>
      <c r="Z53" s="249"/>
      <c r="AA53" s="249"/>
      <c r="AB53" s="249"/>
      <c r="AC53" s="249"/>
      <c r="AD53" s="249"/>
    </row>
    <row r="54" spans="1:30" ht="69.3">
      <c r="A54" s="250" t="s">
        <v>8309</v>
      </c>
      <c r="B54" s="253" t="s">
        <v>29</v>
      </c>
      <c r="C54" s="253" t="s">
        <v>8162</v>
      </c>
      <c r="D54" s="253" t="s">
        <v>8310</v>
      </c>
      <c r="E54" s="253" t="s">
        <v>8311</v>
      </c>
      <c r="F54" s="258" t="s">
        <v>8312</v>
      </c>
      <c r="G54" s="257"/>
      <c r="H54" s="257"/>
      <c r="I54" s="64"/>
      <c r="J54" s="45" t="b">
        <f t="shared" si="0"/>
        <v>0</v>
      </c>
      <c r="K54" s="249"/>
      <c r="L54" s="249"/>
      <c r="M54" s="249"/>
      <c r="N54" s="249"/>
      <c r="O54" s="249"/>
      <c r="P54" s="249"/>
      <c r="Q54" s="249"/>
      <c r="R54" s="249"/>
      <c r="S54" s="249"/>
      <c r="T54" s="249"/>
      <c r="U54" s="249"/>
      <c r="V54" s="249"/>
      <c r="W54" s="249"/>
      <c r="X54" s="249"/>
      <c r="Y54" s="249"/>
      <c r="Z54" s="249"/>
      <c r="AA54" s="249"/>
      <c r="AB54" s="249"/>
      <c r="AC54" s="249"/>
      <c r="AD54" s="249"/>
    </row>
    <row r="55" spans="1:30" ht="57.75">
      <c r="A55" s="250" t="s">
        <v>8313</v>
      </c>
      <c r="B55" s="253" t="s">
        <v>29</v>
      </c>
      <c r="C55" s="253" t="s">
        <v>8123</v>
      </c>
      <c r="D55" s="253" t="s">
        <v>8314</v>
      </c>
      <c r="E55" s="253" t="s">
        <v>8315</v>
      </c>
      <c r="F55" s="258" t="s">
        <v>8316</v>
      </c>
      <c r="G55" s="257"/>
      <c r="H55" s="257"/>
      <c r="I55" s="64"/>
      <c r="J55" s="45" t="b">
        <f t="shared" si="0"/>
        <v>0</v>
      </c>
      <c r="K55" s="249"/>
      <c r="L55" s="249"/>
      <c r="M55" s="249"/>
      <c r="N55" s="249"/>
      <c r="O55" s="249"/>
      <c r="P55" s="249"/>
      <c r="Q55" s="249"/>
      <c r="R55" s="249"/>
      <c r="S55" s="249"/>
      <c r="T55" s="249"/>
      <c r="U55" s="249"/>
      <c r="V55" s="249"/>
      <c r="W55" s="249"/>
      <c r="X55" s="249"/>
      <c r="Y55" s="249"/>
      <c r="Z55" s="249"/>
      <c r="AA55" s="249"/>
      <c r="AB55" s="249"/>
      <c r="AC55" s="249"/>
      <c r="AD55" s="249"/>
    </row>
    <row r="56" spans="1:30" ht="57.75">
      <c r="A56" s="250" t="s">
        <v>8317</v>
      </c>
      <c r="B56" s="253"/>
      <c r="C56" s="253" t="s">
        <v>8123</v>
      </c>
      <c r="D56" s="253" t="s">
        <v>8318</v>
      </c>
      <c r="E56" s="259" t="s">
        <v>8319</v>
      </c>
      <c r="F56" s="258" t="s">
        <v>8320</v>
      </c>
      <c r="G56" s="257"/>
      <c r="H56" s="257"/>
      <c r="I56" s="64"/>
      <c r="J56" s="45" t="b">
        <f t="shared" si="0"/>
        <v>0</v>
      </c>
      <c r="K56" s="249"/>
      <c r="L56" s="249"/>
      <c r="M56" s="249"/>
      <c r="N56" s="249"/>
      <c r="O56" s="249"/>
      <c r="P56" s="249"/>
      <c r="Q56" s="249"/>
      <c r="R56" s="249"/>
      <c r="S56" s="249"/>
      <c r="T56" s="249"/>
      <c r="U56" s="249"/>
      <c r="V56" s="249"/>
      <c r="W56" s="249"/>
      <c r="X56" s="249"/>
      <c r="Y56" s="249"/>
      <c r="Z56" s="249"/>
      <c r="AA56" s="249"/>
      <c r="AB56" s="249"/>
      <c r="AC56" s="249"/>
      <c r="AD56" s="249"/>
    </row>
    <row r="57" spans="1:30" ht="69.3">
      <c r="A57" s="250" t="s">
        <v>8321</v>
      </c>
      <c r="B57" s="253" t="s">
        <v>29</v>
      </c>
      <c r="C57" s="253" t="s">
        <v>8123</v>
      </c>
      <c r="D57" s="253" t="s">
        <v>8322</v>
      </c>
      <c r="E57" s="253" t="s">
        <v>8323</v>
      </c>
      <c r="F57" s="258" t="s">
        <v>8324</v>
      </c>
      <c r="G57" s="257"/>
      <c r="H57" s="257"/>
      <c r="I57" s="64"/>
      <c r="J57" s="45" t="b">
        <f t="shared" si="0"/>
        <v>0</v>
      </c>
      <c r="K57" s="249"/>
      <c r="L57" s="249"/>
      <c r="M57" s="249"/>
      <c r="N57" s="249"/>
      <c r="O57" s="249"/>
      <c r="P57" s="249"/>
      <c r="Q57" s="249"/>
      <c r="R57" s="249"/>
      <c r="S57" s="249"/>
      <c r="T57" s="249"/>
      <c r="U57" s="249"/>
      <c r="V57" s="249"/>
      <c r="W57" s="249"/>
      <c r="X57" s="249"/>
      <c r="Y57" s="249"/>
      <c r="Z57" s="249"/>
      <c r="AA57" s="249"/>
      <c r="AB57" s="249"/>
      <c r="AC57" s="249"/>
      <c r="AD57" s="249"/>
    </row>
    <row r="58" spans="1:30" ht="80.849999999999994">
      <c r="A58" s="250" t="s">
        <v>8325</v>
      </c>
      <c r="B58" s="253" t="s">
        <v>29</v>
      </c>
      <c r="C58" s="260" t="s">
        <v>8123</v>
      </c>
      <c r="D58" s="260" t="s">
        <v>8326</v>
      </c>
      <c r="E58" s="258" t="s">
        <v>8327</v>
      </c>
      <c r="F58" s="258" t="s">
        <v>8328</v>
      </c>
      <c r="G58" s="257"/>
      <c r="H58" s="257"/>
      <c r="I58" s="64"/>
      <c r="J58" s="45" t="b">
        <f t="shared" si="0"/>
        <v>0</v>
      </c>
      <c r="K58" s="249"/>
      <c r="L58" s="249"/>
      <c r="M58" s="249"/>
      <c r="N58" s="249"/>
      <c r="O58" s="249"/>
      <c r="P58" s="249"/>
      <c r="Q58" s="249"/>
      <c r="R58" s="249"/>
      <c r="S58" s="249"/>
      <c r="T58" s="249"/>
      <c r="U58" s="249"/>
      <c r="V58" s="249"/>
      <c r="W58" s="249"/>
      <c r="X58" s="249"/>
      <c r="Y58" s="249"/>
      <c r="Z58" s="249"/>
      <c r="AA58" s="249"/>
      <c r="AB58" s="249"/>
      <c r="AC58" s="249"/>
      <c r="AD58" s="249"/>
    </row>
    <row r="59" spans="1:30" ht="80.849999999999994">
      <c r="A59" s="250" t="s">
        <v>8329</v>
      </c>
      <c r="B59" s="253" t="s">
        <v>29</v>
      </c>
      <c r="C59" s="253" t="s">
        <v>8123</v>
      </c>
      <c r="D59" s="253" t="s">
        <v>8330</v>
      </c>
      <c r="E59" s="253" t="s">
        <v>8331</v>
      </c>
      <c r="F59" s="258" t="s">
        <v>8332</v>
      </c>
      <c r="G59" s="257"/>
      <c r="H59" s="257"/>
      <c r="I59" s="64"/>
      <c r="J59" s="45" t="b">
        <f t="shared" si="0"/>
        <v>0</v>
      </c>
      <c r="K59" s="249"/>
      <c r="L59" s="249"/>
      <c r="M59" s="249"/>
      <c r="N59" s="249"/>
      <c r="O59" s="249"/>
      <c r="P59" s="249"/>
      <c r="Q59" s="249"/>
      <c r="R59" s="249"/>
      <c r="S59" s="249"/>
      <c r="T59" s="249"/>
      <c r="U59" s="249"/>
      <c r="V59" s="249"/>
      <c r="W59" s="249"/>
      <c r="X59" s="249"/>
      <c r="Y59" s="249"/>
      <c r="Z59" s="249"/>
      <c r="AA59" s="249"/>
      <c r="AB59" s="249"/>
      <c r="AC59" s="249"/>
      <c r="AD59" s="249"/>
    </row>
    <row r="60" spans="1:30" ht="80.849999999999994">
      <c r="A60" s="250" t="s">
        <v>8333</v>
      </c>
      <c r="B60" s="253" t="s">
        <v>29</v>
      </c>
      <c r="C60" s="253" t="s">
        <v>8123</v>
      </c>
      <c r="D60" s="253" t="s">
        <v>8334</v>
      </c>
      <c r="E60" s="251" t="s">
        <v>8335</v>
      </c>
      <c r="F60" s="258" t="s">
        <v>8336</v>
      </c>
      <c r="G60" s="257"/>
      <c r="H60" s="257"/>
      <c r="I60" s="64"/>
      <c r="J60" s="45" t="b">
        <f t="shared" si="0"/>
        <v>0</v>
      </c>
      <c r="K60" s="249"/>
      <c r="L60" s="249"/>
      <c r="M60" s="249"/>
      <c r="N60" s="249"/>
      <c r="O60" s="249"/>
      <c r="P60" s="249"/>
      <c r="Q60" s="249"/>
      <c r="R60" s="249"/>
      <c r="S60" s="249"/>
      <c r="T60" s="249"/>
      <c r="U60" s="249"/>
      <c r="V60" s="249"/>
      <c r="W60" s="249"/>
      <c r="X60" s="249"/>
      <c r="Y60" s="249"/>
      <c r="Z60" s="249"/>
      <c r="AA60" s="249"/>
      <c r="AB60" s="249"/>
      <c r="AC60" s="249"/>
      <c r="AD60" s="249"/>
    </row>
    <row r="61" spans="1:30" ht="69.3">
      <c r="A61" s="250" t="s">
        <v>8337</v>
      </c>
      <c r="B61" s="253" t="s">
        <v>29</v>
      </c>
      <c r="C61" s="253" t="s">
        <v>3445</v>
      </c>
      <c r="D61" s="253" t="s">
        <v>8338</v>
      </c>
      <c r="E61" s="258" t="s">
        <v>8339</v>
      </c>
      <c r="F61" s="258" t="s">
        <v>8340</v>
      </c>
      <c r="G61" s="257"/>
      <c r="H61" s="257"/>
      <c r="I61" s="64"/>
      <c r="J61" s="45" t="b">
        <f t="shared" si="0"/>
        <v>0</v>
      </c>
      <c r="K61" s="249"/>
      <c r="L61" s="249"/>
      <c r="M61" s="249"/>
      <c r="N61" s="249"/>
      <c r="O61" s="249"/>
      <c r="P61" s="249"/>
      <c r="Q61" s="249"/>
      <c r="R61" s="249"/>
      <c r="S61" s="249"/>
      <c r="T61" s="249"/>
      <c r="U61" s="249"/>
      <c r="V61" s="249"/>
      <c r="W61" s="249"/>
      <c r="X61" s="249"/>
      <c r="Y61" s="249"/>
      <c r="Z61" s="249"/>
      <c r="AA61" s="249"/>
      <c r="AB61" s="249"/>
      <c r="AC61" s="249"/>
      <c r="AD61" s="249"/>
    </row>
    <row r="62" spans="1:30" ht="150.15">
      <c r="A62" s="250" t="s">
        <v>8341</v>
      </c>
      <c r="B62" s="253" t="s">
        <v>29</v>
      </c>
      <c r="C62" s="253" t="s">
        <v>3445</v>
      </c>
      <c r="D62" s="253" t="s">
        <v>8342</v>
      </c>
      <c r="E62" s="251" t="s">
        <v>8343</v>
      </c>
      <c r="F62" s="258" t="s">
        <v>8344</v>
      </c>
      <c r="G62" s="257"/>
      <c r="H62" s="257"/>
      <c r="I62" s="64"/>
      <c r="J62" s="45" t="b">
        <f t="shared" si="0"/>
        <v>0</v>
      </c>
      <c r="K62" s="249"/>
      <c r="L62" s="249"/>
      <c r="M62" s="249"/>
      <c r="N62" s="249"/>
      <c r="O62" s="249"/>
      <c r="P62" s="249"/>
      <c r="Q62" s="249"/>
      <c r="R62" s="249"/>
      <c r="S62" s="249"/>
      <c r="T62" s="249"/>
      <c r="U62" s="249"/>
      <c r="V62" s="249"/>
      <c r="W62" s="249"/>
      <c r="X62" s="249"/>
      <c r="Y62" s="249"/>
      <c r="Z62" s="249"/>
      <c r="AA62" s="249"/>
      <c r="AB62" s="249"/>
      <c r="AC62" s="249"/>
      <c r="AD62" s="249"/>
    </row>
    <row r="63" spans="1:30" ht="92.4">
      <c r="A63" s="250" t="s">
        <v>8345</v>
      </c>
      <c r="B63" s="253" t="s">
        <v>29</v>
      </c>
      <c r="C63" s="253" t="s">
        <v>8123</v>
      </c>
      <c r="D63" s="253" t="s">
        <v>8346</v>
      </c>
      <c r="E63" s="258" t="s">
        <v>8347</v>
      </c>
      <c r="F63" s="258" t="s">
        <v>8348</v>
      </c>
      <c r="G63" s="257"/>
      <c r="H63" s="257"/>
      <c r="I63" s="64"/>
      <c r="J63" s="45" t="b">
        <f t="shared" si="0"/>
        <v>0</v>
      </c>
      <c r="K63" s="249"/>
      <c r="L63" s="249"/>
      <c r="M63" s="249"/>
      <c r="N63" s="249"/>
      <c r="O63" s="249"/>
      <c r="P63" s="249"/>
      <c r="Q63" s="249"/>
      <c r="R63" s="249"/>
      <c r="S63" s="249"/>
      <c r="T63" s="249"/>
      <c r="U63" s="249"/>
      <c r="V63" s="249"/>
      <c r="W63" s="249"/>
      <c r="X63" s="249"/>
      <c r="Y63" s="249"/>
      <c r="Z63" s="249"/>
      <c r="AA63" s="249"/>
      <c r="AB63" s="249"/>
      <c r="AC63" s="249"/>
      <c r="AD63" s="249"/>
    </row>
    <row r="64" spans="1:30" ht="127.05">
      <c r="A64" s="250" t="s">
        <v>8349</v>
      </c>
      <c r="B64" s="253" t="s">
        <v>29</v>
      </c>
      <c r="C64" s="253" t="s">
        <v>8123</v>
      </c>
      <c r="D64" s="253" t="s">
        <v>8350</v>
      </c>
      <c r="E64" s="253" t="s">
        <v>8351</v>
      </c>
      <c r="F64" s="258" t="s">
        <v>8352</v>
      </c>
      <c r="G64" s="257"/>
      <c r="H64" s="257"/>
      <c r="I64" s="64"/>
      <c r="J64" s="45" t="b">
        <f t="shared" si="0"/>
        <v>0</v>
      </c>
      <c r="K64" s="249"/>
      <c r="L64" s="249"/>
      <c r="M64" s="249"/>
      <c r="N64" s="249"/>
      <c r="O64" s="249"/>
      <c r="P64" s="249"/>
      <c r="Q64" s="249"/>
      <c r="R64" s="249"/>
      <c r="S64" s="249"/>
      <c r="T64" s="249"/>
      <c r="U64" s="249"/>
      <c r="V64" s="249"/>
      <c r="W64" s="249"/>
      <c r="X64" s="249"/>
      <c r="Y64" s="249"/>
      <c r="Z64" s="249"/>
      <c r="AA64" s="249"/>
      <c r="AB64" s="249"/>
      <c r="AC64" s="249"/>
      <c r="AD64" s="249"/>
    </row>
    <row r="65" spans="1:30" ht="92.4">
      <c r="A65" s="250" t="s">
        <v>8353</v>
      </c>
      <c r="B65" s="253" t="s">
        <v>29</v>
      </c>
      <c r="C65" s="253" t="s">
        <v>8123</v>
      </c>
      <c r="D65" s="253" t="s">
        <v>8354</v>
      </c>
      <c r="E65" s="258" t="s">
        <v>8355</v>
      </c>
      <c r="F65" s="258" t="s">
        <v>8356</v>
      </c>
      <c r="G65" s="257"/>
      <c r="H65" s="257"/>
      <c r="I65" s="64"/>
      <c r="J65" s="45" t="b">
        <f t="shared" si="0"/>
        <v>0</v>
      </c>
      <c r="K65" s="249"/>
      <c r="L65" s="249"/>
      <c r="M65" s="249"/>
      <c r="N65" s="249"/>
      <c r="O65" s="249"/>
      <c r="P65" s="249"/>
      <c r="Q65" s="249"/>
      <c r="R65" s="249"/>
      <c r="S65" s="249"/>
      <c r="T65" s="249"/>
      <c r="U65" s="249"/>
      <c r="V65" s="249"/>
      <c r="W65" s="249"/>
      <c r="X65" s="249"/>
      <c r="Y65" s="249"/>
      <c r="Z65" s="249"/>
      <c r="AA65" s="249"/>
      <c r="AB65" s="249"/>
      <c r="AC65" s="249"/>
      <c r="AD65" s="249"/>
    </row>
    <row r="66" spans="1:30" ht="92.4">
      <c r="A66" s="250" t="s">
        <v>8357</v>
      </c>
      <c r="B66" s="253" t="s">
        <v>29</v>
      </c>
      <c r="C66" s="253" t="s">
        <v>8162</v>
      </c>
      <c r="D66" s="253" t="s">
        <v>8358</v>
      </c>
      <c r="E66" s="258" t="s">
        <v>8359</v>
      </c>
      <c r="F66" s="258" t="s">
        <v>8360</v>
      </c>
      <c r="G66" s="257"/>
      <c r="H66" s="257"/>
      <c r="I66" s="64"/>
      <c r="J66" s="45" t="b">
        <f t="shared" si="0"/>
        <v>0</v>
      </c>
      <c r="K66" s="249"/>
      <c r="L66" s="249"/>
      <c r="M66" s="249"/>
      <c r="N66" s="249"/>
      <c r="O66" s="249"/>
      <c r="P66" s="249"/>
      <c r="Q66" s="249"/>
      <c r="R66" s="249"/>
      <c r="S66" s="249"/>
      <c r="T66" s="249"/>
      <c r="U66" s="249"/>
      <c r="V66" s="249"/>
      <c r="W66" s="249"/>
      <c r="X66" s="249"/>
      <c r="Y66" s="249"/>
      <c r="Z66" s="249"/>
      <c r="AA66" s="249"/>
      <c r="AB66" s="249"/>
      <c r="AC66" s="249"/>
      <c r="AD66" s="249"/>
    </row>
    <row r="67" spans="1:30" ht="69.3">
      <c r="A67" s="250" t="s">
        <v>8361</v>
      </c>
      <c r="B67" s="253" t="s">
        <v>29</v>
      </c>
      <c r="C67" s="253" t="s">
        <v>8162</v>
      </c>
      <c r="D67" s="253" t="s">
        <v>8362</v>
      </c>
      <c r="E67" s="258" t="s">
        <v>8363</v>
      </c>
      <c r="F67" s="258" t="s">
        <v>8364</v>
      </c>
      <c r="G67" s="257"/>
      <c r="H67" s="257"/>
      <c r="I67" s="64"/>
      <c r="J67" s="45" t="b">
        <f t="shared" si="0"/>
        <v>0</v>
      </c>
      <c r="K67" s="249"/>
      <c r="L67" s="249"/>
      <c r="M67" s="249"/>
      <c r="N67" s="249"/>
      <c r="O67" s="249"/>
      <c r="P67" s="249"/>
      <c r="Q67" s="249"/>
      <c r="R67" s="249"/>
      <c r="S67" s="249"/>
      <c r="T67" s="249"/>
      <c r="U67" s="249"/>
      <c r="V67" s="249"/>
      <c r="W67" s="249"/>
      <c r="X67" s="249"/>
      <c r="Y67" s="249"/>
      <c r="Z67" s="249"/>
      <c r="AA67" s="249"/>
      <c r="AB67" s="249"/>
      <c r="AC67" s="249"/>
      <c r="AD67" s="249"/>
    </row>
    <row r="68" spans="1:30" ht="57.75">
      <c r="A68" s="250" t="s">
        <v>8365</v>
      </c>
      <c r="B68" s="253" t="s">
        <v>29</v>
      </c>
      <c r="C68" s="253" t="s">
        <v>8128</v>
      </c>
      <c r="D68" s="253" t="s">
        <v>8366</v>
      </c>
      <c r="E68" s="258" t="s">
        <v>8367</v>
      </c>
      <c r="F68" s="258" t="s">
        <v>8368</v>
      </c>
      <c r="G68" s="257"/>
      <c r="H68" s="257"/>
      <c r="I68" s="64"/>
      <c r="J68" s="45" t="b">
        <f t="shared" si="0"/>
        <v>0</v>
      </c>
      <c r="K68" s="249"/>
      <c r="L68" s="249"/>
      <c r="M68" s="249"/>
      <c r="N68" s="249"/>
      <c r="O68" s="249"/>
      <c r="P68" s="249"/>
      <c r="Q68" s="249"/>
      <c r="R68" s="249"/>
      <c r="S68" s="249"/>
      <c r="T68" s="249"/>
      <c r="U68" s="249"/>
      <c r="V68" s="249"/>
      <c r="W68" s="249"/>
      <c r="X68" s="249"/>
      <c r="Y68" s="249"/>
      <c r="Z68" s="249"/>
      <c r="AA68" s="249"/>
      <c r="AB68" s="249"/>
      <c r="AC68" s="249"/>
      <c r="AD68" s="249"/>
    </row>
    <row r="69" spans="1:30" ht="80.849999999999994">
      <c r="A69" s="250" t="s">
        <v>8369</v>
      </c>
      <c r="B69" s="253" t="s">
        <v>29</v>
      </c>
      <c r="C69" s="253" t="s">
        <v>8128</v>
      </c>
      <c r="D69" s="253" t="s">
        <v>8370</v>
      </c>
      <c r="E69" s="258" t="s">
        <v>8371</v>
      </c>
      <c r="F69" s="258" t="s">
        <v>8372</v>
      </c>
      <c r="G69" s="257"/>
      <c r="H69" s="257"/>
      <c r="I69" s="64"/>
      <c r="J69" s="45" t="b">
        <f t="shared" si="0"/>
        <v>0</v>
      </c>
      <c r="K69" s="249"/>
      <c r="L69" s="249"/>
      <c r="M69" s="249"/>
      <c r="N69" s="249"/>
      <c r="O69" s="249"/>
      <c r="P69" s="249"/>
      <c r="Q69" s="249"/>
      <c r="R69" s="249"/>
      <c r="S69" s="249"/>
      <c r="T69" s="249"/>
      <c r="U69" s="249"/>
      <c r="V69" s="249"/>
      <c r="W69" s="249"/>
      <c r="X69" s="249"/>
      <c r="Y69" s="249"/>
      <c r="Z69" s="249"/>
      <c r="AA69" s="249"/>
      <c r="AB69" s="249"/>
      <c r="AC69" s="249"/>
      <c r="AD69" s="249"/>
    </row>
    <row r="70" spans="1:30" ht="150.15">
      <c r="A70" s="250" t="s">
        <v>8373</v>
      </c>
      <c r="B70" s="253" t="s">
        <v>29</v>
      </c>
      <c r="C70" s="253" t="s">
        <v>8128</v>
      </c>
      <c r="D70" s="253" t="s">
        <v>8374</v>
      </c>
      <c r="E70" s="258" t="s">
        <v>8375</v>
      </c>
      <c r="F70" s="258" t="s">
        <v>8376</v>
      </c>
      <c r="G70" s="257"/>
      <c r="H70" s="257"/>
      <c r="I70" s="64"/>
      <c r="J70" s="45" t="b">
        <f t="shared" si="0"/>
        <v>0</v>
      </c>
      <c r="K70" s="249"/>
      <c r="L70" s="249"/>
      <c r="M70" s="249"/>
      <c r="N70" s="249"/>
      <c r="O70" s="249"/>
      <c r="P70" s="249"/>
      <c r="Q70" s="249"/>
      <c r="R70" s="249"/>
      <c r="S70" s="249"/>
      <c r="T70" s="249"/>
      <c r="U70" s="249"/>
      <c r="V70" s="249"/>
      <c r="W70" s="249"/>
      <c r="X70" s="249"/>
      <c r="Y70" s="249"/>
      <c r="Z70" s="249"/>
      <c r="AA70" s="249"/>
      <c r="AB70" s="249"/>
      <c r="AC70" s="249"/>
      <c r="AD70" s="249"/>
    </row>
    <row r="71" spans="1:30" ht="69.3">
      <c r="A71" s="250" t="s">
        <v>8377</v>
      </c>
      <c r="B71" s="253" t="s">
        <v>29</v>
      </c>
      <c r="C71" s="253" t="s">
        <v>8128</v>
      </c>
      <c r="D71" s="253" t="s">
        <v>8378</v>
      </c>
      <c r="E71" s="251" t="s">
        <v>8379</v>
      </c>
      <c r="F71" s="258" t="s">
        <v>8380</v>
      </c>
      <c r="G71" s="257"/>
      <c r="H71" s="257"/>
      <c r="I71" s="64"/>
      <c r="J71" s="45" t="b">
        <f t="shared" si="0"/>
        <v>0</v>
      </c>
      <c r="K71" s="249"/>
      <c r="L71" s="249"/>
      <c r="M71" s="249"/>
      <c r="N71" s="249"/>
      <c r="O71" s="249"/>
      <c r="P71" s="249"/>
      <c r="Q71" s="249"/>
      <c r="R71" s="249"/>
      <c r="S71" s="249"/>
      <c r="T71" s="249"/>
      <c r="U71" s="249"/>
      <c r="V71" s="249"/>
      <c r="W71" s="249"/>
      <c r="X71" s="249"/>
      <c r="Y71" s="249"/>
      <c r="Z71" s="249"/>
      <c r="AA71" s="249"/>
      <c r="AB71" s="249"/>
      <c r="AC71" s="249"/>
      <c r="AD71" s="249"/>
    </row>
    <row r="72" spans="1:30" ht="80.849999999999994">
      <c r="A72" s="250" t="s">
        <v>8381</v>
      </c>
      <c r="B72" s="253" t="s">
        <v>29</v>
      </c>
      <c r="C72" s="253" t="s">
        <v>8162</v>
      </c>
      <c r="D72" s="253" t="s">
        <v>8382</v>
      </c>
      <c r="E72" s="258" t="s">
        <v>8383</v>
      </c>
      <c r="F72" s="258" t="s">
        <v>8384</v>
      </c>
      <c r="G72" s="257"/>
      <c r="H72" s="257"/>
      <c r="I72" s="64"/>
      <c r="J72" s="45" t="b">
        <f t="shared" si="0"/>
        <v>0</v>
      </c>
      <c r="K72" s="249"/>
      <c r="L72" s="249"/>
      <c r="M72" s="249"/>
      <c r="N72" s="249"/>
      <c r="O72" s="249"/>
      <c r="P72" s="249"/>
      <c r="Q72" s="249"/>
      <c r="R72" s="249"/>
      <c r="S72" s="249"/>
      <c r="T72" s="249"/>
      <c r="U72" s="249"/>
      <c r="V72" s="249"/>
      <c r="W72" s="249"/>
      <c r="X72" s="249"/>
      <c r="Y72" s="249"/>
      <c r="Z72" s="249"/>
      <c r="AA72" s="249"/>
      <c r="AB72" s="249"/>
      <c r="AC72" s="249"/>
      <c r="AD72" s="249"/>
    </row>
    <row r="73" spans="1:30" ht="57.75">
      <c r="A73" s="250" t="s">
        <v>8385</v>
      </c>
      <c r="B73" s="253" t="s">
        <v>29</v>
      </c>
      <c r="C73" s="253" t="s">
        <v>8162</v>
      </c>
      <c r="D73" s="253" t="s">
        <v>8386</v>
      </c>
      <c r="E73" s="258" t="s">
        <v>8387</v>
      </c>
      <c r="F73" s="258" t="s">
        <v>8388</v>
      </c>
      <c r="G73" s="257"/>
      <c r="H73" s="257"/>
      <c r="I73" s="64"/>
      <c r="J73" s="45" t="b">
        <f t="shared" si="0"/>
        <v>0</v>
      </c>
      <c r="K73" s="249"/>
      <c r="L73" s="249"/>
      <c r="M73" s="249"/>
      <c r="N73" s="249"/>
      <c r="O73" s="249"/>
      <c r="P73" s="249"/>
      <c r="Q73" s="249"/>
      <c r="R73" s="249"/>
      <c r="S73" s="249"/>
      <c r="T73" s="249"/>
      <c r="U73" s="249"/>
      <c r="V73" s="249"/>
      <c r="W73" s="249"/>
      <c r="X73" s="249"/>
      <c r="Y73" s="249"/>
      <c r="Z73" s="249"/>
      <c r="AA73" s="249"/>
      <c r="AB73" s="249"/>
      <c r="AC73" s="249"/>
      <c r="AD73" s="249"/>
    </row>
    <row r="74" spans="1:30" ht="69.3">
      <c r="A74" s="250" t="s">
        <v>8389</v>
      </c>
      <c r="B74" s="253" t="s">
        <v>29</v>
      </c>
      <c r="C74" s="253" t="s">
        <v>8128</v>
      </c>
      <c r="D74" s="253" t="s">
        <v>8390</v>
      </c>
      <c r="E74" s="253" t="s">
        <v>8391</v>
      </c>
      <c r="F74" s="258" t="s">
        <v>8392</v>
      </c>
      <c r="G74" s="257"/>
      <c r="H74" s="257"/>
      <c r="I74" s="64"/>
      <c r="J74" s="45" t="b">
        <f t="shared" si="0"/>
        <v>0</v>
      </c>
      <c r="K74" s="249"/>
      <c r="L74" s="249"/>
      <c r="M74" s="249"/>
      <c r="N74" s="249"/>
      <c r="O74" s="249"/>
      <c r="P74" s="249"/>
      <c r="Q74" s="249"/>
      <c r="R74" s="249"/>
      <c r="S74" s="249"/>
      <c r="T74" s="249"/>
      <c r="U74" s="249"/>
      <c r="V74" s="249"/>
      <c r="W74" s="249"/>
      <c r="X74" s="249"/>
      <c r="Y74" s="249"/>
      <c r="Z74" s="249"/>
      <c r="AA74" s="249"/>
      <c r="AB74" s="249"/>
      <c r="AC74" s="249"/>
      <c r="AD74" s="249"/>
    </row>
    <row r="75" spans="1:30" ht="127.05">
      <c r="A75" s="250" t="s">
        <v>8393</v>
      </c>
      <c r="B75" s="253" t="s">
        <v>29</v>
      </c>
      <c r="C75" s="253" t="s">
        <v>8128</v>
      </c>
      <c r="D75" s="253" t="s">
        <v>8394</v>
      </c>
      <c r="E75" s="251" t="s">
        <v>8395</v>
      </c>
      <c r="F75" s="258" t="s">
        <v>8396</v>
      </c>
      <c r="G75" s="257"/>
      <c r="H75" s="257"/>
      <c r="I75" s="64"/>
      <c r="J75" s="45" t="b">
        <f t="shared" si="0"/>
        <v>0</v>
      </c>
      <c r="K75" s="249"/>
      <c r="L75" s="249"/>
      <c r="M75" s="249"/>
      <c r="N75" s="249"/>
      <c r="O75" s="249"/>
      <c r="P75" s="249"/>
      <c r="Q75" s="249"/>
      <c r="R75" s="249"/>
      <c r="S75" s="249"/>
      <c r="T75" s="249"/>
      <c r="U75" s="249"/>
      <c r="V75" s="249"/>
      <c r="W75" s="249"/>
      <c r="X75" s="249"/>
      <c r="Y75" s="249"/>
      <c r="Z75" s="249"/>
      <c r="AA75" s="249"/>
      <c r="AB75" s="249"/>
      <c r="AC75" s="249"/>
      <c r="AD75" s="249"/>
    </row>
    <row r="76" spans="1:30" ht="69.3">
      <c r="A76" s="250" t="s">
        <v>8397</v>
      </c>
      <c r="B76" s="253" t="s">
        <v>29</v>
      </c>
      <c r="C76" s="253" t="s">
        <v>3445</v>
      </c>
      <c r="D76" s="253" t="s">
        <v>8398</v>
      </c>
      <c r="E76" s="251" t="s">
        <v>8399</v>
      </c>
      <c r="F76" s="258" t="s">
        <v>8400</v>
      </c>
      <c r="G76" s="257"/>
      <c r="H76" s="257"/>
      <c r="I76" s="64"/>
      <c r="J76" s="45" t="b">
        <f t="shared" si="0"/>
        <v>0</v>
      </c>
      <c r="K76" s="249"/>
      <c r="L76" s="249"/>
      <c r="M76" s="249"/>
      <c r="N76" s="249"/>
      <c r="O76" s="249"/>
      <c r="P76" s="249"/>
      <c r="Q76" s="249"/>
      <c r="R76" s="249"/>
      <c r="S76" s="249"/>
      <c r="T76" s="249"/>
      <c r="U76" s="249"/>
      <c r="V76" s="249"/>
      <c r="W76" s="249"/>
      <c r="X76" s="249"/>
      <c r="Y76" s="249"/>
      <c r="Z76" s="249"/>
      <c r="AA76" s="249"/>
      <c r="AB76" s="249"/>
      <c r="AC76" s="249"/>
      <c r="AD76" s="249"/>
    </row>
    <row r="77" spans="1:30" ht="12.9">
      <c r="A77" s="249"/>
      <c r="B77" s="261"/>
      <c r="C77" s="261"/>
      <c r="D77" s="261"/>
      <c r="E77" s="249"/>
      <c r="F77" s="249"/>
      <c r="G77" s="249"/>
      <c r="H77" s="249"/>
      <c r="I77" s="249"/>
      <c r="J77" s="249"/>
      <c r="K77" s="249"/>
      <c r="L77" s="249"/>
      <c r="M77" s="249"/>
      <c r="N77" s="249"/>
      <c r="O77" s="249"/>
      <c r="P77" s="249"/>
      <c r="Q77" s="249"/>
      <c r="R77" s="249"/>
      <c r="S77" s="249"/>
      <c r="T77" s="249"/>
      <c r="U77" s="249"/>
      <c r="V77" s="249"/>
      <c r="W77" s="249"/>
      <c r="X77" s="249"/>
      <c r="Y77" s="249"/>
      <c r="Z77" s="249"/>
      <c r="AA77" s="249"/>
      <c r="AB77" s="249"/>
      <c r="AC77" s="249"/>
      <c r="AD77" s="249"/>
    </row>
    <row r="78" spans="1:30" ht="15.65">
      <c r="A78" s="249"/>
      <c r="B78" s="261"/>
      <c r="C78" s="249"/>
      <c r="D78" s="249"/>
      <c r="E78" s="249"/>
      <c r="F78" s="249"/>
      <c r="G78" s="249"/>
      <c r="H78" s="249"/>
      <c r="I78" s="249"/>
      <c r="J78" s="125">
        <f>SUM(J2:J76)</f>
        <v>0</v>
      </c>
      <c r="K78" s="249"/>
      <c r="L78" s="249"/>
      <c r="M78" s="249"/>
      <c r="N78" s="249"/>
      <c r="O78" s="249"/>
      <c r="P78" s="249"/>
      <c r="Q78" s="249"/>
      <c r="R78" s="249"/>
      <c r="S78" s="249"/>
      <c r="T78" s="249"/>
      <c r="U78" s="249"/>
      <c r="V78" s="249"/>
      <c r="W78" s="249"/>
      <c r="X78" s="249"/>
      <c r="Y78" s="249"/>
      <c r="Z78" s="249"/>
      <c r="AA78" s="249"/>
      <c r="AB78" s="249"/>
      <c r="AC78" s="249"/>
      <c r="AD78" s="249"/>
    </row>
    <row r="79" spans="1:30" ht="12.9">
      <c r="A79" s="249"/>
      <c r="B79" s="261"/>
      <c r="C79" s="249"/>
      <c r="D79" s="249"/>
      <c r="E79" s="249"/>
      <c r="F79" s="249"/>
      <c r="G79" s="249"/>
      <c r="H79" s="249"/>
      <c r="I79" s="249"/>
      <c r="J79" s="249"/>
      <c r="K79" s="249"/>
      <c r="L79" s="249"/>
      <c r="M79" s="249"/>
      <c r="N79" s="249"/>
      <c r="O79" s="249"/>
      <c r="P79" s="249"/>
      <c r="Q79" s="249"/>
      <c r="R79" s="249"/>
      <c r="S79" s="249"/>
      <c r="T79" s="249"/>
      <c r="U79" s="249"/>
      <c r="V79" s="249"/>
      <c r="W79" s="249"/>
      <c r="X79" s="249"/>
      <c r="Y79" s="249"/>
      <c r="Z79" s="249"/>
      <c r="AA79" s="249"/>
      <c r="AB79" s="249"/>
      <c r="AC79" s="249"/>
      <c r="AD79" s="249"/>
    </row>
    <row r="80" spans="1:30" ht="12.9">
      <c r="A80" s="249"/>
      <c r="B80" s="261"/>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249"/>
    </row>
    <row r="81" spans="1:30" ht="12.9">
      <c r="A81" s="249"/>
      <c r="B81" s="261"/>
      <c r="C81" s="249"/>
      <c r="D81" s="249"/>
      <c r="E81" s="249"/>
      <c r="F81" s="249"/>
      <c r="G81" s="249"/>
      <c r="H81" s="249"/>
      <c r="I81" s="249"/>
      <c r="J81" s="249"/>
      <c r="K81" s="249"/>
      <c r="L81" s="249"/>
      <c r="M81" s="249"/>
      <c r="N81" s="249"/>
      <c r="O81" s="249"/>
      <c r="P81" s="249"/>
      <c r="Q81" s="249"/>
      <c r="R81" s="249"/>
      <c r="S81" s="249"/>
      <c r="T81" s="249"/>
      <c r="U81" s="249"/>
      <c r="V81" s="249"/>
      <c r="W81" s="249"/>
      <c r="X81" s="249"/>
      <c r="Y81" s="249"/>
      <c r="Z81" s="249"/>
      <c r="AA81" s="249"/>
      <c r="AB81" s="249"/>
      <c r="AC81" s="249"/>
      <c r="AD81" s="249"/>
    </row>
    <row r="82" spans="1:30" ht="12.9">
      <c r="A82" s="249"/>
      <c r="B82" s="261"/>
      <c r="C82" s="249"/>
      <c r="D82" s="249"/>
      <c r="E82" s="249"/>
      <c r="F82" s="249"/>
      <c r="G82" s="249"/>
      <c r="H82" s="249"/>
      <c r="I82" s="249"/>
      <c r="J82" s="249"/>
      <c r="K82" s="249"/>
      <c r="L82" s="249"/>
      <c r="M82" s="249"/>
      <c r="N82" s="249"/>
      <c r="O82" s="249"/>
      <c r="P82" s="249"/>
      <c r="Q82" s="249"/>
      <c r="R82" s="249"/>
      <c r="S82" s="249"/>
      <c r="T82" s="249"/>
      <c r="U82" s="249"/>
      <c r="V82" s="249"/>
      <c r="W82" s="249"/>
      <c r="X82" s="249"/>
      <c r="Y82" s="249"/>
      <c r="Z82" s="249"/>
      <c r="AA82" s="249"/>
      <c r="AB82" s="249"/>
      <c r="AC82" s="249"/>
      <c r="AD82" s="249"/>
    </row>
    <row r="83" spans="1:30" ht="12.9">
      <c r="A83" s="249"/>
      <c r="B83" s="261"/>
      <c r="C83" s="249"/>
      <c r="D83" s="249"/>
      <c r="E83" s="249"/>
      <c r="F83" s="249"/>
      <c r="G83" s="249"/>
      <c r="H83" s="249"/>
      <c r="I83" s="249"/>
      <c r="J83" s="249"/>
      <c r="K83" s="249"/>
      <c r="L83" s="249"/>
      <c r="M83" s="249"/>
      <c r="N83" s="249"/>
      <c r="O83" s="249"/>
      <c r="P83" s="249"/>
      <c r="Q83" s="249"/>
      <c r="R83" s="249"/>
      <c r="S83" s="249"/>
      <c r="T83" s="249"/>
      <c r="U83" s="249"/>
      <c r="V83" s="249"/>
      <c r="W83" s="249"/>
      <c r="X83" s="249"/>
      <c r="Y83" s="249"/>
      <c r="Z83" s="249"/>
      <c r="AA83" s="249"/>
      <c r="AB83" s="249"/>
      <c r="AC83" s="249"/>
      <c r="AD83" s="249"/>
    </row>
    <row r="84" spans="1:30" ht="12.9">
      <c r="A84" s="249"/>
      <c r="B84" s="261"/>
      <c r="C84" s="249"/>
      <c r="D84" s="249"/>
      <c r="E84" s="249"/>
      <c r="F84" s="249"/>
      <c r="G84" s="249"/>
      <c r="H84" s="249"/>
      <c r="I84" s="249"/>
      <c r="J84" s="249"/>
      <c r="K84" s="249"/>
      <c r="L84" s="249"/>
      <c r="M84" s="249"/>
      <c r="N84" s="249"/>
      <c r="O84" s="249"/>
      <c r="P84" s="249"/>
      <c r="Q84" s="249"/>
      <c r="R84" s="249"/>
      <c r="S84" s="249"/>
      <c r="T84" s="249"/>
      <c r="U84" s="249"/>
      <c r="V84" s="249"/>
      <c r="W84" s="249"/>
      <c r="X84" s="249"/>
      <c r="Y84" s="249"/>
      <c r="Z84" s="249"/>
      <c r="AA84" s="249"/>
      <c r="AB84" s="249"/>
      <c r="AC84" s="249"/>
      <c r="AD84" s="249"/>
    </row>
    <row r="85" spans="1:30" ht="12.9">
      <c r="A85" s="249"/>
      <c r="B85" s="261"/>
      <c r="C85" s="249"/>
      <c r="D85" s="249"/>
      <c r="E85" s="249"/>
      <c r="F85" s="249"/>
      <c r="G85" s="249"/>
      <c r="H85" s="249"/>
      <c r="I85" s="249"/>
      <c r="J85" s="249"/>
      <c r="K85" s="249"/>
      <c r="L85" s="249"/>
      <c r="M85" s="249"/>
      <c r="N85" s="249"/>
      <c r="O85" s="249"/>
      <c r="P85" s="249"/>
      <c r="Q85" s="249"/>
      <c r="R85" s="249"/>
      <c r="S85" s="249"/>
      <c r="T85" s="249"/>
      <c r="U85" s="249"/>
      <c r="V85" s="249"/>
      <c r="W85" s="249"/>
      <c r="X85" s="249"/>
      <c r="Y85" s="249"/>
      <c r="Z85" s="249"/>
      <c r="AA85" s="249"/>
      <c r="AB85" s="249"/>
      <c r="AC85" s="249"/>
      <c r="AD85" s="249"/>
    </row>
    <row r="86" spans="1:30" ht="12.9">
      <c r="A86" s="249"/>
      <c r="B86" s="261"/>
      <c r="C86" s="249"/>
      <c r="D86" s="249"/>
      <c r="E86" s="249"/>
      <c r="F86" s="249"/>
      <c r="G86" s="249"/>
      <c r="H86" s="249"/>
      <c r="I86" s="249"/>
      <c r="J86" s="249"/>
      <c r="K86" s="249"/>
      <c r="L86" s="249"/>
      <c r="M86" s="249"/>
      <c r="N86" s="249"/>
      <c r="O86" s="249"/>
      <c r="P86" s="249"/>
      <c r="Q86" s="249"/>
      <c r="R86" s="249"/>
      <c r="S86" s="249"/>
      <c r="T86" s="249"/>
      <c r="U86" s="249"/>
      <c r="V86" s="249"/>
      <c r="W86" s="249"/>
      <c r="X86" s="249"/>
      <c r="Y86" s="249"/>
      <c r="Z86" s="249"/>
      <c r="AA86" s="249"/>
      <c r="AB86" s="249"/>
      <c r="AC86" s="249"/>
      <c r="AD86" s="249"/>
    </row>
    <row r="87" spans="1:30" ht="12.9">
      <c r="A87" s="249"/>
      <c r="B87" s="261"/>
      <c r="C87" s="249"/>
      <c r="D87" s="249"/>
      <c r="E87" s="249"/>
      <c r="F87" s="249"/>
      <c r="G87" s="249"/>
      <c r="H87" s="249"/>
      <c r="I87" s="249"/>
      <c r="J87" s="249"/>
      <c r="K87" s="249"/>
      <c r="L87" s="249"/>
      <c r="M87" s="249"/>
      <c r="N87" s="249"/>
      <c r="O87" s="249"/>
      <c r="P87" s="249"/>
      <c r="Q87" s="249"/>
      <c r="R87" s="249"/>
      <c r="S87" s="249"/>
      <c r="T87" s="249"/>
      <c r="U87" s="249"/>
      <c r="V87" s="249"/>
      <c r="W87" s="249"/>
      <c r="X87" s="249"/>
      <c r="Y87" s="249"/>
      <c r="Z87" s="249"/>
      <c r="AA87" s="249"/>
      <c r="AB87" s="249"/>
      <c r="AC87" s="249"/>
      <c r="AD87" s="249"/>
    </row>
    <row r="88" spans="1:30" ht="12.9">
      <c r="A88" s="249"/>
      <c r="B88" s="261"/>
      <c r="C88" s="249"/>
      <c r="D88" s="249"/>
      <c r="E88" s="249"/>
      <c r="F88" s="249"/>
      <c r="G88" s="249"/>
      <c r="H88" s="249"/>
      <c r="I88" s="249"/>
      <c r="J88" s="249"/>
      <c r="K88" s="249"/>
      <c r="L88" s="249"/>
      <c r="M88" s="249"/>
      <c r="N88" s="249"/>
      <c r="O88" s="249"/>
      <c r="P88" s="249"/>
      <c r="Q88" s="249"/>
      <c r="R88" s="249"/>
      <c r="S88" s="249"/>
      <c r="T88" s="249"/>
      <c r="U88" s="249"/>
      <c r="V88" s="249"/>
      <c r="W88" s="249"/>
      <c r="X88" s="249"/>
      <c r="Y88" s="249"/>
      <c r="Z88" s="249"/>
      <c r="AA88" s="249"/>
      <c r="AB88" s="249"/>
      <c r="AC88" s="249"/>
      <c r="AD88" s="249"/>
    </row>
    <row r="89" spans="1:30" ht="12.9">
      <c r="A89" s="249"/>
      <c r="B89" s="261"/>
      <c r="C89" s="249"/>
      <c r="D89" s="249"/>
      <c r="E89" s="249"/>
      <c r="F89" s="249"/>
      <c r="G89" s="249"/>
      <c r="H89" s="249"/>
      <c r="I89" s="249"/>
      <c r="J89" s="249"/>
      <c r="K89" s="249"/>
      <c r="L89" s="249"/>
      <c r="M89" s="249"/>
      <c r="N89" s="249"/>
      <c r="O89" s="249"/>
      <c r="P89" s="249"/>
      <c r="Q89" s="249"/>
      <c r="R89" s="249"/>
      <c r="S89" s="249"/>
      <c r="T89" s="249"/>
      <c r="U89" s="249"/>
      <c r="V89" s="249"/>
      <c r="W89" s="249"/>
      <c r="X89" s="249"/>
      <c r="Y89" s="249"/>
      <c r="Z89" s="249"/>
      <c r="AA89" s="249"/>
      <c r="AB89" s="249"/>
      <c r="AC89" s="249"/>
      <c r="AD89" s="249"/>
    </row>
    <row r="90" spans="1:30" ht="12.9">
      <c r="A90" s="249"/>
      <c r="B90" s="261"/>
      <c r="C90" s="249"/>
      <c r="D90" s="249"/>
      <c r="E90" s="249"/>
      <c r="F90" s="249"/>
      <c r="G90" s="249"/>
      <c r="H90" s="249"/>
      <c r="I90" s="249"/>
      <c r="J90" s="249"/>
      <c r="K90" s="249"/>
      <c r="L90" s="249"/>
      <c r="M90" s="249"/>
      <c r="N90" s="249"/>
      <c r="O90" s="249"/>
      <c r="P90" s="249"/>
      <c r="Q90" s="249"/>
      <c r="R90" s="249"/>
      <c r="S90" s="249"/>
      <c r="T90" s="249"/>
      <c r="U90" s="249"/>
      <c r="V90" s="249"/>
      <c r="W90" s="249"/>
      <c r="X90" s="249"/>
      <c r="Y90" s="249"/>
      <c r="Z90" s="249"/>
      <c r="AA90" s="249"/>
      <c r="AB90" s="249"/>
      <c r="AC90" s="249"/>
      <c r="AD90" s="249"/>
    </row>
    <row r="91" spans="1:30" ht="12.9">
      <c r="A91" s="249"/>
      <c r="B91" s="261"/>
      <c r="C91" s="249"/>
      <c r="D91" s="249"/>
      <c r="E91" s="249"/>
      <c r="F91" s="249"/>
      <c r="G91" s="249"/>
      <c r="H91" s="249"/>
      <c r="I91" s="249"/>
      <c r="J91" s="249"/>
      <c r="K91" s="249"/>
      <c r="L91" s="249"/>
      <c r="M91" s="249"/>
      <c r="N91" s="249"/>
      <c r="O91" s="249"/>
      <c r="P91" s="249"/>
      <c r="Q91" s="249"/>
      <c r="R91" s="249"/>
      <c r="S91" s="249"/>
      <c r="T91" s="249"/>
      <c r="U91" s="249"/>
      <c r="V91" s="249"/>
      <c r="W91" s="249"/>
      <c r="X91" s="249"/>
      <c r="Y91" s="249"/>
      <c r="Z91" s="249"/>
      <c r="AA91" s="249"/>
      <c r="AB91" s="249"/>
      <c r="AC91" s="249"/>
      <c r="AD91" s="249"/>
    </row>
    <row r="92" spans="1:30" ht="12.9">
      <c r="A92" s="249"/>
      <c r="B92" s="261"/>
      <c r="C92" s="249"/>
      <c r="D92" s="249"/>
      <c r="E92" s="249"/>
      <c r="F92" s="249"/>
      <c r="G92" s="249"/>
      <c r="H92" s="249"/>
      <c r="I92" s="249"/>
      <c r="J92" s="249"/>
      <c r="K92" s="249"/>
      <c r="L92" s="249"/>
      <c r="M92" s="249"/>
      <c r="N92" s="249"/>
      <c r="O92" s="249"/>
      <c r="P92" s="249"/>
      <c r="Q92" s="249"/>
      <c r="R92" s="249"/>
      <c r="S92" s="249"/>
      <c r="T92" s="249"/>
      <c r="U92" s="249"/>
      <c r="V92" s="249"/>
      <c r="W92" s="249"/>
      <c r="X92" s="249"/>
      <c r="Y92" s="249"/>
      <c r="Z92" s="249"/>
      <c r="AA92" s="249"/>
      <c r="AB92" s="249"/>
      <c r="AC92" s="249"/>
      <c r="AD92" s="249"/>
    </row>
    <row r="93" spans="1:30" ht="12.9">
      <c r="A93" s="249"/>
      <c r="B93" s="261"/>
      <c r="C93" s="249"/>
      <c r="D93" s="249"/>
      <c r="E93" s="249"/>
      <c r="F93" s="249"/>
      <c r="G93" s="249"/>
      <c r="H93" s="249"/>
      <c r="I93" s="249"/>
      <c r="J93" s="249"/>
      <c r="K93" s="249"/>
      <c r="L93" s="249"/>
      <c r="M93" s="249"/>
      <c r="N93" s="249"/>
      <c r="O93" s="249"/>
      <c r="P93" s="249"/>
      <c r="Q93" s="249"/>
      <c r="R93" s="249"/>
      <c r="S93" s="249"/>
      <c r="T93" s="249"/>
      <c r="U93" s="249"/>
      <c r="V93" s="249"/>
      <c r="W93" s="249"/>
      <c r="X93" s="249"/>
      <c r="Y93" s="249"/>
      <c r="Z93" s="249"/>
      <c r="AA93" s="249"/>
      <c r="AB93" s="249"/>
      <c r="AC93" s="249"/>
      <c r="AD93" s="249"/>
    </row>
    <row r="94" spans="1:30" ht="12.9">
      <c r="A94" s="249"/>
      <c r="B94" s="261"/>
      <c r="C94" s="249"/>
      <c r="D94" s="249"/>
      <c r="E94" s="249"/>
      <c r="F94" s="249"/>
      <c r="G94" s="249"/>
      <c r="H94" s="249"/>
      <c r="I94" s="249"/>
      <c r="J94" s="249"/>
      <c r="K94" s="249"/>
      <c r="L94" s="249"/>
      <c r="M94" s="249"/>
      <c r="N94" s="249"/>
      <c r="O94" s="249"/>
      <c r="P94" s="249"/>
      <c r="Q94" s="249"/>
      <c r="R94" s="249"/>
      <c r="S94" s="249"/>
      <c r="T94" s="249"/>
      <c r="U94" s="249"/>
      <c r="V94" s="249"/>
      <c r="W94" s="249"/>
      <c r="X94" s="249"/>
      <c r="Y94" s="249"/>
      <c r="Z94" s="249"/>
      <c r="AA94" s="249"/>
      <c r="AB94" s="249"/>
      <c r="AC94" s="249"/>
      <c r="AD94" s="249"/>
    </row>
    <row r="95" spans="1:30" ht="12.9">
      <c r="A95" s="249"/>
      <c r="B95" s="261"/>
      <c r="C95" s="249"/>
      <c r="D95" s="249"/>
      <c r="E95" s="249"/>
      <c r="F95" s="249"/>
      <c r="G95" s="249"/>
      <c r="H95" s="249"/>
      <c r="I95" s="249"/>
      <c r="J95" s="249"/>
      <c r="K95" s="249"/>
      <c r="L95" s="249"/>
      <c r="M95" s="249"/>
      <c r="N95" s="249"/>
      <c r="O95" s="249"/>
      <c r="P95" s="249"/>
      <c r="Q95" s="249"/>
      <c r="R95" s="249"/>
      <c r="S95" s="249"/>
      <c r="T95" s="249"/>
      <c r="U95" s="249"/>
      <c r="V95" s="249"/>
      <c r="W95" s="249"/>
      <c r="X95" s="249"/>
      <c r="Y95" s="249"/>
      <c r="Z95" s="249"/>
      <c r="AA95" s="249"/>
      <c r="AB95" s="249"/>
      <c r="AC95" s="249"/>
      <c r="AD95" s="249"/>
    </row>
    <row r="96" spans="1:30" ht="12.9">
      <c r="A96" s="249"/>
      <c r="B96" s="261"/>
      <c r="C96" s="249"/>
      <c r="D96" s="249"/>
      <c r="E96" s="249"/>
      <c r="F96" s="249"/>
      <c r="G96" s="249"/>
      <c r="H96" s="249"/>
      <c r="I96" s="249"/>
      <c r="J96" s="249"/>
      <c r="K96" s="249"/>
      <c r="L96" s="249"/>
      <c r="M96" s="249"/>
      <c r="N96" s="249"/>
      <c r="O96" s="249"/>
      <c r="P96" s="249"/>
      <c r="Q96" s="249"/>
      <c r="R96" s="249"/>
      <c r="S96" s="249"/>
      <c r="T96" s="249"/>
      <c r="U96" s="249"/>
      <c r="V96" s="249"/>
      <c r="W96" s="249"/>
      <c r="X96" s="249"/>
      <c r="Y96" s="249"/>
      <c r="Z96" s="249"/>
      <c r="AA96" s="249"/>
      <c r="AB96" s="249"/>
      <c r="AC96" s="249"/>
      <c r="AD96" s="249"/>
    </row>
    <row r="97" spans="1:30" ht="12.9">
      <c r="A97" s="249"/>
      <c r="B97" s="261"/>
      <c r="C97" s="249"/>
      <c r="D97" s="249"/>
      <c r="E97" s="249"/>
      <c r="F97" s="249"/>
      <c r="G97" s="249"/>
      <c r="H97" s="249"/>
      <c r="I97" s="249"/>
      <c r="J97" s="249"/>
      <c r="K97" s="249"/>
      <c r="L97" s="249"/>
      <c r="M97" s="249"/>
      <c r="N97" s="249"/>
      <c r="O97" s="249"/>
      <c r="P97" s="249"/>
      <c r="Q97" s="249"/>
      <c r="R97" s="249"/>
      <c r="S97" s="249"/>
      <c r="T97" s="249"/>
      <c r="U97" s="249"/>
      <c r="V97" s="249"/>
      <c r="W97" s="249"/>
      <c r="X97" s="249"/>
      <c r="Y97" s="249"/>
      <c r="Z97" s="249"/>
      <c r="AA97" s="249"/>
      <c r="AB97" s="249"/>
      <c r="AC97" s="249"/>
      <c r="AD97" s="249"/>
    </row>
    <row r="98" spans="1:30" ht="12.9">
      <c r="A98" s="249"/>
      <c r="B98" s="261"/>
      <c r="C98" s="249"/>
      <c r="D98" s="249"/>
      <c r="E98" s="249"/>
      <c r="F98" s="249"/>
      <c r="G98" s="249"/>
      <c r="H98" s="249"/>
      <c r="I98" s="249"/>
      <c r="J98" s="249"/>
      <c r="K98" s="249"/>
      <c r="L98" s="249"/>
      <c r="M98" s="249"/>
      <c r="N98" s="249"/>
      <c r="O98" s="249"/>
      <c r="P98" s="249"/>
      <c r="Q98" s="249"/>
      <c r="R98" s="249"/>
      <c r="S98" s="249"/>
      <c r="T98" s="249"/>
      <c r="U98" s="249"/>
      <c r="V98" s="249"/>
      <c r="W98" s="249"/>
      <c r="X98" s="249"/>
      <c r="Y98" s="249"/>
      <c r="Z98" s="249"/>
      <c r="AA98" s="249"/>
      <c r="AB98" s="249"/>
      <c r="AC98" s="249"/>
      <c r="AD98" s="249"/>
    </row>
    <row r="99" spans="1:30" ht="12.9">
      <c r="A99" s="249"/>
      <c r="B99" s="261"/>
      <c r="C99" s="249"/>
      <c r="D99" s="249"/>
      <c r="E99" s="249"/>
      <c r="F99" s="249"/>
      <c r="G99" s="249"/>
      <c r="H99" s="249"/>
      <c r="I99" s="249"/>
      <c r="J99" s="249"/>
      <c r="K99" s="249"/>
      <c r="L99" s="249"/>
      <c r="M99" s="249"/>
      <c r="N99" s="249"/>
      <c r="O99" s="249"/>
      <c r="P99" s="249"/>
      <c r="Q99" s="249"/>
      <c r="R99" s="249"/>
      <c r="S99" s="249"/>
      <c r="T99" s="249"/>
      <c r="U99" s="249"/>
      <c r="V99" s="249"/>
      <c r="W99" s="249"/>
      <c r="X99" s="249"/>
      <c r="Y99" s="249"/>
      <c r="Z99" s="249"/>
      <c r="AA99" s="249"/>
      <c r="AB99" s="249"/>
      <c r="AC99" s="249"/>
      <c r="AD99" s="249"/>
    </row>
    <row r="100" spans="1:30" ht="12.9">
      <c r="A100" s="249"/>
      <c r="B100" s="261"/>
      <c r="C100" s="249"/>
      <c r="D100" s="249"/>
      <c r="E100" s="249"/>
      <c r="F100" s="249"/>
      <c r="G100" s="249"/>
      <c r="H100" s="249"/>
      <c r="I100" s="249"/>
      <c r="J100" s="249"/>
      <c r="K100" s="249"/>
      <c r="L100" s="249"/>
      <c r="M100" s="249"/>
      <c r="N100" s="249"/>
      <c r="O100" s="249"/>
      <c r="P100" s="249"/>
      <c r="Q100" s="249"/>
      <c r="R100" s="249"/>
      <c r="S100" s="249"/>
      <c r="T100" s="249"/>
      <c r="U100" s="249"/>
      <c r="V100" s="249"/>
      <c r="W100" s="249"/>
      <c r="X100" s="249"/>
      <c r="Y100" s="249"/>
      <c r="Z100" s="249"/>
      <c r="AA100" s="249"/>
      <c r="AB100" s="249"/>
      <c r="AC100" s="249"/>
      <c r="AD100" s="249"/>
    </row>
    <row r="101" spans="1:30" ht="12.9">
      <c r="A101" s="249"/>
      <c r="B101" s="261"/>
      <c r="C101" s="249"/>
      <c r="D101" s="249"/>
      <c r="E101" s="249"/>
      <c r="F101" s="249"/>
      <c r="G101" s="249"/>
      <c r="H101" s="249"/>
      <c r="I101" s="249"/>
      <c r="J101" s="249"/>
      <c r="K101" s="249"/>
      <c r="L101" s="249"/>
      <c r="M101" s="249"/>
      <c r="N101" s="249"/>
      <c r="O101" s="249"/>
      <c r="P101" s="249"/>
      <c r="Q101" s="249"/>
      <c r="R101" s="249"/>
      <c r="S101" s="249"/>
      <c r="T101" s="249"/>
      <c r="U101" s="249"/>
      <c r="V101" s="249"/>
      <c r="W101" s="249"/>
      <c r="X101" s="249"/>
      <c r="Y101" s="249"/>
      <c r="Z101" s="249"/>
      <c r="AA101" s="249"/>
      <c r="AB101" s="249"/>
      <c r="AC101" s="249"/>
      <c r="AD101" s="249"/>
    </row>
    <row r="102" spans="1:30" ht="12.9">
      <c r="A102" s="249"/>
      <c r="B102" s="261"/>
      <c r="C102" s="249"/>
      <c r="D102" s="249"/>
      <c r="E102" s="249"/>
      <c r="F102" s="249"/>
      <c r="G102" s="249"/>
      <c r="H102" s="249"/>
      <c r="I102" s="249"/>
      <c r="J102" s="249"/>
      <c r="K102" s="249"/>
      <c r="L102" s="249"/>
      <c r="M102" s="249"/>
      <c r="N102" s="249"/>
      <c r="O102" s="249"/>
      <c r="P102" s="249"/>
      <c r="Q102" s="249"/>
      <c r="R102" s="249"/>
      <c r="S102" s="249"/>
      <c r="T102" s="249"/>
      <c r="U102" s="249"/>
      <c r="V102" s="249"/>
      <c r="W102" s="249"/>
      <c r="X102" s="249"/>
      <c r="Y102" s="249"/>
      <c r="Z102" s="249"/>
      <c r="AA102" s="249"/>
      <c r="AB102" s="249"/>
      <c r="AC102" s="249"/>
      <c r="AD102" s="249"/>
    </row>
    <row r="103" spans="1:30" ht="12.9">
      <c r="A103" s="249"/>
      <c r="B103" s="261"/>
      <c r="C103" s="249"/>
      <c r="D103" s="249"/>
      <c r="E103" s="249"/>
      <c r="F103" s="249"/>
      <c r="G103" s="249"/>
      <c r="H103" s="249"/>
      <c r="I103" s="249"/>
      <c r="J103" s="249"/>
      <c r="K103" s="249"/>
      <c r="L103" s="249"/>
      <c r="M103" s="249"/>
      <c r="N103" s="249"/>
      <c r="O103" s="249"/>
      <c r="P103" s="249"/>
      <c r="Q103" s="249"/>
      <c r="R103" s="249"/>
      <c r="S103" s="249"/>
      <c r="T103" s="249"/>
      <c r="U103" s="249"/>
      <c r="V103" s="249"/>
      <c r="W103" s="249"/>
      <c r="X103" s="249"/>
      <c r="Y103" s="249"/>
      <c r="Z103" s="249"/>
      <c r="AA103" s="249"/>
      <c r="AB103" s="249"/>
      <c r="AC103" s="249"/>
      <c r="AD103" s="249"/>
    </row>
    <row r="104" spans="1:30" ht="12.9">
      <c r="A104" s="249"/>
      <c r="B104" s="261"/>
      <c r="C104" s="249"/>
      <c r="D104" s="249"/>
      <c r="E104" s="249"/>
      <c r="F104" s="249"/>
      <c r="G104" s="249"/>
      <c r="H104" s="249"/>
      <c r="I104" s="249"/>
      <c r="J104" s="249"/>
      <c r="K104" s="249"/>
      <c r="L104" s="249"/>
      <c r="M104" s="249"/>
      <c r="N104" s="249"/>
      <c r="O104" s="249"/>
      <c r="P104" s="249"/>
      <c r="Q104" s="249"/>
      <c r="R104" s="249"/>
      <c r="S104" s="249"/>
      <c r="T104" s="249"/>
      <c r="U104" s="249"/>
      <c r="V104" s="249"/>
      <c r="W104" s="249"/>
      <c r="X104" s="249"/>
      <c r="Y104" s="249"/>
      <c r="Z104" s="249"/>
      <c r="AA104" s="249"/>
      <c r="AB104" s="249"/>
      <c r="AC104" s="249"/>
      <c r="AD104" s="249"/>
    </row>
    <row r="105" spans="1:30" ht="12.9">
      <c r="A105" s="249"/>
      <c r="B105" s="261"/>
      <c r="C105" s="249"/>
      <c r="D105" s="249"/>
      <c r="E105" s="249"/>
      <c r="F105" s="249"/>
      <c r="G105" s="249"/>
      <c r="H105" s="249"/>
      <c r="I105" s="249"/>
      <c r="J105" s="249"/>
      <c r="K105" s="249"/>
      <c r="L105" s="249"/>
      <c r="M105" s="249"/>
      <c r="N105" s="249"/>
      <c r="O105" s="249"/>
      <c r="P105" s="249"/>
      <c r="Q105" s="249"/>
      <c r="R105" s="249"/>
      <c r="S105" s="249"/>
      <c r="T105" s="249"/>
      <c r="U105" s="249"/>
      <c r="V105" s="249"/>
      <c r="W105" s="249"/>
      <c r="X105" s="249"/>
      <c r="Y105" s="249"/>
      <c r="Z105" s="249"/>
      <c r="AA105" s="249"/>
      <c r="AB105" s="249"/>
      <c r="AC105" s="249"/>
      <c r="AD105" s="249"/>
    </row>
    <row r="106" spans="1:30" ht="12.9">
      <c r="A106" s="249"/>
      <c r="B106" s="261"/>
      <c r="C106" s="249"/>
      <c r="D106" s="249"/>
      <c r="E106" s="249"/>
      <c r="F106" s="249"/>
      <c r="G106" s="249"/>
      <c r="H106" s="249"/>
      <c r="I106" s="249"/>
      <c r="J106" s="249"/>
      <c r="K106" s="249"/>
      <c r="L106" s="249"/>
      <c r="M106" s="249"/>
      <c r="N106" s="249"/>
      <c r="O106" s="249"/>
      <c r="P106" s="249"/>
      <c r="Q106" s="249"/>
      <c r="R106" s="249"/>
      <c r="S106" s="249"/>
      <c r="T106" s="249"/>
      <c r="U106" s="249"/>
      <c r="V106" s="249"/>
      <c r="W106" s="249"/>
      <c r="X106" s="249"/>
      <c r="Y106" s="249"/>
      <c r="Z106" s="249"/>
      <c r="AA106" s="249"/>
      <c r="AB106" s="249"/>
      <c r="AC106" s="249"/>
      <c r="AD106" s="249"/>
    </row>
    <row r="107" spans="1:30" ht="12.9">
      <c r="A107" s="249"/>
      <c r="B107" s="261"/>
      <c r="C107" s="249"/>
      <c r="D107" s="249"/>
      <c r="E107" s="249"/>
      <c r="F107" s="249"/>
      <c r="G107" s="249"/>
      <c r="H107" s="249"/>
      <c r="I107" s="249"/>
      <c r="J107" s="249"/>
      <c r="K107" s="249"/>
      <c r="L107" s="249"/>
      <c r="M107" s="249"/>
      <c r="N107" s="249"/>
      <c r="O107" s="249"/>
      <c r="P107" s="249"/>
      <c r="Q107" s="249"/>
      <c r="R107" s="249"/>
      <c r="S107" s="249"/>
      <c r="T107" s="249"/>
      <c r="U107" s="249"/>
      <c r="V107" s="249"/>
      <c r="W107" s="249"/>
      <c r="X107" s="249"/>
      <c r="Y107" s="249"/>
      <c r="Z107" s="249"/>
      <c r="AA107" s="249"/>
      <c r="AB107" s="249"/>
      <c r="AC107" s="249"/>
      <c r="AD107" s="249"/>
    </row>
    <row r="108" spans="1:30" ht="12.9">
      <c r="A108" s="249"/>
      <c r="B108" s="261"/>
      <c r="C108" s="249"/>
      <c r="D108" s="249"/>
      <c r="E108" s="249"/>
      <c r="F108" s="249"/>
      <c r="G108" s="249"/>
      <c r="H108" s="249"/>
      <c r="I108" s="249"/>
      <c r="J108" s="249"/>
      <c r="K108" s="249"/>
      <c r="L108" s="249"/>
      <c r="M108" s="249"/>
      <c r="N108" s="249"/>
      <c r="O108" s="249"/>
      <c r="P108" s="249"/>
      <c r="Q108" s="249"/>
      <c r="R108" s="249"/>
      <c r="S108" s="249"/>
      <c r="T108" s="249"/>
      <c r="U108" s="249"/>
      <c r="V108" s="249"/>
      <c r="W108" s="249"/>
      <c r="X108" s="249"/>
      <c r="Y108" s="249"/>
      <c r="Z108" s="249"/>
      <c r="AA108" s="249"/>
      <c r="AB108" s="249"/>
      <c r="AC108" s="249"/>
      <c r="AD108" s="249"/>
    </row>
    <row r="109" spans="1:30" ht="12.9">
      <c r="A109" s="249"/>
      <c r="B109" s="261"/>
      <c r="C109" s="249"/>
      <c r="D109" s="249"/>
      <c r="E109" s="249"/>
      <c r="F109" s="249"/>
      <c r="G109" s="249"/>
      <c r="H109" s="249"/>
      <c r="I109" s="249"/>
      <c r="J109" s="249"/>
      <c r="K109" s="249"/>
      <c r="L109" s="249"/>
      <c r="M109" s="249"/>
      <c r="N109" s="249"/>
      <c r="O109" s="249"/>
      <c r="P109" s="249"/>
      <c r="Q109" s="249"/>
      <c r="R109" s="249"/>
      <c r="S109" s="249"/>
      <c r="T109" s="249"/>
      <c r="U109" s="249"/>
      <c r="V109" s="249"/>
      <c r="W109" s="249"/>
      <c r="X109" s="249"/>
      <c r="Y109" s="249"/>
      <c r="Z109" s="249"/>
      <c r="AA109" s="249"/>
      <c r="AB109" s="249"/>
      <c r="AC109" s="249"/>
      <c r="AD109" s="249"/>
    </row>
    <row r="110" spans="1:30" ht="12.9">
      <c r="A110" s="249"/>
      <c r="B110" s="261"/>
      <c r="C110" s="249"/>
      <c r="D110" s="249"/>
      <c r="E110" s="249"/>
      <c r="F110" s="249"/>
      <c r="G110" s="249"/>
      <c r="H110" s="249"/>
      <c r="I110" s="249"/>
      <c r="J110" s="249"/>
      <c r="K110" s="249"/>
      <c r="L110" s="249"/>
      <c r="M110" s="249"/>
      <c r="N110" s="249"/>
      <c r="O110" s="249"/>
      <c r="P110" s="249"/>
      <c r="Q110" s="249"/>
      <c r="R110" s="249"/>
      <c r="S110" s="249"/>
      <c r="T110" s="249"/>
      <c r="U110" s="249"/>
      <c r="V110" s="249"/>
      <c r="W110" s="249"/>
      <c r="X110" s="249"/>
      <c r="Y110" s="249"/>
      <c r="Z110" s="249"/>
      <c r="AA110" s="249"/>
      <c r="AB110" s="249"/>
      <c r="AC110" s="249"/>
      <c r="AD110" s="249"/>
    </row>
    <row r="111" spans="1:30" ht="12.9">
      <c r="A111" s="249"/>
      <c r="B111" s="261"/>
      <c r="C111" s="249"/>
      <c r="D111" s="249"/>
      <c r="E111" s="249"/>
      <c r="F111" s="249"/>
      <c r="G111" s="249"/>
      <c r="H111" s="249"/>
      <c r="I111" s="249"/>
      <c r="J111" s="249"/>
      <c r="K111" s="249"/>
      <c r="L111" s="249"/>
      <c r="M111" s="249"/>
      <c r="N111" s="249"/>
      <c r="O111" s="249"/>
      <c r="P111" s="249"/>
      <c r="Q111" s="249"/>
      <c r="R111" s="249"/>
      <c r="S111" s="249"/>
      <c r="T111" s="249"/>
      <c r="U111" s="249"/>
      <c r="V111" s="249"/>
      <c r="W111" s="249"/>
      <c r="X111" s="249"/>
      <c r="Y111" s="249"/>
      <c r="Z111" s="249"/>
      <c r="AA111" s="249"/>
      <c r="AB111" s="249"/>
      <c r="AC111" s="249"/>
      <c r="AD111" s="249"/>
    </row>
    <row r="112" spans="1:30" ht="12.9">
      <c r="A112" s="249"/>
      <c r="B112" s="261"/>
      <c r="C112" s="249"/>
      <c r="D112" s="249"/>
      <c r="E112" s="249"/>
      <c r="F112" s="249"/>
      <c r="G112" s="249"/>
      <c r="H112" s="249"/>
      <c r="I112" s="249"/>
      <c r="J112" s="249"/>
      <c r="K112" s="249"/>
      <c r="L112" s="249"/>
      <c r="M112" s="249"/>
      <c r="N112" s="249"/>
      <c r="O112" s="249"/>
      <c r="P112" s="249"/>
      <c r="Q112" s="249"/>
      <c r="R112" s="249"/>
      <c r="S112" s="249"/>
      <c r="T112" s="249"/>
      <c r="U112" s="249"/>
      <c r="V112" s="249"/>
      <c r="W112" s="249"/>
      <c r="X112" s="249"/>
      <c r="Y112" s="249"/>
      <c r="Z112" s="249"/>
      <c r="AA112" s="249"/>
      <c r="AB112" s="249"/>
      <c r="AC112" s="249"/>
      <c r="AD112" s="249"/>
    </row>
    <row r="113" spans="1:30" ht="12.9">
      <c r="A113" s="249"/>
      <c r="B113" s="261"/>
      <c r="C113" s="249"/>
      <c r="D113" s="249"/>
      <c r="E113" s="249"/>
      <c r="F113" s="249"/>
      <c r="G113" s="249"/>
      <c r="H113" s="249"/>
      <c r="I113" s="249"/>
      <c r="J113" s="249"/>
      <c r="K113" s="249"/>
      <c r="L113" s="249"/>
      <c r="M113" s="249"/>
      <c r="N113" s="249"/>
      <c r="O113" s="249"/>
      <c r="P113" s="249"/>
      <c r="Q113" s="249"/>
      <c r="R113" s="249"/>
      <c r="S113" s="249"/>
      <c r="T113" s="249"/>
      <c r="U113" s="249"/>
      <c r="V113" s="249"/>
      <c r="W113" s="249"/>
      <c r="X113" s="249"/>
      <c r="Y113" s="249"/>
      <c r="Z113" s="249"/>
      <c r="AA113" s="249"/>
      <c r="AB113" s="249"/>
      <c r="AC113" s="249"/>
      <c r="AD113" s="249"/>
    </row>
    <row r="114" spans="1:30" ht="12.9">
      <c r="A114" s="249"/>
      <c r="B114" s="261"/>
      <c r="C114" s="249"/>
      <c r="D114" s="249"/>
      <c r="E114" s="249"/>
      <c r="F114" s="249"/>
      <c r="G114" s="249"/>
      <c r="H114" s="249"/>
      <c r="I114" s="249"/>
      <c r="J114" s="249"/>
      <c r="K114" s="249"/>
      <c r="L114" s="249"/>
      <c r="M114" s="249"/>
      <c r="N114" s="249"/>
      <c r="O114" s="249"/>
      <c r="P114" s="249"/>
      <c r="Q114" s="249"/>
      <c r="R114" s="249"/>
      <c r="S114" s="249"/>
      <c r="T114" s="249"/>
      <c r="U114" s="249"/>
      <c r="V114" s="249"/>
      <c r="W114" s="249"/>
      <c r="X114" s="249"/>
      <c r="Y114" s="249"/>
      <c r="Z114" s="249"/>
      <c r="AA114" s="249"/>
      <c r="AB114" s="249"/>
      <c r="AC114" s="249"/>
      <c r="AD114" s="249"/>
    </row>
    <row r="115" spans="1:30" ht="12.9">
      <c r="A115" s="249"/>
      <c r="B115" s="261"/>
      <c r="C115" s="249"/>
      <c r="D115" s="249"/>
      <c r="E115" s="249"/>
      <c r="F115" s="249"/>
      <c r="G115" s="249"/>
      <c r="H115" s="249"/>
      <c r="I115" s="249"/>
      <c r="J115" s="249"/>
      <c r="K115" s="249"/>
      <c r="L115" s="249"/>
      <c r="M115" s="249"/>
      <c r="N115" s="249"/>
      <c r="O115" s="249"/>
      <c r="P115" s="249"/>
      <c r="Q115" s="249"/>
      <c r="R115" s="249"/>
      <c r="S115" s="249"/>
      <c r="T115" s="249"/>
      <c r="U115" s="249"/>
      <c r="V115" s="249"/>
      <c r="W115" s="249"/>
      <c r="X115" s="249"/>
      <c r="Y115" s="249"/>
      <c r="Z115" s="249"/>
      <c r="AA115" s="249"/>
      <c r="AB115" s="249"/>
      <c r="AC115" s="249"/>
      <c r="AD115" s="249"/>
    </row>
    <row r="116" spans="1:30" ht="12.9">
      <c r="A116" s="249"/>
      <c r="B116" s="261"/>
      <c r="C116" s="249"/>
      <c r="D116" s="249"/>
      <c r="E116" s="249"/>
      <c r="F116" s="249"/>
      <c r="G116" s="249"/>
      <c r="H116" s="249"/>
      <c r="I116" s="249"/>
      <c r="J116" s="249"/>
      <c r="K116" s="249"/>
      <c r="L116" s="249"/>
      <c r="M116" s="249"/>
      <c r="N116" s="249"/>
      <c r="O116" s="249"/>
      <c r="P116" s="249"/>
      <c r="Q116" s="249"/>
      <c r="R116" s="249"/>
      <c r="S116" s="249"/>
      <c r="T116" s="249"/>
      <c r="U116" s="249"/>
      <c r="V116" s="249"/>
      <c r="W116" s="249"/>
      <c r="X116" s="249"/>
      <c r="Y116" s="249"/>
      <c r="Z116" s="249"/>
      <c r="AA116" s="249"/>
      <c r="AB116" s="249"/>
      <c r="AC116" s="249"/>
      <c r="AD116" s="249"/>
    </row>
    <row r="117" spans="1:30" ht="12.9">
      <c r="A117" s="249"/>
      <c r="B117" s="261"/>
      <c r="C117" s="249"/>
      <c r="D117" s="249"/>
      <c r="E117" s="249"/>
      <c r="F117" s="249"/>
      <c r="G117" s="249"/>
      <c r="H117" s="249"/>
      <c r="I117" s="249"/>
      <c r="J117" s="249"/>
      <c r="K117" s="249"/>
      <c r="L117" s="249"/>
      <c r="M117" s="249"/>
      <c r="N117" s="249"/>
      <c r="O117" s="249"/>
      <c r="P117" s="249"/>
      <c r="Q117" s="249"/>
      <c r="R117" s="249"/>
      <c r="S117" s="249"/>
      <c r="T117" s="249"/>
      <c r="U117" s="249"/>
      <c r="V117" s="249"/>
      <c r="W117" s="249"/>
      <c r="X117" s="249"/>
      <c r="Y117" s="249"/>
      <c r="Z117" s="249"/>
      <c r="AA117" s="249"/>
      <c r="AB117" s="249"/>
      <c r="AC117" s="249"/>
      <c r="AD117" s="249"/>
    </row>
    <row r="118" spans="1:30" ht="12.9">
      <c r="A118" s="249"/>
      <c r="B118" s="261"/>
      <c r="C118" s="249"/>
      <c r="D118" s="249"/>
      <c r="E118" s="249"/>
      <c r="F118" s="249"/>
      <c r="G118" s="249"/>
      <c r="H118" s="249"/>
      <c r="I118" s="249"/>
      <c r="J118" s="249"/>
      <c r="K118" s="249"/>
      <c r="L118" s="249"/>
      <c r="M118" s="249"/>
      <c r="N118" s="249"/>
      <c r="O118" s="249"/>
      <c r="P118" s="249"/>
      <c r="Q118" s="249"/>
      <c r="R118" s="249"/>
      <c r="S118" s="249"/>
      <c r="T118" s="249"/>
      <c r="U118" s="249"/>
      <c r="V118" s="249"/>
      <c r="W118" s="249"/>
      <c r="X118" s="249"/>
      <c r="Y118" s="249"/>
      <c r="Z118" s="249"/>
      <c r="AA118" s="249"/>
      <c r="AB118" s="249"/>
      <c r="AC118" s="249"/>
      <c r="AD118" s="249"/>
    </row>
    <row r="119" spans="1:30" ht="12.9">
      <c r="A119" s="249"/>
      <c r="B119" s="261"/>
      <c r="C119" s="249"/>
      <c r="D119" s="249"/>
      <c r="E119" s="249"/>
      <c r="F119" s="249"/>
      <c r="G119" s="249"/>
      <c r="H119" s="249"/>
      <c r="I119" s="249"/>
      <c r="J119" s="249"/>
      <c r="K119" s="249"/>
      <c r="L119" s="249"/>
      <c r="M119" s="249"/>
      <c r="N119" s="249"/>
      <c r="O119" s="249"/>
      <c r="P119" s="249"/>
      <c r="Q119" s="249"/>
      <c r="R119" s="249"/>
      <c r="S119" s="249"/>
      <c r="T119" s="249"/>
      <c r="U119" s="249"/>
      <c r="V119" s="249"/>
      <c r="W119" s="249"/>
      <c r="X119" s="249"/>
      <c r="Y119" s="249"/>
      <c r="Z119" s="249"/>
      <c r="AA119" s="249"/>
      <c r="AB119" s="249"/>
      <c r="AC119" s="249"/>
      <c r="AD119" s="249"/>
    </row>
    <row r="120" spans="1:30" ht="12.9">
      <c r="A120" s="249"/>
      <c r="B120" s="261"/>
      <c r="C120" s="249"/>
      <c r="D120" s="249"/>
      <c r="E120" s="249"/>
      <c r="F120" s="249"/>
      <c r="G120" s="249"/>
      <c r="H120" s="249"/>
      <c r="I120" s="249"/>
      <c r="J120" s="249"/>
      <c r="K120" s="249"/>
      <c r="L120" s="249"/>
      <c r="M120" s="249"/>
      <c r="N120" s="249"/>
      <c r="O120" s="249"/>
      <c r="P120" s="249"/>
      <c r="Q120" s="249"/>
      <c r="R120" s="249"/>
      <c r="S120" s="249"/>
      <c r="T120" s="249"/>
      <c r="U120" s="249"/>
      <c r="V120" s="249"/>
      <c r="W120" s="249"/>
      <c r="X120" s="249"/>
      <c r="Y120" s="249"/>
      <c r="Z120" s="249"/>
      <c r="AA120" s="249"/>
      <c r="AB120" s="249"/>
      <c r="AC120" s="249"/>
      <c r="AD120" s="249"/>
    </row>
    <row r="121" spans="1:30" ht="12.9">
      <c r="A121" s="249"/>
      <c r="B121" s="261"/>
      <c r="C121" s="249"/>
      <c r="D121" s="249"/>
      <c r="E121" s="249"/>
      <c r="F121" s="249"/>
      <c r="G121" s="249"/>
      <c r="H121" s="249"/>
      <c r="I121" s="249"/>
      <c r="J121" s="249"/>
      <c r="K121" s="249"/>
      <c r="L121" s="249"/>
      <c r="M121" s="249"/>
      <c r="N121" s="249"/>
      <c r="O121" s="249"/>
      <c r="P121" s="249"/>
      <c r="Q121" s="249"/>
      <c r="R121" s="249"/>
      <c r="S121" s="249"/>
      <c r="T121" s="249"/>
      <c r="U121" s="249"/>
      <c r="V121" s="249"/>
      <c r="W121" s="249"/>
      <c r="X121" s="249"/>
      <c r="Y121" s="249"/>
      <c r="Z121" s="249"/>
      <c r="AA121" s="249"/>
      <c r="AB121" s="249"/>
      <c r="AC121" s="249"/>
      <c r="AD121" s="249"/>
    </row>
    <row r="122" spans="1:30" ht="12.9">
      <c r="A122" s="249"/>
      <c r="B122" s="261"/>
      <c r="C122" s="249"/>
      <c r="D122" s="249"/>
      <c r="E122" s="249"/>
      <c r="F122" s="249"/>
      <c r="G122" s="249"/>
      <c r="H122" s="249"/>
      <c r="I122" s="249"/>
      <c r="J122" s="249"/>
      <c r="K122" s="249"/>
      <c r="L122" s="249"/>
      <c r="M122" s="249"/>
      <c r="N122" s="249"/>
      <c r="O122" s="249"/>
      <c r="P122" s="249"/>
      <c r="Q122" s="249"/>
      <c r="R122" s="249"/>
      <c r="S122" s="249"/>
      <c r="T122" s="249"/>
      <c r="U122" s="249"/>
      <c r="V122" s="249"/>
      <c r="W122" s="249"/>
      <c r="X122" s="249"/>
      <c r="Y122" s="249"/>
      <c r="Z122" s="249"/>
      <c r="AA122" s="249"/>
      <c r="AB122" s="249"/>
      <c r="AC122" s="249"/>
      <c r="AD122" s="249"/>
    </row>
    <row r="123" spans="1:30" ht="12.9">
      <c r="A123" s="249"/>
      <c r="B123" s="261"/>
      <c r="C123" s="249"/>
      <c r="D123" s="249"/>
      <c r="E123" s="249"/>
      <c r="F123" s="249"/>
      <c r="G123" s="249"/>
      <c r="H123" s="249"/>
      <c r="I123" s="249"/>
      <c r="J123" s="249"/>
      <c r="K123" s="249"/>
      <c r="L123" s="249"/>
      <c r="M123" s="249"/>
      <c r="N123" s="249"/>
      <c r="O123" s="249"/>
      <c r="P123" s="249"/>
      <c r="Q123" s="249"/>
      <c r="R123" s="249"/>
      <c r="S123" s="249"/>
      <c r="T123" s="249"/>
      <c r="U123" s="249"/>
      <c r="V123" s="249"/>
      <c r="W123" s="249"/>
      <c r="X123" s="249"/>
      <c r="Y123" s="249"/>
      <c r="Z123" s="249"/>
      <c r="AA123" s="249"/>
      <c r="AB123" s="249"/>
      <c r="AC123" s="249"/>
      <c r="AD123" s="249"/>
    </row>
    <row r="124" spans="1:30" ht="12.9">
      <c r="A124" s="249"/>
      <c r="B124" s="261"/>
      <c r="C124" s="249"/>
      <c r="D124" s="249"/>
      <c r="E124" s="249"/>
      <c r="F124" s="249"/>
      <c r="G124" s="249"/>
      <c r="H124" s="249"/>
      <c r="I124" s="249"/>
      <c r="J124" s="249"/>
      <c r="K124" s="249"/>
      <c r="L124" s="249"/>
      <c r="M124" s="249"/>
      <c r="N124" s="249"/>
      <c r="O124" s="249"/>
      <c r="P124" s="249"/>
      <c r="Q124" s="249"/>
      <c r="R124" s="249"/>
      <c r="S124" s="249"/>
      <c r="T124" s="249"/>
      <c r="U124" s="249"/>
      <c r="V124" s="249"/>
      <c r="W124" s="249"/>
      <c r="X124" s="249"/>
      <c r="Y124" s="249"/>
      <c r="Z124" s="249"/>
      <c r="AA124" s="249"/>
      <c r="AB124" s="249"/>
      <c r="AC124" s="249"/>
      <c r="AD124" s="249"/>
    </row>
    <row r="125" spans="1:30" ht="12.9">
      <c r="A125" s="249"/>
      <c r="B125" s="261"/>
      <c r="C125" s="249"/>
      <c r="D125" s="249"/>
      <c r="E125" s="249"/>
      <c r="F125" s="249"/>
      <c r="G125" s="249"/>
      <c r="H125" s="249"/>
      <c r="I125" s="249"/>
      <c r="J125" s="249"/>
      <c r="K125" s="249"/>
      <c r="L125" s="249"/>
      <c r="M125" s="249"/>
      <c r="N125" s="249"/>
      <c r="O125" s="249"/>
      <c r="P125" s="249"/>
      <c r="Q125" s="249"/>
      <c r="R125" s="249"/>
      <c r="S125" s="249"/>
      <c r="T125" s="249"/>
      <c r="U125" s="249"/>
      <c r="V125" s="249"/>
      <c r="W125" s="249"/>
      <c r="X125" s="249"/>
      <c r="Y125" s="249"/>
      <c r="Z125" s="249"/>
      <c r="AA125" s="249"/>
      <c r="AB125" s="249"/>
      <c r="AC125" s="249"/>
      <c r="AD125" s="249"/>
    </row>
    <row r="126" spans="1:30" ht="12.9">
      <c r="A126" s="249"/>
      <c r="B126" s="261"/>
      <c r="C126" s="249"/>
      <c r="D126" s="249"/>
      <c r="E126" s="249"/>
      <c r="F126" s="249"/>
      <c r="G126" s="249"/>
      <c r="H126" s="249"/>
      <c r="I126" s="249"/>
      <c r="J126" s="249"/>
      <c r="K126" s="249"/>
      <c r="L126" s="249"/>
      <c r="M126" s="249"/>
      <c r="N126" s="249"/>
      <c r="O126" s="249"/>
      <c r="P126" s="249"/>
      <c r="Q126" s="249"/>
      <c r="R126" s="249"/>
      <c r="S126" s="249"/>
      <c r="T126" s="249"/>
      <c r="U126" s="249"/>
      <c r="V126" s="249"/>
      <c r="W126" s="249"/>
      <c r="X126" s="249"/>
      <c r="Y126" s="249"/>
      <c r="Z126" s="249"/>
      <c r="AA126" s="249"/>
      <c r="AB126" s="249"/>
      <c r="AC126" s="249"/>
      <c r="AD126" s="249"/>
    </row>
    <row r="127" spans="1:30" ht="12.9">
      <c r="A127" s="249"/>
      <c r="B127" s="261"/>
      <c r="C127" s="249"/>
      <c r="D127" s="249"/>
      <c r="E127" s="249"/>
      <c r="F127" s="249"/>
      <c r="G127" s="249"/>
      <c r="H127" s="249"/>
      <c r="I127" s="249"/>
      <c r="J127" s="249"/>
      <c r="K127" s="249"/>
      <c r="L127" s="249"/>
      <c r="M127" s="249"/>
      <c r="N127" s="249"/>
      <c r="O127" s="249"/>
      <c r="P127" s="249"/>
      <c r="Q127" s="249"/>
      <c r="R127" s="249"/>
      <c r="S127" s="249"/>
      <c r="T127" s="249"/>
      <c r="U127" s="249"/>
      <c r="V127" s="249"/>
      <c r="W127" s="249"/>
      <c r="X127" s="249"/>
      <c r="Y127" s="249"/>
      <c r="Z127" s="249"/>
      <c r="AA127" s="249"/>
      <c r="AB127" s="249"/>
      <c r="AC127" s="249"/>
      <c r="AD127" s="249"/>
    </row>
    <row r="128" spans="1:30" ht="12.9">
      <c r="A128" s="249"/>
      <c r="B128" s="261"/>
      <c r="C128" s="249"/>
      <c r="D128" s="249"/>
      <c r="E128" s="249"/>
      <c r="F128" s="249"/>
      <c r="G128" s="249"/>
      <c r="H128" s="249"/>
      <c r="I128" s="249"/>
      <c r="J128" s="249"/>
      <c r="K128" s="249"/>
      <c r="L128" s="249"/>
      <c r="M128" s="249"/>
      <c r="N128" s="249"/>
      <c r="O128" s="249"/>
      <c r="P128" s="249"/>
      <c r="Q128" s="249"/>
      <c r="R128" s="249"/>
      <c r="S128" s="249"/>
      <c r="T128" s="249"/>
      <c r="U128" s="249"/>
      <c r="V128" s="249"/>
      <c r="W128" s="249"/>
      <c r="X128" s="249"/>
      <c r="Y128" s="249"/>
      <c r="Z128" s="249"/>
      <c r="AA128" s="249"/>
      <c r="AB128" s="249"/>
      <c r="AC128" s="249"/>
      <c r="AD128" s="249"/>
    </row>
    <row r="129" spans="1:30" ht="12.9">
      <c r="A129" s="249"/>
      <c r="B129" s="261"/>
      <c r="C129" s="249"/>
      <c r="D129" s="249"/>
      <c r="E129" s="249"/>
      <c r="F129" s="249"/>
      <c r="G129" s="249"/>
      <c r="H129" s="249"/>
      <c r="I129" s="249"/>
      <c r="J129" s="249"/>
      <c r="K129" s="249"/>
      <c r="L129" s="249"/>
      <c r="M129" s="249"/>
      <c r="N129" s="249"/>
      <c r="O129" s="249"/>
      <c r="P129" s="249"/>
      <c r="Q129" s="249"/>
      <c r="R129" s="249"/>
      <c r="S129" s="249"/>
      <c r="T129" s="249"/>
      <c r="U129" s="249"/>
      <c r="V129" s="249"/>
      <c r="W129" s="249"/>
      <c r="X129" s="249"/>
      <c r="Y129" s="249"/>
      <c r="Z129" s="249"/>
      <c r="AA129" s="249"/>
      <c r="AB129" s="249"/>
      <c r="AC129" s="249"/>
      <c r="AD129" s="249"/>
    </row>
    <row r="130" spans="1:30" ht="12.9">
      <c r="A130" s="249"/>
      <c r="B130" s="261"/>
      <c r="C130" s="249"/>
      <c r="D130" s="249"/>
      <c r="E130" s="249"/>
      <c r="F130" s="249"/>
      <c r="G130" s="249"/>
      <c r="H130" s="249"/>
      <c r="I130" s="249"/>
      <c r="J130" s="249"/>
      <c r="K130" s="249"/>
      <c r="L130" s="249"/>
      <c r="M130" s="249"/>
      <c r="N130" s="249"/>
      <c r="O130" s="249"/>
      <c r="P130" s="249"/>
      <c r="Q130" s="249"/>
      <c r="R130" s="249"/>
      <c r="S130" s="249"/>
      <c r="T130" s="249"/>
      <c r="U130" s="249"/>
      <c r="V130" s="249"/>
      <c r="W130" s="249"/>
      <c r="X130" s="249"/>
      <c r="Y130" s="249"/>
      <c r="Z130" s="249"/>
      <c r="AA130" s="249"/>
      <c r="AB130" s="249"/>
      <c r="AC130" s="249"/>
      <c r="AD130" s="249"/>
    </row>
    <row r="131" spans="1:30" ht="12.9">
      <c r="A131" s="249"/>
      <c r="B131" s="261"/>
      <c r="C131" s="249"/>
      <c r="D131" s="249"/>
      <c r="E131" s="249"/>
      <c r="F131" s="249"/>
      <c r="G131" s="249"/>
      <c r="H131" s="249"/>
      <c r="I131" s="249"/>
      <c r="J131" s="249"/>
      <c r="K131" s="249"/>
      <c r="L131" s="249"/>
      <c r="M131" s="249"/>
      <c r="N131" s="249"/>
      <c r="O131" s="249"/>
      <c r="P131" s="249"/>
      <c r="Q131" s="249"/>
      <c r="R131" s="249"/>
      <c r="S131" s="249"/>
      <c r="T131" s="249"/>
      <c r="U131" s="249"/>
      <c r="V131" s="249"/>
      <c r="W131" s="249"/>
      <c r="X131" s="249"/>
      <c r="Y131" s="249"/>
      <c r="Z131" s="249"/>
      <c r="AA131" s="249"/>
      <c r="AB131" s="249"/>
      <c r="AC131" s="249"/>
      <c r="AD131" s="249"/>
    </row>
    <row r="132" spans="1:30" ht="12.9">
      <c r="A132" s="249"/>
      <c r="B132" s="261"/>
      <c r="C132" s="249"/>
      <c r="D132" s="249"/>
      <c r="E132" s="249"/>
      <c r="F132" s="249"/>
      <c r="G132" s="249"/>
      <c r="H132" s="249"/>
      <c r="I132" s="249"/>
      <c r="J132" s="249"/>
      <c r="K132" s="249"/>
      <c r="L132" s="249"/>
      <c r="M132" s="249"/>
      <c r="N132" s="249"/>
      <c r="O132" s="249"/>
      <c r="P132" s="249"/>
      <c r="Q132" s="249"/>
      <c r="R132" s="249"/>
      <c r="S132" s="249"/>
      <c r="T132" s="249"/>
      <c r="U132" s="249"/>
      <c r="V132" s="249"/>
      <c r="W132" s="249"/>
      <c r="X132" s="249"/>
      <c r="Y132" s="249"/>
      <c r="Z132" s="249"/>
      <c r="AA132" s="249"/>
      <c r="AB132" s="249"/>
      <c r="AC132" s="249"/>
      <c r="AD132" s="249"/>
    </row>
    <row r="133" spans="1:30" ht="12.9">
      <c r="A133" s="249"/>
      <c r="B133" s="261"/>
      <c r="C133" s="249"/>
      <c r="D133" s="249"/>
      <c r="E133" s="249"/>
      <c r="F133" s="249"/>
      <c r="G133" s="249"/>
      <c r="H133" s="249"/>
      <c r="I133" s="249"/>
      <c r="J133" s="249"/>
      <c r="K133" s="249"/>
      <c r="L133" s="249"/>
      <c r="M133" s="249"/>
      <c r="N133" s="249"/>
      <c r="O133" s="249"/>
      <c r="P133" s="249"/>
      <c r="Q133" s="249"/>
      <c r="R133" s="249"/>
      <c r="S133" s="249"/>
      <c r="T133" s="249"/>
      <c r="U133" s="249"/>
      <c r="V133" s="249"/>
      <c r="W133" s="249"/>
      <c r="X133" s="249"/>
      <c r="Y133" s="249"/>
      <c r="Z133" s="249"/>
      <c r="AA133" s="249"/>
      <c r="AB133" s="249"/>
      <c r="AC133" s="249"/>
      <c r="AD133" s="249"/>
    </row>
    <row r="134" spans="1:30" ht="12.9">
      <c r="A134" s="249"/>
      <c r="B134" s="261"/>
      <c r="C134" s="249"/>
      <c r="D134" s="249"/>
      <c r="E134" s="249"/>
      <c r="F134" s="249"/>
      <c r="G134" s="249"/>
      <c r="H134" s="249"/>
      <c r="I134" s="249"/>
      <c r="J134" s="249"/>
      <c r="K134" s="249"/>
      <c r="L134" s="249"/>
      <c r="M134" s="249"/>
      <c r="N134" s="249"/>
      <c r="O134" s="249"/>
      <c r="P134" s="249"/>
      <c r="Q134" s="249"/>
      <c r="R134" s="249"/>
      <c r="S134" s="249"/>
      <c r="T134" s="249"/>
      <c r="U134" s="249"/>
      <c r="V134" s="249"/>
      <c r="W134" s="249"/>
      <c r="X134" s="249"/>
      <c r="Y134" s="249"/>
      <c r="Z134" s="249"/>
      <c r="AA134" s="249"/>
      <c r="AB134" s="249"/>
      <c r="AC134" s="249"/>
      <c r="AD134" s="249"/>
    </row>
    <row r="135" spans="1:30" ht="12.9">
      <c r="A135" s="249"/>
      <c r="B135" s="261"/>
      <c r="C135" s="249"/>
      <c r="D135" s="249"/>
      <c r="E135" s="249"/>
      <c r="F135" s="249"/>
      <c r="G135" s="249"/>
      <c r="H135" s="249"/>
      <c r="I135" s="249"/>
      <c r="J135" s="249"/>
      <c r="K135" s="249"/>
      <c r="L135" s="249"/>
      <c r="M135" s="249"/>
      <c r="N135" s="249"/>
      <c r="O135" s="249"/>
      <c r="P135" s="249"/>
      <c r="Q135" s="249"/>
      <c r="R135" s="249"/>
      <c r="S135" s="249"/>
      <c r="T135" s="249"/>
      <c r="U135" s="249"/>
      <c r="V135" s="249"/>
      <c r="W135" s="249"/>
      <c r="X135" s="249"/>
      <c r="Y135" s="249"/>
      <c r="Z135" s="249"/>
      <c r="AA135" s="249"/>
      <c r="AB135" s="249"/>
      <c r="AC135" s="249"/>
      <c r="AD135" s="249"/>
    </row>
    <row r="136" spans="1:30" ht="12.9">
      <c r="A136" s="249"/>
      <c r="B136" s="261"/>
      <c r="C136" s="249"/>
      <c r="D136" s="249"/>
      <c r="E136" s="249"/>
      <c r="F136" s="249"/>
      <c r="G136" s="249"/>
      <c r="H136" s="249"/>
      <c r="I136" s="249"/>
      <c r="J136" s="249"/>
      <c r="K136" s="249"/>
      <c r="L136" s="249"/>
      <c r="M136" s="249"/>
      <c r="N136" s="249"/>
      <c r="O136" s="249"/>
      <c r="P136" s="249"/>
      <c r="Q136" s="249"/>
      <c r="R136" s="249"/>
      <c r="S136" s="249"/>
      <c r="T136" s="249"/>
      <c r="U136" s="249"/>
      <c r="V136" s="249"/>
      <c r="W136" s="249"/>
      <c r="X136" s="249"/>
      <c r="Y136" s="249"/>
      <c r="Z136" s="249"/>
      <c r="AA136" s="249"/>
      <c r="AB136" s="249"/>
      <c r="AC136" s="249"/>
      <c r="AD136" s="249"/>
    </row>
    <row r="137" spans="1:30" ht="12.9">
      <c r="A137" s="249"/>
      <c r="B137" s="261"/>
      <c r="C137" s="249"/>
      <c r="D137" s="249"/>
      <c r="E137" s="249"/>
      <c r="F137" s="249"/>
      <c r="G137" s="249"/>
      <c r="H137" s="249"/>
      <c r="I137" s="249"/>
      <c r="J137" s="249"/>
      <c r="K137" s="249"/>
      <c r="L137" s="249"/>
      <c r="M137" s="249"/>
      <c r="N137" s="249"/>
      <c r="O137" s="249"/>
      <c r="P137" s="249"/>
      <c r="Q137" s="249"/>
      <c r="R137" s="249"/>
      <c r="S137" s="249"/>
      <c r="T137" s="249"/>
      <c r="U137" s="249"/>
      <c r="V137" s="249"/>
      <c r="W137" s="249"/>
      <c r="X137" s="249"/>
      <c r="Y137" s="249"/>
      <c r="Z137" s="249"/>
      <c r="AA137" s="249"/>
      <c r="AB137" s="249"/>
      <c r="AC137" s="249"/>
      <c r="AD137" s="249"/>
    </row>
    <row r="138" spans="1:30" ht="12.9">
      <c r="A138" s="249"/>
      <c r="B138" s="261"/>
      <c r="C138" s="249"/>
      <c r="D138" s="249"/>
      <c r="E138" s="249"/>
      <c r="F138" s="249"/>
      <c r="G138" s="249"/>
      <c r="H138" s="249"/>
      <c r="I138" s="249"/>
      <c r="J138" s="249"/>
      <c r="K138" s="249"/>
      <c r="L138" s="249"/>
      <c r="M138" s="249"/>
      <c r="N138" s="249"/>
      <c r="O138" s="249"/>
      <c r="P138" s="249"/>
      <c r="Q138" s="249"/>
      <c r="R138" s="249"/>
      <c r="S138" s="249"/>
      <c r="T138" s="249"/>
      <c r="U138" s="249"/>
      <c r="V138" s="249"/>
      <c r="W138" s="249"/>
      <c r="X138" s="249"/>
      <c r="Y138" s="249"/>
      <c r="Z138" s="249"/>
      <c r="AA138" s="249"/>
      <c r="AB138" s="249"/>
      <c r="AC138" s="249"/>
      <c r="AD138" s="249"/>
    </row>
    <row r="139" spans="1:30" ht="12.9">
      <c r="A139" s="249"/>
      <c r="B139" s="261"/>
      <c r="C139" s="249"/>
      <c r="D139" s="249"/>
      <c r="E139" s="249"/>
      <c r="F139" s="249"/>
      <c r="G139" s="249"/>
      <c r="H139" s="249"/>
      <c r="I139" s="249"/>
      <c r="J139" s="249"/>
      <c r="K139" s="249"/>
      <c r="L139" s="249"/>
      <c r="M139" s="249"/>
      <c r="N139" s="249"/>
      <c r="O139" s="249"/>
      <c r="P139" s="249"/>
      <c r="Q139" s="249"/>
      <c r="R139" s="249"/>
      <c r="S139" s="249"/>
      <c r="T139" s="249"/>
      <c r="U139" s="249"/>
      <c r="V139" s="249"/>
      <c r="W139" s="249"/>
      <c r="X139" s="249"/>
      <c r="Y139" s="249"/>
      <c r="Z139" s="249"/>
      <c r="AA139" s="249"/>
      <c r="AB139" s="249"/>
      <c r="AC139" s="249"/>
      <c r="AD139" s="249"/>
    </row>
    <row r="140" spans="1:30" ht="12.9">
      <c r="A140" s="249"/>
      <c r="B140" s="261"/>
      <c r="C140" s="249"/>
      <c r="D140" s="249"/>
      <c r="E140" s="249"/>
      <c r="F140" s="249"/>
      <c r="G140" s="249"/>
      <c r="H140" s="249"/>
      <c r="I140" s="249"/>
      <c r="J140" s="249"/>
      <c r="K140" s="249"/>
      <c r="L140" s="249"/>
      <c r="M140" s="249"/>
      <c r="N140" s="249"/>
      <c r="O140" s="249"/>
      <c r="P140" s="249"/>
      <c r="Q140" s="249"/>
      <c r="R140" s="249"/>
      <c r="S140" s="249"/>
      <c r="T140" s="249"/>
      <c r="U140" s="249"/>
      <c r="V140" s="249"/>
      <c r="W140" s="249"/>
      <c r="X140" s="249"/>
      <c r="Y140" s="249"/>
      <c r="Z140" s="249"/>
      <c r="AA140" s="249"/>
      <c r="AB140" s="249"/>
      <c r="AC140" s="249"/>
      <c r="AD140" s="249"/>
    </row>
    <row r="141" spans="1:30" ht="12.9">
      <c r="A141" s="249"/>
      <c r="B141" s="261"/>
      <c r="C141" s="249"/>
      <c r="D141" s="249"/>
      <c r="E141" s="249"/>
      <c r="F141" s="249"/>
      <c r="G141" s="249"/>
      <c r="H141" s="249"/>
      <c r="I141" s="249"/>
      <c r="J141" s="249"/>
      <c r="K141" s="249"/>
      <c r="L141" s="249"/>
      <c r="M141" s="249"/>
      <c r="N141" s="249"/>
      <c r="O141" s="249"/>
      <c r="P141" s="249"/>
      <c r="Q141" s="249"/>
      <c r="R141" s="249"/>
      <c r="S141" s="249"/>
      <c r="T141" s="249"/>
      <c r="U141" s="249"/>
      <c r="V141" s="249"/>
      <c r="W141" s="249"/>
      <c r="X141" s="249"/>
      <c r="Y141" s="249"/>
      <c r="Z141" s="249"/>
      <c r="AA141" s="249"/>
      <c r="AB141" s="249"/>
      <c r="AC141" s="249"/>
      <c r="AD141" s="249"/>
    </row>
    <row r="142" spans="1:30" ht="12.9">
      <c r="A142" s="249"/>
      <c r="B142" s="261"/>
      <c r="C142" s="249"/>
      <c r="D142" s="249"/>
      <c r="E142" s="249"/>
      <c r="F142" s="249"/>
      <c r="G142" s="249"/>
      <c r="H142" s="249"/>
      <c r="I142" s="249"/>
      <c r="J142" s="249"/>
      <c r="K142" s="249"/>
      <c r="L142" s="249"/>
      <c r="M142" s="249"/>
      <c r="N142" s="249"/>
      <c r="O142" s="249"/>
      <c r="P142" s="249"/>
      <c r="Q142" s="249"/>
      <c r="R142" s="249"/>
      <c r="S142" s="249"/>
      <c r="T142" s="249"/>
      <c r="U142" s="249"/>
      <c r="V142" s="249"/>
      <c r="W142" s="249"/>
      <c r="X142" s="249"/>
      <c r="Y142" s="249"/>
      <c r="Z142" s="249"/>
      <c r="AA142" s="249"/>
      <c r="AB142" s="249"/>
      <c r="AC142" s="249"/>
      <c r="AD142" s="249"/>
    </row>
    <row r="143" spans="1:30" ht="12.9">
      <c r="A143" s="249"/>
      <c r="B143" s="261"/>
      <c r="C143" s="249"/>
      <c r="D143" s="249"/>
      <c r="E143" s="249"/>
      <c r="F143" s="249"/>
      <c r="G143" s="249"/>
      <c r="H143" s="249"/>
      <c r="I143" s="249"/>
      <c r="J143" s="249"/>
      <c r="K143" s="249"/>
      <c r="L143" s="249"/>
      <c r="M143" s="249"/>
      <c r="N143" s="249"/>
      <c r="O143" s="249"/>
      <c r="P143" s="249"/>
      <c r="Q143" s="249"/>
      <c r="R143" s="249"/>
      <c r="S143" s="249"/>
      <c r="T143" s="249"/>
      <c r="U143" s="249"/>
      <c r="V143" s="249"/>
      <c r="W143" s="249"/>
      <c r="X143" s="249"/>
      <c r="Y143" s="249"/>
      <c r="Z143" s="249"/>
      <c r="AA143" s="249"/>
      <c r="AB143" s="249"/>
      <c r="AC143" s="249"/>
      <c r="AD143" s="249"/>
    </row>
    <row r="144" spans="1:30" ht="12.9">
      <c r="A144" s="249"/>
      <c r="B144" s="261"/>
      <c r="C144" s="249"/>
      <c r="D144" s="249"/>
      <c r="E144" s="249"/>
      <c r="F144" s="249"/>
      <c r="G144" s="249"/>
      <c r="H144" s="249"/>
      <c r="I144" s="249"/>
      <c r="J144" s="249"/>
      <c r="K144" s="249"/>
      <c r="L144" s="249"/>
      <c r="M144" s="249"/>
      <c r="N144" s="249"/>
      <c r="O144" s="249"/>
      <c r="P144" s="249"/>
      <c r="Q144" s="249"/>
      <c r="R144" s="249"/>
      <c r="S144" s="249"/>
      <c r="T144" s="249"/>
      <c r="U144" s="249"/>
      <c r="V144" s="249"/>
      <c r="W144" s="249"/>
      <c r="X144" s="249"/>
      <c r="Y144" s="249"/>
      <c r="Z144" s="249"/>
      <c r="AA144" s="249"/>
      <c r="AB144" s="249"/>
      <c r="AC144" s="249"/>
      <c r="AD144" s="249"/>
    </row>
    <row r="145" spans="1:30" ht="12.9">
      <c r="A145" s="249"/>
      <c r="B145" s="261"/>
      <c r="C145" s="249"/>
      <c r="D145" s="249"/>
      <c r="E145" s="249"/>
      <c r="F145" s="249"/>
      <c r="G145" s="249"/>
      <c r="H145" s="249"/>
      <c r="I145" s="249"/>
      <c r="J145" s="249"/>
      <c r="K145" s="249"/>
      <c r="L145" s="249"/>
      <c r="M145" s="249"/>
      <c r="N145" s="249"/>
      <c r="O145" s="249"/>
      <c r="P145" s="249"/>
      <c r="Q145" s="249"/>
      <c r="R145" s="249"/>
      <c r="S145" s="249"/>
      <c r="T145" s="249"/>
      <c r="U145" s="249"/>
      <c r="V145" s="249"/>
      <c r="W145" s="249"/>
      <c r="X145" s="249"/>
      <c r="Y145" s="249"/>
      <c r="Z145" s="249"/>
      <c r="AA145" s="249"/>
      <c r="AB145" s="249"/>
      <c r="AC145" s="249"/>
      <c r="AD145" s="249"/>
    </row>
    <row r="146" spans="1:30" ht="12.9">
      <c r="A146" s="249"/>
      <c r="B146" s="261"/>
      <c r="C146" s="249"/>
      <c r="D146" s="249"/>
      <c r="E146" s="249"/>
      <c r="F146" s="249"/>
      <c r="G146" s="249"/>
      <c r="H146" s="249"/>
      <c r="I146" s="249"/>
      <c r="J146" s="249"/>
      <c r="K146" s="249"/>
      <c r="L146" s="249"/>
      <c r="M146" s="249"/>
      <c r="N146" s="249"/>
      <c r="O146" s="249"/>
      <c r="P146" s="249"/>
      <c r="Q146" s="249"/>
      <c r="R146" s="249"/>
      <c r="S146" s="249"/>
      <c r="T146" s="249"/>
      <c r="U146" s="249"/>
      <c r="V146" s="249"/>
      <c r="W146" s="249"/>
      <c r="X146" s="249"/>
      <c r="Y146" s="249"/>
      <c r="Z146" s="249"/>
      <c r="AA146" s="249"/>
      <c r="AB146" s="249"/>
      <c r="AC146" s="249"/>
      <c r="AD146" s="249"/>
    </row>
    <row r="147" spans="1:30" ht="12.9">
      <c r="A147" s="249"/>
      <c r="B147" s="249"/>
      <c r="C147" s="249"/>
      <c r="D147" s="249"/>
      <c r="E147" s="249"/>
      <c r="F147" s="249"/>
      <c r="G147" s="249"/>
      <c r="H147" s="249"/>
      <c r="I147" s="249"/>
      <c r="J147" s="249"/>
      <c r="K147" s="249"/>
      <c r="L147" s="249"/>
      <c r="M147" s="249"/>
      <c r="N147" s="249"/>
      <c r="O147" s="249"/>
      <c r="P147" s="249"/>
      <c r="Q147" s="249"/>
      <c r="R147" s="249"/>
      <c r="S147" s="249"/>
      <c r="T147" s="249"/>
      <c r="U147" s="249"/>
      <c r="V147" s="249"/>
      <c r="W147" s="249"/>
      <c r="X147" s="249"/>
      <c r="Y147" s="249"/>
      <c r="Z147" s="249"/>
      <c r="AA147" s="249"/>
      <c r="AB147" s="249"/>
      <c r="AC147" s="249"/>
      <c r="AD147" s="249"/>
    </row>
    <row r="148" spans="1:30" ht="12.9">
      <c r="A148" s="249"/>
      <c r="B148" s="249"/>
      <c r="C148" s="249"/>
      <c r="D148" s="249"/>
      <c r="E148" s="249"/>
      <c r="F148" s="249"/>
      <c r="G148" s="249"/>
      <c r="H148" s="249"/>
      <c r="I148" s="249"/>
      <c r="J148" s="249"/>
      <c r="K148" s="249"/>
      <c r="L148" s="249"/>
      <c r="M148" s="249"/>
      <c r="N148" s="249"/>
      <c r="O148" s="249"/>
      <c r="P148" s="249"/>
      <c r="Q148" s="249"/>
      <c r="R148" s="249"/>
      <c r="S148" s="249"/>
      <c r="T148" s="249"/>
      <c r="U148" s="249"/>
      <c r="V148" s="249"/>
      <c r="W148" s="249"/>
      <c r="X148" s="249"/>
      <c r="Y148" s="249"/>
      <c r="Z148" s="249"/>
      <c r="AA148" s="249"/>
      <c r="AB148" s="249"/>
      <c r="AC148" s="249"/>
      <c r="AD148" s="249"/>
    </row>
    <row r="149" spans="1:30" ht="12.9">
      <c r="A149" s="249"/>
      <c r="B149" s="249"/>
      <c r="C149" s="249"/>
      <c r="D149" s="249"/>
      <c r="E149" s="249"/>
      <c r="F149" s="249"/>
      <c r="G149" s="249"/>
      <c r="H149" s="249"/>
      <c r="I149" s="249"/>
      <c r="J149" s="249"/>
      <c r="K149" s="249"/>
      <c r="L149" s="249"/>
      <c r="M149" s="249"/>
      <c r="N149" s="249"/>
      <c r="O149" s="249"/>
      <c r="P149" s="249"/>
      <c r="Q149" s="249"/>
      <c r="R149" s="249"/>
      <c r="S149" s="249"/>
      <c r="T149" s="249"/>
      <c r="U149" s="249"/>
      <c r="V149" s="249"/>
      <c r="W149" s="249"/>
      <c r="X149" s="249"/>
      <c r="Y149" s="249"/>
      <c r="Z149" s="249"/>
      <c r="AA149" s="249"/>
      <c r="AB149" s="249"/>
      <c r="AC149" s="249"/>
      <c r="AD149" s="249"/>
    </row>
    <row r="150" spans="1:30" ht="12.9">
      <c r="A150" s="249"/>
      <c r="B150" s="249"/>
      <c r="C150" s="249"/>
      <c r="D150" s="249"/>
      <c r="E150" s="249"/>
      <c r="F150" s="249"/>
      <c r="G150" s="249"/>
      <c r="H150" s="249"/>
      <c r="I150" s="249"/>
      <c r="J150" s="249"/>
      <c r="K150" s="249"/>
      <c r="L150" s="249"/>
      <c r="M150" s="249"/>
      <c r="N150" s="249"/>
      <c r="O150" s="249"/>
      <c r="P150" s="249"/>
      <c r="Q150" s="249"/>
      <c r="R150" s="249"/>
      <c r="S150" s="249"/>
      <c r="T150" s="249"/>
      <c r="U150" s="249"/>
      <c r="V150" s="249"/>
      <c r="W150" s="249"/>
      <c r="X150" s="249"/>
      <c r="Y150" s="249"/>
      <c r="Z150" s="249"/>
      <c r="AA150" s="249"/>
      <c r="AB150" s="249"/>
      <c r="AC150" s="249"/>
      <c r="AD150" s="249"/>
    </row>
    <row r="151" spans="1:30" ht="12.9">
      <c r="A151" s="249"/>
      <c r="B151" s="249"/>
      <c r="C151" s="249"/>
      <c r="D151" s="249"/>
      <c r="E151" s="249"/>
      <c r="F151" s="249"/>
      <c r="G151" s="249"/>
      <c r="H151" s="249"/>
      <c r="I151" s="249"/>
      <c r="J151" s="249"/>
      <c r="K151" s="249"/>
      <c r="L151" s="249"/>
      <c r="M151" s="249"/>
      <c r="N151" s="249"/>
      <c r="O151" s="249"/>
      <c r="P151" s="249"/>
      <c r="Q151" s="249"/>
      <c r="R151" s="249"/>
      <c r="S151" s="249"/>
      <c r="T151" s="249"/>
      <c r="U151" s="249"/>
      <c r="V151" s="249"/>
      <c r="W151" s="249"/>
      <c r="X151" s="249"/>
      <c r="Y151" s="249"/>
      <c r="Z151" s="249"/>
      <c r="AA151" s="249"/>
      <c r="AB151" s="249"/>
      <c r="AC151" s="249"/>
      <c r="AD151" s="249"/>
    </row>
    <row r="152" spans="1:30" ht="12.9">
      <c r="A152" s="249"/>
      <c r="B152" s="249"/>
      <c r="C152" s="249"/>
      <c r="D152" s="249"/>
      <c r="E152" s="249"/>
      <c r="F152" s="249"/>
      <c r="G152" s="249"/>
      <c r="H152" s="249"/>
      <c r="I152" s="249"/>
      <c r="J152" s="249"/>
      <c r="K152" s="249"/>
      <c r="L152" s="249"/>
      <c r="M152" s="249"/>
      <c r="N152" s="249"/>
      <c r="O152" s="249"/>
      <c r="P152" s="249"/>
      <c r="Q152" s="249"/>
      <c r="R152" s="249"/>
      <c r="S152" s="249"/>
      <c r="T152" s="249"/>
      <c r="U152" s="249"/>
      <c r="V152" s="249"/>
      <c r="W152" s="249"/>
      <c r="X152" s="249"/>
      <c r="Y152" s="249"/>
      <c r="Z152" s="249"/>
      <c r="AA152" s="249"/>
      <c r="AB152" s="249"/>
      <c r="AC152" s="249"/>
      <c r="AD152" s="249"/>
    </row>
    <row r="153" spans="1:30" ht="12.9">
      <c r="A153" s="249"/>
      <c r="B153" s="249"/>
      <c r="C153" s="249"/>
      <c r="D153" s="249"/>
      <c r="E153" s="249"/>
      <c r="F153" s="249"/>
      <c r="G153" s="249"/>
      <c r="H153" s="249"/>
      <c r="I153" s="249"/>
      <c r="J153" s="249"/>
      <c r="K153" s="249"/>
      <c r="L153" s="249"/>
      <c r="M153" s="249"/>
      <c r="N153" s="249"/>
      <c r="O153" s="249"/>
      <c r="P153" s="249"/>
      <c r="Q153" s="249"/>
      <c r="R153" s="249"/>
      <c r="S153" s="249"/>
      <c r="T153" s="249"/>
      <c r="U153" s="249"/>
      <c r="V153" s="249"/>
      <c r="W153" s="249"/>
      <c r="X153" s="249"/>
      <c r="Y153" s="249"/>
      <c r="Z153" s="249"/>
      <c r="AA153" s="249"/>
      <c r="AB153" s="249"/>
      <c r="AC153" s="249"/>
      <c r="AD153" s="249"/>
    </row>
    <row r="154" spans="1:30" ht="12.9">
      <c r="A154" s="249"/>
      <c r="B154" s="249"/>
      <c r="C154" s="249"/>
      <c r="D154" s="249"/>
      <c r="E154" s="249"/>
      <c r="F154" s="249"/>
      <c r="G154" s="249"/>
      <c r="H154" s="249"/>
      <c r="I154" s="249"/>
      <c r="J154" s="249"/>
      <c r="K154" s="249"/>
      <c r="L154" s="249"/>
      <c r="M154" s="249"/>
      <c r="N154" s="249"/>
      <c r="O154" s="249"/>
      <c r="P154" s="249"/>
      <c r="Q154" s="249"/>
      <c r="R154" s="249"/>
      <c r="S154" s="249"/>
      <c r="T154" s="249"/>
      <c r="U154" s="249"/>
      <c r="V154" s="249"/>
      <c r="W154" s="249"/>
      <c r="X154" s="249"/>
      <c r="Y154" s="249"/>
      <c r="Z154" s="249"/>
      <c r="AA154" s="249"/>
      <c r="AB154" s="249"/>
      <c r="AC154" s="249"/>
      <c r="AD154" s="249"/>
    </row>
    <row r="155" spans="1:30" ht="12.9">
      <c r="A155" s="249"/>
      <c r="B155" s="249"/>
      <c r="C155" s="249"/>
      <c r="D155" s="249"/>
      <c r="E155" s="249"/>
      <c r="F155" s="249"/>
      <c r="G155" s="249"/>
      <c r="H155" s="249"/>
      <c r="I155" s="249"/>
      <c r="J155" s="249"/>
      <c r="K155" s="249"/>
      <c r="L155" s="249"/>
      <c r="M155" s="249"/>
      <c r="N155" s="249"/>
      <c r="O155" s="249"/>
      <c r="P155" s="249"/>
      <c r="Q155" s="249"/>
      <c r="R155" s="249"/>
      <c r="S155" s="249"/>
      <c r="T155" s="249"/>
      <c r="U155" s="249"/>
      <c r="V155" s="249"/>
      <c r="W155" s="249"/>
      <c r="X155" s="249"/>
      <c r="Y155" s="249"/>
      <c r="Z155" s="249"/>
      <c r="AA155" s="249"/>
      <c r="AB155" s="249"/>
      <c r="AC155" s="249"/>
      <c r="AD155" s="249"/>
    </row>
    <row r="156" spans="1:30" ht="12.9">
      <c r="A156" s="249"/>
      <c r="B156" s="249"/>
      <c r="C156" s="249"/>
      <c r="D156" s="249"/>
      <c r="E156" s="249"/>
      <c r="F156" s="249"/>
      <c r="G156" s="249"/>
      <c r="H156" s="249"/>
      <c r="I156" s="249"/>
      <c r="J156" s="249"/>
      <c r="K156" s="249"/>
      <c r="L156" s="249"/>
      <c r="M156" s="249"/>
      <c r="N156" s="249"/>
      <c r="O156" s="249"/>
      <c r="P156" s="249"/>
      <c r="Q156" s="249"/>
      <c r="R156" s="249"/>
      <c r="S156" s="249"/>
      <c r="T156" s="249"/>
      <c r="U156" s="249"/>
      <c r="V156" s="249"/>
      <c r="W156" s="249"/>
      <c r="X156" s="249"/>
      <c r="Y156" s="249"/>
      <c r="Z156" s="249"/>
      <c r="AA156" s="249"/>
      <c r="AB156" s="249"/>
      <c r="AC156" s="249"/>
      <c r="AD156" s="249"/>
    </row>
    <row r="157" spans="1:30" ht="12.9">
      <c r="A157" s="249"/>
      <c r="B157" s="249"/>
      <c r="C157" s="249"/>
      <c r="D157" s="249"/>
      <c r="E157" s="249"/>
      <c r="F157" s="249"/>
      <c r="G157" s="249"/>
      <c r="H157" s="249"/>
      <c r="I157" s="249"/>
      <c r="J157" s="249"/>
      <c r="K157" s="249"/>
      <c r="L157" s="249"/>
      <c r="M157" s="249"/>
      <c r="N157" s="249"/>
      <c r="O157" s="249"/>
      <c r="P157" s="249"/>
      <c r="Q157" s="249"/>
      <c r="R157" s="249"/>
      <c r="S157" s="249"/>
      <c r="T157" s="249"/>
      <c r="U157" s="249"/>
      <c r="V157" s="249"/>
      <c r="W157" s="249"/>
      <c r="X157" s="249"/>
      <c r="Y157" s="249"/>
      <c r="Z157" s="249"/>
      <c r="AA157" s="249"/>
      <c r="AB157" s="249"/>
      <c r="AC157" s="249"/>
      <c r="AD157" s="249"/>
    </row>
    <row r="158" spans="1:30" ht="12.9">
      <c r="A158" s="249"/>
      <c r="B158" s="249"/>
      <c r="C158" s="249"/>
      <c r="D158" s="249"/>
      <c r="E158" s="249"/>
      <c r="F158" s="249"/>
      <c r="G158" s="249"/>
      <c r="H158" s="249"/>
      <c r="I158" s="249"/>
      <c r="J158" s="249"/>
      <c r="K158" s="249"/>
      <c r="L158" s="249"/>
      <c r="M158" s="249"/>
      <c r="N158" s="249"/>
      <c r="O158" s="249"/>
      <c r="P158" s="249"/>
      <c r="Q158" s="249"/>
      <c r="R158" s="249"/>
      <c r="S158" s="249"/>
      <c r="T158" s="249"/>
      <c r="U158" s="249"/>
      <c r="V158" s="249"/>
      <c r="W158" s="249"/>
      <c r="X158" s="249"/>
      <c r="Y158" s="249"/>
      <c r="Z158" s="249"/>
      <c r="AA158" s="249"/>
      <c r="AB158" s="249"/>
      <c r="AC158" s="249"/>
      <c r="AD158" s="249"/>
    </row>
    <row r="159" spans="1:30" ht="12.9">
      <c r="A159" s="249"/>
      <c r="B159" s="249"/>
      <c r="C159" s="249"/>
      <c r="D159" s="249"/>
      <c r="E159" s="249"/>
      <c r="F159" s="249"/>
      <c r="G159" s="249"/>
      <c r="H159" s="249"/>
      <c r="I159" s="249"/>
      <c r="J159" s="249"/>
      <c r="K159" s="249"/>
      <c r="L159" s="249"/>
      <c r="M159" s="249"/>
      <c r="N159" s="249"/>
      <c r="O159" s="249"/>
      <c r="P159" s="249"/>
      <c r="Q159" s="249"/>
      <c r="R159" s="249"/>
      <c r="S159" s="249"/>
      <c r="T159" s="249"/>
      <c r="U159" s="249"/>
      <c r="V159" s="249"/>
      <c r="W159" s="249"/>
      <c r="X159" s="249"/>
      <c r="Y159" s="249"/>
      <c r="Z159" s="249"/>
      <c r="AA159" s="249"/>
      <c r="AB159" s="249"/>
      <c r="AC159" s="249"/>
      <c r="AD159" s="249"/>
    </row>
    <row r="160" spans="1:30" ht="12.9">
      <c r="A160" s="249"/>
      <c r="B160" s="249"/>
      <c r="C160" s="249"/>
      <c r="D160" s="249"/>
      <c r="E160" s="249"/>
      <c r="F160" s="249"/>
      <c r="G160" s="249"/>
      <c r="H160" s="249"/>
      <c r="I160" s="249"/>
      <c r="J160" s="249"/>
      <c r="K160" s="249"/>
      <c r="L160" s="249"/>
      <c r="M160" s="249"/>
      <c r="N160" s="249"/>
      <c r="O160" s="249"/>
      <c r="P160" s="249"/>
      <c r="Q160" s="249"/>
      <c r="R160" s="249"/>
      <c r="S160" s="249"/>
      <c r="T160" s="249"/>
      <c r="U160" s="249"/>
      <c r="V160" s="249"/>
      <c r="W160" s="249"/>
      <c r="X160" s="249"/>
      <c r="Y160" s="249"/>
      <c r="Z160" s="249"/>
      <c r="AA160" s="249"/>
      <c r="AB160" s="249"/>
      <c r="AC160" s="249"/>
      <c r="AD160" s="249"/>
    </row>
    <row r="161" spans="1:30" ht="12.9">
      <c r="A161" s="249"/>
      <c r="B161" s="249"/>
      <c r="C161" s="249"/>
      <c r="D161" s="249"/>
      <c r="E161" s="249"/>
      <c r="F161" s="249"/>
      <c r="G161" s="249"/>
      <c r="H161" s="249"/>
      <c r="I161" s="249"/>
      <c r="J161" s="249"/>
      <c r="K161" s="249"/>
      <c r="L161" s="249"/>
      <c r="M161" s="249"/>
      <c r="N161" s="249"/>
      <c r="O161" s="249"/>
      <c r="P161" s="249"/>
      <c r="Q161" s="249"/>
      <c r="R161" s="249"/>
      <c r="S161" s="249"/>
      <c r="T161" s="249"/>
      <c r="U161" s="249"/>
      <c r="V161" s="249"/>
      <c r="W161" s="249"/>
      <c r="X161" s="249"/>
      <c r="Y161" s="249"/>
      <c r="Z161" s="249"/>
      <c r="AA161" s="249"/>
      <c r="AB161" s="249"/>
      <c r="AC161" s="249"/>
      <c r="AD161" s="249"/>
    </row>
    <row r="162" spans="1:30" ht="12.9">
      <c r="A162" s="249"/>
      <c r="B162" s="249"/>
      <c r="C162" s="249"/>
      <c r="D162" s="249"/>
      <c r="E162" s="249"/>
      <c r="F162" s="249"/>
      <c r="G162" s="249"/>
      <c r="H162" s="249"/>
      <c r="I162" s="249"/>
      <c r="J162" s="249"/>
      <c r="K162" s="249"/>
      <c r="L162" s="249"/>
      <c r="M162" s="249"/>
      <c r="N162" s="249"/>
      <c r="O162" s="249"/>
      <c r="P162" s="249"/>
      <c r="Q162" s="249"/>
      <c r="R162" s="249"/>
      <c r="S162" s="249"/>
      <c r="T162" s="249"/>
      <c r="U162" s="249"/>
      <c r="V162" s="249"/>
      <c r="W162" s="249"/>
      <c r="X162" s="249"/>
      <c r="Y162" s="249"/>
      <c r="Z162" s="249"/>
      <c r="AA162" s="249"/>
      <c r="AB162" s="249"/>
      <c r="AC162" s="249"/>
      <c r="AD162" s="249"/>
    </row>
    <row r="163" spans="1:30" ht="12.9">
      <c r="A163" s="249"/>
      <c r="B163" s="249"/>
      <c r="C163" s="249"/>
      <c r="D163" s="249"/>
      <c r="E163" s="249"/>
      <c r="F163" s="249"/>
      <c r="G163" s="249"/>
      <c r="H163" s="249"/>
      <c r="I163" s="249"/>
      <c r="J163" s="249"/>
      <c r="K163" s="249"/>
      <c r="L163" s="249"/>
      <c r="M163" s="249"/>
      <c r="N163" s="249"/>
      <c r="O163" s="249"/>
      <c r="P163" s="249"/>
      <c r="Q163" s="249"/>
      <c r="R163" s="249"/>
      <c r="S163" s="249"/>
      <c r="T163" s="249"/>
      <c r="U163" s="249"/>
      <c r="V163" s="249"/>
      <c r="W163" s="249"/>
      <c r="X163" s="249"/>
      <c r="Y163" s="249"/>
      <c r="Z163" s="249"/>
      <c r="AA163" s="249"/>
      <c r="AB163" s="249"/>
      <c r="AC163" s="249"/>
      <c r="AD163" s="249"/>
    </row>
    <row r="164" spans="1:30" ht="12.9">
      <c r="A164" s="249"/>
      <c r="B164" s="249"/>
      <c r="C164" s="249"/>
      <c r="D164" s="249"/>
      <c r="E164" s="249"/>
      <c r="F164" s="249"/>
      <c r="G164" s="249"/>
      <c r="H164" s="249"/>
      <c r="I164" s="249"/>
      <c r="J164" s="249"/>
      <c r="K164" s="249"/>
      <c r="L164" s="249"/>
      <c r="M164" s="249"/>
      <c r="N164" s="249"/>
      <c r="O164" s="249"/>
      <c r="P164" s="249"/>
      <c r="Q164" s="249"/>
      <c r="R164" s="249"/>
      <c r="S164" s="249"/>
      <c r="T164" s="249"/>
      <c r="U164" s="249"/>
      <c r="V164" s="249"/>
      <c r="W164" s="249"/>
      <c r="X164" s="249"/>
      <c r="Y164" s="249"/>
      <c r="Z164" s="249"/>
      <c r="AA164" s="249"/>
      <c r="AB164" s="249"/>
      <c r="AC164" s="249"/>
      <c r="AD164" s="249"/>
    </row>
    <row r="165" spans="1:30" ht="12.9">
      <c r="A165" s="249"/>
      <c r="B165" s="249"/>
      <c r="C165" s="249"/>
      <c r="D165" s="249"/>
      <c r="E165" s="249"/>
      <c r="F165" s="249"/>
      <c r="G165" s="249"/>
      <c r="H165" s="249"/>
      <c r="I165" s="249"/>
      <c r="J165" s="249"/>
      <c r="K165" s="249"/>
      <c r="L165" s="249"/>
      <c r="M165" s="249"/>
      <c r="N165" s="249"/>
      <c r="O165" s="249"/>
      <c r="P165" s="249"/>
      <c r="Q165" s="249"/>
      <c r="R165" s="249"/>
      <c r="S165" s="249"/>
      <c r="T165" s="249"/>
      <c r="U165" s="249"/>
      <c r="V165" s="249"/>
      <c r="W165" s="249"/>
      <c r="X165" s="249"/>
      <c r="Y165" s="249"/>
      <c r="Z165" s="249"/>
      <c r="AA165" s="249"/>
      <c r="AB165" s="249"/>
      <c r="AC165" s="249"/>
      <c r="AD165" s="249"/>
    </row>
    <row r="166" spans="1:30" ht="12.9">
      <c r="A166" s="249"/>
      <c r="B166" s="249"/>
      <c r="C166" s="249"/>
      <c r="D166" s="249"/>
      <c r="E166" s="249"/>
      <c r="F166" s="249"/>
      <c r="G166" s="249"/>
      <c r="H166" s="249"/>
      <c r="I166" s="249"/>
      <c r="J166" s="249"/>
      <c r="K166" s="249"/>
      <c r="L166" s="249"/>
      <c r="M166" s="249"/>
      <c r="N166" s="249"/>
      <c r="O166" s="249"/>
      <c r="P166" s="249"/>
      <c r="Q166" s="249"/>
      <c r="R166" s="249"/>
      <c r="S166" s="249"/>
      <c r="T166" s="249"/>
      <c r="U166" s="249"/>
      <c r="V166" s="249"/>
      <c r="W166" s="249"/>
      <c r="X166" s="249"/>
      <c r="Y166" s="249"/>
      <c r="Z166" s="249"/>
      <c r="AA166" s="249"/>
      <c r="AB166" s="249"/>
      <c r="AC166" s="249"/>
      <c r="AD166" s="249"/>
    </row>
    <row r="167" spans="1:30" ht="12.9">
      <c r="A167" s="249"/>
      <c r="B167" s="249"/>
      <c r="C167" s="249"/>
      <c r="D167" s="249"/>
      <c r="E167" s="249"/>
      <c r="F167" s="249"/>
      <c r="G167" s="249"/>
      <c r="H167" s="249"/>
      <c r="I167" s="249"/>
      <c r="J167" s="249"/>
      <c r="K167" s="249"/>
      <c r="L167" s="249"/>
      <c r="M167" s="249"/>
      <c r="N167" s="249"/>
      <c r="O167" s="249"/>
      <c r="P167" s="249"/>
      <c r="Q167" s="249"/>
      <c r="R167" s="249"/>
      <c r="S167" s="249"/>
      <c r="T167" s="249"/>
      <c r="U167" s="249"/>
      <c r="V167" s="249"/>
      <c r="W167" s="249"/>
      <c r="X167" s="249"/>
      <c r="Y167" s="249"/>
      <c r="Z167" s="249"/>
      <c r="AA167" s="249"/>
      <c r="AB167" s="249"/>
      <c r="AC167" s="249"/>
      <c r="AD167" s="249"/>
    </row>
    <row r="168" spans="1:30" ht="12.9">
      <c r="A168" s="249"/>
      <c r="B168" s="249"/>
      <c r="C168" s="249"/>
      <c r="D168" s="249"/>
      <c r="E168" s="249"/>
      <c r="F168" s="249"/>
      <c r="G168" s="249"/>
      <c r="H168" s="249"/>
      <c r="I168" s="249"/>
      <c r="J168" s="249"/>
      <c r="K168" s="249"/>
      <c r="L168" s="249"/>
      <c r="M168" s="249"/>
      <c r="N168" s="249"/>
      <c r="O168" s="249"/>
      <c r="P168" s="249"/>
      <c r="Q168" s="249"/>
      <c r="R168" s="249"/>
      <c r="S168" s="249"/>
      <c r="T168" s="249"/>
      <c r="U168" s="249"/>
      <c r="V168" s="249"/>
      <c r="W168" s="249"/>
      <c r="X168" s="249"/>
      <c r="Y168" s="249"/>
      <c r="Z168" s="249"/>
      <c r="AA168" s="249"/>
      <c r="AB168" s="249"/>
      <c r="AC168" s="249"/>
      <c r="AD168" s="249"/>
    </row>
    <row r="169" spans="1:30" ht="12.9">
      <c r="A169" s="249"/>
      <c r="B169" s="249"/>
      <c r="C169" s="249"/>
      <c r="D169" s="249"/>
      <c r="E169" s="249"/>
      <c r="F169" s="249"/>
      <c r="G169" s="249"/>
      <c r="H169" s="249"/>
      <c r="I169" s="249"/>
      <c r="J169" s="249"/>
      <c r="K169" s="249"/>
      <c r="L169" s="249"/>
      <c r="M169" s="249"/>
      <c r="N169" s="249"/>
      <c r="O169" s="249"/>
      <c r="P169" s="249"/>
      <c r="Q169" s="249"/>
      <c r="R169" s="249"/>
      <c r="S169" s="249"/>
      <c r="T169" s="249"/>
      <c r="U169" s="249"/>
      <c r="V169" s="249"/>
      <c r="W169" s="249"/>
      <c r="X169" s="249"/>
      <c r="Y169" s="249"/>
      <c r="Z169" s="249"/>
      <c r="AA169" s="249"/>
      <c r="AB169" s="249"/>
      <c r="AC169" s="249"/>
      <c r="AD169" s="249"/>
    </row>
    <row r="170" spans="1:30" ht="12.9">
      <c r="A170" s="249"/>
      <c r="B170" s="249"/>
      <c r="C170" s="249"/>
      <c r="D170" s="249"/>
      <c r="E170" s="249"/>
      <c r="F170" s="249"/>
      <c r="G170" s="249"/>
      <c r="H170" s="249"/>
      <c r="I170" s="249"/>
      <c r="J170" s="249"/>
      <c r="K170" s="249"/>
      <c r="L170" s="249"/>
      <c r="M170" s="249"/>
      <c r="N170" s="249"/>
      <c r="O170" s="249"/>
      <c r="P170" s="249"/>
      <c r="Q170" s="249"/>
      <c r="R170" s="249"/>
      <c r="S170" s="249"/>
      <c r="T170" s="249"/>
      <c r="U170" s="249"/>
      <c r="V170" s="249"/>
      <c r="W170" s="249"/>
      <c r="X170" s="249"/>
      <c r="Y170" s="249"/>
      <c r="Z170" s="249"/>
      <c r="AA170" s="249"/>
      <c r="AB170" s="249"/>
      <c r="AC170" s="249"/>
      <c r="AD170" s="249"/>
    </row>
    <row r="171" spans="1:30" ht="12.9">
      <c r="A171" s="249"/>
      <c r="B171" s="249"/>
      <c r="C171" s="249"/>
      <c r="D171" s="249"/>
      <c r="E171" s="249"/>
      <c r="F171" s="249"/>
      <c r="G171" s="249"/>
      <c r="H171" s="249"/>
      <c r="I171" s="249"/>
      <c r="J171" s="249"/>
      <c r="K171" s="249"/>
      <c r="L171" s="249"/>
      <c r="M171" s="249"/>
      <c r="N171" s="249"/>
      <c r="O171" s="249"/>
      <c r="P171" s="249"/>
      <c r="Q171" s="249"/>
      <c r="R171" s="249"/>
      <c r="S171" s="249"/>
      <c r="T171" s="249"/>
      <c r="U171" s="249"/>
      <c r="V171" s="249"/>
      <c r="W171" s="249"/>
      <c r="X171" s="249"/>
      <c r="Y171" s="249"/>
      <c r="Z171" s="249"/>
      <c r="AA171" s="249"/>
      <c r="AB171" s="249"/>
      <c r="AC171" s="249"/>
      <c r="AD171" s="249"/>
    </row>
    <row r="172" spans="1:30" ht="12.9">
      <c r="A172" s="249"/>
      <c r="B172" s="249"/>
      <c r="C172" s="249"/>
      <c r="D172" s="249"/>
      <c r="E172" s="249"/>
      <c r="F172" s="249"/>
      <c r="G172" s="249"/>
      <c r="H172" s="249"/>
      <c r="I172" s="249"/>
      <c r="J172" s="249"/>
      <c r="K172" s="249"/>
      <c r="L172" s="249"/>
      <c r="M172" s="249"/>
      <c r="N172" s="249"/>
      <c r="O172" s="249"/>
      <c r="P172" s="249"/>
      <c r="Q172" s="249"/>
      <c r="R172" s="249"/>
      <c r="S172" s="249"/>
      <c r="T172" s="249"/>
      <c r="U172" s="249"/>
      <c r="V172" s="249"/>
      <c r="W172" s="249"/>
      <c r="X172" s="249"/>
      <c r="Y172" s="249"/>
      <c r="Z172" s="249"/>
      <c r="AA172" s="249"/>
      <c r="AB172" s="249"/>
      <c r="AC172" s="249"/>
      <c r="AD172" s="249"/>
    </row>
    <row r="173" spans="1:30" ht="12.9">
      <c r="A173" s="249"/>
      <c r="B173" s="249"/>
      <c r="C173" s="249"/>
      <c r="D173" s="249"/>
      <c r="E173" s="249"/>
      <c r="F173" s="249"/>
      <c r="G173" s="249"/>
      <c r="H173" s="249"/>
      <c r="I173" s="249"/>
      <c r="J173" s="249"/>
      <c r="K173" s="249"/>
      <c r="L173" s="249"/>
      <c r="M173" s="249"/>
      <c r="N173" s="249"/>
      <c r="O173" s="249"/>
      <c r="P173" s="249"/>
      <c r="Q173" s="249"/>
      <c r="R173" s="249"/>
      <c r="S173" s="249"/>
      <c r="T173" s="249"/>
      <c r="U173" s="249"/>
      <c r="V173" s="249"/>
      <c r="W173" s="249"/>
      <c r="X173" s="249"/>
      <c r="Y173" s="249"/>
      <c r="Z173" s="249"/>
      <c r="AA173" s="249"/>
      <c r="AB173" s="249"/>
      <c r="AC173" s="249"/>
      <c r="AD173" s="249"/>
    </row>
    <row r="174" spans="1:30" ht="12.9">
      <c r="A174" s="249"/>
      <c r="B174" s="249"/>
      <c r="C174" s="249"/>
      <c r="D174" s="249"/>
      <c r="E174" s="249"/>
      <c r="F174" s="249"/>
      <c r="G174" s="249"/>
      <c r="H174" s="249"/>
      <c r="I174" s="249"/>
      <c r="J174" s="249"/>
      <c r="K174" s="249"/>
      <c r="L174" s="249"/>
      <c r="M174" s="249"/>
      <c r="N174" s="249"/>
      <c r="O174" s="249"/>
      <c r="P174" s="249"/>
      <c r="Q174" s="249"/>
      <c r="R174" s="249"/>
      <c r="S174" s="249"/>
      <c r="T174" s="249"/>
      <c r="U174" s="249"/>
      <c r="V174" s="249"/>
      <c r="W174" s="249"/>
      <c r="X174" s="249"/>
      <c r="Y174" s="249"/>
      <c r="Z174" s="249"/>
      <c r="AA174" s="249"/>
      <c r="AB174" s="249"/>
      <c r="AC174" s="249"/>
      <c r="AD174" s="249"/>
    </row>
    <row r="175" spans="1:30" ht="12.9">
      <c r="A175" s="249"/>
      <c r="B175" s="249"/>
      <c r="C175" s="249"/>
      <c r="D175" s="249"/>
      <c r="E175" s="249"/>
      <c r="F175" s="249"/>
      <c r="G175" s="249"/>
      <c r="H175" s="249"/>
      <c r="I175" s="249"/>
      <c r="J175" s="249"/>
      <c r="K175" s="249"/>
      <c r="L175" s="249"/>
      <c r="M175" s="249"/>
      <c r="N175" s="249"/>
      <c r="O175" s="249"/>
      <c r="P175" s="249"/>
      <c r="Q175" s="249"/>
      <c r="R175" s="249"/>
      <c r="S175" s="249"/>
      <c r="T175" s="249"/>
      <c r="U175" s="249"/>
      <c r="V175" s="249"/>
      <c r="W175" s="249"/>
      <c r="X175" s="249"/>
      <c r="Y175" s="249"/>
      <c r="Z175" s="249"/>
      <c r="AA175" s="249"/>
      <c r="AB175" s="249"/>
      <c r="AC175" s="249"/>
      <c r="AD175" s="249"/>
    </row>
    <row r="176" spans="1:30" ht="12.9">
      <c r="A176" s="249"/>
      <c r="B176" s="249"/>
      <c r="C176" s="249"/>
      <c r="D176" s="249"/>
      <c r="E176" s="249"/>
      <c r="F176" s="249"/>
      <c r="G176" s="249"/>
      <c r="H176" s="249"/>
      <c r="I176" s="249"/>
      <c r="J176" s="249"/>
      <c r="K176" s="249"/>
      <c r="L176" s="249"/>
      <c r="M176" s="249"/>
      <c r="N176" s="249"/>
      <c r="O176" s="249"/>
      <c r="P176" s="249"/>
      <c r="Q176" s="249"/>
      <c r="R176" s="249"/>
      <c r="S176" s="249"/>
      <c r="T176" s="249"/>
      <c r="U176" s="249"/>
      <c r="V176" s="249"/>
      <c r="W176" s="249"/>
      <c r="X176" s="249"/>
      <c r="Y176" s="249"/>
      <c r="Z176" s="249"/>
      <c r="AA176" s="249"/>
      <c r="AB176" s="249"/>
      <c r="AC176" s="249"/>
      <c r="AD176" s="249"/>
    </row>
    <row r="177" spans="1:30" ht="12.9">
      <c r="A177" s="249"/>
      <c r="B177" s="249"/>
      <c r="C177" s="249"/>
      <c r="D177" s="249"/>
      <c r="E177" s="249"/>
      <c r="F177" s="249"/>
      <c r="G177" s="249"/>
      <c r="H177" s="249"/>
      <c r="I177" s="249"/>
      <c r="J177" s="249"/>
      <c r="K177" s="249"/>
      <c r="L177" s="249"/>
      <c r="M177" s="249"/>
      <c r="N177" s="249"/>
      <c r="O177" s="249"/>
      <c r="P177" s="249"/>
      <c r="Q177" s="249"/>
      <c r="R177" s="249"/>
      <c r="S177" s="249"/>
      <c r="T177" s="249"/>
      <c r="U177" s="249"/>
      <c r="V177" s="249"/>
      <c r="W177" s="249"/>
      <c r="X177" s="249"/>
      <c r="Y177" s="249"/>
      <c r="Z177" s="249"/>
      <c r="AA177" s="249"/>
      <c r="AB177" s="249"/>
      <c r="AC177" s="249"/>
      <c r="AD177" s="249"/>
    </row>
    <row r="178" spans="1:30" ht="12.9">
      <c r="A178" s="249"/>
      <c r="B178" s="249"/>
      <c r="C178" s="249"/>
      <c r="D178" s="249"/>
      <c r="E178" s="249"/>
      <c r="F178" s="249"/>
      <c r="G178" s="249"/>
      <c r="H178" s="249"/>
      <c r="I178" s="249"/>
      <c r="J178" s="249"/>
      <c r="K178" s="249"/>
      <c r="L178" s="249"/>
      <c r="M178" s="249"/>
      <c r="N178" s="249"/>
      <c r="O178" s="249"/>
      <c r="P178" s="249"/>
      <c r="Q178" s="249"/>
      <c r="R178" s="249"/>
      <c r="S178" s="249"/>
      <c r="T178" s="249"/>
      <c r="U178" s="249"/>
      <c r="V178" s="249"/>
      <c r="W178" s="249"/>
      <c r="X178" s="249"/>
      <c r="Y178" s="249"/>
      <c r="Z178" s="249"/>
      <c r="AA178" s="249"/>
      <c r="AB178" s="249"/>
      <c r="AC178" s="249"/>
      <c r="AD178" s="249"/>
    </row>
    <row r="179" spans="1:30" ht="12.9">
      <c r="A179" s="249"/>
      <c r="B179" s="249"/>
      <c r="C179" s="249"/>
      <c r="D179" s="249"/>
      <c r="E179" s="249"/>
      <c r="F179" s="249"/>
      <c r="G179" s="249"/>
      <c r="H179" s="249"/>
      <c r="I179" s="249"/>
      <c r="J179" s="249"/>
      <c r="K179" s="249"/>
      <c r="L179" s="249"/>
      <c r="M179" s="249"/>
      <c r="N179" s="249"/>
      <c r="O179" s="249"/>
      <c r="P179" s="249"/>
      <c r="Q179" s="249"/>
      <c r="R179" s="249"/>
      <c r="S179" s="249"/>
      <c r="T179" s="249"/>
      <c r="U179" s="249"/>
      <c r="V179" s="249"/>
      <c r="W179" s="249"/>
      <c r="X179" s="249"/>
      <c r="Y179" s="249"/>
      <c r="Z179" s="249"/>
      <c r="AA179" s="249"/>
      <c r="AB179" s="249"/>
      <c r="AC179" s="249"/>
      <c r="AD179" s="249"/>
    </row>
    <row r="180" spans="1:30" ht="12.9">
      <c r="A180" s="249"/>
      <c r="B180" s="249"/>
      <c r="C180" s="249"/>
      <c r="D180" s="249"/>
      <c r="E180" s="249"/>
      <c r="F180" s="249"/>
      <c r="G180" s="249"/>
      <c r="H180" s="249"/>
      <c r="I180" s="249"/>
      <c r="J180" s="249"/>
      <c r="K180" s="249"/>
      <c r="L180" s="249"/>
      <c r="M180" s="249"/>
      <c r="N180" s="249"/>
      <c r="O180" s="249"/>
      <c r="P180" s="249"/>
      <c r="Q180" s="249"/>
      <c r="R180" s="249"/>
      <c r="S180" s="249"/>
      <c r="T180" s="249"/>
      <c r="U180" s="249"/>
      <c r="V180" s="249"/>
      <c r="W180" s="249"/>
      <c r="X180" s="249"/>
      <c r="Y180" s="249"/>
      <c r="Z180" s="249"/>
      <c r="AA180" s="249"/>
      <c r="AB180" s="249"/>
      <c r="AC180" s="249"/>
      <c r="AD180" s="249"/>
    </row>
    <row r="181" spans="1:30" ht="12.9">
      <c r="A181" s="249"/>
      <c r="B181" s="249"/>
      <c r="C181" s="249"/>
      <c r="D181" s="249"/>
      <c r="E181" s="249"/>
      <c r="F181" s="249"/>
      <c r="G181" s="249"/>
      <c r="H181" s="249"/>
      <c r="I181" s="249"/>
      <c r="J181" s="249"/>
      <c r="K181" s="249"/>
      <c r="L181" s="249"/>
      <c r="M181" s="249"/>
      <c r="N181" s="249"/>
      <c r="O181" s="249"/>
      <c r="P181" s="249"/>
      <c r="Q181" s="249"/>
      <c r="R181" s="249"/>
      <c r="S181" s="249"/>
      <c r="T181" s="249"/>
      <c r="U181" s="249"/>
      <c r="V181" s="249"/>
      <c r="W181" s="249"/>
      <c r="X181" s="249"/>
      <c r="Y181" s="249"/>
      <c r="Z181" s="249"/>
      <c r="AA181" s="249"/>
      <c r="AB181" s="249"/>
      <c r="AC181" s="249"/>
      <c r="AD181" s="249"/>
    </row>
    <row r="182" spans="1:30" ht="12.9">
      <c r="A182" s="249"/>
      <c r="B182" s="249"/>
      <c r="C182" s="249"/>
      <c r="D182" s="249"/>
      <c r="E182" s="249"/>
      <c r="F182" s="249"/>
      <c r="G182" s="249"/>
      <c r="H182" s="249"/>
      <c r="I182" s="249"/>
      <c r="J182" s="249"/>
      <c r="K182" s="249"/>
      <c r="L182" s="249"/>
      <c r="M182" s="249"/>
      <c r="N182" s="249"/>
      <c r="O182" s="249"/>
      <c r="P182" s="249"/>
      <c r="Q182" s="249"/>
      <c r="R182" s="249"/>
      <c r="S182" s="249"/>
      <c r="T182" s="249"/>
      <c r="U182" s="249"/>
      <c r="V182" s="249"/>
      <c r="W182" s="249"/>
      <c r="X182" s="249"/>
      <c r="Y182" s="249"/>
      <c r="Z182" s="249"/>
      <c r="AA182" s="249"/>
      <c r="AB182" s="249"/>
      <c r="AC182" s="249"/>
      <c r="AD182" s="249"/>
    </row>
    <row r="183" spans="1:30" ht="12.9">
      <c r="A183" s="249"/>
      <c r="B183" s="249"/>
      <c r="C183" s="249"/>
      <c r="D183" s="249"/>
      <c r="E183" s="249"/>
      <c r="F183" s="249"/>
      <c r="G183" s="249"/>
      <c r="H183" s="249"/>
      <c r="I183" s="249"/>
      <c r="J183" s="249"/>
      <c r="K183" s="249"/>
      <c r="L183" s="249"/>
      <c r="M183" s="249"/>
      <c r="N183" s="249"/>
      <c r="O183" s="249"/>
      <c r="P183" s="249"/>
      <c r="Q183" s="249"/>
      <c r="R183" s="249"/>
      <c r="S183" s="249"/>
      <c r="T183" s="249"/>
      <c r="U183" s="249"/>
      <c r="V183" s="249"/>
      <c r="W183" s="249"/>
      <c r="X183" s="249"/>
      <c r="Y183" s="249"/>
      <c r="Z183" s="249"/>
      <c r="AA183" s="249"/>
      <c r="AB183" s="249"/>
      <c r="AC183" s="249"/>
      <c r="AD183" s="249"/>
    </row>
    <row r="184" spans="1:30" ht="12.9">
      <c r="A184" s="249"/>
      <c r="B184" s="249"/>
      <c r="C184" s="249"/>
      <c r="D184" s="249"/>
      <c r="E184" s="249"/>
      <c r="F184" s="249"/>
      <c r="G184" s="249"/>
      <c r="H184" s="249"/>
      <c r="I184" s="249"/>
      <c r="J184" s="249"/>
      <c r="K184" s="249"/>
      <c r="L184" s="249"/>
      <c r="M184" s="249"/>
      <c r="N184" s="249"/>
      <c r="O184" s="249"/>
      <c r="P184" s="249"/>
      <c r="Q184" s="249"/>
      <c r="R184" s="249"/>
      <c r="S184" s="249"/>
      <c r="T184" s="249"/>
      <c r="U184" s="249"/>
      <c r="V184" s="249"/>
      <c r="W184" s="249"/>
      <c r="X184" s="249"/>
      <c r="Y184" s="249"/>
      <c r="Z184" s="249"/>
      <c r="AA184" s="249"/>
      <c r="AB184" s="249"/>
      <c r="AC184" s="249"/>
      <c r="AD184" s="249"/>
    </row>
    <row r="185" spans="1:30" ht="12.9">
      <c r="A185" s="249"/>
      <c r="B185" s="249"/>
      <c r="C185" s="249"/>
      <c r="D185" s="249"/>
      <c r="E185" s="249"/>
      <c r="F185" s="249"/>
      <c r="G185" s="249"/>
      <c r="H185" s="249"/>
      <c r="I185" s="249"/>
      <c r="J185" s="249"/>
      <c r="K185" s="249"/>
      <c r="L185" s="249"/>
      <c r="M185" s="249"/>
      <c r="N185" s="249"/>
      <c r="O185" s="249"/>
      <c r="P185" s="249"/>
      <c r="Q185" s="249"/>
      <c r="R185" s="249"/>
      <c r="S185" s="249"/>
      <c r="T185" s="249"/>
      <c r="U185" s="249"/>
      <c r="V185" s="249"/>
      <c r="W185" s="249"/>
      <c r="X185" s="249"/>
      <c r="Y185" s="249"/>
      <c r="Z185" s="249"/>
      <c r="AA185" s="249"/>
      <c r="AB185" s="249"/>
      <c r="AC185" s="249"/>
      <c r="AD185" s="249"/>
    </row>
    <row r="186" spans="1:30" ht="12.9">
      <c r="A186" s="249"/>
      <c r="B186" s="249"/>
      <c r="C186" s="249"/>
      <c r="D186" s="249"/>
      <c r="E186" s="249"/>
      <c r="F186" s="249"/>
      <c r="G186" s="249"/>
      <c r="H186" s="249"/>
      <c r="I186" s="249"/>
      <c r="J186" s="249"/>
      <c r="K186" s="249"/>
      <c r="L186" s="249"/>
      <c r="M186" s="249"/>
      <c r="N186" s="249"/>
      <c r="O186" s="249"/>
      <c r="P186" s="249"/>
      <c r="Q186" s="249"/>
      <c r="R186" s="249"/>
      <c r="S186" s="249"/>
      <c r="T186" s="249"/>
      <c r="U186" s="249"/>
      <c r="V186" s="249"/>
      <c r="W186" s="249"/>
      <c r="X186" s="249"/>
      <c r="Y186" s="249"/>
      <c r="Z186" s="249"/>
      <c r="AA186" s="249"/>
      <c r="AB186" s="249"/>
      <c r="AC186" s="249"/>
      <c r="AD186" s="249"/>
    </row>
    <row r="187" spans="1:30" ht="12.9">
      <c r="A187" s="249"/>
      <c r="B187" s="249"/>
      <c r="C187" s="249"/>
      <c r="D187" s="249"/>
      <c r="E187" s="249"/>
      <c r="F187" s="249"/>
      <c r="G187" s="249"/>
      <c r="H187" s="249"/>
      <c r="I187" s="249"/>
      <c r="J187" s="249"/>
      <c r="K187" s="249"/>
      <c r="L187" s="249"/>
      <c r="M187" s="249"/>
      <c r="N187" s="249"/>
      <c r="O187" s="249"/>
      <c r="P187" s="249"/>
      <c r="Q187" s="249"/>
      <c r="R187" s="249"/>
      <c r="S187" s="249"/>
      <c r="T187" s="249"/>
      <c r="U187" s="249"/>
      <c r="V187" s="249"/>
      <c r="W187" s="249"/>
      <c r="X187" s="249"/>
      <c r="Y187" s="249"/>
      <c r="Z187" s="249"/>
      <c r="AA187" s="249"/>
      <c r="AB187" s="249"/>
      <c r="AC187" s="249"/>
      <c r="AD187" s="249"/>
    </row>
    <row r="188" spans="1:30" ht="12.9">
      <c r="A188" s="249"/>
      <c r="B188" s="249"/>
      <c r="C188" s="249"/>
      <c r="D188" s="249"/>
      <c r="E188" s="249"/>
      <c r="F188" s="249"/>
      <c r="G188" s="249"/>
      <c r="H188" s="249"/>
      <c r="I188" s="249"/>
      <c r="J188" s="249"/>
      <c r="K188" s="249"/>
      <c r="L188" s="249"/>
      <c r="M188" s="249"/>
      <c r="N188" s="249"/>
      <c r="O188" s="249"/>
      <c r="P188" s="249"/>
      <c r="Q188" s="249"/>
      <c r="R188" s="249"/>
      <c r="S188" s="249"/>
      <c r="T188" s="249"/>
      <c r="U188" s="249"/>
      <c r="V188" s="249"/>
      <c r="W188" s="249"/>
      <c r="X188" s="249"/>
      <c r="Y188" s="249"/>
      <c r="Z188" s="249"/>
      <c r="AA188" s="249"/>
      <c r="AB188" s="249"/>
      <c r="AC188" s="249"/>
      <c r="AD188" s="249"/>
    </row>
    <row r="189" spans="1:30" ht="12.9">
      <c r="A189" s="249"/>
      <c r="B189" s="249"/>
      <c r="C189" s="249"/>
      <c r="D189" s="249"/>
      <c r="E189" s="249"/>
      <c r="F189" s="249"/>
      <c r="G189" s="249"/>
      <c r="H189" s="249"/>
      <c r="I189" s="249"/>
      <c r="J189" s="249"/>
      <c r="K189" s="249"/>
      <c r="L189" s="249"/>
      <c r="M189" s="249"/>
      <c r="N189" s="249"/>
      <c r="O189" s="249"/>
      <c r="P189" s="249"/>
      <c r="Q189" s="249"/>
      <c r="R189" s="249"/>
      <c r="S189" s="249"/>
      <c r="T189" s="249"/>
      <c r="U189" s="249"/>
      <c r="V189" s="249"/>
      <c r="W189" s="249"/>
      <c r="X189" s="249"/>
      <c r="Y189" s="249"/>
      <c r="Z189" s="249"/>
      <c r="AA189" s="249"/>
      <c r="AB189" s="249"/>
      <c r="AC189" s="249"/>
      <c r="AD189" s="249"/>
    </row>
    <row r="190" spans="1:30" ht="12.9">
      <c r="A190" s="249"/>
      <c r="B190" s="249"/>
      <c r="C190" s="249"/>
      <c r="D190" s="249"/>
      <c r="E190" s="249"/>
      <c r="F190" s="249"/>
      <c r="G190" s="249"/>
      <c r="H190" s="249"/>
      <c r="I190" s="249"/>
      <c r="J190" s="249"/>
      <c r="K190" s="249"/>
      <c r="L190" s="249"/>
      <c r="M190" s="249"/>
      <c r="N190" s="249"/>
      <c r="O190" s="249"/>
      <c r="P190" s="249"/>
      <c r="Q190" s="249"/>
      <c r="R190" s="249"/>
      <c r="S190" s="249"/>
      <c r="T190" s="249"/>
      <c r="U190" s="249"/>
      <c r="V190" s="249"/>
      <c r="W190" s="249"/>
      <c r="X190" s="249"/>
      <c r="Y190" s="249"/>
      <c r="Z190" s="249"/>
      <c r="AA190" s="249"/>
      <c r="AB190" s="249"/>
      <c r="AC190" s="249"/>
      <c r="AD190" s="249"/>
    </row>
    <row r="191" spans="1:30" ht="12.9">
      <c r="A191" s="249"/>
      <c r="B191" s="249"/>
      <c r="C191" s="249"/>
      <c r="D191" s="249"/>
      <c r="E191" s="249"/>
      <c r="F191" s="249"/>
      <c r="G191" s="249"/>
      <c r="H191" s="249"/>
      <c r="I191" s="249"/>
      <c r="J191" s="249"/>
      <c r="K191" s="249"/>
      <c r="L191" s="249"/>
      <c r="M191" s="249"/>
      <c r="N191" s="249"/>
      <c r="O191" s="249"/>
      <c r="P191" s="249"/>
      <c r="Q191" s="249"/>
      <c r="R191" s="249"/>
      <c r="S191" s="249"/>
      <c r="T191" s="249"/>
      <c r="U191" s="249"/>
      <c r="V191" s="249"/>
      <c r="W191" s="249"/>
      <c r="X191" s="249"/>
      <c r="Y191" s="249"/>
      <c r="Z191" s="249"/>
      <c r="AA191" s="249"/>
      <c r="AB191" s="249"/>
      <c r="AC191" s="249"/>
      <c r="AD191" s="249"/>
    </row>
    <row r="192" spans="1:30" ht="12.9">
      <c r="A192" s="249"/>
      <c r="B192" s="249"/>
      <c r="C192" s="249"/>
      <c r="D192" s="249"/>
      <c r="E192" s="249"/>
      <c r="F192" s="249"/>
      <c r="G192" s="249"/>
      <c r="H192" s="249"/>
      <c r="I192" s="249"/>
      <c r="J192" s="249"/>
      <c r="K192" s="249"/>
      <c r="L192" s="249"/>
      <c r="M192" s="249"/>
      <c r="N192" s="249"/>
      <c r="O192" s="249"/>
      <c r="P192" s="249"/>
      <c r="Q192" s="249"/>
      <c r="R192" s="249"/>
      <c r="S192" s="249"/>
      <c r="T192" s="249"/>
      <c r="U192" s="249"/>
      <c r="V192" s="249"/>
      <c r="W192" s="249"/>
      <c r="X192" s="249"/>
      <c r="Y192" s="249"/>
      <c r="Z192" s="249"/>
      <c r="AA192" s="249"/>
      <c r="AB192" s="249"/>
      <c r="AC192" s="249"/>
      <c r="AD192" s="249"/>
    </row>
    <row r="193" spans="1:30" ht="12.9">
      <c r="A193" s="249"/>
      <c r="B193" s="249"/>
      <c r="C193" s="249"/>
      <c r="D193" s="249"/>
      <c r="E193" s="249"/>
      <c r="F193" s="249"/>
      <c r="G193" s="249"/>
      <c r="H193" s="249"/>
      <c r="I193" s="249"/>
      <c r="J193" s="249"/>
      <c r="K193" s="249"/>
      <c r="L193" s="249"/>
      <c r="M193" s="249"/>
      <c r="N193" s="249"/>
      <c r="O193" s="249"/>
      <c r="P193" s="249"/>
      <c r="Q193" s="249"/>
      <c r="R193" s="249"/>
      <c r="S193" s="249"/>
      <c r="T193" s="249"/>
      <c r="U193" s="249"/>
      <c r="V193" s="249"/>
      <c r="W193" s="249"/>
      <c r="X193" s="249"/>
      <c r="Y193" s="249"/>
      <c r="Z193" s="249"/>
      <c r="AA193" s="249"/>
      <c r="AB193" s="249"/>
      <c r="AC193" s="249"/>
      <c r="AD193" s="249"/>
    </row>
    <row r="194" spans="1:30" ht="12.9">
      <c r="A194" s="249"/>
      <c r="B194" s="249"/>
      <c r="C194" s="249"/>
      <c r="D194" s="249"/>
      <c r="E194" s="249"/>
      <c r="F194" s="249"/>
      <c r="G194" s="249"/>
      <c r="H194" s="249"/>
      <c r="I194" s="249"/>
      <c r="J194" s="249"/>
      <c r="K194" s="249"/>
      <c r="L194" s="249"/>
      <c r="M194" s="249"/>
      <c r="N194" s="249"/>
      <c r="O194" s="249"/>
      <c r="P194" s="249"/>
      <c r="Q194" s="249"/>
      <c r="R194" s="249"/>
      <c r="S194" s="249"/>
      <c r="T194" s="249"/>
      <c r="U194" s="249"/>
      <c r="V194" s="249"/>
      <c r="W194" s="249"/>
      <c r="X194" s="249"/>
      <c r="Y194" s="249"/>
      <c r="Z194" s="249"/>
      <c r="AA194" s="249"/>
      <c r="AB194" s="249"/>
      <c r="AC194" s="249"/>
      <c r="AD194" s="249"/>
    </row>
    <row r="195" spans="1:30" ht="12.9">
      <c r="A195" s="249"/>
      <c r="B195" s="249"/>
      <c r="C195" s="249"/>
      <c r="D195" s="249"/>
      <c r="E195" s="249"/>
      <c r="F195" s="249"/>
      <c r="G195" s="249"/>
      <c r="H195" s="249"/>
      <c r="I195" s="249"/>
      <c r="J195" s="249"/>
      <c r="K195" s="249"/>
      <c r="L195" s="249"/>
      <c r="M195" s="249"/>
      <c r="N195" s="249"/>
      <c r="O195" s="249"/>
      <c r="P195" s="249"/>
      <c r="Q195" s="249"/>
      <c r="R195" s="249"/>
      <c r="S195" s="249"/>
      <c r="T195" s="249"/>
      <c r="U195" s="249"/>
      <c r="V195" s="249"/>
      <c r="W195" s="249"/>
      <c r="X195" s="249"/>
      <c r="Y195" s="249"/>
      <c r="Z195" s="249"/>
      <c r="AA195" s="249"/>
      <c r="AB195" s="249"/>
      <c r="AC195" s="249"/>
      <c r="AD195" s="249"/>
    </row>
    <row r="196" spans="1:30" ht="12.9">
      <c r="A196" s="249"/>
      <c r="B196" s="249"/>
      <c r="C196" s="249"/>
      <c r="D196" s="249"/>
      <c r="E196" s="249"/>
      <c r="F196" s="249"/>
      <c r="G196" s="249"/>
      <c r="H196" s="249"/>
      <c r="I196" s="249"/>
      <c r="J196" s="249"/>
      <c r="K196" s="249"/>
      <c r="L196" s="249"/>
      <c r="M196" s="249"/>
      <c r="N196" s="249"/>
      <c r="O196" s="249"/>
      <c r="P196" s="249"/>
      <c r="Q196" s="249"/>
      <c r="R196" s="249"/>
      <c r="S196" s="249"/>
      <c r="T196" s="249"/>
      <c r="U196" s="249"/>
      <c r="V196" s="249"/>
      <c r="W196" s="249"/>
      <c r="X196" s="249"/>
      <c r="Y196" s="249"/>
      <c r="Z196" s="249"/>
      <c r="AA196" s="249"/>
      <c r="AB196" s="249"/>
      <c r="AC196" s="249"/>
      <c r="AD196" s="249"/>
    </row>
    <row r="197" spans="1:30" ht="12.9">
      <c r="A197" s="249"/>
      <c r="B197" s="249"/>
      <c r="C197" s="249"/>
      <c r="D197" s="249"/>
      <c r="E197" s="249"/>
      <c r="F197" s="249"/>
      <c r="G197" s="249"/>
      <c r="H197" s="249"/>
      <c r="I197" s="249"/>
      <c r="J197" s="249"/>
      <c r="K197" s="249"/>
      <c r="L197" s="249"/>
      <c r="M197" s="249"/>
      <c r="N197" s="249"/>
      <c r="O197" s="249"/>
      <c r="P197" s="249"/>
      <c r="Q197" s="249"/>
      <c r="R197" s="249"/>
      <c r="S197" s="249"/>
      <c r="T197" s="249"/>
      <c r="U197" s="249"/>
      <c r="V197" s="249"/>
      <c r="W197" s="249"/>
      <c r="X197" s="249"/>
      <c r="Y197" s="249"/>
      <c r="Z197" s="249"/>
      <c r="AA197" s="249"/>
      <c r="AB197" s="249"/>
      <c r="AC197" s="249"/>
      <c r="AD197" s="249"/>
    </row>
    <row r="198" spans="1:30" ht="12.9">
      <c r="A198" s="249"/>
      <c r="B198" s="249"/>
      <c r="C198" s="249"/>
      <c r="D198" s="249"/>
      <c r="E198" s="249"/>
      <c r="F198" s="249"/>
      <c r="G198" s="249"/>
      <c r="H198" s="249"/>
      <c r="I198" s="249"/>
      <c r="J198" s="249"/>
      <c r="K198" s="249"/>
      <c r="L198" s="249"/>
      <c r="M198" s="249"/>
      <c r="N198" s="249"/>
      <c r="O198" s="249"/>
      <c r="P198" s="249"/>
      <c r="Q198" s="249"/>
      <c r="R198" s="249"/>
      <c r="S198" s="249"/>
      <c r="T198" s="249"/>
      <c r="U198" s="249"/>
      <c r="V198" s="249"/>
      <c r="W198" s="249"/>
      <c r="X198" s="249"/>
      <c r="Y198" s="249"/>
      <c r="Z198" s="249"/>
      <c r="AA198" s="249"/>
      <c r="AB198" s="249"/>
      <c r="AC198" s="249"/>
      <c r="AD198" s="249"/>
    </row>
    <row r="199" spans="1:30" ht="12.9">
      <c r="A199" s="249"/>
      <c r="B199" s="249"/>
      <c r="C199" s="249"/>
      <c r="D199" s="249"/>
      <c r="E199" s="249"/>
      <c r="F199" s="249"/>
      <c r="G199" s="249"/>
      <c r="H199" s="249"/>
      <c r="I199" s="249"/>
      <c r="J199" s="249"/>
      <c r="K199" s="249"/>
      <c r="L199" s="249"/>
      <c r="M199" s="249"/>
      <c r="N199" s="249"/>
      <c r="O199" s="249"/>
      <c r="P199" s="249"/>
      <c r="Q199" s="249"/>
      <c r="R199" s="249"/>
      <c r="S199" s="249"/>
      <c r="T199" s="249"/>
      <c r="U199" s="249"/>
      <c r="V199" s="249"/>
      <c r="W199" s="249"/>
      <c r="X199" s="249"/>
      <c r="Y199" s="249"/>
      <c r="Z199" s="249"/>
      <c r="AA199" s="249"/>
      <c r="AB199" s="249"/>
      <c r="AC199" s="249"/>
      <c r="AD199" s="249"/>
    </row>
    <row r="200" spans="1:30" ht="12.9">
      <c r="A200" s="249"/>
      <c r="B200" s="249"/>
      <c r="C200" s="249"/>
      <c r="D200" s="249"/>
      <c r="E200" s="249"/>
      <c r="F200" s="249"/>
      <c r="G200" s="249"/>
      <c r="H200" s="249"/>
      <c r="I200" s="249"/>
      <c r="J200" s="249"/>
      <c r="K200" s="249"/>
      <c r="L200" s="249"/>
      <c r="M200" s="249"/>
      <c r="N200" s="249"/>
      <c r="O200" s="249"/>
      <c r="P200" s="249"/>
      <c r="Q200" s="249"/>
      <c r="R200" s="249"/>
      <c r="S200" s="249"/>
      <c r="T200" s="249"/>
      <c r="U200" s="249"/>
      <c r="V200" s="249"/>
      <c r="W200" s="249"/>
      <c r="X200" s="249"/>
      <c r="Y200" s="249"/>
      <c r="Z200" s="249"/>
      <c r="AA200" s="249"/>
      <c r="AB200" s="249"/>
      <c r="AC200" s="249"/>
      <c r="AD200" s="249"/>
    </row>
    <row r="201" spans="1:30" ht="12.9">
      <c r="A201" s="249"/>
      <c r="B201" s="249"/>
      <c r="C201" s="249"/>
      <c r="D201" s="249"/>
      <c r="E201" s="249"/>
      <c r="F201" s="249"/>
      <c r="G201" s="249"/>
      <c r="H201" s="249"/>
      <c r="I201" s="249"/>
      <c r="J201" s="249"/>
      <c r="K201" s="249"/>
      <c r="L201" s="249"/>
      <c r="M201" s="249"/>
      <c r="N201" s="249"/>
      <c r="O201" s="249"/>
      <c r="P201" s="249"/>
      <c r="Q201" s="249"/>
      <c r="R201" s="249"/>
      <c r="S201" s="249"/>
      <c r="T201" s="249"/>
      <c r="U201" s="249"/>
      <c r="V201" s="249"/>
      <c r="W201" s="249"/>
      <c r="X201" s="249"/>
      <c r="Y201" s="249"/>
      <c r="Z201" s="249"/>
      <c r="AA201" s="249"/>
      <c r="AB201" s="249"/>
      <c r="AC201" s="249"/>
      <c r="AD201" s="249"/>
    </row>
    <row r="202" spans="1:30" ht="12.9">
      <c r="A202" s="249"/>
      <c r="B202" s="249"/>
      <c r="C202" s="249"/>
      <c r="D202" s="249"/>
      <c r="E202" s="249"/>
      <c r="F202" s="249"/>
      <c r="G202" s="249"/>
      <c r="H202" s="249"/>
      <c r="I202" s="249"/>
      <c r="J202" s="249"/>
      <c r="K202" s="249"/>
      <c r="L202" s="249"/>
      <c r="M202" s="249"/>
      <c r="N202" s="249"/>
      <c r="O202" s="249"/>
      <c r="P202" s="249"/>
      <c r="Q202" s="249"/>
      <c r="R202" s="249"/>
      <c r="S202" s="249"/>
      <c r="T202" s="249"/>
      <c r="U202" s="249"/>
      <c r="V202" s="249"/>
      <c r="W202" s="249"/>
      <c r="X202" s="249"/>
      <c r="Y202" s="249"/>
      <c r="Z202" s="249"/>
      <c r="AA202" s="249"/>
      <c r="AB202" s="249"/>
      <c r="AC202" s="249"/>
      <c r="AD202" s="249"/>
    </row>
    <row r="203" spans="1:30" ht="12.9">
      <c r="A203" s="249"/>
      <c r="B203" s="249"/>
      <c r="C203" s="249"/>
      <c r="D203" s="249"/>
      <c r="E203" s="249"/>
      <c r="F203" s="249"/>
      <c r="G203" s="249"/>
      <c r="H203" s="249"/>
      <c r="I203" s="249"/>
      <c r="J203" s="249"/>
      <c r="K203" s="249"/>
      <c r="L203" s="249"/>
      <c r="M203" s="249"/>
      <c r="N203" s="249"/>
      <c r="O203" s="249"/>
      <c r="P203" s="249"/>
      <c r="Q203" s="249"/>
      <c r="R203" s="249"/>
      <c r="S203" s="249"/>
      <c r="T203" s="249"/>
      <c r="U203" s="249"/>
      <c r="V203" s="249"/>
      <c r="W203" s="249"/>
      <c r="X203" s="249"/>
      <c r="Y203" s="249"/>
      <c r="Z203" s="249"/>
      <c r="AA203" s="249"/>
      <c r="AB203" s="249"/>
      <c r="AC203" s="249"/>
      <c r="AD203" s="249"/>
    </row>
    <row r="204" spans="1:30" ht="12.9">
      <c r="A204" s="249"/>
      <c r="B204" s="249"/>
      <c r="C204" s="249"/>
      <c r="D204" s="249"/>
      <c r="E204" s="249"/>
      <c r="F204" s="249"/>
      <c r="G204" s="249"/>
      <c r="H204" s="249"/>
      <c r="I204" s="249"/>
      <c r="J204" s="249"/>
      <c r="K204" s="249"/>
      <c r="L204" s="249"/>
      <c r="M204" s="249"/>
      <c r="N204" s="249"/>
      <c r="O204" s="249"/>
      <c r="P204" s="249"/>
      <c r="Q204" s="249"/>
      <c r="R204" s="249"/>
      <c r="S204" s="249"/>
      <c r="T204" s="249"/>
      <c r="U204" s="249"/>
      <c r="V204" s="249"/>
      <c r="W204" s="249"/>
      <c r="X204" s="249"/>
      <c r="Y204" s="249"/>
      <c r="Z204" s="249"/>
      <c r="AA204" s="249"/>
      <c r="AB204" s="249"/>
      <c r="AC204" s="249"/>
      <c r="AD204" s="249"/>
    </row>
    <row r="205" spans="1:30" ht="12.9">
      <c r="A205" s="249"/>
      <c r="B205" s="249"/>
      <c r="C205" s="249"/>
      <c r="D205" s="249"/>
      <c r="E205" s="249"/>
      <c r="F205" s="249"/>
      <c r="G205" s="249"/>
      <c r="H205" s="249"/>
      <c r="I205" s="249"/>
      <c r="J205" s="249"/>
      <c r="K205" s="249"/>
      <c r="L205" s="249"/>
      <c r="M205" s="249"/>
      <c r="N205" s="249"/>
      <c r="O205" s="249"/>
      <c r="P205" s="249"/>
      <c r="Q205" s="249"/>
      <c r="R205" s="249"/>
      <c r="S205" s="249"/>
      <c r="T205" s="249"/>
      <c r="U205" s="249"/>
      <c r="V205" s="249"/>
      <c r="W205" s="249"/>
      <c r="X205" s="249"/>
      <c r="Y205" s="249"/>
      <c r="Z205" s="249"/>
      <c r="AA205" s="249"/>
      <c r="AB205" s="249"/>
      <c r="AC205" s="249"/>
      <c r="AD205" s="249"/>
    </row>
    <row r="206" spans="1:30" ht="12.9">
      <c r="A206" s="249"/>
      <c r="B206" s="249"/>
      <c r="C206" s="249"/>
      <c r="D206" s="249"/>
      <c r="E206" s="249"/>
      <c r="F206" s="249"/>
      <c r="G206" s="249"/>
      <c r="H206" s="249"/>
      <c r="I206" s="249"/>
      <c r="J206" s="249"/>
      <c r="K206" s="249"/>
      <c r="L206" s="249"/>
      <c r="M206" s="249"/>
      <c r="N206" s="249"/>
      <c r="O206" s="249"/>
      <c r="P206" s="249"/>
      <c r="Q206" s="249"/>
      <c r="R206" s="249"/>
      <c r="S206" s="249"/>
      <c r="T206" s="249"/>
      <c r="U206" s="249"/>
      <c r="V206" s="249"/>
      <c r="W206" s="249"/>
      <c r="X206" s="249"/>
      <c r="Y206" s="249"/>
      <c r="Z206" s="249"/>
      <c r="AA206" s="249"/>
      <c r="AB206" s="249"/>
      <c r="AC206" s="249"/>
      <c r="AD206" s="249"/>
    </row>
    <row r="207" spans="1:30" ht="12.9">
      <c r="A207" s="249"/>
      <c r="B207" s="249"/>
      <c r="C207" s="249"/>
      <c r="D207" s="249"/>
      <c r="E207" s="249"/>
      <c r="F207" s="249"/>
      <c r="G207" s="249"/>
      <c r="H207" s="249"/>
      <c r="I207" s="249"/>
      <c r="J207" s="249"/>
      <c r="K207" s="249"/>
      <c r="L207" s="249"/>
      <c r="M207" s="249"/>
      <c r="N207" s="249"/>
      <c r="O207" s="249"/>
      <c r="P207" s="249"/>
      <c r="Q207" s="249"/>
      <c r="R207" s="249"/>
      <c r="S207" s="249"/>
      <c r="T207" s="249"/>
      <c r="U207" s="249"/>
      <c r="V207" s="249"/>
      <c r="W207" s="249"/>
      <c r="X207" s="249"/>
      <c r="Y207" s="249"/>
      <c r="Z207" s="249"/>
      <c r="AA207" s="249"/>
      <c r="AB207" s="249"/>
      <c r="AC207" s="249"/>
      <c r="AD207" s="249"/>
    </row>
    <row r="208" spans="1:30" ht="12.9">
      <c r="A208" s="249"/>
      <c r="B208" s="249"/>
      <c r="C208" s="249"/>
      <c r="D208" s="249"/>
      <c r="E208" s="249"/>
      <c r="F208" s="249"/>
      <c r="G208" s="249"/>
      <c r="H208" s="249"/>
      <c r="I208" s="249"/>
      <c r="J208" s="249"/>
      <c r="K208" s="249"/>
      <c r="L208" s="249"/>
      <c r="M208" s="249"/>
      <c r="N208" s="249"/>
      <c r="O208" s="249"/>
      <c r="P208" s="249"/>
      <c r="Q208" s="249"/>
      <c r="R208" s="249"/>
      <c r="S208" s="249"/>
      <c r="T208" s="249"/>
      <c r="U208" s="249"/>
      <c r="V208" s="249"/>
      <c r="W208" s="249"/>
      <c r="X208" s="249"/>
      <c r="Y208" s="249"/>
      <c r="Z208" s="249"/>
      <c r="AA208" s="249"/>
      <c r="AB208" s="249"/>
      <c r="AC208" s="249"/>
      <c r="AD208" s="249"/>
    </row>
    <row r="209" spans="1:30" ht="12.9">
      <c r="A209" s="249"/>
      <c r="B209" s="249"/>
      <c r="C209" s="249"/>
      <c r="D209" s="249"/>
      <c r="E209" s="249"/>
      <c r="F209" s="249"/>
      <c r="G209" s="249"/>
      <c r="H209" s="249"/>
      <c r="I209" s="249"/>
      <c r="J209" s="249"/>
      <c r="K209" s="249"/>
      <c r="L209" s="249"/>
      <c r="M209" s="249"/>
      <c r="N209" s="249"/>
      <c r="O209" s="249"/>
      <c r="P209" s="249"/>
      <c r="Q209" s="249"/>
      <c r="R209" s="249"/>
      <c r="S209" s="249"/>
      <c r="T209" s="249"/>
      <c r="U209" s="249"/>
      <c r="V209" s="249"/>
      <c r="W209" s="249"/>
      <c r="X209" s="249"/>
      <c r="Y209" s="249"/>
      <c r="Z209" s="249"/>
      <c r="AA209" s="249"/>
      <c r="AB209" s="249"/>
      <c r="AC209" s="249"/>
      <c r="AD209" s="249"/>
    </row>
    <row r="210" spans="1:30" ht="12.9">
      <c r="A210" s="249"/>
      <c r="B210" s="249"/>
      <c r="C210" s="249"/>
      <c r="D210" s="249"/>
      <c r="E210" s="249"/>
      <c r="F210" s="249"/>
      <c r="G210" s="249"/>
      <c r="H210" s="249"/>
      <c r="I210" s="249"/>
      <c r="J210" s="249"/>
      <c r="K210" s="249"/>
      <c r="L210" s="249"/>
      <c r="M210" s="249"/>
      <c r="N210" s="249"/>
      <c r="O210" s="249"/>
      <c r="P210" s="249"/>
      <c r="Q210" s="249"/>
      <c r="R210" s="249"/>
      <c r="S210" s="249"/>
      <c r="T210" s="249"/>
      <c r="U210" s="249"/>
      <c r="V210" s="249"/>
      <c r="W210" s="249"/>
      <c r="X210" s="249"/>
      <c r="Y210" s="249"/>
      <c r="Z210" s="249"/>
      <c r="AA210" s="249"/>
      <c r="AB210" s="249"/>
      <c r="AC210" s="249"/>
      <c r="AD210" s="249"/>
    </row>
    <row r="211" spans="1:30" ht="12.9">
      <c r="A211" s="249"/>
      <c r="B211" s="249"/>
      <c r="C211" s="249"/>
      <c r="D211" s="249"/>
      <c r="E211" s="249"/>
      <c r="F211" s="249"/>
      <c r="G211" s="249"/>
      <c r="H211" s="249"/>
      <c r="I211" s="249"/>
      <c r="J211" s="249"/>
      <c r="K211" s="249"/>
      <c r="L211" s="249"/>
      <c r="M211" s="249"/>
      <c r="N211" s="249"/>
      <c r="O211" s="249"/>
      <c r="P211" s="249"/>
      <c r="Q211" s="249"/>
      <c r="R211" s="249"/>
      <c r="S211" s="249"/>
      <c r="T211" s="249"/>
      <c r="U211" s="249"/>
      <c r="V211" s="249"/>
      <c r="W211" s="249"/>
      <c r="X211" s="249"/>
      <c r="Y211" s="249"/>
      <c r="Z211" s="249"/>
      <c r="AA211" s="249"/>
      <c r="AB211" s="249"/>
      <c r="AC211" s="249"/>
      <c r="AD211" s="249"/>
    </row>
    <row r="212" spans="1:30" ht="12.9">
      <c r="A212" s="249"/>
      <c r="B212" s="249"/>
      <c r="C212" s="249"/>
      <c r="D212" s="249"/>
      <c r="E212" s="249"/>
      <c r="F212" s="249"/>
      <c r="G212" s="249"/>
      <c r="H212" s="249"/>
      <c r="I212" s="249"/>
      <c r="J212" s="249"/>
      <c r="K212" s="249"/>
      <c r="L212" s="249"/>
      <c r="M212" s="249"/>
      <c r="N212" s="249"/>
      <c r="O212" s="249"/>
      <c r="P212" s="249"/>
      <c r="Q212" s="249"/>
      <c r="R212" s="249"/>
      <c r="S212" s="249"/>
      <c r="T212" s="249"/>
      <c r="U212" s="249"/>
      <c r="V212" s="249"/>
      <c r="W212" s="249"/>
      <c r="X212" s="249"/>
      <c r="Y212" s="249"/>
      <c r="Z212" s="249"/>
      <c r="AA212" s="249"/>
      <c r="AB212" s="249"/>
      <c r="AC212" s="249"/>
      <c r="AD212" s="249"/>
    </row>
    <row r="213" spans="1:30" ht="12.9">
      <c r="A213" s="249"/>
      <c r="B213" s="249"/>
      <c r="C213" s="249"/>
      <c r="D213" s="249"/>
      <c r="E213" s="249"/>
      <c r="F213" s="249"/>
      <c r="G213" s="249"/>
      <c r="H213" s="249"/>
      <c r="I213" s="249"/>
      <c r="J213" s="249"/>
      <c r="K213" s="249"/>
      <c r="L213" s="249"/>
      <c r="M213" s="249"/>
      <c r="N213" s="249"/>
      <c r="O213" s="249"/>
      <c r="P213" s="249"/>
      <c r="Q213" s="249"/>
      <c r="R213" s="249"/>
      <c r="S213" s="249"/>
      <c r="T213" s="249"/>
      <c r="U213" s="249"/>
      <c r="V213" s="249"/>
      <c r="W213" s="249"/>
      <c r="X213" s="249"/>
      <c r="Y213" s="249"/>
      <c r="Z213" s="249"/>
      <c r="AA213" s="249"/>
      <c r="AB213" s="249"/>
      <c r="AC213" s="249"/>
      <c r="AD213" s="249"/>
    </row>
    <row r="214" spans="1:30" ht="12.9">
      <c r="A214" s="249"/>
      <c r="B214" s="249"/>
      <c r="C214" s="249"/>
      <c r="D214" s="249"/>
      <c r="E214" s="249"/>
      <c r="F214" s="249"/>
      <c r="G214" s="249"/>
      <c r="H214" s="249"/>
      <c r="I214" s="249"/>
      <c r="J214" s="249"/>
      <c r="K214" s="249"/>
      <c r="L214" s="249"/>
      <c r="M214" s="249"/>
      <c r="N214" s="249"/>
      <c r="O214" s="249"/>
      <c r="P214" s="249"/>
      <c r="Q214" s="249"/>
      <c r="R214" s="249"/>
      <c r="S214" s="249"/>
      <c r="T214" s="249"/>
      <c r="U214" s="249"/>
      <c r="V214" s="249"/>
      <c r="W214" s="249"/>
      <c r="X214" s="249"/>
      <c r="Y214" s="249"/>
      <c r="Z214" s="249"/>
      <c r="AA214" s="249"/>
      <c r="AB214" s="249"/>
      <c r="AC214" s="249"/>
      <c r="AD214" s="249"/>
    </row>
    <row r="215" spans="1:30" ht="12.9">
      <c r="A215" s="249"/>
      <c r="B215" s="249"/>
      <c r="C215" s="249"/>
      <c r="D215" s="249"/>
      <c r="E215" s="249"/>
      <c r="F215" s="249"/>
      <c r="G215" s="249"/>
      <c r="H215" s="249"/>
      <c r="I215" s="249"/>
      <c r="J215" s="249"/>
      <c r="K215" s="249"/>
      <c r="L215" s="249"/>
      <c r="M215" s="249"/>
      <c r="N215" s="249"/>
      <c r="O215" s="249"/>
      <c r="P215" s="249"/>
      <c r="Q215" s="249"/>
      <c r="R215" s="249"/>
      <c r="S215" s="249"/>
      <c r="T215" s="249"/>
      <c r="U215" s="249"/>
      <c r="V215" s="249"/>
      <c r="W215" s="249"/>
      <c r="X215" s="249"/>
      <c r="Y215" s="249"/>
      <c r="Z215" s="249"/>
      <c r="AA215" s="249"/>
      <c r="AB215" s="249"/>
      <c r="AC215" s="249"/>
      <c r="AD215" s="249"/>
    </row>
    <row r="216" spans="1:30" ht="12.9">
      <c r="A216" s="249"/>
      <c r="B216" s="249"/>
      <c r="C216" s="249"/>
      <c r="D216" s="249"/>
      <c r="E216" s="249"/>
      <c r="F216" s="249"/>
      <c r="G216" s="249"/>
      <c r="H216" s="249"/>
      <c r="I216" s="249"/>
      <c r="J216" s="249"/>
      <c r="K216" s="249"/>
      <c r="L216" s="249"/>
      <c r="M216" s="249"/>
      <c r="N216" s="249"/>
      <c r="O216" s="249"/>
      <c r="P216" s="249"/>
      <c r="Q216" s="249"/>
      <c r="R216" s="249"/>
      <c r="S216" s="249"/>
      <c r="T216" s="249"/>
      <c r="U216" s="249"/>
      <c r="V216" s="249"/>
      <c r="W216" s="249"/>
      <c r="X216" s="249"/>
      <c r="Y216" s="249"/>
      <c r="Z216" s="249"/>
      <c r="AA216" s="249"/>
      <c r="AB216" s="249"/>
      <c r="AC216" s="249"/>
      <c r="AD216" s="249"/>
    </row>
    <row r="217" spans="1:30" ht="12.9">
      <c r="A217" s="249"/>
      <c r="B217" s="249"/>
      <c r="C217" s="249"/>
      <c r="D217" s="249"/>
      <c r="E217" s="249"/>
      <c r="F217" s="249"/>
      <c r="G217" s="249"/>
      <c r="H217" s="249"/>
      <c r="I217" s="249"/>
      <c r="J217" s="249"/>
      <c r="K217" s="249"/>
      <c r="L217" s="249"/>
      <c r="M217" s="249"/>
      <c r="N217" s="249"/>
      <c r="O217" s="249"/>
      <c r="P217" s="249"/>
      <c r="Q217" s="249"/>
      <c r="R217" s="249"/>
      <c r="S217" s="249"/>
      <c r="T217" s="249"/>
      <c r="U217" s="249"/>
      <c r="V217" s="249"/>
      <c r="W217" s="249"/>
      <c r="X217" s="249"/>
      <c r="Y217" s="249"/>
      <c r="Z217" s="249"/>
      <c r="AA217" s="249"/>
      <c r="AB217" s="249"/>
      <c r="AC217" s="249"/>
      <c r="AD217" s="249"/>
    </row>
    <row r="218" spans="1:30" ht="12.9">
      <c r="A218" s="249"/>
      <c r="B218" s="249"/>
      <c r="C218" s="249"/>
      <c r="D218" s="249"/>
      <c r="E218" s="249"/>
      <c r="F218" s="249"/>
      <c r="G218" s="249"/>
      <c r="H218" s="249"/>
      <c r="I218" s="249"/>
      <c r="J218" s="249"/>
      <c r="K218" s="249"/>
      <c r="L218" s="249"/>
      <c r="M218" s="249"/>
      <c r="N218" s="249"/>
      <c r="O218" s="249"/>
      <c r="P218" s="249"/>
      <c r="Q218" s="249"/>
      <c r="R218" s="249"/>
      <c r="S218" s="249"/>
      <c r="T218" s="249"/>
      <c r="U218" s="249"/>
      <c r="V218" s="249"/>
      <c r="W218" s="249"/>
      <c r="X218" s="249"/>
      <c r="Y218" s="249"/>
      <c r="Z218" s="249"/>
      <c r="AA218" s="249"/>
      <c r="AB218" s="249"/>
      <c r="AC218" s="249"/>
      <c r="AD218" s="249"/>
    </row>
    <row r="219" spans="1:30" ht="12.9">
      <c r="A219" s="249"/>
      <c r="B219" s="249"/>
      <c r="C219" s="249"/>
      <c r="D219" s="249"/>
      <c r="E219" s="249"/>
      <c r="F219" s="249"/>
      <c r="G219" s="249"/>
      <c r="H219" s="249"/>
      <c r="I219" s="249"/>
      <c r="J219" s="249"/>
      <c r="K219" s="249"/>
      <c r="L219" s="249"/>
      <c r="M219" s="249"/>
      <c r="N219" s="249"/>
      <c r="O219" s="249"/>
      <c r="P219" s="249"/>
      <c r="Q219" s="249"/>
      <c r="R219" s="249"/>
      <c r="S219" s="249"/>
      <c r="T219" s="249"/>
      <c r="U219" s="249"/>
      <c r="V219" s="249"/>
      <c r="W219" s="249"/>
      <c r="X219" s="249"/>
      <c r="Y219" s="249"/>
      <c r="Z219" s="249"/>
      <c r="AA219" s="249"/>
      <c r="AB219" s="249"/>
      <c r="AC219" s="249"/>
      <c r="AD219" s="249"/>
    </row>
    <row r="220" spans="1:30" ht="12.9">
      <c r="A220" s="249"/>
      <c r="B220" s="249"/>
      <c r="C220" s="249"/>
      <c r="D220" s="249"/>
      <c r="E220" s="249"/>
      <c r="F220" s="249"/>
      <c r="G220" s="249"/>
      <c r="H220" s="249"/>
      <c r="I220" s="249"/>
      <c r="J220" s="249"/>
      <c r="K220" s="249"/>
      <c r="L220" s="249"/>
      <c r="M220" s="249"/>
      <c r="N220" s="249"/>
      <c r="O220" s="249"/>
      <c r="P220" s="249"/>
      <c r="Q220" s="249"/>
      <c r="R220" s="249"/>
      <c r="S220" s="249"/>
      <c r="T220" s="249"/>
      <c r="U220" s="249"/>
      <c r="V220" s="249"/>
      <c r="W220" s="249"/>
      <c r="X220" s="249"/>
      <c r="Y220" s="249"/>
      <c r="Z220" s="249"/>
      <c r="AA220" s="249"/>
      <c r="AB220" s="249"/>
      <c r="AC220" s="249"/>
      <c r="AD220" s="249"/>
    </row>
    <row r="221" spans="1:30" ht="12.9">
      <c r="A221" s="249"/>
      <c r="B221" s="249"/>
      <c r="C221" s="249"/>
      <c r="D221" s="249"/>
      <c r="E221" s="249"/>
      <c r="F221" s="249"/>
      <c r="G221" s="249"/>
      <c r="H221" s="249"/>
      <c r="I221" s="249"/>
      <c r="J221" s="249"/>
      <c r="K221" s="249"/>
      <c r="L221" s="249"/>
      <c r="M221" s="249"/>
      <c r="N221" s="249"/>
      <c r="O221" s="249"/>
      <c r="P221" s="249"/>
      <c r="Q221" s="249"/>
      <c r="R221" s="249"/>
      <c r="S221" s="249"/>
      <c r="T221" s="249"/>
      <c r="U221" s="249"/>
      <c r="V221" s="249"/>
      <c r="W221" s="249"/>
      <c r="X221" s="249"/>
      <c r="Y221" s="249"/>
      <c r="Z221" s="249"/>
      <c r="AA221" s="249"/>
      <c r="AB221" s="249"/>
      <c r="AC221" s="249"/>
      <c r="AD221" s="249"/>
    </row>
    <row r="222" spans="1:30" ht="12.9">
      <c r="A222" s="249"/>
      <c r="B222" s="249"/>
      <c r="C222" s="249"/>
      <c r="D222" s="249"/>
      <c r="E222" s="249"/>
      <c r="F222" s="249"/>
      <c r="G222" s="249"/>
      <c r="H222" s="249"/>
      <c r="I222" s="249"/>
      <c r="J222" s="249"/>
      <c r="K222" s="249"/>
      <c r="L222" s="249"/>
      <c r="M222" s="249"/>
      <c r="N222" s="249"/>
      <c r="O222" s="249"/>
      <c r="P222" s="249"/>
      <c r="Q222" s="249"/>
      <c r="R222" s="249"/>
      <c r="S222" s="249"/>
      <c r="T222" s="249"/>
      <c r="U222" s="249"/>
      <c r="V222" s="249"/>
      <c r="W222" s="249"/>
      <c r="X222" s="249"/>
      <c r="Y222" s="249"/>
      <c r="Z222" s="249"/>
      <c r="AA222" s="249"/>
      <c r="AB222" s="249"/>
      <c r="AC222" s="249"/>
      <c r="AD222" s="249"/>
    </row>
    <row r="223" spans="1:30" ht="12.9">
      <c r="A223" s="249"/>
      <c r="B223" s="249"/>
      <c r="C223" s="249"/>
      <c r="D223" s="249"/>
      <c r="E223" s="249"/>
      <c r="F223" s="249"/>
      <c r="G223" s="249"/>
      <c r="H223" s="249"/>
      <c r="I223" s="249"/>
      <c r="J223" s="249"/>
      <c r="K223" s="249"/>
      <c r="L223" s="249"/>
      <c r="M223" s="249"/>
      <c r="N223" s="249"/>
      <c r="O223" s="249"/>
      <c r="P223" s="249"/>
      <c r="Q223" s="249"/>
      <c r="R223" s="249"/>
      <c r="S223" s="249"/>
      <c r="T223" s="249"/>
      <c r="U223" s="249"/>
      <c r="V223" s="249"/>
      <c r="W223" s="249"/>
      <c r="X223" s="249"/>
      <c r="Y223" s="249"/>
      <c r="Z223" s="249"/>
      <c r="AA223" s="249"/>
      <c r="AB223" s="249"/>
      <c r="AC223" s="249"/>
      <c r="AD223" s="249"/>
    </row>
    <row r="224" spans="1:30" ht="12.9">
      <c r="A224" s="249"/>
      <c r="B224" s="249"/>
      <c r="C224" s="249"/>
      <c r="D224" s="249"/>
      <c r="E224" s="249"/>
      <c r="F224" s="249"/>
      <c r="G224" s="249"/>
      <c r="H224" s="249"/>
      <c r="I224" s="249"/>
      <c r="J224" s="249"/>
      <c r="K224" s="249"/>
      <c r="L224" s="249"/>
      <c r="M224" s="249"/>
      <c r="N224" s="249"/>
      <c r="O224" s="249"/>
      <c r="P224" s="249"/>
      <c r="Q224" s="249"/>
      <c r="R224" s="249"/>
      <c r="S224" s="249"/>
      <c r="T224" s="249"/>
      <c r="U224" s="249"/>
      <c r="V224" s="249"/>
      <c r="W224" s="249"/>
      <c r="X224" s="249"/>
      <c r="Y224" s="249"/>
      <c r="Z224" s="249"/>
      <c r="AA224" s="249"/>
      <c r="AB224" s="249"/>
      <c r="AC224" s="249"/>
      <c r="AD224" s="249"/>
    </row>
    <row r="225" spans="1:30" ht="12.9">
      <c r="A225" s="249"/>
      <c r="B225" s="249"/>
      <c r="C225" s="249"/>
      <c r="D225" s="249"/>
      <c r="E225" s="249"/>
      <c r="F225" s="249"/>
      <c r="G225" s="249"/>
      <c r="H225" s="249"/>
      <c r="I225" s="249"/>
      <c r="J225" s="249"/>
      <c r="K225" s="249"/>
      <c r="L225" s="249"/>
      <c r="M225" s="249"/>
      <c r="N225" s="249"/>
      <c r="O225" s="249"/>
      <c r="P225" s="249"/>
      <c r="Q225" s="249"/>
      <c r="R225" s="249"/>
      <c r="S225" s="249"/>
      <c r="T225" s="249"/>
      <c r="U225" s="249"/>
      <c r="V225" s="249"/>
      <c r="W225" s="249"/>
      <c r="X225" s="249"/>
      <c r="Y225" s="249"/>
      <c r="Z225" s="249"/>
      <c r="AA225" s="249"/>
      <c r="AB225" s="249"/>
      <c r="AC225" s="249"/>
      <c r="AD225" s="249"/>
    </row>
    <row r="226" spans="1:30" ht="12.9">
      <c r="A226" s="249"/>
      <c r="B226" s="249"/>
      <c r="C226" s="249"/>
      <c r="D226" s="249"/>
      <c r="E226" s="249"/>
      <c r="F226" s="249"/>
      <c r="G226" s="249"/>
      <c r="H226" s="249"/>
      <c r="I226" s="249"/>
      <c r="J226" s="249"/>
      <c r="K226" s="249"/>
      <c r="L226" s="249"/>
      <c r="M226" s="249"/>
      <c r="N226" s="249"/>
      <c r="O226" s="249"/>
      <c r="P226" s="249"/>
      <c r="Q226" s="249"/>
      <c r="R226" s="249"/>
      <c r="S226" s="249"/>
      <c r="T226" s="249"/>
      <c r="U226" s="249"/>
      <c r="V226" s="249"/>
      <c r="W226" s="249"/>
      <c r="X226" s="249"/>
      <c r="Y226" s="249"/>
      <c r="Z226" s="249"/>
      <c r="AA226" s="249"/>
      <c r="AB226" s="249"/>
      <c r="AC226" s="249"/>
      <c r="AD226" s="249"/>
    </row>
    <row r="227" spans="1:30" ht="12.9">
      <c r="A227" s="249"/>
      <c r="B227" s="249"/>
      <c r="C227" s="249"/>
      <c r="D227" s="249"/>
      <c r="E227" s="249"/>
      <c r="F227" s="249"/>
      <c r="G227" s="249"/>
      <c r="H227" s="249"/>
      <c r="I227" s="249"/>
      <c r="J227" s="249"/>
      <c r="K227" s="249"/>
      <c r="L227" s="249"/>
      <c r="M227" s="249"/>
      <c r="N227" s="249"/>
      <c r="O227" s="249"/>
      <c r="P227" s="249"/>
      <c r="Q227" s="249"/>
      <c r="R227" s="249"/>
      <c r="S227" s="249"/>
      <c r="T227" s="249"/>
      <c r="U227" s="249"/>
      <c r="V227" s="249"/>
      <c r="W227" s="249"/>
      <c r="X227" s="249"/>
      <c r="Y227" s="249"/>
      <c r="Z227" s="249"/>
      <c r="AA227" s="249"/>
      <c r="AB227" s="249"/>
      <c r="AC227" s="249"/>
      <c r="AD227" s="249"/>
    </row>
    <row r="228" spans="1:30" ht="12.9">
      <c r="A228" s="249"/>
      <c r="B228" s="249"/>
      <c r="C228" s="249"/>
      <c r="D228" s="249"/>
      <c r="E228" s="249"/>
      <c r="F228" s="249"/>
      <c r="G228" s="249"/>
      <c r="H228" s="249"/>
      <c r="I228" s="249"/>
      <c r="J228" s="249"/>
      <c r="K228" s="249"/>
      <c r="L228" s="249"/>
      <c r="M228" s="249"/>
      <c r="N228" s="249"/>
      <c r="O228" s="249"/>
      <c r="P228" s="249"/>
      <c r="Q228" s="249"/>
      <c r="R228" s="249"/>
      <c r="S228" s="249"/>
      <c r="T228" s="249"/>
      <c r="U228" s="249"/>
      <c r="V228" s="249"/>
      <c r="W228" s="249"/>
      <c r="X228" s="249"/>
      <c r="Y228" s="249"/>
      <c r="Z228" s="249"/>
      <c r="AA228" s="249"/>
      <c r="AB228" s="249"/>
      <c r="AC228" s="249"/>
      <c r="AD228" s="249"/>
    </row>
    <row r="229" spans="1:30" ht="12.9">
      <c r="A229" s="249"/>
      <c r="B229" s="249"/>
      <c r="C229" s="249"/>
      <c r="D229" s="249"/>
      <c r="E229" s="249"/>
      <c r="F229" s="249"/>
      <c r="G229" s="249"/>
      <c r="H229" s="249"/>
      <c r="I229" s="249"/>
      <c r="J229" s="249"/>
      <c r="K229" s="249"/>
      <c r="L229" s="249"/>
      <c r="M229" s="249"/>
      <c r="N229" s="249"/>
      <c r="O229" s="249"/>
      <c r="P229" s="249"/>
      <c r="Q229" s="249"/>
      <c r="R229" s="249"/>
      <c r="S229" s="249"/>
      <c r="T229" s="249"/>
      <c r="U229" s="249"/>
      <c r="V229" s="249"/>
      <c r="W229" s="249"/>
      <c r="X229" s="249"/>
      <c r="Y229" s="249"/>
      <c r="Z229" s="249"/>
      <c r="AA229" s="249"/>
      <c r="AB229" s="249"/>
      <c r="AC229" s="249"/>
      <c r="AD229" s="249"/>
    </row>
    <row r="230" spans="1:30" ht="12.9">
      <c r="A230" s="249"/>
      <c r="B230" s="249"/>
      <c r="C230" s="249"/>
      <c r="D230" s="249"/>
      <c r="E230" s="249"/>
      <c r="F230" s="249"/>
      <c r="G230" s="249"/>
      <c r="H230" s="249"/>
      <c r="I230" s="249"/>
      <c r="J230" s="249"/>
      <c r="K230" s="249"/>
      <c r="L230" s="249"/>
      <c r="M230" s="249"/>
      <c r="N230" s="249"/>
      <c r="O230" s="249"/>
      <c r="P230" s="249"/>
      <c r="Q230" s="249"/>
      <c r="R230" s="249"/>
      <c r="S230" s="249"/>
      <c r="T230" s="249"/>
      <c r="U230" s="249"/>
      <c r="V230" s="249"/>
      <c r="W230" s="249"/>
      <c r="X230" s="249"/>
      <c r="Y230" s="249"/>
      <c r="Z230" s="249"/>
      <c r="AA230" s="249"/>
      <c r="AB230" s="249"/>
      <c r="AC230" s="249"/>
      <c r="AD230" s="249"/>
    </row>
    <row r="231" spans="1:30" ht="12.9">
      <c r="A231" s="249"/>
      <c r="B231" s="249"/>
      <c r="C231" s="249"/>
      <c r="D231" s="249"/>
      <c r="E231" s="249"/>
      <c r="F231" s="249"/>
      <c r="G231" s="249"/>
      <c r="H231" s="249"/>
      <c r="I231" s="249"/>
      <c r="J231" s="249"/>
      <c r="K231" s="249"/>
      <c r="L231" s="249"/>
      <c r="M231" s="249"/>
      <c r="N231" s="249"/>
      <c r="O231" s="249"/>
      <c r="P231" s="249"/>
      <c r="Q231" s="249"/>
      <c r="R231" s="249"/>
      <c r="S231" s="249"/>
      <c r="T231" s="249"/>
      <c r="U231" s="249"/>
      <c r="V231" s="249"/>
      <c r="W231" s="249"/>
      <c r="X231" s="249"/>
      <c r="Y231" s="249"/>
      <c r="Z231" s="249"/>
      <c r="AA231" s="249"/>
      <c r="AB231" s="249"/>
      <c r="AC231" s="249"/>
      <c r="AD231" s="249"/>
    </row>
    <row r="232" spans="1:30" ht="12.9">
      <c r="A232" s="249"/>
      <c r="B232" s="249"/>
      <c r="C232" s="249"/>
      <c r="D232" s="249"/>
      <c r="E232" s="249"/>
      <c r="F232" s="249"/>
      <c r="G232" s="249"/>
      <c r="H232" s="249"/>
      <c r="I232" s="249"/>
      <c r="J232" s="249"/>
      <c r="K232" s="249"/>
      <c r="L232" s="249"/>
      <c r="M232" s="249"/>
      <c r="N232" s="249"/>
      <c r="O232" s="249"/>
      <c r="P232" s="249"/>
      <c r="Q232" s="249"/>
      <c r="R232" s="249"/>
      <c r="S232" s="249"/>
      <c r="T232" s="249"/>
      <c r="U232" s="249"/>
      <c r="V232" s="249"/>
      <c r="W232" s="249"/>
      <c r="X232" s="249"/>
      <c r="Y232" s="249"/>
      <c r="Z232" s="249"/>
      <c r="AA232" s="249"/>
      <c r="AB232" s="249"/>
      <c r="AC232" s="249"/>
      <c r="AD232" s="249"/>
    </row>
    <row r="233" spans="1:30" ht="12.9">
      <c r="A233" s="249"/>
      <c r="B233" s="249"/>
      <c r="C233" s="249"/>
      <c r="D233" s="249"/>
      <c r="E233" s="249"/>
      <c r="F233" s="249"/>
      <c r="G233" s="249"/>
      <c r="H233" s="249"/>
      <c r="I233" s="249"/>
      <c r="J233" s="249"/>
      <c r="K233" s="249"/>
      <c r="L233" s="249"/>
      <c r="M233" s="249"/>
      <c r="N233" s="249"/>
      <c r="O233" s="249"/>
      <c r="P233" s="249"/>
      <c r="Q233" s="249"/>
      <c r="R233" s="249"/>
      <c r="S233" s="249"/>
      <c r="T233" s="249"/>
      <c r="U233" s="249"/>
      <c r="V233" s="249"/>
      <c r="W233" s="249"/>
      <c r="X233" s="249"/>
      <c r="Y233" s="249"/>
      <c r="Z233" s="249"/>
      <c r="AA233" s="249"/>
      <c r="AB233" s="249"/>
      <c r="AC233" s="249"/>
      <c r="AD233" s="249"/>
    </row>
    <row r="234" spans="1:30" ht="12.9">
      <c r="A234" s="249"/>
      <c r="B234" s="249"/>
      <c r="C234" s="249"/>
      <c r="D234" s="249"/>
      <c r="E234" s="249"/>
      <c r="F234" s="249"/>
      <c r="G234" s="249"/>
      <c r="H234" s="249"/>
      <c r="I234" s="249"/>
      <c r="J234" s="249"/>
      <c r="K234" s="249"/>
      <c r="L234" s="249"/>
      <c r="M234" s="249"/>
      <c r="N234" s="249"/>
      <c r="O234" s="249"/>
      <c r="P234" s="249"/>
      <c r="Q234" s="249"/>
      <c r="R234" s="249"/>
      <c r="S234" s="249"/>
      <c r="T234" s="249"/>
      <c r="U234" s="249"/>
      <c r="V234" s="249"/>
      <c r="W234" s="249"/>
      <c r="X234" s="249"/>
      <c r="Y234" s="249"/>
      <c r="Z234" s="249"/>
      <c r="AA234" s="249"/>
      <c r="AB234" s="249"/>
      <c r="AC234" s="249"/>
      <c r="AD234" s="249"/>
    </row>
    <row r="235" spans="1:30" ht="12.9">
      <c r="A235" s="249"/>
      <c r="B235" s="249"/>
      <c r="C235" s="249"/>
      <c r="D235" s="249"/>
      <c r="E235" s="249"/>
      <c r="F235" s="249"/>
      <c r="G235" s="249"/>
      <c r="H235" s="249"/>
      <c r="I235" s="249"/>
      <c r="J235" s="249"/>
      <c r="K235" s="249"/>
      <c r="L235" s="249"/>
      <c r="M235" s="249"/>
      <c r="N235" s="249"/>
      <c r="O235" s="249"/>
      <c r="P235" s="249"/>
      <c r="Q235" s="249"/>
      <c r="R235" s="249"/>
      <c r="S235" s="249"/>
      <c r="T235" s="249"/>
      <c r="U235" s="249"/>
      <c r="V235" s="249"/>
      <c r="W235" s="249"/>
      <c r="X235" s="249"/>
      <c r="Y235" s="249"/>
      <c r="Z235" s="249"/>
      <c r="AA235" s="249"/>
      <c r="AB235" s="249"/>
      <c r="AC235" s="249"/>
      <c r="AD235" s="249"/>
    </row>
    <row r="236" spans="1:30" ht="12.9">
      <c r="A236" s="249"/>
      <c r="B236" s="249"/>
      <c r="C236" s="249"/>
      <c r="D236" s="249"/>
      <c r="E236" s="249"/>
      <c r="F236" s="249"/>
      <c r="G236" s="249"/>
      <c r="H236" s="249"/>
      <c r="I236" s="249"/>
      <c r="J236" s="249"/>
      <c r="K236" s="249"/>
      <c r="L236" s="249"/>
      <c r="M236" s="249"/>
      <c r="N236" s="249"/>
      <c r="O236" s="249"/>
      <c r="P236" s="249"/>
      <c r="Q236" s="249"/>
      <c r="R236" s="249"/>
      <c r="S236" s="249"/>
      <c r="T236" s="249"/>
      <c r="U236" s="249"/>
      <c r="V236" s="249"/>
      <c r="W236" s="249"/>
      <c r="X236" s="249"/>
      <c r="Y236" s="249"/>
      <c r="Z236" s="249"/>
      <c r="AA236" s="249"/>
      <c r="AB236" s="249"/>
      <c r="AC236" s="249"/>
      <c r="AD236" s="249"/>
    </row>
    <row r="237" spans="1:30" ht="12.9">
      <c r="A237" s="249"/>
      <c r="B237" s="249"/>
      <c r="C237" s="249"/>
      <c r="D237" s="249"/>
      <c r="E237" s="249"/>
      <c r="F237" s="249"/>
      <c r="G237" s="249"/>
      <c r="H237" s="249"/>
      <c r="I237" s="249"/>
      <c r="J237" s="249"/>
      <c r="K237" s="249"/>
      <c r="L237" s="249"/>
      <c r="M237" s="249"/>
      <c r="N237" s="249"/>
      <c r="O237" s="249"/>
      <c r="P237" s="249"/>
      <c r="Q237" s="249"/>
      <c r="R237" s="249"/>
      <c r="S237" s="249"/>
      <c r="T237" s="249"/>
      <c r="U237" s="249"/>
      <c r="V237" s="249"/>
      <c r="W237" s="249"/>
      <c r="X237" s="249"/>
      <c r="Y237" s="249"/>
      <c r="Z237" s="249"/>
      <c r="AA237" s="249"/>
      <c r="AB237" s="249"/>
      <c r="AC237" s="249"/>
      <c r="AD237" s="249"/>
    </row>
    <row r="238" spans="1:30" ht="12.9">
      <c r="A238" s="249"/>
      <c r="B238" s="249"/>
      <c r="C238" s="249"/>
      <c r="D238" s="249"/>
      <c r="E238" s="249"/>
      <c r="F238" s="249"/>
      <c r="G238" s="249"/>
      <c r="H238" s="249"/>
      <c r="I238" s="249"/>
      <c r="J238" s="249"/>
      <c r="K238" s="249"/>
      <c r="L238" s="249"/>
      <c r="M238" s="249"/>
      <c r="N238" s="249"/>
      <c r="O238" s="249"/>
      <c r="P238" s="249"/>
      <c r="Q238" s="249"/>
      <c r="R238" s="249"/>
      <c r="S238" s="249"/>
      <c r="T238" s="249"/>
      <c r="U238" s="249"/>
      <c r="V238" s="249"/>
      <c r="W238" s="249"/>
      <c r="X238" s="249"/>
      <c r="Y238" s="249"/>
      <c r="Z238" s="249"/>
      <c r="AA238" s="249"/>
      <c r="AB238" s="249"/>
      <c r="AC238" s="249"/>
      <c r="AD238" s="249"/>
    </row>
    <row r="239" spans="1:30" ht="12.9">
      <c r="A239" s="249"/>
      <c r="B239" s="249"/>
      <c r="C239" s="249"/>
      <c r="D239" s="249"/>
      <c r="E239" s="249"/>
      <c r="F239" s="249"/>
      <c r="G239" s="249"/>
      <c r="H239" s="249"/>
      <c r="I239" s="249"/>
      <c r="J239" s="249"/>
      <c r="K239" s="249"/>
      <c r="L239" s="249"/>
      <c r="M239" s="249"/>
      <c r="N239" s="249"/>
      <c r="O239" s="249"/>
      <c r="P239" s="249"/>
      <c r="Q239" s="249"/>
      <c r="R239" s="249"/>
      <c r="S239" s="249"/>
      <c r="T239" s="249"/>
      <c r="U239" s="249"/>
      <c r="V239" s="249"/>
      <c r="W239" s="249"/>
      <c r="X239" s="249"/>
      <c r="Y239" s="249"/>
      <c r="Z239" s="249"/>
      <c r="AA239" s="249"/>
      <c r="AB239" s="249"/>
      <c r="AC239" s="249"/>
      <c r="AD239" s="249"/>
    </row>
    <row r="240" spans="1:30" ht="12.9">
      <c r="A240" s="249"/>
      <c r="B240" s="249"/>
      <c r="C240" s="249"/>
      <c r="D240" s="249"/>
      <c r="E240" s="249"/>
      <c r="F240" s="249"/>
      <c r="G240" s="249"/>
      <c r="H240" s="249"/>
      <c r="I240" s="249"/>
      <c r="J240" s="249"/>
      <c r="K240" s="249"/>
      <c r="L240" s="249"/>
      <c r="M240" s="249"/>
      <c r="N240" s="249"/>
      <c r="O240" s="249"/>
      <c r="P240" s="249"/>
      <c r="Q240" s="249"/>
      <c r="R240" s="249"/>
      <c r="S240" s="249"/>
      <c r="T240" s="249"/>
      <c r="U240" s="249"/>
      <c r="V240" s="249"/>
      <c r="W240" s="249"/>
      <c r="X240" s="249"/>
      <c r="Y240" s="249"/>
      <c r="Z240" s="249"/>
      <c r="AA240" s="249"/>
      <c r="AB240" s="249"/>
      <c r="AC240" s="249"/>
      <c r="AD240" s="249"/>
    </row>
    <row r="241" spans="1:30" ht="12.9">
      <c r="A241" s="249"/>
      <c r="B241" s="249"/>
      <c r="C241" s="249"/>
      <c r="D241" s="249"/>
      <c r="E241" s="249"/>
      <c r="F241" s="249"/>
      <c r="G241" s="249"/>
      <c r="H241" s="249"/>
      <c r="I241" s="249"/>
      <c r="J241" s="249"/>
      <c r="K241" s="249"/>
      <c r="L241" s="249"/>
      <c r="M241" s="249"/>
      <c r="N241" s="249"/>
      <c r="O241" s="249"/>
      <c r="P241" s="249"/>
      <c r="Q241" s="249"/>
      <c r="R241" s="249"/>
      <c r="S241" s="249"/>
      <c r="T241" s="249"/>
      <c r="U241" s="249"/>
      <c r="V241" s="249"/>
      <c r="W241" s="249"/>
      <c r="X241" s="249"/>
      <c r="Y241" s="249"/>
      <c r="Z241" s="249"/>
      <c r="AA241" s="249"/>
      <c r="AB241" s="249"/>
      <c r="AC241" s="249"/>
      <c r="AD241" s="249"/>
    </row>
    <row r="242" spans="1:30" ht="12.9">
      <c r="A242" s="249"/>
      <c r="B242" s="249"/>
      <c r="C242" s="249"/>
      <c r="D242" s="249"/>
      <c r="E242" s="249"/>
      <c r="F242" s="249"/>
      <c r="G242" s="249"/>
      <c r="H242" s="249"/>
      <c r="I242" s="249"/>
      <c r="J242" s="249"/>
      <c r="K242" s="249"/>
      <c r="L242" s="249"/>
      <c r="M242" s="249"/>
      <c r="N242" s="249"/>
      <c r="O242" s="249"/>
      <c r="P242" s="249"/>
      <c r="Q242" s="249"/>
      <c r="R242" s="249"/>
      <c r="S242" s="249"/>
      <c r="T242" s="249"/>
      <c r="U242" s="249"/>
      <c r="V242" s="249"/>
      <c r="W242" s="249"/>
      <c r="X242" s="249"/>
      <c r="Y242" s="249"/>
      <c r="Z242" s="249"/>
      <c r="AA242" s="249"/>
      <c r="AB242" s="249"/>
      <c r="AC242" s="249"/>
      <c r="AD242" s="249"/>
    </row>
    <row r="243" spans="1:30" ht="12.9">
      <c r="A243" s="249"/>
      <c r="B243" s="249"/>
      <c r="C243" s="249"/>
      <c r="D243" s="249"/>
      <c r="E243" s="249"/>
      <c r="F243" s="249"/>
      <c r="G243" s="249"/>
      <c r="H243" s="249"/>
      <c r="I243" s="249"/>
      <c r="J243" s="249"/>
      <c r="K243" s="249"/>
      <c r="L243" s="249"/>
      <c r="M243" s="249"/>
      <c r="N243" s="249"/>
      <c r="O243" s="249"/>
      <c r="P243" s="249"/>
      <c r="Q243" s="249"/>
      <c r="R243" s="249"/>
      <c r="S243" s="249"/>
      <c r="T243" s="249"/>
      <c r="U243" s="249"/>
      <c r="V243" s="249"/>
      <c r="W243" s="249"/>
      <c r="X243" s="249"/>
      <c r="Y243" s="249"/>
      <c r="Z243" s="249"/>
      <c r="AA243" s="249"/>
      <c r="AB243" s="249"/>
      <c r="AC243" s="249"/>
      <c r="AD243" s="249"/>
    </row>
    <row r="244" spans="1:30" ht="12.9">
      <c r="A244" s="249"/>
      <c r="B244" s="249"/>
      <c r="C244" s="249"/>
      <c r="D244" s="249"/>
      <c r="E244" s="249"/>
      <c r="F244" s="249"/>
      <c r="G244" s="249"/>
      <c r="H244" s="249"/>
      <c r="I244" s="249"/>
      <c r="J244" s="249"/>
      <c r="K244" s="249"/>
      <c r="L244" s="249"/>
      <c r="M244" s="249"/>
      <c r="N244" s="249"/>
      <c r="O244" s="249"/>
      <c r="P244" s="249"/>
      <c r="Q244" s="249"/>
      <c r="R244" s="249"/>
      <c r="S244" s="249"/>
      <c r="T244" s="249"/>
      <c r="U244" s="249"/>
      <c r="V244" s="249"/>
      <c r="W244" s="249"/>
      <c r="X244" s="249"/>
      <c r="Y244" s="249"/>
      <c r="Z244" s="249"/>
      <c r="AA244" s="249"/>
      <c r="AB244" s="249"/>
      <c r="AC244" s="249"/>
      <c r="AD244" s="249"/>
    </row>
    <row r="245" spans="1:30" ht="12.9">
      <c r="A245" s="249"/>
      <c r="B245" s="249"/>
      <c r="C245" s="249"/>
      <c r="D245" s="249"/>
      <c r="E245" s="249"/>
      <c r="F245" s="249"/>
      <c r="G245" s="249"/>
      <c r="H245" s="249"/>
      <c r="I245" s="249"/>
      <c r="J245" s="249"/>
      <c r="K245" s="249"/>
      <c r="L245" s="249"/>
      <c r="M245" s="249"/>
      <c r="N245" s="249"/>
      <c r="O245" s="249"/>
      <c r="P245" s="249"/>
      <c r="Q245" s="249"/>
      <c r="R245" s="249"/>
      <c r="S245" s="249"/>
      <c r="T245" s="249"/>
      <c r="U245" s="249"/>
      <c r="V245" s="249"/>
      <c r="W245" s="249"/>
      <c r="X245" s="249"/>
      <c r="Y245" s="249"/>
      <c r="Z245" s="249"/>
      <c r="AA245" s="249"/>
      <c r="AB245" s="249"/>
      <c r="AC245" s="249"/>
      <c r="AD245" s="249"/>
    </row>
    <row r="246" spans="1:30" ht="12.9">
      <c r="A246" s="249"/>
      <c r="B246" s="249"/>
      <c r="C246" s="249"/>
      <c r="D246" s="249"/>
      <c r="E246" s="249"/>
      <c r="F246" s="249"/>
      <c r="G246" s="249"/>
      <c r="H246" s="249"/>
      <c r="I246" s="249"/>
      <c r="J246" s="249"/>
      <c r="K246" s="249"/>
      <c r="L246" s="249"/>
      <c r="M246" s="249"/>
      <c r="N246" s="249"/>
      <c r="O246" s="249"/>
      <c r="P246" s="249"/>
      <c r="Q246" s="249"/>
      <c r="R246" s="249"/>
      <c r="S246" s="249"/>
      <c r="T246" s="249"/>
      <c r="U246" s="249"/>
      <c r="V246" s="249"/>
      <c r="W246" s="249"/>
      <c r="X246" s="249"/>
      <c r="Y246" s="249"/>
      <c r="Z246" s="249"/>
      <c r="AA246" s="249"/>
      <c r="AB246" s="249"/>
      <c r="AC246" s="249"/>
      <c r="AD246" s="249"/>
    </row>
    <row r="247" spans="1:30" ht="12.9">
      <c r="A247" s="249"/>
      <c r="B247" s="249"/>
      <c r="C247" s="249"/>
      <c r="D247" s="249"/>
      <c r="E247" s="249"/>
      <c r="F247" s="249"/>
      <c r="G247" s="249"/>
      <c r="H247" s="249"/>
      <c r="I247" s="249"/>
      <c r="J247" s="249"/>
      <c r="K247" s="249"/>
      <c r="L247" s="249"/>
      <c r="M247" s="249"/>
      <c r="N247" s="249"/>
      <c r="O247" s="249"/>
      <c r="P247" s="249"/>
      <c r="Q247" s="249"/>
      <c r="R247" s="249"/>
      <c r="S247" s="249"/>
      <c r="T247" s="249"/>
      <c r="U247" s="249"/>
      <c r="V247" s="249"/>
      <c r="W247" s="249"/>
      <c r="X247" s="249"/>
      <c r="Y247" s="249"/>
      <c r="Z247" s="249"/>
      <c r="AA247" s="249"/>
      <c r="AB247" s="249"/>
      <c r="AC247" s="249"/>
      <c r="AD247" s="249"/>
    </row>
    <row r="248" spans="1:30" ht="12.9">
      <c r="A248" s="249"/>
      <c r="B248" s="249"/>
      <c r="C248" s="249"/>
      <c r="D248" s="249"/>
      <c r="E248" s="249"/>
      <c r="F248" s="249"/>
      <c r="G248" s="249"/>
      <c r="H248" s="249"/>
      <c r="I248" s="249"/>
      <c r="J248" s="249"/>
      <c r="K248" s="249"/>
      <c r="L248" s="249"/>
      <c r="M248" s="249"/>
      <c r="N248" s="249"/>
      <c r="O248" s="249"/>
      <c r="P248" s="249"/>
      <c r="Q248" s="249"/>
      <c r="R248" s="249"/>
      <c r="S248" s="249"/>
      <c r="T248" s="249"/>
      <c r="U248" s="249"/>
      <c r="V248" s="249"/>
      <c r="W248" s="249"/>
      <c r="X248" s="249"/>
      <c r="Y248" s="249"/>
      <c r="Z248" s="249"/>
      <c r="AA248" s="249"/>
      <c r="AB248" s="249"/>
      <c r="AC248" s="249"/>
      <c r="AD248" s="249"/>
    </row>
    <row r="249" spans="1:30" ht="12.9">
      <c r="A249" s="249"/>
      <c r="B249" s="249"/>
      <c r="C249" s="249"/>
      <c r="D249" s="249"/>
      <c r="E249" s="249"/>
      <c r="F249" s="249"/>
      <c r="G249" s="249"/>
      <c r="H249" s="249"/>
      <c r="I249" s="249"/>
      <c r="J249" s="249"/>
      <c r="K249" s="249"/>
      <c r="L249" s="249"/>
      <c r="M249" s="249"/>
      <c r="N249" s="249"/>
      <c r="O249" s="249"/>
      <c r="P249" s="249"/>
      <c r="Q249" s="249"/>
      <c r="R249" s="249"/>
      <c r="S249" s="249"/>
      <c r="T249" s="249"/>
      <c r="U249" s="249"/>
      <c r="V249" s="249"/>
      <c r="W249" s="249"/>
      <c r="X249" s="249"/>
      <c r="Y249" s="249"/>
      <c r="Z249" s="249"/>
      <c r="AA249" s="249"/>
      <c r="AB249" s="249"/>
      <c r="AC249" s="249"/>
      <c r="AD249" s="249"/>
    </row>
    <row r="250" spans="1:30" ht="12.9">
      <c r="A250" s="249"/>
      <c r="B250" s="249"/>
      <c r="C250" s="249"/>
      <c r="D250" s="249"/>
      <c r="E250" s="249"/>
      <c r="F250" s="249"/>
      <c r="G250" s="249"/>
      <c r="H250" s="249"/>
      <c r="I250" s="249"/>
      <c r="J250" s="249"/>
      <c r="K250" s="249"/>
      <c r="L250" s="249"/>
      <c r="M250" s="249"/>
      <c r="N250" s="249"/>
      <c r="O250" s="249"/>
      <c r="P250" s="249"/>
      <c r="Q250" s="249"/>
      <c r="R250" s="249"/>
      <c r="S250" s="249"/>
      <c r="T250" s="249"/>
      <c r="U250" s="249"/>
      <c r="V250" s="249"/>
      <c r="W250" s="249"/>
      <c r="X250" s="249"/>
      <c r="Y250" s="249"/>
      <c r="Z250" s="249"/>
      <c r="AA250" s="249"/>
      <c r="AB250" s="249"/>
      <c r="AC250" s="249"/>
      <c r="AD250" s="249"/>
    </row>
    <row r="251" spans="1:30" ht="12.9">
      <c r="A251" s="249"/>
      <c r="B251" s="249"/>
      <c r="C251" s="249"/>
      <c r="D251" s="249"/>
      <c r="E251" s="249"/>
      <c r="F251" s="249"/>
      <c r="G251" s="249"/>
      <c r="H251" s="249"/>
      <c r="I251" s="249"/>
      <c r="J251" s="249"/>
      <c r="K251" s="249"/>
      <c r="L251" s="249"/>
      <c r="M251" s="249"/>
      <c r="N251" s="249"/>
      <c r="O251" s="249"/>
      <c r="P251" s="249"/>
      <c r="Q251" s="249"/>
      <c r="R251" s="249"/>
      <c r="S251" s="249"/>
      <c r="T251" s="249"/>
      <c r="U251" s="249"/>
      <c r="V251" s="249"/>
      <c r="W251" s="249"/>
      <c r="X251" s="249"/>
      <c r="Y251" s="249"/>
      <c r="Z251" s="249"/>
      <c r="AA251" s="249"/>
      <c r="AB251" s="249"/>
      <c r="AC251" s="249"/>
      <c r="AD251" s="249"/>
    </row>
    <row r="252" spans="1:30" ht="12.9">
      <c r="A252" s="249"/>
      <c r="B252" s="249"/>
      <c r="C252" s="249"/>
      <c r="D252" s="249"/>
      <c r="E252" s="249"/>
      <c r="F252" s="249"/>
      <c r="G252" s="249"/>
      <c r="H252" s="249"/>
      <c r="I252" s="249"/>
      <c r="J252" s="249"/>
      <c r="K252" s="249"/>
      <c r="L252" s="249"/>
      <c r="M252" s="249"/>
      <c r="N252" s="249"/>
      <c r="O252" s="249"/>
      <c r="P252" s="249"/>
      <c r="Q252" s="249"/>
      <c r="R252" s="249"/>
      <c r="S252" s="249"/>
      <c r="T252" s="249"/>
      <c r="U252" s="249"/>
      <c r="V252" s="249"/>
      <c r="W252" s="249"/>
      <c r="X252" s="249"/>
      <c r="Y252" s="249"/>
      <c r="Z252" s="249"/>
      <c r="AA252" s="249"/>
      <c r="AB252" s="249"/>
      <c r="AC252" s="249"/>
      <c r="AD252" s="249"/>
    </row>
    <row r="253" spans="1:30" ht="12.9">
      <c r="A253" s="249"/>
      <c r="B253" s="249"/>
      <c r="C253" s="249"/>
      <c r="D253" s="249"/>
      <c r="E253" s="249"/>
      <c r="F253" s="249"/>
      <c r="G253" s="249"/>
      <c r="H253" s="249"/>
      <c r="I253" s="249"/>
      <c r="J253" s="249"/>
      <c r="K253" s="249"/>
      <c r="L253" s="249"/>
      <c r="M253" s="249"/>
      <c r="N253" s="249"/>
      <c r="O253" s="249"/>
      <c r="P253" s="249"/>
      <c r="Q253" s="249"/>
      <c r="R253" s="249"/>
      <c r="S253" s="249"/>
      <c r="T253" s="249"/>
      <c r="U253" s="249"/>
      <c r="V253" s="249"/>
      <c r="W253" s="249"/>
      <c r="X253" s="249"/>
      <c r="Y253" s="249"/>
      <c r="Z253" s="249"/>
      <c r="AA253" s="249"/>
      <c r="AB253" s="249"/>
      <c r="AC253" s="249"/>
      <c r="AD253" s="249"/>
    </row>
    <row r="254" spans="1:30" ht="12.9">
      <c r="A254" s="249"/>
      <c r="B254" s="249"/>
      <c r="C254" s="249"/>
      <c r="D254" s="249"/>
      <c r="E254" s="249"/>
      <c r="F254" s="249"/>
      <c r="G254" s="249"/>
      <c r="H254" s="249"/>
      <c r="I254" s="249"/>
      <c r="J254" s="249"/>
      <c r="K254" s="249"/>
      <c r="L254" s="249"/>
      <c r="M254" s="249"/>
      <c r="N254" s="249"/>
      <c r="O254" s="249"/>
      <c r="P254" s="249"/>
      <c r="Q254" s="249"/>
      <c r="R254" s="249"/>
      <c r="S254" s="249"/>
      <c r="T254" s="249"/>
      <c r="U254" s="249"/>
      <c r="V254" s="249"/>
      <c r="W254" s="249"/>
      <c r="X254" s="249"/>
      <c r="Y254" s="249"/>
      <c r="Z254" s="249"/>
      <c r="AA254" s="249"/>
      <c r="AB254" s="249"/>
      <c r="AC254" s="249"/>
      <c r="AD254" s="249"/>
    </row>
    <row r="255" spans="1:30" ht="12.9">
      <c r="A255" s="249"/>
      <c r="B255" s="249"/>
      <c r="C255" s="249"/>
      <c r="D255" s="249"/>
      <c r="E255" s="249"/>
      <c r="F255" s="249"/>
      <c r="G255" s="249"/>
      <c r="H255" s="249"/>
      <c r="I255" s="249"/>
      <c r="J255" s="249"/>
      <c r="K255" s="249"/>
      <c r="L255" s="249"/>
      <c r="M255" s="249"/>
      <c r="N255" s="249"/>
      <c r="O255" s="249"/>
      <c r="P255" s="249"/>
      <c r="Q255" s="249"/>
      <c r="R255" s="249"/>
      <c r="S255" s="249"/>
      <c r="T255" s="249"/>
      <c r="U255" s="249"/>
      <c r="V255" s="249"/>
      <c r="W255" s="249"/>
      <c r="X255" s="249"/>
      <c r="Y255" s="249"/>
      <c r="Z255" s="249"/>
      <c r="AA255" s="249"/>
      <c r="AB255" s="249"/>
      <c r="AC255" s="249"/>
      <c r="AD255" s="249"/>
    </row>
    <row r="256" spans="1:30" ht="12.9">
      <c r="A256" s="249"/>
      <c r="B256" s="249"/>
      <c r="C256" s="249"/>
      <c r="D256" s="249"/>
      <c r="E256" s="249"/>
      <c r="F256" s="249"/>
      <c r="G256" s="249"/>
      <c r="H256" s="249"/>
      <c r="I256" s="249"/>
      <c r="J256" s="249"/>
      <c r="K256" s="249"/>
      <c r="L256" s="249"/>
      <c r="M256" s="249"/>
      <c r="N256" s="249"/>
      <c r="O256" s="249"/>
      <c r="P256" s="249"/>
      <c r="Q256" s="249"/>
      <c r="R256" s="249"/>
      <c r="S256" s="249"/>
      <c r="T256" s="249"/>
      <c r="U256" s="249"/>
      <c r="V256" s="249"/>
      <c r="W256" s="249"/>
      <c r="X256" s="249"/>
      <c r="Y256" s="249"/>
      <c r="Z256" s="249"/>
      <c r="AA256" s="249"/>
      <c r="AB256" s="249"/>
      <c r="AC256" s="249"/>
      <c r="AD256" s="249"/>
    </row>
    <row r="257" spans="1:30" ht="12.9">
      <c r="A257" s="249"/>
      <c r="B257" s="249"/>
      <c r="C257" s="249"/>
      <c r="D257" s="249"/>
      <c r="E257" s="249"/>
      <c r="F257" s="249"/>
      <c r="G257" s="249"/>
      <c r="H257" s="249"/>
      <c r="I257" s="249"/>
      <c r="J257" s="249"/>
      <c r="K257" s="249"/>
      <c r="L257" s="249"/>
      <c r="M257" s="249"/>
      <c r="N257" s="249"/>
      <c r="O257" s="249"/>
      <c r="P257" s="249"/>
      <c r="Q257" s="249"/>
      <c r="R257" s="249"/>
      <c r="S257" s="249"/>
      <c r="T257" s="249"/>
      <c r="U257" s="249"/>
      <c r="V257" s="249"/>
      <c r="W257" s="249"/>
      <c r="X257" s="249"/>
      <c r="Y257" s="249"/>
      <c r="Z257" s="249"/>
      <c r="AA257" s="249"/>
      <c r="AB257" s="249"/>
      <c r="AC257" s="249"/>
      <c r="AD257" s="249"/>
    </row>
    <row r="258" spans="1:30" ht="12.9">
      <c r="A258" s="249"/>
      <c r="B258" s="249"/>
      <c r="C258" s="249"/>
      <c r="D258" s="249"/>
      <c r="E258" s="249"/>
      <c r="F258" s="249"/>
      <c r="G258" s="249"/>
      <c r="H258" s="249"/>
      <c r="I258" s="249"/>
      <c r="J258" s="249"/>
      <c r="K258" s="249"/>
      <c r="L258" s="249"/>
      <c r="M258" s="249"/>
      <c r="N258" s="249"/>
      <c r="O258" s="249"/>
      <c r="P258" s="249"/>
      <c r="Q258" s="249"/>
      <c r="R258" s="249"/>
      <c r="S258" s="249"/>
      <c r="T258" s="249"/>
      <c r="U258" s="249"/>
      <c r="V258" s="249"/>
      <c r="W258" s="249"/>
      <c r="X258" s="249"/>
      <c r="Y258" s="249"/>
      <c r="Z258" s="249"/>
      <c r="AA258" s="249"/>
      <c r="AB258" s="249"/>
      <c r="AC258" s="249"/>
      <c r="AD258" s="249"/>
    </row>
    <row r="259" spans="1:30" ht="12.9">
      <c r="A259" s="249"/>
      <c r="B259" s="249"/>
      <c r="C259" s="249"/>
      <c r="D259" s="249"/>
      <c r="E259" s="249"/>
      <c r="F259" s="249"/>
      <c r="G259" s="249"/>
      <c r="H259" s="249"/>
      <c r="I259" s="249"/>
      <c r="J259" s="249"/>
      <c r="K259" s="249"/>
      <c r="L259" s="249"/>
      <c r="M259" s="249"/>
      <c r="N259" s="249"/>
      <c r="O259" s="249"/>
      <c r="P259" s="249"/>
      <c r="Q259" s="249"/>
      <c r="R259" s="249"/>
      <c r="S259" s="249"/>
      <c r="T259" s="249"/>
      <c r="U259" s="249"/>
      <c r="V259" s="249"/>
      <c r="W259" s="249"/>
      <c r="X259" s="249"/>
      <c r="Y259" s="249"/>
      <c r="Z259" s="249"/>
      <c r="AA259" s="249"/>
      <c r="AB259" s="249"/>
      <c r="AC259" s="249"/>
      <c r="AD259" s="249"/>
    </row>
    <row r="260" spans="1:30" ht="12.9">
      <c r="A260" s="249"/>
      <c r="B260" s="249"/>
      <c r="C260" s="249"/>
      <c r="D260" s="249"/>
      <c r="E260" s="249"/>
      <c r="F260" s="249"/>
      <c r="G260" s="249"/>
      <c r="H260" s="249"/>
      <c r="I260" s="249"/>
      <c r="J260" s="249"/>
      <c r="K260" s="249"/>
      <c r="L260" s="249"/>
      <c r="M260" s="249"/>
      <c r="N260" s="249"/>
      <c r="O260" s="249"/>
      <c r="P260" s="249"/>
      <c r="Q260" s="249"/>
      <c r="R260" s="249"/>
      <c r="S260" s="249"/>
      <c r="T260" s="249"/>
      <c r="U260" s="249"/>
      <c r="V260" s="249"/>
      <c r="W260" s="249"/>
      <c r="X260" s="249"/>
      <c r="Y260" s="249"/>
      <c r="Z260" s="249"/>
      <c r="AA260" s="249"/>
      <c r="AB260" s="249"/>
      <c r="AC260" s="249"/>
      <c r="AD260" s="249"/>
    </row>
    <row r="261" spans="1:30" ht="12.9">
      <c r="A261" s="249"/>
      <c r="B261" s="249"/>
      <c r="C261" s="249"/>
      <c r="D261" s="249"/>
      <c r="E261" s="249"/>
      <c r="F261" s="249"/>
      <c r="G261" s="249"/>
      <c r="H261" s="249"/>
      <c r="I261" s="249"/>
      <c r="J261" s="249"/>
      <c r="K261" s="249"/>
      <c r="L261" s="249"/>
      <c r="M261" s="249"/>
      <c r="N261" s="249"/>
      <c r="O261" s="249"/>
      <c r="P261" s="249"/>
      <c r="Q261" s="249"/>
      <c r="R261" s="249"/>
      <c r="S261" s="249"/>
      <c r="T261" s="249"/>
      <c r="U261" s="249"/>
      <c r="V261" s="249"/>
      <c r="W261" s="249"/>
      <c r="X261" s="249"/>
      <c r="Y261" s="249"/>
      <c r="Z261" s="249"/>
      <c r="AA261" s="249"/>
      <c r="AB261" s="249"/>
      <c r="AC261" s="249"/>
      <c r="AD261" s="249"/>
    </row>
    <row r="262" spans="1:30" ht="12.9">
      <c r="A262" s="249"/>
      <c r="B262" s="249"/>
      <c r="C262" s="249"/>
      <c r="D262" s="249"/>
      <c r="E262" s="249"/>
      <c r="F262" s="249"/>
      <c r="G262" s="249"/>
      <c r="H262" s="249"/>
      <c r="I262" s="249"/>
      <c r="J262" s="249"/>
      <c r="K262" s="249"/>
      <c r="L262" s="249"/>
      <c r="M262" s="249"/>
      <c r="N262" s="249"/>
      <c r="O262" s="249"/>
      <c r="P262" s="249"/>
      <c r="Q262" s="249"/>
      <c r="R262" s="249"/>
      <c r="S262" s="249"/>
      <c r="T262" s="249"/>
      <c r="U262" s="249"/>
      <c r="V262" s="249"/>
      <c r="W262" s="249"/>
      <c r="X262" s="249"/>
      <c r="Y262" s="249"/>
      <c r="Z262" s="249"/>
      <c r="AA262" s="249"/>
      <c r="AB262" s="249"/>
      <c r="AC262" s="249"/>
      <c r="AD262" s="249"/>
    </row>
    <row r="263" spans="1:30" ht="12.9">
      <c r="A263" s="249"/>
      <c r="B263" s="249"/>
      <c r="C263" s="249"/>
      <c r="D263" s="249"/>
      <c r="E263" s="249"/>
      <c r="F263" s="249"/>
      <c r="G263" s="249"/>
      <c r="H263" s="249"/>
      <c r="I263" s="249"/>
      <c r="J263" s="249"/>
      <c r="K263" s="249"/>
      <c r="L263" s="249"/>
      <c r="M263" s="249"/>
      <c r="N263" s="249"/>
      <c r="O263" s="249"/>
      <c r="P263" s="249"/>
      <c r="Q263" s="249"/>
      <c r="R263" s="249"/>
      <c r="S263" s="249"/>
      <c r="T263" s="249"/>
      <c r="U263" s="249"/>
      <c r="V263" s="249"/>
      <c r="W263" s="249"/>
      <c r="X263" s="249"/>
      <c r="Y263" s="249"/>
      <c r="Z263" s="249"/>
      <c r="AA263" s="249"/>
      <c r="AB263" s="249"/>
      <c r="AC263" s="249"/>
      <c r="AD263" s="249"/>
    </row>
    <row r="264" spans="1:30" ht="12.9">
      <c r="A264" s="249"/>
      <c r="B264" s="249"/>
      <c r="C264" s="249"/>
      <c r="D264" s="249"/>
      <c r="E264" s="249"/>
      <c r="F264" s="249"/>
      <c r="G264" s="249"/>
      <c r="H264" s="249"/>
      <c r="I264" s="249"/>
      <c r="J264" s="249"/>
      <c r="K264" s="249"/>
      <c r="L264" s="249"/>
      <c r="M264" s="249"/>
      <c r="N264" s="249"/>
      <c r="O264" s="249"/>
      <c r="P264" s="249"/>
      <c r="Q264" s="249"/>
      <c r="R264" s="249"/>
      <c r="S264" s="249"/>
      <c r="T264" s="249"/>
      <c r="U264" s="249"/>
      <c r="V264" s="249"/>
      <c r="W264" s="249"/>
      <c r="X264" s="249"/>
      <c r="Y264" s="249"/>
      <c r="Z264" s="249"/>
      <c r="AA264" s="249"/>
      <c r="AB264" s="249"/>
      <c r="AC264" s="249"/>
      <c r="AD264" s="249"/>
    </row>
    <row r="265" spans="1:30" ht="12.9">
      <c r="A265" s="249"/>
      <c r="B265" s="249"/>
      <c r="C265" s="249"/>
      <c r="D265" s="249"/>
      <c r="E265" s="249"/>
      <c r="F265" s="249"/>
      <c r="G265" s="249"/>
      <c r="H265" s="249"/>
      <c r="I265" s="249"/>
      <c r="J265" s="249"/>
      <c r="K265" s="249"/>
      <c r="L265" s="249"/>
      <c r="M265" s="249"/>
      <c r="N265" s="249"/>
      <c r="O265" s="249"/>
      <c r="P265" s="249"/>
      <c r="Q265" s="249"/>
      <c r="R265" s="249"/>
      <c r="S265" s="249"/>
      <c r="T265" s="249"/>
      <c r="U265" s="249"/>
      <c r="V265" s="249"/>
      <c r="W265" s="249"/>
      <c r="X265" s="249"/>
      <c r="Y265" s="249"/>
      <c r="Z265" s="249"/>
      <c r="AA265" s="249"/>
      <c r="AB265" s="249"/>
      <c r="AC265" s="249"/>
      <c r="AD265" s="249"/>
    </row>
    <row r="266" spans="1:30" ht="12.9">
      <c r="A266" s="249"/>
      <c r="B266" s="249"/>
      <c r="C266" s="249"/>
      <c r="D266" s="249"/>
      <c r="E266" s="249"/>
      <c r="F266" s="249"/>
      <c r="G266" s="249"/>
      <c r="H266" s="249"/>
      <c r="I266" s="249"/>
      <c r="J266" s="249"/>
      <c r="K266" s="249"/>
      <c r="L266" s="249"/>
      <c r="M266" s="249"/>
      <c r="N266" s="249"/>
      <c r="O266" s="249"/>
      <c r="P266" s="249"/>
      <c r="Q266" s="249"/>
      <c r="R266" s="249"/>
      <c r="S266" s="249"/>
      <c r="T266" s="249"/>
      <c r="U266" s="249"/>
      <c r="V266" s="249"/>
      <c r="W266" s="249"/>
      <c r="X266" s="249"/>
      <c r="Y266" s="249"/>
      <c r="Z266" s="249"/>
      <c r="AA266" s="249"/>
      <c r="AB266" s="249"/>
      <c r="AC266" s="249"/>
      <c r="AD266" s="249"/>
    </row>
    <row r="267" spans="1:30" ht="12.9">
      <c r="A267" s="249"/>
      <c r="B267" s="249"/>
      <c r="C267" s="249"/>
      <c r="D267" s="249"/>
      <c r="E267" s="249"/>
      <c r="F267" s="249"/>
      <c r="G267" s="249"/>
      <c r="H267" s="249"/>
      <c r="I267" s="249"/>
      <c r="J267" s="249"/>
      <c r="K267" s="249"/>
      <c r="L267" s="249"/>
      <c r="M267" s="249"/>
      <c r="N267" s="249"/>
      <c r="O267" s="249"/>
      <c r="P267" s="249"/>
      <c r="Q267" s="249"/>
      <c r="R267" s="249"/>
      <c r="S267" s="249"/>
      <c r="T267" s="249"/>
      <c r="U267" s="249"/>
      <c r="V267" s="249"/>
      <c r="W267" s="249"/>
      <c r="X267" s="249"/>
      <c r="Y267" s="249"/>
      <c r="Z267" s="249"/>
      <c r="AA267" s="249"/>
      <c r="AB267" s="249"/>
      <c r="AC267" s="249"/>
      <c r="AD267" s="249"/>
    </row>
    <row r="268" spans="1:30" ht="12.9">
      <c r="A268" s="249"/>
      <c r="B268" s="249"/>
      <c r="C268" s="249"/>
      <c r="D268" s="249"/>
      <c r="E268" s="249"/>
      <c r="F268" s="249"/>
      <c r="G268" s="249"/>
      <c r="H268" s="249"/>
      <c r="I268" s="249"/>
      <c r="J268" s="249"/>
      <c r="K268" s="249"/>
      <c r="L268" s="249"/>
      <c r="M268" s="249"/>
      <c r="N268" s="249"/>
      <c r="O268" s="249"/>
      <c r="P268" s="249"/>
      <c r="Q268" s="249"/>
      <c r="R268" s="249"/>
      <c r="S268" s="249"/>
      <c r="T268" s="249"/>
      <c r="U268" s="249"/>
      <c r="V268" s="249"/>
      <c r="W268" s="249"/>
      <c r="X268" s="249"/>
      <c r="Y268" s="249"/>
      <c r="Z268" s="249"/>
      <c r="AA268" s="249"/>
      <c r="AB268" s="249"/>
      <c r="AC268" s="249"/>
      <c r="AD268" s="249"/>
    </row>
    <row r="269" spans="1:30" ht="12.9">
      <c r="A269" s="249"/>
      <c r="B269" s="249"/>
      <c r="C269" s="249"/>
      <c r="D269" s="249"/>
      <c r="E269" s="249"/>
      <c r="F269" s="249"/>
      <c r="G269" s="249"/>
      <c r="H269" s="249"/>
      <c r="I269" s="249"/>
      <c r="J269" s="249"/>
      <c r="K269" s="249"/>
      <c r="L269" s="249"/>
      <c r="M269" s="249"/>
      <c r="N269" s="249"/>
      <c r="O269" s="249"/>
      <c r="P269" s="249"/>
      <c r="Q269" s="249"/>
      <c r="R269" s="249"/>
      <c r="S269" s="249"/>
      <c r="T269" s="249"/>
      <c r="U269" s="249"/>
      <c r="V269" s="249"/>
      <c r="W269" s="249"/>
      <c r="X269" s="249"/>
      <c r="Y269" s="249"/>
      <c r="Z269" s="249"/>
      <c r="AA269" s="249"/>
      <c r="AB269" s="249"/>
      <c r="AC269" s="249"/>
      <c r="AD269" s="249"/>
    </row>
    <row r="270" spans="1:30" ht="12.9">
      <c r="A270" s="249"/>
      <c r="B270" s="249"/>
      <c r="C270" s="249"/>
      <c r="D270" s="249"/>
      <c r="E270" s="249"/>
      <c r="F270" s="249"/>
      <c r="G270" s="249"/>
      <c r="H270" s="249"/>
      <c r="I270" s="249"/>
      <c r="J270" s="249"/>
      <c r="K270" s="249"/>
      <c r="L270" s="249"/>
      <c r="M270" s="249"/>
      <c r="N270" s="249"/>
      <c r="O270" s="249"/>
      <c r="P270" s="249"/>
      <c r="Q270" s="249"/>
      <c r="R270" s="249"/>
      <c r="S270" s="249"/>
      <c r="T270" s="249"/>
      <c r="U270" s="249"/>
      <c r="V270" s="249"/>
      <c r="W270" s="249"/>
      <c r="X270" s="249"/>
      <c r="Y270" s="249"/>
      <c r="Z270" s="249"/>
      <c r="AA270" s="249"/>
      <c r="AB270" s="249"/>
      <c r="AC270" s="249"/>
      <c r="AD270" s="249"/>
    </row>
    <row r="271" spans="1:30" ht="12.9">
      <c r="A271" s="249"/>
      <c r="B271" s="249"/>
      <c r="C271" s="249"/>
      <c r="D271" s="249"/>
      <c r="E271" s="249"/>
      <c r="F271" s="249"/>
      <c r="G271" s="249"/>
      <c r="H271" s="249"/>
      <c r="I271" s="249"/>
      <c r="J271" s="249"/>
      <c r="K271" s="249"/>
      <c r="L271" s="249"/>
      <c r="M271" s="249"/>
      <c r="N271" s="249"/>
      <c r="O271" s="249"/>
      <c r="P271" s="249"/>
      <c r="Q271" s="249"/>
      <c r="R271" s="249"/>
      <c r="S271" s="249"/>
      <c r="T271" s="249"/>
      <c r="U271" s="249"/>
      <c r="V271" s="249"/>
      <c r="W271" s="249"/>
      <c r="X271" s="249"/>
      <c r="Y271" s="249"/>
      <c r="Z271" s="249"/>
      <c r="AA271" s="249"/>
      <c r="AB271" s="249"/>
      <c r="AC271" s="249"/>
      <c r="AD271" s="249"/>
    </row>
    <row r="272" spans="1:30" ht="12.9">
      <c r="A272" s="249"/>
      <c r="B272" s="249"/>
      <c r="C272" s="249"/>
      <c r="D272" s="249"/>
      <c r="E272" s="249"/>
      <c r="F272" s="249"/>
      <c r="G272" s="249"/>
      <c r="H272" s="249"/>
      <c r="I272" s="249"/>
      <c r="J272" s="249"/>
      <c r="K272" s="249"/>
      <c r="L272" s="249"/>
      <c r="M272" s="249"/>
      <c r="N272" s="249"/>
      <c r="O272" s="249"/>
      <c r="P272" s="249"/>
      <c r="Q272" s="249"/>
      <c r="R272" s="249"/>
      <c r="S272" s="249"/>
      <c r="T272" s="249"/>
      <c r="U272" s="249"/>
      <c r="V272" s="249"/>
      <c r="W272" s="249"/>
      <c r="X272" s="249"/>
      <c r="Y272" s="249"/>
      <c r="Z272" s="249"/>
      <c r="AA272" s="249"/>
      <c r="AB272" s="249"/>
      <c r="AC272" s="249"/>
      <c r="AD272" s="249"/>
    </row>
    <row r="273" spans="1:30" ht="12.9">
      <c r="A273" s="249"/>
      <c r="B273" s="249"/>
      <c r="C273" s="249"/>
      <c r="D273" s="249"/>
      <c r="E273" s="249"/>
      <c r="F273" s="249"/>
      <c r="G273" s="249"/>
      <c r="H273" s="249"/>
      <c r="I273" s="249"/>
      <c r="J273" s="249"/>
      <c r="K273" s="249"/>
      <c r="L273" s="249"/>
      <c r="M273" s="249"/>
      <c r="N273" s="249"/>
      <c r="O273" s="249"/>
      <c r="P273" s="249"/>
      <c r="Q273" s="249"/>
      <c r="R273" s="249"/>
      <c r="S273" s="249"/>
      <c r="T273" s="249"/>
      <c r="U273" s="249"/>
      <c r="V273" s="249"/>
      <c r="W273" s="249"/>
      <c r="X273" s="249"/>
      <c r="Y273" s="249"/>
      <c r="Z273" s="249"/>
      <c r="AA273" s="249"/>
      <c r="AB273" s="249"/>
      <c r="AC273" s="249"/>
      <c r="AD273" s="249"/>
    </row>
    <row r="274" spans="1:30" ht="12.9">
      <c r="A274" s="249"/>
      <c r="B274" s="249"/>
      <c r="C274" s="249"/>
      <c r="D274" s="249"/>
      <c r="E274" s="249"/>
      <c r="F274" s="249"/>
      <c r="G274" s="249"/>
      <c r="H274" s="249"/>
      <c r="I274" s="249"/>
      <c r="J274" s="249"/>
      <c r="K274" s="249"/>
      <c r="L274" s="249"/>
      <c r="M274" s="249"/>
      <c r="N274" s="249"/>
      <c r="O274" s="249"/>
      <c r="P274" s="249"/>
      <c r="Q274" s="249"/>
      <c r="R274" s="249"/>
      <c r="S274" s="249"/>
      <c r="T274" s="249"/>
      <c r="U274" s="249"/>
      <c r="V274" s="249"/>
      <c r="W274" s="249"/>
      <c r="X274" s="249"/>
      <c r="Y274" s="249"/>
      <c r="Z274" s="249"/>
      <c r="AA274" s="249"/>
      <c r="AB274" s="249"/>
      <c r="AC274" s="249"/>
      <c r="AD274" s="249"/>
    </row>
    <row r="275" spans="1:30" ht="12.9">
      <c r="A275" s="249"/>
      <c r="B275" s="249"/>
      <c r="C275" s="249"/>
      <c r="D275" s="249"/>
      <c r="E275" s="249"/>
      <c r="F275" s="249"/>
      <c r="G275" s="249"/>
      <c r="H275" s="249"/>
      <c r="I275" s="249"/>
      <c r="J275" s="249"/>
      <c r="K275" s="249"/>
      <c r="L275" s="249"/>
      <c r="M275" s="249"/>
      <c r="N275" s="249"/>
      <c r="O275" s="249"/>
      <c r="P275" s="249"/>
      <c r="Q275" s="249"/>
      <c r="R275" s="249"/>
      <c r="S275" s="249"/>
      <c r="T275" s="249"/>
      <c r="U275" s="249"/>
      <c r="V275" s="249"/>
      <c r="W275" s="249"/>
      <c r="X275" s="249"/>
      <c r="Y275" s="249"/>
      <c r="Z275" s="249"/>
      <c r="AA275" s="249"/>
      <c r="AB275" s="249"/>
      <c r="AC275" s="249"/>
      <c r="AD275" s="249"/>
    </row>
    <row r="276" spans="1:30" ht="12.9">
      <c r="A276" s="249"/>
      <c r="B276" s="249"/>
      <c r="C276" s="249"/>
      <c r="D276" s="249"/>
      <c r="E276" s="249"/>
      <c r="F276" s="249"/>
      <c r="G276" s="249"/>
      <c r="H276" s="249"/>
      <c r="I276" s="249"/>
      <c r="J276" s="249"/>
      <c r="K276" s="249"/>
      <c r="L276" s="249"/>
      <c r="M276" s="249"/>
      <c r="N276" s="249"/>
      <c r="O276" s="249"/>
      <c r="P276" s="249"/>
      <c r="Q276" s="249"/>
      <c r="R276" s="249"/>
      <c r="S276" s="249"/>
      <c r="T276" s="249"/>
      <c r="U276" s="249"/>
      <c r="V276" s="249"/>
      <c r="W276" s="249"/>
      <c r="X276" s="249"/>
      <c r="Y276" s="249"/>
      <c r="Z276" s="249"/>
      <c r="AA276" s="249"/>
      <c r="AB276" s="249"/>
      <c r="AC276" s="249"/>
      <c r="AD276" s="249"/>
    </row>
    <row r="277" spans="1:30" ht="12.9">
      <c r="A277" s="249"/>
      <c r="B277" s="249"/>
      <c r="C277" s="249"/>
      <c r="D277" s="249"/>
      <c r="E277" s="249"/>
      <c r="F277" s="249"/>
      <c r="G277" s="249"/>
      <c r="H277" s="249"/>
      <c r="I277" s="249"/>
      <c r="J277" s="249"/>
      <c r="K277" s="249"/>
      <c r="L277" s="249"/>
      <c r="M277" s="249"/>
      <c r="N277" s="249"/>
      <c r="O277" s="249"/>
      <c r="P277" s="249"/>
      <c r="Q277" s="249"/>
      <c r="R277" s="249"/>
      <c r="S277" s="249"/>
      <c r="T277" s="249"/>
      <c r="U277" s="249"/>
      <c r="V277" s="249"/>
      <c r="W277" s="249"/>
      <c r="X277" s="249"/>
      <c r="Y277" s="249"/>
      <c r="Z277" s="249"/>
      <c r="AA277" s="249"/>
      <c r="AB277" s="249"/>
      <c r="AC277" s="249"/>
      <c r="AD277" s="249"/>
    </row>
    <row r="278" spans="1:30" ht="12.9">
      <c r="A278" s="249"/>
      <c r="B278" s="249"/>
      <c r="C278" s="249"/>
      <c r="D278" s="249"/>
      <c r="E278" s="249"/>
      <c r="F278" s="249"/>
      <c r="G278" s="249"/>
      <c r="H278" s="249"/>
      <c r="I278" s="249"/>
      <c r="J278" s="249"/>
      <c r="K278" s="249"/>
      <c r="L278" s="249"/>
      <c r="M278" s="249"/>
      <c r="N278" s="249"/>
      <c r="O278" s="249"/>
      <c r="P278" s="249"/>
      <c r="Q278" s="249"/>
      <c r="R278" s="249"/>
      <c r="S278" s="249"/>
      <c r="T278" s="249"/>
      <c r="U278" s="249"/>
      <c r="V278" s="249"/>
      <c r="W278" s="249"/>
      <c r="X278" s="249"/>
      <c r="Y278" s="249"/>
      <c r="Z278" s="249"/>
      <c r="AA278" s="249"/>
      <c r="AB278" s="249"/>
      <c r="AC278" s="249"/>
      <c r="AD278" s="249"/>
    </row>
    <row r="279" spans="1:30" ht="12.9">
      <c r="A279" s="249"/>
      <c r="B279" s="249"/>
      <c r="C279" s="249"/>
      <c r="D279" s="249"/>
      <c r="E279" s="249"/>
      <c r="F279" s="249"/>
      <c r="G279" s="249"/>
      <c r="H279" s="249"/>
      <c r="I279" s="249"/>
      <c r="J279" s="249"/>
      <c r="K279" s="249"/>
      <c r="L279" s="249"/>
      <c r="M279" s="249"/>
      <c r="N279" s="249"/>
      <c r="O279" s="249"/>
      <c r="P279" s="249"/>
      <c r="Q279" s="249"/>
      <c r="R279" s="249"/>
      <c r="S279" s="249"/>
      <c r="T279" s="249"/>
      <c r="U279" s="249"/>
      <c r="V279" s="249"/>
      <c r="W279" s="249"/>
      <c r="X279" s="249"/>
      <c r="Y279" s="249"/>
      <c r="Z279" s="249"/>
      <c r="AA279" s="249"/>
      <c r="AB279" s="249"/>
      <c r="AC279" s="249"/>
      <c r="AD279" s="249"/>
    </row>
    <row r="280" spans="1:30" ht="12.9">
      <c r="A280" s="249"/>
      <c r="B280" s="249"/>
      <c r="C280" s="249"/>
      <c r="D280" s="249"/>
      <c r="E280" s="249"/>
      <c r="F280" s="249"/>
      <c r="G280" s="249"/>
      <c r="H280" s="249"/>
      <c r="I280" s="249"/>
      <c r="J280" s="249"/>
      <c r="K280" s="249"/>
      <c r="L280" s="249"/>
      <c r="M280" s="249"/>
      <c r="N280" s="249"/>
      <c r="O280" s="249"/>
      <c r="P280" s="249"/>
      <c r="Q280" s="249"/>
      <c r="R280" s="249"/>
      <c r="S280" s="249"/>
      <c r="T280" s="249"/>
      <c r="U280" s="249"/>
      <c r="V280" s="249"/>
      <c r="W280" s="249"/>
      <c r="X280" s="249"/>
      <c r="Y280" s="249"/>
      <c r="Z280" s="249"/>
      <c r="AA280" s="249"/>
      <c r="AB280" s="249"/>
      <c r="AC280" s="249"/>
      <c r="AD280" s="249"/>
    </row>
    <row r="281" spans="1:30" ht="12.9">
      <c r="A281" s="249"/>
      <c r="B281" s="249"/>
      <c r="C281" s="249"/>
      <c r="D281" s="249"/>
      <c r="E281" s="249"/>
      <c r="F281" s="249"/>
      <c r="G281" s="249"/>
      <c r="H281" s="249"/>
      <c r="I281" s="249"/>
      <c r="J281" s="249"/>
      <c r="K281" s="249"/>
      <c r="L281" s="249"/>
      <c r="M281" s="249"/>
      <c r="N281" s="249"/>
      <c r="O281" s="249"/>
      <c r="P281" s="249"/>
      <c r="Q281" s="249"/>
      <c r="R281" s="249"/>
      <c r="S281" s="249"/>
      <c r="T281" s="249"/>
      <c r="U281" s="249"/>
      <c r="V281" s="249"/>
      <c r="W281" s="249"/>
      <c r="X281" s="249"/>
      <c r="Y281" s="249"/>
      <c r="Z281" s="249"/>
      <c r="AA281" s="249"/>
      <c r="AB281" s="249"/>
      <c r="AC281" s="249"/>
      <c r="AD281" s="249"/>
    </row>
    <row r="282" spans="1:30" ht="12.9">
      <c r="A282" s="249"/>
      <c r="B282" s="249"/>
      <c r="C282" s="249"/>
      <c r="D282" s="249"/>
      <c r="E282" s="249"/>
      <c r="F282" s="249"/>
      <c r="G282" s="249"/>
      <c r="H282" s="249"/>
      <c r="I282" s="249"/>
      <c r="J282" s="249"/>
      <c r="K282" s="249"/>
      <c r="L282" s="249"/>
      <c r="M282" s="249"/>
      <c r="N282" s="249"/>
      <c r="O282" s="249"/>
      <c r="P282" s="249"/>
      <c r="Q282" s="249"/>
      <c r="R282" s="249"/>
      <c r="S282" s="249"/>
      <c r="T282" s="249"/>
      <c r="U282" s="249"/>
      <c r="V282" s="249"/>
      <c r="W282" s="249"/>
      <c r="X282" s="249"/>
      <c r="Y282" s="249"/>
      <c r="Z282" s="249"/>
      <c r="AA282" s="249"/>
      <c r="AB282" s="249"/>
      <c r="AC282" s="249"/>
      <c r="AD282" s="249"/>
    </row>
    <row r="283" spans="1:30" ht="12.9">
      <c r="A283" s="249"/>
      <c r="B283" s="249"/>
      <c r="C283" s="249"/>
      <c r="D283" s="249"/>
      <c r="E283" s="249"/>
      <c r="F283" s="249"/>
      <c r="G283" s="249"/>
      <c r="H283" s="249"/>
      <c r="I283" s="249"/>
      <c r="J283" s="249"/>
      <c r="K283" s="249"/>
      <c r="L283" s="249"/>
      <c r="M283" s="249"/>
      <c r="N283" s="249"/>
      <c r="O283" s="249"/>
      <c r="P283" s="249"/>
      <c r="Q283" s="249"/>
      <c r="R283" s="249"/>
      <c r="S283" s="249"/>
      <c r="T283" s="249"/>
      <c r="U283" s="249"/>
      <c r="V283" s="249"/>
      <c r="W283" s="249"/>
      <c r="X283" s="249"/>
      <c r="Y283" s="249"/>
      <c r="Z283" s="249"/>
      <c r="AA283" s="249"/>
      <c r="AB283" s="249"/>
      <c r="AC283" s="249"/>
      <c r="AD283" s="249"/>
    </row>
    <row r="284" spans="1:30" ht="12.9">
      <c r="A284" s="249"/>
      <c r="B284" s="249"/>
      <c r="C284" s="249"/>
      <c r="D284" s="249"/>
      <c r="E284" s="249"/>
      <c r="F284" s="249"/>
      <c r="G284" s="249"/>
      <c r="H284" s="249"/>
      <c r="I284" s="249"/>
      <c r="J284" s="249"/>
      <c r="K284" s="249"/>
      <c r="L284" s="249"/>
      <c r="M284" s="249"/>
      <c r="N284" s="249"/>
      <c r="O284" s="249"/>
      <c r="P284" s="249"/>
      <c r="Q284" s="249"/>
      <c r="R284" s="249"/>
      <c r="S284" s="249"/>
      <c r="T284" s="249"/>
      <c r="U284" s="249"/>
      <c r="V284" s="249"/>
      <c r="W284" s="249"/>
      <c r="X284" s="249"/>
      <c r="Y284" s="249"/>
      <c r="Z284" s="249"/>
      <c r="AA284" s="249"/>
      <c r="AB284" s="249"/>
      <c r="AC284" s="249"/>
      <c r="AD284" s="249"/>
    </row>
    <row r="285" spans="1:30" ht="12.9">
      <c r="A285" s="249"/>
      <c r="B285" s="249"/>
      <c r="C285" s="249"/>
      <c r="D285" s="249"/>
      <c r="E285" s="249"/>
      <c r="F285" s="249"/>
      <c r="G285" s="249"/>
      <c r="H285" s="249"/>
      <c r="I285" s="249"/>
      <c r="J285" s="249"/>
      <c r="K285" s="249"/>
      <c r="L285" s="249"/>
      <c r="M285" s="249"/>
      <c r="N285" s="249"/>
      <c r="O285" s="249"/>
      <c r="P285" s="249"/>
      <c r="Q285" s="249"/>
      <c r="R285" s="249"/>
      <c r="S285" s="249"/>
      <c r="T285" s="249"/>
      <c r="U285" s="249"/>
      <c r="V285" s="249"/>
      <c r="W285" s="249"/>
      <c r="X285" s="249"/>
      <c r="Y285" s="249"/>
      <c r="Z285" s="249"/>
      <c r="AA285" s="249"/>
      <c r="AB285" s="249"/>
      <c r="AC285" s="249"/>
      <c r="AD285" s="249"/>
    </row>
    <row r="286" spans="1:30" ht="12.9">
      <c r="A286" s="249"/>
      <c r="B286" s="249"/>
      <c r="C286" s="249"/>
      <c r="D286" s="249"/>
      <c r="E286" s="249"/>
      <c r="F286" s="249"/>
      <c r="G286" s="249"/>
      <c r="H286" s="249"/>
      <c r="I286" s="249"/>
      <c r="J286" s="249"/>
      <c r="K286" s="249"/>
      <c r="L286" s="249"/>
      <c r="M286" s="249"/>
      <c r="N286" s="249"/>
      <c r="O286" s="249"/>
      <c r="P286" s="249"/>
      <c r="Q286" s="249"/>
      <c r="R286" s="249"/>
      <c r="S286" s="249"/>
      <c r="T286" s="249"/>
      <c r="U286" s="249"/>
      <c r="V286" s="249"/>
      <c r="W286" s="249"/>
      <c r="X286" s="249"/>
      <c r="Y286" s="249"/>
      <c r="Z286" s="249"/>
      <c r="AA286" s="249"/>
      <c r="AB286" s="249"/>
      <c r="AC286" s="249"/>
      <c r="AD286" s="249"/>
    </row>
    <row r="287" spans="1:30" ht="12.9">
      <c r="A287" s="249"/>
      <c r="B287" s="249"/>
      <c r="C287" s="249"/>
      <c r="D287" s="249"/>
      <c r="E287" s="249"/>
      <c r="F287" s="249"/>
      <c r="G287" s="249"/>
      <c r="H287" s="249"/>
      <c r="I287" s="249"/>
      <c r="J287" s="249"/>
      <c r="K287" s="249"/>
      <c r="L287" s="249"/>
      <c r="M287" s="249"/>
      <c r="N287" s="249"/>
      <c r="O287" s="249"/>
      <c r="P287" s="249"/>
      <c r="Q287" s="249"/>
      <c r="R287" s="249"/>
      <c r="S287" s="249"/>
      <c r="T287" s="249"/>
      <c r="U287" s="249"/>
      <c r="V287" s="249"/>
      <c r="W287" s="249"/>
      <c r="X287" s="249"/>
      <c r="Y287" s="249"/>
      <c r="Z287" s="249"/>
      <c r="AA287" s="249"/>
      <c r="AB287" s="249"/>
      <c r="AC287" s="249"/>
      <c r="AD287" s="249"/>
    </row>
    <row r="288" spans="1:30" ht="12.9">
      <c r="A288" s="249"/>
      <c r="B288" s="249"/>
      <c r="C288" s="249"/>
      <c r="D288" s="249"/>
      <c r="E288" s="249"/>
      <c r="F288" s="249"/>
      <c r="G288" s="249"/>
      <c r="H288" s="249"/>
      <c r="I288" s="249"/>
      <c r="J288" s="249"/>
      <c r="K288" s="249"/>
      <c r="L288" s="249"/>
      <c r="M288" s="249"/>
      <c r="N288" s="249"/>
      <c r="O288" s="249"/>
      <c r="P288" s="249"/>
      <c r="Q288" s="249"/>
      <c r="R288" s="249"/>
      <c r="S288" s="249"/>
      <c r="T288" s="249"/>
      <c r="U288" s="249"/>
      <c r="V288" s="249"/>
      <c r="W288" s="249"/>
      <c r="X288" s="249"/>
      <c r="Y288" s="249"/>
      <c r="Z288" s="249"/>
      <c r="AA288" s="249"/>
      <c r="AB288" s="249"/>
      <c r="AC288" s="249"/>
      <c r="AD288" s="249"/>
    </row>
    <row r="289" spans="1:30" ht="12.9">
      <c r="A289" s="249"/>
      <c r="B289" s="249"/>
      <c r="C289" s="249"/>
      <c r="D289" s="249"/>
      <c r="E289" s="249"/>
      <c r="F289" s="249"/>
      <c r="G289" s="249"/>
      <c r="H289" s="249"/>
      <c r="I289" s="249"/>
      <c r="J289" s="249"/>
      <c r="K289" s="249"/>
      <c r="L289" s="249"/>
      <c r="M289" s="249"/>
      <c r="N289" s="249"/>
      <c r="O289" s="249"/>
      <c r="P289" s="249"/>
      <c r="Q289" s="249"/>
      <c r="R289" s="249"/>
      <c r="S289" s="249"/>
      <c r="T289" s="249"/>
      <c r="U289" s="249"/>
      <c r="V289" s="249"/>
      <c r="W289" s="249"/>
      <c r="X289" s="249"/>
      <c r="Y289" s="249"/>
      <c r="Z289" s="249"/>
      <c r="AA289" s="249"/>
      <c r="AB289" s="249"/>
      <c r="AC289" s="249"/>
      <c r="AD289" s="249"/>
    </row>
    <row r="290" spans="1:30" ht="12.9">
      <c r="A290" s="249"/>
      <c r="B290" s="249"/>
      <c r="C290" s="249"/>
      <c r="D290" s="249"/>
      <c r="E290" s="249"/>
      <c r="F290" s="249"/>
      <c r="G290" s="249"/>
      <c r="H290" s="249"/>
      <c r="I290" s="249"/>
      <c r="J290" s="249"/>
      <c r="K290" s="249"/>
      <c r="L290" s="249"/>
      <c r="M290" s="249"/>
      <c r="N290" s="249"/>
      <c r="O290" s="249"/>
      <c r="P290" s="249"/>
      <c r="Q290" s="249"/>
      <c r="R290" s="249"/>
      <c r="S290" s="249"/>
      <c r="T290" s="249"/>
      <c r="U290" s="249"/>
      <c r="V290" s="249"/>
      <c r="W290" s="249"/>
      <c r="X290" s="249"/>
      <c r="Y290" s="249"/>
      <c r="Z290" s="249"/>
      <c r="AA290" s="249"/>
      <c r="AB290" s="249"/>
      <c r="AC290" s="249"/>
      <c r="AD290" s="249"/>
    </row>
    <row r="291" spans="1:30" ht="12.9">
      <c r="A291" s="249"/>
      <c r="B291" s="249"/>
      <c r="C291" s="249"/>
      <c r="D291" s="249"/>
      <c r="E291" s="249"/>
      <c r="F291" s="249"/>
      <c r="G291" s="249"/>
      <c r="H291" s="249"/>
      <c r="I291" s="249"/>
      <c r="J291" s="249"/>
      <c r="K291" s="249"/>
      <c r="L291" s="249"/>
      <c r="M291" s="249"/>
      <c r="N291" s="249"/>
      <c r="O291" s="249"/>
      <c r="P291" s="249"/>
      <c r="Q291" s="249"/>
      <c r="R291" s="249"/>
      <c r="S291" s="249"/>
      <c r="T291" s="249"/>
      <c r="U291" s="249"/>
      <c r="V291" s="249"/>
      <c r="W291" s="249"/>
      <c r="X291" s="249"/>
      <c r="Y291" s="249"/>
      <c r="Z291" s="249"/>
      <c r="AA291" s="249"/>
      <c r="AB291" s="249"/>
      <c r="AC291" s="249"/>
      <c r="AD291" s="249"/>
    </row>
    <row r="292" spans="1:30" ht="12.9">
      <c r="A292" s="249"/>
      <c r="B292" s="249"/>
      <c r="C292" s="249"/>
      <c r="D292" s="249"/>
      <c r="E292" s="249"/>
      <c r="F292" s="249"/>
      <c r="G292" s="249"/>
      <c r="H292" s="249"/>
      <c r="I292" s="249"/>
      <c r="J292" s="249"/>
      <c r="K292" s="249"/>
      <c r="L292" s="249"/>
      <c r="M292" s="249"/>
      <c r="N292" s="249"/>
      <c r="O292" s="249"/>
      <c r="P292" s="249"/>
      <c r="Q292" s="249"/>
      <c r="R292" s="249"/>
      <c r="S292" s="249"/>
      <c r="T292" s="249"/>
      <c r="U292" s="249"/>
      <c r="V292" s="249"/>
      <c r="W292" s="249"/>
      <c r="X292" s="249"/>
      <c r="Y292" s="249"/>
      <c r="Z292" s="249"/>
      <c r="AA292" s="249"/>
      <c r="AB292" s="249"/>
      <c r="AC292" s="249"/>
      <c r="AD292" s="249"/>
    </row>
    <row r="293" spans="1:30" ht="12.9">
      <c r="A293" s="249"/>
      <c r="B293" s="249"/>
      <c r="C293" s="249"/>
      <c r="D293" s="249"/>
      <c r="E293" s="249"/>
      <c r="F293" s="249"/>
      <c r="G293" s="249"/>
      <c r="H293" s="249"/>
      <c r="I293" s="249"/>
      <c r="J293" s="249"/>
      <c r="K293" s="249"/>
      <c r="L293" s="249"/>
      <c r="M293" s="249"/>
      <c r="N293" s="249"/>
      <c r="O293" s="249"/>
      <c r="P293" s="249"/>
      <c r="Q293" s="249"/>
      <c r="R293" s="249"/>
      <c r="S293" s="249"/>
      <c r="T293" s="249"/>
      <c r="U293" s="249"/>
      <c r="V293" s="249"/>
      <c r="W293" s="249"/>
      <c r="X293" s="249"/>
      <c r="Y293" s="249"/>
      <c r="Z293" s="249"/>
      <c r="AA293" s="249"/>
      <c r="AB293" s="249"/>
      <c r="AC293" s="249"/>
      <c r="AD293" s="249"/>
    </row>
    <row r="294" spans="1:30" ht="12.9">
      <c r="A294" s="249"/>
      <c r="B294" s="249"/>
      <c r="C294" s="249"/>
      <c r="D294" s="249"/>
      <c r="E294" s="249"/>
      <c r="F294" s="249"/>
      <c r="G294" s="249"/>
      <c r="H294" s="249"/>
      <c r="I294" s="249"/>
      <c r="J294" s="249"/>
      <c r="K294" s="249"/>
      <c r="L294" s="249"/>
      <c r="M294" s="249"/>
      <c r="N294" s="249"/>
      <c r="O294" s="249"/>
      <c r="P294" s="249"/>
      <c r="Q294" s="249"/>
      <c r="R294" s="249"/>
      <c r="S294" s="249"/>
      <c r="T294" s="249"/>
      <c r="U294" s="249"/>
      <c r="V294" s="249"/>
      <c r="W294" s="249"/>
      <c r="X294" s="249"/>
      <c r="Y294" s="249"/>
      <c r="Z294" s="249"/>
      <c r="AA294" s="249"/>
      <c r="AB294" s="249"/>
      <c r="AC294" s="249"/>
      <c r="AD294" s="249"/>
    </row>
    <row r="295" spans="1:30" ht="12.9">
      <c r="A295" s="249"/>
      <c r="B295" s="249"/>
      <c r="C295" s="249"/>
      <c r="D295" s="249"/>
      <c r="E295" s="249"/>
      <c r="F295" s="249"/>
      <c r="G295" s="249"/>
      <c r="H295" s="249"/>
      <c r="I295" s="249"/>
      <c r="J295" s="249"/>
      <c r="K295" s="249"/>
      <c r="L295" s="249"/>
      <c r="M295" s="249"/>
      <c r="N295" s="249"/>
      <c r="O295" s="249"/>
      <c r="P295" s="249"/>
      <c r="Q295" s="249"/>
      <c r="R295" s="249"/>
      <c r="S295" s="249"/>
      <c r="T295" s="249"/>
      <c r="U295" s="249"/>
      <c r="V295" s="249"/>
      <c r="W295" s="249"/>
      <c r="X295" s="249"/>
      <c r="Y295" s="249"/>
      <c r="Z295" s="249"/>
      <c r="AA295" s="249"/>
      <c r="AB295" s="249"/>
      <c r="AC295" s="249"/>
      <c r="AD295" s="249"/>
    </row>
    <row r="296" spans="1:30" ht="12.9">
      <c r="A296" s="249"/>
      <c r="B296" s="249"/>
      <c r="C296" s="249"/>
      <c r="D296" s="249"/>
      <c r="E296" s="249"/>
      <c r="F296" s="249"/>
      <c r="G296" s="249"/>
      <c r="H296" s="249"/>
      <c r="I296" s="249"/>
      <c r="J296" s="249"/>
      <c r="K296" s="249"/>
      <c r="L296" s="249"/>
      <c r="M296" s="249"/>
      <c r="N296" s="249"/>
      <c r="O296" s="249"/>
      <c r="P296" s="249"/>
      <c r="Q296" s="249"/>
      <c r="R296" s="249"/>
      <c r="S296" s="249"/>
      <c r="T296" s="249"/>
      <c r="U296" s="249"/>
      <c r="V296" s="249"/>
      <c r="W296" s="249"/>
      <c r="X296" s="249"/>
      <c r="Y296" s="249"/>
      <c r="Z296" s="249"/>
      <c r="AA296" s="249"/>
      <c r="AB296" s="249"/>
      <c r="AC296" s="249"/>
      <c r="AD296" s="249"/>
    </row>
    <row r="297" spans="1:30" ht="12.9">
      <c r="A297" s="249"/>
      <c r="B297" s="249"/>
      <c r="C297" s="249"/>
      <c r="D297" s="249"/>
      <c r="E297" s="249"/>
      <c r="F297" s="249"/>
      <c r="G297" s="249"/>
      <c r="H297" s="249"/>
      <c r="I297" s="249"/>
      <c r="J297" s="249"/>
      <c r="K297" s="249"/>
      <c r="L297" s="249"/>
      <c r="M297" s="249"/>
      <c r="N297" s="249"/>
      <c r="O297" s="249"/>
      <c r="P297" s="249"/>
      <c r="Q297" s="249"/>
      <c r="R297" s="249"/>
      <c r="S297" s="249"/>
      <c r="T297" s="249"/>
      <c r="U297" s="249"/>
      <c r="V297" s="249"/>
      <c r="W297" s="249"/>
      <c r="X297" s="249"/>
      <c r="Y297" s="249"/>
      <c r="Z297" s="249"/>
      <c r="AA297" s="249"/>
      <c r="AB297" s="249"/>
      <c r="AC297" s="249"/>
      <c r="AD297" s="249"/>
    </row>
    <row r="298" spans="1:30" ht="12.9">
      <c r="A298" s="249"/>
      <c r="B298" s="249"/>
      <c r="C298" s="249"/>
      <c r="D298" s="249"/>
      <c r="E298" s="249"/>
      <c r="F298" s="249"/>
      <c r="G298" s="249"/>
      <c r="H298" s="249"/>
      <c r="I298" s="249"/>
      <c r="J298" s="249"/>
      <c r="K298" s="249"/>
      <c r="L298" s="249"/>
      <c r="M298" s="249"/>
      <c r="N298" s="249"/>
      <c r="O298" s="249"/>
      <c r="P298" s="249"/>
      <c r="Q298" s="249"/>
      <c r="R298" s="249"/>
      <c r="S298" s="249"/>
      <c r="T298" s="249"/>
      <c r="U298" s="249"/>
      <c r="V298" s="249"/>
      <c r="W298" s="249"/>
      <c r="X298" s="249"/>
      <c r="Y298" s="249"/>
      <c r="Z298" s="249"/>
      <c r="AA298" s="249"/>
      <c r="AB298" s="249"/>
      <c r="AC298" s="249"/>
      <c r="AD298" s="249"/>
    </row>
    <row r="299" spans="1:30" ht="12.9">
      <c r="A299" s="249"/>
      <c r="B299" s="249"/>
      <c r="C299" s="249"/>
      <c r="D299" s="249"/>
      <c r="E299" s="249"/>
      <c r="F299" s="249"/>
      <c r="G299" s="249"/>
      <c r="H299" s="249"/>
      <c r="I299" s="249"/>
      <c r="J299" s="249"/>
      <c r="K299" s="249"/>
      <c r="L299" s="249"/>
      <c r="M299" s="249"/>
      <c r="N299" s="249"/>
      <c r="O299" s="249"/>
      <c r="P299" s="249"/>
      <c r="Q299" s="249"/>
      <c r="R299" s="249"/>
      <c r="S299" s="249"/>
      <c r="T299" s="249"/>
      <c r="U299" s="249"/>
      <c r="V299" s="249"/>
      <c r="W299" s="249"/>
      <c r="X299" s="249"/>
      <c r="Y299" s="249"/>
      <c r="Z299" s="249"/>
      <c r="AA299" s="249"/>
      <c r="AB299" s="249"/>
      <c r="AC299" s="249"/>
      <c r="AD299" s="249"/>
    </row>
    <row r="300" spans="1:30" ht="12.9">
      <c r="A300" s="249"/>
      <c r="B300" s="249"/>
      <c r="C300" s="249"/>
      <c r="D300" s="249"/>
      <c r="E300" s="249"/>
      <c r="F300" s="249"/>
      <c r="G300" s="249"/>
      <c r="H300" s="249"/>
      <c r="I300" s="249"/>
      <c r="J300" s="249"/>
      <c r="K300" s="249"/>
      <c r="L300" s="249"/>
      <c r="M300" s="249"/>
      <c r="N300" s="249"/>
      <c r="O300" s="249"/>
      <c r="P300" s="249"/>
      <c r="Q300" s="249"/>
      <c r="R300" s="249"/>
      <c r="S300" s="249"/>
      <c r="T300" s="249"/>
      <c r="U300" s="249"/>
      <c r="V300" s="249"/>
      <c r="W300" s="249"/>
      <c r="X300" s="249"/>
      <c r="Y300" s="249"/>
      <c r="Z300" s="249"/>
      <c r="AA300" s="249"/>
      <c r="AB300" s="249"/>
      <c r="AC300" s="249"/>
      <c r="AD300" s="249"/>
    </row>
    <row r="301" spans="1:30" ht="12.9">
      <c r="A301" s="249"/>
      <c r="B301" s="249"/>
      <c r="C301" s="249"/>
      <c r="D301" s="249"/>
      <c r="E301" s="249"/>
      <c r="F301" s="249"/>
      <c r="G301" s="249"/>
      <c r="H301" s="249"/>
      <c r="I301" s="249"/>
      <c r="J301" s="249"/>
      <c r="K301" s="249"/>
      <c r="L301" s="249"/>
      <c r="M301" s="249"/>
      <c r="N301" s="249"/>
      <c r="O301" s="249"/>
      <c r="P301" s="249"/>
      <c r="Q301" s="249"/>
      <c r="R301" s="249"/>
      <c r="S301" s="249"/>
      <c r="T301" s="249"/>
      <c r="U301" s="249"/>
      <c r="V301" s="249"/>
      <c r="W301" s="249"/>
      <c r="X301" s="249"/>
      <c r="Y301" s="249"/>
      <c r="Z301" s="249"/>
      <c r="AA301" s="249"/>
      <c r="AB301" s="249"/>
      <c r="AC301" s="249"/>
      <c r="AD301" s="249"/>
    </row>
    <row r="302" spans="1:30" ht="12.9">
      <c r="A302" s="249"/>
      <c r="B302" s="249"/>
      <c r="C302" s="249"/>
      <c r="D302" s="249"/>
      <c r="E302" s="249"/>
      <c r="F302" s="249"/>
      <c r="G302" s="249"/>
      <c r="H302" s="249"/>
      <c r="I302" s="249"/>
      <c r="J302" s="249"/>
      <c r="K302" s="249"/>
      <c r="L302" s="249"/>
      <c r="M302" s="249"/>
      <c r="N302" s="249"/>
      <c r="O302" s="249"/>
      <c r="P302" s="249"/>
      <c r="Q302" s="249"/>
      <c r="R302" s="249"/>
      <c r="S302" s="249"/>
      <c r="T302" s="249"/>
      <c r="U302" s="249"/>
      <c r="V302" s="249"/>
      <c r="W302" s="249"/>
      <c r="X302" s="249"/>
      <c r="Y302" s="249"/>
      <c r="Z302" s="249"/>
      <c r="AA302" s="249"/>
      <c r="AB302" s="249"/>
      <c r="AC302" s="249"/>
      <c r="AD302" s="249"/>
    </row>
    <row r="303" spans="1:30" ht="12.9">
      <c r="A303" s="249"/>
      <c r="B303" s="249"/>
      <c r="C303" s="249"/>
      <c r="D303" s="249"/>
      <c r="E303" s="249"/>
      <c r="F303" s="249"/>
      <c r="G303" s="249"/>
      <c r="H303" s="249"/>
      <c r="I303" s="249"/>
      <c r="J303" s="249"/>
      <c r="K303" s="249"/>
      <c r="L303" s="249"/>
      <c r="M303" s="249"/>
      <c r="N303" s="249"/>
      <c r="O303" s="249"/>
      <c r="P303" s="249"/>
      <c r="Q303" s="249"/>
      <c r="R303" s="249"/>
      <c r="S303" s="249"/>
      <c r="T303" s="249"/>
      <c r="U303" s="249"/>
      <c r="V303" s="249"/>
      <c r="W303" s="249"/>
      <c r="X303" s="249"/>
      <c r="Y303" s="249"/>
      <c r="Z303" s="249"/>
      <c r="AA303" s="249"/>
      <c r="AB303" s="249"/>
      <c r="AC303" s="249"/>
      <c r="AD303" s="249"/>
    </row>
    <row r="304" spans="1:30" ht="12.9">
      <c r="A304" s="249"/>
      <c r="B304" s="249"/>
      <c r="C304" s="249"/>
      <c r="D304" s="249"/>
      <c r="E304" s="249"/>
      <c r="F304" s="249"/>
      <c r="G304" s="249"/>
      <c r="H304" s="249"/>
      <c r="I304" s="249"/>
      <c r="J304" s="249"/>
      <c r="K304" s="249"/>
      <c r="L304" s="249"/>
      <c r="M304" s="249"/>
      <c r="N304" s="249"/>
      <c r="O304" s="249"/>
      <c r="P304" s="249"/>
      <c r="Q304" s="249"/>
      <c r="R304" s="249"/>
      <c r="S304" s="249"/>
      <c r="T304" s="249"/>
      <c r="U304" s="249"/>
      <c r="V304" s="249"/>
      <c r="W304" s="249"/>
      <c r="X304" s="249"/>
      <c r="Y304" s="249"/>
      <c r="Z304" s="249"/>
      <c r="AA304" s="249"/>
      <c r="AB304" s="249"/>
      <c r="AC304" s="249"/>
      <c r="AD304" s="249"/>
    </row>
    <row r="305" spans="1:30" ht="12.9">
      <c r="A305" s="249"/>
      <c r="B305" s="249"/>
      <c r="C305" s="249"/>
      <c r="D305" s="249"/>
      <c r="E305" s="249"/>
      <c r="F305" s="249"/>
      <c r="G305" s="249"/>
      <c r="H305" s="249"/>
      <c r="I305" s="249"/>
      <c r="J305" s="249"/>
      <c r="K305" s="249"/>
      <c r="L305" s="249"/>
      <c r="M305" s="249"/>
      <c r="N305" s="249"/>
      <c r="O305" s="249"/>
      <c r="P305" s="249"/>
      <c r="Q305" s="249"/>
      <c r="R305" s="249"/>
      <c r="S305" s="249"/>
      <c r="T305" s="249"/>
      <c r="U305" s="249"/>
      <c r="V305" s="249"/>
      <c r="W305" s="249"/>
      <c r="X305" s="249"/>
      <c r="Y305" s="249"/>
      <c r="Z305" s="249"/>
      <c r="AA305" s="249"/>
      <c r="AB305" s="249"/>
      <c r="AC305" s="249"/>
      <c r="AD305" s="249"/>
    </row>
    <row r="306" spans="1:30" ht="12.9">
      <c r="A306" s="249"/>
      <c r="B306" s="249"/>
      <c r="C306" s="249"/>
      <c r="D306" s="249"/>
      <c r="E306" s="249"/>
      <c r="F306" s="249"/>
      <c r="G306" s="249"/>
      <c r="H306" s="249"/>
      <c r="I306" s="249"/>
      <c r="J306" s="249"/>
      <c r="K306" s="249"/>
      <c r="L306" s="249"/>
      <c r="M306" s="249"/>
      <c r="N306" s="249"/>
      <c r="O306" s="249"/>
      <c r="P306" s="249"/>
      <c r="Q306" s="249"/>
      <c r="R306" s="249"/>
      <c r="S306" s="249"/>
      <c r="T306" s="249"/>
      <c r="U306" s="249"/>
      <c r="V306" s="249"/>
      <c r="W306" s="249"/>
      <c r="X306" s="249"/>
      <c r="Y306" s="249"/>
      <c r="Z306" s="249"/>
      <c r="AA306" s="249"/>
      <c r="AB306" s="249"/>
      <c r="AC306" s="249"/>
      <c r="AD306" s="249"/>
    </row>
    <row r="307" spans="1:30" ht="12.9">
      <c r="A307" s="249"/>
      <c r="B307" s="249"/>
      <c r="C307" s="249"/>
      <c r="D307" s="249"/>
      <c r="E307" s="249"/>
      <c r="F307" s="249"/>
      <c r="G307" s="249"/>
      <c r="H307" s="249"/>
      <c r="I307" s="249"/>
      <c r="J307" s="249"/>
      <c r="K307" s="249"/>
      <c r="L307" s="249"/>
      <c r="M307" s="249"/>
      <c r="N307" s="249"/>
      <c r="O307" s="249"/>
      <c r="P307" s="249"/>
      <c r="Q307" s="249"/>
      <c r="R307" s="249"/>
      <c r="S307" s="249"/>
      <c r="T307" s="249"/>
      <c r="U307" s="249"/>
      <c r="V307" s="249"/>
      <c r="W307" s="249"/>
      <c r="X307" s="249"/>
      <c r="Y307" s="249"/>
      <c r="Z307" s="249"/>
      <c r="AA307" s="249"/>
      <c r="AB307" s="249"/>
      <c r="AC307" s="249"/>
      <c r="AD307" s="249"/>
    </row>
    <row r="308" spans="1:30" ht="12.9">
      <c r="A308" s="249"/>
      <c r="B308" s="249"/>
      <c r="C308" s="249"/>
      <c r="D308" s="249"/>
      <c r="E308" s="249"/>
      <c r="F308" s="249"/>
      <c r="G308" s="249"/>
      <c r="H308" s="249"/>
      <c r="I308" s="249"/>
      <c r="J308" s="249"/>
      <c r="K308" s="249"/>
      <c r="L308" s="249"/>
      <c r="M308" s="249"/>
      <c r="N308" s="249"/>
      <c r="O308" s="249"/>
      <c r="P308" s="249"/>
      <c r="Q308" s="249"/>
      <c r="R308" s="249"/>
      <c r="S308" s="249"/>
      <c r="T308" s="249"/>
      <c r="U308" s="249"/>
      <c r="V308" s="249"/>
      <c r="W308" s="249"/>
      <c r="X308" s="249"/>
      <c r="Y308" s="249"/>
      <c r="Z308" s="249"/>
      <c r="AA308" s="249"/>
      <c r="AB308" s="249"/>
      <c r="AC308" s="249"/>
      <c r="AD308" s="249"/>
    </row>
    <row r="309" spans="1:30" ht="12.9">
      <c r="A309" s="249"/>
      <c r="B309" s="249"/>
      <c r="C309" s="249"/>
      <c r="D309" s="249"/>
      <c r="E309" s="249"/>
      <c r="F309" s="249"/>
      <c r="G309" s="249"/>
      <c r="H309" s="249"/>
      <c r="I309" s="249"/>
      <c r="J309" s="249"/>
      <c r="K309" s="249"/>
      <c r="L309" s="249"/>
      <c r="M309" s="249"/>
      <c r="N309" s="249"/>
      <c r="O309" s="249"/>
      <c r="P309" s="249"/>
      <c r="Q309" s="249"/>
      <c r="R309" s="249"/>
      <c r="S309" s="249"/>
      <c r="T309" s="249"/>
      <c r="U309" s="249"/>
      <c r="V309" s="249"/>
      <c r="W309" s="249"/>
      <c r="X309" s="249"/>
      <c r="Y309" s="249"/>
      <c r="Z309" s="249"/>
      <c r="AA309" s="249"/>
      <c r="AB309" s="249"/>
      <c r="AC309" s="249"/>
      <c r="AD309" s="249"/>
    </row>
    <row r="310" spans="1:30" ht="12.9">
      <c r="A310" s="249"/>
      <c r="B310" s="249"/>
      <c r="C310" s="249"/>
      <c r="D310" s="249"/>
      <c r="E310" s="249"/>
      <c r="F310" s="249"/>
      <c r="G310" s="249"/>
      <c r="H310" s="249"/>
      <c r="I310" s="249"/>
      <c r="J310" s="249"/>
      <c r="K310" s="249"/>
      <c r="L310" s="249"/>
      <c r="M310" s="249"/>
      <c r="N310" s="249"/>
      <c r="O310" s="249"/>
      <c r="P310" s="249"/>
      <c r="Q310" s="249"/>
      <c r="R310" s="249"/>
      <c r="S310" s="249"/>
      <c r="T310" s="249"/>
      <c r="U310" s="249"/>
      <c r="V310" s="249"/>
      <c r="W310" s="249"/>
      <c r="X310" s="249"/>
      <c r="Y310" s="249"/>
      <c r="Z310" s="249"/>
      <c r="AA310" s="249"/>
      <c r="AB310" s="249"/>
      <c r="AC310" s="249"/>
      <c r="AD310" s="249"/>
    </row>
    <row r="311" spans="1:30" ht="12.9">
      <c r="A311" s="249"/>
      <c r="B311" s="249"/>
      <c r="C311" s="249"/>
      <c r="D311" s="249"/>
      <c r="E311" s="249"/>
      <c r="F311" s="249"/>
      <c r="G311" s="249"/>
      <c r="H311" s="249"/>
      <c r="I311" s="249"/>
      <c r="J311" s="249"/>
      <c r="K311" s="249"/>
      <c r="L311" s="249"/>
      <c r="M311" s="249"/>
      <c r="N311" s="249"/>
      <c r="O311" s="249"/>
      <c r="P311" s="249"/>
      <c r="Q311" s="249"/>
      <c r="R311" s="249"/>
      <c r="S311" s="249"/>
      <c r="T311" s="249"/>
      <c r="U311" s="249"/>
      <c r="V311" s="249"/>
      <c r="W311" s="249"/>
      <c r="X311" s="249"/>
      <c r="Y311" s="249"/>
      <c r="Z311" s="249"/>
      <c r="AA311" s="249"/>
      <c r="AB311" s="249"/>
      <c r="AC311" s="249"/>
      <c r="AD311" s="249"/>
    </row>
    <row r="312" spans="1:30" ht="12.9">
      <c r="A312" s="249"/>
      <c r="B312" s="249"/>
      <c r="C312" s="249"/>
      <c r="D312" s="249"/>
      <c r="E312" s="249"/>
      <c r="F312" s="249"/>
      <c r="G312" s="249"/>
      <c r="H312" s="249"/>
      <c r="I312" s="249"/>
      <c r="J312" s="249"/>
      <c r="K312" s="249"/>
      <c r="L312" s="249"/>
      <c r="M312" s="249"/>
      <c r="N312" s="249"/>
      <c r="O312" s="249"/>
      <c r="P312" s="249"/>
      <c r="Q312" s="249"/>
      <c r="R312" s="249"/>
      <c r="S312" s="249"/>
      <c r="T312" s="249"/>
      <c r="U312" s="249"/>
      <c r="V312" s="249"/>
      <c r="W312" s="249"/>
      <c r="X312" s="249"/>
      <c r="Y312" s="249"/>
      <c r="Z312" s="249"/>
      <c r="AA312" s="249"/>
      <c r="AB312" s="249"/>
      <c r="AC312" s="249"/>
      <c r="AD312" s="249"/>
    </row>
    <row r="313" spans="1:30" ht="12.9">
      <c r="A313" s="249"/>
      <c r="B313" s="249"/>
      <c r="C313" s="249"/>
      <c r="D313" s="249"/>
      <c r="E313" s="249"/>
      <c r="F313" s="249"/>
      <c r="G313" s="249"/>
      <c r="H313" s="249"/>
      <c r="I313" s="249"/>
      <c r="J313" s="249"/>
      <c r="K313" s="249"/>
      <c r="L313" s="249"/>
      <c r="M313" s="249"/>
      <c r="N313" s="249"/>
      <c r="O313" s="249"/>
      <c r="P313" s="249"/>
      <c r="Q313" s="249"/>
      <c r="R313" s="249"/>
      <c r="S313" s="249"/>
      <c r="T313" s="249"/>
      <c r="U313" s="249"/>
      <c r="V313" s="249"/>
      <c r="W313" s="249"/>
      <c r="X313" s="249"/>
      <c r="Y313" s="249"/>
      <c r="Z313" s="249"/>
      <c r="AA313" s="249"/>
      <c r="AB313" s="249"/>
      <c r="AC313" s="249"/>
      <c r="AD313" s="249"/>
    </row>
    <row r="314" spans="1:30" ht="12.9">
      <c r="A314" s="249"/>
      <c r="B314" s="249"/>
      <c r="C314" s="249"/>
      <c r="D314" s="249"/>
      <c r="E314" s="249"/>
      <c r="F314" s="249"/>
      <c r="G314" s="249"/>
      <c r="H314" s="249"/>
      <c r="I314" s="249"/>
      <c r="J314" s="249"/>
      <c r="K314" s="249"/>
      <c r="L314" s="249"/>
      <c r="M314" s="249"/>
      <c r="N314" s="249"/>
      <c r="O314" s="249"/>
      <c r="P314" s="249"/>
      <c r="Q314" s="249"/>
      <c r="R314" s="249"/>
      <c r="S314" s="249"/>
      <c r="T314" s="249"/>
      <c r="U314" s="249"/>
      <c r="V314" s="249"/>
      <c r="W314" s="249"/>
      <c r="X314" s="249"/>
      <c r="Y314" s="249"/>
      <c r="Z314" s="249"/>
      <c r="AA314" s="249"/>
      <c r="AB314" s="249"/>
      <c r="AC314" s="249"/>
      <c r="AD314" s="249"/>
    </row>
    <row r="315" spans="1:30" ht="12.9">
      <c r="A315" s="249"/>
      <c r="B315" s="249"/>
      <c r="C315" s="249"/>
      <c r="D315" s="249"/>
      <c r="E315" s="249"/>
      <c r="F315" s="249"/>
      <c r="G315" s="249"/>
      <c r="H315" s="249"/>
      <c r="I315" s="249"/>
      <c r="J315" s="249"/>
      <c r="K315" s="249"/>
      <c r="L315" s="249"/>
      <c r="M315" s="249"/>
      <c r="N315" s="249"/>
      <c r="O315" s="249"/>
      <c r="P315" s="249"/>
      <c r="Q315" s="249"/>
      <c r="R315" s="249"/>
      <c r="S315" s="249"/>
      <c r="T315" s="249"/>
      <c r="U315" s="249"/>
      <c r="V315" s="249"/>
      <c r="W315" s="249"/>
      <c r="X315" s="249"/>
      <c r="Y315" s="249"/>
      <c r="Z315" s="249"/>
      <c r="AA315" s="249"/>
      <c r="AB315" s="249"/>
      <c r="AC315" s="249"/>
      <c r="AD315" s="249"/>
    </row>
    <row r="316" spans="1:30" ht="12.9">
      <c r="A316" s="249"/>
      <c r="B316" s="249"/>
      <c r="C316" s="249"/>
      <c r="D316" s="249"/>
      <c r="E316" s="249"/>
      <c r="F316" s="249"/>
      <c r="G316" s="249"/>
      <c r="H316" s="249"/>
      <c r="I316" s="249"/>
      <c r="J316" s="249"/>
      <c r="K316" s="249"/>
      <c r="L316" s="249"/>
      <c r="M316" s="249"/>
      <c r="N316" s="249"/>
      <c r="O316" s="249"/>
      <c r="P316" s="249"/>
      <c r="Q316" s="249"/>
      <c r="R316" s="249"/>
      <c r="S316" s="249"/>
      <c r="T316" s="249"/>
      <c r="U316" s="249"/>
      <c r="V316" s="249"/>
      <c r="W316" s="249"/>
      <c r="X316" s="249"/>
      <c r="Y316" s="249"/>
      <c r="Z316" s="249"/>
      <c r="AA316" s="249"/>
      <c r="AB316" s="249"/>
      <c r="AC316" s="249"/>
      <c r="AD316" s="249"/>
    </row>
    <row r="317" spans="1:30" ht="12.9">
      <c r="A317" s="249"/>
      <c r="B317" s="249"/>
      <c r="C317" s="249"/>
      <c r="D317" s="249"/>
      <c r="E317" s="249"/>
      <c r="F317" s="249"/>
      <c r="G317" s="249"/>
      <c r="H317" s="249"/>
      <c r="I317" s="249"/>
      <c r="J317" s="249"/>
      <c r="K317" s="249"/>
      <c r="L317" s="249"/>
      <c r="M317" s="249"/>
      <c r="N317" s="249"/>
      <c r="O317" s="249"/>
      <c r="P317" s="249"/>
      <c r="Q317" s="249"/>
      <c r="R317" s="249"/>
      <c r="S317" s="249"/>
      <c r="T317" s="249"/>
      <c r="U317" s="249"/>
      <c r="V317" s="249"/>
      <c r="W317" s="249"/>
      <c r="X317" s="249"/>
      <c r="Y317" s="249"/>
      <c r="Z317" s="249"/>
      <c r="AA317" s="249"/>
      <c r="AB317" s="249"/>
      <c r="AC317" s="249"/>
      <c r="AD317" s="249"/>
    </row>
    <row r="318" spans="1:30" ht="12.9">
      <c r="A318" s="249"/>
      <c r="B318" s="249"/>
      <c r="C318" s="249"/>
      <c r="D318" s="249"/>
      <c r="E318" s="249"/>
      <c r="F318" s="249"/>
      <c r="G318" s="249"/>
      <c r="H318" s="249"/>
      <c r="I318" s="249"/>
      <c r="J318" s="249"/>
      <c r="K318" s="249"/>
      <c r="L318" s="249"/>
      <c r="M318" s="249"/>
      <c r="N318" s="249"/>
      <c r="O318" s="249"/>
      <c r="P318" s="249"/>
      <c r="Q318" s="249"/>
      <c r="R318" s="249"/>
      <c r="S318" s="249"/>
      <c r="T318" s="249"/>
      <c r="U318" s="249"/>
      <c r="V318" s="249"/>
      <c r="W318" s="249"/>
      <c r="X318" s="249"/>
      <c r="Y318" s="249"/>
      <c r="Z318" s="249"/>
      <c r="AA318" s="249"/>
      <c r="AB318" s="249"/>
      <c r="AC318" s="249"/>
      <c r="AD318" s="249"/>
    </row>
    <row r="319" spans="1:30" ht="12.9">
      <c r="A319" s="249"/>
      <c r="B319" s="249"/>
      <c r="C319" s="249"/>
      <c r="D319" s="249"/>
      <c r="E319" s="249"/>
      <c r="F319" s="249"/>
      <c r="G319" s="249"/>
      <c r="H319" s="249"/>
      <c r="I319" s="249"/>
      <c r="J319" s="249"/>
      <c r="K319" s="249"/>
      <c r="L319" s="249"/>
      <c r="M319" s="249"/>
      <c r="N319" s="249"/>
      <c r="O319" s="249"/>
      <c r="P319" s="249"/>
      <c r="Q319" s="249"/>
      <c r="R319" s="249"/>
      <c r="S319" s="249"/>
      <c r="T319" s="249"/>
      <c r="U319" s="249"/>
      <c r="V319" s="249"/>
      <c r="W319" s="249"/>
      <c r="X319" s="249"/>
      <c r="Y319" s="249"/>
      <c r="Z319" s="249"/>
      <c r="AA319" s="249"/>
      <c r="AB319" s="249"/>
      <c r="AC319" s="249"/>
      <c r="AD319" s="249"/>
    </row>
    <row r="320" spans="1:30" ht="12.9">
      <c r="A320" s="249"/>
      <c r="B320" s="249"/>
      <c r="C320" s="249"/>
      <c r="D320" s="249"/>
      <c r="E320" s="249"/>
      <c r="F320" s="249"/>
      <c r="G320" s="249"/>
      <c r="H320" s="249"/>
      <c r="I320" s="249"/>
      <c r="J320" s="249"/>
      <c r="K320" s="249"/>
      <c r="L320" s="249"/>
      <c r="M320" s="249"/>
      <c r="N320" s="249"/>
      <c r="O320" s="249"/>
      <c r="P320" s="249"/>
      <c r="Q320" s="249"/>
      <c r="R320" s="249"/>
      <c r="S320" s="249"/>
      <c r="T320" s="249"/>
      <c r="U320" s="249"/>
      <c r="V320" s="249"/>
      <c r="W320" s="249"/>
      <c r="X320" s="249"/>
      <c r="Y320" s="249"/>
      <c r="Z320" s="249"/>
      <c r="AA320" s="249"/>
      <c r="AB320" s="249"/>
      <c r="AC320" s="249"/>
      <c r="AD320" s="249"/>
    </row>
    <row r="321" spans="1:30" ht="12.9">
      <c r="A321" s="249"/>
      <c r="B321" s="249"/>
      <c r="C321" s="249"/>
      <c r="D321" s="249"/>
      <c r="E321" s="249"/>
      <c r="F321" s="249"/>
      <c r="G321" s="249"/>
      <c r="H321" s="249"/>
      <c r="I321" s="249"/>
      <c r="J321" s="249"/>
      <c r="K321" s="249"/>
      <c r="L321" s="249"/>
      <c r="M321" s="249"/>
      <c r="N321" s="249"/>
      <c r="O321" s="249"/>
      <c r="P321" s="249"/>
      <c r="Q321" s="249"/>
      <c r="R321" s="249"/>
      <c r="S321" s="249"/>
      <c r="T321" s="249"/>
      <c r="U321" s="249"/>
      <c r="V321" s="249"/>
      <c r="W321" s="249"/>
      <c r="X321" s="249"/>
      <c r="Y321" s="249"/>
      <c r="Z321" s="249"/>
      <c r="AA321" s="249"/>
      <c r="AB321" s="249"/>
      <c r="AC321" s="249"/>
      <c r="AD321" s="249"/>
    </row>
    <row r="322" spans="1:30" ht="12.9">
      <c r="A322" s="249"/>
      <c r="B322" s="249"/>
      <c r="C322" s="249"/>
      <c r="D322" s="249"/>
      <c r="E322" s="249"/>
      <c r="F322" s="249"/>
      <c r="G322" s="249"/>
      <c r="H322" s="249"/>
      <c r="I322" s="249"/>
      <c r="J322" s="249"/>
      <c r="K322" s="249"/>
      <c r="L322" s="249"/>
      <c r="M322" s="249"/>
      <c r="N322" s="249"/>
      <c r="O322" s="249"/>
      <c r="P322" s="249"/>
      <c r="Q322" s="249"/>
      <c r="R322" s="249"/>
      <c r="S322" s="249"/>
      <c r="T322" s="249"/>
      <c r="U322" s="249"/>
      <c r="V322" s="249"/>
      <c r="W322" s="249"/>
      <c r="X322" s="249"/>
      <c r="Y322" s="249"/>
      <c r="Z322" s="249"/>
      <c r="AA322" s="249"/>
      <c r="AB322" s="249"/>
      <c r="AC322" s="249"/>
      <c r="AD322" s="249"/>
    </row>
    <row r="323" spans="1:30" ht="12.9">
      <c r="A323" s="249"/>
      <c r="B323" s="249"/>
      <c r="C323" s="249"/>
      <c r="D323" s="249"/>
      <c r="E323" s="249"/>
      <c r="F323" s="249"/>
      <c r="G323" s="249"/>
      <c r="H323" s="249"/>
      <c r="I323" s="249"/>
      <c r="J323" s="249"/>
      <c r="K323" s="249"/>
      <c r="L323" s="249"/>
      <c r="M323" s="249"/>
      <c r="N323" s="249"/>
      <c r="O323" s="249"/>
      <c r="P323" s="249"/>
      <c r="Q323" s="249"/>
      <c r="R323" s="249"/>
      <c r="S323" s="249"/>
      <c r="T323" s="249"/>
      <c r="U323" s="249"/>
      <c r="V323" s="249"/>
      <c r="W323" s="249"/>
      <c r="X323" s="249"/>
      <c r="Y323" s="249"/>
      <c r="Z323" s="249"/>
      <c r="AA323" s="249"/>
      <c r="AB323" s="249"/>
      <c r="AC323" s="249"/>
      <c r="AD323" s="249"/>
    </row>
    <row r="324" spans="1:30" ht="12.9">
      <c r="A324" s="249"/>
      <c r="B324" s="249"/>
      <c r="C324" s="249"/>
      <c r="D324" s="249"/>
      <c r="E324" s="249"/>
      <c r="F324" s="249"/>
      <c r="G324" s="249"/>
      <c r="H324" s="249"/>
      <c r="I324" s="249"/>
      <c r="J324" s="249"/>
      <c r="K324" s="249"/>
      <c r="L324" s="249"/>
      <c r="M324" s="249"/>
      <c r="N324" s="249"/>
      <c r="O324" s="249"/>
      <c r="P324" s="249"/>
      <c r="Q324" s="249"/>
      <c r="R324" s="249"/>
      <c r="S324" s="249"/>
      <c r="T324" s="249"/>
      <c r="U324" s="249"/>
      <c r="V324" s="249"/>
      <c r="W324" s="249"/>
      <c r="X324" s="249"/>
      <c r="Y324" s="249"/>
      <c r="Z324" s="249"/>
      <c r="AA324" s="249"/>
      <c r="AB324" s="249"/>
      <c r="AC324" s="249"/>
      <c r="AD324" s="249"/>
    </row>
    <row r="325" spans="1:30" ht="12.9">
      <c r="A325" s="249"/>
      <c r="B325" s="249"/>
      <c r="C325" s="249"/>
      <c r="D325" s="249"/>
      <c r="E325" s="249"/>
      <c r="F325" s="249"/>
      <c r="G325" s="249"/>
      <c r="H325" s="249"/>
      <c r="I325" s="249"/>
      <c r="J325" s="249"/>
      <c r="K325" s="249"/>
      <c r="L325" s="249"/>
      <c r="M325" s="249"/>
      <c r="N325" s="249"/>
      <c r="O325" s="249"/>
      <c r="P325" s="249"/>
      <c r="Q325" s="249"/>
      <c r="R325" s="249"/>
      <c r="S325" s="249"/>
      <c r="T325" s="249"/>
      <c r="U325" s="249"/>
      <c r="V325" s="249"/>
      <c r="W325" s="249"/>
      <c r="X325" s="249"/>
      <c r="Y325" s="249"/>
      <c r="Z325" s="249"/>
      <c r="AA325" s="249"/>
      <c r="AB325" s="249"/>
      <c r="AC325" s="249"/>
      <c r="AD325" s="249"/>
    </row>
    <row r="326" spans="1:30" ht="12.9">
      <c r="A326" s="249"/>
      <c r="B326" s="249"/>
      <c r="C326" s="249"/>
      <c r="D326" s="249"/>
      <c r="E326" s="249"/>
      <c r="F326" s="249"/>
      <c r="G326" s="249"/>
      <c r="H326" s="249"/>
      <c r="I326" s="249"/>
      <c r="J326" s="249"/>
      <c r="K326" s="249"/>
      <c r="L326" s="249"/>
      <c r="M326" s="249"/>
      <c r="N326" s="249"/>
      <c r="O326" s="249"/>
      <c r="P326" s="249"/>
      <c r="Q326" s="249"/>
      <c r="R326" s="249"/>
      <c r="S326" s="249"/>
      <c r="T326" s="249"/>
      <c r="U326" s="249"/>
      <c r="V326" s="249"/>
      <c r="W326" s="249"/>
      <c r="X326" s="249"/>
      <c r="Y326" s="249"/>
      <c r="Z326" s="249"/>
      <c r="AA326" s="249"/>
      <c r="AB326" s="249"/>
      <c r="AC326" s="249"/>
      <c r="AD326" s="249"/>
    </row>
    <row r="327" spans="1:30" ht="12.9">
      <c r="A327" s="249"/>
      <c r="B327" s="249"/>
      <c r="C327" s="249"/>
      <c r="D327" s="249"/>
      <c r="E327" s="249"/>
      <c r="F327" s="249"/>
      <c r="G327" s="249"/>
      <c r="H327" s="249"/>
      <c r="I327" s="249"/>
      <c r="J327" s="249"/>
      <c r="K327" s="249"/>
      <c r="L327" s="249"/>
      <c r="M327" s="249"/>
      <c r="N327" s="249"/>
      <c r="O327" s="249"/>
      <c r="P327" s="249"/>
      <c r="Q327" s="249"/>
      <c r="R327" s="249"/>
      <c r="S327" s="249"/>
      <c r="T327" s="249"/>
      <c r="U327" s="249"/>
      <c r="V327" s="249"/>
      <c r="W327" s="249"/>
      <c r="X327" s="249"/>
      <c r="Y327" s="249"/>
      <c r="Z327" s="249"/>
      <c r="AA327" s="249"/>
      <c r="AB327" s="249"/>
      <c r="AC327" s="249"/>
      <c r="AD327" s="249"/>
    </row>
    <row r="328" spans="1:30" ht="12.9">
      <c r="A328" s="249"/>
      <c r="B328" s="249"/>
      <c r="C328" s="249"/>
      <c r="D328" s="249"/>
      <c r="E328" s="249"/>
      <c r="F328" s="249"/>
      <c r="G328" s="249"/>
      <c r="H328" s="249"/>
      <c r="I328" s="249"/>
      <c r="J328" s="249"/>
      <c r="K328" s="249"/>
      <c r="L328" s="249"/>
      <c r="M328" s="249"/>
      <c r="N328" s="249"/>
      <c r="O328" s="249"/>
      <c r="P328" s="249"/>
      <c r="Q328" s="249"/>
      <c r="R328" s="249"/>
      <c r="S328" s="249"/>
      <c r="T328" s="249"/>
      <c r="U328" s="249"/>
      <c r="V328" s="249"/>
      <c r="W328" s="249"/>
      <c r="X328" s="249"/>
      <c r="Y328" s="249"/>
      <c r="Z328" s="249"/>
      <c r="AA328" s="249"/>
      <c r="AB328" s="249"/>
      <c r="AC328" s="249"/>
      <c r="AD328" s="249"/>
    </row>
    <row r="329" spans="1:30" ht="12.9">
      <c r="A329" s="249"/>
      <c r="B329" s="249"/>
      <c r="C329" s="249"/>
      <c r="D329" s="249"/>
      <c r="E329" s="249"/>
      <c r="F329" s="249"/>
      <c r="G329" s="249"/>
      <c r="H329" s="249"/>
      <c r="I329" s="249"/>
      <c r="J329" s="249"/>
      <c r="K329" s="249"/>
      <c r="L329" s="249"/>
      <c r="M329" s="249"/>
      <c r="N329" s="249"/>
      <c r="O329" s="249"/>
      <c r="P329" s="249"/>
      <c r="Q329" s="249"/>
      <c r="R329" s="249"/>
      <c r="S329" s="249"/>
      <c r="T329" s="249"/>
      <c r="U329" s="249"/>
      <c r="V329" s="249"/>
      <c r="W329" s="249"/>
      <c r="X329" s="249"/>
      <c r="Y329" s="249"/>
      <c r="Z329" s="249"/>
      <c r="AA329" s="249"/>
      <c r="AB329" s="249"/>
      <c r="AC329" s="249"/>
      <c r="AD329" s="249"/>
    </row>
    <row r="330" spans="1:30" ht="12.9">
      <c r="A330" s="249"/>
      <c r="B330" s="249"/>
      <c r="C330" s="249"/>
      <c r="D330" s="249"/>
      <c r="E330" s="249"/>
      <c r="F330" s="249"/>
      <c r="G330" s="249"/>
      <c r="H330" s="249"/>
      <c r="I330" s="249"/>
      <c r="J330" s="249"/>
      <c r="K330" s="249"/>
      <c r="L330" s="249"/>
      <c r="M330" s="249"/>
      <c r="N330" s="249"/>
      <c r="O330" s="249"/>
      <c r="P330" s="249"/>
      <c r="Q330" s="249"/>
      <c r="R330" s="249"/>
      <c r="S330" s="249"/>
      <c r="T330" s="249"/>
      <c r="U330" s="249"/>
      <c r="V330" s="249"/>
      <c r="W330" s="249"/>
      <c r="X330" s="249"/>
      <c r="Y330" s="249"/>
      <c r="Z330" s="249"/>
      <c r="AA330" s="249"/>
      <c r="AB330" s="249"/>
      <c r="AC330" s="249"/>
      <c r="AD330" s="249"/>
    </row>
    <row r="331" spans="1:30" ht="12.9">
      <c r="A331" s="249"/>
      <c r="B331" s="249"/>
      <c r="C331" s="249"/>
      <c r="D331" s="249"/>
      <c r="E331" s="249"/>
      <c r="F331" s="249"/>
      <c r="G331" s="249"/>
      <c r="H331" s="249"/>
      <c r="I331" s="249"/>
      <c r="J331" s="249"/>
      <c r="K331" s="249"/>
      <c r="L331" s="249"/>
      <c r="M331" s="249"/>
      <c r="N331" s="249"/>
      <c r="O331" s="249"/>
      <c r="P331" s="249"/>
      <c r="Q331" s="249"/>
      <c r="R331" s="249"/>
      <c r="S331" s="249"/>
      <c r="T331" s="249"/>
      <c r="U331" s="249"/>
      <c r="V331" s="249"/>
      <c r="W331" s="249"/>
      <c r="X331" s="249"/>
      <c r="Y331" s="249"/>
      <c r="Z331" s="249"/>
      <c r="AA331" s="249"/>
      <c r="AB331" s="249"/>
      <c r="AC331" s="249"/>
      <c r="AD331" s="249"/>
    </row>
    <row r="332" spans="1:30" ht="12.9">
      <c r="A332" s="249"/>
      <c r="B332" s="249"/>
      <c r="C332" s="249"/>
      <c r="D332" s="249"/>
      <c r="E332" s="249"/>
      <c r="F332" s="249"/>
      <c r="G332" s="249"/>
      <c r="H332" s="249"/>
      <c r="I332" s="249"/>
      <c r="J332" s="249"/>
      <c r="K332" s="249"/>
      <c r="L332" s="249"/>
      <c r="M332" s="249"/>
      <c r="N332" s="249"/>
      <c r="O332" s="249"/>
      <c r="P332" s="249"/>
      <c r="Q332" s="249"/>
      <c r="R332" s="249"/>
      <c r="S332" s="249"/>
      <c r="T332" s="249"/>
      <c r="U332" s="249"/>
      <c r="V332" s="249"/>
      <c r="W332" s="249"/>
      <c r="X332" s="249"/>
      <c r="Y332" s="249"/>
      <c r="Z332" s="249"/>
      <c r="AA332" s="249"/>
      <c r="AB332" s="249"/>
      <c r="AC332" s="249"/>
      <c r="AD332" s="249"/>
    </row>
    <row r="333" spans="1:30" ht="12.9">
      <c r="A333" s="249"/>
      <c r="B333" s="249"/>
      <c r="C333" s="249"/>
      <c r="D333" s="249"/>
      <c r="E333" s="249"/>
      <c r="F333" s="249"/>
      <c r="G333" s="249"/>
      <c r="H333" s="249"/>
      <c r="I333" s="249"/>
      <c r="J333" s="249"/>
      <c r="K333" s="249"/>
      <c r="L333" s="249"/>
      <c r="M333" s="249"/>
      <c r="N333" s="249"/>
      <c r="O333" s="249"/>
      <c r="P333" s="249"/>
      <c r="Q333" s="249"/>
      <c r="R333" s="249"/>
      <c r="S333" s="249"/>
      <c r="T333" s="249"/>
      <c r="U333" s="249"/>
      <c r="V333" s="249"/>
      <c r="W333" s="249"/>
      <c r="X333" s="249"/>
      <c r="Y333" s="249"/>
      <c r="Z333" s="249"/>
      <c r="AA333" s="249"/>
      <c r="AB333" s="249"/>
      <c r="AC333" s="249"/>
      <c r="AD333" s="249"/>
    </row>
    <row r="334" spans="1:30" ht="12.9">
      <c r="A334" s="249"/>
      <c r="B334" s="249"/>
      <c r="C334" s="249"/>
      <c r="D334" s="249"/>
      <c r="E334" s="249"/>
      <c r="F334" s="249"/>
      <c r="G334" s="249"/>
      <c r="H334" s="249"/>
      <c r="I334" s="249"/>
      <c r="J334" s="249"/>
      <c r="K334" s="249"/>
      <c r="L334" s="249"/>
      <c r="M334" s="249"/>
      <c r="N334" s="249"/>
      <c r="O334" s="249"/>
      <c r="P334" s="249"/>
      <c r="Q334" s="249"/>
      <c r="R334" s="249"/>
      <c r="S334" s="249"/>
      <c r="T334" s="249"/>
      <c r="U334" s="249"/>
      <c r="V334" s="249"/>
      <c r="W334" s="249"/>
      <c r="X334" s="249"/>
      <c r="Y334" s="249"/>
      <c r="Z334" s="249"/>
      <c r="AA334" s="249"/>
      <c r="AB334" s="249"/>
      <c r="AC334" s="249"/>
      <c r="AD334" s="249"/>
    </row>
    <row r="335" spans="1:30" ht="12.9">
      <c r="A335" s="249"/>
      <c r="B335" s="249"/>
      <c r="C335" s="249"/>
      <c r="D335" s="249"/>
      <c r="E335" s="249"/>
      <c r="F335" s="249"/>
      <c r="G335" s="249"/>
      <c r="H335" s="249"/>
      <c r="I335" s="249"/>
      <c r="J335" s="249"/>
      <c r="K335" s="249"/>
      <c r="L335" s="249"/>
      <c r="M335" s="249"/>
      <c r="N335" s="249"/>
      <c r="O335" s="249"/>
      <c r="P335" s="249"/>
      <c r="Q335" s="249"/>
      <c r="R335" s="249"/>
      <c r="S335" s="249"/>
      <c r="T335" s="249"/>
      <c r="U335" s="249"/>
      <c r="V335" s="249"/>
      <c r="W335" s="249"/>
      <c r="X335" s="249"/>
      <c r="Y335" s="249"/>
      <c r="Z335" s="249"/>
      <c r="AA335" s="249"/>
      <c r="AB335" s="249"/>
      <c r="AC335" s="249"/>
      <c r="AD335" s="249"/>
    </row>
    <row r="336" spans="1:30" ht="12.9">
      <c r="A336" s="249"/>
      <c r="B336" s="249"/>
      <c r="C336" s="249"/>
      <c r="D336" s="249"/>
      <c r="E336" s="249"/>
      <c r="F336" s="249"/>
      <c r="G336" s="249"/>
      <c r="H336" s="249"/>
      <c r="I336" s="249"/>
      <c r="J336" s="249"/>
      <c r="K336" s="249"/>
      <c r="L336" s="249"/>
      <c r="M336" s="249"/>
      <c r="N336" s="249"/>
      <c r="O336" s="249"/>
      <c r="P336" s="249"/>
      <c r="Q336" s="249"/>
      <c r="R336" s="249"/>
      <c r="S336" s="249"/>
      <c r="T336" s="249"/>
      <c r="U336" s="249"/>
      <c r="V336" s="249"/>
      <c r="W336" s="249"/>
      <c r="X336" s="249"/>
      <c r="Y336" s="249"/>
      <c r="Z336" s="249"/>
      <c r="AA336" s="249"/>
      <c r="AB336" s="249"/>
      <c r="AC336" s="249"/>
      <c r="AD336" s="249"/>
    </row>
    <row r="337" spans="1:30" ht="12.9">
      <c r="A337" s="249"/>
      <c r="B337" s="249"/>
      <c r="C337" s="249"/>
      <c r="D337" s="249"/>
      <c r="E337" s="249"/>
      <c r="F337" s="249"/>
      <c r="G337" s="249"/>
      <c r="H337" s="249"/>
      <c r="I337" s="249"/>
      <c r="J337" s="249"/>
      <c r="K337" s="249"/>
      <c r="L337" s="249"/>
      <c r="M337" s="249"/>
      <c r="N337" s="249"/>
      <c r="O337" s="249"/>
      <c r="P337" s="249"/>
      <c r="Q337" s="249"/>
      <c r="R337" s="249"/>
      <c r="S337" s="249"/>
      <c r="T337" s="249"/>
      <c r="U337" s="249"/>
      <c r="V337" s="249"/>
      <c r="W337" s="249"/>
      <c r="X337" s="249"/>
      <c r="Y337" s="249"/>
      <c r="Z337" s="249"/>
      <c r="AA337" s="249"/>
      <c r="AB337" s="249"/>
      <c r="AC337" s="249"/>
      <c r="AD337" s="249"/>
    </row>
    <row r="338" spans="1:30" ht="12.9">
      <c r="A338" s="249"/>
      <c r="B338" s="249"/>
      <c r="C338" s="249"/>
      <c r="D338" s="249"/>
      <c r="E338" s="249"/>
      <c r="F338" s="249"/>
      <c r="G338" s="249"/>
      <c r="H338" s="249"/>
      <c r="I338" s="249"/>
      <c r="J338" s="249"/>
      <c r="K338" s="249"/>
      <c r="L338" s="249"/>
      <c r="M338" s="249"/>
      <c r="N338" s="249"/>
      <c r="O338" s="249"/>
      <c r="P338" s="249"/>
      <c r="Q338" s="249"/>
      <c r="R338" s="249"/>
      <c r="S338" s="249"/>
      <c r="T338" s="249"/>
      <c r="U338" s="249"/>
      <c r="V338" s="249"/>
      <c r="W338" s="249"/>
      <c r="X338" s="249"/>
      <c r="Y338" s="249"/>
      <c r="Z338" s="249"/>
      <c r="AA338" s="249"/>
      <c r="AB338" s="249"/>
      <c r="AC338" s="249"/>
      <c r="AD338" s="249"/>
    </row>
    <row r="339" spans="1:30" ht="12.9">
      <c r="A339" s="249"/>
      <c r="B339" s="249"/>
      <c r="C339" s="249"/>
      <c r="D339" s="249"/>
      <c r="E339" s="249"/>
      <c r="F339" s="249"/>
      <c r="G339" s="249"/>
      <c r="H339" s="249"/>
      <c r="I339" s="249"/>
      <c r="J339" s="249"/>
      <c r="K339" s="249"/>
      <c r="L339" s="249"/>
      <c r="M339" s="249"/>
      <c r="N339" s="249"/>
      <c r="O339" s="249"/>
      <c r="P339" s="249"/>
      <c r="Q339" s="249"/>
      <c r="R339" s="249"/>
      <c r="S339" s="249"/>
      <c r="T339" s="249"/>
      <c r="U339" s="249"/>
      <c r="V339" s="249"/>
      <c r="W339" s="249"/>
      <c r="X339" s="249"/>
      <c r="Y339" s="249"/>
      <c r="Z339" s="249"/>
      <c r="AA339" s="249"/>
      <c r="AB339" s="249"/>
      <c r="AC339" s="249"/>
      <c r="AD339" s="249"/>
    </row>
    <row r="340" spans="1:30" ht="12.9">
      <c r="A340" s="249"/>
      <c r="B340" s="249"/>
      <c r="C340" s="249"/>
      <c r="D340" s="249"/>
      <c r="E340" s="249"/>
      <c r="F340" s="249"/>
      <c r="G340" s="249"/>
      <c r="H340" s="249"/>
      <c r="I340" s="249"/>
      <c r="J340" s="249"/>
      <c r="K340" s="249"/>
      <c r="L340" s="249"/>
      <c r="M340" s="249"/>
      <c r="N340" s="249"/>
      <c r="O340" s="249"/>
      <c r="P340" s="249"/>
      <c r="Q340" s="249"/>
      <c r="R340" s="249"/>
      <c r="S340" s="249"/>
      <c r="T340" s="249"/>
      <c r="U340" s="249"/>
      <c r="V340" s="249"/>
      <c r="W340" s="249"/>
      <c r="X340" s="249"/>
      <c r="Y340" s="249"/>
      <c r="Z340" s="249"/>
      <c r="AA340" s="249"/>
      <c r="AB340" s="249"/>
      <c r="AC340" s="249"/>
      <c r="AD340" s="249"/>
    </row>
    <row r="341" spans="1:30" ht="12.9">
      <c r="A341" s="249"/>
      <c r="B341" s="249"/>
      <c r="C341" s="249"/>
      <c r="D341" s="249"/>
      <c r="E341" s="249"/>
      <c r="F341" s="249"/>
      <c r="G341" s="249"/>
      <c r="H341" s="249"/>
      <c r="I341" s="249"/>
      <c r="J341" s="249"/>
      <c r="K341" s="249"/>
      <c r="L341" s="249"/>
      <c r="M341" s="249"/>
      <c r="N341" s="249"/>
      <c r="O341" s="249"/>
      <c r="P341" s="249"/>
      <c r="Q341" s="249"/>
      <c r="R341" s="249"/>
      <c r="S341" s="249"/>
      <c r="T341" s="249"/>
      <c r="U341" s="249"/>
      <c r="V341" s="249"/>
      <c r="W341" s="249"/>
      <c r="X341" s="249"/>
      <c r="Y341" s="249"/>
      <c r="Z341" s="249"/>
      <c r="AA341" s="249"/>
      <c r="AB341" s="249"/>
      <c r="AC341" s="249"/>
      <c r="AD341" s="249"/>
    </row>
    <row r="342" spans="1:30" ht="12.9">
      <c r="A342" s="249"/>
      <c r="B342" s="249"/>
      <c r="C342" s="249"/>
      <c r="D342" s="249"/>
      <c r="E342" s="249"/>
      <c r="F342" s="249"/>
      <c r="G342" s="249"/>
      <c r="H342" s="249"/>
      <c r="I342" s="249"/>
      <c r="J342" s="249"/>
      <c r="K342" s="249"/>
      <c r="L342" s="249"/>
      <c r="M342" s="249"/>
      <c r="N342" s="249"/>
      <c r="O342" s="249"/>
      <c r="P342" s="249"/>
      <c r="Q342" s="249"/>
      <c r="R342" s="249"/>
      <c r="S342" s="249"/>
      <c r="T342" s="249"/>
      <c r="U342" s="249"/>
      <c r="V342" s="249"/>
      <c r="W342" s="249"/>
      <c r="X342" s="249"/>
      <c r="Y342" s="249"/>
      <c r="Z342" s="249"/>
      <c r="AA342" s="249"/>
      <c r="AB342" s="249"/>
      <c r="AC342" s="249"/>
      <c r="AD342" s="249"/>
    </row>
    <row r="343" spans="1:30" ht="12.9">
      <c r="A343" s="249"/>
      <c r="B343" s="249"/>
      <c r="C343" s="249"/>
      <c r="D343" s="249"/>
      <c r="E343" s="249"/>
      <c r="F343" s="249"/>
      <c r="G343" s="249"/>
      <c r="H343" s="249"/>
      <c r="I343" s="249"/>
      <c r="J343" s="249"/>
      <c r="K343" s="249"/>
      <c r="L343" s="249"/>
      <c r="M343" s="249"/>
      <c r="N343" s="249"/>
      <c r="O343" s="249"/>
      <c r="P343" s="249"/>
      <c r="Q343" s="249"/>
      <c r="R343" s="249"/>
      <c r="S343" s="249"/>
      <c r="T343" s="249"/>
      <c r="U343" s="249"/>
      <c r="V343" s="249"/>
      <c r="W343" s="249"/>
      <c r="X343" s="249"/>
      <c r="Y343" s="249"/>
      <c r="Z343" s="249"/>
      <c r="AA343" s="249"/>
      <c r="AB343" s="249"/>
      <c r="AC343" s="249"/>
      <c r="AD343" s="249"/>
    </row>
    <row r="344" spans="1:30" ht="12.9">
      <c r="A344" s="249"/>
      <c r="B344" s="249"/>
      <c r="C344" s="249"/>
      <c r="D344" s="249"/>
      <c r="E344" s="249"/>
      <c r="F344" s="249"/>
      <c r="G344" s="249"/>
      <c r="H344" s="249"/>
      <c r="I344" s="249"/>
      <c r="J344" s="249"/>
      <c r="K344" s="249"/>
      <c r="L344" s="249"/>
      <c r="M344" s="249"/>
      <c r="N344" s="249"/>
      <c r="O344" s="249"/>
      <c r="P344" s="249"/>
      <c r="Q344" s="249"/>
      <c r="R344" s="249"/>
      <c r="S344" s="249"/>
      <c r="T344" s="249"/>
      <c r="U344" s="249"/>
      <c r="V344" s="249"/>
      <c r="W344" s="249"/>
      <c r="X344" s="249"/>
      <c r="Y344" s="249"/>
      <c r="Z344" s="249"/>
      <c r="AA344" s="249"/>
      <c r="AB344" s="249"/>
      <c r="AC344" s="249"/>
      <c r="AD344" s="249"/>
    </row>
    <row r="345" spans="1:30" ht="12.9">
      <c r="A345" s="249"/>
      <c r="B345" s="249"/>
      <c r="C345" s="249"/>
      <c r="D345" s="249"/>
      <c r="E345" s="249"/>
      <c r="F345" s="249"/>
      <c r="G345" s="249"/>
      <c r="H345" s="249"/>
      <c r="I345" s="249"/>
      <c r="J345" s="249"/>
      <c r="K345" s="249"/>
      <c r="L345" s="249"/>
      <c r="M345" s="249"/>
      <c r="N345" s="249"/>
      <c r="O345" s="249"/>
      <c r="P345" s="249"/>
      <c r="Q345" s="249"/>
      <c r="R345" s="249"/>
      <c r="S345" s="249"/>
      <c r="T345" s="249"/>
      <c r="U345" s="249"/>
      <c r="V345" s="249"/>
      <c r="W345" s="249"/>
      <c r="X345" s="249"/>
      <c r="Y345" s="249"/>
      <c r="Z345" s="249"/>
      <c r="AA345" s="249"/>
      <c r="AB345" s="249"/>
      <c r="AC345" s="249"/>
      <c r="AD345" s="249"/>
    </row>
    <row r="346" spans="1:30" ht="12.9">
      <c r="A346" s="249"/>
      <c r="B346" s="249"/>
      <c r="C346" s="249"/>
      <c r="D346" s="249"/>
      <c r="E346" s="249"/>
      <c r="F346" s="249"/>
      <c r="G346" s="249"/>
      <c r="H346" s="249"/>
      <c r="I346" s="249"/>
      <c r="J346" s="249"/>
      <c r="K346" s="249"/>
      <c r="L346" s="249"/>
      <c r="M346" s="249"/>
      <c r="N346" s="249"/>
      <c r="O346" s="249"/>
      <c r="P346" s="249"/>
      <c r="Q346" s="249"/>
      <c r="R346" s="249"/>
      <c r="S346" s="249"/>
      <c r="T346" s="249"/>
      <c r="U346" s="249"/>
      <c r="V346" s="249"/>
      <c r="W346" s="249"/>
      <c r="X346" s="249"/>
      <c r="Y346" s="249"/>
      <c r="Z346" s="249"/>
      <c r="AA346" s="249"/>
      <c r="AB346" s="249"/>
      <c r="AC346" s="249"/>
      <c r="AD346" s="249"/>
    </row>
    <row r="347" spans="1:30" ht="12.9">
      <c r="A347" s="249"/>
      <c r="B347" s="249"/>
      <c r="C347" s="249"/>
      <c r="D347" s="249"/>
      <c r="E347" s="249"/>
      <c r="F347" s="249"/>
      <c r="G347" s="249"/>
      <c r="H347" s="249"/>
      <c r="I347" s="249"/>
      <c r="J347" s="249"/>
      <c r="K347" s="249"/>
      <c r="L347" s="249"/>
      <c r="M347" s="249"/>
      <c r="N347" s="249"/>
      <c r="O347" s="249"/>
      <c r="P347" s="249"/>
      <c r="Q347" s="249"/>
      <c r="R347" s="249"/>
      <c r="S347" s="249"/>
      <c r="T347" s="249"/>
      <c r="U347" s="249"/>
      <c r="V347" s="249"/>
      <c r="W347" s="249"/>
      <c r="X347" s="249"/>
      <c r="Y347" s="249"/>
      <c r="Z347" s="249"/>
      <c r="AA347" s="249"/>
      <c r="AB347" s="249"/>
      <c r="AC347" s="249"/>
      <c r="AD347" s="249"/>
    </row>
    <row r="348" spans="1:30" ht="12.9">
      <c r="A348" s="249"/>
      <c r="B348" s="249"/>
      <c r="C348" s="249"/>
      <c r="D348" s="249"/>
      <c r="E348" s="249"/>
      <c r="F348" s="249"/>
      <c r="G348" s="249"/>
      <c r="H348" s="249"/>
      <c r="I348" s="249"/>
      <c r="J348" s="249"/>
      <c r="K348" s="249"/>
      <c r="L348" s="249"/>
      <c r="M348" s="249"/>
      <c r="N348" s="249"/>
      <c r="O348" s="249"/>
      <c r="P348" s="249"/>
      <c r="Q348" s="249"/>
      <c r="R348" s="249"/>
      <c r="S348" s="249"/>
      <c r="T348" s="249"/>
      <c r="U348" s="249"/>
      <c r="V348" s="249"/>
      <c r="W348" s="249"/>
      <c r="X348" s="249"/>
      <c r="Y348" s="249"/>
      <c r="Z348" s="249"/>
      <c r="AA348" s="249"/>
      <c r="AB348" s="249"/>
      <c r="AC348" s="249"/>
      <c r="AD348" s="249"/>
    </row>
    <row r="349" spans="1:30" ht="12.9">
      <c r="A349" s="249"/>
      <c r="B349" s="249"/>
      <c r="C349" s="249"/>
      <c r="D349" s="249"/>
      <c r="E349" s="249"/>
      <c r="F349" s="249"/>
      <c r="G349" s="249"/>
      <c r="H349" s="249"/>
      <c r="I349" s="249"/>
      <c r="J349" s="249"/>
      <c r="K349" s="249"/>
      <c r="L349" s="249"/>
      <c r="M349" s="249"/>
      <c r="N349" s="249"/>
      <c r="O349" s="249"/>
      <c r="P349" s="249"/>
      <c r="Q349" s="249"/>
      <c r="R349" s="249"/>
      <c r="S349" s="249"/>
      <c r="T349" s="249"/>
      <c r="U349" s="249"/>
      <c r="V349" s="249"/>
      <c r="W349" s="249"/>
      <c r="X349" s="249"/>
      <c r="Y349" s="249"/>
      <c r="Z349" s="249"/>
      <c r="AA349" s="249"/>
      <c r="AB349" s="249"/>
      <c r="AC349" s="249"/>
      <c r="AD349" s="249"/>
    </row>
    <row r="350" spans="1:30" ht="12.9">
      <c r="A350" s="249"/>
      <c r="B350" s="249"/>
      <c r="C350" s="249"/>
      <c r="D350" s="249"/>
      <c r="E350" s="249"/>
      <c r="F350" s="249"/>
      <c r="G350" s="249"/>
      <c r="H350" s="249"/>
      <c r="I350" s="249"/>
      <c r="J350" s="249"/>
      <c r="K350" s="249"/>
      <c r="L350" s="249"/>
      <c r="M350" s="249"/>
      <c r="N350" s="249"/>
      <c r="O350" s="249"/>
      <c r="P350" s="249"/>
      <c r="Q350" s="249"/>
      <c r="R350" s="249"/>
      <c r="S350" s="249"/>
      <c r="T350" s="249"/>
      <c r="U350" s="249"/>
      <c r="V350" s="249"/>
      <c r="W350" s="249"/>
      <c r="X350" s="249"/>
      <c r="Y350" s="249"/>
      <c r="Z350" s="249"/>
      <c r="AA350" s="249"/>
      <c r="AB350" s="249"/>
      <c r="AC350" s="249"/>
      <c r="AD350" s="249"/>
    </row>
    <row r="351" spans="1:30" ht="12.9">
      <c r="A351" s="249"/>
      <c r="B351" s="249"/>
      <c r="C351" s="249"/>
      <c r="D351" s="249"/>
      <c r="E351" s="249"/>
      <c r="F351" s="249"/>
      <c r="G351" s="249"/>
      <c r="H351" s="249"/>
      <c r="I351" s="249"/>
      <c r="J351" s="249"/>
      <c r="K351" s="249"/>
      <c r="L351" s="249"/>
      <c r="M351" s="249"/>
      <c r="N351" s="249"/>
      <c r="O351" s="249"/>
      <c r="P351" s="249"/>
      <c r="Q351" s="249"/>
      <c r="R351" s="249"/>
      <c r="S351" s="249"/>
      <c r="T351" s="249"/>
      <c r="U351" s="249"/>
      <c r="V351" s="249"/>
      <c r="W351" s="249"/>
      <c r="X351" s="249"/>
      <c r="Y351" s="249"/>
      <c r="Z351" s="249"/>
      <c r="AA351" s="249"/>
      <c r="AB351" s="249"/>
      <c r="AC351" s="249"/>
      <c r="AD351" s="249"/>
    </row>
    <row r="352" spans="1:30" ht="12.9">
      <c r="A352" s="249"/>
      <c r="B352" s="249"/>
      <c r="C352" s="249"/>
      <c r="D352" s="249"/>
      <c r="E352" s="249"/>
      <c r="F352" s="249"/>
      <c r="G352" s="249"/>
      <c r="H352" s="249"/>
      <c r="I352" s="249"/>
      <c r="J352" s="249"/>
      <c r="K352" s="249"/>
      <c r="L352" s="249"/>
      <c r="M352" s="249"/>
      <c r="N352" s="249"/>
      <c r="O352" s="249"/>
      <c r="P352" s="249"/>
      <c r="Q352" s="249"/>
      <c r="R352" s="249"/>
      <c r="S352" s="249"/>
      <c r="T352" s="249"/>
      <c r="U352" s="249"/>
      <c r="V352" s="249"/>
      <c r="W352" s="249"/>
      <c r="X352" s="249"/>
      <c r="Y352" s="249"/>
      <c r="Z352" s="249"/>
      <c r="AA352" s="249"/>
      <c r="AB352" s="249"/>
      <c r="AC352" s="249"/>
      <c r="AD352" s="249"/>
    </row>
    <row r="353" spans="1:30" ht="12.9">
      <c r="A353" s="249"/>
      <c r="B353" s="249"/>
      <c r="C353" s="249"/>
      <c r="D353" s="249"/>
      <c r="E353" s="249"/>
      <c r="F353" s="249"/>
      <c r="G353" s="249"/>
      <c r="H353" s="249"/>
      <c r="I353" s="249"/>
      <c r="J353" s="249"/>
      <c r="K353" s="249"/>
      <c r="L353" s="249"/>
      <c r="M353" s="249"/>
      <c r="N353" s="249"/>
      <c r="O353" s="249"/>
      <c r="P353" s="249"/>
      <c r="Q353" s="249"/>
      <c r="R353" s="249"/>
      <c r="S353" s="249"/>
      <c r="T353" s="249"/>
      <c r="U353" s="249"/>
      <c r="V353" s="249"/>
      <c r="W353" s="249"/>
      <c r="X353" s="249"/>
      <c r="Y353" s="249"/>
      <c r="Z353" s="249"/>
      <c r="AA353" s="249"/>
      <c r="AB353" s="249"/>
      <c r="AC353" s="249"/>
      <c r="AD353" s="249"/>
    </row>
    <row r="354" spans="1:30" ht="12.9">
      <c r="A354" s="249"/>
      <c r="B354" s="249"/>
      <c r="C354" s="249"/>
      <c r="D354" s="249"/>
      <c r="E354" s="249"/>
      <c r="F354" s="249"/>
      <c r="G354" s="249"/>
      <c r="H354" s="249"/>
      <c r="I354" s="249"/>
      <c r="J354" s="249"/>
      <c r="K354" s="249"/>
      <c r="L354" s="249"/>
      <c r="M354" s="249"/>
      <c r="N354" s="249"/>
      <c r="O354" s="249"/>
      <c r="P354" s="249"/>
      <c r="Q354" s="249"/>
      <c r="R354" s="249"/>
      <c r="S354" s="249"/>
      <c r="T354" s="249"/>
      <c r="U354" s="249"/>
      <c r="V354" s="249"/>
      <c r="W354" s="249"/>
      <c r="X354" s="249"/>
      <c r="Y354" s="249"/>
      <c r="Z354" s="249"/>
      <c r="AA354" s="249"/>
      <c r="AB354" s="249"/>
      <c r="AC354" s="249"/>
      <c r="AD354" s="249"/>
    </row>
    <row r="355" spans="1:30" ht="12.9">
      <c r="A355" s="249"/>
      <c r="B355" s="249"/>
      <c r="C355" s="249"/>
      <c r="D355" s="249"/>
      <c r="E355" s="249"/>
      <c r="F355" s="249"/>
      <c r="G355" s="249"/>
      <c r="H355" s="249"/>
      <c r="I355" s="249"/>
      <c r="J355" s="249"/>
      <c r="K355" s="249"/>
      <c r="L355" s="249"/>
      <c r="M355" s="249"/>
      <c r="N355" s="249"/>
      <c r="O355" s="249"/>
      <c r="P355" s="249"/>
      <c r="Q355" s="249"/>
      <c r="R355" s="249"/>
      <c r="S355" s="249"/>
      <c r="T355" s="249"/>
      <c r="U355" s="249"/>
      <c r="V355" s="249"/>
      <c r="W355" s="249"/>
      <c r="X355" s="249"/>
      <c r="Y355" s="249"/>
      <c r="Z355" s="249"/>
      <c r="AA355" s="249"/>
      <c r="AB355" s="249"/>
      <c r="AC355" s="249"/>
      <c r="AD355" s="249"/>
    </row>
    <row r="356" spans="1:30" ht="12.9">
      <c r="A356" s="249"/>
      <c r="B356" s="249"/>
      <c r="C356" s="249"/>
      <c r="D356" s="249"/>
      <c r="E356" s="249"/>
      <c r="F356" s="249"/>
      <c r="G356" s="249"/>
      <c r="H356" s="249"/>
      <c r="I356" s="249"/>
      <c r="J356" s="249"/>
      <c r="K356" s="249"/>
      <c r="L356" s="249"/>
      <c r="M356" s="249"/>
      <c r="N356" s="249"/>
      <c r="O356" s="249"/>
      <c r="P356" s="249"/>
      <c r="Q356" s="249"/>
      <c r="R356" s="249"/>
      <c r="S356" s="249"/>
      <c r="T356" s="249"/>
      <c r="U356" s="249"/>
      <c r="V356" s="249"/>
      <c r="W356" s="249"/>
      <c r="X356" s="249"/>
      <c r="Y356" s="249"/>
      <c r="Z356" s="249"/>
      <c r="AA356" s="249"/>
      <c r="AB356" s="249"/>
      <c r="AC356" s="249"/>
      <c r="AD356" s="249"/>
    </row>
    <row r="357" spans="1:30" ht="12.9">
      <c r="A357" s="249"/>
      <c r="B357" s="249"/>
      <c r="C357" s="249"/>
      <c r="D357" s="249"/>
      <c r="E357" s="249"/>
      <c r="F357" s="249"/>
      <c r="G357" s="249"/>
      <c r="H357" s="249"/>
      <c r="I357" s="249"/>
      <c r="J357" s="249"/>
      <c r="K357" s="249"/>
      <c r="L357" s="249"/>
      <c r="M357" s="249"/>
      <c r="N357" s="249"/>
      <c r="O357" s="249"/>
      <c r="P357" s="249"/>
      <c r="Q357" s="249"/>
      <c r="R357" s="249"/>
      <c r="S357" s="249"/>
      <c r="T357" s="249"/>
      <c r="U357" s="249"/>
      <c r="V357" s="249"/>
      <c r="W357" s="249"/>
      <c r="X357" s="249"/>
      <c r="Y357" s="249"/>
      <c r="Z357" s="249"/>
      <c r="AA357" s="249"/>
      <c r="AB357" s="249"/>
      <c r="AC357" s="249"/>
      <c r="AD357" s="249"/>
    </row>
    <row r="358" spans="1:30" ht="12.9">
      <c r="A358" s="249"/>
      <c r="B358" s="249"/>
      <c r="C358" s="249"/>
      <c r="D358" s="249"/>
      <c r="E358" s="249"/>
      <c r="F358" s="249"/>
      <c r="G358" s="249"/>
      <c r="H358" s="249"/>
      <c r="I358" s="249"/>
      <c r="J358" s="249"/>
      <c r="K358" s="249"/>
      <c r="L358" s="249"/>
      <c r="M358" s="249"/>
      <c r="N358" s="249"/>
      <c r="O358" s="249"/>
      <c r="P358" s="249"/>
      <c r="Q358" s="249"/>
      <c r="R358" s="249"/>
      <c r="S358" s="249"/>
      <c r="T358" s="249"/>
      <c r="U358" s="249"/>
      <c r="V358" s="249"/>
      <c r="W358" s="249"/>
      <c r="X358" s="249"/>
      <c r="Y358" s="249"/>
      <c r="Z358" s="249"/>
      <c r="AA358" s="249"/>
      <c r="AB358" s="249"/>
      <c r="AC358" s="249"/>
      <c r="AD358" s="249"/>
    </row>
    <row r="359" spans="1:30" ht="12.9">
      <c r="A359" s="249"/>
      <c r="B359" s="249"/>
      <c r="C359" s="249"/>
      <c r="D359" s="249"/>
      <c r="E359" s="249"/>
      <c r="F359" s="249"/>
      <c r="G359" s="249"/>
      <c r="H359" s="249"/>
      <c r="I359" s="249"/>
      <c r="J359" s="249"/>
      <c r="K359" s="249"/>
      <c r="L359" s="249"/>
      <c r="M359" s="249"/>
      <c r="N359" s="249"/>
      <c r="O359" s="249"/>
      <c r="P359" s="249"/>
      <c r="Q359" s="249"/>
      <c r="R359" s="249"/>
      <c r="S359" s="249"/>
      <c r="T359" s="249"/>
      <c r="U359" s="249"/>
      <c r="V359" s="249"/>
      <c r="W359" s="249"/>
      <c r="X359" s="249"/>
      <c r="Y359" s="249"/>
      <c r="Z359" s="249"/>
      <c r="AA359" s="249"/>
      <c r="AB359" s="249"/>
      <c r="AC359" s="249"/>
      <c r="AD359" s="249"/>
    </row>
    <row r="360" spans="1:30" ht="12.9">
      <c r="A360" s="249"/>
      <c r="B360" s="249"/>
      <c r="C360" s="249"/>
      <c r="D360" s="249"/>
      <c r="E360" s="249"/>
      <c r="F360" s="249"/>
      <c r="G360" s="249"/>
      <c r="H360" s="249"/>
      <c r="I360" s="249"/>
      <c r="J360" s="249"/>
      <c r="K360" s="249"/>
      <c r="L360" s="249"/>
      <c r="M360" s="249"/>
      <c r="N360" s="249"/>
      <c r="O360" s="249"/>
      <c r="P360" s="249"/>
      <c r="Q360" s="249"/>
      <c r="R360" s="249"/>
      <c r="S360" s="249"/>
      <c r="T360" s="249"/>
      <c r="U360" s="249"/>
      <c r="V360" s="249"/>
      <c r="W360" s="249"/>
      <c r="X360" s="249"/>
      <c r="Y360" s="249"/>
      <c r="Z360" s="249"/>
      <c r="AA360" s="249"/>
      <c r="AB360" s="249"/>
      <c r="AC360" s="249"/>
      <c r="AD360" s="249"/>
    </row>
    <row r="361" spans="1:30" ht="12.9">
      <c r="A361" s="249"/>
      <c r="B361" s="249"/>
      <c r="C361" s="249"/>
      <c r="D361" s="249"/>
      <c r="E361" s="249"/>
      <c r="F361" s="249"/>
      <c r="G361" s="249"/>
      <c r="H361" s="249"/>
      <c r="I361" s="249"/>
      <c r="J361" s="249"/>
      <c r="K361" s="249"/>
      <c r="L361" s="249"/>
      <c r="M361" s="249"/>
      <c r="N361" s="249"/>
      <c r="O361" s="249"/>
      <c r="P361" s="249"/>
      <c r="Q361" s="249"/>
      <c r="R361" s="249"/>
      <c r="S361" s="249"/>
      <c r="T361" s="249"/>
      <c r="U361" s="249"/>
      <c r="V361" s="249"/>
      <c r="W361" s="249"/>
      <c r="X361" s="249"/>
      <c r="Y361" s="249"/>
      <c r="Z361" s="249"/>
      <c r="AA361" s="249"/>
      <c r="AB361" s="249"/>
      <c r="AC361" s="249"/>
      <c r="AD361" s="249"/>
    </row>
    <row r="362" spans="1:30" ht="12.9">
      <c r="A362" s="249"/>
      <c r="B362" s="249"/>
      <c r="C362" s="249"/>
      <c r="D362" s="249"/>
      <c r="E362" s="249"/>
      <c r="F362" s="249"/>
      <c r="G362" s="249"/>
      <c r="H362" s="249"/>
      <c r="I362" s="249"/>
      <c r="J362" s="249"/>
      <c r="K362" s="249"/>
      <c r="L362" s="249"/>
      <c r="M362" s="249"/>
      <c r="N362" s="249"/>
      <c r="O362" s="249"/>
      <c r="P362" s="249"/>
      <c r="Q362" s="249"/>
      <c r="R362" s="249"/>
      <c r="S362" s="249"/>
      <c r="T362" s="249"/>
      <c r="U362" s="249"/>
      <c r="V362" s="249"/>
      <c r="W362" s="249"/>
      <c r="X362" s="249"/>
      <c r="Y362" s="249"/>
      <c r="Z362" s="249"/>
      <c r="AA362" s="249"/>
      <c r="AB362" s="249"/>
      <c r="AC362" s="249"/>
      <c r="AD362" s="249"/>
    </row>
    <row r="363" spans="1:30" ht="12.9">
      <c r="A363" s="249"/>
      <c r="B363" s="249"/>
      <c r="C363" s="249"/>
      <c r="D363" s="249"/>
      <c r="E363" s="249"/>
      <c r="F363" s="249"/>
      <c r="G363" s="249"/>
      <c r="H363" s="249"/>
      <c r="I363" s="249"/>
      <c r="J363" s="249"/>
      <c r="K363" s="249"/>
      <c r="L363" s="249"/>
      <c r="M363" s="249"/>
      <c r="N363" s="249"/>
      <c r="O363" s="249"/>
      <c r="P363" s="249"/>
      <c r="Q363" s="249"/>
      <c r="R363" s="249"/>
      <c r="S363" s="249"/>
      <c r="T363" s="249"/>
      <c r="U363" s="249"/>
      <c r="V363" s="249"/>
      <c r="W363" s="249"/>
      <c r="X363" s="249"/>
      <c r="Y363" s="249"/>
      <c r="Z363" s="249"/>
      <c r="AA363" s="249"/>
      <c r="AB363" s="249"/>
      <c r="AC363" s="249"/>
      <c r="AD363" s="249"/>
    </row>
    <row r="364" spans="1:30" ht="12.9">
      <c r="A364" s="249"/>
      <c r="B364" s="249"/>
      <c r="C364" s="249"/>
      <c r="D364" s="249"/>
      <c r="E364" s="249"/>
      <c r="F364" s="249"/>
      <c r="G364" s="249"/>
      <c r="H364" s="249"/>
      <c r="I364" s="249"/>
      <c r="J364" s="249"/>
      <c r="K364" s="249"/>
      <c r="L364" s="249"/>
      <c r="M364" s="249"/>
      <c r="N364" s="249"/>
      <c r="O364" s="249"/>
      <c r="P364" s="249"/>
      <c r="Q364" s="249"/>
      <c r="R364" s="249"/>
      <c r="S364" s="249"/>
      <c r="T364" s="249"/>
      <c r="U364" s="249"/>
      <c r="V364" s="249"/>
      <c r="W364" s="249"/>
      <c r="X364" s="249"/>
      <c r="Y364" s="249"/>
      <c r="Z364" s="249"/>
      <c r="AA364" s="249"/>
      <c r="AB364" s="249"/>
      <c r="AC364" s="249"/>
      <c r="AD364" s="249"/>
    </row>
    <row r="365" spans="1:30" ht="12.9">
      <c r="A365" s="249"/>
      <c r="B365" s="249"/>
      <c r="C365" s="249"/>
      <c r="D365" s="249"/>
      <c r="E365" s="249"/>
      <c r="F365" s="249"/>
      <c r="G365" s="249"/>
      <c r="H365" s="249"/>
      <c r="I365" s="249"/>
      <c r="J365" s="249"/>
      <c r="K365" s="249"/>
      <c r="L365" s="249"/>
      <c r="M365" s="249"/>
      <c r="N365" s="249"/>
      <c r="O365" s="249"/>
      <c r="P365" s="249"/>
      <c r="Q365" s="249"/>
      <c r="R365" s="249"/>
      <c r="S365" s="249"/>
      <c r="T365" s="249"/>
      <c r="U365" s="249"/>
      <c r="V365" s="249"/>
      <c r="W365" s="249"/>
      <c r="X365" s="249"/>
      <c r="Y365" s="249"/>
      <c r="Z365" s="249"/>
      <c r="AA365" s="249"/>
      <c r="AB365" s="249"/>
      <c r="AC365" s="249"/>
      <c r="AD365" s="249"/>
    </row>
    <row r="366" spans="1:30" ht="12.9">
      <c r="A366" s="249"/>
      <c r="B366" s="249"/>
      <c r="C366" s="249"/>
      <c r="D366" s="249"/>
      <c r="E366" s="249"/>
      <c r="F366" s="249"/>
      <c r="G366" s="249"/>
      <c r="H366" s="249"/>
      <c r="I366" s="249"/>
      <c r="J366" s="249"/>
      <c r="K366" s="249"/>
      <c r="L366" s="249"/>
      <c r="M366" s="249"/>
      <c r="N366" s="249"/>
      <c r="O366" s="249"/>
      <c r="P366" s="249"/>
      <c r="Q366" s="249"/>
      <c r="R366" s="249"/>
      <c r="S366" s="249"/>
      <c r="T366" s="249"/>
      <c r="U366" s="249"/>
      <c r="V366" s="249"/>
      <c r="W366" s="249"/>
      <c r="X366" s="249"/>
      <c r="Y366" s="249"/>
      <c r="Z366" s="249"/>
      <c r="AA366" s="249"/>
      <c r="AB366" s="249"/>
      <c r="AC366" s="249"/>
      <c r="AD366" s="249"/>
    </row>
    <row r="367" spans="1:30" ht="12.9">
      <c r="A367" s="249"/>
      <c r="B367" s="249"/>
      <c r="C367" s="249"/>
      <c r="D367" s="249"/>
      <c r="E367" s="249"/>
      <c r="F367" s="249"/>
      <c r="G367" s="249"/>
      <c r="H367" s="249"/>
      <c r="I367" s="249"/>
      <c r="J367" s="249"/>
      <c r="K367" s="249"/>
      <c r="L367" s="249"/>
      <c r="M367" s="249"/>
      <c r="N367" s="249"/>
      <c r="O367" s="249"/>
      <c r="P367" s="249"/>
      <c r="Q367" s="249"/>
      <c r="R367" s="249"/>
      <c r="S367" s="249"/>
      <c r="T367" s="249"/>
      <c r="U367" s="249"/>
      <c r="V367" s="249"/>
      <c r="W367" s="249"/>
      <c r="X367" s="249"/>
      <c r="Y367" s="249"/>
      <c r="Z367" s="249"/>
      <c r="AA367" s="249"/>
      <c r="AB367" s="249"/>
      <c r="AC367" s="249"/>
      <c r="AD367" s="249"/>
    </row>
    <row r="368" spans="1:30" ht="12.9">
      <c r="A368" s="249"/>
      <c r="B368" s="249"/>
      <c r="C368" s="249"/>
      <c r="D368" s="249"/>
      <c r="E368" s="249"/>
      <c r="F368" s="249"/>
      <c r="G368" s="249"/>
      <c r="H368" s="249"/>
      <c r="I368" s="249"/>
      <c r="J368" s="249"/>
      <c r="K368" s="249"/>
      <c r="L368" s="249"/>
      <c r="M368" s="249"/>
      <c r="N368" s="249"/>
      <c r="O368" s="249"/>
      <c r="P368" s="249"/>
      <c r="Q368" s="249"/>
      <c r="R368" s="249"/>
      <c r="S368" s="249"/>
      <c r="T368" s="249"/>
      <c r="U368" s="249"/>
      <c r="V368" s="249"/>
      <c r="W368" s="249"/>
      <c r="X368" s="249"/>
      <c r="Y368" s="249"/>
      <c r="Z368" s="249"/>
      <c r="AA368" s="249"/>
      <c r="AB368" s="249"/>
      <c r="AC368" s="249"/>
      <c r="AD368" s="249"/>
    </row>
    <row r="369" spans="1:30" ht="12.9">
      <c r="A369" s="249"/>
      <c r="B369" s="249"/>
      <c r="C369" s="249"/>
      <c r="D369" s="249"/>
      <c r="E369" s="249"/>
      <c r="F369" s="249"/>
      <c r="G369" s="249"/>
      <c r="H369" s="249"/>
      <c r="I369" s="249"/>
      <c r="J369" s="249"/>
      <c r="K369" s="249"/>
      <c r="L369" s="249"/>
      <c r="M369" s="249"/>
      <c r="N369" s="249"/>
      <c r="O369" s="249"/>
      <c r="P369" s="249"/>
      <c r="Q369" s="249"/>
      <c r="R369" s="249"/>
      <c r="S369" s="249"/>
      <c r="T369" s="249"/>
      <c r="U369" s="249"/>
      <c r="V369" s="249"/>
      <c r="W369" s="249"/>
      <c r="X369" s="249"/>
      <c r="Y369" s="249"/>
      <c r="Z369" s="249"/>
      <c r="AA369" s="249"/>
      <c r="AB369" s="249"/>
      <c r="AC369" s="249"/>
      <c r="AD369" s="249"/>
    </row>
    <row r="370" spans="1:30" ht="12.9">
      <c r="A370" s="249"/>
      <c r="B370" s="249"/>
      <c r="C370" s="249"/>
      <c r="D370" s="249"/>
      <c r="E370" s="249"/>
      <c r="F370" s="249"/>
      <c r="G370" s="249"/>
      <c r="H370" s="249"/>
      <c r="I370" s="249"/>
      <c r="J370" s="249"/>
      <c r="K370" s="249"/>
      <c r="L370" s="249"/>
      <c r="M370" s="249"/>
      <c r="N370" s="249"/>
      <c r="O370" s="249"/>
      <c r="P370" s="249"/>
      <c r="Q370" s="249"/>
      <c r="R370" s="249"/>
      <c r="S370" s="249"/>
      <c r="T370" s="249"/>
      <c r="U370" s="249"/>
      <c r="V370" s="249"/>
      <c r="W370" s="249"/>
      <c r="X370" s="249"/>
      <c r="Y370" s="249"/>
      <c r="Z370" s="249"/>
      <c r="AA370" s="249"/>
      <c r="AB370" s="249"/>
      <c r="AC370" s="249"/>
      <c r="AD370" s="249"/>
    </row>
    <row r="371" spans="1:30" ht="12.9">
      <c r="A371" s="249"/>
      <c r="B371" s="249"/>
      <c r="C371" s="249"/>
      <c r="D371" s="249"/>
      <c r="E371" s="249"/>
      <c r="F371" s="249"/>
      <c r="G371" s="249"/>
      <c r="H371" s="249"/>
      <c r="I371" s="249"/>
      <c r="J371" s="249"/>
      <c r="K371" s="249"/>
      <c r="L371" s="249"/>
      <c r="M371" s="249"/>
      <c r="N371" s="249"/>
      <c r="O371" s="249"/>
      <c r="P371" s="249"/>
      <c r="Q371" s="249"/>
      <c r="R371" s="249"/>
      <c r="S371" s="249"/>
      <c r="T371" s="249"/>
      <c r="U371" s="249"/>
      <c r="V371" s="249"/>
      <c r="W371" s="249"/>
      <c r="X371" s="249"/>
      <c r="Y371" s="249"/>
      <c r="Z371" s="249"/>
      <c r="AA371" s="249"/>
      <c r="AB371" s="249"/>
      <c r="AC371" s="249"/>
      <c r="AD371" s="249"/>
    </row>
    <row r="372" spans="1:30" ht="12.9">
      <c r="A372" s="249"/>
      <c r="B372" s="249"/>
      <c r="C372" s="249"/>
      <c r="D372" s="249"/>
      <c r="E372" s="249"/>
      <c r="F372" s="249"/>
      <c r="G372" s="249"/>
      <c r="H372" s="249"/>
      <c r="I372" s="249"/>
      <c r="J372" s="249"/>
      <c r="K372" s="249"/>
      <c r="L372" s="249"/>
      <c r="M372" s="249"/>
      <c r="N372" s="249"/>
      <c r="O372" s="249"/>
      <c r="P372" s="249"/>
      <c r="Q372" s="249"/>
      <c r="R372" s="249"/>
      <c r="S372" s="249"/>
      <c r="T372" s="249"/>
      <c r="U372" s="249"/>
      <c r="V372" s="249"/>
      <c r="W372" s="249"/>
      <c r="X372" s="249"/>
      <c r="Y372" s="249"/>
      <c r="Z372" s="249"/>
      <c r="AA372" s="249"/>
      <c r="AB372" s="249"/>
      <c r="AC372" s="249"/>
      <c r="AD372" s="249"/>
    </row>
    <row r="373" spans="1:30" ht="12.9">
      <c r="A373" s="249"/>
      <c r="B373" s="249"/>
      <c r="C373" s="249"/>
      <c r="D373" s="249"/>
      <c r="E373" s="249"/>
      <c r="F373" s="249"/>
      <c r="G373" s="249"/>
      <c r="H373" s="249"/>
      <c r="I373" s="249"/>
      <c r="J373" s="249"/>
      <c r="K373" s="249"/>
      <c r="L373" s="249"/>
      <c r="M373" s="249"/>
      <c r="N373" s="249"/>
      <c r="O373" s="249"/>
      <c r="P373" s="249"/>
      <c r="Q373" s="249"/>
      <c r="R373" s="249"/>
      <c r="S373" s="249"/>
      <c r="T373" s="249"/>
      <c r="U373" s="249"/>
      <c r="V373" s="249"/>
      <c r="W373" s="249"/>
      <c r="X373" s="249"/>
      <c r="Y373" s="249"/>
      <c r="Z373" s="249"/>
      <c r="AA373" s="249"/>
      <c r="AB373" s="249"/>
      <c r="AC373" s="249"/>
      <c r="AD373" s="249"/>
    </row>
    <row r="374" spans="1:30" ht="12.9">
      <c r="A374" s="249"/>
      <c r="B374" s="249"/>
      <c r="C374" s="249"/>
      <c r="D374" s="249"/>
      <c r="E374" s="249"/>
      <c r="F374" s="249"/>
      <c r="G374" s="249"/>
      <c r="H374" s="249"/>
      <c r="I374" s="249"/>
      <c r="J374" s="249"/>
      <c r="K374" s="249"/>
      <c r="L374" s="249"/>
      <c r="M374" s="249"/>
      <c r="N374" s="249"/>
      <c r="O374" s="249"/>
      <c r="P374" s="249"/>
      <c r="Q374" s="249"/>
      <c r="R374" s="249"/>
      <c r="S374" s="249"/>
      <c r="T374" s="249"/>
      <c r="U374" s="249"/>
      <c r="V374" s="249"/>
      <c r="W374" s="249"/>
      <c r="X374" s="249"/>
      <c r="Y374" s="249"/>
      <c r="Z374" s="249"/>
      <c r="AA374" s="249"/>
      <c r="AB374" s="249"/>
      <c r="AC374" s="249"/>
      <c r="AD374" s="249"/>
    </row>
    <row r="375" spans="1:30" ht="12.9">
      <c r="A375" s="249"/>
      <c r="B375" s="249"/>
      <c r="C375" s="249"/>
      <c r="D375" s="249"/>
      <c r="E375" s="249"/>
      <c r="F375" s="249"/>
      <c r="G375" s="249"/>
      <c r="H375" s="249"/>
      <c r="I375" s="249"/>
      <c r="J375" s="249"/>
      <c r="K375" s="249"/>
      <c r="L375" s="249"/>
      <c r="M375" s="249"/>
      <c r="N375" s="249"/>
      <c r="O375" s="249"/>
      <c r="P375" s="249"/>
      <c r="Q375" s="249"/>
      <c r="R375" s="249"/>
      <c r="S375" s="249"/>
      <c r="T375" s="249"/>
      <c r="U375" s="249"/>
      <c r="V375" s="249"/>
      <c r="W375" s="249"/>
      <c r="X375" s="249"/>
      <c r="Y375" s="249"/>
      <c r="Z375" s="249"/>
      <c r="AA375" s="249"/>
      <c r="AB375" s="249"/>
      <c r="AC375" s="249"/>
      <c r="AD375" s="249"/>
    </row>
    <row r="376" spans="1:30" ht="12.9">
      <c r="A376" s="249"/>
      <c r="B376" s="249"/>
      <c r="C376" s="249"/>
      <c r="D376" s="249"/>
      <c r="E376" s="249"/>
      <c r="F376" s="249"/>
      <c r="G376" s="249"/>
      <c r="H376" s="249"/>
      <c r="I376" s="249"/>
      <c r="J376" s="249"/>
      <c r="K376" s="249"/>
      <c r="L376" s="249"/>
      <c r="M376" s="249"/>
      <c r="N376" s="249"/>
      <c r="O376" s="249"/>
      <c r="P376" s="249"/>
      <c r="Q376" s="249"/>
      <c r="R376" s="249"/>
      <c r="S376" s="249"/>
      <c r="T376" s="249"/>
      <c r="U376" s="249"/>
      <c r="V376" s="249"/>
      <c r="W376" s="249"/>
      <c r="X376" s="249"/>
      <c r="Y376" s="249"/>
      <c r="Z376" s="249"/>
      <c r="AA376" s="249"/>
      <c r="AB376" s="249"/>
      <c r="AC376" s="249"/>
      <c r="AD376" s="249"/>
    </row>
    <row r="377" spans="1:30" ht="12.9">
      <c r="A377" s="249"/>
      <c r="B377" s="249"/>
      <c r="C377" s="249"/>
      <c r="D377" s="249"/>
      <c r="E377" s="249"/>
      <c r="F377" s="249"/>
      <c r="G377" s="249"/>
      <c r="H377" s="249"/>
      <c r="I377" s="249"/>
      <c r="J377" s="249"/>
      <c r="K377" s="249"/>
      <c r="L377" s="249"/>
      <c r="M377" s="249"/>
      <c r="N377" s="249"/>
      <c r="O377" s="249"/>
      <c r="P377" s="249"/>
      <c r="Q377" s="249"/>
      <c r="R377" s="249"/>
      <c r="S377" s="249"/>
      <c r="T377" s="249"/>
      <c r="U377" s="249"/>
      <c r="V377" s="249"/>
      <c r="W377" s="249"/>
      <c r="X377" s="249"/>
      <c r="Y377" s="249"/>
      <c r="Z377" s="249"/>
      <c r="AA377" s="249"/>
      <c r="AB377" s="249"/>
      <c r="AC377" s="249"/>
      <c r="AD377" s="249"/>
    </row>
    <row r="378" spans="1:30" ht="12.9">
      <c r="A378" s="249"/>
      <c r="B378" s="249"/>
      <c r="C378" s="249"/>
      <c r="D378" s="249"/>
      <c r="E378" s="249"/>
      <c r="F378" s="249"/>
      <c r="G378" s="249"/>
      <c r="H378" s="249"/>
      <c r="I378" s="249"/>
      <c r="J378" s="249"/>
      <c r="K378" s="249"/>
      <c r="L378" s="249"/>
      <c r="M378" s="249"/>
      <c r="N378" s="249"/>
      <c r="O378" s="249"/>
      <c r="P378" s="249"/>
      <c r="Q378" s="249"/>
      <c r="R378" s="249"/>
      <c r="S378" s="249"/>
      <c r="T378" s="249"/>
      <c r="U378" s="249"/>
      <c r="V378" s="249"/>
      <c r="W378" s="249"/>
      <c r="X378" s="249"/>
      <c r="Y378" s="249"/>
      <c r="Z378" s="249"/>
      <c r="AA378" s="249"/>
      <c r="AB378" s="249"/>
      <c r="AC378" s="249"/>
      <c r="AD378" s="249"/>
    </row>
    <row r="379" spans="1:30" ht="12.9">
      <c r="A379" s="249"/>
      <c r="B379" s="249"/>
      <c r="C379" s="249"/>
      <c r="D379" s="249"/>
      <c r="E379" s="249"/>
      <c r="F379" s="249"/>
      <c r="G379" s="249"/>
      <c r="H379" s="249"/>
      <c r="I379" s="249"/>
      <c r="J379" s="249"/>
      <c r="K379" s="249"/>
      <c r="L379" s="249"/>
      <c r="M379" s="249"/>
      <c r="N379" s="249"/>
      <c r="O379" s="249"/>
      <c r="P379" s="249"/>
      <c r="Q379" s="249"/>
      <c r="R379" s="249"/>
      <c r="S379" s="249"/>
      <c r="T379" s="249"/>
      <c r="U379" s="249"/>
      <c r="V379" s="249"/>
      <c r="W379" s="249"/>
      <c r="X379" s="249"/>
      <c r="Y379" s="249"/>
      <c r="Z379" s="249"/>
      <c r="AA379" s="249"/>
      <c r="AB379" s="249"/>
      <c r="AC379" s="249"/>
      <c r="AD379" s="249"/>
    </row>
    <row r="380" spans="1:30" ht="12.9">
      <c r="A380" s="249"/>
      <c r="B380" s="249"/>
      <c r="C380" s="249"/>
      <c r="D380" s="249"/>
      <c r="E380" s="249"/>
      <c r="F380" s="249"/>
      <c r="G380" s="249"/>
      <c r="H380" s="249"/>
      <c r="I380" s="249"/>
      <c r="J380" s="249"/>
      <c r="K380" s="249"/>
      <c r="L380" s="249"/>
      <c r="M380" s="249"/>
      <c r="N380" s="249"/>
      <c r="O380" s="249"/>
      <c r="P380" s="249"/>
      <c r="Q380" s="249"/>
      <c r="R380" s="249"/>
      <c r="S380" s="249"/>
      <c r="T380" s="249"/>
      <c r="U380" s="249"/>
      <c r="V380" s="249"/>
      <c r="W380" s="249"/>
      <c r="X380" s="249"/>
      <c r="Y380" s="249"/>
      <c r="Z380" s="249"/>
      <c r="AA380" s="249"/>
      <c r="AB380" s="249"/>
      <c r="AC380" s="249"/>
      <c r="AD380" s="249"/>
    </row>
    <row r="381" spans="1:30" ht="12.9">
      <c r="A381" s="249"/>
      <c r="B381" s="249"/>
      <c r="C381" s="249"/>
      <c r="D381" s="249"/>
      <c r="E381" s="249"/>
      <c r="F381" s="249"/>
      <c r="G381" s="249"/>
      <c r="H381" s="249"/>
      <c r="I381" s="249"/>
      <c r="J381" s="249"/>
      <c r="K381" s="249"/>
      <c r="L381" s="249"/>
      <c r="M381" s="249"/>
      <c r="N381" s="249"/>
      <c r="O381" s="249"/>
      <c r="P381" s="249"/>
      <c r="Q381" s="249"/>
      <c r="R381" s="249"/>
      <c r="S381" s="249"/>
      <c r="T381" s="249"/>
      <c r="U381" s="249"/>
      <c r="V381" s="249"/>
      <c r="W381" s="249"/>
      <c r="X381" s="249"/>
      <c r="Y381" s="249"/>
      <c r="Z381" s="249"/>
      <c r="AA381" s="249"/>
      <c r="AB381" s="249"/>
      <c r="AC381" s="249"/>
      <c r="AD381" s="249"/>
    </row>
    <row r="382" spans="1:30" ht="12.9">
      <c r="A382" s="249"/>
      <c r="B382" s="249"/>
      <c r="C382" s="249"/>
      <c r="D382" s="249"/>
      <c r="E382" s="249"/>
      <c r="F382" s="249"/>
      <c r="G382" s="249"/>
      <c r="H382" s="249"/>
      <c r="I382" s="249"/>
      <c r="J382" s="249"/>
      <c r="K382" s="249"/>
      <c r="L382" s="249"/>
      <c r="M382" s="249"/>
      <c r="N382" s="249"/>
      <c r="O382" s="249"/>
      <c r="P382" s="249"/>
      <c r="Q382" s="249"/>
      <c r="R382" s="249"/>
      <c r="S382" s="249"/>
      <c r="T382" s="249"/>
      <c r="U382" s="249"/>
      <c r="V382" s="249"/>
      <c r="W382" s="249"/>
      <c r="X382" s="249"/>
      <c r="Y382" s="249"/>
      <c r="Z382" s="249"/>
      <c r="AA382" s="249"/>
      <c r="AB382" s="249"/>
      <c r="AC382" s="249"/>
      <c r="AD382" s="249"/>
    </row>
    <row r="383" spans="1:30" ht="12.9">
      <c r="A383" s="249"/>
      <c r="B383" s="249"/>
      <c r="C383" s="249"/>
      <c r="D383" s="249"/>
      <c r="E383" s="249"/>
      <c r="F383" s="249"/>
      <c r="G383" s="249"/>
      <c r="H383" s="249"/>
      <c r="I383" s="249"/>
      <c r="J383" s="249"/>
      <c r="K383" s="249"/>
      <c r="L383" s="249"/>
      <c r="M383" s="249"/>
      <c r="N383" s="249"/>
      <c r="O383" s="249"/>
      <c r="P383" s="249"/>
      <c r="Q383" s="249"/>
      <c r="R383" s="249"/>
      <c r="S383" s="249"/>
      <c r="T383" s="249"/>
      <c r="U383" s="249"/>
      <c r="V383" s="249"/>
      <c r="W383" s="249"/>
      <c r="X383" s="249"/>
      <c r="Y383" s="249"/>
      <c r="Z383" s="249"/>
      <c r="AA383" s="249"/>
      <c r="AB383" s="249"/>
      <c r="AC383" s="249"/>
      <c r="AD383" s="249"/>
    </row>
    <row r="384" spans="1:30" ht="12.9">
      <c r="A384" s="249"/>
      <c r="B384" s="249"/>
      <c r="C384" s="249"/>
      <c r="D384" s="249"/>
      <c r="E384" s="249"/>
      <c r="F384" s="249"/>
      <c r="G384" s="249"/>
      <c r="H384" s="249"/>
      <c r="I384" s="249"/>
      <c r="J384" s="249"/>
      <c r="K384" s="249"/>
      <c r="L384" s="249"/>
      <c r="M384" s="249"/>
      <c r="N384" s="249"/>
      <c r="O384" s="249"/>
      <c r="P384" s="249"/>
      <c r="Q384" s="249"/>
      <c r="R384" s="249"/>
      <c r="S384" s="249"/>
      <c r="T384" s="249"/>
      <c r="U384" s="249"/>
      <c r="V384" s="249"/>
      <c r="W384" s="249"/>
      <c r="X384" s="249"/>
      <c r="Y384" s="249"/>
      <c r="Z384" s="249"/>
      <c r="AA384" s="249"/>
      <c r="AB384" s="249"/>
      <c r="AC384" s="249"/>
      <c r="AD384" s="249"/>
    </row>
    <row r="385" spans="1:30" ht="12.9">
      <c r="A385" s="249"/>
      <c r="B385" s="249"/>
      <c r="C385" s="249"/>
      <c r="D385" s="249"/>
      <c r="E385" s="249"/>
      <c r="F385" s="249"/>
      <c r="G385" s="249"/>
      <c r="H385" s="249"/>
      <c r="I385" s="249"/>
      <c r="J385" s="249"/>
      <c r="K385" s="249"/>
      <c r="L385" s="249"/>
      <c r="M385" s="249"/>
      <c r="N385" s="249"/>
      <c r="O385" s="249"/>
      <c r="P385" s="249"/>
      <c r="Q385" s="249"/>
      <c r="R385" s="249"/>
      <c r="S385" s="249"/>
      <c r="T385" s="249"/>
      <c r="U385" s="249"/>
      <c r="V385" s="249"/>
      <c r="W385" s="249"/>
      <c r="X385" s="249"/>
      <c r="Y385" s="249"/>
      <c r="Z385" s="249"/>
      <c r="AA385" s="249"/>
      <c r="AB385" s="249"/>
      <c r="AC385" s="249"/>
      <c r="AD385" s="249"/>
    </row>
    <row r="386" spans="1:30" ht="12.9">
      <c r="A386" s="249"/>
      <c r="B386" s="249"/>
      <c r="C386" s="249"/>
      <c r="D386" s="249"/>
      <c r="E386" s="249"/>
      <c r="F386" s="249"/>
      <c r="G386" s="249"/>
      <c r="H386" s="249"/>
      <c r="I386" s="249"/>
      <c r="J386" s="249"/>
      <c r="K386" s="249"/>
      <c r="L386" s="249"/>
      <c r="M386" s="249"/>
      <c r="N386" s="249"/>
      <c r="O386" s="249"/>
      <c r="P386" s="249"/>
      <c r="Q386" s="249"/>
      <c r="R386" s="249"/>
      <c r="S386" s="249"/>
      <c r="T386" s="249"/>
      <c r="U386" s="249"/>
      <c r="V386" s="249"/>
      <c r="W386" s="249"/>
      <c r="X386" s="249"/>
      <c r="Y386" s="249"/>
      <c r="Z386" s="249"/>
      <c r="AA386" s="249"/>
      <c r="AB386" s="249"/>
      <c r="AC386" s="249"/>
      <c r="AD386" s="249"/>
    </row>
    <row r="387" spans="1:30" ht="12.9">
      <c r="A387" s="249"/>
      <c r="B387" s="249"/>
      <c r="C387" s="249"/>
      <c r="D387" s="249"/>
      <c r="E387" s="249"/>
      <c r="F387" s="249"/>
      <c r="G387" s="249"/>
      <c r="H387" s="249"/>
      <c r="I387" s="249"/>
      <c r="J387" s="249"/>
      <c r="K387" s="249"/>
      <c r="L387" s="249"/>
      <c r="M387" s="249"/>
      <c r="N387" s="249"/>
      <c r="O387" s="249"/>
      <c r="P387" s="249"/>
      <c r="Q387" s="249"/>
      <c r="R387" s="249"/>
      <c r="S387" s="249"/>
      <c r="T387" s="249"/>
      <c r="U387" s="249"/>
      <c r="V387" s="249"/>
      <c r="W387" s="249"/>
      <c r="X387" s="249"/>
      <c r="Y387" s="249"/>
      <c r="Z387" s="249"/>
      <c r="AA387" s="249"/>
      <c r="AB387" s="249"/>
      <c r="AC387" s="249"/>
      <c r="AD387" s="249"/>
    </row>
    <row r="388" spans="1:30" ht="12.9">
      <c r="A388" s="249"/>
      <c r="B388" s="249"/>
      <c r="C388" s="249"/>
      <c r="D388" s="249"/>
      <c r="E388" s="249"/>
      <c r="F388" s="249"/>
      <c r="G388" s="249"/>
      <c r="H388" s="249"/>
      <c r="I388" s="249"/>
      <c r="J388" s="249"/>
      <c r="K388" s="249"/>
      <c r="L388" s="249"/>
      <c r="M388" s="249"/>
      <c r="N388" s="249"/>
      <c r="O388" s="249"/>
      <c r="P388" s="249"/>
      <c r="Q388" s="249"/>
      <c r="R388" s="249"/>
      <c r="S388" s="249"/>
      <c r="T388" s="249"/>
      <c r="U388" s="249"/>
      <c r="V388" s="249"/>
      <c r="W388" s="249"/>
      <c r="X388" s="249"/>
      <c r="Y388" s="249"/>
      <c r="Z388" s="249"/>
      <c r="AA388" s="249"/>
      <c r="AB388" s="249"/>
      <c r="AC388" s="249"/>
      <c r="AD388" s="249"/>
    </row>
    <row r="389" spans="1:30" ht="12.9">
      <c r="A389" s="249"/>
      <c r="B389" s="249"/>
      <c r="C389" s="249"/>
      <c r="D389" s="249"/>
      <c r="E389" s="249"/>
      <c r="F389" s="249"/>
      <c r="G389" s="249"/>
      <c r="H389" s="249"/>
      <c r="I389" s="249"/>
      <c r="J389" s="249"/>
      <c r="K389" s="249"/>
      <c r="L389" s="249"/>
      <c r="M389" s="249"/>
      <c r="N389" s="249"/>
      <c r="O389" s="249"/>
      <c r="P389" s="249"/>
      <c r="Q389" s="249"/>
      <c r="R389" s="249"/>
      <c r="S389" s="249"/>
      <c r="T389" s="249"/>
      <c r="U389" s="249"/>
      <c r="V389" s="249"/>
      <c r="W389" s="249"/>
      <c r="X389" s="249"/>
      <c r="Y389" s="249"/>
      <c r="Z389" s="249"/>
      <c r="AA389" s="249"/>
      <c r="AB389" s="249"/>
      <c r="AC389" s="249"/>
      <c r="AD389" s="249"/>
    </row>
    <row r="390" spans="1:30" ht="12.9">
      <c r="A390" s="249"/>
      <c r="B390" s="249"/>
      <c r="C390" s="249"/>
      <c r="D390" s="249"/>
      <c r="E390" s="249"/>
      <c r="F390" s="249"/>
      <c r="G390" s="249"/>
      <c r="H390" s="249"/>
      <c r="I390" s="249"/>
      <c r="J390" s="249"/>
      <c r="K390" s="249"/>
      <c r="L390" s="249"/>
      <c r="M390" s="249"/>
      <c r="N390" s="249"/>
      <c r="O390" s="249"/>
      <c r="P390" s="249"/>
      <c r="Q390" s="249"/>
      <c r="R390" s="249"/>
      <c r="S390" s="249"/>
      <c r="T390" s="249"/>
      <c r="U390" s="249"/>
      <c r="V390" s="249"/>
      <c r="W390" s="249"/>
      <c r="X390" s="249"/>
      <c r="Y390" s="249"/>
      <c r="Z390" s="249"/>
      <c r="AA390" s="249"/>
      <c r="AB390" s="249"/>
      <c r="AC390" s="249"/>
      <c r="AD390" s="249"/>
    </row>
    <row r="391" spans="1:30" ht="12.9">
      <c r="A391" s="249"/>
      <c r="B391" s="249"/>
      <c r="C391" s="249"/>
      <c r="D391" s="249"/>
      <c r="E391" s="249"/>
      <c r="F391" s="249"/>
      <c r="G391" s="249"/>
      <c r="H391" s="249"/>
      <c r="I391" s="249"/>
      <c r="J391" s="249"/>
      <c r="K391" s="249"/>
      <c r="L391" s="249"/>
      <c r="M391" s="249"/>
      <c r="N391" s="249"/>
      <c r="O391" s="249"/>
      <c r="P391" s="249"/>
      <c r="Q391" s="249"/>
      <c r="R391" s="249"/>
      <c r="S391" s="249"/>
      <c r="T391" s="249"/>
      <c r="U391" s="249"/>
      <c r="V391" s="249"/>
      <c r="W391" s="249"/>
      <c r="X391" s="249"/>
      <c r="Y391" s="249"/>
      <c r="Z391" s="249"/>
      <c r="AA391" s="249"/>
      <c r="AB391" s="249"/>
      <c r="AC391" s="249"/>
      <c r="AD391" s="249"/>
    </row>
    <row r="392" spans="1:30" ht="12.9">
      <c r="A392" s="249"/>
      <c r="B392" s="249"/>
      <c r="C392" s="249"/>
      <c r="D392" s="249"/>
      <c r="E392" s="249"/>
      <c r="F392" s="249"/>
      <c r="G392" s="249"/>
      <c r="H392" s="249"/>
      <c r="I392" s="249"/>
      <c r="J392" s="249"/>
      <c r="K392" s="249"/>
      <c r="L392" s="249"/>
      <c r="M392" s="249"/>
      <c r="N392" s="249"/>
      <c r="O392" s="249"/>
      <c r="P392" s="249"/>
      <c r="Q392" s="249"/>
      <c r="R392" s="249"/>
      <c r="S392" s="249"/>
      <c r="T392" s="249"/>
      <c r="U392" s="249"/>
      <c r="V392" s="249"/>
      <c r="W392" s="249"/>
      <c r="X392" s="249"/>
      <c r="Y392" s="249"/>
      <c r="Z392" s="249"/>
      <c r="AA392" s="249"/>
      <c r="AB392" s="249"/>
      <c r="AC392" s="249"/>
      <c r="AD392" s="249"/>
    </row>
    <row r="393" spans="1:30" ht="12.9">
      <c r="A393" s="249"/>
      <c r="B393" s="249"/>
      <c r="C393" s="249"/>
      <c r="D393" s="249"/>
      <c r="E393" s="249"/>
      <c r="F393" s="249"/>
      <c r="G393" s="249"/>
      <c r="H393" s="249"/>
      <c r="I393" s="249"/>
      <c r="J393" s="249"/>
      <c r="K393" s="249"/>
      <c r="L393" s="249"/>
      <c r="M393" s="249"/>
      <c r="N393" s="249"/>
      <c r="O393" s="249"/>
      <c r="P393" s="249"/>
      <c r="Q393" s="249"/>
      <c r="R393" s="249"/>
      <c r="S393" s="249"/>
      <c r="T393" s="249"/>
      <c r="U393" s="249"/>
      <c r="V393" s="249"/>
      <c r="W393" s="249"/>
      <c r="X393" s="249"/>
      <c r="Y393" s="249"/>
      <c r="Z393" s="249"/>
      <c r="AA393" s="249"/>
      <c r="AB393" s="249"/>
      <c r="AC393" s="249"/>
      <c r="AD393" s="249"/>
    </row>
    <row r="394" spans="1:30" ht="12.9">
      <c r="A394" s="249"/>
      <c r="B394" s="249"/>
      <c r="C394" s="249"/>
      <c r="D394" s="249"/>
      <c r="E394" s="249"/>
      <c r="F394" s="249"/>
      <c r="G394" s="249"/>
      <c r="H394" s="249"/>
      <c r="I394" s="249"/>
      <c r="J394" s="249"/>
      <c r="K394" s="249"/>
      <c r="L394" s="249"/>
      <c r="M394" s="249"/>
      <c r="N394" s="249"/>
      <c r="O394" s="249"/>
      <c r="P394" s="249"/>
      <c r="Q394" s="249"/>
      <c r="R394" s="249"/>
      <c r="S394" s="249"/>
      <c r="T394" s="249"/>
      <c r="U394" s="249"/>
      <c r="V394" s="249"/>
      <c r="W394" s="249"/>
      <c r="X394" s="249"/>
      <c r="Y394" s="249"/>
      <c r="Z394" s="249"/>
      <c r="AA394" s="249"/>
      <c r="AB394" s="249"/>
      <c r="AC394" s="249"/>
      <c r="AD394" s="249"/>
    </row>
    <row r="395" spans="1:30" ht="12.9">
      <c r="A395" s="249"/>
      <c r="B395" s="249"/>
      <c r="C395" s="249"/>
      <c r="D395" s="249"/>
      <c r="E395" s="249"/>
      <c r="F395" s="249"/>
      <c r="G395" s="249"/>
      <c r="H395" s="249"/>
      <c r="I395" s="249"/>
      <c r="J395" s="249"/>
      <c r="K395" s="249"/>
      <c r="L395" s="249"/>
      <c r="M395" s="249"/>
      <c r="N395" s="249"/>
      <c r="O395" s="249"/>
      <c r="P395" s="249"/>
      <c r="Q395" s="249"/>
      <c r="R395" s="249"/>
      <c r="S395" s="249"/>
      <c r="T395" s="249"/>
      <c r="U395" s="249"/>
      <c r="V395" s="249"/>
      <c r="W395" s="249"/>
      <c r="X395" s="249"/>
      <c r="Y395" s="249"/>
      <c r="Z395" s="249"/>
      <c r="AA395" s="249"/>
      <c r="AB395" s="249"/>
      <c r="AC395" s="249"/>
      <c r="AD395" s="249"/>
    </row>
    <row r="396" spans="1:30" ht="12.9">
      <c r="A396" s="249"/>
      <c r="B396" s="249"/>
      <c r="C396" s="249"/>
      <c r="D396" s="249"/>
      <c r="E396" s="249"/>
      <c r="F396" s="249"/>
      <c r="G396" s="249"/>
      <c r="H396" s="249"/>
      <c r="I396" s="249"/>
      <c r="J396" s="249"/>
      <c r="K396" s="249"/>
      <c r="L396" s="249"/>
      <c r="M396" s="249"/>
      <c r="N396" s="249"/>
      <c r="O396" s="249"/>
      <c r="P396" s="249"/>
      <c r="Q396" s="249"/>
      <c r="R396" s="249"/>
      <c r="S396" s="249"/>
      <c r="T396" s="249"/>
      <c r="U396" s="249"/>
      <c r="V396" s="249"/>
      <c r="W396" s="249"/>
      <c r="X396" s="249"/>
      <c r="Y396" s="249"/>
      <c r="Z396" s="249"/>
      <c r="AA396" s="249"/>
      <c r="AB396" s="249"/>
      <c r="AC396" s="249"/>
      <c r="AD396" s="249"/>
    </row>
    <row r="397" spans="1:30" ht="12.9">
      <c r="A397" s="249"/>
      <c r="B397" s="249"/>
      <c r="C397" s="249"/>
      <c r="D397" s="249"/>
      <c r="E397" s="249"/>
      <c r="F397" s="249"/>
      <c r="G397" s="249"/>
      <c r="H397" s="249"/>
      <c r="I397" s="249"/>
      <c r="J397" s="249"/>
      <c r="K397" s="249"/>
      <c r="L397" s="249"/>
      <c r="M397" s="249"/>
      <c r="N397" s="249"/>
      <c r="O397" s="249"/>
      <c r="P397" s="249"/>
      <c r="Q397" s="249"/>
      <c r="R397" s="249"/>
      <c r="S397" s="249"/>
      <c r="T397" s="249"/>
      <c r="U397" s="249"/>
      <c r="V397" s="249"/>
      <c r="W397" s="249"/>
      <c r="X397" s="249"/>
      <c r="Y397" s="249"/>
      <c r="Z397" s="249"/>
      <c r="AA397" s="249"/>
      <c r="AB397" s="249"/>
      <c r="AC397" s="249"/>
      <c r="AD397" s="249"/>
    </row>
    <row r="398" spans="1:30" ht="12.9">
      <c r="A398" s="249"/>
      <c r="B398" s="249"/>
      <c r="C398" s="249"/>
      <c r="D398" s="249"/>
      <c r="E398" s="249"/>
      <c r="F398" s="249"/>
      <c r="G398" s="249"/>
      <c r="H398" s="249"/>
      <c r="I398" s="249"/>
      <c r="J398" s="249"/>
      <c r="K398" s="249"/>
      <c r="L398" s="249"/>
      <c r="M398" s="249"/>
      <c r="N398" s="249"/>
      <c r="O398" s="249"/>
      <c r="P398" s="249"/>
      <c r="Q398" s="249"/>
      <c r="R398" s="249"/>
      <c r="S398" s="249"/>
      <c r="T398" s="249"/>
      <c r="U398" s="249"/>
      <c r="V398" s="249"/>
      <c r="W398" s="249"/>
      <c r="X398" s="249"/>
      <c r="Y398" s="249"/>
      <c r="Z398" s="249"/>
      <c r="AA398" s="249"/>
      <c r="AB398" s="249"/>
      <c r="AC398" s="249"/>
      <c r="AD398" s="249"/>
    </row>
    <row r="399" spans="1:30" ht="12.9">
      <c r="A399" s="249"/>
      <c r="B399" s="249"/>
      <c r="C399" s="249"/>
      <c r="D399" s="249"/>
      <c r="E399" s="249"/>
      <c r="F399" s="249"/>
      <c r="G399" s="249"/>
      <c r="H399" s="249"/>
      <c r="I399" s="249"/>
      <c r="J399" s="249"/>
      <c r="K399" s="249"/>
      <c r="L399" s="249"/>
      <c r="M399" s="249"/>
      <c r="N399" s="249"/>
      <c r="O399" s="249"/>
      <c r="P399" s="249"/>
      <c r="Q399" s="249"/>
      <c r="R399" s="249"/>
      <c r="S399" s="249"/>
      <c r="T399" s="249"/>
      <c r="U399" s="249"/>
      <c r="V399" s="249"/>
      <c r="W399" s="249"/>
      <c r="X399" s="249"/>
      <c r="Y399" s="249"/>
      <c r="Z399" s="249"/>
      <c r="AA399" s="249"/>
      <c r="AB399" s="249"/>
      <c r="AC399" s="249"/>
      <c r="AD399" s="249"/>
    </row>
    <row r="400" spans="1:30" ht="12.9">
      <c r="A400" s="249"/>
      <c r="B400" s="249"/>
      <c r="C400" s="249"/>
      <c r="D400" s="249"/>
      <c r="E400" s="249"/>
      <c r="F400" s="249"/>
      <c r="G400" s="249"/>
      <c r="H400" s="249"/>
      <c r="I400" s="249"/>
      <c r="J400" s="249"/>
      <c r="K400" s="249"/>
      <c r="L400" s="249"/>
      <c r="M400" s="249"/>
      <c r="N400" s="249"/>
      <c r="O400" s="249"/>
      <c r="P400" s="249"/>
      <c r="Q400" s="249"/>
      <c r="R400" s="249"/>
      <c r="S400" s="249"/>
      <c r="T400" s="249"/>
      <c r="U400" s="249"/>
      <c r="V400" s="249"/>
      <c r="W400" s="249"/>
      <c r="X400" s="249"/>
      <c r="Y400" s="249"/>
      <c r="Z400" s="249"/>
      <c r="AA400" s="249"/>
      <c r="AB400" s="249"/>
      <c r="AC400" s="249"/>
      <c r="AD400" s="249"/>
    </row>
    <row r="401" spans="1:30" ht="12.9">
      <c r="A401" s="249"/>
      <c r="B401" s="249"/>
      <c r="C401" s="249"/>
      <c r="D401" s="249"/>
      <c r="E401" s="249"/>
      <c r="F401" s="249"/>
      <c r="G401" s="249"/>
      <c r="H401" s="249"/>
      <c r="I401" s="249"/>
      <c r="J401" s="249"/>
      <c r="K401" s="249"/>
      <c r="L401" s="249"/>
      <c r="M401" s="249"/>
      <c r="N401" s="249"/>
      <c r="O401" s="249"/>
      <c r="P401" s="249"/>
      <c r="Q401" s="249"/>
      <c r="R401" s="249"/>
      <c r="S401" s="249"/>
      <c r="T401" s="249"/>
      <c r="U401" s="249"/>
      <c r="V401" s="249"/>
      <c r="W401" s="249"/>
      <c r="X401" s="249"/>
      <c r="Y401" s="249"/>
      <c r="Z401" s="249"/>
      <c r="AA401" s="249"/>
      <c r="AB401" s="249"/>
      <c r="AC401" s="249"/>
      <c r="AD401" s="249"/>
    </row>
    <row r="402" spans="1:30" ht="12.9">
      <c r="A402" s="249"/>
      <c r="B402" s="249"/>
      <c r="C402" s="249"/>
      <c r="D402" s="249"/>
      <c r="E402" s="249"/>
      <c r="F402" s="249"/>
      <c r="G402" s="249"/>
      <c r="H402" s="249"/>
      <c r="I402" s="249"/>
      <c r="J402" s="249"/>
      <c r="K402" s="249"/>
      <c r="L402" s="249"/>
      <c r="M402" s="249"/>
      <c r="N402" s="249"/>
      <c r="O402" s="249"/>
      <c r="P402" s="249"/>
      <c r="Q402" s="249"/>
      <c r="R402" s="249"/>
      <c r="S402" s="249"/>
      <c r="T402" s="249"/>
      <c r="U402" s="249"/>
      <c r="V402" s="249"/>
      <c r="W402" s="249"/>
      <c r="X402" s="249"/>
      <c r="Y402" s="249"/>
      <c r="Z402" s="249"/>
      <c r="AA402" s="249"/>
      <c r="AB402" s="249"/>
      <c r="AC402" s="249"/>
      <c r="AD402" s="249"/>
    </row>
    <row r="403" spans="1:30" ht="12.9">
      <c r="A403" s="249"/>
      <c r="B403" s="249"/>
      <c r="C403" s="249"/>
      <c r="D403" s="249"/>
      <c r="E403" s="249"/>
      <c r="F403" s="249"/>
      <c r="G403" s="249"/>
      <c r="H403" s="249"/>
      <c r="I403" s="249"/>
      <c r="J403" s="249"/>
      <c r="K403" s="249"/>
      <c r="L403" s="249"/>
      <c r="M403" s="249"/>
      <c r="N403" s="249"/>
      <c r="O403" s="249"/>
      <c r="P403" s="249"/>
      <c r="Q403" s="249"/>
      <c r="R403" s="249"/>
      <c r="S403" s="249"/>
      <c r="T403" s="249"/>
      <c r="U403" s="249"/>
      <c r="V403" s="249"/>
      <c r="W403" s="249"/>
      <c r="X403" s="249"/>
      <c r="Y403" s="249"/>
      <c r="Z403" s="249"/>
      <c r="AA403" s="249"/>
      <c r="AB403" s="249"/>
      <c r="AC403" s="249"/>
      <c r="AD403" s="249"/>
    </row>
    <row r="404" spans="1:30" ht="12.9">
      <c r="A404" s="249"/>
      <c r="B404" s="249"/>
      <c r="C404" s="249"/>
      <c r="D404" s="249"/>
      <c r="E404" s="249"/>
      <c r="F404" s="249"/>
      <c r="G404" s="249"/>
      <c r="H404" s="249"/>
      <c r="I404" s="249"/>
      <c r="J404" s="249"/>
      <c r="K404" s="249"/>
      <c r="L404" s="249"/>
      <c r="M404" s="249"/>
      <c r="N404" s="249"/>
      <c r="O404" s="249"/>
      <c r="P404" s="249"/>
      <c r="Q404" s="249"/>
      <c r="R404" s="249"/>
      <c r="S404" s="249"/>
      <c r="T404" s="249"/>
      <c r="U404" s="249"/>
      <c r="V404" s="249"/>
      <c r="W404" s="249"/>
      <c r="X404" s="249"/>
      <c r="Y404" s="249"/>
      <c r="Z404" s="249"/>
      <c r="AA404" s="249"/>
      <c r="AB404" s="249"/>
      <c r="AC404" s="249"/>
      <c r="AD404" s="249"/>
    </row>
    <row r="405" spans="1:30" ht="12.9">
      <c r="A405" s="249"/>
      <c r="B405" s="249"/>
      <c r="C405" s="249"/>
      <c r="D405" s="249"/>
      <c r="E405" s="249"/>
      <c r="F405" s="249"/>
      <c r="G405" s="249"/>
      <c r="H405" s="249"/>
      <c r="I405" s="249"/>
      <c r="J405" s="249"/>
      <c r="K405" s="249"/>
      <c r="L405" s="249"/>
      <c r="M405" s="249"/>
      <c r="N405" s="249"/>
      <c r="O405" s="249"/>
      <c r="P405" s="249"/>
      <c r="Q405" s="249"/>
      <c r="R405" s="249"/>
      <c r="S405" s="249"/>
      <c r="T405" s="249"/>
      <c r="U405" s="249"/>
      <c r="V405" s="249"/>
      <c r="W405" s="249"/>
      <c r="X405" s="249"/>
      <c r="Y405" s="249"/>
      <c r="Z405" s="249"/>
      <c r="AA405" s="249"/>
      <c r="AB405" s="249"/>
      <c r="AC405" s="249"/>
      <c r="AD405" s="249"/>
    </row>
    <row r="406" spans="1:30" ht="12.9">
      <c r="A406" s="249"/>
      <c r="B406" s="249"/>
      <c r="C406" s="249"/>
      <c r="D406" s="249"/>
      <c r="E406" s="249"/>
      <c r="F406" s="249"/>
      <c r="G406" s="249"/>
      <c r="H406" s="249"/>
      <c r="I406" s="249"/>
      <c r="J406" s="249"/>
      <c r="K406" s="249"/>
      <c r="L406" s="249"/>
      <c r="M406" s="249"/>
      <c r="N406" s="249"/>
      <c r="O406" s="249"/>
      <c r="P406" s="249"/>
      <c r="Q406" s="249"/>
      <c r="R406" s="249"/>
      <c r="S406" s="249"/>
      <c r="T406" s="249"/>
      <c r="U406" s="249"/>
      <c r="V406" s="249"/>
      <c r="W406" s="249"/>
      <c r="X406" s="249"/>
      <c r="Y406" s="249"/>
      <c r="Z406" s="249"/>
      <c r="AA406" s="249"/>
      <c r="AB406" s="249"/>
      <c r="AC406" s="249"/>
      <c r="AD406" s="249"/>
    </row>
    <row r="407" spans="1:30" ht="12.9">
      <c r="A407" s="249"/>
      <c r="B407" s="249"/>
      <c r="C407" s="249"/>
      <c r="D407" s="249"/>
      <c r="E407" s="249"/>
      <c r="F407" s="249"/>
      <c r="G407" s="249"/>
      <c r="H407" s="249"/>
      <c r="I407" s="249"/>
      <c r="J407" s="249"/>
      <c r="K407" s="249"/>
      <c r="L407" s="249"/>
      <c r="M407" s="249"/>
      <c r="N407" s="249"/>
      <c r="O407" s="249"/>
      <c r="P407" s="249"/>
      <c r="Q407" s="249"/>
      <c r="R407" s="249"/>
      <c r="S407" s="249"/>
      <c r="T407" s="249"/>
      <c r="U407" s="249"/>
      <c r="V407" s="249"/>
      <c r="W407" s="249"/>
      <c r="X407" s="249"/>
      <c r="Y407" s="249"/>
      <c r="Z407" s="249"/>
      <c r="AA407" s="249"/>
      <c r="AB407" s="249"/>
      <c r="AC407" s="249"/>
      <c r="AD407" s="249"/>
    </row>
    <row r="408" spans="1:30" ht="12.9">
      <c r="A408" s="249"/>
      <c r="B408" s="249"/>
      <c r="C408" s="249"/>
      <c r="D408" s="249"/>
      <c r="E408" s="249"/>
      <c r="F408" s="249"/>
      <c r="G408" s="249"/>
      <c r="H408" s="249"/>
      <c r="I408" s="249"/>
      <c r="J408" s="249"/>
      <c r="K408" s="249"/>
      <c r="L408" s="249"/>
      <c r="M408" s="249"/>
      <c r="N408" s="249"/>
      <c r="O408" s="249"/>
      <c r="P408" s="249"/>
      <c r="Q408" s="249"/>
      <c r="R408" s="249"/>
      <c r="S408" s="249"/>
      <c r="T408" s="249"/>
      <c r="U408" s="249"/>
      <c r="V408" s="249"/>
      <c r="W408" s="249"/>
      <c r="X408" s="249"/>
      <c r="Y408" s="249"/>
      <c r="Z408" s="249"/>
      <c r="AA408" s="249"/>
      <c r="AB408" s="249"/>
      <c r="AC408" s="249"/>
      <c r="AD408" s="249"/>
    </row>
    <row r="409" spans="1:30" ht="12.9">
      <c r="A409" s="249"/>
      <c r="B409" s="249"/>
      <c r="C409" s="249"/>
      <c r="D409" s="249"/>
      <c r="E409" s="249"/>
      <c r="F409" s="249"/>
      <c r="G409" s="249"/>
      <c r="H409" s="249"/>
      <c r="I409" s="249"/>
      <c r="J409" s="249"/>
      <c r="K409" s="249"/>
      <c r="L409" s="249"/>
      <c r="M409" s="249"/>
      <c r="N409" s="249"/>
      <c r="O409" s="249"/>
      <c r="P409" s="249"/>
      <c r="Q409" s="249"/>
      <c r="R409" s="249"/>
      <c r="S409" s="249"/>
      <c r="T409" s="249"/>
      <c r="U409" s="249"/>
      <c r="V409" s="249"/>
      <c r="W409" s="249"/>
      <c r="X409" s="249"/>
      <c r="Y409" s="249"/>
      <c r="Z409" s="249"/>
      <c r="AA409" s="249"/>
      <c r="AB409" s="249"/>
      <c r="AC409" s="249"/>
      <c r="AD409" s="249"/>
    </row>
    <row r="410" spans="1:30" ht="12.9">
      <c r="A410" s="249"/>
      <c r="B410" s="249"/>
      <c r="C410" s="249"/>
      <c r="D410" s="249"/>
      <c r="E410" s="249"/>
      <c r="F410" s="249"/>
      <c r="G410" s="249"/>
      <c r="H410" s="249"/>
      <c r="I410" s="249"/>
      <c r="J410" s="249"/>
      <c r="K410" s="249"/>
      <c r="L410" s="249"/>
      <c r="M410" s="249"/>
      <c r="N410" s="249"/>
      <c r="O410" s="249"/>
      <c r="P410" s="249"/>
      <c r="Q410" s="249"/>
      <c r="R410" s="249"/>
      <c r="S410" s="249"/>
      <c r="T410" s="249"/>
      <c r="U410" s="249"/>
      <c r="V410" s="249"/>
      <c r="W410" s="249"/>
      <c r="X410" s="249"/>
      <c r="Y410" s="249"/>
      <c r="Z410" s="249"/>
      <c r="AA410" s="249"/>
      <c r="AB410" s="249"/>
      <c r="AC410" s="249"/>
      <c r="AD410" s="249"/>
    </row>
    <row r="411" spans="1:30" ht="12.9">
      <c r="A411" s="249"/>
      <c r="B411" s="249"/>
      <c r="C411" s="249"/>
      <c r="D411" s="249"/>
      <c r="E411" s="249"/>
      <c r="F411" s="249"/>
      <c r="G411" s="249"/>
      <c r="H411" s="249"/>
      <c r="I411" s="249"/>
      <c r="J411" s="249"/>
      <c r="K411" s="249"/>
      <c r="L411" s="249"/>
      <c r="M411" s="249"/>
      <c r="N411" s="249"/>
      <c r="O411" s="249"/>
      <c r="P411" s="249"/>
      <c r="Q411" s="249"/>
      <c r="R411" s="249"/>
      <c r="S411" s="249"/>
      <c r="T411" s="249"/>
      <c r="U411" s="249"/>
      <c r="V411" s="249"/>
      <c r="W411" s="249"/>
      <c r="X411" s="249"/>
      <c r="Y411" s="249"/>
      <c r="Z411" s="249"/>
      <c r="AA411" s="249"/>
      <c r="AB411" s="249"/>
      <c r="AC411" s="249"/>
      <c r="AD411" s="249"/>
    </row>
    <row r="412" spans="1:30" ht="12.9">
      <c r="A412" s="249"/>
      <c r="B412" s="249"/>
      <c r="C412" s="249"/>
      <c r="D412" s="249"/>
      <c r="E412" s="249"/>
      <c r="F412" s="249"/>
      <c r="G412" s="249"/>
      <c r="H412" s="249"/>
      <c r="I412" s="249"/>
      <c r="J412" s="249"/>
      <c r="K412" s="249"/>
      <c r="L412" s="249"/>
      <c r="M412" s="249"/>
      <c r="N412" s="249"/>
      <c r="O412" s="249"/>
      <c r="P412" s="249"/>
      <c r="Q412" s="249"/>
      <c r="R412" s="249"/>
      <c r="S412" s="249"/>
      <c r="T412" s="249"/>
      <c r="U412" s="249"/>
      <c r="V412" s="249"/>
      <c r="W412" s="249"/>
      <c r="X412" s="249"/>
      <c r="Y412" s="249"/>
      <c r="Z412" s="249"/>
      <c r="AA412" s="249"/>
      <c r="AB412" s="249"/>
      <c r="AC412" s="249"/>
      <c r="AD412" s="249"/>
    </row>
    <row r="413" spans="1:30" ht="12.9">
      <c r="A413" s="249"/>
      <c r="B413" s="249"/>
      <c r="C413" s="249"/>
      <c r="D413" s="249"/>
      <c r="E413" s="249"/>
      <c r="F413" s="249"/>
      <c r="G413" s="249"/>
      <c r="H413" s="249"/>
      <c r="I413" s="249"/>
      <c r="J413" s="249"/>
      <c r="K413" s="249"/>
      <c r="L413" s="249"/>
      <c r="M413" s="249"/>
      <c r="N413" s="249"/>
      <c r="O413" s="249"/>
      <c r="P413" s="249"/>
      <c r="Q413" s="249"/>
      <c r="R413" s="249"/>
      <c r="S413" s="249"/>
      <c r="T413" s="249"/>
      <c r="U413" s="249"/>
      <c r="V413" s="249"/>
      <c r="W413" s="249"/>
      <c r="X413" s="249"/>
      <c r="Y413" s="249"/>
      <c r="Z413" s="249"/>
      <c r="AA413" s="249"/>
      <c r="AB413" s="249"/>
      <c r="AC413" s="249"/>
      <c r="AD413" s="249"/>
    </row>
    <row r="414" spans="1:30" ht="12.9">
      <c r="A414" s="249"/>
      <c r="B414" s="249"/>
      <c r="C414" s="249"/>
      <c r="D414" s="249"/>
      <c r="E414" s="249"/>
      <c r="F414" s="249"/>
      <c r="G414" s="249"/>
      <c r="H414" s="249"/>
      <c r="I414" s="249"/>
      <c r="J414" s="249"/>
      <c r="K414" s="249"/>
      <c r="L414" s="249"/>
      <c r="M414" s="249"/>
      <c r="N414" s="249"/>
      <c r="O414" s="249"/>
      <c r="P414" s="249"/>
      <c r="Q414" s="249"/>
      <c r="R414" s="249"/>
      <c r="S414" s="249"/>
      <c r="T414" s="249"/>
      <c r="U414" s="249"/>
      <c r="V414" s="249"/>
      <c r="W414" s="249"/>
      <c r="X414" s="249"/>
      <c r="Y414" s="249"/>
      <c r="Z414" s="249"/>
      <c r="AA414" s="249"/>
      <c r="AB414" s="249"/>
      <c r="AC414" s="249"/>
      <c r="AD414" s="249"/>
    </row>
    <row r="415" spans="1:30" ht="12.9">
      <c r="A415" s="249"/>
      <c r="B415" s="249"/>
      <c r="C415" s="249"/>
      <c r="D415" s="249"/>
      <c r="E415" s="249"/>
      <c r="F415" s="249"/>
      <c r="G415" s="249"/>
      <c r="H415" s="249"/>
      <c r="I415" s="249"/>
      <c r="J415" s="249"/>
      <c r="K415" s="249"/>
      <c r="L415" s="249"/>
      <c r="M415" s="249"/>
      <c r="N415" s="249"/>
      <c r="O415" s="249"/>
      <c r="P415" s="249"/>
      <c r="Q415" s="249"/>
      <c r="R415" s="249"/>
      <c r="S415" s="249"/>
      <c r="T415" s="249"/>
      <c r="U415" s="249"/>
      <c r="V415" s="249"/>
      <c r="W415" s="249"/>
      <c r="X415" s="249"/>
      <c r="Y415" s="249"/>
      <c r="Z415" s="249"/>
      <c r="AA415" s="249"/>
      <c r="AB415" s="249"/>
      <c r="AC415" s="249"/>
      <c r="AD415" s="249"/>
    </row>
    <row r="416" spans="1:30" ht="12.9">
      <c r="A416" s="249"/>
      <c r="B416" s="249"/>
      <c r="C416" s="249"/>
      <c r="D416" s="249"/>
      <c r="E416" s="249"/>
      <c r="F416" s="249"/>
      <c r="G416" s="249"/>
      <c r="H416" s="249"/>
      <c r="I416" s="249"/>
      <c r="J416" s="249"/>
      <c r="K416" s="249"/>
      <c r="L416" s="249"/>
      <c r="M416" s="249"/>
      <c r="N416" s="249"/>
      <c r="O416" s="249"/>
      <c r="P416" s="249"/>
      <c r="Q416" s="249"/>
      <c r="R416" s="249"/>
      <c r="S416" s="249"/>
      <c r="T416" s="249"/>
      <c r="U416" s="249"/>
      <c r="V416" s="249"/>
      <c r="W416" s="249"/>
      <c r="X416" s="249"/>
      <c r="Y416" s="249"/>
      <c r="Z416" s="249"/>
      <c r="AA416" s="249"/>
      <c r="AB416" s="249"/>
      <c r="AC416" s="249"/>
      <c r="AD416" s="249"/>
    </row>
    <row r="417" spans="1:30" ht="12.9">
      <c r="A417" s="249"/>
      <c r="B417" s="249"/>
      <c r="C417" s="249"/>
      <c r="D417" s="249"/>
      <c r="E417" s="249"/>
      <c r="F417" s="249"/>
      <c r="G417" s="249"/>
      <c r="H417" s="249"/>
      <c r="I417" s="249"/>
      <c r="J417" s="249"/>
      <c r="K417" s="249"/>
      <c r="L417" s="249"/>
      <c r="M417" s="249"/>
      <c r="N417" s="249"/>
      <c r="O417" s="249"/>
      <c r="P417" s="249"/>
      <c r="Q417" s="249"/>
      <c r="R417" s="249"/>
      <c r="S417" s="249"/>
      <c r="T417" s="249"/>
      <c r="U417" s="249"/>
      <c r="V417" s="249"/>
      <c r="W417" s="249"/>
      <c r="X417" s="249"/>
      <c r="Y417" s="249"/>
      <c r="Z417" s="249"/>
      <c r="AA417" s="249"/>
      <c r="AB417" s="249"/>
      <c r="AC417" s="249"/>
      <c r="AD417" s="249"/>
    </row>
    <row r="418" spans="1:30" ht="12.9">
      <c r="A418" s="249"/>
      <c r="B418" s="249"/>
      <c r="C418" s="249"/>
      <c r="D418" s="249"/>
      <c r="E418" s="249"/>
      <c r="F418" s="249"/>
      <c r="G418" s="249"/>
      <c r="H418" s="249"/>
      <c r="I418" s="249"/>
      <c r="J418" s="249"/>
      <c r="K418" s="249"/>
      <c r="L418" s="249"/>
      <c r="M418" s="249"/>
      <c r="N418" s="249"/>
      <c r="O418" s="249"/>
      <c r="P418" s="249"/>
      <c r="Q418" s="249"/>
      <c r="R418" s="249"/>
      <c r="S418" s="249"/>
      <c r="T418" s="249"/>
      <c r="U418" s="249"/>
      <c r="V418" s="249"/>
      <c r="W418" s="249"/>
      <c r="X418" s="249"/>
      <c r="Y418" s="249"/>
      <c r="Z418" s="249"/>
      <c r="AA418" s="249"/>
      <c r="AB418" s="249"/>
      <c r="AC418" s="249"/>
      <c r="AD418" s="249"/>
    </row>
    <row r="419" spans="1:30" ht="12.9">
      <c r="A419" s="249"/>
      <c r="B419" s="249"/>
      <c r="C419" s="249"/>
      <c r="D419" s="249"/>
      <c r="E419" s="249"/>
      <c r="F419" s="249"/>
      <c r="G419" s="249"/>
      <c r="H419" s="249"/>
      <c r="I419" s="249"/>
      <c r="J419" s="249"/>
      <c r="K419" s="249"/>
      <c r="L419" s="249"/>
      <c r="M419" s="249"/>
      <c r="N419" s="249"/>
      <c r="O419" s="249"/>
      <c r="P419" s="249"/>
      <c r="Q419" s="249"/>
      <c r="R419" s="249"/>
      <c r="S419" s="249"/>
      <c r="T419" s="249"/>
      <c r="U419" s="249"/>
      <c r="V419" s="249"/>
      <c r="W419" s="249"/>
      <c r="X419" s="249"/>
      <c r="Y419" s="249"/>
      <c r="Z419" s="249"/>
      <c r="AA419" s="249"/>
      <c r="AB419" s="249"/>
      <c r="AC419" s="249"/>
      <c r="AD419" s="249"/>
    </row>
    <row r="420" spans="1:30" ht="12.9">
      <c r="A420" s="249"/>
      <c r="B420" s="249"/>
      <c r="C420" s="249"/>
      <c r="D420" s="249"/>
      <c r="E420" s="249"/>
      <c r="F420" s="249"/>
      <c r="G420" s="249"/>
      <c r="H420" s="249"/>
      <c r="I420" s="249"/>
      <c r="J420" s="249"/>
      <c r="K420" s="249"/>
      <c r="L420" s="249"/>
      <c r="M420" s="249"/>
      <c r="N420" s="249"/>
      <c r="O420" s="249"/>
      <c r="P420" s="249"/>
      <c r="Q420" s="249"/>
      <c r="R420" s="249"/>
      <c r="S420" s="249"/>
      <c r="T420" s="249"/>
      <c r="U420" s="249"/>
      <c r="V420" s="249"/>
      <c r="W420" s="249"/>
      <c r="X420" s="249"/>
      <c r="Y420" s="249"/>
      <c r="Z420" s="249"/>
      <c r="AA420" s="249"/>
      <c r="AB420" s="249"/>
      <c r="AC420" s="249"/>
      <c r="AD420" s="249"/>
    </row>
    <row r="421" spans="1:30" ht="12.9">
      <c r="A421" s="249"/>
      <c r="B421" s="249"/>
      <c r="C421" s="249"/>
      <c r="D421" s="249"/>
      <c r="E421" s="249"/>
      <c r="F421" s="249"/>
      <c r="G421" s="249"/>
      <c r="H421" s="249"/>
      <c r="I421" s="249"/>
      <c r="J421" s="249"/>
      <c r="K421" s="249"/>
      <c r="L421" s="249"/>
      <c r="M421" s="249"/>
      <c r="N421" s="249"/>
      <c r="O421" s="249"/>
      <c r="P421" s="249"/>
      <c r="Q421" s="249"/>
      <c r="R421" s="249"/>
      <c r="S421" s="249"/>
      <c r="T421" s="249"/>
      <c r="U421" s="249"/>
      <c r="V421" s="249"/>
      <c r="W421" s="249"/>
      <c r="X421" s="249"/>
      <c r="Y421" s="249"/>
      <c r="Z421" s="249"/>
      <c r="AA421" s="249"/>
      <c r="AB421" s="249"/>
      <c r="AC421" s="249"/>
      <c r="AD421" s="249"/>
    </row>
    <row r="422" spans="1:30" ht="12.9">
      <c r="A422" s="249"/>
      <c r="B422" s="249"/>
      <c r="C422" s="249"/>
      <c r="D422" s="249"/>
      <c r="E422" s="249"/>
      <c r="F422" s="249"/>
      <c r="G422" s="249"/>
      <c r="H422" s="249"/>
      <c r="I422" s="249"/>
      <c r="J422" s="249"/>
      <c r="K422" s="249"/>
      <c r="L422" s="249"/>
      <c r="M422" s="249"/>
      <c r="N422" s="249"/>
      <c r="O422" s="249"/>
      <c r="P422" s="249"/>
      <c r="Q422" s="249"/>
      <c r="R422" s="249"/>
      <c r="S422" s="249"/>
      <c r="T422" s="249"/>
      <c r="U422" s="249"/>
      <c r="V422" s="249"/>
      <c r="W422" s="249"/>
      <c r="X422" s="249"/>
      <c r="Y422" s="249"/>
      <c r="Z422" s="249"/>
      <c r="AA422" s="249"/>
      <c r="AB422" s="249"/>
      <c r="AC422" s="249"/>
      <c r="AD422" s="249"/>
    </row>
    <row r="423" spans="1:30" ht="12.9">
      <c r="A423" s="249"/>
      <c r="B423" s="249"/>
      <c r="C423" s="249"/>
      <c r="D423" s="249"/>
      <c r="E423" s="249"/>
      <c r="F423" s="249"/>
      <c r="G423" s="249"/>
      <c r="H423" s="249"/>
      <c r="I423" s="249"/>
      <c r="J423" s="249"/>
      <c r="K423" s="249"/>
      <c r="L423" s="249"/>
      <c r="M423" s="249"/>
      <c r="N423" s="249"/>
      <c r="O423" s="249"/>
      <c r="P423" s="249"/>
      <c r="Q423" s="249"/>
      <c r="R423" s="249"/>
      <c r="S423" s="249"/>
      <c r="T423" s="249"/>
      <c r="U423" s="249"/>
      <c r="V423" s="249"/>
      <c r="W423" s="249"/>
      <c r="X423" s="249"/>
      <c r="Y423" s="249"/>
      <c r="Z423" s="249"/>
      <c r="AA423" s="249"/>
      <c r="AB423" s="249"/>
      <c r="AC423" s="249"/>
      <c r="AD423" s="249"/>
    </row>
    <row r="424" spans="1:30" ht="12.9">
      <c r="A424" s="249"/>
      <c r="B424" s="249"/>
      <c r="C424" s="249"/>
      <c r="D424" s="249"/>
      <c r="E424" s="249"/>
      <c r="F424" s="249"/>
      <c r="G424" s="249"/>
      <c r="H424" s="249"/>
      <c r="I424" s="249"/>
      <c r="J424" s="249"/>
      <c r="K424" s="249"/>
      <c r="L424" s="249"/>
      <c r="M424" s="249"/>
      <c r="N424" s="249"/>
      <c r="O424" s="249"/>
      <c r="P424" s="249"/>
      <c r="Q424" s="249"/>
      <c r="R424" s="249"/>
      <c r="S424" s="249"/>
      <c r="T424" s="249"/>
      <c r="U424" s="249"/>
      <c r="V424" s="249"/>
      <c r="W424" s="249"/>
      <c r="X424" s="249"/>
      <c r="Y424" s="249"/>
      <c r="Z424" s="249"/>
      <c r="AA424" s="249"/>
      <c r="AB424" s="249"/>
      <c r="AC424" s="249"/>
      <c r="AD424" s="249"/>
    </row>
    <row r="425" spans="1:30" ht="12.9">
      <c r="A425" s="249"/>
      <c r="B425" s="249"/>
      <c r="C425" s="249"/>
      <c r="D425" s="249"/>
      <c r="E425" s="249"/>
      <c r="F425" s="249"/>
      <c r="G425" s="249"/>
      <c r="H425" s="249"/>
      <c r="I425" s="249"/>
      <c r="J425" s="249"/>
      <c r="K425" s="249"/>
      <c r="L425" s="249"/>
      <c r="M425" s="249"/>
      <c r="N425" s="249"/>
      <c r="O425" s="249"/>
      <c r="P425" s="249"/>
      <c r="Q425" s="249"/>
      <c r="R425" s="249"/>
      <c r="S425" s="249"/>
      <c r="T425" s="249"/>
      <c r="U425" s="249"/>
      <c r="V425" s="249"/>
      <c r="W425" s="249"/>
      <c r="X425" s="249"/>
      <c r="Y425" s="249"/>
      <c r="Z425" s="249"/>
      <c r="AA425" s="249"/>
      <c r="AB425" s="249"/>
      <c r="AC425" s="249"/>
      <c r="AD425" s="249"/>
    </row>
    <row r="426" spans="1:30" ht="12.9">
      <c r="A426" s="249"/>
      <c r="B426" s="249"/>
      <c r="C426" s="249"/>
      <c r="D426" s="249"/>
      <c r="E426" s="249"/>
      <c r="F426" s="249"/>
      <c r="G426" s="249"/>
      <c r="H426" s="249"/>
      <c r="I426" s="249"/>
      <c r="J426" s="249"/>
      <c r="K426" s="249"/>
      <c r="L426" s="249"/>
      <c r="M426" s="249"/>
      <c r="N426" s="249"/>
      <c r="O426" s="249"/>
      <c r="P426" s="249"/>
      <c r="Q426" s="249"/>
      <c r="R426" s="249"/>
      <c r="S426" s="249"/>
      <c r="T426" s="249"/>
      <c r="U426" s="249"/>
      <c r="V426" s="249"/>
      <c r="W426" s="249"/>
      <c r="X426" s="249"/>
      <c r="Y426" s="249"/>
      <c r="Z426" s="249"/>
      <c r="AA426" s="249"/>
      <c r="AB426" s="249"/>
      <c r="AC426" s="249"/>
      <c r="AD426" s="249"/>
    </row>
    <row r="427" spans="1:30" ht="12.9">
      <c r="A427" s="249"/>
      <c r="B427" s="249"/>
      <c r="C427" s="249"/>
      <c r="D427" s="249"/>
      <c r="E427" s="249"/>
      <c r="F427" s="249"/>
      <c r="G427" s="249"/>
      <c r="H427" s="249"/>
      <c r="I427" s="249"/>
      <c r="J427" s="249"/>
      <c r="K427" s="249"/>
      <c r="L427" s="249"/>
      <c r="M427" s="249"/>
      <c r="N427" s="249"/>
      <c r="O427" s="249"/>
      <c r="P427" s="249"/>
      <c r="Q427" s="249"/>
      <c r="R427" s="249"/>
      <c r="S427" s="249"/>
      <c r="T427" s="249"/>
      <c r="U427" s="249"/>
      <c r="V427" s="249"/>
      <c r="W427" s="249"/>
      <c r="X427" s="249"/>
      <c r="Y427" s="249"/>
      <c r="Z427" s="249"/>
      <c r="AA427" s="249"/>
      <c r="AB427" s="249"/>
      <c r="AC427" s="249"/>
      <c r="AD427" s="249"/>
    </row>
    <row r="428" spans="1:30" ht="12.9">
      <c r="A428" s="249"/>
      <c r="B428" s="249"/>
      <c r="C428" s="249"/>
      <c r="D428" s="249"/>
      <c r="E428" s="249"/>
      <c r="F428" s="249"/>
      <c r="G428" s="249"/>
      <c r="H428" s="249"/>
      <c r="I428" s="249"/>
      <c r="J428" s="249"/>
      <c r="K428" s="249"/>
      <c r="L428" s="249"/>
      <c r="M428" s="249"/>
      <c r="N428" s="249"/>
      <c r="O428" s="249"/>
      <c r="P428" s="249"/>
      <c r="Q428" s="249"/>
      <c r="R428" s="249"/>
      <c r="S428" s="249"/>
      <c r="T428" s="249"/>
      <c r="U428" s="249"/>
      <c r="V428" s="249"/>
      <c r="W428" s="249"/>
      <c r="X428" s="249"/>
      <c r="Y428" s="249"/>
      <c r="Z428" s="249"/>
      <c r="AA428" s="249"/>
      <c r="AB428" s="249"/>
      <c r="AC428" s="249"/>
      <c r="AD428" s="249"/>
    </row>
    <row r="429" spans="1:30" ht="12.9">
      <c r="A429" s="249"/>
      <c r="B429" s="249"/>
      <c r="C429" s="249"/>
      <c r="D429" s="249"/>
      <c r="E429" s="249"/>
      <c r="F429" s="249"/>
      <c r="G429" s="249"/>
      <c r="H429" s="249"/>
      <c r="I429" s="249"/>
      <c r="J429" s="249"/>
      <c r="K429" s="249"/>
      <c r="L429" s="249"/>
      <c r="M429" s="249"/>
      <c r="N429" s="249"/>
      <c r="O429" s="249"/>
      <c r="P429" s="249"/>
      <c r="Q429" s="249"/>
      <c r="R429" s="249"/>
      <c r="S429" s="249"/>
      <c r="T429" s="249"/>
      <c r="U429" s="249"/>
      <c r="V429" s="249"/>
      <c r="W429" s="249"/>
      <c r="X429" s="249"/>
      <c r="Y429" s="249"/>
      <c r="Z429" s="249"/>
      <c r="AA429" s="249"/>
      <c r="AB429" s="249"/>
      <c r="AC429" s="249"/>
      <c r="AD429" s="249"/>
    </row>
    <row r="430" spans="1:30" ht="12.9">
      <c r="A430" s="249"/>
      <c r="B430" s="249"/>
      <c r="C430" s="249"/>
      <c r="D430" s="249"/>
      <c r="E430" s="249"/>
      <c r="F430" s="249"/>
      <c r="G430" s="249"/>
      <c r="H430" s="249"/>
      <c r="I430" s="249"/>
      <c r="J430" s="249"/>
      <c r="K430" s="249"/>
      <c r="L430" s="249"/>
      <c r="M430" s="249"/>
      <c r="N430" s="249"/>
      <c r="O430" s="249"/>
      <c r="P430" s="249"/>
      <c r="Q430" s="249"/>
      <c r="R430" s="249"/>
      <c r="S430" s="249"/>
      <c r="T430" s="249"/>
      <c r="U430" s="249"/>
      <c r="V430" s="249"/>
      <c r="W430" s="249"/>
      <c r="X430" s="249"/>
      <c r="Y430" s="249"/>
      <c r="Z430" s="249"/>
      <c r="AA430" s="249"/>
      <c r="AB430" s="249"/>
      <c r="AC430" s="249"/>
      <c r="AD430" s="249"/>
    </row>
    <row r="431" spans="1:30" ht="12.9">
      <c r="A431" s="249"/>
      <c r="B431" s="249"/>
      <c r="C431" s="249"/>
      <c r="D431" s="249"/>
      <c r="E431" s="249"/>
      <c r="F431" s="249"/>
      <c r="G431" s="249"/>
      <c r="H431" s="249"/>
      <c r="I431" s="249"/>
      <c r="J431" s="249"/>
      <c r="K431" s="249"/>
      <c r="L431" s="249"/>
      <c r="M431" s="249"/>
      <c r="N431" s="249"/>
      <c r="O431" s="249"/>
      <c r="P431" s="249"/>
      <c r="Q431" s="249"/>
      <c r="R431" s="249"/>
      <c r="S431" s="249"/>
      <c r="T431" s="249"/>
      <c r="U431" s="249"/>
      <c r="V431" s="249"/>
      <c r="W431" s="249"/>
      <c r="X431" s="249"/>
      <c r="Y431" s="249"/>
      <c r="Z431" s="249"/>
      <c r="AA431" s="249"/>
      <c r="AB431" s="249"/>
      <c r="AC431" s="249"/>
      <c r="AD431" s="249"/>
    </row>
    <row r="432" spans="1:30" ht="12.9">
      <c r="A432" s="249"/>
      <c r="B432" s="249"/>
      <c r="C432" s="249"/>
      <c r="D432" s="249"/>
      <c r="E432" s="249"/>
      <c r="F432" s="249"/>
      <c r="G432" s="249"/>
      <c r="H432" s="249"/>
      <c r="I432" s="249"/>
      <c r="J432" s="249"/>
      <c r="K432" s="249"/>
      <c r="L432" s="249"/>
      <c r="M432" s="249"/>
      <c r="N432" s="249"/>
      <c r="O432" s="249"/>
      <c r="P432" s="249"/>
      <c r="Q432" s="249"/>
      <c r="R432" s="249"/>
      <c r="S432" s="249"/>
      <c r="T432" s="249"/>
      <c r="U432" s="249"/>
      <c r="V432" s="249"/>
      <c r="W432" s="249"/>
      <c r="X432" s="249"/>
      <c r="Y432" s="249"/>
      <c r="Z432" s="249"/>
      <c r="AA432" s="249"/>
      <c r="AB432" s="249"/>
      <c r="AC432" s="249"/>
      <c r="AD432" s="249"/>
    </row>
    <row r="433" spans="1:30" ht="12.9">
      <c r="A433" s="249"/>
      <c r="B433" s="249"/>
      <c r="C433" s="249"/>
      <c r="D433" s="249"/>
      <c r="E433" s="249"/>
      <c r="F433" s="249"/>
      <c r="G433" s="249"/>
      <c r="H433" s="249"/>
      <c r="I433" s="249"/>
      <c r="J433" s="249"/>
      <c r="K433" s="249"/>
      <c r="L433" s="249"/>
      <c r="M433" s="249"/>
      <c r="N433" s="249"/>
      <c r="O433" s="249"/>
      <c r="P433" s="249"/>
      <c r="Q433" s="249"/>
      <c r="R433" s="249"/>
      <c r="S433" s="249"/>
      <c r="T433" s="249"/>
      <c r="U433" s="249"/>
      <c r="V433" s="249"/>
      <c r="W433" s="249"/>
      <c r="X433" s="249"/>
      <c r="Y433" s="249"/>
      <c r="Z433" s="249"/>
      <c r="AA433" s="249"/>
      <c r="AB433" s="249"/>
      <c r="AC433" s="249"/>
      <c r="AD433" s="249"/>
    </row>
    <row r="434" spans="1:30" ht="12.9">
      <c r="A434" s="249"/>
      <c r="B434" s="249"/>
      <c r="C434" s="249"/>
      <c r="D434" s="249"/>
      <c r="E434" s="249"/>
      <c r="F434" s="249"/>
      <c r="G434" s="249"/>
      <c r="H434" s="249"/>
      <c r="I434" s="249"/>
      <c r="J434" s="249"/>
      <c r="K434" s="249"/>
      <c r="L434" s="249"/>
      <c r="M434" s="249"/>
      <c r="N434" s="249"/>
      <c r="O434" s="249"/>
      <c r="P434" s="249"/>
      <c r="Q434" s="249"/>
      <c r="R434" s="249"/>
      <c r="S434" s="249"/>
      <c r="T434" s="249"/>
      <c r="U434" s="249"/>
      <c r="V434" s="249"/>
      <c r="W434" s="249"/>
      <c r="X434" s="249"/>
      <c r="Y434" s="249"/>
      <c r="Z434" s="249"/>
      <c r="AA434" s="249"/>
      <c r="AB434" s="249"/>
      <c r="AC434" s="249"/>
      <c r="AD434" s="249"/>
    </row>
    <row r="435" spans="1:30" ht="12.9">
      <c r="A435" s="249"/>
      <c r="B435" s="249"/>
      <c r="C435" s="249"/>
      <c r="D435" s="249"/>
      <c r="E435" s="249"/>
      <c r="F435" s="249"/>
      <c r="G435" s="249"/>
      <c r="H435" s="249"/>
      <c r="I435" s="249"/>
      <c r="J435" s="249"/>
      <c r="K435" s="249"/>
      <c r="L435" s="249"/>
      <c r="M435" s="249"/>
      <c r="N435" s="249"/>
      <c r="O435" s="249"/>
      <c r="P435" s="249"/>
      <c r="Q435" s="249"/>
      <c r="R435" s="249"/>
      <c r="S435" s="249"/>
      <c r="T435" s="249"/>
      <c r="U435" s="249"/>
      <c r="V435" s="249"/>
      <c r="W435" s="249"/>
      <c r="X435" s="249"/>
      <c r="Y435" s="249"/>
      <c r="Z435" s="249"/>
      <c r="AA435" s="249"/>
      <c r="AB435" s="249"/>
      <c r="AC435" s="249"/>
      <c r="AD435" s="249"/>
    </row>
    <row r="436" spans="1:30" ht="12.9">
      <c r="A436" s="249"/>
      <c r="B436" s="249"/>
      <c r="C436" s="249"/>
      <c r="D436" s="249"/>
      <c r="E436" s="249"/>
      <c r="F436" s="249"/>
      <c r="G436" s="249"/>
      <c r="H436" s="249"/>
      <c r="I436" s="249"/>
      <c r="J436" s="249"/>
      <c r="K436" s="249"/>
      <c r="L436" s="249"/>
      <c r="M436" s="249"/>
      <c r="N436" s="249"/>
      <c r="O436" s="249"/>
      <c r="P436" s="249"/>
      <c r="Q436" s="249"/>
      <c r="R436" s="249"/>
      <c r="S436" s="249"/>
      <c r="T436" s="249"/>
      <c r="U436" s="249"/>
      <c r="V436" s="249"/>
      <c r="W436" s="249"/>
      <c r="X436" s="249"/>
      <c r="Y436" s="249"/>
      <c r="Z436" s="249"/>
      <c r="AA436" s="249"/>
      <c r="AB436" s="249"/>
      <c r="AC436" s="249"/>
      <c r="AD436" s="249"/>
    </row>
    <row r="437" spans="1:30" ht="12.9">
      <c r="A437" s="249"/>
      <c r="B437" s="249"/>
      <c r="C437" s="249"/>
      <c r="D437" s="249"/>
      <c r="E437" s="249"/>
      <c r="F437" s="249"/>
      <c r="G437" s="249"/>
      <c r="H437" s="249"/>
      <c r="I437" s="249"/>
      <c r="J437" s="249"/>
      <c r="K437" s="249"/>
      <c r="L437" s="249"/>
      <c r="M437" s="249"/>
      <c r="N437" s="249"/>
      <c r="O437" s="249"/>
      <c r="P437" s="249"/>
      <c r="Q437" s="249"/>
      <c r="R437" s="249"/>
      <c r="S437" s="249"/>
      <c r="T437" s="249"/>
      <c r="U437" s="249"/>
      <c r="V437" s="249"/>
      <c r="W437" s="249"/>
      <c r="X437" s="249"/>
      <c r="Y437" s="249"/>
      <c r="Z437" s="249"/>
      <c r="AA437" s="249"/>
      <c r="AB437" s="249"/>
      <c r="AC437" s="249"/>
      <c r="AD437" s="249"/>
    </row>
    <row r="438" spans="1:30" ht="12.9">
      <c r="A438" s="249"/>
      <c r="B438" s="249"/>
      <c r="C438" s="249"/>
      <c r="D438" s="249"/>
      <c r="E438" s="249"/>
      <c r="F438" s="249"/>
      <c r="G438" s="249"/>
      <c r="H438" s="249"/>
      <c r="I438" s="249"/>
      <c r="J438" s="249"/>
      <c r="K438" s="249"/>
      <c r="L438" s="249"/>
      <c r="M438" s="249"/>
      <c r="N438" s="249"/>
      <c r="O438" s="249"/>
      <c r="P438" s="249"/>
      <c r="Q438" s="249"/>
      <c r="R438" s="249"/>
      <c r="S438" s="249"/>
      <c r="T438" s="249"/>
      <c r="U438" s="249"/>
      <c r="V438" s="249"/>
      <c r="W438" s="249"/>
      <c r="X438" s="249"/>
      <c r="Y438" s="249"/>
      <c r="Z438" s="249"/>
      <c r="AA438" s="249"/>
      <c r="AB438" s="249"/>
      <c r="AC438" s="249"/>
      <c r="AD438" s="249"/>
    </row>
    <row r="439" spans="1:30" ht="12.9">
      <c r="A439" s="249"/>
      <c r="B439" s="249"/>
      <c r="C439" s="249"/>
      <c r="D439" s="249"/>
      <c r="E439" s="249"/>
      <c r="F439" s="249"/>
      <c r="G439" s="249"/>
      <c r="H439" s="249"/>
      <c r="I439" s="249"/>
      <c r="J439" s="249"/>
      <c r="K439" s="249"/>
      <c r="L439" s="249"/>
      <c r="M439" s="249"/>
      <c r="N439" s="249"/>
      <c r="O439" s="249"/>
      <c r="P439" s="249"/>
      <c r="Q439" s="249"/>
      <c r="R439" s="249"/>
      <c r="S439" s="249"/>
      <c r="T439" s="249"/>
      <c r="U439" s="249"/>
      <c r="V439" s="249"/>
      <c r="W439" s="249"/>
      <c r="X439" s="249"/>
      <c r="Y439" s="249"/>
      <c r="Z439" s="249"/>
      <c r="AA439" s="249"/>
      <c r="AB439" s="249"/>
      <c r="AC439" s="249"/>
      <c r="AD439" s="249"/>
    </row>
    <row r="440" spans="1:30" ht="12.9">
      <c r="A440" s="249"/>
      <c r="B440" s="249"/>
      <c r="C440" s="249"/>
      <c r="D440" s="249"/>
      <c r="E440" s="249"/>
      <c r="F440" s="249"/>
      <c r="G440" s="249"/>
      <c r="H440" s="249"/>
      <c r="I440" s="249"/>
      <c r="J440" s="249"/>
      <c r="K440" s="249"/>
      <c r="L440" s="249"/>
      <c r="M440" s="249"/>
      <c r="N440" s="249"/>
      <c r="O440" s="249"/>
      <c r="P440" s="249"/>
      <c r="Q440" s="249"/>
      <c r="R440" s="249"/>
      <c r="S440" s="249"/>
      <c r="T440" s="249"/>
      <c r="U440" s="249"/>
      <c r="V440" s="249"/>
      <c r="W440" s="249"/>
      <c r="X440" s="249"/>
      <c r="Y440" s="249"/>
      <c r="Z440" s="249"/>
      <c r="AA440" s="249"/>
      <c r="AB440" s="249"/>
      <c r="AC440" s="249"/>
      <c r="AD440" s="249"/>
    </row>
    <row r="441" spans="1:30" ht="12.9">
      <c r="A441" s="249"/>
      <c r="B441" s="249"/>
      <c r="C441" s="249"/>
      <c r="D441" s="249"/>
      <c r="E441" s="249"/>
      <c r="F441" s="249"/>
      <c r="G441" s="249"/>
      <c r="H441" s="249"/>
      <c r="I441" s="249"/>
      <c r="J441" s="249"/>
      <c r="K441" s="249"/>
      <c r="L441" s="249"/>
      <c r="M441" s="249"/>
      <c r="N441" s="249"/>
      <c r="O441" s="249"/>
      <c r="P441" s="249"/>
      <c r="Q441" s="249"/>
      <c r="R441" s="249"/>
      <c r="S441" s="249"/>
      <c r="T441" s="249"/>
      <c r="U441" s="249"/>
      <c r="V441" s="249"/>
      <c r="W441" s="249"/>
      <c r="X441" s="249"/>
      <c r="Y441" s="249"/>
      <c r="Z441" s="249"/>
      <c r="AA441" s="249"/>
      <c r="AB441" s="249"/>
      <c r="AC441" s="249"/>
      <c r="AD441" s="249"/>
    </row>
    <row r="442" spans="1:30" ht="12.9">
      <c r="A442" s="249"/>
      <c r="B442" s="249"/>
      <c r="C442" s="249"/>
      <c r="D442" s="249"/>
      <c r="E442" s="249"/>
      <c r="F442" s="249"/>
      <c r="G442" s="249"/>
      <c r="H442" s="249"/>
      <c r="I442" s="249"/>
      <c r="J442" s="249"/>
      <c r="K442" s="249"/>
      <c r="L442" s="249"/>
      <c r="M442" s="249"/>
      <c r="N442" s="249"/>
      <c r="O442" s="249"/>
      <c r="P442" s="249"/>
      <c r="Q442" s="249"/>
      <c r="R442" s="249"/>
      <c r="S442" s="249"/>
      <c r="T442" s="249"/>
      <c r="U442" s="249"/>
      <c r="V442" s="249"/>
      <c r="W442" s="249"/>
      <c r="X442" s="249"/>
      <c r="Y442" s="249"/>
      <c r="Z442" s="249"/>
      <c r="AA442" s="249"/>
      <c r="AB442" s="249"/>
      <c r="AC442" s="249"/>
      <c r="AD442" s="249"/>
    </row>
    <row r="443" spans="1:30" ht="12.9">
      <c r="A443" s="249"/>
      <c r="B443" s="249"/>
      <c r="C443" s="249"/>
      <c r="D443" s="249"/>
      <c r="E443" s="249"/>
      <c r="F443" s="249"/>
      <c r="G443" s="249"/>
      <c r="H443" s="249"/>
      <c r="I443" s="249"/>
      <c r="J443" s="249"/>
      <c r="K443" s="249"/>
      <c r="L443" s="249"/>
      <c r="M443" s="249"/>
      <c r="N443" s="249"/>
      <c r="O443" s="249"/>
      <c r="P443" s="249"/>
      <c r="Q443" s="249"/>
      <c r="R443" s="249"/>
      <c r="S443" s="249"/>
      <c r="T443" s="249"/>
      <c r="U443" s="249"/>
      <c r="V443" s="249"/>
      <c r="W443" s="249"/>
      <c r="X443" s="249"/>
      <c r="Y443" s="249"/>
      <c r="Z443" s="249"/>
      <c r="AA443" s="249"/>
      <c r="AB443" s="249"/>
      <c r="AC443" s="249"/>
      <c r="AD443" s="249"/>
    </row>
    <row r="444" spans="1:30" ht="12.9">
      <c r="A444" s="249"/>
      <c r="B444" s="249"/>
      <c r="C444" s="249"/>
      <c r="D444" s="249"/>
      <c r="E444" s="249"/>
      <c r="F444" s="249"/>
      <c r="G444" s="249"/>
      <c r="H444" s="249"/>
      <c r="I444" s="249"/>
      <c r="J444" s="249"/>
      <c r="K444" s="249"/>
      <c r="L444" s="249"/>
      <c r="M444" s="249"/>
      <c r="N444" s="249"/>
      <c r="O444" s="249"/>
      <c r="P444" s="249"/>
      <c r="Q444" s="249"/>
      <c r="R444" s="249"/>
      <c r="S444" s="249"/>
      <c r="T444" s="249"/>
      <c r="U444" s="249"/>
      <c r="V444" s="249"/>
      <c r="W444" s="249"/>
      <c r="X444" s="249"/>
      <c r="Y444" s="249"/>
      <c r="Z444" s="249"/>
      <c r="AA444" s="249"/>
      <c r="AB444" s="249"/>
      <c r="AC444" s="249"/>
      <c r="AD444" s="249"/>
    </row>
    <row r="445" spans="1:30" ht="12.9">
      <c r="A445" s="249"/>
      <c r="B445" s="249"/>
      <c r="C445" s="249"/>
      <c r="D445" s="249"/>
      <c r="E445" s="249"/>
      <c r="F445" s="249"/>
      <c r="G445" s="249"/>
      <c r="H445" s="249"/>
      <c r="I445" s="249"/>
      <c r="J445" s="249"/>
      <c r="K445" s="249"/>
      <c r="L445" s="249"/>
      <c r="M445" s="249"/>
      <c r="N445" s="249"/>
      <c r="O445" s="249"/>
      <c r="P445" s="249"/>
      <c r="Q445" s="249"/>
      <c r="R445" s="249"/>
      <c r="S445" s="249"/>
      <c r="T445" s="249"/>
      <c r="U445" s="249"/>
      <c r="V445" s="249"/>
      <c r="W445" s="249"/>
      <c r="X445" s="249"/>
      <c r="Y445" s="249"/>
      <c r="Z445" s="249"/>
      <c r="AA445" s="249"/>
      <c r="AB445" s="249"/>
      <c r="AC445" s="249"/>
      <c r="AD445" s="249"/>
    </row>
    <row r="446" spans="1:30" ht="12.9">
      <c r="A446" s="249"/>
      <c r="B446" s="249"/>
      <c r="C446" s="249"/>
      <c r="D446" s="249"/>
      <c r="E446" s="249"/>
      <c r="F446" s="249"/>
      <c r="G446" s="249"/>
      <c r="H446" s="249"/>
      <c r="I446" s="249"/>
      <c r="J446" s="249"/>
      <c r="K446" s="249"/>
      <c r="L446" s="249"/>
      <c r="M446" s="249"/>
      <c r="N446" s="249"/>
      <c r="O446" s="249"/>
      <c r="P446" s="249"/>
      <c r="Q446" s="249"/>
      <c r="R446" s="249"/>
      <c r="S446" s="249"/>
      <c r="T446" s="249"/>
      <c r="U446" s="249"/>
      <c r="V446" s="249"/>
      <c r="W446" s="249"/>
      <c r="X446" s="249"/>
      <c r="Y446" s="249"/>
      <c r="Z446" s="249"/>
      <c r="AA446" s="249"/>
      <c r="AB446" s="249"/>
      <c r="AC446" s="249"/>
      <c r="AD446" s="249"/>
    </row>
    <row r="447" spans="1:30" ht="12.9">
      <c r="A447" s="249"/>
      <c r="B447" s="249"/>
      <c r="C447" s="249"/>
      <c r="D447" s="249"/>
      <c r="E447" s="249"/>
      <c r="F447" s="249"/>
      <c r="G447" s="249"/>
      <c r="H447" s="249"/>
      <c r="I447" s="249"/>
      <c r="J447" s="249"/>
      <c r="K447" s="249"/>
      <c r="L447" s="249"/>
      <c r="M447" s="249"/>
      <c r="N447" s="249"/>
      <c r="O447" s="249"/>
      <c r="P447" s="249"/>
      <c r="Q447" s="249"/>
      <c r="R447" s="249"/>
      <c r="S447" s="249"/>
      <c r="T447" s="249"/>
      <c r="U447" s="249"/>
      <c r="V447" s="249"/>
      <c r="W447" s="249"/>
      <c r="X447" s="249"/>
      <c r="Y447" s="249"/>
      <c r="Z447" s="249"/>
      <c r="AA447" s="249"/>
      <c r="AB447" s="249"/>
      <c r="AC447" s="249"/>
      <c r="AD447" s="249"/>
    </row>
    <row r="448" spans="1:30" ht="12.9">
      <c r="A448" s="249"/>
      <c r="B448" s="249"/>
      <c r="C448" s="249"/>
      <c r="D448" s="249"/>
      <c r="E448" s="249"/>
      <c r="F448" s="249"/>
      <c r="G448" s="249"/>
      <c r="H448" s="249"/>
      <c r="I448" s="249"/>
      <c r="J448" s="249"/>
      <c r="K448" s="249"/>
      <c r="L448" s="249"/>
      <c r="M448" s="249"/>
      <c r="N448" s="249"/>
      <c r="O448" s="249"/>
      <c r="P448" s="249"/>
      <c r="Q448" s="249"/>
      <c r="R448" s="249"/>
      <c r="S448" s="249"/>
      <c r="T448" s="249"/>
      <c r="U448" s="249"/>
      <c r="V448" s="249"/>
      <c r="W448" s="249"/>
      <c r="X448" s="249"/>
      <c r="Y448" s="249"/>
      <c r="Z448" s="249"/>
      <c r="AA448" s="249"/>
      <c r="AB448" s="249"/>
      <c r="AC448" s="249"/>
      <c r="AD448" s="249"/>
    </row>
    <row r="449" spans="1:30" ht="12.9">
      <c r="A449" s="249"/>
      <c r="B449" s="249"/>
      <c r="C449" s="249"/>
      <c r="D449" s="249"/>
      <c r="E449" s="249"/>
      <c r="F449" s="249"/>
      <c r="G449" s="249"/>
      <c r="H449" s="249"/>
      <c r="I449" s="249"/>
      <c r="J449" s="249"/>
      <c r="K449" s="249"/>
      <c r="L449" s="249"/>
      <c r="M449" s="249"/>
      <c r="N449" s="249"/>
      <c r="O449" s="249"/>
      <c r="P449" s="249"/>
      <c r="Q449" s="249"/>
      <c r="R449" s="249"/>
      <c r="S449" s="249"/>
      <c r="T449" s="249"/>
      <c r="U449" s="249"/>
      <c r="V449" s="249"/>
      <c r="W449" s="249"/>
      <c r="X449" s="249"/>
      <c r="Y449" s="249"/>
      <c r="Z449" s="249"/>
      <c r="AA449" s="249"/>
      <c r="AB449" s="249"/>
      <c r="AC449" s="249"/>
      <c r="AD449" s="249"/>
    </row>
    <row r="450" spans="1:30" ht="12.9">
      <c r="A450" s="249"/>
      <c r="B450" s="249"/>
      <c r="C450" s="249"/>
      <c r="D450" s="249"/>
      <c r="E450" s="249"/>
      <c r="F450" s="249"/>
      <c r="G450" s="249"/>
      <c r="H450" s="249"/>
      <c r="I450" s="249"/>
      <c r="J450" s="249"/>
      <c r="K450" s="249"/>
      <c r="L450" s="249"/>
      <c r="M450" s="249"/>
      <c r="N450" s="249"/>
      <c r="O450" s="249"/>
      <c r="P450" s="249"/>
      <c r="Q450" s="249"/>
      <c r="R450" s="249"/>
      <c r="S450" s="249"/>
      <c r="T450" s="249"/>
      <c r="U450" s="249"/>
      <c r="V450" s="249"/>
      <c r="W450" s="249"/>
      <c r="X450" s="249"/>
      <c r="Y450" s="249"/>
      <c r="Z450" s="249"/>
      <c r="AA450" s="249"/>
      <c r="AB450" s="249"/>
      <c r="AC450" s="249"/>
      <c r="AD450" s="249"/>
    </row>
    <row r="451" spans="1:30" ht="12.9">
      <c r="A451" s="249"/>
      <c r="B451" s="249"/>
      <c r="C451" s="249"/>
      <c r="D451" s="249"/>
      <c r="E451" s="249"/>
      <c r="F451" s="249"/>
      <c r="G451" s="249"/>
      <c r="H451" s="249"/>
      <c r="I451" s="249"/>
      <c r="J451" s="249"/>
      <c r="K451" s="249"/>
      <c r="L451" s="249"/>
      <c r="M451" s="249"/>
      <c r="N451" s="249"/>
      <c r="O451" s="249"/>
      <c r="P451" s="249"/>
      <c r="Q451" s="249"/>
      <c r="R451" s="249"/>
      <c r="S451" s="249"/>
      <c r="T451" s="249"/>
      <c r="U451" s="249"/>
      <c r="V451" s="249"/>
      <c r="W451" s="249"/>
      <c r="X451" s="249"/>
      <c r="Y451" s="249"/>
      <c r="Z451" s="249"/>
      <c r="AA451" s="249"/>
      <c r="AB451" s="249"/>
      <c r="AC451" s="249"/>
      <c r="AD451" s="249"/>
    </row>
    <row r="452" spans="1:30" ht="12.9">
      <c r="A452" s="249"/>
      <c r="B452" s="249"/>
      <c r="C452" s="249"/>
      <c r="D452" s="249"/>
      <c r="E452" s="249"/>
      <c r="F452" s="249"/>
      <c r="G452" s="249"/>
      <c r="H452" s="249"/>
      <c r="I452" s="249"/>
      <c r="J452" s="249"/>
      <c r="K452" s="249"/>
      <c r="L452" s="249"/>
      <c r="M452" s="249"/>
      <c r="N452" s="249"/>
      <c r="O452" s="249"/>
      <c r="P452" s="249"/>
      <c r="Q452" s="249"/>
      <c r="R452" s="249"/>
      <c r="S452" s="249"/>
      <c r="T452" s="249"/>
      <c r="U452" s="249"/>
      <c r="V452" s="249"/>
      <c r="W452" s="249"/>
      <c r="X452" s="249"/>
      <c r="Y452" s="249"/>
      <c r="Z452" s="249"/>
      <c r="AA452" s="249"/>
      <c r="AB452" s="249"/>
      <c r="AC452" s="249"/>
      <c r="AD452" s="249"/>
    </row>
    <row r="453" spans="1:30" ht="12.9">
      <c r="A453" s="249"/>
      <c r="B453" s="249"/>
      <c r="C453" s="249"/>
      <c r="D453" s="249"/>
      <c r="E453" s="249"/>
      <c r="F453" s="249"/>
      <c r="G453" s="249"/>
      <c r="H453" s="249"/>
      <c r="I453" s="249"/>
      <c r="J453" s="249"/>
      <c r="K453" s="249"/>
      <c r="L453" s="249"/>
      <c r="M453" s="249"/>
      <c r="N453" s="249"/>
      <c r="O453" s="249"/>
      <c r="P453" s="249"/>
      <c r="Q453" s="249"/>
      <c r="R453" s="249"/>
      <c r="S453" s="249"/>
      <c r="T453" s="249"/>
      <c r="U453" s="249"/>
      <c r="V453" s="249"/>
      <c r="W453" s="249"/>
      <c r="X453" s="249"/>
      <c r="Y453" s="249"/>
      <c r="Z453" s="249"/>
      <c r="AA453" s="249"/>
      <c r="AB453" s="249"/>
      <c r="AC453" s="249"/>
      <c r="AD453" s="249"/>
    </row>
    <row r="454" spans="1:30" ht="12.9">
      <c r="A454" s="249"/>
      <c r="B454" s="249"/>
      <c r="C454" s="249"/>
      <c r="D454" s="249"/>
      <c r="E454" s="249"/>
      <c r="F454" s="249"/>
      <c r="G454" s="249"/>
      <c r="H454" s="249"/>
      <c r="I454" s="249"/>
      <c r="J454" s="249"/>
      <c r="K454" s="249"/>
      <c r="L454" s="249"/>
      <c r="M454" s="249"/>
      <c r="N454" s="249"/>
      <c r="O454" s="249"/>
      <c r="P454" s="249"/>
      <c r="Q454" s="249"/>
      <c r="R454" s="249"/>
      <c r="S454" s="249"/>
      <c r="T454" s="249"/>
      <c r="U454" s="249"/>
      <c r="V454" s="249"/>
      <c r="W454" s="249"/>
      <c r="X454" s="249"/>
      <c r="Y454" s="249"/>
      <c r="Z454" s="249"/>
      <c r="AA454" s="249"/>
      <c r="AB454" s="249"/>
      <c r="AC454" s="249"/>
      <c r="AD454" s="249"/>
    </row>
    <row r="455" spans="1:30" ht="12.9">
      <c r="A455" s="249"/>
      <c r="B455" s="249"/>
      <c r="C455" s="249"/>
      <c r="D455" s="249"/>
      <c r="E455" s="249"/>
      <c r="F455" s="249"/>
      <c r="G455" s="249"/>
      <c r="H455" s="249"/>
      <c r="I455" s="249"/>
      <c r="J455" s="249"/>
      <c r="K455" s="249"/>
      <c r="L455" s="249"/>
      <c r="M455" s="249"/>
      <c r="N455" s="249"/>
      <c r="O455" s="249"/>
      <c r="P455" s="249"/>
      <c r="Q455" s="249"/>
      <c r="R455" s="249"/>
      <c r="S455" s="249"/>
      <c r="T455" s="249"/>
      <c r="U455" s="249"/>
      <c r="V455" s="249"/>
      <c r="W455" s="249"/>
      <c r="X455" s="249"/>
      <c r="Y455" s="249"/>
      <c r="Z455" s="249"/>
      <c r="AA455" s="249"/>
      <c r="AB455" s="249"/>
      <c r="AC455" s="249"/>
      <c r="AD455" s="249"/>
    </row>
    <row r="456" spans="1:30" ht="12.9">
      <c r="A456" s="249"/>
      <c r="B456" s="249"/>
      <c r="C456" s="249"/>
      <c r="D456" s="249"/>
      <c r="E456" s="249"/>
      <c r="F456" s="249"/>
      <c r="G456" s="249"/>
      <c r="H456" s="249"/>
      <c r="I456" s="249"/>
      <c r="J456" s="249"/>
      <c r="K456" s="249"/>
      <c r="L456" s="249"/>
      <c r="M456" s="249"/>
      <c r="N456" s="249"/>
      <c r="O456" s="249"/>
      <c r="P456" s="249"/>
      <c r="Q456" s="249"/>
      <c r="R456" s="249"/>
      <c r="S456" s="249"/>
      <c r="T456" s="249"/>
      <c r="U456" s="249"/>
      <c r="V456" s="249"/>
      <c r="W456" s="249"/>
      <c r="X456" s="249"/>
      <c r="Y456" s="249"/>
      <c r="Z456" s="249"/>
      <c r="AA456" s="249"/>
      <c r="AB456" s="249"/>
      <c r="AC456" s="249"/>
      <c r="AD456" s="249"/>
    </row>
    <row r="457" spans="1:30" ht="12.9">
      <c r="A457" s="249"/>
      <c r="B457" s="249"/>
      <c r="C457" s="249"/>
      <c r="D457" s="249"/>
      <c r="E457" s="249"/>
      <c r="F457" s="249"/>
      <c r="G457" s="249"/>
      <c r="H457" s="249"/>
      <c r="I457" s="249"/>
      <c r="J457" s="249"/>
      <c r="K457" s="249"/>
      <c r="L457" s="249"/>
      <c r="M457" s="249"/>
      <c r="N457" s="249"/>
      <c r="O457" s="249"/>
      <c r="P457" s="249"/>
      <c r="Q457" s="249"/>
      <c r="R457" s="249"/>
      <c r="S457" s="249"/>
      <c r="T457" s="249"/>
      <c r="U457" s="249"/>
      <c r="V457" s="249"/>
      <c r="W457" s="249"/>
      <c r="X457" s="249"/>
      <c r="Y457" s="249"/>
      <c r="Z457" s="249"/>
      <c r="AA457" s="249"/>
      <c r="AB457" s="249"/>
      <c r="AC457" s="249"/>
      <c r="AD457" s="249"/>
    </row>
    <row r="458" spans="1:30" ht="12.9">
      <c r="A458" s="249"/>
      <c r="B458" s="249"/>
      <c r="C458" s="249"/>
      <c r="D458" s="249"/>
      <c r="E458" s="249"/>
      <c r="F458" s="249"/>
      <c r="G458" s="249"/>
      <c r="H458" s="249"/>
      <c r="I458" s="249"/>
      <c r="J458" s="249"/>
      <c r="K458" s="249"/>
      <c r="L458" s="249"/>
      <c r="M458" s="249"/>
      <c r="N458" s="249"/>
      <c r="O458" s="249"/>
      <c r="P458" s="249"/>
      <c r="Q458" s="249"/>
      <c r="R458" s="249"/>
      <c r="S458" s="249"/>
      <c r="T458" s="249"/>
      <c r="U458" s="249"/>
      <c r="V458" s="249"/>
      <c r="W458" s="249"/>
      <c r="X458" s="249"/>
      <c r="Y458" s="249"/>
      <c r="Z458" s="249"/>
      <c r="AA458" s="249"/>
      <c r="AB458" s="249"/>
      <c r="AC458" s="249"/>
      <c r="AD458" s="249"/>
    </row>
    <row r="459" spans="1:30" ht="12.9">
      <c r="A459" s="249"/>
      <c r="B459" s="249"/>
      <c r="C459" s="249"/>
      <c r="D459" s="249"/>
      <c r="E459" s="249"/>
      <c r="F459" s="249"/>
      <c r="G459" s="249"/>
      <c r="H459" s="249"/>
      <c r="I459" s="249"/>
      <c r="J459" s="249"/>
      <c r="K459" s="249"/>
      <c r="L459" s="249"/>
      <c r="M459" s="249"/>
      <c r="N459" s="249"/>
      <c r="O459" s="249"/>
      <c r="P459" s="249"/>
      <c r="Q459" s="249"/>
      <c r="R459" s="249"/>
      <c r="S459" s="249"/>
      <c r="T459" s="249"/>
      <c r="U459" s="249"/>
      <c r="V459" s="249"/>
      <c r="W459" s="249"/>
      <c r="X459" s="249"/>
      <c r="Y459" s="249"/>
      <c r="Z459" s="249"/>
      <c r="AA459" s="249"/>
      <c r="AB459" s="249"/>
      <c r="AC459" s="249"/>
      <c r="AD459" s="249"/>
    </row>
    <row r="460" spans="1:30" ht="12.9">
      <c r="A460" s="249"/>
      <c r="B460" s="249"/>
      <c r="C460" s="249"/>
      <c r="D460" s="249"/>
      <c r="E460" s="249"/>
      <c r="F460" s="249"/>
      <c r="G460" s="249"/>
      <c r="H460" s="249"/>
      <c r="I460" s="249"/>
      <c r="J460" s="249"/>
      <c r="K460" s="249"/>
      <c r="L460" s="249"/>
      <c r="M460" s="249"/>
      <c r="N460" s="249"/>
      <c r="O460" s="249"/>
      <c r="P460" s="249"/>
      <c r="Q460" s="249"/>
      <c r="R460" s="249"/>
      <c r="S460" s="249"/>
      <c r="T460" s="249"/>
      <c r="U460" s="249"/>
      <c r="V460" s="249"/>
      <c r="W460" s="249"/>
      <c r="X460" s="249"/>
      <c r="Y460" s="249"/>
      <c r="Z460" s="249"/>
      <c r="AA460" s="249"/>
      <c r="AB460" s="249"/>
      <c r="AC460" s="249"/>
      <c r="AD460" s="249"/>
    </row>
    <row r="461" spans="1:30" ht="12.9">
      <c r="A461" s="249"/>
      <c r="B461" s="249"/>
      <c r="C461" s="249"/>
      <c r="D461" s="249"/>
      <c r="E461" s="249"/>
      <c r="F461" s="249"/>
      <c r="G461" s="249"/>
      <c r="H461" s="249"/>
      <c r="I461" s="249"/>
      <c r="J461" s="249"/>
      <c r="K461" s="249"/>
      <c r="L461" s="249"/>
      <c r="M461" s="249"/>
      <c r="N461" s="249"/>
      <c r="O461" s="249"/>
      <c r="P461" s="249"/>
      <c r="Q461" s="249"/>
      <c r="R461" s="249"/>
      <c r="S461" s="249"/>
      <c r="T461" s="249"/>
      <c r="U461" s="249"/>
      <c r="V461" s="249"/>
      <c r="W461" s="249"/>
      <c r="X461" s="249"/>
      <c r="Y461" s="249"/>
      <c r="Z461" s="249"/>
      <c r="AA461" s="249"/>
      <c r="AB461" s="249"/>
      <c r="AC461" s="249"/>
      <c r="AD461" s="249"/>
    </row>
    <row r="462" spans="1:30" ht="12.9">
      <c r="A462" s="249"/>
      <c r="B462" s="249"/>
      <c r="C462" s="249"/>
      <c r="D462" s="249"/>
      <c r="E462" s="249"/>
      <c r="F462" s="249"/>
      <c r="G462" s="249"/>
      <c r="H462" s="249"/>
      <c r="I462" s="249"/>
      <c r="J462" s="249"/>
      <c r="K462" s="249"/>
      <c r="L462" s="249"/>
      <c r="M462" s="249"/>
      <c r="N462" s="249"/>
      <c r="O462" s="249"/>
      <c r="P462" s="249"/>
      <c r="Q462" s="249"/>
      <c r="R462" s="249"/>
      <c r="S462" s="249"/>
      <c r="T462" s="249"/>
      <c r="U462" s="249"/>
      <c r="V462" s="249"/>
      <c r="W462" s="249"/>
      <c r="X462" s="249"/>
      <c r="Y462" s="249"/>
      <c r="Z462" s="249"/>
      <c r="AA462" s="249"/>
      <c r="AB462" s="249"/>
      <c r="AC462" s="249"/>
      <c r="AD462" s="249"/>
    </row>
    <row r="463" spans="1:30" ht="12.9">
      <c r="A463" s="249"/>
      <c r="B463" s="249"/>
      <c r="C463" s="249"/>
      <c r="D463" s="249"/>
      <c r="E463" s="249"/>
      <c r="F463" s="249"/>
      <c r="G463" s="249"/>
      <c r="H463" s="249"/>
      <c r="I463" s="249"/>
      <c r="J463" s="249"/>
      <c r="K463" s="249"/>
      <c r="L463" s="249"/>
      <c r="M463" s="249"/>
      <c r="N463" s="249"/>
      <c r="O463" s="249"/>
      <c r="P463" s="249"/>
      <c r="Q463" s="249"/>
      <c r="R463" s="249"/>
      <c r="S463" s="249"/>
      <c r="T463" s="249"/>
      <c r="U463" s="249"/>
      <c r="V463" s="249"/>
      <c r="W463" s="249"/>
      <c r="X463" s="249"/>
      <c r="Y463" s="249"/>
      <c r="Z463" s="249"/>
      <c r="AA463" s="249"/>
      <c r="AB463" s="249"/>
      <c r="AC463" s="249"/>
      <c r="AD463" s="249"/>
    </row>
    <row r="464" spans="1:30" ht="12.9">
      <c r="A464" s="249"/>
      <c r="B464" s="249"/>
      <c r="C464" s="249"/>
      <c r="D464" s="249"/>
      <c r="E464" s="249"/>
      <c r="F464" s="249"/>
      <c r="G464" s="249"/>
      <c r="H464" s="249"/>
      <c r="I464" s="249"/>
      <c r="J464" s="249"/>
      <c r="K464" s="249"/>
      <c r="L464" s="249"/>
      <c r="M464" s="249"/>
      <c r="N464" s="249"/>
      <c r="O464" s="249"/>
      <c r="P464" s="249"/>
      <c r="Q464" s="249"/>
      <c r="R464" s="249"/>
      <c r="S464" s="249"/>
      <c r="T464" s="249"/>
      <c r="U464" s="249"/>
      <c r="V464" s="249"/>
      <c r="W464" s="249"/>
      <c r="X464" s="249"/>
      <c r="Y464" s="249"/>
      <c r="Z464" s="249"/>
      <c r="AA464" s="249"/>
      <c r="AB464" s="249"/>
      <c r="AC464" s="249"/>
      <c r="AD464" s="249"/>
    </row>
    <row r="465" spans="1:30" ht="12.9">
      <c r="A465" s="249"/>
      <c r="B465" s="249"/>
      <c r="C465" s="249"/>
      <c r="D465" s="249"/>
      <c r="E465" s="249"/>
      <c r="F465" s="249"/>
      <c r="G465" s="249"/>
      <c r="H465" s="249"/>
      <c r="I465" s="249"/>
      <c r="J465" s="249"/>
      <c r="K465" s="249"/>
      <c r="L465" s="249"/>
      <c r="M465" s="249"/>
      <c r="N465" s="249"/>
      <c r="O465" s="249"/>
      <c r="P465" s="249"/>
      <c r="Q465" s="249"/>
      <c r="R465" s="249"/>
      <c r="S465" s="249"/>
      <c r="T465" s="249"/>
      <c r="U465" s="249"/>
      <c r="V465" s="249"/>
      <c r="W465" s="249"/>
      <c r="X465" s="249"/>
      <c r="Y465" s="249"/>
      <c r="Z465" s="249"/>
      <c r="AA465" s="249"/>
      <c r="AB465" s="249"/>
      <c r="AC465" s="249"/>
      <c r="AD465" s="249"/>
    </row>
    <row r="466" spans="1:30" ht="12.9">
      <c r="A466" s="249"/>
      <c r="B466" s="249"/>
      <c r="C466" s="249"/>
      <c r="D466" s="249"/>
      <c r="E466" s="249"/>
      <c r="F466" s="249"/>
      <c r="G466" s="249"/>
      <c r="H466" s="249"/>
      <c r="I466" s="249"/>
      <c r="J466" s="249"/>
      <c r="K466" s="249"/>
      <c r="L466" s="249"/>
      <c r="M466" s="249"/>
      <c r="N466" s="249"/>
      <c r="O466" s="249"/>
      <c r="P466" s="249"/>
      <c r="Q466" s="249"/>
      <c r="R466" s="249"/>
      <c r="S466" s="249"/>
      <c r="T466" s="249"/>
      <c r="U466" s="249"/>
      <c r="V466" s="249"/>
      <c r="W466" s="249"/>
      <c r="X466" s="249"/>
      <c r="Y466" s="249"/>
      <c r="Z466" s="249"/>
      <c r="AA466" s="249"/>
      <c r="AB466" s="249"/>
      <c r="AC466" s="249"/>
      <c r="AD466" s="249"/>
    </row>
    <row r="467" spans="1:30" ht="12.9">
      <c r="A467" s="249"/>
      <c r="B467" s="249"/>
      <c r="C467" s="249"/>
      <c r="D467" s="249"/>
      <c r="E467" s="249"/>
      <c r="F467" s="249"/>
      <c r="G467" s="249"/>
      <c r="H467" s="249"/>
      <c r="I467" s="249"/>
      <c r="J467" s="249"/>
      <c r="K467" s="249"/>
      <c r="L467" s="249"/>
      <c r="M467" s="249"/>
      <c r="N467" s="249"/>
      <c r="O467" s="249"/>
      <c r="P467" s="249"/>
      <c r="Q467" s="249"/>
      <c r="R467" s="249"/>
      <c r="S467" s="249"/>
      <c r="T467" s="249"/>
      <c r="U467" s="249"/>
      <c r="V467" s="249"/>
      <c r="W467" s="249"/>
      <c r="X467" s="249"/>
      <c r="Y467" s="249"/>
      <c r="Z467" s="249"/>
      <c r="AA467" s="249"/>
      <c r="AB467" s="249"/>
      <c r="AC467" s="249"/>
      <c r="AD467" s="249"/>
    </row>
    <row r="468" spans="1:30" ht="12.9">
      <c r="A468" s="249"/>
      <c r="B468" s="249"/>
      <c r="C468" s="249"/>
      <c r="D468" s="249"/>
      <c r="E468" s="249"/>
      <c r="F468" s="249"/>
      <c r="G468" s="249"/>
      <c r="H468" s="249"/>
      <c r="I468" s="249"/>
      <c r="J468" s="249"/>
      <c r="K468" s="249"/>
      <c r="L468" s="249"/>
      <c r="M468" s="249"/>
      <c r="N468" s="249"/>
      <c r="O468" s="249"/>
      <c r="P468" s="249"/>
      <c r="Q468" s="249"/>
      <c r="R468" s="249"/>
      <c r="S468" s="249"/>
      <c r="T468" s="249"/>
      <c r="U468" s="249"/>
      <c r="V468" s="249"/>
      <c r="W468" s="249"/>
      <c r="X468" s="249"/>
      <c r="Y468" s="249"/>
      <c r="Z468" s="249"/>
      <c r="AA468" s="249"/>
      <c r="AB468" s="249"/>
      <c r="AC468" s="249"/>
      <c r="AD468" s="249"/>
    </row>
    <row r="469" spans="1:30" ht="12.9">
      <c r="A469" s="249"/>
      <c r="B469" s="249"/>
      <c r="C469" s="249"/>
      <c r="D469" s="249"/>
      <c r="E469" s="249"/>
      <c r="F469" s="249"/>
      <c r="G469" s="249"/>
      <c r="H469" s="249"/>
      <c r="I469" s="249"/>
      <c r="J469" s="249"/>
      <c r="K469" s="249"/>
      <c r="L469" s="249"/>
      <c r="M469" s="249"/>
      <c r="N469" s="249"/>
      <c r="O469" s="249"/>
      <c r="P469" s="249"/>
      <c r="Q469" s="249"/>
      <c r="R469" s="249"/>
      <c r="S469" s="249"/>
      <c r="T469" s="249"/>
      <c r="U469" s="249"/>
      <c r="V469" s="249"/>
      <c r="W469" s="249"/>
      <c r="X469" s="249"/>
      <c r="Y469" s="249"/>
      <c r="Z469" s="249"/>
      <c r="AA469" s="249"/>
      <c r="AB469" s="249"/>
      <c r="AC469" s="249"/>
      <c r="AD469" s="249"/>
    </row>
    <row r="470" spans="1:30" ht="12.9">
      <c r="A470" s="249"/>
      <c r="B470" s="249"/>
      <c r="C470" s="249"/>
      <c r="D470" s="249"/>
      <c r="E470" s="249"/>
      <c r="F470" s="249"/>
      <c r="G470" s="249"/>
      <c r="H470" s="249"/>
      <c r="I470" s="249"/>
      <c r="J470" s="249"/>
      <c r="K470" s="249"/>
      <c r="L470" s="249"/>
      <c r="M470" s="249"/>
      <c r="N470" s="249"/>
      <c r="O470" s="249"/>
      <c r="P470" s="249"/>
      <c r="Q470" s="249"/>
      <c r="R470" s="249"/>
      <c r="S470" s="249"/>
      <c r="T470" s="249"/>
      <c r="U470" s="249"/>
      <c r="V470" s="249"/>
      <c r="W470" s="249"/>
      <c r="X470" s="249"/>
      <c r="Y470" s="249"/>
      <c r="Z470" s="249"/>
      <c r="AA470" s="249"/>
      <c r="AB470" s="249"/>
      <c r="AC470" s="249"/>
      <c r="AD470" s="249"/>
    </row>
    <row r="471" spans="1:30" ht="12.9">
      <c r="A471" s="249"/>
      <c r="B471" s="249"/>
      <c r="C471" s="249"/>
      <c r="D471" s="249"/>
      <c r="E471" s="249"/>
      <c r="F471" s="249"/>
      <c r="G471" s="249"/>
      <c r="H471" s="249"/>
      <c r="I471" s="249"/>
      <c r="J471" s="249"/>
      <c r="K471" s="249"/>
      <c r="L471" s="249"/>
      <c r="M471" s="249"/>
      <c r="N471" s="249"/>
      <c r="O471" s="249"/>
      <c r="P471" s="249"/>
      <c r="Q471" s="249"/>
      <c r="R471" s="249"/>
      <c r="S471" s="249"/>
      <c r="T471" s="249"/>
      <c r="U471" s="249"/>
      <c r="V471" s="249"/>
      <c r="W471" s="249"/>
      <c r="X471" s="249"/>
      <c r="Y471" s="249"/>
      <c r="Z471" s="249"/>
      <c r="AA471" s="249"/>
      <c r="AB471" s="249"/>
      <c r="AC471" s="249"/>
      <c r="AD471" s="249"/>
    </row>
    <row r="472" spans="1:30" ht="12.9">
      <c r="A472" s="249"/>
      <c r="B472" s="249"/>
      <c r="C472" s="249"/>
      <c r="D472" s="249"/>
      <c r="E472" s="249"/>
      <c r="F472" s="249"/>
      <c r="G472" s="249"/>
      <c r="H472" s="249"/>
      <c r="I472" s="249"/>
      <c r="J472" s="249"/>
      <c r="K472" s="249"/>
      <c r="L472" s="249"/>
      <c r="M472" s="249"/>
      <c r="N472" s="249"/>
      <c r="O472" s="249"/>
      <c r="P472" s="249"/>
      <c r="Q472" s="249"/>
      <c r="R472" s="249"/>
      <c r="S472" s="249"/>
      <c r="T472" s="249"/>
      <c r="U472" s="249"/>
      <c r="V472" s="249"/>
      <c r="W472" s="249"/>
      <c r="X472" s="249"/>
      <c r="Y472" s="249"/>
      <c r="Z472" s="249"/>
      <c r="AA472" s="249"/>
      <c r="AB472" s="249"/>
      <c r="AC472" s="249"/>
      <c r="AD472" s="249"/>
    </row>
    <row r="473" spans="1:30" ht="12.9">
      <c r="A473" s="249"/>
      <c r="B473" s="249"/>
      <c r="C473" s="249"/>
      <c r="D473" s="249"/>
      <c r="E473" s="249"/>
      <c r="F473" s="249"/>
      <c r="G473" s="249"/>
      <c r="H473" s="249"/>
      <c r="I473" s="249"/>
      <c r="J473" s="249"/>
      <c r="K473" s="249"/>
      <c r="L473" s="249"/>
      <c r="M473" s="249"/>
      <c r="N473" s="249"/>
      <c r="O473" s="249"/>
      <c r="P473" s="249"/>
      <c r="Q473" s="249"/>
      <c r="R473" s="249"/>
      <c r="S473" s="249"/>
      <c r="T473" s="249"/>
      <c r="U473" s="249"/>
      <c r="V473" s="249"/>
      <c r="W473" s="249"/>
      <c r="X473" s="249"/>
      <c r="Y473" s="249"/>
      <c r="Z473" s="249"/>
      <c r="AA473" s="249"/>
      <c r="AB473" s="249"/>
      <c r="AC473" s="249"/>
      <c r="AD473" s="249"/>
    </row>
    <row r="474" spans="1:30" ht="12.9">
      <c r="A474" s="249"/>
      <c r="B474" s="249"/>
      <c r="C474" s="249"/>
      <c r="D474" s="249"/>
      <c r="E474" s="249"/>
      <c r="F474" s="249"/>
      <c r="G474" s="249"/>
      <c r="H474" s="249"/>
      <c r="I474" s="249"/>
      <c r="J474" s="249"/>
      <c r="K474" s="249"/>
      <c r="L474" s="249"/>
      <c r="M474" s="249"/>
      <c r="N474" s="249"/>
      <c r="O474" s="249"/>
      <c r="P474" s="249"/>
      <c r="Q474" s="249"/>
      <c r="R474" s="249"/>
      <c r="S474" s="249"/>
      <c r="T474" s="249"/>
      <c r="U474" s="249"/>
      <c r="V474" s="249"/>
      <c r="W474" s="249"/>
      <c r="X474" s="249"/>
      <c r="Y474" s="249"/>
      <c r="Z474" s="249"/>
      <c r="AA474" s="249"/>
      <c r="AB474" s="249"/>
      <c r="AC474" s="249"/>
      <c r="AD474" s="249"/>
    </row>
    <row r="475" spans="1:30" ht="12.9">
      <c r="A475" s="249"/>
      <c r="B475" s="249"/>
      <c r="C475" s="249"/>
      <c r="D475" s="249"/>
      <c r="E475" s="249"/>
      <c r="F475" s="249"/>
      <c r="G475" s="249"/>
      <c r="H475" s="249"/>
      <c r="I475" s="249"/>
      <c r="J475" s="249"/>
      <c r="K475" s="249"/>
      <c r="L475" s="249"/>
      <c r="M475" s="249"/>
      <c r="N475" s="249"/>
      <c r="O475" s="249"/>
      <c r="P475" s="249"/>
      <c r="Q475" s="249"/>
      <c r="R475" s="249"/>
      <c r="S475" s="249"/>
      <c r="T475" s="249"/>
      <c r="U475" s="249"/>
      <c r="V475" s="249"/>
      <c r="W475" s="249"/>
      <c r="X475" s="249"/>
      <c r="Y475" s="249"/>
      <c r="Z475" s="249"/>
      <c r="AA475" s="249"/>
      <c r="AB475" s="249"/>
      <c r="AC475" s="249"/>
      <c r="AD475" s="249"/>
    </row>
    <row r="476" spans="1:30" ht="12.9">
      <c r="A476" s="249"/>
      <c r="B476" s="249"/>
      <c r="C476" s="249"/>
      <c r="D476" s="249"/>
      <c r="E476" s="249"/>
      <c r="F476" s="249"/>
      <c r="G476" s="249"/>
      <c r="H476" s="249"/>
      <c r="I476" s="249"/>
      <c r="J476" s="249"/>
      <c r="K476" s="249"/>
      <c r="L476" s="249"/>
      <c r="M476" s="249"/>
      <c r="N476" s="249"/>
      <c r="O476" s="249"/>
      <c r="P476" s="249"/>
      <c r="Q476" s="249"/>
      <c r="R476" s="249"/>
      <c r="S476" s="249"/>
      <c r="T476" s="249"/>
      <c r="U476" s="249"/>
      <c r="V476" s="249"/>
      <c r="W476" s="249"/>
      <c r="X476" s="249"/>
      <c r="Y476" s="249"/>
      <c r="Z476" s="249"/>
      <c r="AA476" s="249"/>
      <c r="AB476" s="249"/>
      <c r="AC476" s="249"/>
      <c r="AD476" s="249"/>
    </row>
    <row r="477" spans="1:30" ht="12.9">
      <c r="A477" s="249"/>
      <c r="B477" s="249"/>
      <c r="C477" s="249"/>
      <c r="D477" s="249"/>
      <c r="E477" s="249"/>
      <c r="F477" s="249"/>
      <c r="G477" s="249"/>
      <c r="H477" s="249"/>
      <c r="I477" s="249"/>
      <c r="J477" s="249"/>
      <c r="K477" s="249"/>
      <c r="L477" s="249"/>
      <c r="M477" s="249"/>
      <c r="N477" s="249"/>
      <c r="O477" s="249"/>
      <c r="P477" s="249"/>
      <c r="Q477" s="249"/>
      <c r="R477" s="249"/>
      <c r="S477" s="249"/>
      <c r="T477" s="249"/>
      <c r="U477" s="249"/>
      <c r="V477" s="249"/>
      <c r="W477" s="249"/>
      <c r="X477" s="249"/>
      <c r="Y477" s="249"/>
      <c r="Z477" s="249"/>
      <c r="AA477" s="249"/>
      <c r="AB477" s="249"/>
      <c r="AC477" s="249"/>
      <c r="AD477" s="249"/>
    </row>
    <row r="478" spans="1:30" ht="12.9">
      <c r="A478" s="249"/>
      <c r="B478" s="249"/>
      <c r="C478" s="249"/>
      <c r="D478" s="249"/>
      <c r="E478" s="249"/>
      <c r="F478" s="249"/>
      <c r="G478" s="249"/>
      <c r="H478" s="249"/>
      <c r="I478" s="249"/>
      <c r="J478" s="249"/>
      <c r="K478" s="249"/>
      <c r="L478" s="249"/>
      <c r="M478" s="249"/>
      <c r="N478" s="249"/>
      <c r="O478" s="249"/>
      <c r="P478" s="249"/>
      <c r="Q478" s="249"/>
      <c r="R478" s="249"/>
      <c r="S478" s="249"/>
      <c r="T478" s="249"/>
      <c r="U478" s="249"/>
      <c r="V478" s="249"/>
      <c r="W478" s="249"/>
      <c r="X478" s="249"/>
      <c r="Y478" s="249"/>
      <c r="Z478" s="249"/>
      <c r="AA478" s="249"/>
      <c r="AB478" s="249"/>
      <c r="AC478" s="249"/>
      <c r="AD478" s="249"/>
    </row>
    <row r="479" spans="1:30" ht="12.9">
      <c r="A479" s="249"/>
      <c r="B479" s="249"/>
      <c r="C479" s="249"/>
      <c r="D479" s="249"/>
      <c r="E479" s="249"/>
      <c r="F479" s="249"/>
      <c r="G479" s="249"/>
      <c r="H479" s="249"/>
      <c r="I479" s="249"/>
      <c r="J479" s="249"/>
      <c r="K479" s="249"/>
      <c r="L479" s="249"/>
      <c r="M479" s="249"/>
      <c r="N479" s="249"/>
      <c r="O479" s="249"/>
      <c r="P479" s="249"/>
      <c r="Q479" s="249"/>
      <c r="R479" s="249"/>
      <c r="S479" s="249"/>
      <c r="T479" s="249"/>
      <c r="U479" s="249"/>
      <c r="V479" s="249"/>
      <c r="W479" s="249"/>
      <c r="X479" s="249"/>
      <c r="Y479" s="249"/>
      <c r="Z479" s="249"/>
      <c r="AA479" s="249"/>
      <c r="AB479" s="249"/>
      <c r="AC479" s="249"/>
      <c r="AD479" s="249"/>
    </row>
    <row r="480" spans="1:30" ht="12.9">
      <c r="A480" s="249"/>
      <c r="B480" s="249"/>
      <c r="C480" s="249"/>
      <c r="D480" s="249"/>
      <c r="E480" s="249"/>
      <c r="F480" s="249"/>
      <c r="G480" s="249"/>
      <c r="H480" s="249"/>
      <c r="I480" s="249"/>
      <c r="J480" s="249"/>
      <c r="K480" s="249"/>
      <c r="L480" s="249"/>
      <c r="M480" s="249"/>
      <c r="N480" s="249"/>
      <c r="O480" s="249"/>
      <c r="P480" s="249"/>
      <c r="Q480" s="249"/>
      <c r="R480" s="249"/>
      <c r="S480" s="249"/>
      <c r="T480" s="249"/>
      <c r="U480" s="249"/>
      <c r="V480" s="249"/>
      <c r="W480" s="249"/>
      <c r="X480" s="249"/>
      <c r="Y480" s="249"/>
      <c r="Z480" s="249"/>
      <c r="AA480" s="249"/>
      <c r="AB480" s="249"/>
      <c r="AC480" s="249"/>
      <c r="AD480" s="249"/>
    </row>
    <row r="481" spans="1:30" ht="12.9">
      <c r="A481" s="249"/>
      <c r="B481" s="249"/>
      <c r="C481" s="249"/>
      <c r="D481" s="249"/>
      <c r="E481" s="249"/>
      <c r="F481" s="249"/>
      <c r="G481" s="249"/>
      <c r="H481" s="249"/>
      <c r="I481" s="249"/>
      <c r="J481" s="249"/>
      <c r="K481" s="249"/>
      <c r="L481" s="249"/>
      <c r="M481" s="249"/>
      <c r="N481" s="249"/>
      <c r="O481" s="249"/>
      <c r="P481" s="249"/>
      <c r="Q481" s="249"/>
      <c r="R481" s="249"/>
      <c r="S481" s="249"/>
      <c r="T481" s="249"/>
      <c r="U481" s="249"/>
      <c r="V481" s="249"/>
      <c r="W481" s="249"/>
      <c r="X481" s="249"/>
      <c r="Y481" s="249"/>
      <c r="Z481" s="249"/>
      <c r="AA481" s="249"/>
      <c r="AB481" s="249"/>
      <c r="AC481" s="249"/>
      <c r="AD481" s="249"/>
    </row>
    <row r="482" spans="1:30" ht="12.9">
      <c r="A482" s="249"/>
      <c r="B482" s="249"/>
      <c r="C482" s="249"/>
      <c r="D482" s="249"/>
      <c r="E482" s="249"/>
      <c r="F482" s="249"/>
      <c r="G482" s="249"/>
      <c r="H482" s="249"/>
      <c r="I482" s="249"/>
      <c r="J482" s="249"/>
      <c r="K482" s="249"/>
      <c r="L482" s="249"/>
      <c r="M482" s="249"/>
      <c r="N482" s="249"/>
      <c r="O482" s="249"/>
      <c r="P482" s="249"/>
      <c r="Q482" s="249"/>
      <c r="R482" s="249"/>
      <c r="S482" s="249"/>
      <c r="T482" s="249"/>
      <c r="U482" s="249"/>
      <c r="V482" s="249"/>
      <c r="W482" s="249"/>
      <c r="X482" s="249"/>
      <c r="Y482" s="249"/>
      <c r="Z482" s="249"/>
      <c r="AA482" s="249"/>
      <c r="AB482" s="249"/>
      <c r="AC482" s="249"/>
      <c r="AD482" s="249"/>
    </row>
    <row r="483" spans="1:30" ht="12.9">
      <c r="A483" s="249"/>
      <c r="B483" s="249"/>
      <c r="C483" s="249"/>
      <c r="D483" s="249"/>
      <c r="E483" s="249"/>
      <c r="F483" s="249"/>
      <c r="G483" s="249"/>
      <c r="H483" s="249"/>
      <c r="I483" s="249"/>
      <c r="J483" s="249"/>
      <c r="K483" s="249"/>
      <c r="L483" s="249"/>
      <c r="M483" s="249"/>
      <c r="N483" s="249"/>
      <c r="O483" s="249"/>
      <c r="P483" s="249"/>
      <c r="Q483" s="249"/>
      <c r="R483" s="249"/>
      <c r="S483" s="249"/>
      <c r="T483" s="249"/>
      <c r="U483" s="249"/>
      <c r="V483" s="249"/>
      <c r="W483" s="249"/>
      <c r="X483" s="249"/>
      <c r="Y483" s="249"/>
      <c r="Z483" s="249"/>
      <c r="AA483" s="249"/>
      <c r="AB483" s="249"/>
      <c r="AC483" s="249"/>
      <c r="AD483" s="249"/>
    </row>
    <row r="484" spans="1:30" ht="12.9">
      <c r="A484" s="249"/>
      <c r="B484" s="249"/>
      <c r="C484" s="249"/>
      <c r="D484" s="249"/>
      <c r="E484" s="249"/>
      <c r="F484" s="249"/>
      <c r="G484" s="249"/>
      <c r="H484" s="249"/>
      <c r="I484" s="249"/>
      <c r="J484" s="249"/>
      <c r="K484" s="249"/>
      <c r="L484" s="249"/>
      <c r="M484" s="249"/>
      <c r="N484" s="249"/>
      <c r="O484" s="249"/>
      <c r="P484" s="249"/>
      <c r="Q484" s="249"/>
      <c r="R484" s="249"/>
      <c r="S484" s="249"/>
      <c r="T484" s="249"/>
      <c r="U484" s="249"/>
      <c r="V484" s="249"/>
      <c r="W484" s="249"/>
      <c r="X484" s="249"/>
      <c r="Y484" s="249"/>
      <c r="Z484" s="249"/>
      <c r="AA484" s="249"/>
      <c r="AB484" s="249"/>
      <c r="AC484" s="249"/>
      <c r="AD484" s="249"/>
    </row>
    <row r="485" spans="1:30" ht="12.9">
      <c r="A485" s="249"/>
      <c r="B485" s="249"/>
      <c r="C485" s="249"/>
      <c r="D485" s="249"/>
      <c r="E485" s="249"/>
      <c r="F485" s="249"/>
      <c r="G485" s="249"/>
      <c r="H485" s="249"/>
      <c r="I485" s="249"/>
      <c r="J485" s="249"/>
      <c r="K485" s="249"/>
      <c r="L485" s="249"/>
      <c r="M485" s="249"/>
      <c r="N485" s="249"/>
      <c r="O485" s="249"/>
      <c r="P485" s="249"/>
      <c r="Q485" s="249"/>
      <c r="R485" s="249"/>
      <c r="S485" s="249"/>
      <c r="T485" s="249"/>
      <c r="U485" s="249"/>
      <c r="V485" s="249"/>
      <c r="W485" s="249"/>
      <c r="X485" s="249"/>
      <c r="Y485" s="249"/>
      <c r="Z485" s="249"/>
      <c r="AA485" s="249"/>
      <c r="AB485" s="249"/>
      <c r="AC485" s="249"/>
      <c r="AD485" s="249"/>
    </row>
    <row r="486" spans="1:30" ht="12.9">
      <c r="A486" s="249"/>
      <c r="B486" s="249"/>
      <c r="C486" s="249"/>
      <c r="D486" s="249"/>
      <c r="E486" s="249"/>
      <c r="F486" s="249"/>
      <c r="G486" s="249"/>
      <c r="H486" s="249"/>
      <c r="I486" s="249"/>
      <c r="J486" s="249"/>
      <c r="K486" s="249"/>
      <c r="L486" s="249"/>
      <c r="M486" s="249"/>
      <c r="N486" s="249"/>
      <c r="O486" s="249"/>
      <c r="P486" s="249"/>
      <c r="Q486" s="249"/>
      <c r="R486" s="249"/>
      <c r="S486" s="249"/>
      <c r="T486" s="249"/>
      <c r="U486" s="249"/>
      <c r="V486" s="249"/>
      <c r="W486" s="249"/>
      <c r="X486" s="249"/>
      <c r="Y486" s="249"/>
      <c r="Z486" s="249"/>
      <c r="AA486" s="249"/>
      <c r="AB486" s="249"/>
      <c r="AC486" s="249"/>
      <c r="AD486" s="249"/>
    </row>
    <row r="487" spans="1:30" ht="12.9">
      <c r="A487" s="249"/>
      <c r="B487" s="249"/>
      <c r="C487" s="249"/>
      <c r="D487" s="249"/>
      <c r="E487" s="249"/>
      <c r="F487" s="249"/>
      <c r="G487" s="249"/>
      <c r="H487" s="249"/>
      <c r="I487" s="249"/>
      <c r="J487" s="249"/>
      <c r="K487" s="249"/>
      <c r="L487" s="249"/>
      <c r="M487" s="249"/>
      <c r="N487" s="249"/>
      <c r="O487" s="249"/>
      <c r="P487" s="249"/>
      <c r="Q487" s="249"/>
      <c r="R487" s="249"/>
      <c r="S487" s="249"/>
      <c r="T487" s="249"/>
      <c r="U487" s="249"/>
      <c r="V487" s="249"/>
      <c r="W487" s="249"/>
      <c r="X487" s="249"/>
      <c r="Y487" s="249"/>
      <c r="Z487" s="249"/>
      <c r="AA487" s="249"/>
      <c r="AB487" s="249"/>
      <c r="AC487" s="249"/>
      <c r="AD487" s="249"/>
    </row>
    <row r="488" spans="1:30" ht="12.9">
      <c r="A488" s="249"/>
      <c r="B488" s="249"/>
      <c r="C488" s="249"/>
      <c r="D488" s="249"/>
      <c r="E488" s="249"/>
      <c r="F488" s="249"/>
      <c r="G488" s="249"/>
      <c r="H488" s="249"/>
      <c r="I488" s="249"/>
      <c r="J488" s="249"/>
      <c r="K488" s="249"/>
      <c r="L488" s="249"/>
      <c r="M488" s="249"/>
      <c r="N488" s="249"/>
      <c r="O488" s="249"/>
      <c r="P488" s="249"/>
      <c r="Q488" s="249"/>
      <c r="R488" s="249"/>
      <c r="S488" s="249"/>
      <c r="T488" s="249"/>
      <c r="U488" s="249"/>
      <c r="V488" s="249"/>
      <c r="W488" s="249"/>
      <c r="X488" s="249"/>
      <c r="Y488" s="249"/>
      <c r="Z488" s="249"/>
      <c r="AA488" s="249"/>
      <c r="AB488" s="249"/>
      <c r="AC488" s="249"/>
      <c r="AD488" s="249"/>
    </row>
    <row r="489" spans="1:30" ht="12.9">
      <c r="A489" s="249"/>
      <c r="B489" s="249"/>
      <c r="C489" s="249"/>
      <c r="D489" s="249"/>
      <c r="E489" s="249"/>
      <c r="F489" s="249"/>
      <c r="G489" s="249"/>
      <c r="H489" s="249"/>
      <c r="I489" s="249"/>
      <c r="J489" s="249"/>
      <c r="K489" s="249"/>
      <c r="L489" s="249"/>
      <c r="M489" s="249"/>
      <c r="N489" s="249"/>
      <c r="O489" s="249"/>
      <c r="P489" s="249"/>
      <c r="Q489" s="249"/>
      <c r="R489" s="249"/>
      <c r="S489" s="249"/>
      <c r="T489" s="249"/>
      <c r="U489" s="249"/>
      <c r="V489" s="249"/>
      <c r="W489" s="249"/>
      <c r="X489" s="249"/>
      <c r="Y489" s="249"/>
      <c r="Z489" s="249"/>
      <c r="AA489" s="249"/>
      <c r="AB489" s="249"/>
      <c r="AC489" s="249"/>
      <c r="AD489" s="249"/>
    </row>
    <row r="490" spans="1:30" ht="12.9">
      <c r="A490" s="249"/>
      <c r="B490" s="249"/>
      <c r="C490" s="249"/>
      <c r="D490" s="249"/>
      <c r="E490" s="249"/>
      <c r="F490" s="249"/>
      <c r="G490" s="249"/>
      <c r="H490" s="249"/>
      <c r="I490" s="249"/>
      <c r="J490" s="249"/>
      <c r="K490" s="249"/>
      <c r="L490" s="249"/>
      <c r="M490" s="249"/>
      <c r="N490" s="249"/>
      <c r="O490" s="249"/>
      <c r="P490" s="249"/>
      <c r="Q490" s="249"/>
      <c r="R490" s="249"/>
      <c r="S490" s="249"/>
      <c r="T490" s="249"/>
      <c r="U490" s="249"/>
      <c r="V490" s="249"/>
      <c r="W490" s="249"/>
      <c r="X490" s="249"/>
      <c r="Y490" s="249"/>
      <c r="Z490" s="249"/>
      <c r="AA490" s="249"/>
      <c r="AB490" s="249"/>
      <c r="AC490" s="249"/>
      <c r="AD490" s="249"/>
    </row>
    <row r="491" spans="1:30" ht="12.9">
      <c r="A491" s="249"/>
      <c r="B491" s="249"/>
      <c r="C491" s="249"/>
      <c r="D491" s="249"/>
      <c r="E491" s="249"/>
      <c r="F491" s="249"/>
      <c r="G491" s="249"/>
      <c r="H491" s="249"/>
      <c r="I491" s="249"/>
      <c r="J491" s="249"/>
      <c r="K491" s="249"/>
      <c r="L491" s="249"/>
      <c r="M491" s="249"/>
      <c r="N491" s="249"/>
      <c r="O491" s="249"/>
      <c r="P491" s="249"/>
      <c r="Q491" s="249"/>
      <c r="R491" s="249"/>
      <c r="S491" s="249"/>
      <c r="T491" s="249"/>
      <c r="U491" s="249"/>
      <c r="V491" s="249"/>
      <c r="W491" s="249"/>
      <c r="X491" s="249"/>
      <c r="Y491" s="249"/>
      <c r="Z491" s="249"/>
      <c r="AA491" s="249"/>
      <c r="AB491" s="249"/>
      <c r="AC491" s="249"/>
      <c r="AD491" s="249"/>
    </row>
    <row r="492" spans="1:30" ht="12.9">
      <c r="A492" s="249"/>
      <c r="B492" s="249"/>
      <c r="C492" s="249"/>
      <c r="D492" s="249"/>
      <c r="E492" s="249"/>
      <c r="F492" s="249"/>
      <c r="G492" s="249"/>
      <c r="H492" s="249"/>
      <c r="I492" s="249"/>
      <c r="J492" s="249"/>
      <c r="K492" s="249"/>
      <c r="L492" s="249"/>
      <c r="M492" s="249"/>
      <c r="N492" s="249"/>
      <c r="O492" s="249"/>
      <c r="P492" s="249"/>
      <c r="Q492" s="249"/>
      <c r="R492" s="249"/>
      <c r="S492" s="249"/>
      <c r="T492" s="249"/>
      <c r="U492" s="249"/>
      <c r="V492" s="249"/>
      <c r="W492" s="249"/>
      <c r="X492" s="249"/>
      <c r="Y492" s="249"/>
      <c r="Z492" s="249"/>
      <c r="AA492" s="249"/>
      <c r="AB492" s="249"/>
      <c r="AC492" s="249"/>
      <c r="AD492" s="249"/>
    </row>
    <row r="493" spans="1:30" ht="12.9">
      <c r="A493" s="249"/>
      <c r="B493" s="249"/>
      <c r="C493" s="249"/>
      <c r="D493" s="249"/>
      <c r="E493" s="249"/>
      <c r="F493" s="249"/>
      <c r="G493" s="249"/>
      <c r="H493" s="249"/>
      <c r="I493" s="249"/>
      <c r="J493" s="249"/>
      <c r="K493" s="249"/>
      <c r="L493" s="249"/>
      <c r="M493" s="249"/>
      <c r="N493" s="249"/>
      <c r="O493" s="249"/>
      <c r="P493" s="249"/>
      <c r="Q493" s="249"/>
      <c r="R493" s="249"/>
      <c r="S493" s="249"/>
      <c r="T493" s="249"/>
      <c r="U493" s="249"/>
      <c r="V493" s="249"/>
      <c r="W493" s="249"/>
      <c r="X493" s="249"/>
      <c r="Y493" s="249"/>
      <c r="Z493" s="249"/>
      <c r="AA493" s="249"/>
      <c r="AB493" s="249"/>
      <c r="AC493" s="249"/>
      <c r="AD493" s="249"/>
    </row>
    <row r="494" spans="1:30" ht="12.9">
      <c r="A494" s="249"/>
      <c r="B494" s="249"/>
      <c r="C494" s="249"/>
      <c r="D494" s="249"/>
      <c r="E494" s="249"/>
      <c r="F494" s="249"/>
      <c r="G494" s="249"/>
      <c r="H494" s="249"/>
      <c r="I494" s="249"/>
      <c r="J494" s="249"/>
      <c r="K494" s="249"/>
      <c r="L494" s="249"/>
      <c r="M494" s="249"/>
      <c r="N494" s="249"/>
      <c r="O494" s="249"/>
      <c r="P494" s="249"/>
      <c r="Q494" s="249"/>
      <c r="R494" s="249"/>
      <c r="S494" s="249"/>
      <c r="T494" s="249"/>
      <c r="U494" s="249"/>
      <c r="V494" s="249"/>
      <c r="W494" s="249"/>
      <c r="X494" s="249"/>
      <c r="Y494" s="249"/>
      <c r="Z494" s="249"/>
      <c r="AA494" s="249"/>
      <c r="AB494" s="249"/>
      <c r="AC494" s="249"/>
      <c r="AD494" s="249"/>
    </row>
    <row r="495" spans="1:30" ht="12.9">
      <c r="A495" s="249"/>
      <c r="B495" s="249"/>
      <c r="C495" s="249"/>
      <c r="D495" s="249"/>
      <c r="E495" s="249"/>
      <c r="F495" s="249"/>
      <c r="G495" s="249"/>
      <c r="H495" s="249"/>
      <c r="I495" s="249"/>
      <c r="J495" s="249"/>
      <c r="K495" s="249"/>
      <c r="L495" s="249"/>
      <c r="M495" s="249"/>
      <c r="N495" s="249"/>
      <c r="O495" s="249"/>
      <c r="P495" s="249"/>
      <c r="Q495" s="249"/>
      <c r="R495" s="249"/>
      <c r="S495" s="249"/>
      <c r="T495" s="249"/>
      <c r="U495" s="249"/>
      <c r="V495" s="249"/>
      <c r="W495" s="249"/>
      <c r="X495" s="249"/>
      <c r="Y495" s="249"/>
      <c r="Z495" s="249"/>
      <c r="AA495" s="249"/>
      <c r="AB495" s="249"/>
      <c r="AC495" s="249"/>
      <c r="AD495" s="249"/>
    </row>
    <row r="496" spans="1:30" ht="12.9">
      <c r="A496" s="249"/>
      <c r="B496" s="249"/>
      <c r="C496" s="249"/>
      <c r="D496" s="249"/>
      <c r="E496" s="249"/>
      <c r="F496" s="249"/>
      <c r="G496" s="249"/>
      <c r="H496" s="249"/>
      <c r="I496" s="249"/>
      <c r="J496" s="249"/>
      <c r="K496" s="249"/>
      <c r="L496" s="249"/>
      <c r="M496" s="249"/>
      <c r="N496" s="249"/>
      <c r="O496" s="249"/>
      <c r="P496" s="249"/>
      <c r="Q496" s="249"/>
      <c r="R496" s="249"/>
      <c r="S496" s="249"/>
      <c r="T496" s="249"/>
      <c r="U496" s="249"/>
      <c r="V496" s="249"/>
      <c r="W496" s="249"/>
      <c r="X496" s="249"/>
      <c r="Y496" s="249"/>
      <c r="Z496" s="249"/>
      <c r="AA496" s="249"/>
      <c r="AB496" s="249"/>
      <c r="AC496" s="249"/>
      <c r="AD496" s="249"/>
    </row>
    <row r="497" spans="1:30" ht="12.9">
      <c r="A497" s="249"/>
      <c r="B497" s="249"/>
      <c r="C497" s="249"/>
      <c r="D497" s="249"/>
      <c r="E497" s="249"/>
      <c r="F497" s="249"/>
      <c r="G497" s="249"/>
      <c r="H497" s="249"/>
      <c r="I497" s="249"/>
      <c r="J497" s="249"/>
      <c r="K497" s="249"/>
      <c r="L497" s="249"/>
      <c r="M497" s="249"/>
      <c r="N497" s="249"/>
      <c r="O497" s="249"/>
      <c r="P497" s="249"/>
      <c r="Q497" s="249"/>
      <c r="R497" s="249"/>
      <c r="S497" s="249"/>
      <c r="T497" s="249"/>
      <c r="U497" s="249"/>
      <c r="V497" s="249"/>
      <c r="W497" s="249"/>
      <c r="X497" s="249"/>
      <c r="Y497" s="249"/>
      <c r="Z497" s="249"/>
      <c r="AA497" s="249"/>
      <c r="AB497" s="249"/>
      <c r="AC497" s="249"/>
      <c r="AD497" s="249"/>
    </row>
    <row r="498" spans="1:30" ht="12.9">
      <c r="A498" s="249"/>
      <c r="B498" s="249"/>
      <c r="C498" s="249"/>
      <c r="D498" s="249"/>
      <c r="E498" s="249"/>
      <c r="F498" s="249"/>
      <c r="G498" s="249"/>
      <c r="H498" s="249"/>
      <c r="I498" s="249"/>
      <c r="J498" s="249"/>
      <c r="K498" s="249"/>
      <c r="L498" s="249"/>
      <c r="M498" s="249"/>
      <c r="N498" s="249"/>
      <c r="O498" s="249"/>
      <c r="P498" s="249"/>
      <c r="Q498" s="249"/>
      <c r="R498" s="249"/>
      <c r="S498" s="249"/>
      <c r="T498" s="249"/>
      <c r="U498" s="249"/>
      <c r="V498" s="249"/>
      <c r="W498" s="249"/>
      <c r="X498" s="249"/>
      <c r="Y498" s="249"/>
      <c r="Z498" s="249"/>
      <c r="AA498" s="249"/>
      <c r="AB498" s="249"/>
      <c r="AC498" s="249"/>
      <c r="AD498" s="249"/>
    </row>
    <row r="499" spans="1:30" ht="12.9">
      <c r="A499" s="249"/>
      <c r="B499" s="249"/>
      <c r="C499" s="249"/>
      <c r="D499" s="249"/>
      <c r="E499" s="249"/>
      <c r="F499" s="249"/>
      <c r="G499" s="249"/>
      <c r="H499" s="249"/>
      <c r="I499" s="249"/>
      <c r="J499" s="249"/>
      <c r="K499" s="249"/>
      <c r="L499" s="249"/>
      <c r="M499" s="249"/>
      <c r="N499" s="249"/>
      <c r="O499" s="249"/>
      <c r="P499" s="249"/>
      <c r="Q499" s="249"/>
      <c r="R499" s="249"/>
      <c r="S499" s="249"/>
      <c r="T499" s="249"/>
      <c r="U499" s="249"/>
      <c r="V499" s="249"/>
      <c r="W499" s="249"/>
      <c r="X499" s="249"/>
      <c r="Y499" s="249"/>
      <c r="Z499" s="249"/>
      <c r="AA499" s="249"/>
      <c r="AB499" s="249"/>
      <c r="AC499" s="249"/>
      <c r="AD499" s="249"/>
    </row>
    <row r="500" spans="1:30" ht="12.9">
      <c r="A500" s="249"/>
      <c r="B500" s="249"/>
      <c r="C500" s="249"/>
      <c r="D500" s="249"/>
      <c r="E500" s="249"/>
      <c r="F500" s="249"/>
      <c r="G500" s="249"/>
      <c r="H500" s="249"/>
      <c r="I500" s="249"/>
      <c r="J500" s="249"/>
      <c r="K500" s="249"/>
      <c r="L500" s="249"/>
      <c r="M500" s="249"/>
      <c r="N500" s="249"/>
      <c r="O500" s="249"/>
      <c r="P500" s="249"/>
      <c r="Q500" s="249"/>
      <c r="R500" s="249"/>
      <c r="S500" s="249"/>
      <c r="T500" s="249"/>
      <c r="U500" s="249"/>
      <c r="V500" s="249"/>
      <c r="W500" s="249"/>
      <c r="X500" s="249"/>
      <c r="Y500" s="249"/>
      <c r="Z500" s="249"/>
      <c r="AA500" s="249"/>
      <c r="AB500" s="249"/>
      <c r="AC500" s="249"/>
      <c r="AD500" s="249"/>
    </row>
    <row r="501" spans="1:30" ht="12.9">
      <c r="A501" s="249"/>
      <c r="B501" s="249"/>
      <c r="C501" s="249"/>
      <c r="D501" s="249"/>
      <c r="E501" s="249"/>
      <c r="F501" s="249"/>
      <c r="G501" s="249"/>
      <c r="H501" s="249"/>
      <c r="I501" s="249"/>
      <c r="J501" s="249"/>
      <c r="K501" s="249"/>
      <c r="L501" s="249"/>
      <c r="M501" s="249"/>
      <c r="N501" s="249"/>
      <c r="O501" s="249"/>
      <c r="P501" s="249"/>
      <c r="Q501" s="249"/>
      <c r="R501" s="249"/>
      <c r="S501" s="249"/>
      <c r="T501" s="249"/>
      <c r="U501" s="249"/>
      <c r="V501" s="249"/>
      <c r="W501" s="249"/>
      <c r="X501" s="249"/>
      <c r="Y501" s="249"/>
      <c r="Z501" s="249"/>
      <c r="AA501" s="249"/>
      <c r="AB501" s="249"/>
      <c r="AC501" s="249"/>
      <c r="AD501" s="249"/>
    </row>
    <row r="502" spans="1:30" ht="12.9">
      <c r="A502" s="249"/>
      <c r="B502" s="249"/>
      <c r="C502" s="249"/>
      <c r="D502" s="249"/>
      <c r="E502" s="249"/>
      <c r="F502" s="249"/>
      <c r="G502" s="249"/>
      <c r="H502" s="249"/>
      <c r="I502" s="249"/>
      <c r="J502" s="249"/>
      <c r="K502" s="249"/>
      <c r="L502" s="249"/>
      <c r="M502" s="249"/>
      <c r="N502" s="249"/>
      <c r="O502" s="249"/>
      <c r="P502" s="249"/>
      <c r="Q502" s="249"/>
      <c r="R502" s="249"/>
      <c r="S502" s="249"/>
      <c r="T502" s="249"/>
      <c r="U502" s="249"/>
      <c r="V502" s="249"/>
      <c r="W502" s="249"/>
      <c r="X502" s="249"/>
      <c r="Y502" s="249"/>
      <c r="Z502" s="249"/>
      <c r="AA502" s="249"/>
      <c r="AB502" s="249"/>
      <c r="AC502" s="249"/>
      <c r="AD502" s="249"/>
    </row>
    <row r="503" spans="1:30" ht="12.9">
      <c r="A503" s="249"/>
      <c r="B503" s="249"/>
      <c r="C503" s="249"/>
      <c r="D503" s="249"/>
      <c r="E503" s="249"/>
      <c r="F503" s="249"/>
      <c r="G503" s="249"/>
      <c r="H503" s="249"/>
      <c r="I503" s="249"/>
      <c r="J503" s="249"/>
      <c r="K503" s="249"/>
      <c r="L503" s="249"/>
      <c r="M503" s="249"/>
      <c r="N503" s="249"/>
      <c r="O503" s="249"/>
      <c r="P503" s="249"/>
      <c r="Q503" s="249"/>
      <c r="R503" s="249"/>
      <c r="S503" s="249"/>
      <c r="T503" s="249"/>
      <c r="U503" s="249"/>
      <c r="V503" s="249"/>
      <c r="W503" s="249"/>
      <c r="X503" s="249"/>
      <c r="Y503" s="249"/>
      <c r="Z503" s="249"/>
      <c r="AA503" s="249"/>
      <c r="AB503" s="249"/>
      <c r="AC503" s="249"/>
      <c r="AD503" s="249"/>
    </row>
    <row r="504" spans="1:30" ht="12.9">
      <c r="A504" s="249"/>
      <c r="B504" s="249"/>
      <c r="C504" s="249"/>
      <c r="D504" s="249"/>
      <c r="E504" s="249"/>
      <c r="F504" s="249"/>
      <c r="G504" s="249"/>
      <c r="H504" s="249"/>
      <c r="I504" s="249"/>
      <c r="J504" s="249"/>
      <c r="K504" s="249"/>
      <c r="L504" s="249"/>
      <c r="M504" s="249"/>
      <c r="N504" s="249"/>
      <c r="O504" s="249"/>
      <c r="P504" s="249"/>
      <c r="Q504" s="249"/>
      <c r="R504" s="249"/>
      <c r="S504" s="249"/>
      <c r="T504" s="249"/>
      <c r="U504" s="249"/>
      <c r="V504" s="249"/>
      <c r="W504" s="249"/>
      <c r="X504" s="249"/>
      <c r="Y504" s="249"/>
      <c r="Z504" s="249"/>
      <c r="AA504" s="249"/>
      <c r="AB504" s="249"/>
      <c r="AC504" s="249"/>
      <c r="AD504" s="249"/>
    </row>
    <row r="505" spans="1:30" ht="12.9">
      <c r="A505" s="249"/>
      <c r="B505" s="249"/>
      <c r="C505" s="249"/>
      <c r="D505" s="249"/>
      <c r="E505" s="249"/>
      <c r="F505" s="249"/>
      <c r="G505" s="249"/>
      <c r="H505" s="249"/>
      <c r="I505" s="249"/>
      <c r="J505" s="249"/>
      <c r="K505" s="249"/>
      <c r="L505" s="249"/>
      <c r="M505" s="249"/>
      <c r="N505" s="249"/>
      <c r="O505" s="249"/>
      <c r="P505" s="249"/>
      <c r="Q505" s="249"/>
      <c r="R505" s="249"/>
      <c r="S505" s="249"/>
      <c r="T505" s="249"/>
      <c r="U505" s="249"/>
      <c r="V505" s="249"/>
      <c r="W505" s="249"/>
      <c r="X505" s="249"/>
      <c r="Y505" s="249"/>
      <c r="Z505" s="249"/>
      <c r="AA505" s="249"/>
      <c r="AB505" s="249"/>
      <c r="AC505" s="249"/>
      <c r="AD505" s="249"/>
    </row>
    <row r="506" spans="1:30" ht="12.9">
      <c r="A506" s="249"/>
      <c r="B506" s="249"/>
      <c r="C506" s="249"/>
      <c r="D506" s="249"/>
      <c r="E506" s="249"/>
      <c r="F506" s="249"/>
      <c r="G506" s="249"/>
      <c r="H506" s="249"/>
      <c r="I506" s="249"/>
      <c r="J506" s="249"/>
      <c r="K506" s="249"/>
      <c r="L506" s="249"/>
      <c r="M506" s="249"/>
      <c r="N506" s="249"/>
      <c r="O506" s="249"/>
      <c r="P506" s="249"/>
      <c r="Q506" s="249"/>
      <c r="R506" s="249"/>
      <c r="S506" s="249"/>
      <c r="T506" s="249"/>
      <c r="U506" s="249"/>
      <c r="V506" s="249"/>
      <c r="W506" s="249"/>
      <c r="X506" s="249"/>
      <c r="Y506" s="249"/>
      <c r="Z506" s="249"/>
      <c r="AA506" s="249"/>
      <c r="AB506" s="249"/>
      <c r="AC506" s="249"/>
      <c r="AD506" s="249"/>
    </row>
    <row r="507" spans="1:30" ht="12.9">
      <c r="A507" s="249"/>
      <c r="B507" s="249"/>
      <c r="C507" s="249"/>
      <c r="D507" s="249"/>
      <c r="E507" s="249"/>
      <c r="F507" s="249"/>
      <c r="G507" s="249"/>
      <c r="H507" s="249"/>
      <c r="I507" s="249"/>
      <c r="J507" s="249"/>
      <c r="K507" s="249"/>
      <c r="L507" s="249"/>
      <c r="M507" s="249"/>
      <c r="N507" s="249"/>
      <c r="O507" s="249"/>
      <c r="P507" s="249"/>
      <c r="Q507" s="249"/>
      <c r="R507" s="249"/>
      <c r="S507" s="249"/>
      <c r="T507" s="249"/>
      <c r="U507" s="249"/>
      <c r="V507" s="249"/>
      <c r="W507" s="249"/>
      <c r="X507" s="249"/>
      <c r="Y507" s="249"/>
      <c r="Z507" s="249"/>
      <c r="AA507" s="249"/>
      <c r="AB507" s="249"/>
      <c r="AC507" s="249"/>
      <c r="AD507" s="249"/>
    </row>
    <row r="508" spans="1:30" ht="12.9">
      <c r="A508" s="249"/>
      <c r="B508" s="249"/>
      <c r="C508" s="249"/>
      <c r="D508" s="249"/>
      <c r="E508" s="249"/>
      <c r="F508" s="249"/>
      <c r="G508" s="249"/>
      <c r="H508" s="249"/>
      <c r="I508" s="249"/>
      <c r="J508" s="249"/>
      <c r="K508" s="249"/>
      <c r="L508" s="249"/>
      <c r="M508" s="249"/>
      <c r="N508" s="249"/>
      <c r="O508" s="249"/>
      <c r="P508" s="249"/>
      <c r="Q508" s="249"/>
      <c r="R508" s="249"/>
      <c r="S508" s="249"/>
      <c r="T508" s="249"/>
      <c r="U508" s="249"/>
      <c r="V508" s="249"/>
      <c r="W508" s="249"/>
      <c r="X508" s="249"/>
      <c r="Y508" s="249"/>
      <c r="Z508" s="249"/>
      <c r="AA508" s="249"/>
      <c r="AB508" s="249"/>
      <c r="AC508" s="249"/>
      <c r="AD508" s="249"/>
    </row>
    <row r="509" spans="1:30" ht="12.9">
      <c r="A509" s="249"/>
      <c r="B509" s="249"/>
      <c r="C509" s="249"/>
      <c r="D509" s="249"/>
      <c r="E509" s="249"/>
      <c r="F509" s="249"/>
      <c r="G509" s="249"/>
      <c r="H509" s="249"/>
      <c r="I509" s="249"/>
      <c r="J509" s="249"/>
      <c r="K509" s="249"/>
      <c r="L509" s="249"/>
      <c r="M509" s="249"/>
      <c r="N509" s="249"/>
      <c r="O509" s="249"/>
      <c r="P509" s="249"/>
      <c r="Q509" s="249"/>
      <c r="R509" s="249"/>
      <c r="S509" s="249"/>
      <c r="T509" s="249"/>
      <c r="U509" s="249"/>
      <c r="V509" s="249"/>
      <c r="W509" s="249"/>
      <c r="X509" s="249"/>
      <c r="Y509" s="249"/>
      <c r="Z509" s="249"/>
      <c r="AA509" s="249"/>
      <c r="AB509" s="249"/>
      <c r="AC509" s="249"/>
      <c r="AD509" s="249"/>
    </row>
    <row r="510" spans="1:30" ht="12.9">
      <c r="A510" s="249"/>
      <c r="B510" s="249"/>
      <c r="C510" s="249"/>
      <c r="D510" s="249"/>
      <c r="E510" s="249"/>
      <c r="F510" s="249"/>
      <c r="G510" s="249"/>
      <c r="H510" s="249"/>
      <c r="I510" s="249"/>
      <c r="J510" s="249"/>
      <c r="K510" s="249"/>
      <c r="L510" s="249"/>
      <c r="M510" s="249"/>
      <c r="N510" s="249"/>
      <c r="O510" s="249"/>
      <c r="P510" s="249"/>
      <c r="Q510" s="249"/>
      <c r="R510" s="249"/>
      <c r="S510" s="249"/>
      <c r="T510" s="249"/>
      <c r="U510" s="249"/>
      <c r="V510" s="249"/>
      <c r="W510" s="249"/>
      <c r="X510" s="249"/>
      <c r="Y510" s="249"/>
      <c r="Z510" s="249"/>
      <c r="AA510" s="249"/>
      <c r="AB510" s="249"/>
      <c r="AC510" s="249"/>
      <c r="AD510" s="249"/>
    </row>
    <row r="511" spans="1:30" ht="12.9">
      <c r="A511" s="249"/>
      <c r="B511" s="249"/>
      <c r="C511" s="249"/>
      <c r="D511" s="249"/>
      <c r="E511" s="249"/>
      <c r="F511" s="249"/>
      <c r="G511" s="249"/>
      <c r="H511" s="249"/>
      <c r="I511" s="249"/>
      <c r="J511" s="249"/>
      <c r="K511" s="249"/>
      <c r="L511" s="249"/>
      <c r="M511" s="249"/>
      <c r="N511" s="249"/>
      <c r="O511" s="249"/>
      <c r="P511" s="249"/>
      <c r="Q511" s="249"/>
      <c r="R511" s="249"/>
      <c r="S511" s="249"/>
      <c r="T511" s="249"/>
      <c r="U511" s="249"/>
      <c r="V511" s="249"/>
      <c r="W511" s="249"/>
      <c r="X511" s="249"/>
      <c r="Y511" s="249"/>
      <c r="Z511" s="249"/>
      <c r="AA511" s="249"/>
      <c r="AB511" s="249"/>
      <c r="AC511" s="249"/>
      <c r="AD511" s="249"/>
    </row>
    <row r="512" spans="1:30" ht="12.9">
      <c r="A512" s="249"/>
      <c r="B512" s="249"/>
      <c r="C512" s="249"/>
      <c r="D512" s="249"/>
      <c r="E512" s="249"/>
      <c r="F512" s="249"/>
      <c r="G512" s="249"/>
      <c r="H512" s="249"/>
      <c r="I512" s="249"/>
      <c r="J512" s="249"/>
      <c r="K512" s="249"/>
      <c r="L512" s="249"/>
      <c r="M512" s="249"/>
      <c r="N512" s="249"/>
      <c r="O512" s="249"/>
      <c r="P512" s="249"/>
      <c r="Q512" s="249"/>
      <c r="R512" s="249"/>
      <c r="S512" s="249"/>
      <c r="T512" s="249"/>
      <c r="U512" s="249"/>
      <c r="V512" s="249"/>
      <c r="W512" s="249"/>
      <c r="X512" s="249"/>
      <c r="Y512" s="249"/>
      <c r="Z512" s="249"/>
      <c r="AA512" s="249"/>
      <c r="AB512" s="249"/>
      <c r="AC512" s="249"/>
      <c r="AD512" s="249"/>
    </row>
    <row r="513" spans="1:30" ht="12.9">
      <c r="A513" s="249"/>
      <c r="B513" s="249"/>
      <c r="C513" s="249"/>
      <c r="D513" s="249"/>
      <c r="E513" s="249"/>
      <c r="F513" s="249"/>
      <c r="G513" s="249"/>
      <c r="H513" s="249"/>
      <c r="I513" s="249"/>
      <c r="J513" s="249"/>
      <c r="K513" s="249"/>
      <c r="L513" s="249"/>
      <c r="M513" s="249"/>
      <c r="N513" s="249"/>
      <c r="O513" s="249"/>
      <c r="P513" s="249"/>
      <c r="Q513" s="249"/>
      <c r="R513" s="249"/>
      <c r="S513" s="249"/>
      <c r="T513" s="249"/>
      <c r="U513" s="249"/>
      <c r="V513" s="249"/>
      <c r="W513" s="249"/>
      <c r="X513" s="249"/>
      <c r="Y513" s="249"/>
      <c r="Z513" s="249"/>
      <c r="AA513" s="249"/>
      <c r="AB513" s="249"/>
      <c r="AC513" s="249"/>
      <c r="AD513" s="249"/>
    </row>
    <row r="514" spans="1:30" ht="12.9">
      <c r="A514" s="249"/>
      <c r="B514" s="249"/>
      <c r="C514" s="249"/>
      <c r="D514" s="249"/>
      <c r="E514" s="249"/>
      <c r="F514" s="249"/>
      <c r="G514" s="249"/>
      <c r="H514" s="249"/>
      <c r="I514" s="249"/>
      <c r="J514" s="249"/>
      <c r="K514" s="249"/>
      <c r="L514" s="249"/>
      <c r="M514" s="249"/>
      <c r="N514" s="249"/>
      <c r="O514" s="249"/>
      <c r="P514" s="249"/>
      <c r="Q514" s="249"/>
      <c r="R514" s="249"/>
      <c r="S514" s="249"/>
      <c r="T514" s="249"/>
      <c r="U514" s="249"/>
      <c r="V514" s="249"/>
      <c r="W514" s="249"/>
      <c r="X514" s="249"/>
      <c r="Y514" s="249"/>
      <c r="Z514" s="249"/>
      <c r="AA514" s="249"/>
      <c r="AB514" s="249"/>
      <c r="AC514" s="249"/>
      <c r="AD514" s="249"/>
    </row>
    <row r="515" spans="1:30" ht="12.9">
      <c r="A515" s="249"/>
      <c r="B515" s="249"/>
      <c r="C515" s="249"/>
      <c r="D515" s="249"/>
      <c r="E515" s="249"/>
      <c r="F515" s="249"/>
      <c r="G515" s="249"/>
      <c r="H515" s="249"/>
      <c r="I515" s="249"/>
      <c r="J515" s="249"/>
      <c r="K515" s="249"/>
      <c r="L515" s="249"/>
      <c r="M515" s="249"/>
      <c r="N515" s="249"/>
      <c r="O515" s="249"/>
      <c r="P515" s="249"/>
      <c r="Q515" s="249"/>
      <c r="R515" s="249"/>
      <c r="S515" s="249"/>
      <c r="T515" s="249"/>
      <c r="U515" s="249"/>
      <c r="V515" s="249"/>
      <c r="W515" s="249"/>
      <c r="X515" s="249"/>
      <c r="Y515" s="249"/>
      <c r="Z515" s="249"/>
      <c r="AA515" s="249"/>
      <c r="AB515" s="249"/>
      <c r="AC515" s="249"/>
      <c r="AD515" s="249"/>
    </row>
    <row r="516" spans="1:30" ht="12.9">
      <c r="A516" s="249"/>
      <c r="B516" s="249"/>
      <c r="C516" s="249"/>
      <c r="D516" s="249"/>
      <c r="E516" s="249"/>
      <c r="F516" s="249"/>
      <c r="G516" s="249"/>
      <c r="H516" s="249"/>
      <c r="I516" s="249"/>
      <c r="J516" s="249"/>
      <c r="K516" s="249"/>
      <c r="L516" s="249"/>
      <c r="M516" s="249"/>
      <c r="N516" s="249"/>
      <c r="O516" s="249"/>
      <c r="P516" s="249"/>
      <c r="Q516" s="249"/>
      <c r="R516" s="249"/>
      <c r="S516" s="249"/>
      <c r="T516" s="249"/>
      <c r="U516" s="249"/>
      <c r="V516" s="249"/>
      <c r="W516" s="249"/>
      <c r="X516" s="249"/>
      <c r="Y516" s="249"/>
      <c r="Z516" s="249"/>
      <c r="AA516" s="249"/>
      <c r="AB516" s="249"/>
      <c r="AC516" s="249"/>
      <c r="AD516" s="249"/>
    </row>
    <row r="517" spans="1:30" ht="12.9">
      <c r="A517" s="249"/>
      <c r="B517" s="249"/>
      <c r="C517" s="249"/>
      <c r="D517" s="249"/>
      <c r="E517" s="249"/>
      <c r="F517" s="249"/>
      <c r="G517" s="249"/>
      <c r="H517" s="249"/>
      <c r="I517" s="249"/>
      <c r="J517" s="249"/>
      <c r="K517" s="249"/>
      <c r="L517" s="249"/>
      <c r="M517" s="249"/>
      <c r="N517" s="249"/>
      <c r="O517" s="249"/>
      <c r="P517" s="249"/>
      <c r="Q517" s="249"/>
      <c r="R517" s="249"/>
      <c r="S517" s="249"/>
      <c r="T517" s="249"/>
      <c r="U517" s="249"/>
      <c r="V517" s="249"/>
      <c r="W517" s="249"/>
      <c r="X517" s="249"/>
      <c r="Y517" s="249"/>
      <c r="Z517" s="249"/>
      <c r="AA517" s="249"/>
      <c r="AB517" s="249"/>
      <c r="AC517" s="249"/>
      <c r="AD517" s="249"/>
    </row>
    <row r="518" spans="1:30" ht="12.9">
      <c r="A518" s="249"/>
      <c r="B518" s="249"/>
      <c r="C518" s="249"/>
      <c r="D518" s="249"/>
      <c r="E518" s="249"/>
      <c r="F518" s="249"/>
      <c r="G518" s="249"/>
      <c r="H518" s="249"/>
      <c r="I518" s="249"/>
      <c r="J518" s="249"/>
      <c r="K518" s="249"/>
      <c r="L518" s="249"/>
      <c r="M518" s="249"/>
      <c r="N518" s="249"/>
      <c r="O518" s="249"/>
      <c r="P518" s="249"/>
      <c r="Q518" s="249"/>
      <c r="R518" s="249"/>
      <c r="S518" s="249"/>
      <c r="T518" s="249"/>
      <c r="U518" s="249"/>
      <c r="V518" s="249"/>
      <c r="W518" s="249"/>
      <c r="X518" s="249"/>
      <c r="Y518" s="249"/>
      <c r="Z518" s="249"/>
      <c r="AA518" s="249"/>
      <c r="AB518" s="249"/>
      <c r="AC518" s="249"/>
      <c r="AD518" s="249"/>
    </row>
    <row r="519" spans="1:30" ht="12.9">
      <c r="A519" s="249"/>
      <c r="B519" s="249"/>
      <c r="C519" s="249"/>
      <c r="D519" s="249"/>
      <c r="E519" s="249"/>
      <c r="F519" s="249"/>
      <c r="G519" s="249"/>
      <c r="H519" s="249"/>
      <c r="I519" s="249"/>
      <c r="J519" s="249"/>
      <c r="K519" s="249"/>
      <c r="L519" s="249"/>
      <c r="M519" s="249"/>
      <c r="N519" s="249"/>
      <c r="O519" s="249"/>
      <c r="P519" s="249"/>
      <c r="Q519" s="249"/>
      <c r="R519" s="249"/>
      <c r="S519" s="249"/>
      <c r="T519" s="249"/>
      <c r="U519" s="249"/>
      <c r="V519" s="249"/>
      <c r="W519" s="249"/>
      <c r="X519" s="249"/>
      <c r="Y519" s="249"/>
      <c r="Z519" s="249"/>
      <c r="AA519" s="249"/>
      <c r="AB519" s="249"/>
      <c r="AC519" s="249"/>
      <c r="AD519" s="249"/>
    </row>
    <row r="520" spans="1:30" ht="12.9">
      <c r="A520" s="249"/>
      <c r="B520" s="249"/>
      <c r="C520" s="249"/>
      <c r="D520" s="249"/>
      <c r="E520" s="249"/>
      <c r="F520" s="249"/>
      <c r="G520" s="249"/>
      <c r="H520" s="249"/>
      <c r="I520" s="249"/>
      <c r="J520" s="249"/>
      <c r="K520" s="249"/>
      <c r="L520" s="249"/>
      <c r="M520" s="249"/>
      <c r="N520" s="249"/>
      <c r="O520" s="249"/>
      <c r="P520" s="249"/>
      <c r="Q520" s="249"/>
      <c r="R520" s="249"/>
      <c r="S520" s="249"/>
      <c r="T520" s="249"/>
      <c r="U520" s="249"/>
      <c r="V520" s="249"/>
      <c r="W520" s="249"/>
      <c r="X520" s="249"/>
      <c r="Y520" s="249"/>
      <c r="Z520" s="249"/>
      <c r="AA520" s="249"/>
      <c r="AB520" s="249"/>
      <c r="AC520" s="249"/>
      <c r="AD520" s="249"/>
    </row>
    <row r="521" spans="1:30" ht="12.9">
      <c r="A521" s="249"/>
      <c r="B521" s="249"/>
      <c r="C521" s="249"/>
      <c r="D521" s="249"/>
      <c r="E521" s="249"/>
      <c r="F521" s="249"/>
      <c r="G521" s="249"/>
      <c r="H521" s="249"/>
      <c r="I521" s="249"/>
      <c r="J521" s="249"/>
      <c r="K521" s="249"/>
      <c r="L521" s="249"/>
      <c r="M521" s="249"/>
      <c r="N521" s="249"/>
      <c r="O521" s="249"/>
      <c r="P521" s="249"/>
      <c r="Q521" s="249"/>
      <c r="R521" s="249"/>
      <c r="S521" s="249"/>
      <c r="T521" s="249"/>
      <c r="U521" s="249"/>
      <c r="V521" s="249"/>
      <c r="W521" s="249"/>
      <c r="X521" s="249"/>
      <c r="Y521" s="249"/>
      <c r="Z521" s="249"/>
      <c r="AA521" s="249"/>
      <c r="AB521" s="249"/>
      <c r="AC521" s="249"/>
      <c r="AD521" s="249"/>
    </row>
    <row r="522" spans="1:30" ht="12.9">
      <c r="A522" s="249"/>
      <c r="B522" s="249"/>
      <c r="C522" s="249"/>
      <c r="D522" s="249"/>
      <c r="E522" s="249"/>
      <c r="F522" s="249"/>
      <c r="G522" s="249"/>
      <c r="H522" s="249"/>
      <c r="I522" s="249"/>
      <c r="J522" s="249"/>
      <c r="K522" s="249"/>
      <c r="L522" s="249"/>
      <c r="M522" s="249"/>
      <c r="N522" s="249"/>
      <c r="O522" s="249"/>
      <c r="P522" s="249"/>
      <c r="Q522" s="249"/>
      <c r="R522" s="249"/>
      <c r="S522" s="249"/>
      <c r="T522" s="249"/>
      <c r="U522" s="249"/>
      <c r="V522" s="249"/>
      <c r="W522" s="249"/>
      <c r="X522" s="249"/>
      <c r="Y522" s="249"/>
      <c r="Z522" s="249"/>
      <c r="AA522" s="249"/>
      <c r="AB522" s="249"/>
      <c r="AC522" s="249"/>
      <c r="AD522" s="249"/>
    </row>
    <row r="523" spans="1:30" ht="12.9">
      <c r="A523" s="249"/>
      <c r="B523" s="249"/>
      <c r="C523" s="249"/>
      <c r="D523" s="249"/>
      <c r="E523" s="249"/>
      <c r="F523" s="249"/>
      <c r="G523" s="249"/>
      <c r="H523" s="249"/>
      <c r="I523" s="249"/>
      <c r="J523" s="249"/>
      <c r="K523" s="249"/>
      <c r="L523" s="249"/>
      <c r="M523" s="249"/>
      <c r="N523" s="249"/>
      <c r="O523" s="249"/>
      <c r="P523" s="249"/>
      <c r="Q523" s="249"/>
      <c r="R523" s="249"/>
      <c r="S523" s="249"/>
      <c r="T523" s="249"/>
      <c r="U523" s="249"/>
      <c r="V523" s="249"/>
      <c r="W523" s="249"/>
      <c r="X523" s="249"/>
      <c r="Y523" s="249"/>
      <c r="Z523" s="249"/>
      <c r="AA523" s="249"/>
      <c r="AB523" s="249"/>
      <c r="AC523" s="249"/>
      <c r="AD523" s="249"/>
    </row>
    <row r="524" spans="1:30" ht="12.9">
      <c r="A524" s="249"/>
      <c r="B524" s="249"/>
      <c r="C524" s="249"/>
      <c r="D524" s="249"/>
      <c r="E524" s="249"/>
      <c r="F524" s="249"/>
      <c r="G524" s="249"/>
      <c r="H524" s="249"/>
      <c r="I524" s="249"/>
      <c r="J524" s="249"/>
      <c r="K524" s="249"/>
      <c r="L524" s="249"/>
      <c r="M524" s="249"/>
      <c r="N524" s="249"/>
      <c r="O524" s="249"/>
      <c r="P524" s="249"/>
      <c r="Q524" s="249"/>
      <c r="R524" s="249"/>
      <c r="S524" s="249"/>
      <c r="T524" s="249"/>
      <c r="U524" s="249"/>
      <c r="V524" s="249"/>
      <c r="W524" s="249"/>
      <c r="X524" s="249"/>
      <c r="Y524" s="249"/>
      <c r="Z524" s="249"/>
      <c r="AA524" s="249"/>
      <c r="AB524" s="249"/>
      <c r="AC524" s="249"/>
      <c r="AD524" s="249"/>
    </row>
    <row r="525" spans="1:30" ht="12.9">
      <c r="A525" s="249"/>
      <c r="B525" s="249"/>
      <c r="C525" s="249"/>
      <c r="D525" s="249"/>
      <c r="E525" s="249"/>
      <c r="F525" s="249"/>
      <c r="G525" s="249"/>
      <c r="H525" s="249"/>
      <c r="I525" s="249"/>
      <c r="J525" s="249"/>
      <c r="K525" s="249"/>
      <c r="L525" s="249"/>
      <c r="M525" s="249"/>
      <c r="N525" s="249"/>
      <c r="O525" s="249"/>
      <c r="P525" s="249"/>
      <c r="Q525" s="249"/>
      <c r="R525" s="249"/>
      <c r="S525" s="249"/>
      <c r="T525" s="249"/>
      <c r="U525" s="249"/>
      <c r="V525" s="249"/>
      <c r="W525" s="249"/>
      <c r="X525" s="249"/>
      <c r="Y525" s="249"/>
      <c r="Z525" s="249"/>
      <c r="AA525" s="249"/>
      <c r="AB525" s="249"/>
      <c r="AC525" s="249"/>
      <c r="AD525" s="249"/>
    </row>
    <row r="526" spans="1:30" ht="12.9">
      <c r="A526" s="249"/>
      <c r="B526" s="249"/>
      <c r="C526" s="249"/>
      <c r="D526" s="249"/>
      <c r="E526" s="249"/>
      <c r="F526" s="249"/>
      <c r="G526" s="249"/>
      <c r="H526" s="249"/>
      <c r="I526" s="249"/>
      <c r="J526" s="249"/>
      <c r="K526" s="249"/>
      <c r="L526" s="249"/>
      <c r="M526" s="249"/>
      <c r="N526" s="249"/>
      <c r="O526" s="249"/>
      <c r="P526" s="249"/>
      <c r="Q526" s="249"/>
      <c r="R526" s="249"/>
      <c r="S526" s="249"/>
      <c r="T526" s="249"/>
      <c r="U526" s="249"/>
      <c r="V526" s="249"/>
      <c r="W526" s="249"/>
      <c r="X526" s="249"/>
      <c r="Y526" s="249"/>
      <c r="Z526" s="249"/>
      <c r="AA526" s="249"/>
      <c r="AB526" s="249"/>
      <c r="AC526" s="249"/>
      <c r="AD526" s="249"/>
    </row>
    <row r="527" spans="1:30" ht="12.9">
      <c r="A527" s="249"/>
      <c r="B527" s="249"/>
      <c r="C527" s="249"/>
      <c r="D527" s="249"/>
      <c r="E527" s="249"/>
      <c r="F527" s="249"/>
      <c r="G527" s="249"/>
      <c r="H527" s="249"/>
      <c r="I527" s="249"/>
      <c r="J527" s="249"/>
      <c r="K527" s="249"/>
      <c r="L527" s="249"/>
      <c r="M527" s="249"/>
      <c r="N527" s="249"/>
      <c r="O527" s="249"/>
      <c r="P527" s="249"/>
      <c r="Q527" s="249"/>
      <c r="R527" s="249"/>
      <c r="S527" s="249"/>
      <c r="T527" s="249"/>
      <c r="U527" s="249"/>
      <c r="V527" s="249"/>
      <c r="W527" s="249"/>
      <c r="X527" s="249"/>
      <c r="Y527" s="249"/>
      <c r="Z527" s="249"/>
      <c r="AA527" s="249"/>
      <c r="AB527" s="249"/>
      <c r="AC527" s="249"/>
      <c r="AD527" s="249"/>
    </row>
    <row r="528" spans="1:30" ht="12.9">
      <c r="A528" s="249"/>
      <c r="B528" s="249"/>
      <c r="C528" s="249"/>
      <c r="D528" s="249"/>
      <c r="E528" s="249"/>
      <c r="F528" s="249"/>
      <c r="G528" s="249"/>
      <c r="H528" s="249"/>
      <c r="I528" s="249"/>
      <c r="J528" s="249"/>
      <c r="K528" s="249"/>
      <c r="L528" s="249"/>
      <c r="M528" s="249"/>
      <c r="N528" s="249"/>
      <c r="O528" s="249"/>
      <c r="P528" s="249"/>
      <c r="Q528" s="249"/>
      <c r="R528" s="249"/>
      <c r="S528" s="249"/>
      <c r="T528" s="249"/>
      <c r="U528" s="249"/>
      <c r="V528" s="249"/>
      <c r="W528" s="249"/>
      <c r="X528" s="249"/>
      <c r="Y528" s="249"/>
      <c r="Z528" s="249"/>
      <c r="AA528" s="249"/>
      <c r="AB528" s="249"/>
      <c r="AC528" s="249"/>
      <c r="AD528" s="249"/>
    </row>
    <row r="529" spans="1:30" ht="12.9">
      <c r="A529" s="249"/>
      <c r="B529" s="249"/>
      <c r="C529" s="249"/>
      <c r="D529" s="249"/>
      <c r="E529" s="249"/>
      <c r="F529" s="249"/>
      <c r="G529" s="249"/>
      <c r="H529" s="249"/>
      <c r="I529" s="249"/>
      <c r="J529" s="249"/>
      <c r="K529" s="249"/>
      <c r="L529" s="249"/>
      <c r="M529" s="249"/>
      <c r="N529" s="249"/>
      <c r="O529" s="249"/>
      <c r="P529" s="249"/>
      <c r="Q529" s="249"/>
      <c r="R529" s="249"/>
      <c r="S529" s="249"/>
      <c r="T529" s="249"/>
      <c r="U529" s="249"/>
      <c r="V529" s="249"/>
      <c r="W529" s="249"/>
      <c r="X529" s="249"/>
      <c r="Y529" s="249"/>
      <c r="Z529" s="249"/>
      <c r="AA529" s="249"/>
      <c r="AB529" s="249"/>
      <c r="AC529" s="249"/>
      <c r="AD529" s="249"/>
    </row>
    <row r="530" spans="1:30" ht="12.9">
      <c r="A530" s="249"/>
      <c r="B530" s="249"/>
      <c r="C530" s="249"/>
      <c r="D530" s="249"/>
      <c r="E530" s="249"/>
      <c r="F530" s="249"/>
      <c r="G530" s="249"/>
      <c r="H530" s="249"/>
      <c r="I530" s="249"/>
      <c r="J530" s="249"/>
      <c r="K530" s="249"/>
      <c r="L530" s="249"/>
      <c r="M530" s="249"/>
      <c r="N530" s="249"/>
      <c r="O530" s="249"/>
      <c r="P530" s="249"/>
      <c r="Q530" s="249"/>
      <c r="R530" s="249"/>
      <c r="S530" s="249"/>
      <c r="T530" s="249"/>
      <c r="U530" s="249"/>
      <c r="V530" s="249"/>
      <c r="W530" s="249"/>
      <c r="X530" s="249"/>
      <c r="Y530" s="249"/>
      <c r="Z530" s="249"/>
      <c r="AA530" s="249"/>
      <c r="AB530" s="249"/>
      <c r="AC530" s="249"/>
      <c r="AD530" s="249"/>
    </row>
    <row r="531" spans="1:30" ht="12.9">
      <c r="A531" s="249"/>
      <c r="B531" s="249"/>
      <c r="C531" s="249"/>
      <c r="D531" s="249"/>
      <c r="E531" s="249"/>
      <c r="F531" s="249"/>
      <c r="G531" s="249"/>
      <c r="H531" s="249"/>
      <c r="I531" s="249"/>
      <c r="J531" s="249"/>
      <c r="K531" s="249"/>
      <c r="L531" s="249"/>
      <c r="M531" s="249"/>
      <c r="N531" s="249"/>
      <c r="O531" s="249"/>
      <c r="P531" s="249"/>
      <c r="Q531" s="249"/>
      <c r="R531" s="249"/>
      <c r="S531" s="249"/>
      <c r="T531" s="249"/>
      <c r="U531" s="249"/>
      <c r="V531" s="249"/>
      <c r="W531" s="249"/>
      <c r="X531" s="249"/>
      <c r="Y531" s="249"/>
      <c r="Z531" s="249"/>
      <c r="AA531" s="249"/>
      <c r="AB531" s="249"/>
      <c r="AC531" s="249"/>
      <c r="AD531" s="249"/>
    </row>
    <row r="532" spans="1:30" ht="12.9">
      <c r="A532" s="249"/>
      <c r="B532" s="249"/>
      <c r="C532" s="249"/>
      <c r="D532" s="249"/>
      <c r="E532" s="249"/>
      <c r="F532" s="249"/>
      <c r="G532" s="249"/>
      <c r="H532" s="249"/>
      <c r="I532" s="249"/>
      <c r="J532" s="249"/>
      <c r="K532" s="249"/>
      <c r="L532" s="249"/>
      <c r="M532" s="249"/>
      <c r="N532" s="249"/>
      <c r="O532" s="249"/>
      <c r="P532" s="249"/>
      <c r="Q532" s="249"/>
      <c r="R532" s="249"/>
      <c r="S532" s="249"/>
      <c r="T532" s="249"/>
      <c r="U532" s="249"/>
      <c r="V532" s="249"/>
      <c r="W532" s="249"/>
      <c r="X532" s="249"/>
      <c r="Y532" s="249"/>
      <c r="Z532" s="249"/>
      <c r="AA532" s="249"/>
      <c r="AB532" s="249"/>
      <c r="AC532" s="249"/>
      <c r="AD532" s="249"/>
    </row>
    <row r="533" spans="1:30" ht="12.9">
      <c r="A533" s="249"/>
      <c r="B533" s="249"/>
      <c r="C533" s="249"/>
      <c r="D533" s="249"/>
      <c r="E533" s="249"/>
      <c r="F533" s="249"/>
      <c r="G533" s="249"/>
      <c r="H533" s="249"/>
      <c r="I533" s="249"/>
      <c r="J533" s="249"/>
      <c r="K533" s="249"/>
      <c r="L533" s="249"/>
      <c r="M533" s="249"/>
      <c r="N533" s="249"/>
      <c r="O533" s="249"/>
      <c r="P533" s="249"/>
      <c r="Q533" s="249"/>
      <c r="R533" s="249"/>
      <c r="S533" s="249"/>
      <c r="T533" s="249"/>
      <c r="U533" s="249"/>
      <c r="V533" s="249"/>
      <c r="W533" s="249"/>
      <c r="X533" s="249"/>
      <c r="Y533" s="249"/>
      <c r="Z533" s="249"/>
      <c r="AA533" s="249"/>
      <c r="AB533" s="249"/>
      <c r="AC533" s="249"/>
      <c r="AD533" s="249"/>
    </row>
    <row r="534" spans="1:30" ht="12.9">
      <c r="A534" s="249"/>
      <c r="B534" s="249"/>
      <c r="C534" s="249"/>
      <c r="D534" s="249"/>
      <c r="E534" s="249"/>
      <c r="F534" s="249"/>
      <c r="G534" s="249"/>
      <c r="H534" s="249"/>
      <c r="I534" s="249"/>
      <c r="J534" s="249"/>
      <c r="K534" s="249"/>
      <c r="L534" s="249"/>
      <c r="M534" s="249"/>
      <c r="N534" s="249"/>
      <c r="O534" s="249"/>
      <c r="P534" s="249"/>
      <c r="Q534" s="249"/>
      <c r="R534" s="249"/>
      <c r="S534" s="249"/>
      <c r="T534" s="249"/>
      <c r="U534" s="249"/>
      <c r="V534" s="249"/>
      <c r="W534" s="249"/>
      <c r="X534" s="249"/>
      <c r="Y534" s="249"/>
      <c r="Z534" s="249"/>
      <c r="AA534" s="249"/>
      <c r="AB534" s="249"/>
      <c r="AC534" s="249"/>
      <c r="AD534" s="249"/>
    </row>
    <row r="535" spans="1:30" ht="12.9">
      <c r="A535" s="249"/>
      <c r="B535" s="249"/>
      <c r="C535" s="249"/>
      <c r="D535" s="249"/>
      <c r="E535" s="249"/>
      <c r="F535" s="249"/>
      <c r="G535" s="249"/>
      <c r="H535" s="249"/>
      <c r="I535" s="249"/>
      <c r="J535" s="249"/>
      <c r="K535" s="249"/>
      <c r="L535" s="249"/>
      <c r="M535" s="249"/>
      <c r="N535" s="249"/>
      <c r="O535" s="249"/>
      <c r="P535" s="249"/>
      <c r="Q535" s="249"/>
      <c r="R535" s="249"/>
      <c r="S535" s="249"/>
      <c r="T535" s="249"/>
      <c r="U535" s="249"/>
      <c r="V535" s="249"/>
      <c r="W535" s="249"/>
      <c r="X535" s="249"/>
      <c r="Y535" s="249"/>
      <c r="Z535" s="249"/>
      <c r="AA535" s="249"/>
      <c r="AB535" s="249"/>
      <c r="AC535" s="249"/>
      <c r="AD535" s="249"/>
    </row>
    <row r="536" spans="1:30" ht="12.9">
      <c r="A536" s="249"/>
      <c r="B536" s="249"/>
      <c r="C536" s="249"/>
      <c r="D536" s="249"/>
      <c r="E536" s="249"/>
      <c r="F536" s="249"/>
      <c r="G536" s="249"/>
      <c r="H536" s="249"/>
      <c r="I536" s="249"/>
      <c r="J536" s="249"/>
      <c r="K536" s="249"/>
      <c r="L536" s="249"/>
      <c r="M536" s="249"/>
      <c r="N536" s="249"/>
      <c r="O536" s="249"/>
      <c r="P536" s="249"/>
      <c r="Q536" s="249"/>
      <c r="R536" s="249"/>
      <c r="S536" s="249"/>
      <c r="T536" s="249"/>
      <c r="U536" s="249"/>
      <c r="V536" s="249"/>
      <c r="W536" s="249"/>
      <c r="X536" s="249"/>
      <c r="Y536" s="249"/>
      <c r="Z536" s="249"/>
      <c r="AA536" s="249"/>
      <c r="AB536" s="249"/>
      <c r="AC536" s="249"/>
      <c r="AD536" s="249"/>
    </row>
    <row r="537" spans="1:30" ht="12.9">
      <c r="A537" s="249"/>
      <c r="B537" s="249"/>
      <c r="C537" s="249"/>
      <c r="D537" s="249"/>
      <c r="E537" s="249"/>
      <c r="F537" s="249"/>
      <c r="G537" s="249"/>
      <c r="H537" s="249"/>
      <c r="I537" s="249"/>
      <c r="J537" s="249"/>
      <c r="K537" s="249"/>
      <c r="L537" s="249"/>
      <c r="M537" s="249"/>
      <c r="N537" s="249"/>
      <c r="O537" s="249"/>
      <c r="P537" s="249"/>
      <c r="Q537" s="249"/>
      <c r="R537" s="249"/>
      <c r="S537" s="249"/>
      <c r="T537" s="249"/>
      <c r="U537" s="249"/>
      <c r="V537" s="249"/>
      <c r="W537" s="249"/>
      <c r="X537" s="249"/>
      <c r="Y537" s="249"/>
      <c r="Z537" s="249"/>
      <c r="AA537" s="249"/>
      <c r="AB537" s="249"/>
      <c r="AC537" s="249"/>
      <c r="AD537" s="249"/>
    </row>
    <row r="538" spans="1:30" ht="12.9">
      <c r="A538" s="249"/>
      <c r="B538" s="249"/>
      <c r="C538" s="249"/>
      <c r="D538" s="249"/>
      <c r="E538" s="249"/>
      <c r="F538" s="249"/>
      <c r="G538" s="249"/>
      <c r="H538" s="249"/>
      <c r="I538" s="249"/>
      <c r="J538" s="249"/>
      <c r="K538" s="249"/>
      <c r="L538" s="249"/>
      <c r="M538" s="249"/>
      <c r="N538" s="249"/>
      <c r="O538" s="249"/>
      <c r="P538" s="249"/>
      <c r="Q538" s="249"/>
      <c r="R538" s="249"/>
      <c r="S538" s="249"/>
      <c r="T538" s="249"/>
      <c r="U538" s="249"/>
      <c r="V538" s="249"/>
      <c r="W538" s="249"/>
      <c r="X538" s="249"/>
      <c r="Y538" s="249"/>
      <c r="Z538" s="249"/>
      <c r="AA538" s="249"/>
      <c r="AB538" s="249"/>
      <c r="AC538" s="249"/>
      <c r="AD538" s="249"/>
    </row>
    <row r="539" spans="1:30" ht="12.9">
      <c r="A539" s="249"/>
      <c r="B539" s="249"/>
      <c r="C539" s="249"/>
      <c r="D539" s="249"/>
      <c r="E539" s="249"/>
      <c r="F539" s="249"/>
      <c r="G539" s="249"/>
      <c r="H539" s="249"/>
      <c r="I539" s="249"/>
      <c r="J539" s="249"/>
      <c r="K539" s="249"/>
      <c r="L539" s="249"/>
      <c r="M539" s="249"/>
      <c r="N539" s="249"/>
      <c r="O539" s="249"/>
      <c r="P539" s="249"/>
      <c r="Q539" s="249"/>
      <c r="R539" s="249"/>
      <c r="S539" s="249"/>
      <c r="T539" s="249"/>
      <c r="U539" s="249"/>
      <c r="V539" s="249"/>
      <c r="W539" s="249"/>
      <c r="X539" s="249"/>
      <c r="Y539" s="249"/>
      <c r="Z539" s="249"/>
      <c r="AA539" s="249"/>
      <c r="AB539" s="249"/>
      <c r="AC539" s="249"/>
      <c r="AD539" s="249"/>
    </row>
    <row r="540" spans="1:30" ht="12.9">
      <c r="A540" s="249"/>
      <c r="B540" s="249"/>
      <c r="C540" s="249"/>
      <c r="D540" s="249"/>
      <c r="E540" s="249"/>
      <c r="F540" s="249"/>
      <c r="G540" s="249"/>
      <c r="H540" s="249"/>
      <c r="I540" s="249"/>
      <c r="J540" s="249"/>
      <c r="K540" s="249"/>
      <c r="L540" s="249"/>
      <c r="M540" s="249"/>
      <c r="N540" s="249"/>
      <c r="O540" s="249"/>
      <c r="P540" s="249"/>
      <c r="Q540" s="249"/>
      <c r="R540" s="249"/>
      <c r="S540" s="249"/>
      <c r="T540" s="249"/>
      <c r="U540" s="249"/>
      <c r="V540" s="249"/>
      <c r="W540" s="249"/>
      <c r="X540" s="249"/>
      <c r="Y540" s="249"/>
      <c r="Z540" s="249"/>
      <c r="AA540" s="249"/>
      <c r="AB540" s="249"/>
      <c r="AC540" s="249"/>
      <c r="AD540" s="249"/>
    </row>
    <row r="541" spans="1:30" ht="12.9">
      <c r="A541" s="249"/>
      <c r="B541" s="249"/>
      <c r="C541" s="249"/>
      <c r="D541" s="249"/>
      <c r="E541" s="249"/>
      <c r="F541" s="249"/>
      <c r="G541" s="249"/>
      <c r="H541" s="249"/>
      <c r="I541" s="249"/>
      <c r="J541" s="249"/>
      <c r="K541" s="249"/>
      <c r="L541" s="249"/>
      <c r="M541" s="249"/>
      <c r="N541" s="249"/>
      <c r="O541" s="249"/>
      <c r="P541" s="249"/>
      <c r="Q541" s="249"/>
      <c r="R541" s="249"/>
      <c r="S541" s="249"/>
      <c r="T541" s="249"/>
      <c r="U541" s="249"/>
      <c r="V541" s="249"/>
      <c r="W541" s="249"/>
      <c r="X541" s="249"/>
      <c r="Y541" s="249"/>
      <c r="Z541" s="249"/>
      <c r="AA541" s="249"/>
      <c r="AB541" s="249"/>
      <c r="AC541" s="249"/>
      <c r="AD541" s="249"/>
    </row>
    <row r="542" spans="1:30" ht="12.9">
      <c r="A542" s="249"/>
      <c r="B542" s="249"/>
      <c r="C542" s="249"/>
      <c r="D542" s="249"/>
      <c r="E542" s="249"/>
      <c r="F542" s="249"/>
      <c r="G542" s="249"/>
      <c r="H542" s="249"/>
      <c r="I542" s="249"/>
      <c r="J542" s="249"/>
      <c r="K542" s="249"/>
      <c r="L542" s="249"/>
      <c r="M542" s="249"/>
      <c r="N542" s="249"/>
      <c r="O542" s="249"/>
      <c r="P542" s="249"/>
      <c r="Q542" s="249"/>
      <c r="R542" s="249"/>
      <c r="S542" s="249"/>
      <c r="T542" s="249"/>
      <c r="U542" s="249"/>
      <c r="V542" s="249"/>
      <c r="W542" s="249"/>
      <c r="X542" s="249"/>
      <c r="Y542" s="249"/>
      <c r="Z542" s="249"/>
      <c r="AA542" s="249"/>
      <c r="AB542" s="249"/>
      <c r="AC542" s="249"/>
      <c r="AD542" s="249"/>
    </row>
    <row r="543" spans="1:30" ht="12.9">
      <c r="A543" s="249"/>
      <c r="B543" s="249"/>
      <c r="C543" s="249"/>
      <c r="D543" s="249"/>
      <c r="E543" s="249"/>
      <c r="F543" s="249"/>
      <c r="G543" s="249"/>
      <c r="H543" s="249"/>
      <c r="I543" s="249"/>
      <c r="J543" s="249"/>
      <c r="K543" s="249"/>
      <c r="L543" s="249"/>
      <c r="M543" s="249"/>
      <c r="N543" s="249"/>
      <c r="O543" s="249"/>
      <c r="P543" s="249"/>
      <c r="Q543" s="249"/>
      <c r="R543" s="249"/>
      <c r="S543" s="249"/>
      <c r="T543" s="249"/>
      <c r="U543" s="249"/>
      <c r="V543" s="249"/>
      <c r="W543" s="249"/>
      <c r="X543" s="249"/>
      <c r="Y543" s="249"/>
      <c r="Z543" s="249"/>
      <c r="AA543" s="249"/>
      <c r="AB543" s="249"/>
      <c r="AC543" s="249"/>
      <c r="AD543" s="249"/>
    </row>
    <row r="544" spans="1:30" ht="12.9">
      <c r="A544" s="249"/>
      <c r="B544" s="249"/>
      <c r="C544" s="249"/>
      <c r="D544" s="249"/>
      <c r="E544" s="249"/>
      <c r="F544" s="249"/>
      <c r="G544" s="249"/>
      <c r="H544" s="249"/>
      <c r="I544" s="249"/>
      <c r="J544" s="249"/>
      <c r="K544" s="249"/>
      <c r="L544" s="249"/>
      <c r="M544" s="249"/>
      <c r="N544" s="249"/>
      <c r="O544" s="249"/>
      <c r="P544" s="249"/>
      <c r="Q544" s="249"/>
      <c r="R544" s="249"/>
      <c r="S544" s="249"/>
      <c r="T544" s="249"/>
      <c r="U544" s="249"/>
      <c r="V544" s="249"/>
      <c r="W544" s="249"/>
      <c r="X544" s="249"/>
      <c r="Y544" s="249"/>
      <c r="Z544" s="249"/>
      <c r="AA544" s="249"/>
      <c r="AB544" s="249"/>
      <c r="AC544" s="249"/>
      <c r="AD544" s="249"/>
    </row>
    <row r="545" spans="1:30" ht="12.9">
      <c r="A545" s="249"/>
      <c r="B545" s="249"/>
      <c r="C545" s="249"/>
      <c r="D545" s="249"/>
      <c r="E545" s="249"/>
      <c r="F545" s="249"/>
      <c r="G545" s="249"/>
      <c r="H545" s="249"/>
      <c r="I545" s="249"/>
      <c r="J545" s="249"/>
      <c r="K545" s="249"/>
      <c r="L545" s="249"/>
      <c r="M545" s="249"/>
      <c r="N545" s="249"/>
      <c r="O545" s="249"/>
      <c r="P545" s="249"/>
      <c r="Q545" s="249"/>
      <c r="R545" s="249"/>
      <c r="S545" s="249"/>
      <c r="T545" s="249"/>
      <c r="U545" s="249"/>
      <c r="V545" s="249"/>
      <c r="W545" s="249"/>
      <c r="X545" s="249"/>
      <c r="Y545" s="249"/>
      <c r="Z545" s="249"/>
      <c r="AA545" s="249"/>
      <c r="AB545" s="249"/>
      <c r="AC545" s="249"/>
      <c r="AD545" s="249"/>
    </row>
    <row r="546" spans="1:30" ht="12.9">
      <c r="A546" s="249"/>
      <c r="B546" s="249"/>
      <c r="C546" s="249"/>
      <c r="D546" s="249"/>
      <c r="E546" s="249"/>
      <c r="F546" s="249"/>
      <c r="G546" s="249"/>
      <c r="H546" s="249"/>
      <c r="I546" s="249"/>
      <c r="J546" s="249"/>
      <c r="K546" s="249"/>
      <c r="L546" s="249"/>
      <c r="M546" s="249"/>
      <c r="N546" s="249"/>
      <c r="O546" s="249"/>
      <c r="P546" s="249"/>
      <c r="Q546" s="249"/>
      <c r="R546" s="249"/>
      <c r="S546" s="249"/>
      <c r="T546" s="249"/>
      <c r="U546" s="249"/>
      <c r="V546" s="249"/>
      <c r="W546" s="249"/>
      <c r="X546" s="249"/>
      <c r="Y546" s="249"/>
      <c r="Z546" s="249"/>
      <c r="AA546" s="249"/>
      <c r="AB546" s="249"/>
      <c r="AC546" s="249"/>
      <c r="AD546" s="249"/>
    </row>
    <row r="547" spans="1:30" ht="12.9">
      <c r="A547" s="249"/>
      <c r="B547" s="249"/>
      <c r="C547" s="249"/>
      <c r="D547" s="249"/>
      <c r="E547" s="249"/>
      <c r="F547" s="249"/>
      <c r="G547" s="249"/>
      <c r="H547" s="249"/>
      <c r="I547" s="249"/>
      <c r="J547" s="249"/>
      <c r="K547" s="249"/>
      <c r="L547" s="249"/>
      <c r="M547" s="249"/>
      <c r="N547" s="249"/>
      <c r="O547" s="249"/>
      <c r="P547" s="249"/>
      <c r="Q547" s="249"/>
      <c r="R547" s="249"/>
      <c r="S547" s="249"/>
      <c r="T547" s="249"/>
      <c r="U547" s="249"/>
      <c r="V547" s="249"/>
      <c r="W547" s="249"/>
      <c r="X547" s="249"/>
      <c r="Y547" s="249"/>
      <c r="Z547" s="249"/>
      <c r="AA547" s="249"/>
      <c r="AB547" s="249"/>
      <c r="AC547" s="249"/>
      <c r="AD547" s="249"/>
    </row>
    <row r="548" spans="1:30" ht="12.9">
      <c r="A548" s="249"/>
      <c r="B548" s="249"/>
      <c r="C548" s="249"/>
      <c r="D548" s="249"/>
      <c r="E548" s="249"/>
      <c r="F548" s="249"/>
      <c r="G548" s="249"/>
      <c r="H548" s="249"/>
      <c r="I548" s="249"/>
      <c r="J548" s="249"/>
      <c r="K548" s="249"/>
      <c r="L548" s="249"/>
      <c r="M548" s="249"/>
      <c r="N548" s="249"/>
      <c r="O548" s="249"/>
      <c r="P548" s="249"/>
      <c r="Q548" s="249"/>
      <c r="R548" s="249"/>
      <c r="S548" s="249"/>
      <c r="T548" s="249"/>
      <c r="U548" s="249"/>
      <c r="V548" s="249"/>
      <c r="W548" s="249"/>
      <c r="X548" s="249"/>
      <c r="Y548" s="249"/>
      <c r="Z548" s="249"/>
      <c r="AA548" s="249"/>
      <c r="AB548" s="249"/>
      <c r="AC548" s="249"/>
      <c r="AD548" s="249"/>
    </row>
    <row r="549" spans="1:30" ht="12.9">
      <c r="A549" s="249"/>
      <c r="B549" s="249"/>
      <c r="C549" s="249"/>
      <c r="D549" s="249"/>
      <c r="E549" s="249"/>
      <c r="F549" s="249"/>
      <c r="G549" s="249"/>
      <c r="H549" s="249"/>
      <c r="I549" s="249"/>
      <c r="J549" s="249"/>
      <c r="K549" s="249"/>
      <c r="L549" s="249"/>
      <c r="M549" s="249"/>
      <c r="N549" s="249"/>
      <c r="O549" s="249"/>
      <c r="P549" s="249"/>
      <c r="Q549" s="249"/>
      <c r="R549" s="249"/>
      <c r="S549" s="249"/>
      <c r="T549" s="249"/>
      <c r="U549" s="249"/>
      <c r="V549" s="249"/>
      <c r="W549" s="249"/>
      <c r="X549" s="249"/>
      <c r="Y549" s="249"/>
      <c r="Z549" s="249"/>
      <c r="AA549" s="249"/>
      <c r="AB549" s="249"/>
      <c r="AC549" s="249"/>
      <c r="AD549" s="249"/>
    </row>
    <row r="550" spans="1:30" ht="12.9">
      <c r="A550" s="249"/>
      <c r="B550" s="249"/>
      <c r="C550" s="249"/>
      <c r="D550" s="249"/>
      <c r="E550" s="249"/>
      <c r="F550" s="249"/>
      <c r="G550" s="249"/>
      <c r="H550" s="249"/>
      <c r="I550" s="249"/>
      <c r="J550" s="249"/>
      <c r="K550" s="249"/>
      <c r="L550" s="249"/>
      <c r="M550" s="249"/>
      <c r="N550" s="249"/>
      <c r="O550" s="249"/>
      <c r="P550" s="249"/>
      <c r="Q550" s="249"/>
      <c r="R550" s="249"/>
      <c r="S550" s="249"/>
      <c r="T550" s="249"/>
      <c r="U550" s="249"/>
      <c r="V550" s="249"/>
      <c r="W550" s="249"/>
      <c r="X550" s="249"/>
      <c r="Y550" s="249"/>
      <c r="Z550" s="249"/>
      <c r="AA550" s="249"/>
      <c r="AB550" s="249"/>
      <c r="AC550" s="249"/>
      <c r="AD550" s="249"/>
    </row>
    <row r="551" spans="1:30" ht="12.9">
      <c r="A551" s="249"/>
      <c r="B551" s="249"/>
      <c r="C551" s="249"/>
      <c r="D551" s="249"/>
      <c r="E551" s="249"/>
      <c r="F551" s="249"/>
      <c r="G551" s="249"/>
      <c r="H551" s="249"/>
      <c r="I551" s="249"/>
      <c r="J551" s="249"/>
      <c r="K551" s="249"/>
      <c r="L551" s="249"/>
      <c r="M551" s="249"/>
      <c r="N551" s="249"/>
      <c r="O551" s="249"/>
      <c r="P551" s="249"/>
      <c r="Q551" s="249"/>
      <c r="R551" s="249"/>
      <c r="S551" s="249"/>
      <c r="T551" s="249"/>
      <c r="U551" s="249"/>
      <c r="V551" s="249"/>
      <c r="W551" s="249"/>
      <c r="X551" s="249"/>
      <c r="Y551" s="249"/>
      <c r="Z551" s="249"/>
      <c r="AA551" s="249"/>
      <c r="AB551" s="249"/>
      <c r="AC551" s="249"/>
      <c r="AD551" s="249"/>
    </row>
    <row r="552" spans="1:30" ht="12.9">
      <c r="A552" s="249"/>
      <c r="B552" s="249"/>
      <c r="C552" s="249"/>
      <c r="D552" s="249"/>
      <c r="E552" s="249"/>
      <c r="F552" s="249"/>
      <c r="G552" s="249"/>
      <c r="H552" s="249"/>
      <c r="I552" s="249"/>
      <c r="J552" s="249"/>
      <c r="K552" s="249"/>
      <c r="L552" s="249"/>
      <c r="M552" s="249"/>
      <c r="N552" s="249"/>
      <c r="O552" s="249"/>
      <c r="P552" s="249"/>
      <c r="Q552" s="249"/>
      <c r="R552" s="249"/>
      <c r="S552" s="249"/>
      <c r="T552" s="249"/>
      <c r="U552" s="249"/>
      <c r="V552" s="249"/>
      <c r="W552" s="249"/>
      <c r="X552" s="249"/>
      <c r="Y552" s="249"/>
      <c r="Z552" s="249"/>
      <c r="AA552" s="249"/>
      <c r="AB552" s="249"/>
      <c r="AC552" s="249"/>
      <c r="AD552" s="249"/>
    </row>
    <row r="553" spans="1:30" ht="12.9">
      <c r="A553" s="249"/>
      <c r="B553" s="249"/>
      <c r="C553" s="249"/>
      <c r="D553" s="249"/>
      <c r="E553" s="249"/>
      <c r="F553" s="249"/>
      <c r="G553" s="249"/>
      <c r="H553" s="249"/>
      <c r="I553" s="249"/>
      <c r="J553" s="249"/>
      <c r="K553" s="249"/>
      <c r="L553" s="249"/>
      <c r="M553" s="249"/>
      <c r="N553" s="249"/>
      <c r="O553" s="249"/>
      <c r="P553" s="249"/>
      <c r="Q553" s="249"/>
      <c r="R553" s="249"/>
      <c r="S553" s="249"/>
      <c r="T553" s="249"/>
      <c r="U553" s="249"/>
      <c r="V553" s="249"/>
      <c r="W553" s="249"/>
      <c r="X553" s="249"/>
      <c r="Y553" s="249"/>
      <c r="Z553" s="249"/>
      <c r="AA553" s="249"/>
      <c r="AB553" s="249"/>
      <c r="AC553" s="249"/>
      <c r="AD553" s="249"/>
    </row>
    <row r="554" spans="1:30" ht="12.9">
      <c r="A554" s="249"/>
      <c r="B554" s="249"/>
      <c r="C554" s="249"/>
      <c r="D554" s="249"/>
      <c r="E554" s="249"/>
      <c r="F554" s="249"/>
      <c r="G554" s="249"/>
      <c r="H554" s="249"/>
      <c r="I554" s="249"/>
      <c r="J554" s="249"/>
      <c r="K554" s="249"/>
      <c r="L554" s="249"/>
      <c r="M554" s="249"/>
      <c r="N554" s="249"/>
      <c r="O554" s="249"/>
      <c r="P554" s="249"/>
      <c r="Q554" s="249"/>
      <c r="R554" s="249"/>
      <c r="S554" s="249"/>
      <c r="T554" s="249"/>
      <c r="U554" s="249"/>
      <c r="V554" s="249"/>
      <c r="W554" s="249"/>
      <c r="X554" s="249"/>
      <c r="Y554" s="249"/>
      <c r="Z554" s="249"/>
      <c r="AA554" s="249"/>
      <c r="AB554" s="249"/>
      <c r="AC554" s="249"/>
      <c r="AD554" s="249"/>
    </row>
    <row r="555" spans="1:30" ht="12.9">
      <c r="A555" s="249"/>
      <c r="B555" s="249"/>
      <c r="C555" s="249"/>
      <c r="D555" s="249"/>
      <c r="E555" s="249"/>
      <c r="F555" s="249"/>
      <c r="G555" s="249"/>
      <c r="H555" s="249"/>
      <c r="I555" s="249"/>
      <c r="J555" s="249"/>
      <c r="K555" s="249"/>
      <c r="L555" s="249"/>
      <c r="M555" s="249"/>
      <c r="N555" s="249"/>
      <c r="O555" s="249"/>
      <c r="P555" s="249"/>
      <c r="Q555" s="249"/>
      <c r="R555" s="249"/>
      <c r="S555" s="249"/>
      <c r="T555" s="249"/>
      <c r="U555" s="249"/>
      <c r="V555" s="249"/>
      <c r="W555" s="249"/>
      <c r="X555" s="249"/>
      <c r="Y555" s="249"/>
      <c r="Z555" s="249"/>
      <c r="AA555" s="249"/>
      <c r="AB555" s="249"/>
      <c r="AC555" s="249"/>
      <c r="AD555" s="249"/>
    </row>
    <row r="556" spans="1:30" ht="12.9">
      <c r="A556" s="249"/>
      <c r="B556" s="249"/>
      <c r="C556" s="249"/>
      <c r="D556" s="249"/>
      <c r="E556" s="249"/>
      <c r="F556" s="249"/>
      <c r="G556" s="249"/>
      <c r="H556" s="249"/>
      <c r="I556" s="249"/>
      <c r="J556" s="249"/>
      <c r="K556" s="249"/>
      <c r="L556" s="249"/>
      <c r="M556" s="249"/>
      <c r="N556" s="249"/>
      <c r="O556" s="249"/>
      <c r="P556" s="249"/>
      <c r="Q556" s="249"/>
      <c r="R556" s="249"/>
      <c r="S556" s="249"/>
      <c r="T556" s="249"/>
      <c r="U556" s="249"/>
      <c r="V556" s="249"/>
      <c r="W556" s="249"/>
      <c r="X556" s="249"/>
      <c r="Y556" s="249"/>
      <c r="Z556" s="249"/>
      <c r="AA556" s="249"/>
      <c r="AB556" s="249"/>
      <c r="AC556" s="249"/>
      <c r="AD556" s="249"/>
    </row>
    <row r="557" spans="1:30" ht="12.9">
      <c r="A557" s="249"/>
      <c r="B557" s="249"/>
      <c r="C557" s="249"/>
      <c r="D557" s="249"/>
      <c r="E557" s="249"/>
      <c r="F557" s="249"/>
      <c r="G557" s="249"/>
      <c r="H557" s="249"/>
      <c r="I557" s="249"/>
      <c r="J557" s="249"/>
      <c r="K557" s="249"/>
      <c r="L557" s="249"/>
      <c r="M557" s="249"/>
      <c r="N557" s="249"/>
      <c r="O557" s="249"/>
      <c r="P557" s="249"/>
      <c r="Q557" s="249"/>
      <c r="R557" s="249"/>
      <c r="S557" s="249"/>
      <c r="T557" s="249"/>
      <c r="U557" s="249"/>
      <c r="V557" s="249"/>
      <c r="W557" s="249"/>
      <c r="X557" s="249"/>
      <c r="Y557" s="249"/>
      <c r="Z557" s="249"/>
      <c r="AA557" s="249"/>
      <c r="AB557" s="249"/>
      <c r="AC557" s="249"/>
      <c r="AD557" s="249"/>
    </row>
    <row r="558" spans="1:30" ht="12.9">
      <c r="A558" s="249"/>
      <c r="B558" s="249"/>
      <c r="C558" s="249"/>
      <c r="D558" s="249"/>
      <c r="E558" s="249"/>
      <c r="F558" s="249"/>
      <c r="G558" s="249"/>
      <c r="H558" s="249"/>
      <c r="I558" s="249"/>
      <c r="J558" s="249"/>
      <c r="K558" s="249"/>
      <c r="L558" s="249"/>
      <c r="M558" s="249"/>
      <c r="N558" s="249"/>
      <c r="O558" s="249"/>
      <c r="P558" s="249"/>
      <c r="Q558" s="249"/>
      <c r="R558" s="249"/>
      <c r="S558" s="249"/>
      <c r="T558" s="249"/>
      <c r="U558" s="249"/>
      <c r="V558" s="249"/>
      <c r="W558" s="249"/>
      <c r="X558" s="249"/>
      <c r="Y558" s="249"/>
      <c r="Z558" s="249"/>
      <c r="AA558" s="249"/>
      <c r="AB558" s="249"/>
      <c r="AC558" s="249"/>
      <c r="AD558" s="249"/>
    </row>
    <row r="559" spans="1:30" ht="12.9">
      <c r="A559" s="249"/>
      <c r="B559" s="249"/>
      <c r="C559" s="249"/>
      <c r="D559" s="249"/>
      <c r="E559" s="249"/>
      <c r="F559" s="249"/>
      <c r="G559" s="249"/>
      <c r="H559" s="249"/>
      <c r="I559" s="249"/>
      <c r="J559" s="249"/>
      <c r="K559" s="249"/>
      <c r="L559" s="249"/>
      <c r="M559" s="249"/>
      <c r="N559" s="249"/>
      <c r="O559" s="249"/>
      <c r="P559" s="249"/>
      <c r="Q559" s="249"/>
      <c r="R559" s="249"/>
      <c r="S559" s="249"/>
      <c r="T559" s="249"/>
      <c r="U559" s="249"/>
      <c r="V559" s="249"/>
      <c r="W559" s="249"/>
      <c r="X559" s="249"/>
      <c r="Y559" s="249"/>
      <c r="Z559" s="249"/>
      <c r="AA559" s="249"/>
      <c r="AB559" s="249"/>
      <c r="AC559" s="249"/>
      <c r="AD559" s="249"/>
    </row>
    <row r="560" spans="1:30" ht="12.9">
      <c r="A560" s="249"/>
      <c r="B560" s="249"/>
      <c r="C560" s="249"/>
      <c r="D560" s="249"/>
      <c r="E560" s="249"/>
      <c r="F560" s="249"/>
      <c r="G560" s="249"/>
      <c r="H560" s="249"/>
      <c r="I560" s="249"/>
      <c r="J560" s="249"/>
      <c r="K560" s="249"/>
      <c r="L560" s="249"/>
      <c r="M560" s="249"/>
      <c r="N560" s="249"/>
      <c r="O560" s="249"/>
      <c r="P560" s="249"/>
      <c r="Q560" s="249"/>
      <c r="R560" s="249"/>
      <c r="S560" s="249"/>
      <c r="T560" s="249"/>
      <c r="U560" s="249"/>
      <c r="V560" s="249"/>
      <c r="W560" s="249"/>
      <c r="X560" s="249"/>
      <c r="Y560" s="249"/>
      <c r="Z560" s="249"/>
      <c r="AA560" s="249"/>
      <c r="AB560" s="249"/>
      <c r="AC560" s="249"/>
      <c r="AD560" s="249"/>
    </row>
    <row r="561" spans="1:30" ht="12.9">
      <c r="A561" s="249"/>
      <c r="B561" s="249"/>
      <c r="C561" s="249"/>
      <c r="D561" s="249"/>
      <c r="E561" s="249"/>
      <c r="F561" s="249"/>
      <c r="G561" s="249"/>
      <c r="H561" s="249"/>
      <c r="I561" s="249"/>
      <c r="J561" s="249"/>
      <c r="K561" s="249"/>
      <c r="L561" s="249"/>
      <c r="M561" s="249"/>
      <c r="N561" s="249"/>
      <c r="O561" s="249"/>
      <c r="P561" s="249"/>
      <c r="Q561" s="249"/>
      <c r="R561" s="249"/>
      <c r="S561" s="249"/>
      <c r="T561" s="249"/>
      <c r="U561" s="249"/>
      <c r="V561" s="249"/>
      <c r="W561" s="249"/>
      <c r="X561" s="249"/>
      <c r="Y561" s="249"/>
      <c r="Z561" s="249"/>
      <c r="AA561" s="249"/>
      <c r="AB561" s="249"/>
      <c r="AC561" s="249"/>
      <c r="AD561" s="249"/>
    </row>
    <row r="562" spans="1:30" ht="12.9">
      <c r="A562" s="249"/>
      <c r="B562" s="249"/>
      <c r="C562" s="249"/>
      <c r="D562" s="249"/>
      <c r="E562" s="249"/>
      <c r="F562" s="249"/>
      <c r="G562" s="249"/>
      <c r="H562" s="249"/>
      <c r="I562" s="249"/>
      <c r="J562" s="249"/>
      <c r="K562" s="249"/>
      <c r="L562" s="249"/>
      <c r="M562" s="249"/>
      <c r="N562" s="249"/>
      <c r="O562" s="249"/>
      <c r="P562" s="249"/>
      <c r="Q562" s="249"/>
      <c r="R562" s="249"/>
      <c r="S562" s="249"/>
      <c r="T562" s="249"/>
      <c r="U562" s="249"/>
      <c r="V562" s="249"/>
      <c r="W562" s="249"/>
      <c r="X562" s="249"/>
      <c r="Y562" s="249"/>
      <c r="Z562" s="249"/>
      <c r="AA562" s="249"/>
      <c r="AB562" s="249"/>
      <c r="AC562" s="249"/>
      <c r="AD562" s="249"/>
    </row>
    <row r="563" spans="1:30" ht="12.9">
      <c r="A563" s="249"/>
      <c r="B563" s="249"/>
      <c r="C563" s="249"/>
      <c r="D563" s="249"/>
      <c r="E563" s="249"/>
      <c r="F563" s="249"/>
      <c r="G563" s="249"/>
      <c r="H563" s="249"/>
      <c r="I563" s="249"/>
      <c r="J563" s="249"/>
      <c r="K563" s="249"/>
      <c r="L563" s="249"/>
      <c r="M563" s="249"/>
      <c r="N563" s="249"/>
      <c r="O563" s="249"/>
      <c r="P563" s="249"/>
      <c r="Q563" s="249"/>
      <c r="R563" s="249"/>
      <c r="S563" s="249"/>
      <c r="T563" s="249"/>
      <c r="U563" s="249"/>
      <c r="V563" s="249"/>
      <c r="W563" s="249"/>
      <c r="X563" s="249"/>
      <c r="Y563" s="249"/>
      <c r="Z563" s="249"/>
      <c r="AA563" s="249"/>
      <c r="AB563" s="249"/>
      <c r="AC563" s="249"/>
      <c r="AD563" s="249"/>
    </row>
    <row r="564" spans="1:30" ht="12.9">
      <c r="A564" s="249"/>
      <c r="B564" s="249"/>
      <c r="C564" s="249"/>
      <c r="D564" s="249"/>
      <c r="E564" s="249"/>
      <c r="F564" s="249"/>
      <c r="G564" s="249"/>
      <c r="H564" s="249"/>
      <c r="I564" s="249"/>
      <c r="J564" s="249"/>
      <c r="K564" s="249"/>
      <c r="L564" s="249"/>
      <c r="M564" s="249"/>
      <c r="N564" s="249"/>
      <c r="O564" s="249"/>
      <c r="P564" s="249"/>
      <c r="Q564" s="249"/>
      <c r="R564" s="249"/>
      <c r="S564" s="249"/>
      <c r="T564" s="249"/>
      <c r="U564" s="249"/>
      <c r="V564" s="249"/>
      <c r="W564" s="249"/>
      <c r="X564" s="249"/>
      <c r="Y564" s="249"/>
      <c r="Z564" s="249"/>
      <c r="AA564" s="249"/>
      <c r="AB564" s="249"/>
      <c r="AC564" s="249"/>
      <c r="AD564" s="249"/>
    </row>
    <row r="565" spans="1:30" ht="12.9">
      <c r="A565" s="249"/>
      <c r="B565" s="249"/>
      <c r="C565" s="249"/>
      <c r="D565" s="249"/>
      <c r="E565" s="249"/>
      <c r="F565" s="249"/>
      <c r="G565" s="249"/>
      <c r="H565" s="249"/>
      <c r="I565" s="249"/>
      <c r="J565" s="249"/>
      <c r="K565" s="249"/>
      <c r="L565" s="249"/>
      <c r="M565" s="249"/>
      <c r="N565" s="249"/>
      <c r="O565" s="249"/>
      <c r="P565" s="249"/>
      <c r="Q565" s="249"/>
      <c r="R565" s="249"/>
      <c r="S565" s="249"/>
      <c r="T565" s="249"/>
      <c r="U565" s="249"/>
      <c r="V565" s="249"/>
      <c r="W565" s="249"/>
      <c r="X565" s="249"/>
      <c r="Y565" s="249"/>
      <c r="Z565" s="249"/>
      <c r="AA565" s="249"/>
      <c r="AB565" s="249"/>
      <c r="AC565" s="249"/>
      <c r="AD565" s="249"/>
    </row>
    <row r="566" spans="1:30" ht="12.9">
      <c r="A566" s="249"/>
      <c r="B566" s="249"/>
      <c r="C566" s="249"/>
      <c r="D566" s="249"/>
      <c r="E566" s="249"/>
      <c r="F566" s="249"/>
      <c r="G566" s="249"/>
      <c r="H566" s="249"/>
      <c r="I566" s="249"/>
      <c r="J566" s="249"/>
      <c r="K566" s="249"/>
      <c r="L566" s="249"/>
      <c r="M566" s="249"/>
      <c r="N566" s="249"/>
      <c r="O566" s="249"/>
      <c r="P566" s="249"/>
      <c r="Q566" s="249"/>
      <c r="R566" s="249"/>
      <c r="S566" s="249"/>
      <c r="T566" s="249"/>
      <c r="U566" s="249"/>
      <c r="V566" s="249"/>
      <c r="W566" s="249"/>
      <c r="X566" s="249"/>
      <c r="Y566" s="249"/>
      <c r="Z566" s="249"/>
      <c r="AA566" s="249"/>
      <c r="AB566" s="249"/>
      <c r="AC566" s="249"/>
      <c r="AD566" s="249"/>
    </row>
    <row r="567" spans="1:30" ht="12.9">
      <c r="A567" s="249"/>
      <c r="B567" s="249"/>
      <c r="C567" s="249"/>
      <c r="D567" s="249"/>
      <c r="E567" s="249"/>
      <c r="F567" s="249"/>
      <c r="G567" s="249"/>
      <c r="H567" s="249"/>
      <c r="I567" s="249"/>
      <c r="J567" s="249"/>
      <c r="K567" s="249"/>
      <c r="L567" s="249"/>
      <c r="M567" s="249"/>
      <c r="N567" s="249"/>
      <c r="O567" s="249"/>
      <c r="P567" s="249"/>
      <c r="Q567" s="249"/>
      <c r="R567" s="249"/>
      <c r="S567" s="249"/>
      <c r="T567" s="249"/>
      <c r="U567" s="249"/>
      <c r="V567" s="249"/>
      <c r="W567" s="249"/>
      <c r="X567" s="249"/>
      <c r="Y567" s="249"/>
      <c r="Z567" s="249"/>
      <c r="AA567" s="249"/>
      <c r="AB567" s="249"/>
      <c r="AC567" s="249"/>
      <c r="AD567" s="249"/>
    </row>
    <row r="568" spans="1:30" ht="12.9">
      <c r="A568" s="249"/>
      <c r="B568" s="249"/>
      <c r="C568" s="249"/>
      <c r="D568" s="249"/>
      <c r="E568" s="249"/>
      <c r="F568" s="249"/>
      <c r="G568" s="249"/>
      <c r="H568" s="249"/>
      <c r="I568" s="249"/>
      <c r="J568" s="249"/>
      <c r="K568" s="249"/>
      <c r="L568" s="249"/>
      <c r="M568" s="249"/>
      <c r="N568" s="249"/>
      <c r="O568" s="249"/>
      <c r="P568" s="249"/>
      <c r="Q568" s="249"/>
      <c r="R568" s="249"/>
      <c r="S568" s="249"/>
      <c r="T568" s="249"/>
      <c r="U568" s="249"/>
      <c r="V568" s="249"/>
      <c r="W568" s="249"/>
      <c r="X568" s="249"/>
      <c r="Y568" s="249"/>
      <c r="Z568" s="249"/>
      <c r="AA568" s="249"/>
      <c r="AB568" s="249"/>
      <c r="AC568" s="249"/>
      <c r="AD568" s="249"/>
    </row>
    <row r="569" spans="1:30" ht="12.9">
      <c r="A569" s="249"/>
      <c r="B569" s="249"/>
      <c r="C569" s="249"/>
      <c r="D569" s="249"/>
      <c r="E569" s="249"/>
      <c r="F569" s="249"/>
      <c r="G569" s="249"/>
      <c r="H569" s="249"/>
      <c r="I569" s="249"/>
      <c r="J569" s="249"/>
      <c r="K569" s="249"/>
      <c r="L569" s="249"/>
      <c r="M569" s="249"/>
      <c r="N569" s="249"/>
      <c r="O569" s="249"/>
      <c r="P569" s="249"/>
      <c r="Q569" s="249"/>
      <c r="R569" s="249"/>
      <c r="S569" s="249"/>
      <c r="T569" s="249"/>
      <c r="U569" s="249"/>
      <c r="V569" s="249"/>
      <c r="W569" s="249"/>
      <c r="X569" s="249"/>
      <c r="Y569" s="249"/>
      <c r="Z569" s="249"/>
      <c r="AA569" s="249"/>
      <c r="AB569" s="249"/>
      <c r="AC569" s="249"/>
      <c r="AD569" s="249"/>
    </row>
    <row r="570" spans="1:30" ht="12.9">
      <c r="A570" s="249"/>
      <c r="B570" s="249"/>
      <c r="C570" s="249"/>
      <c r="D570" s="249"/>
      <c r="E570" s="249"/>
      <c r="F570" s="249"/>
      <c r="G570" s="249"/>
      <c r="H570" s="249"/>
      <c r="I570" s="249"/>
      <c r="J570" s="249"/>
      <c r="K570" s="249"/>
      <c r="L570" s="249"/>
      <c r="M570" s="249"/>
      <c r="N570" s="249"/>
      <c r="O570" s="249"/>
      <c r="P570" s="249"/>
      <c r="Q570" s="249"/>
      <c r="R570" s="249"/>
      <c r="S570" s="249"/>
      <c r="T570" s="249"/>
      <c r="U570" s="249"/>
      <c r="V570" s="249"/>
      <c r="W570" s="249"/>
      <c r="X570" s="249"/>
      <c r="Y570" s="249"/>
      <c r="Z570" s="249"/>
      <c r="AA570" s="249"/>
      <c r="AB570" s="249"/>
      <c r="AC570" s="249"/>
      <c r="AD570" s="249"/>
    </row>
    <row r="571" spans="1:30" ht="12.9">
      <c r="A571" s="249"/>
      <c r="B571" s="249"/>
      <c r="C571" s="249"/>
      <c r="D571" s="249"/>
      <c r="E571" s="249"/>
      <c r="F571" s="249"/>
      <c r="G571" s="249"/>
      <c r="H571" s="249"/>
      <c r="I571" s="249"/>
      <c r="J571" s="249"/>
      <c r="K571" s="249"/>
      <c r="L571" s="249"/>
      <c r="M571" s="249"/>
      <c r="N571" s="249"/>
      <c r="O571" s="249"/>
      <c r="P571" s="249"/>
      <c r="Q571" s="249"/>
      <c r="R571" s="249"/>
      <c r="S571" s="249"/>
      <c r="T571" s="249"/>
      <c r="U571" s="249"/>
      <c r="V571" s="249"/>
      <c r="W571" s="249"/>
      <c r="X571" s="249"/>
      <c r="Y571" s="249"/>
      <c r="Z571" s="249"/>
      <c r="AA571" s="249"/>
      <c r="AB571" s="249"/>
      <c r="AC571" s="249"/>
      <c r="AD571" s="249"/>
    </row>
    <row r="572" spans="1:30" ht="12.9">
      <c r="A572" s="249"/>
      <c r="B572" s="249"/>
      <c r="C572" s="249"/>
      <c r="D572" s="249"/>
      <c r="E572" s="249"/>
      <c r="F572" s="249"/>
      <c r="G572" s="249"/>
      <c r="H572" s="249"/>
      <c r="I572" s="249"/>
      <c r="J572" s="249"/>
      <c r="K572" s="249"/>
      <c r="L572" s="249"/>
      <c r="M572" s="249"/>
      <c r="N572" s="249"/>
      <c r="O572" s="249"/>
      <c r="P572" s="249"/>
      <c r="Q572" s="249"/>
      <c r="R572" s="249"/>
      <c r="S572" s="249"/>
      <c r="T572" s="249"/>
      <c r="U572" s="249"/>
      <c r="V572" s="249"/>
      <c r="W572" s="249"/>
      <c r="X572" s="249"/>
      <c r="Y572" s="249"/>
      <c r="Z572" s="249"/>
      <c r="AA572" s="249"/>
      <c r="AB572" s="249"/>
      <c r="AC572" s="249"/>
      <c r="AD572" s="249"/>
    </row>
    <row r="573" spans="1:30" ht="12.9">
      <c r="A573" s="249"/>
      <c r="B573" s="249"/>
      <c r="C573" s="249"/>
      <c r="D573" s="249"/>
      <c r="E573" s="249"/>
      <c r="F573" s="249"/>
      <c r="G573" s="249"/>
      <c r="H573" s="249"/>
      <c r="I573" s="249"/>
      <c r="J573" s="249"/>
      <c r="K573" s="249"/>
      <c r="L573" s="249"/>
      <c r="M573" s="249"/>
      <c r="N573" s="249"/>
      <c r="O573" s="249"/>
      <c r="P573" s="249"/>
      <c r="Q573" s="249"/>
      <c r="R573" s="249"/>
      <c r="S573" s="249"/>
      <c r="T573" s="249"/>
      <c r="U573" s="249"/>
      <c r="V573" s="249"/>
      <c r="W573" s="249"/>
      <c r="X573" s="249"/>
      <c r="Y573" s="249"/>
      <c r="Z573" s="249"/>
      <c r="AA573" s="249"/>
      <c r="AB573" s="249"/>
      <c r="AC573" s="249"/>
      <c r="AD573" s="249"/>
    </row>
    <row r="574" spans="1:30" ht="12.9">
      <c r="A574" s="249"/>
      <c r="B574" s="249"/>
      <c r="C574" s="249"/>
      <c r="D574" s="249"/>
      <c r="E574" s="249"/>
      <c r="F574" s="249"/>
      <c r="G574" s="249"/>
      <c r="H574" s="249"/>
      <c r="I574" s="249"/>
      <c r="J574" s="249"/>
      <c r="K574" s="249"/>
      <c r="L574" s="249"/>
      <c r="M574" s="249"/>
      <c r="N574" s="249"/>
      <c r="O574" s="249"/>
      <c r="P574" s="249"/>
      <c r="Q574" s="249"/>
      <c r="R574" s="249"/>
      <c r="S574" s="249"/>
      <c r="T574" s="249"/>
      <c r="U574" s="249"/>
      <c r="V574" s="249"/>
      <c r="W574" s="249"/>
      <c r="X574" s="249"/>
      <c r="Y574" s="249"/>
      <c r="Z574" s="249"/>
      <c r="AA574" s="249"/>
      <c r="AB574" s="249"/>
      <c r="AC574" s="249"/>
      <c r="AD574" s="249"/>
    </row>
    <row r="575" spans="1:30" ht="12.9">
      <c r="A575" s="249"/>
      <c r="B575" s="249"/>
      <c r="C575" s="249"/>
      <c r="D575" s="249"/>
      <c r="E575" s="249"/>
      <c r="F575" s="249"/>
      <c r="G575" s="249"/>
      <c r="H575" s="249"/>
      <c r="I575" s="249"/>
      <c r="J575" s="249"/>
      <c r="K575" s="249"/>
      <c r="L575" s="249"/>
      <c r="M575" s="249"/>
      <c r="N575" s="249"/>
      <c r="O575" s="249"/>
      <c r="P575" s="249"/>
      <c r="Q575" s="249"/>
      <c r="R575" s="249"/>
      <c r="S575" s="249"/>
      <c r="T575" s="249"/>
      <c r="U575" s="249"/>
      <c r="V575" s="249"/>
      <c r="W575" s="249"/>
      <c r="X575" s="249"/>
      <c r="Y575" s="249"/>
      <c r="Z575" s="249"/>
      <c r="AA575" s="249"/>
      <c r="AB575" s="249"/>
      <c r="AC575" s="249"/>
      <c r="AD575" s="249"/>
    </row>
    <row r="576" spans="1:30" ht="12.9">
      <c r="A576" s="249"/>
      <c r="B576" s="249"/>
      <c r="C576" s="249"/>
      <c r="D576" s="249"/>
      <c r="E576" s="249"/>
      <c r="F576" s="249"/>
      <c r="G576" s="249"/>
      <c r="H576" s="249"/>
      <c r="I576" s="249"/>
      <c r="J576" s="249"/>
      <c r="K576" s="249"/>
      <c r="L576" s="249"/>
      <c r="M576" s="249"/>
      <c r="N576" s="249"/>
      <c r="O576" s="249"/>
      <c r="P576" s="249"/>
      <c r="Q576" s="249"/>
      <c r="R576" s="249"/>
      <c r="S576" s="249"/>
      <c r="T576" s="249"/>
      <c r="U576" s="249"/>
      <c r="V576" s="249"/>
      <c r="W576" s="249"/>
      <c r="X576" s="249"/>
      <c r="Y576" s="249"/>
      <c r="Z576" s="249"/>
      <c r="AA576" s="249"/>
      <c r="AB576" s="249"/>
      <c r="AC576" s="249"/>
      <c r="AD576" s="249"/>
    </row>
    <row r="577" spans="1:30" ht="12.9">
      <c r="A577" s="249"/>
      <c r="B577" s="249"/>
      <c r="C577" s="249"/>
      <c r="D577" s="249"/>
      <c r="E577" s="249"/>
      <c r="F577" s="249"/>
      <c r="G577" s="249"/>
      <c r="H577" s="249"/>
      <c r="I577" s="249"/>
      <c r="J577" s="249"/>
      <c r="K577" s="249"/>
      <c r="L577" s="249"/>
      <c r="M577" s="249"/>
      <c r="N577" s="249"/>
      <c r="O577" s="249"/>
      <c r="P577" s="249"/>
      <c r="Q577" s="249"/>
      <c r="R577" s="249"/>
      <c r="S577" s="249"/>
      <c r="T577" s="249"/>
      <c r="U577" s="249"/>
      <c r="V577" s="249"/>
      <c r="W577" s="249"/>
      <c r="X577" s="249"/>
      <c r="Y577" s="249"/>
      <c r="Z577" s="249"/>
      <c r="AA577" s="249"/>
      <c r="AB577" s="249"/>
      <c r="AC577" s="249"/>
      <c r="AD577" s="249"/>
    </row>
    <row r="578" spans="1:30" ht="12.9">
      <c r="A578" s="249"/>
      <c r="B578" s="249"/>
      <c r="C578" s="249"/>
      <c r="D578" s="249"/>
      <c r="E578" s="249"/>
      <c r="F578" s="249"/>
      <c r="G578" s="249"/>
      <c r="H578" s="249"/>
      <c r="I578" s="249"/>
      <c r="J578" s="249"/>
      <c r="K578" s="249"/>
      <c r="L578" s="249"/>
      <c r="M578" s="249"/>
      <c r="N578" s="249"/>
      <c r="O578" s="249"/>
      <c r="P578" s="249"/>
      <c r="Q578" s="249"/>
      <c r="R578" s="249"/>
      <c r="S578" s="249"/>
      <c r="T578" s="249"/>
      <c r="U578" s="249"/>
      <c r="V578" s="249"/>
      <c r="W578" s="249"/>
      <c r="X578" s="249"/>
      <c r="Y578" s="249"/>
      <c r="Z578" s="249"/>
      <c r="AA578" s="249"/>
      <c r="AB578" s="249"/>
      <c r="AC578" s="249"/>
      <c r="AD578" s="249"/>
    </row>
    <row r="579" spans="1:30" ht="12.9">
      <c r="A579" s="249"/>
      <c r="B579" s="249"/>
      <c r="C579" s="249"/>
      <c r="D579" s="249"/>
      <c r="E579" s="249"/>
      <c r="F579" s="249"/>
      <c r="G579" s="249"/>
      <c r="H579" s="249"/>
      <c r="I579" s="249"/>
      <c r="J579" s="249"/>
      <c r="K579" s="249"/>
      <c r="L579" s="249"/>
      <c r="M579" s="249"/>
      <c r="N579" s="249"/>
      <c r="O579" s="249"/>
      <c r="P579" s="249"/>
      <c r="Q579" s="249"/>
      <c r="R579" s="249"/>
      <c r="S579" s="249"/>
      <c r="T579" s="249"/>
      <c r="U579" s="249"/>
      <c r="V579" s="249"/>
      <c r="W579" s="249"/>
      <c r="X579" s="249"/>
      <c r="Y579" s="249"/>
      <c r="Z579" s="249"/>
      <c r="AA579" s="249"/>
      <c r="AB579" s="249"/>
      <c r="AC579" s="249"/>
      <c r="AD579" s="249"/>
    </row>
    <row r="580" spans="1:30" ht="12.9">
      <c r="A580" s="249"/>
      <c r="B580" s="249"/>
      <c r="C580" s="249"/>
      <c r="D580" s="249"/>
      <c r="E580" s="249"/>
      <c r="F580" s="249"/>
      <c r="G580" s="249"/>
      <c r="H580" s="249"/>
      <c r="I580" s="249"/>
      <c r="J580" s="249"/>
      <c r="K580" s="249"/>
      <c r="L580" s="249"/>
      <c r="M580" s="249"/>
      <c r="N580" s="249"/>
      <c r="O580" s="249"/>
      <c r="P580" s="249"/>
      <c r="Q580" s="249"/>
      <c r="R580" s="249"/>
      <c r="S580" s="249"/>
      <c r="T580" s="249"/>
      <c r="U580" s="249"/>
      <c r="V580" s="249"/>
      <c r="W580" s="249"/>
      <c r="X580" s="249"/>
      <c r="Y580" s="249"/>
      <c r="Z580" s="249"/>
      <c r="AA580" s="249"/>
      <c r="AB580" s="249"/>
      <c r="AC580" s="249"/>
      <c r="AD580" s="249"/>
    </row>
    <row r="581" spans="1:30" ht="12.9">
      <c r="A581" s="249"/>
      <c r="B581" s="249"/>
      <c r="C581" s="249"/>
      <c r="D581" s="249"/>
      <c r="E581" s="249"/>
      <c r="F581" s="249"/>
      <c r="G581" s="249"/>
      <c r="H581" s="249"/>
      <c r="I581" s="249"/>
      <c r="J581" s="249"/>
      <c r="K581" s="249"/>
      <c r="L581" s="249"/>
      <c r="M581" s="249"/>
      <c r="N581" s="249"/>
      <c r="O581" s="249"/>
      <c r="P581" s="249"/>
      <c r="Q581" s="249"/>
      <c r="R581" s="249"/>
      <c r="S581" s="249"/>
      <c r="T581" s="249"/>
      <c r="U581" s="249"/>
      <c r="V581" s="249"/>
      <c r="W581" s="249"/>
      <c r="X581" s="249"/>
      <c r="Y581" s="249"/>
      <c r="Z581" s="249"/>
      <c r="AA581" s="249"/>
      <c r="AB581" s="249"/>
      <c r="AC581" s="249"/>
      <c r="AD581" s="249"/>
    </row>
    <row r="582" spans="1:30" ht="12.9">
      <c r="A582" s="249"/>
      <c r="B582" s="249"/>
      <c r="C582" s="249"/>
      <c r="D582" s="249"/>
      <c r="E582" s="249"/>
      <c r="F582" s="249"/>
      <c r="G582" s="249"/>
      <c r="H582" s="249"/>
      <c r="I582" s="249"/>
      <c r="J582" s="249"/>
      <c r="K582" s="249"/>
      <c r="L582" s="249"/>
      <c r="M582" s="249"/>
      <c r="N582" s="249"/>
      <c r="O582" s="249"/>
      <c r="P582" s="249"/>
      <c r="Q582" s="249"/>
      <c r="R582" s="249"/>
      <c r="S582" s="249"/>
      <c r="T582" s="249"/>
      <c r="U582" s="249"/>
      <c r="V582" s="249"/>
      <c r="W582" s="249"/>
      <c r="X582" s="249"/>
      <c r="Y582" s="249"/>
      <c r="Z582" s="249"/>
      <c r="AA582" s="249"/>
      <c r="AB582" s="249"/>
      <c r="AC582" s="249"/>
      <c r="AD582" s="249"/>
    </row>
    <row r="583" spans="1:30" ht="12.9">
      <c r="A583" s="249"/>
      <c r="B583" s="249"/>
      <c r="C583" s="249"/>
      <c r="D583" s="249"/>
      <c r="E583" s="249"/>
      <c r="F583" s="249"/>
      <c r="G583" s="249"/>
      <c r="H583" s="249"/>
      <c r="I583" s="249"/>
      <c r="J583" s="249"/>
      <c r="K583" s="249"/>
      <c r="L583" s="249"/>
      <c r="M583" s="249"/>
      <c r="N583" s="249"/>
      <c r="O583" s="249"/>
      <c r="P583" s="249"/>
      <c r="Q583" s="249"/>
      <c r="R583" s="249"/>
      <c r="S583" s="249"/>
      <c r="T583" s="249"/>
      <c r="U583" s="249"/>
      <c r="V583" s="249"/>
      <c r="W583" s="249"/>
      <c r="X583" s="249"/>
      <c r="Y583" s="249"/>
      <c r="Z583" s="249"/>
      <c r="AA583" s="249"/>
      <c r="AB583" s="249"/>
      <c r="AC583" s="249"/>
      <c r="AD583" s="249"/>
    </row>
    <row r="584" spans="1:30" ht="12.9">
      <c r="A584" s="249"/>
      <c r="B584" s="249"/>
      <c r="C584" s="249"/>
      <c r="D584" s="249"/>
      <c r="E584" s="249"/>
      <c r="F584" s="249"/>
      <c r="G584" s="249"/>
      <c r="H584" s="249"/>
      <c r="I584" s="249"/>
      <c r="J584" s="249"/>
      <c r="K584" s="249"/>
      <c r="L584" s="249"/>
      <c r="M584" s="249"/>
      <c r="N584" s="249"/>
      <c r="O584" s="249"/>
      <c r="P584" s="249"/>
      <c r="Q584" s="249"/>
      <c r="R584" s="249"/>
      <c r="S584" s="249"/>
      <c r="T584" s="249"/>
      <c r="U584" s="249"/>
      <c r="V584" s="249"/>
      <c r="W584" s="249"/>
      <c r="X584" s="249"/>
      <c r="Y584" s="249"/>
      <c r="Z584" s="249"/>
      <c r="AA584" s="249"/>
      <c r="AB584" s="249"/>
      <c r="AC584" s="249"/>
      <c r="AD584" s="249"/>
    </row>
    <row r="585" spans="1:30" ht="12.9">
      <c r="A585" s="249"/>
      <c r="B585" s="249"/>
      <c r="C585" s="249"/>
      <c r="D585" s="249"/>
      <c r="E585" s="249"/>
      <c r="F585" s="249"/>
      <c r="G585" s="249"/>
      <c r="H585" s="249"/>
      <c r="I585" s="249"/>
      <c r="J585" s="249"/>
      <c r="K585" s="249"/>
      <c r="L585" s="249"/>
      <c r="M585" s="249"/>
      <c r="N585" s="249"/>
      <c r="O585" s="249"/>
      <c r="P585" s="249"/>
      <c r="Q585" s="249"/>
      <c r="R585" s="249"/>
      <c r="S585" s="249"/>
      <c r="T585" s="249"/>
      <c r="U585" s="249"/>
      <c r="V585" s="249"/>
      <c r="W585" s="249"/>
      <c r="X585" s="249"/>
      <c r="Y585" s="249"/>
      <c r="Z585" s="249"/>
      <c r="AA585" s="249"/>
      <c r="AB585" s="249"/>
      <c r="AC585" s="249"/>
      <c r="AD585" s="249"/>
    </row>
    <row r="586" spans="1:30" ht="12.9">
      <c r="A586" s="249"/>
      <c r="B586" s="249"/>
      <c r="C586" s="249"/>
      <c r="D586" s="249"/>
      <c r="E586" s="249"/>
      <c r="F586" s="249"/>
      <c r="G586" s="249"/>
      <c r="H586" s="249"/>
      <c r="I586" s="249"/>
      <c r="J586" s="249"/>
      <c r="K586" s="249"/>
      <c r="L586" s="249"/>
      <c r="M586" s="249"/>
      <c r="N586" s="249"/>
      <c r="O586" s="249"/>
      <c r="P586" s="249"/>
      <c r="Q586" s="249"/>
      <c r="R586" s="249"/>
      <c r="S586" s="249"/>
      <c r="T586" s="249"/>
      <c r="U586" s="249"/>
      <c r="V586" s="249"/>
      <c r="W586" s="249"/>
      <c r="X586" s="249"/>
      <c r="Y586" s="249"/>
      <c r="Z586" s="249"/>
      <c r="AA586" s="249"/>
      <c r="AB586" s="249"/>
      <c r="AC586" s="249"/>
      <c r="AD586" s="249"/>
    </row>
    <row r="587" spans="1:30" ht="12.9">
      <c r="A587" s="249"/>
      <c r="B587" s="249"/>
      <c r="C587" s="249"/>
      <c r="D587" s="249"/>
      <c r="E587" s="249"/>
      <c r="F587" s="249"/>
      <c r="G587" s="249"/>
      <c r="H587" s="249"/>
      <c r="I587" s="249"/>
      <c r="J587" s="249"/>
      <c r="K587" s="249"/>
      <c r="L587" s="249"/>
      <c r="M587" s="249"/>
      <c r="N587" s="249"/>
      <c r="O587" s="249"/>
      <c r="P587" s="249"/>
      <c r="Q587" s="249"/>
      <c r="R587" s="249"/>
      <c r="S587" s="249"/>
      <c r="T587" s="249"/>
      <c r="U587" s="249"/>
      <c r="V587" s="249"/>
      <c r="W587" s="249"/>
      <c r="X587" s="249"/>
      <c r="Y587" s="249"/>
      <c r="Z587" s="249"/>
      <c r="AA587" s="249"/>
      <c r="AB587" s="249"/>
      <c r="AC587" s="249"/>
      <c r="AD587" s="249"/>
    </row>
    <row r="588" spans="1:30" ht="12.9">
      <c r="A588" s="249"/>
      <c r="B588" s="249"/>
      <c r="C588" s="249"/>
      <c r="D588" s="249"/>
      <c r="E588" s="249"/>
      <c r="F588" s="249"/>
      <c r="G588" s="249"/>
      <c r="H588" s="249"/>
      <c r="I588" s="249"/>
      <c r="J588" s="249"/>
      <c r="K588" s="249"/>
      <c r="L588" s="249"/>
      <c r="M588" s="249"/>
      <c r="N588" s="249"/>
      <c r="O588" s="249"/>
      <c r="P588" s="249"/>
      <c r="Q588" s="249"/>
      <c r="R588" s="249"/>
      <c r="S588" s="249"/>
      <c r="T588" s="249"/>
      <c r="U588" s="249"/>
      <c r="V588" s="249"/>
      <c r="W588" s="249"/>
      <c r="X588" s="249"/>
      <c r="Y588" s="249"/>
      <c r="Z588" s="249"/>
      <c r="AA588" s="249"/>
      <c r="AB588" s="249"/>
      <c r="AC588" s="249"/>
      <c r="AD588" s="249"/>
    </row>
    <row r="589" spans="1:30" ht="12.9">
      <c r="A589" s="249"/>
      <c r="B589" s="249"/>
      <c r="C589" s="249"/>
      <c r="D589" s="249"/>
      <c r="E589" s="249"/>
      <c r="F589" s="249"/>
      <c r="G589" s="249"/>
      <c r="H589" s="249"/>
      <c r="I589" s="249"/>
      <c r="J589" s="249"/>
      <c r="K589" s="249"/>
      <c r="L589" s="249"/>
      <c r="M589" s="249"/>
      <c r="N589" s="249"/>
      <c r="O589" s="249"/>
      <c r="P589" s="249"/>
      <c r="Q589" s="249"/>
      <c r="R589" s="249"/>
      <c r="S589" s="249"/>
      <c r="T589" s="249"/>
      <c r="U589" s="249"/>
      <c r="V589" s="249"/>
      <c r="W589" s="249"/>
      <c r="X589" s="249"/>
      <c r="Y589" s="249"/>
      <c r="Z589" s="249"/>
      <c r="AA589" s="249"/>
      <c r="AB589" s="249"/>
      <c r="AC589" s="249"/>
      <c r="AD589" s="249"/>
    </row>
    <row r="590" spans="1:30" ht="12.9">
      <c r="A590" s="249"/>
      <c r="B590" s="249"/>
      <c r="C590" s="249"/>
      <c r="D590" s="249"/>
      <c r="E590" s="249"/>
      <c r="F590" s="249"/>
      <c r="G590" s="249"/>
      <c r="H590" s="249"/>
      <c r="I590" s="249"/>
      <c r="J590" s="249"/>
      <c r="K590" s="249"/>
      <c r="L590" s="249"/>
      <c r="M590" s="249"/>
      <c r="N590" s="249"/>
      <c r="O590" s="249"/>
      <c r="P590" s="249"/>
      <c r="Q590" s="249"/>
      <c r="R590" s="249"/>
      <c r="S590" s="249"/>
      <c r="T590" s="249"/>
      <c r="U590" s="249"/>
      <c r="V590" s="249"/>
      <c r="W590" s="249"/>
      <c r="X590" s="249"/>
      <c r="Y590" s="249"/>
      <c r="Z590" s="249"/>
      <c r="AA590" s="249"/>
      <c r="AB590" s="249"/>
      <c r="AC590" s="249"/>
      <c r="AD590" s="249"/>
    </row>
    <row r="591" spans="1:30" ht="12.9">
      <c r="A591" s="249"/>
      <c r="B591" s="249"/>
      <c r="C591" s="249"/>
      <c r="D591" s="249"/>
      <c r="E591" s="249"/>
      <c r="F591" s="249"/>
      <c r="G591" s="249"/>
      <c r="H591" s="249"/>
      <c r="I591" s="249"/>
      <c r="J591" s="249"/>
      <c r="K591" s="249"/>
      <c r="L591" s="249"/>
      <c r="M591" s="249"/>
      <c r="N591" s="249"/>
      <c r="O591" s="249"/>
      <c r="P591" s="249"/>
      <c r="Q591" s="249"/>
      <c r="R591" s="249"/>
      <c r="S591" s="249"/>
      <c r="T591" s="249"/>
      <c r="U591" s="249"/>
      <c r="V591" s="249"/>
      <c r="W591" s="249"/>
      <c r="X591" s="249"/>
      <c r="Y591" s="249"/>
      <c r="Z591" s="249"/>
      <c r="AA591" s="249"/>
      <c r="AB591" s="249"/>
      <c r="AC591" s="249"/>
      <c r="AD591" s="249"/>
    </row>
    <row r="592" spans="1:30" ht="12.9">
      <c r="A592" s="249"/>
      <c r="B592" s="249"/>
      <c r="C592" s="249"/>
      <c r="D592" s="249"/>
      <c r="E592" s="249"/>
      <c r="F592" s="249"/>
      <c r="G592" s="249"/>
      <c r="H592" s="249"/>
      <c r="I592" s="249"/>
      <c r="J592" s="249"/>
      <c r="K592" s="249"/>
      <c r="L592" s="249"/>
      <c r="M592" s="249"/>
      <c r="N592" s="249"/>
      <c r="O592" s="249"/>
      <c r="P592" s="249"/>
      <c r="Q592" s="249"/>
      <c r="R592" s="249"/>
      <c r="S592" s="249"/>
      <c r="T592" s="249"/>
      <c r="U592" s="249"/>
      <c r="V592" s="249"/>
      <c r="W592" s="249"/>
      <c r="X592" s="249"/>
      <c r="Y592" s="249"/>
      <c r="Z592" s="249"/>
      <c r="AA592" s="249"/>
      <c r="AB592" s="249"/>
      <c r="AC592" s="249"/>
      <c r="AD592" s="249"/>
    </row>
    <row r="593" spans="1:30" ht="12.9">
      <c r="A593" s="249"/>
      <c r="B593" s="249"/>
      <c r="C593" s="249"/>
      <c r="D593" s="249"/>
      <c r="E593" s="249"/>
      <c r="F593" s="249"/>
      <c r="G593" s="249"/>
      <c r="H593" s="249"/>
      <c r="I593" s="249"/>
      <c r="J593" s="249"/>
      <c r="K593" s="249"/>
      <c r="L593" s="249"/>
      <c r="M593" s="249"/>
      <c r="N593" s="249"/>
      <c r="O593" s="249"/>
      <c r="P593" s="249"/>
      <c r="Q593" s="249"/>
      <c r="R593" s="249"/>
      <c r="S593" s="249"/>
      <c r="T593" s="249"/>
      <c r="U593" s="249"/>
      <c r="V593" s="249"/>
      <c r="W593" s="249"/>
      <c r="X593" s="249"/>
      <c r="Y593" s="249"/>
      <c r="Z593" s="249"/>
      <c r="AA593" s="249"/>
      <c r="AB593" s="249"/>
      <c r="AC593" s="249"/>
      <c r="AD593" s="249"/>
    </row>
    <row r="594" spans="1:30" ht="12.9">
      <c r="A594" s="249"/>
      <c r="B594" s="249"/>
      <c r="C594" s="249"/>
      <c r="D594" s="249"/>
      <c r="E594" s="249"/>
      <c r="F594" s="249"/>
      <c r="G594" s="249"/>
      <c r="H594" s="249"/>
      <c r="I594" s="249"/>
      <c r="J594" s="249"/>
      <c r="K594" s="249"/>
      <c r="L594" s="249"/>
      <c r="M594" s="249"/>
      <c r="N594" s="249"/>
      <c r="O594" s="249"/>
      <c r="P594" s="249"/>
      <c r="Q594" s="249"/>
      <c r="R594" s="249"/>
      <c r="S594" s="249"/>
      <c r="T594" s="249"/>
      <c r="U594" s="249"/>
      <c r="V594" s="249"/>
      <c r="W594" s="249"/>
      <c r="X594" s="249"/>
      <c r="Y594" s="249"/>
      <c r="Z594" s="249"/>
      <c r="AA594" s="249"/>
      <c r="AB594" s="249"/>
      <c r="AC594" s="249"/>
      <c r="AD594" s="249"/>
    </row>
    <row r="595" spans="1:30" ht="12.9">
      <c r="A595" s="249"/>
      <c r="B595" s="249"/>
      <c r="C595" s="249"/>
      <c r="D595" s="249"/>
      <c r="E595" s="249"/>
      <c r="F595" s="249"/>
      <c r="G595" s="249"/>
      <c r="H595" s="249"/>
      <c r="I595" s="249"/>
      <c r="J595" s="249"/>
      <c r="K595" s="249"/>
      <c r="L595" s="249"/>
      <c r="M595" s="249"/>
      <c r="N595" s="249"/>
      <c r="O595" s="249"/>
      <c r="P595" s="249"/>
      <c r="Q595" s="249"/>
      <c r="R595" s="249"/>
      <c r="S595" s="249"/>
      <c r="T595" s="249"/>
      <c r="U595" s="249"/>
      <c r="V595" s="249"/>
      <c r="W595" s="249"/>
      <c r="X595" s="249"/>
      <c r="Y595" s="249"/>
      <c r="Z595" s="249"/>
      <c r="AA595" s="249"/>
      <c r="AB595" s="249"/>
      <c r="AC595" s="249"/>
      <c r="AD595" s="249"/>
    </row>
    <row r="596" spans="1:30" ht="12.9">
      <c r="A596" s="249"/>
      <c r="B596" s="249"/>
      <c r="C596" s="249"/>
      <c r="D596" s="249"/>
      <c r="E596" s="249"/>
      <c r="F596" s="249"/>
      <c r="G596" s="249"/>
      <c r="H596" s="249"/>
      <c r="I596" s="249"/>
      <c r="J596" s="249"/>
      <c r="K596" s="249"/>
      <c r="L596" s="249"/>
      <c r="M596" s="249"/>
      <c r="N596" s="249"/>
      <c r="O596" s="249"/>
      <c r="P596" s="249"/>
      <c r="Q596" s="249"/>
      <c r="R596" s="249"/>
      <c r="S596" s="249"/>
      <c r="T596" s="249"/>
      <c r="U596" s="249"/>
      <c r="V596" s="249"/>
      <c r="W596" s="249"/>
      <c r="X596" s="249"/>
      <c r="Y596" s="249"/>
      <c r="Z596" s="249"/>
      <c r="AA596" s="249"/>
      <c r="AB596" s="249"/>
      <c r="AC596" s="249"/>
      <c r="AD596" s="249"/>
    </row>
    <row r="597" spans="1:30" ht="12.9">
      <c r="A597" s="249"/>
      <c r="B597" s="249"/>
      <c r="C597" s="249"/>
      <c r="D597" s="249"/>
      <c r="E597" s="249"/>
      <c r="F597" s="249"/>
      <c r="G597" s="249"/>
      <c r="H597" s="249"/>
      <c r="I597" s="249"/>
      <c r="J597" s="249"/>
      <c r="K597" s="249"/>
      <c r="L597" s="249"/>
      <c r="M597" s="249"/>
      <c r="N597" s="249"/>
      <c r="O597" s="249"/>
      <c r="P597" s="249"/>
      <c r="Q597" s="249"/>
      <c r="R597" s="249"/>
      <c r="S597" s="249"/>
      <c r="T597" s="249"/>
      <c r="U597" s="249"/>
      <c r="V597" s="249"/>
      <c r="W597" s="249"/>
      <c r="X597" s="249"/>
      <c r="Y597" s="249"/>
      <c r="Z597" s="249"/>
      <c r="AA597" s="249"/>
      <c r="AB597" s="249"/>
      <c r="AC597" s="249"/>
      <c r="AD597" s="249"/>
    </row>
    <row r="598" spans="1:30" ht="12.9">
      <c r="A598" s="249"/>
      <c r="B598" s="249"/>
      <c r="C598" s="249"/>
      <c r="D598" s="249"/>
      <c r="E598" s="249"/>
      <c r="F598" s="249"/>
      <c r="G598" s="249"/>
      <c r="H598" s="249"/>
      <c r="I598" s="249"/>
      <c r="J598" s="249"/>
      <c r="K598" s="249"/>
      <c r="L598" s="249"/>
      <c r="M598" s="249"/>
      <c r="N598" s="249"/>
      <c r="O598" s="249"/>
      <c r="P598" s="249"/>
      <c r="Q598" s="249"/>
      <c r="R598" s="249"/>
      <c r="S598" s="249"/>
      <c r="T598" s="249"/>
      <c r="U598" s="249"/>
      <c r="V598" s="249"/>
      <c r="W598" s="249"/>
      <c r="X598" s="249"/>
      <c r="Y598" s="249"/>
      <c r="Z598" s="249"/>
      <c r="AA598" s="249"/>
      <c r="AB598" s="249"/>
      <c r="AC598" s="249"/>
      <c r="AD598" s="249"/>
    </row>
    <row r="599" spans="1:30" ht="12.9">
      <c r="A599" s="249"/>
      <c r="B599" s="249"/>
      <c r="C599" s="249"/>
      <c r="D599" s="249"/>
      <c r="E599" s="249"/>
      <c r="F599" s="249"/>
      <c r="G599" s="249"/>
      <c r="H599" s="249"/>
      <c r="I599" s="249"/>
      <c r="J599" s="249"/>
      <c r="K599" s="249"/>
      <c r="L599" s="249"/>
      <c r="M599" s="249"/>
      <c r="N599" s="249"/>
      <c r="O599" s="249"/>
      <c r="P599" s="249"/>
      <c r="Q599" s="249"/>
      <c r="R599" s="249"/>
      <c r="S599" s="249"/>
      <c r="T599" s="249"/>
      <c r="U599" s="249"/>
      <c r="V599" s="249"/>
      <c r="W599" s="249"/>
      <c r="X599" s="249"/>
      <c r="Y599" s="249"/>
      <c r="Z599" s="249"/>
      <c r="AA599" s="249"/>
      <c r="AB599" s="249"/>
      <c r="AC599" s="249"/>
      <c r="AD599" s="249"/>
    </row>
    <row r="600" spans="1:30" ht="12.9">
      <c r="A600" s="249"/>
      <c r="B600" s="249"/>
      <c r="C600" s="249"/>
      <c r="D600" s="249"/>
      <c r="E600" s="249"/>
      <c r="F600" s="249"/>
      <c r="G600" s="249"/>
      <c r="H600" s="249"/>
      <c r="I600" s="249"/>
      <c r="J600" s="249"/>
      <c r="K600" s="249"/>
      <c r="L600" s="249"/>
      <c r="M600" s="249"/>
      <c r="N600" s="249"/>
      <c r="O600" s="249"/>
      <c r="P600" s="249"/>
      <c r="Q600" s="249"/>
      <c r="R600" s="249"/>
      <c r="S600" s="249"/>
      <c r="T600" s="249"/>
      <c r="U600" s="249"/>
      <c r="V600" s="249"/>
      <c r="W600" s="249"/>
      <c r="X600" s="249"/>
      <c r="Y600" s="249"/>
      <c r="Z600" s="249"/>
      <c r="AA600" s="249"/>
      <c r="AB600" s="249"/>
      <c r="AC600" s="249"/>
      <c r="AD600" s="249"/>
    </row>
    <row r="601" spans="1:30" ht="12.9">
      <c r="A601" s="249"/>
      <c r="B601" s="249"/>
      <c r="C601" s="249"/>
      <c r="D601" s="249"/>
      <c r="E601" s="249"/>
      <c r="F601" s="249"/>
      <c r="G601" s="249"/>
      <c r="H601" s="249"/>
      <c r="I601" s="249"/>
      <c r="J601" s="249"/>
      <c r="K601" s="249"/>
      <c r="L601" s="249"/>
      <c r="M601" s="249"/>
      <c r="N601" s="249"/>
      <c r="O601" s="249"/>
      <c r="P601" s="249"/>
      <c r="Q601" s="249"/>
      <c r="R601" s="249"/>
      <c r="S601" s="249"/>
      <c r="T601" s="249"/>
      <c r="U601" s="249"/>
      <c r="V601" s="249"/>
      <c r="W601" s="249"/>
      <c r="X601" s="249"/>
      <c r="Y601" s="249"/>
      <c r="Z601" s="249"/>
      <c r="AA601" s="249"/>
      <c r="AB601" s="249"/>
      <c r="AC601" s="249"/>
      <c r="AD601" s="249"/>
    </row>
    <row r="602" spans="1:30" ht="12.9">
      <c r="A602" s="249"/>
      <c r="B602" s="249"/>
      <c r="C602" s="249"/>
      <c r="D602" s="249"/>
      <c r="E602" s="249"/>
      <c r="F602" s="249"/>
      <c r="G602" s="249"/>
      <c r="H602" s="249"/>
      <c r="I602" s="249"/>
      <c r="J602" s="249"/>
      <c r="K602" s="249"/>
      <c r="L602" s="249"/>
      <c r="M602" s="249"/>
      <c r="N602" s="249"/>
      <c r="O602" s="249"/>
      <c r="P602" s="249"/>
      <c r="Q602" s="249"/>
      <c r="R602" s="249"/>
      <c r="S602" s="249"/>
      <c r="T602" s="249"/>
      <c r="U602" s="249"/>
      <c r="V602" s="249"/>
      <c r="W602" s="249"/>
      <c r="X602" s="249"/>
      <c r="Y602" s="249"/>
      <c r="Z602" s="249"/>
      <c r="AA602" s="249"/>
      <c r="AB602" s="249"/>
      <c r="AC602" s="249"/>
      <c r="AD602" s="249"/>
    </row>
    <row r="603" spans="1:30" ht="12.9">
      <c r="A603" s="249"/>
      <c r="B603" s="249"/>
      <c r="C603" s="249"/>
      <c r="D603" s="249"/>
      <c r="E603" s="249"/>
      <c r="F603" s="249"/>
      <c r="G603" s="249"/>
      <c r="H603" s="249"/>
      <c r="I603" s="249"/>
      <c r="J603" s="249"/>
      <c r="K603" s="249"/>
      <c r="L603" s="249"/>
      <c r="M603" s="249"/>
      <c r="N603" s="249"/>
      <c r="O603" s="249"/>
      <c r="P603" s="249"/>
      <c r="Q603" s="249"/>
      <c r="R603" s="249"/>
      <c r="S603" s="249"/>
      <c r="T603" s="249"/>
      <c r="U603" s="249"/>
      <c r="V603" s="249"/>
      <c r="W603" s="249"/>
      <c r="X603" s="249"/>
      <c r="Y603" s="249"/>
      <c r="Z603" s="249"/>
      <c r="AA603" s="249"/>
      <c r="AB603" s="249"/>
      <c r="AC603" s="249"/>
      <c r="AD603" s="249"/>
    </row>
    <row r="604" spans="1:30" ht="12.9">
      <c r="A604" s="249"/>
      <c r="B604" s="249"/>
      <c r="C604" s="249"/>
      <c r="D604" s="249"/>
      <c r="E604" s="249"/>
      <c r="F604" s="249"/>
      <c r="G604" s="249"/>
      <c r="H604" s="249"/>
      <c r="I604" s="249"/>
      <c r="J604" s="249"/>
      <c r="K604" s="249"/>
      <c r="L604" s="249"/>
      <c r="M604" s="249"/>
      <c r="N604" s="249"/>
      <c r="O604" s="249"/>
      <c r="P604" s="249"/>
      <c r="Q604" s="249"/>
      <c r="R604" s="249"/>
      <c r="S604" s="249"/>
      <c r="T604" s="249"/>
      <c r="U604" s="249"/>
      <c r="V604" s="249"/>
      <c r="W604" s="249"/>
      <c r="X604" s="249"/>
      <c r="Y604" s="249"/>
      <c r="Z604" s="249"/>
      <c r="AA604" s="249"/>
      <c r="AB604" s="249"/>
      <c r="AC604" s="249"/>
      <c r="AD604" s="249"/>
    </row>
    <row r="605" spans="1:30" ht="12.9">
      <c r="A605" s="249"/>
      <c r="B605" s="249"/>
      <c r="C605" s="249"/>
      <c r="D605" s="249"/>
      <c r="E605" s="249"/>
      <c r="F605" s="249"/>
      <c r="G605" s="249"/>
      <c r="H605" s="249"/>
      <c r="I605" s="249"/>
      <c r="J605" s="249"/>
      <c r="K605" s="249"/>
      <c r="L605" s="249"/>
      <c r="M605" s="249"/>
      <c r="N605" s="249"/>
      <c r="O605" s="249"/>
      <c r="P605" s="249"/>
      <c r="Q605" s="249"/>
      <c r="R605" s="249"/>
      <c r="S605" s="249"/>
      <c r="T605" s="249"/>
      <c r="U605" s="249"/>
      <c r="V605" s="249"/>
      <c r="W605" s="249"/>
      <c r="X605" s="249"/>
      <c r="Y605" s="249"/>
      <c r="Z605" s="249"/>
      <c r="AA605" s="249"/>
      <c r="AB605" s="249"/>
      <c r="AC605" s="249"/>
      <c r="AD605" s="249"/>
    </row>
    <row r="606" spans="1:30" ht="12.9">
      <c r="A606" s="249"/>
      <c r="B606" s="249"/>
      <c r="C606" s="249"/>
      <c r="D606" s="249"/>
      <c r="E606" s="249"/>
      <c r="F606" s="249"/>
      <c r="G606" s="249"/>
      <c r="H606" s="249"/>
      <c r="I606" s="249"/>
      <c r="J606" s="249"/>
      <c r="K606" s="249"/>
      <c r="L606" s="249"/>
      <c r="M606" s="249"/>
      <c r="N606" s="249"/>
      <c r="O606" s="249"/>
      <c r="P606" s="249"/>
      <c r="Q606" s="249"/>
      <c r="R606" s="249"/>
      <c r="S606" s="249"/>
      <c r="T606" s="249"/>
      <c r="U606" s="249"/>
      <c r="V606" s="249"/>
      <c r="W606" s="249"/>
      <c r="X606" s="249"/>
      <c r="Y606" s="249"/>
      <c r="Z606" s="249"/>
      <c r="AA606" s="249"/>
      <c r="AB606" s="249"/>
      <c r="AC606" s="249"/>
      <c r="AD606" s="249"/>
    </row>
    <row r="607" spans="1:30" ht="12.9">
      <c r="A607" s="249"/>
      <c r="B607" s="249"/>
      <c r="C607" s="249"/>
      <c r="D607" s="249"/>
      <c r="E607" s="249"/>
      <c r="F607" s="249"/>
      <c r="G607" s="249"/>
      <c r="H607" s="249"/>
      <c r="I607" s="249"/>
      <c r="J607" s="249"/>
      <c r="K607" s="249"/>
      <c r="L607" s="249"/>
      <c r="M607" s="249"/>
      <c r="N607" s="249"/>
      <c r="O607" s="249"/>
      <c r="P607" s="249"/>
      <c r="Q607" s="249"/>
      <c r="R607" s="249"/>
      <c r="S607" s="249"/>
      <c r="T607" s="249"/>
      <c r="U607" s="249"/>
      <c r="V607" s="249"/>
      <c r="W607" s="249"/>
      <c r="X607" s="249"/>
      <c r="Y607" s="249"/>
      <c r="Z607" s="249"/>
      <c r="AA607" s="249"/>
      <c r="AB607" s="249"/>
      <c r="AC607" s="249"/>
      <c r="AD607" s="249"/>
    </row>
    <row r="608" spans="1:30" ht="12.9">
      <c r="A608" s="249"/>
      <c r="B608" s="249"/>
      <c r="C608" s="249"/>
      <c r="D608" s="249"/>
      <c r="E608" s="249"/>
      <c r="F608" s="249"/>
      <c r="G608" s="249"/>
      <c r="H608" s="249"/>
      <c r="I608" s="249"/>
      <c r="J608" s="249"/>
      <c r="K608" s="249"/>
      <c r="L608" s="249"/>
      <c r="M608" s="249"/>
      <c r="N608" s="249"/>
      <c r="O608" s="249"/>
      <c r="P608" s="249"/>
      <c r="Q608" s="249"/>
      <c r="R608" s="249"/>
      <c r="S608" s="249"/>
      <c r="T608" s="249"/>
      <c r="U608" s="249"/>
      <c r="V608" s="249"/>
      <c r="W608" s="249"/>
      <c r="X608" s="249"/>
      <c r="Y608" s="249"/>
      <c r="Z608" s="249"/>
      <c r="AA608" s="249"/>
      <c r="AB608" s="249"/>
      <c r="AC608" s="249"/>
      <c r="AD608" s="249"/>
    </row>
    <row r="609" spans="1:30" ht="12.9">
      <c r="A609" s="249"/>
      <c r="B609" s="249"/>
      <c r="C609" s="249"/>
      <c r="D609" s="249"/>
      <c r="E609" s="249"/>
      <c r="F609" s="249"/>
      <c r="G609" s="249"/>
      <c r="H609" s="249"/>
      <c r="I609" s="249"/>
      <c r="J609" s="249"/>
      <c r="K609" s="249"/>
      <c r="L609" s="249"/>
      <c r="M609" s="249"/>
      <c r="N609" s="249"/>
      <c r="O609" s="249"/>
      <c r="P609" s="249"/>
      <c r="Q609" s="249"/>
      <c r="R609" s="249"/>
      <c r="S609" s="249"/>
      <c r="T609" s="249"/>
      <c r="U609" s="249"/>
      <c r="V609" s="249"/>
      <c r="W609" s="249"/>
      <c r="X609" s="249"/>
      <c r="Y609" s="249"/>
      <c r="Z609" s="249"/>
      <c r="AA609" s="249"/>
      <c r="AB609" s="249"/>
      <c r="AC609" s="249"/>
      <c r="AD609" s="249"/>
    </row>
    <row r="610" spans="1:30" ht="12.9">
      <c r="A610" s="249"/>
      <c r="B610" s="249"/>
      <c r="C610" s="249"/>
      <c r="D610" s="249"/>
      <c r="E610" s="249"/>
      <c r="F610" s="249"/>
      <c r="G610" s="249"/>
      <c r="H610" s="249"/>
      <c r="I610" s="249"/>
      <c r="J610" s="249"/>
      <c r="K610" s="249"/>
      <c r="L610" s="249"/>
      <c r="M610" s="249"/>
      <c r="N610" s="249"/>
      <c r="O610" s="249"/>
      <c r="P610" s="249"/>
      <c r="Q610" s="249"/>
      <c r="R610" s="249"/>
      <c r="S610" s="249"/>
      <c r="T610" s="249"/>
      <c r="U610" s="249"/>
      <c r="V610" s="249"/>
      <c r="W610" s="249"/>
      <c r="X610" s="249"/>
      <c r="Y610" s="249"/>
      <c r="Z610" s="249"/>
      <c r="AA610" s="249"/>
      <c r="AB610" s="249"/>
      <c r="AC610" s="249"/>
      <c r="AD610" s="249"/>
    </row>
    <row r="611" spans="1:30" ht="12.9">
      <c r="A611" s="249"/>
      <c r="B611" s="249"/>
      <c r="C611" s="249"/>
      <c r="D611" s="249"/>
      <c r="E611" s="249"/>
      <c r="F611" s="249"/>
      <c r="G611" s="249"/>
      <c r="H611" s="249"/>
      <c r="I611" s="249"/>
      <c r="J611" s="249"/>
      <c r="K611" s="249"/>
      <c r="L611" s="249"/>
      <c r="M611" s="249"/>
      <c r="N611" s="249"/>
      <c r="O611" s="249"/>
      <c r="P611" s="249"/>
      <c r="Q611" s="249"/>
      <c r="R611" s="249"/>
      <c r="S611" s="249"/>
      <c r="T611" s="249"/>
      <c r="U611" s="249"/>
      <c r="V611" s="249"/>
      <c r="W611" s="249"/>
      <c r="X611" s="249"/>
      <c r="Y611" s="249"/>
      <c r="Z611" s="249"/>
      <c r="AA611" s="249"/>
      <c r="AB611" s="249"/>
      <c r="AC611" s="249"/>
      <c r="AD611" s="249"/>
    </row>
    <row r="612" spans="1:30" ht="12.9">
      <c r="A612" s="249"/>
      <c r="B612" s="249"/>
      <c r="C612" s="249"/>
      <c r="D612" s="249"/>
      <c r="E612" s="249"/>
      <c r="F612" s="249"/>
      <c r="G612" s="249"/>
      <c r="H612" s="249"/>
      <c r="I612" s="249"/>
      <c r="J612" s="249"/>
      <c r="K612" s="249"/>
      <c r="L612" s="249"/>
      <c r="M612" s="249"/>
      <c r="N612" s="249"/>
      <c r="O612" s="249"/>
      <c r="P612" s="249"/>
      <c r="Q612" s="249"/>
      <c r="R612" s="249"/>
      <c r="S612" s="249"/>
      <c r="T612" s="249"/>
      <c r="U612" s="249"/>
      <c r="V612" s="249"/>
      <c r="W612" s="249"/>
      <c r="X612" s="249"/>
      <c r="Y612" s="249"/>
      <c r="Z612" s="249"/>
      <c r="AA612" s="249"/>
      <c r="AB612" s="249"/>
      <c r="AC612" s="249"/>
      <c r="AD612" s="249"/>
    </row>
    <row r="613" spans="1:30" ht="12.9">
      <c r="A613" s="249"/>
      <c r="B613" s="249"/>
      <c r="C613" s="249"/>
      <c r="D613" s="249"/>
      <c r="E613" s="249"/>
      <c r="F613" s="249"/>
      <c r="G613" s="249"/>
      <c r="H613" s="249"/>
      <c r="I613" s="249"/>
      <c r="J613" s="249"/>
      <c r="K613" s="249"/>
      <c r="L613" s="249"/>
      <c r="M613" s="249"/>
      <c r="N613" s="249"/>
      <c r="O613" s="249"/>
      <c r="P613" s="249"/>
      <c r="Q613" s="249"/>
      <c r="R613" s="249"/>
      <c r="S613" s="249"/>
      <c r="T613" s="249"/>
      <c r="U613" s="249"/>
      <c r="V613" s="249"/>
      <c r="W613" s="249"/>
      <c r="X613" s="249"/>
      <c r="Y613" s="249"/>
      <c r="Z613" s="249"/>
      <c r="AA613" s="249"/>
      <c r="AB613" s="249"/>
      <c r="AC613" s="249"/>
      <c r="AD613" s="249"/>
    </row>
    <row r="614" spans="1:30" ht="12.9">
      <c r="A614" s="249"/>
      <c r="B614" s="249"/>
      <c r="C614" s="249"/>
      <c r="D614" s="249"/>
      <c r="E614" s="249"/>
      <c r="F614" s="249"/>
      <c r="G614" s="249"/>
      <c r="H614" s="249"/>
      <c r="I614" s="249"/>
      <c r="J614" s="249"/>
      <c r="K614" s="249"/>
      <c r="L614" s="249"/>
      <c r="M614" s="249"/>
      <c r="N614" s="249"/>
      <c r="O614" s="249"/>
      <c r="P614" s="249"/>
      <c r="Q614" s="249"/>
      <c r="R614" s="249"/>
      <c r="S614" s="249"/>
      <c r="T614" s="249"/>
      <c r="U614" s="249"/>
      <c r="V614" s="249"/>
      <c r="W614" s="249"/>
      <c r="X614" s="249"/>
      <c r="Y614" s="249"/>
      <c r="Z614" s="249"/>
      <c r="AA614" s="249"/>
      <c r="AB614" s="249"/>
      <c r="AC614" s="249"/>
      <c r="AD614" s="249"/>
    </row>
    <row r="615" spans="1:30" ht="12.9">
      <c r="A615" s="249"/>
      <c r="B615" s="249"/>
      <c r="C615" s="249"/>
      <c r="D615" s="249"/>
      <c r="E615" s="249"/>
      <c r="F615" s="249"/>
      <c r="G615" s="249"/>
      <c r="H615" s="249"/>
      <c r="I615" s="249"/>
      <c r="J615" s="249"/>
      <c r="K615" s="249"/>
      <c r="L615" s="249"/>
      <c r="M615" s="249"/>
      <c r="N615" s="249"/>
      <c r="O615" s="249"/>
      <c r="P615" s="249"/>
      <c r="Q615" s="249"/>
      <c r="R615" s="249"/>
      <c r="S615" s="249"/>
      <c r="T615" s="249"/>
      <c r="U615" s="249"/>
      <c r="V615" s="249"/>
      <c r="W615" s="249"/>
      <c r="X615" s="249"/>
      <c r="Y615" s="249"/>
      <c r="Z615" s="249"/>
      <c r="AA615" s="249"/>
      <c r="AB615" s="249"/>
      <c r="AC615" s="249"/>
      <c r="AD615" s="249"/>
    </row>
    <row r="616" spans="1:30" ht="12.9">
      <c r="A616" s="249"/>
      <c r="B616" s="249"/>
      <c r="C616" s="249"/>
      <c r="D616" s="249"/>
      <c r="E616" s="249"/>
      <c r="F616" s="249"/>
      <c r="G616" s="249"/>
      <c r="H616" s="249"/>
      <c r="I616" s="249"/>
      <c r="J616" s="249"/>
      <c r="K616" s="249"/>
      <c r="L616" s="249"/>
      <c r="M616" s="249"/>
      <c r="N616" s="249"/>
      <c r="O616" s="249"/>
      <c r="P616" s="249"/>
      <c r="Q616" s="249"/>
      <c r="R616" s="249"/>
      <c r="S616" s="249"/>
      <c r="T616" s="249"/>
      <c r="U616" s="249"/>
      <c r="V616" s="249"/>
      <c r="W616" s="249"/>
      <c r="X616" s="249"/>
      <c r="Y616" s="249"/>
      <c r="Z616" s="249"/>
      <c r="AA616" s="249"/>
      <c r="AB616" s="249"/>
      <c r="AC616" s="249"/>
      <c r="AD616" s="249"/>
    </row>
    <row r="617" spans="1:30" ht="12.9">
      <c r="A617" s="249"/>
      <c r="B617" s="249"/>
      <c r="C617" s="249"/>
      <c r="D617" s="249"/>
      <c r="E617" s="249"/>
      <c r="F617" s="249"/>
      <c r="G617" s="249"/>
      <c r="H617" s="249"/>
      <c r="I617" s="249"/>
      <c r="J617" s="249"/>
      <c r="K617" s="249"/>
      <c r="L617" s="249"/>
      <c r="M617" s="249"/>
      <c r="N617" s="249"/>
      <c r="O617" s="249"/>
      <c r="P617" s="249"/>
      <c r="Q617" s="249"/>
      <c r="R617" s="249"/>
      <c r="S617" s="249"/>
      <c r="T617" s="249"/>
      <c r="U617" s="249"/>
      <c r="V617" s="249"/>
      <c r="W617" s="249"/>
      <c r="X617" s="249"/>
      <c r="Y617" s="249"/>
      <c r="Z617" s="249"/>
      <c r="AA617" s="249"/>
      <c r="AB617" s="249"/>
      <c r="AC617" s="249"/>
      <c r="AD617" s="249"/>
    </row>
    <row r="618" spans="1:30" ht="12.9">
      <c r="A618" s="249"/>
      <c r="B618" s="249"/>
      <c r="C618" s="249"/>
      <c r="D618" s="249"/>
      <c r="E618" s="249"/>
      <c r="F618" s="249"/>
      <c r="G618" s="249"/>
      <c r="H618" s="249"/>
      <c r="I618" s="249"/>
      <c r="J618" s="249"/>
      <c r="K618" s="249"/>
      <c r="L618" s="249"/>
      <c r="M618" s="249"/>
      <c r="N618" s="249"/>
      <c r="O618" s="249"/>
      <c r="P618" s="249"/>
      <c r="Q618" s="249"/>
      <c r="R618" s="249"/>
      <c r="S618" s="249"/>
      <c r="T618" s="249"/>
      <c r="U618" s="249"/>
      <c r="V618" s="249"/>
      <c r="W618" s="249"/>
      <c r="X618" s="249"/>
      <c r="Y618" s="249"/>
      <c r="Z618" s="249"/>
      <c r="AA618" s="249"/>
      <c r="AB618" s="249"/>
      <c r="AC618" s="249"/>
      <c r="AD618" s="249"/>
    </row>
    <row r="619" spans="1:30" ht="12.9">
      <c r="A619" s="249"/>
      <c r="B619" s="249"/>
      <c r="C619" s="249"/>
      <c r="D619" s="249"/>
      <c r="E619" s="249"/>
      <c r="F619" s="249"/>
      <c r="G619" s="249"/>
      <c r="H619" s="249"/>
      <c r="I619" s="249"/>
      <c r="J619" s="249"/>
      <c r="K619" s="249"/>
      <c r="L619" s="249"/>
      <c r="M619" s="249"/>
      <c r="N619" s="249"/>
      <c r="O619" s="249"/>
      <c r="P619" s="249"/>
      <c r="Q619" s="249"/>
      <c r="R619" s="249"/>
      <c r="S619" s="249"/>
      <c r="T619" s="249"/>
      <c r="U619" s="249"/>
      <c r="V619" s="249"/>
      <c r="W619" s="249"/>
      <c r="X619" s="249"/>
      <c r="Y619" s="249"/>
      <c r="Z619" s="249"/>
      <c r="AA619" s="249"/>
      <c r="AB619" s="249"/>
      <c r="AC619" s="249"/>
      <c r="AD619" s="249"/>
    </row>
    <row r="620" spans="1:30" ht="12.9">
      <c r="A620" s="249"/>
      <c r="B620" s="249"/>
      <c r="C620" s="249"/>
      <c r="D620" s="249"/>
      <c r="E620" s="249"/>
      <c r="F620" s="249"/>
      <c r="G620" s="249"/>
      <c r="H620" s="249"/>
      <c r="I620" s="249"/>
      <c r="J620" s="249"/>
      <c r="K620" s="249"/>
      <c r="L620" s="249"/>
      <c r="M620" s="249"/>
      <c r="N620" s="249"/>
      <c r="O620" s="249"/>
      <c r="P620" s="249"/>
      <c r="Q620" s="249"/>
      <c r="R620" s="249"/>
      <c r="S620" s="249"/>
      <c r="T620" s="249"/>
      <c r="U620" s="249"/>
      <c r="V620" s="249"/>
      <c r="W620" s="249"/>
      <c r="X620" s="249"/>
      <c r="Y620" s="249"/>
      <c r="Z620" s="249"/>
      <c r="AA620" s="249"/>
      <c r="AB620" s="249"/>
      <c r="AC620" s="249"/>
      <c r="AD620" s="249"/>
    </row>
    <row r="621" spans="1:30" ht="12.9">
      <c r="A621" s="249"/>
      <c r="B621" s="249"/>
      <c r="C621" s="249"/>
      <c r="D621" s="249"/>
      <c r="E621" s="249"/>
      <c r="F621" s="249"/>
      <c r="G621" s="249"/>
      <c r="H621" s="249"/>
      <c r="I621" s="249"/>
      <c r="J621" s="249"/>
      <c r="K621" s="249"/>
      <c r="L621" s="249"/>
      <c r="M621" s="249"/>
      <c r="N621" s="249"/>
      <c r="O621" s="249"/>
      <c r="P621" s="249"/>
      <c r="Q621" s="249"/>
      <c r="R621" s="249"/>
      <c r="S621" s="249"/>
      <c r="T621" s="249"/>
      <c r="U621" s="249"/>
      <c r="V621" s="249"/>
      <c r="W621" s="249"/>
      <c r="X621" s="249"/>
      <c r="Y621" s="249"/>
      <c r="Z621" s="249"/>
      <c r="AA621" s="249"/>
      <c r="AB621" s="249"/>
      <c r="AC621" s="249"/>
      <c r="AD621" s="249"/>
    </row>
    <row r="622" spans="1:30" ht="12.9">
      <c r="A622" s="249"/>
      <c r="B622" s="249"/>
      <c r="C622" s="249"/>
      <c r="D622" s="249"/>
      <c r="E622" s="249"/>
      <c r="F622" s="249"/>
      <c r="G622" s="249"/>
      <c r="H622" s="249"/>
      <c r="I622" s="249"/>
      <c r="J622" s="249"/>
      <c r="K622" s="249"/>
      <c r="L622" s="249"/>
      <c r="M622" s="249"/>
      <c r="N622" s="249"/>
      <c r="O622" s="249"/>
      <c r="P622" s="249"/>
      <c r="Q622" s="249"/>
      <c r="R622" s="249"/>
      <c r="S622" s="249"/>
      <c r="T622" s="249"/>
      <c r="U622" s="249"/>
      <c r="V622" s="249"/>
      <c r="W622" s="249"/>
      <c r="X622" s="249"/>
      <c r="Y622" s="249"/>
      <c r="Z622" s="249"/>
      <c r="AA622" s="249"/>
      <c r="AB622" s="249"/>
      <c r="AC622" s="249"/>
      <c r="AD622" s="249"/>
    </row>
    <row r="623" spans="1:30" ht="12.9">
      <c r="A623" s="249"/>
      <c r="B623" s="249"/>
      <c r="C623" s="249"/>
      <c r="D623" s="249"/>
      <c r="E623" s="249"/>
      <c r="F623" s="249"/>
      <c r="G623" s="249"/>
      <c r="H623" s="249"/>
      <c r="I623" s="249"/>
      <c r="J623" s="249"/>
      <c r="K623" s="249"/>
      <c r="L623" s="249"/>
      <c r="M623" s="249"/>
      <c r="N623" s="249"/>
      <c r="O623" s="249"/>
      <c r="P623" s="249"/>
      <c r="Q623" s="249"/>
      <c r="R623" s="249"/>
      <c r="S623" s="249"/>
      <c r="T623" s="249"/>
      <c r="U623" s="249"/>
      <c r="V623" s="249"/>
      <c r="W623" s="249"/>
      <c r="X623" s="249"/>
      <c r="Y623" s="249"/>
      <c r="Z623" s="249"/>
      <c r="AA623" s="249"/>
      <c r="AB623" s="249"/>
      <c r="AC623" s="249"/>
      <c r="AD623" s="249"/>
    </row>
    <row r="624" spans="1:30" ht="12.9">
      <c r="A624" s="249"/>
      <c r="B624" s="249"/>
      <c r="C624" s="249"/>
      <c r="D624" s="249"/>
      <c r="E624" s="249"/>
      <c r="F624" s="249"/>
      <c r="G624" s="249"/>
      <c r="H624" s="249"/>
      <c r="I624" s="249"/>
      <c r="J624" s="249"/>
      <c r="K624" s="249"/>
      <c r="L624" s="249"/>
      <c r="M624" s="249"/>
      <c r="N624" s="249"/>
      <c r="O624" s="249"/>
      <c r="P624" s="249"/>
      <c r="Q624" s="249"/>
      <c r="R624" s="249"/>
      <c r="S624" s="249"/>
      <c r="T624" s="249"/>
      <c r="U624" s="249"/>
      <c r="V624" s="249"/>
      <c r="W624" s="249"/>
      <c r="X624" s="249"/>
      <c r="Y624" s="249"/>
      <c r="Z624" s="249"/>
      <c r="AA624" s="249"/>
      <c r="AB624" s="249"/>
      <c r="AC624" s="249"/>
      <c r="AD624" s="249"/>
    </row>
    <row r="625" spans="1:30" ht="12.9">
      <c r="A625" s="249"/>
      <c r="B625" s="249"/>
      <c r="C625" s="249"/>
      <c r="D625" s="249"/>
      <c r="E625" s="249"/>
      <c r="F625" s="249"/>
      <c r="G625" s="249"/>
      <c r="H625" s="249"/>
      <c r="I625" s="249"/>
      <c r="J625" s="249"/>
      <c r="K625" s="249"/>
      <c r="L625" s="249"/>
      <c r="M625" s="249"/>
      <c r="N625" s="249"/>
      <c r="O625" s="249"/>
      <c r="P625" s="249"/>
      <c r="Q625" s="249"/>
      <c r="R625" s="249"/>
      <c r="S625" s="249"/>
      <c r="T625" s="249"/>
      <c r="U625" s="249"/>
      <c r="V625" s="249"/>
      <c r="W625" s="249"/>
      <c r="X625" s="249"/>
      <c r="Y625" s="249"/>
      <c r="Z625" s="249"/>
      <c r="AA625" s="249"/>
      <c r="AB625" s="249"/>
      <c r="AC625" s="249"/>
      <c r="AD625" s="249"/>
    </row>
    <row r="626" spans="1:30" ht="12.9">
      <c r="A626" s="249"/>
      <c r="B626" s="249"/>
      <c r="C626" s="249"/>
      <c r="D626" s="249"/>
      <c r="E626" s="249"/>
      <c r="F626" s="249"/>
      <c r="G626" s="249"/>
      <c r="H626" s="249"/>
      <c r="I626" s="249"/>
      <c r="J626" s="249"/>
      <c r="K626" s="249"/>
      <c r="L626" s="249"/>
      <c r="M626" s="249"/>
      <c r="N626" s="249"/>
      <c r="O626" s="249"/>
      <c r="P626" s="249"/>
      <c r="Q626" s="249"/>
      <c r="R626" s="249"/>
      <c r="S626" s="249"/>
      <c r="T626" s="249"/>
      <c r="U626" s="249"/>
      <c r="V626" s="249"/>
      <c r="W626" s="249"/>
      <c r="X626" s="249"/>
      <c r="Y626" s="249"/>
      <c r="Z626" s="249"/>
      <c r="AA626" s="249"/>
      <c r="AB626" s="249"/>
      <c r="AC626" s="249"/>
      <c r="AD626" s="249"/>
    </row>
    <row r="627" spans="1:30" ht="12.9">
      <c r="A627" s="249"/>
      <c r="B627" s="249"/>
      <c r="C627" s="249"/>
      <c r="D627" s="249"/>
      <c r="E627" s="249"/>
      <c r="F627" s="249"/>
      <c r="G627" s="249"/>
      <c r="H627" s="249"/>
      <c r="I627" s="249"/>
      <c r="J627" s="249"/>
      <c r="K627" s="249"/>
      <c r="L627" s="249"/>
      <c r="M627" s="249"/>
      <c r="N627" s="249"/>
      <c r="O627" s="249"/>
      <c r="P627" s="249"/>
      <c r="Q627" s="249"/>
      <c r="R627" s="249"/>
      <c r="S627" s="249"/>
      <c r="T627" s="249"/>
      <c r="U627" s="249"/>
      <c r="V627" s="249"/>
      <c r="W627" s="249"/>
      <c r="X627" s="249"/>
      <c r="Y627" s="249"/>
      <c r="Z627" s="249"/>
      <c r="AA627" s="249"/>
      <c r="AB627" s="249"/>
      <c r="AC627" s="249"/>
      <c r="AD627" s="249"/>
    </row>
    <row r="628" spans="1:30" ht="12.9">
      <c r="A628" s="249"/>
      <c r="B628" s="249"/>
      <c r="C628" s="249"/>
      <c r="D628" s="249"/>
      <c r="E628" s="249"/>
      <c r="F628" s="249"/>
      <c r="G628" s="249"/>
      <c r="H628" s="249"/>
      <c r="I628" s="249"/>
      <c r="J628" s="249"/>
      <c r="K628" s="249"/>
      <c r="L628" s="249"/>
      <c r="M628" s="249"/>
      <c r="N628" s="249"/>
      <c r="O628" s="249"/>
      <c r="P628" s="249"/>
      <c r="Q628" s="249"/>
      <c r="R628" s="249"/>
      <c r="S628" s="249"/>
      <c r="T628" s="249"/>
      <c r="U628" s="249"/>
      <c r="V628" s="249"/>
      <c r="W628" s="249"/>
      <c r="X628" s="249"/>
      <c r="Y628" s="249"/>
      <c r="Z628" s="249"/>
      <c r="AA628" s="249"/>
      <c r="AB628" s="249"/>
      <c r="AC628" s="249"/>
      <c r="AD628" s="249"/>
    </row>
    <row r="629" spans="1:30" ht="12.9">
      <c r="A629" s="249"/>
      <c r="B629" s="249"/>
      <c r="C629" s="249"/>
      <c r="D629" s="249"/>
      <c r="E629" s="249"/>
      <c r="F629" s="249"/>
      <c r="G629" s="249"/>
      <c r="H629" s="249"/>
      <c r="I629" s="249"/>
      <c r="J629" s="249"/>
      <c r="K629" s="249"/>
      <c r="L629" s="249"/>
      <c r="M629" s="249"/>
      <c r="N629" s="249"/>
      <c r="O629" s="249"/>
      <c r="P629" s="249"/>
      <c r="Q629" s="249"/>
      <c r="R629" s="249"/>
      <c r="S629" s="249"/>
      <c r="T629" s="249"/>
      <c r="U629" s="249"/>
      <c r="V629" s="249"/>
      <c r="W629" s="249"/>
      <c r="X629" s="249"/>
      <c r="Y629" s="249"/>
      <c r="Z629" s="249"/>
      <c r="AA629" s="249"/>
      <c r="AB629" s="249"/>
      <c r="AC629" s="249"/>
      <c r="AD629" s="249"/>
    </row>
    <row r="630" spans="1:30" ht="12.9">
      <c r="A630" s="249"/>
      <c r="B630" s="249"/>
      <c r="C630" s="249"/>
      <c r="D630" s="249"/>
      <c r="E630" s="249"/>
      <c r="F630" s="249"/>
      <c r="G630" s="249"/>
      <c r="H630" s="249"/>
      <c r="I630" s="249"/>
      <c r="J630" s="249"/>
      <c r="K630" s="249"/>
      <c r="L630" s="249"/>
      <c r="M630" s="249"/>
      <c r="N630" s="249"/>
      <c r="O630" s="249"/>
      <c r="P630" s="249"/>
      <c r="Q630" s="249"/>
      <c r="R630" s="249"/>
      <c r="S630" s="249"/>
      <c r="T630" s="249"/>
      <c r="U630" s="249"/>
      <c r="V630" s="249"/>
      <c r="W630" s="249"/>
      <c r="X630" s="249"/>
      <c r="Y630" s="249"/>
      <c r="Z630" s="249"/>
      <c r="AA630" s="249"/>
      <c r="AB630" s="249"/>
      <c r="AC630" s="249"/>
      <c r="AD630" s="249"/>
    </row>
    <row r="631" spans="1:30" ht="12.9">
      <c r="A631" s="249"/>
      <c r="B631" s="249"/>
      <c r="C631" s="249"/>
      <c r="D631" s="249"/>
      <c r="E631" s="249"/>
      <c r="F631" s="249"/>
      <c r="G631" s="249"/>
      <c r="H631" s="249"/>
      <c r="I631" s="249"/>
      <c r="J631" s="249"/>
      <c r="K631" s="249"/>
      <c r="L631" s="249"/>
      <c r="M631" s="249"/>
      <c r="N631" s="249"/>
      <c r="O631" s="249"/>
      <c r="P631" s="249"/>
      <c r="Q631" s="249"/>
      <c r="R631" s="249"/>
      <c r="S631" s="249"/>
      <c r="T631" s="249"/>
      <c r="U631" s="249"/>
      <c r="V631" s="249"/>
      <c r="W631" s="249"/>
      <c r="X631" s="249"/>
      <c r="Y631" s="249"/>
      <c r="Z631" s="249"/>
      <c r="AA631" s="249"/>
      <c r="AB631" s="249"/>
      <c r="AC631" s="249"/>
      <c r="AD631" s="249"/>
    </row>
    <row r="632" spans="1:30" ht="12.9">
      <c r="A632" s="249"/>
      <c r="B632" s="249"/>
      <c r="C632" s="249"/>
      <c r="D632" s="249"/>
      <c r="E632" s="249"/>
      <c r="F632" s="249"/>
      <c r="G632" s="249"/>
      <c r="H632" s="249"/>
      <c r="I632" s="249"/>
      <c r="J632" s="249"/>
      <c r="K632" s="249"/>
      <c r="L632" s="249"/>
      <c r="M632" s="249"/>
      <c r="N632" s="249"/>
      <c r="O632" s="249"/>
      <c r="P632" s="249"/>
      <c r="Q632" s="249"/>
      <c r="R632" s="249"/>
      <c r="S632" s="249"/>
      <c r="T632" s="249"/>
      <c r="U632" s="249"/>
      <c r="V632" s="249"/>
      <c r="W632" s="249"/>
      <c r="X632" s="249"/>
      <c r="Y632" s="249"/>
      <c r="Z632" s="249"/>
      <c r="AA632" s="249"/>
      <c r="AB632" s="249"/>
      <c r="AC632" s="249"/>
      <c r="AD632" s="249"/>
    </row>
    <row r="633" spans="1:30" ht="12.9">
      <c r="A633" s="249"/>
      <c r="B633" s="249"/>
      <c r="C633" s="249"/>
      <c r="D633" s="249"/>
      <c r="E633" s="249"/>
      <c r="F633" s="249"/>
      <c r="G633" s="249"/>
      <c r="H633" s="249"/>
      <c r="I633" s="249"/>
      <c r="J633" s="249"/>
      <c r="K633" s="249"/>
      <c r="L633" s="249"/>
      <c r="M633" s="249"/>
      <c r="N633" s="249"/>
      <c r="O633" s="249"/>
      <c r="P633" s="249"/>
      <c r="Q633" s="249"/>
      <c r="R633" s="249"/>
      <c r="S633" s="249"/>
      <c r="T633" s="249"/>
      <c r="U633" s="249"/>
      <c r="V633" s="249"/>
      <c r="W633" s="249"/>
      <c r="X633" s="249"/>
      <c r="Y633" s="249"/>
      <c r="Z633" s="249"/>
      <c r="AA633" s="249"/>
      <c r="AB633" s="249"/>
      <c r="AC633" s="249"/>
      <c r="AD633" s="249"/>
    </row>
    <row r="634" spans="1:30" ht="12.9">
      <c r="A634" s="249"/>
      <c r="B634" s="249"/>
      <c r="C634" s="249"/>
      <c r="D634" s="249"/>
      <c r="E634" s="249"/>
      <c r="F634" s="249"/>
      <c r="G634" s="249"/>
      <c r="H634" s="249"/>
      <c r="I634" s="249"/>
      <c r="J634" s="249"/>
      <c r="K634" s="249"/>
      <c r="L634" s="249"/>
      <c r="M634" s="249"/>
      <c r="N634" s="249"/>
      <c r="O634" s="249"/>
      <c r="P634" s="249"/>
      <c r="Q634" s="249"/>
      <c r="R634" s="249"/>
      <c r="S634" s="249"/>
      <c r="T634" s="249"/>
      <c r="U634" s="249"/>
      <c r="V634" s="249"/>
      <c r="W634" s="249"/>
      <c r="X634" s="249"/>
      <c r="Y634" s="249"/>
      <c r="Z634" s="249"/>
      <c r="AA634" s="249"/>
      <c r="AB634" s="249"/>
      <c r="AC634" s="249"/>
      <c r="AD634" s="249"/>
    </row>
    <row r="635" spans="1:30" ht="12.9">
      <c r="A635" s="249"/>
      <c r="B635" s="249"/>
      <c r="C635" s="249"/>
      <c r="D635" s="249"/>
      <c r="E635" s="249"/>
      <c r="F635" s="249"/>
      <c r="G635" s="249"/>
      <c r="H635" s="249"/>
      <c r="I635" s="249"/>
      <c r="J635" s="249"/>
      <c r="K635" s="249"/>
      <c r="L635" s="249"/>
      <c r="M635" s="249"/>
      <c r="N635" s="249"/>
      <c r="O635" s="249"/>
      <c r="P635" s="249"/>
      <c r="Q635" s="249"/>
      <c r="R635" s="249"/>
      <c r="S635" s="249"/>
      <c r="T635" s="249"/>
      <c r="U635" s="249"/>
      <c r="V635" s="249"/>
      <c r="W635" s="249"/>
      <c r="X635" s="249"/>
      <c r="Y635" s="249"/>
      <c r="Z635" s="249"/>
      <c r="AA635" s="249"/>
      <c r="AB635" s="249"/>
      <c r="AC635" s="249"/>
      <c r="AD635" s="249"/>
    </row>
    <row r="636" spans="1:30" ht="12.9">
      <c r="A636" s="249"/>
      <c r="B636" s="249"/>
      <c r="C636" s="249"/>
      <c r="D636" s="249"/>
      <c r="E636" s="249"/>
      <c r="F636" s="249"/>
      <c r="G636" s="249"/>
      <c r="H636" s="249"/>
      <c r="I636" s="249"/>
      <c r="J636" s="249"/>
      <c r="K636" s="249"/>
      <c r="L636" s="249"/>
      <c r="M636" s="249"/>
      <c r="N636" s="249"/>
      <c r="O636" s="249"/>
      <c r="P636" s="249"/>
      <c r="Q636" s="249"/>
      <c r="R636" s="249"/>
      <c r="S636" s="249"/>
      <c r="T636" s="249"/>
      <c r="U636" s="249"/>
      <c r="V636" s="249"/>
      <c r="W636" s="249"/>
      <c r="X636" s="249"/>
      <c r="Y636" s="249"/>
      <c r="Z636" s="249"/>
      <c r="AA636" s="249"/>
      <c r="AB636" s="249"/>
      <c r="AC636" s="249"/>
      <c r="AD636" s="249"/>
    </row>
    <row r="637" spans="1:30" ht="12.9">
      <c r="A637" s="249"/>
      <c r="B637" s="249"/>
      <c r="C637" s="249"/>
      <c r="D637" s="249"/>
      <c r="E637" s="249"/>
      <c r="F637" s="249"/>
      <c r="G637" s="249"/>
      <c r="H637" s="249"/>
      <c r="I637" s="249"/>
      <c r="J637" s="249"/>
      <c r="K637" s="249"/>
      <c r="L637" s="249"/>
      <c r="M637" s="249"/>
      <c r="N637" s="249"/>
      <c r="O637" s="249"/>
      <c r="P637" s="249"/>
      <c r="Q637" s="249"/>
      <c r="R637" s="249"/>
      <c r="S637" s="249"/>
      <c r="T637" s="249"/>
      <c r="U637" s="249"/>
      <c r="V637" s="249"/>
      <c r="W637" s="249"/>
      <c r="X637" s="249"/>
      <c r="Y637" s="249"/>
      <c r="Z637" s="249"/>
      <c r="AA637" s="249"/>
      <c r="AB637" s="249"/>
      <c r="AC637" s="249"/>
      <c r="AD637" s="249"/>
    </row>
    <row r="638" spans="1:30" ht="12.9">
      <c r="A638" s="249"/>
      <c r="B638" s="249"/>
      <c r="C638" s="249"/>
      <c r="D638" s="249"/>
      <c r="E638" s="249"/>
      <c r="F638" s="249"/>
      <c r="G638" s="249"/>
      <c r="H638" s="249"/>
      <c r="I638" s="249"/>
      <c r="J638" s="249"/>
      <c r="K638" s="249"/>
      <c r="L638" s="249"/>
      <c r="M638" s="249"/>
      <c r="N638" s="249"/>
      <c r="O638" s="249"/>
      <c r="P638" s="249"/>
      <c r="Q638" s="249"/>
      <c r="R638" s="249"/>
      <c r="S638" s="249"/>
      <c r="T638" s="249"/>
      <c r="U638" s="249"/>
      <c r="V638" s="249"/>
      <c r="W638" s="249"/>
      <c r="X638" s="249"/>
      <c r="Y638" s="249"/>
      <c r="Z638" s="249"/>
      <c r="AA638" s="249"/>
      <c r="AB638" s="249"/>
      <c r="AC638" s="249"/>
      <c r="AD638" s="249"/>
    </row>
    <row r="639" spans="1:30" ht="12.9">
      <c r="A639" s="249"/>
      <c r="B639" s="249"/>
      <c r="C639" s="249"/>
      <c r="D639" s="249"/>
      <c r="E639" s="249"/>
      <c r="F639" s="249"/>
      <c r="G639" s="249"/>
      <c r="H639" s="249"/>
      <c r="I639" s="249"/>
      <c r="J639" s="249"/>
      <c r="K639" s="249"/>
      <c r="L639" s="249"/>
      <c r="M639" s="249"/>
      <c r="N639" s="249"/>
      <c r="O639" s="249"/>
      <c r="P639" s="249"/>
      <c r="Q639" s="249"/>
      <c r="R639" s="249"/>
      <c r="S639" s="249"/>
      <c r="T639" s="249"/>
      <c r="U639" s="249"/>
      <c r="V639" s="249"/>
      <c r="W639" s="249"/>
      <c r="X639" s="249"/>
      <c r="Y639" s="249"/>
      <c r="Z639" s="249"/>
      <c r="AA639" s="249"/>
      <c r="AB639" s="249"/>
      <c r="AC639" s="249"/>
      <c r="AD639" s="249"/>
    </row>
    <row r="640" spans="1:30" ht="12.9">
      <c r="A640" s="249"/>
      <c r="B640" s="249"/>
      <c r="C640" s="249"/>
      <c r="D640" s="249"/>
      <c r="E640" s="249"/>
      <c r="F640" s="249"/>
      <c r="G640" s="249"/>
      <c r="H640" s="249"/>
      <c r="I640" s="249"/>
      <c r="J640" s="249"/>
      <c r="K640" s="249"/>
      <c r="L640" s="249"/>
      <c r="M640" s="249"/>
      <c r="N640" s="249"/>
      <c r="O640" s="249"/>
      <c r="P640" s="249"/>
      <c r="Q640" s="249"/>
      <c r="R640" s="249"/>
      <c r="S640" s="249"/>
      <c r="T640" s="249"/>
      <c r="U640" s="249"/>
      <c r="V640" s="249"/>
      <c r="W640" s="249"/>
      <c r="X640" s="249"/>
      <c r="Y640" s="249"/>
      <c r="Z640" s="249"/>
      <c r="AA640" s="249"/>
      <c r="AB640" s="249"/>
      <c r="AC640" s="249"/>
      <c r="AD640" s="249"/>
    </row>
    <row r="641" spans="1:30" ht="12.9">
      <c r="A641" s="249"/>
      <c r="B641" s="249"/>
      <c r="C641" s="249"/>
      <c r="D641" s="249"/>
      <c r="E641" s="249"/>
      <c r="F641" s="249"/>
      <c r="G641" s="249"/>
      <c r="H641" s="249"/>
      <c r="I641" s="249"/>
      <c r="J641" s="249"/>
      <c r="K641" s="249"/>
      <c r="L641" s="249"/>
      <c r="M641" s="249"/>
      <c r="N641" s="249"/>
      <c r="O641" s="249"/>
      <c r="P641" s="249"/>
      <c r="Q641" s="249"/>
      <c r="R641" s="249"/>
      <c r="S641" s="249"/>
      <c r="T641" s="249"/>
      <c r="U641" s="249"/>
      <c r="V641" s="249"/>
      <c r="W641" s="249"/>
      <c r="X641" s="249"/>
      <c r="Y641" s="249"/>
      <c r="Z641" s="249"/>
      <c r="AA641" s="249"/>
      <c r="AB641" s="249"/>
      <c r="AC641" s="249"/>
      <c r="AD641" s="249"/>
    </row>
    <row r="642" spans="1:30" ht="12.9">
      <c r="A642" s="249"/>
      <c r="B642" s="249"/>
      <c r="C642" s="249"/>
      <c r="D642" s="249"/>
      <c r="E642" s="249"/>
      <c r="F642" s="249"/>
      <c r="G642" s="249"/>
      <c r="H642" s="249"/>
      <c r="I642" s="249"/>
      <c r="J642" s="249"/>
      <c r="K642" s="249"/>
      <c r="L642" s="249"/>
      <c r="M642" s="249"/>
      <c r="N642" s="249"/>
      <c r="O642" s="249"/>
      <c r="P642" s="249"/>
      <c r="Q642" s="249"/>
      <c r="R642" s="249"/>
      <c r="S642" s="249"/>
      <c r="T642" s="249"/>
      <c r="U642" s="249"/>
      <c r="V642" s="249"/>
      <c r="W642" s="249"/>
      <c r="X642" s="249"/>
      <c r="Y642" s="249"/>
      <c r="Z642" s="249"/>
      <c r="AA642" s="249"/>
      <c r="AB642" s="249"/>
      <c r="AC642" s="249"/>
      <c r="AD642" s="249"/>
    </row>
    <row r="643" spans="1:30" ht="12.9">
      <c r="A643" s="249"/>
      <c r="B643" s="249"/>
      <c r="C643" s="249"/>
      <c r="D643" s="249"/>
      <c r="E643" s="249"/>
      <c r="F643" s="249"/>
      <c r="G643" s="249"/>
      <c r="H643" s="249"/>
      <c r="I643" s="249"/>
      <c r="J643" s="249"/>
      <c r="K643" s="249"/>
      <c r="L643" s="249"/>
      <c r="M643" s="249"/>
      <c r="N643" s="249"/>
      <c r="O643" s="249"/>
      <c r="P643" s="249"/>
      <c r="Q643" s="249"/>
      <c r="R643" s="249"/>
      <c r="S643" s="249"/>
      <c r="T643" s="249"/>
      <c r="U643" s="249"/>
      <c r="V643" s="249"/>
      <c r="W643" s="249"/>
      <c r="X643" s="249"/>
      <c r="Y643" s="249"/>
      <c r="Z643" s="249"/>
      <c r="AA643" s="249"/>
      <c r="AB643" s="249"/>
      <c r="AC643" s="249"/>
      <c r="AD643" s="249"/>
    </row>
    <row r="644" spans="1:30" ht="12.9">
      <c r="A644" s="249"/>
      <c r="B644" s="249"/>
      <c r="C644" s="249"/>
      <c r="D644" s="249"/>
      <c r="E644" s="249"/>
      <c r="F644" s="249"/>
      <c r="G644" s="249"/>
      <c r="H644" s="249"/>
      <c r="I644" s="249"/>
      <c r="J644" s="249"/>
      <c r="K644" s="249"/>
      <c r="L644" s="249"/>
      <c r="M644" s="249"/>
      <c r="N644" s="249"/>
      <c r="O644" s="249"/>
      <c r="P644" s="249"/>
      <c r="Q644" s="249"/>
      <c r="R644" s="249"/>
      <c r="S644" s="249"/>
      <c r="T644" s="249"/>
      <c r="U644" s="249"/>
      <c r="V644" s="249"/>
      <c r="W644" s="249"/>
      <c r="X644" s="249"/>
      <c r="Y644" s="249"/>
      <c r="Z644" s="249"/>
      <c r="AA644" s="249"/>
      <c r="AB644" s="249"/>
      <c r="AC644" s="249"/>
      <c r="AD644" s="249"/>
    </row>
    <row r="645" spans="1:30" ht="12.9">
      <c r="A645" s="249"/>
      <c r="B645" s="249"/>
      <c r="C645" s="249"/>
      <c r="D645" s="249"/>
      <c r="E645" s="249"/>
      <c r="F645" s="249"/>
      <c r="G645" s="249"/>
      <c r="H645" s="249"/>
      <c r="I645" s="249"/>
      <c r="J645" s="249"/>
      <c r="K645" s="249"/>
      <c r="L645" s="249"/>
      <c r="M645" s="249"/>
      <c r="N645" s="249"/>
      <c r="O645" s="249"/>
      <c r="P645" s="249"/>
      <c r="Q645" s="249"/>
      <c r="R645" s="249"/>
      <c r="S645" s="249"/>
      <c r="T645" s="249"/>
      <c r="U645" s="249"/>
      <c r="V645" s="249"/>
      <c r="W645" s="249"/>
      <c r="X645" s="249"/>
      <c r="Y645" s="249"/>
      <c r="Z645" s="249"/>
      <c r="AA645" s="249"/>
      <c r="AB645" s="249"/>
      <c r="AC645" s="249"/>
      <c r="AD645" s="249"/>
    </row>
    <row r="646" spans="1:30" ht="12.9">
      <c r="A646" s="249"/>
      <c r="B646" s="249"/>
      <c r="C646" s="249"/>
      <c r="D646" s="249"/>
      <c r="E646" s="249"/>
      <c r="F646" s="249"/>
      <c r="G646" s="249"/>
      <c r="H646" s="249"/>
      <c r="I646" s="249"/>
      <c r="J646" s="249"/>
      <c r="K646" s="249"/>
      <c r="L646" s="249"/>
      <c r="M646" s="249"/>
      <c r="N646" s="249"/>
      <c r="O646" s="249"/>
      <c r="P646" s="249"/>
      <c r="Q646" s="249"/>
      <c r="R646" s="249"/>
      <c r="S646" s="249"/>
      <c r="T646" s="249"/>
      <c r="U646" s="249"/>
      <c r="V646" s="249"/>
      <c r="W646" s="249"/>
      <c r="X646" s="249"/>
      <c r="Y646" s="249"/>
      <c r="Z646" s="249"/>
      <c r="AA646" s="249"/>
      <c r="AB646" s="249"/>
      <c r="AC646" s="249"/>
      <c r="AD646" s="249"/>
    </row>
    <row r="647" spans="1:30" ht="12.9">
      <c r="A647" s="249"/>
      <c r="B647" s="249"/>
      <c r="C647" s="249"/>
      <c r="D647" s="249"/>
      <c r="E647" s="249"/>
      <c r="F647" s="249"/>
      <c r="G647" s="249"/>
      <c r="H647" s="249"/>
      <c r="I647" s="249"/>
      <c r="J647" s="249"/>
      <c r="K647" s="249"/>
      <c r="L647" s="249"/>
      <c r="M647" s="249"/>
      <c r="N647" s="249"/>
      <c r="O647" s="249"/>
      <c r="P647" s="249"/>
      <c r="Q647" s="249"/>
      <c r="R647" s="249"/>
      <c r="S647" s="249"/>
      <c r="T647" s="249"/>
      <c r="U647" s="249"/>
      <c r="V647" s="249"/>
      <c r="W647" s="249"/>
      <c r="X647" s="249"/>
      <c r="Y647" s="249"/>
      <c r="Z647" s="249"/>
      <c r="AA647" s="249"/>
      <c r="AB647" s="249"/>
      <c r="AC647" s="249"/>
      <c r="AD647" s="249"/>
    </row>
    <row r="648" spans="1:30" ht="12.9">
      <c r="A648" s="249"/>
      <c r="B648" s="249"/>
      <c r="C648" s="249"/>
      <c r="D648" s="249"/>
      <c r="E648" s="249"/>
      <c r="F648" s="249"/>
      <c r="G648" s="249"/>
      <c r="H648" s="249"/>
      <c r="I648" s="249"/>
      <c r="J648" s="249"/>
      <c r="K648" s="249"/>
      <c r="L648" s="249"/>
      <c r="M648" s="249"/>
      <c r="N648" s="249"/>
      <c r="O648" s="249"/>
      <c r="P648" s="249"/>
      <c r="Q648" s="249"/>
      <c r="R648" s="249"/>
      <c r="S648" s="249"/>
      <c r="T648" s="249"/>
      <c r="U648" s="249"/>
      <c r="V648" s="249"/>
      <c r="W648" s="249"/>
      <c r="X648" s="249"/>
      <c r="Y648" s="249"/>
      <c r="Z648" s="249"/>
      <c r="AA648" s="249"/>
      <c r="AB648" s="249"/>
      <c r="AC648" s="249"/>
      <c r="AD648" s="249"/>
    </row>
    <row r="649" spans="1:30" ht="12.9">
      <c r="A649" s="249"/>
      <c r="B649" s="249"/>
      <c r="C649" s="249"/>
      <c r="D649" s="249"/>
      <c r="E649" s="249"/>
      <c r="F649" s="249"/>
      <c r="G649" s="249"/>
      <c r="H649" s="249"/>
      <c r="I649" s="249"/>
      <c r="J649" s="249"/>
      <c r="K649" s="249"/>
      <c r="L649" s="249"/>
      <c r="M649" s="249"/>
      <c r="N649" s="249"/>
      <c r="O649" s="249"/>
      <c r="P649" s="249"/>
      <c r="Q649" s="249"/>
      <c r="R649" s="249"/>
      <c r="S649" s="249"/>
      <c r="T649" s="249"/>
      <c r="U649" s="249"/>
      <c r="V649" s="249"/>
      <c r="W649" s="249"/>
      <c r="X649" s="249"/>
      <c r="Y649" s="249"/>
      <c r="Z649" s="249"/>
      <c r="AA649" s="249"/>
      <c r="AB649" s="249"/>
      <c r="AC649" s="249"/>
      <c r="AD649" s="249"/>
    </row>
    <row r="650" spans="1:30" ht="12.9">
      <c r="A650" s="249"/>
      <c r="B650" s="249"/>
      <c r="C650" s="249"/>
      <c r="D650" s="249"/>
      <c r="E650" s="249"/>
      <c r="F650" s="249"/>
      <c r="G650" s="249"/>
      <c r="H650" s="249"/>
      <c r="I650" s="249"/>
      <c r="J650" s="249"/>
      <c r="K650" s="249"/>
      <c r="L650" s="249"/>
      <c r="M650" s="249"/>
      <c r="N650" s="249"/>
      <c r="O650" s="249"/>
      <c r="P650" s="249"/>
      <c r="Q650" s="249"/>
      <c r="R650" s="249"/>
      <c r="S650" s="249"/>
      <c r="T650" s="249"/>
      <c r="U650" s="249"/>
      <c r="V650" s="249"/>
      <c r="W650" s="249"/>
      <c r="X650" s="249"/>
      <c r="Y650" s="249"/>
      <c r="Z650" s="249"/>
      <c r="AA650" s="249"/>
      <c r="AB650" s="249"/>
      <c r="AC650" s="249"/>
      <c r="AD650" s="249"/>
    </row>
    <row r="651" spans="1:30" ht="12.9">
      <c r="A651" s="249"/>
      <c r="B651" s="249"/>
      <c r="C651" s="249"/>
      <c r="D651" s="249"/>
      <c r="E651" s="249"/>
      <c r="F651" s="249"/>
      <c r="G651" s="249"/>
      <c r="H651" s="249"/>
      <c r="I651" s="249"/>
      <c r="J651" s="249"/>
      <c r="K651" s="249"/>
      <c r="L651" s="249"/>
      <c r="M651" s="249"/>
      <c r="N651" s="249"/>
      <c r="O651" s="249"/>
      <c r="P651" s="249"/>
      <c r="Q651" s="249"/>
      <c r="R651" s="249"/>
      <c r="S651" s="249"/>
      <c r="T651" s="249"/>
      <c r="U651" s="249"/>
      <c r="V651" s="249"/>
      <c r="W651" s="249"/>
      <c r="X651" s="249"/>
      <c r="Y651" s="249"/>
      <c r="Z651" s="249"/>
      <c r="AA651" s="249"/>
      <c r="AB651" s="249"/>
      <c r="AC651" s="249"/>
      <c r="AD651" s="249"/>
    </row>
    <row r="652" spans="1:30" ht="12.9">
      <c r="A652" s="249"/>
      <c r="B652" s="249"/>
      <c r="C652" s="249"/>
      <c r="D652" s="249"/>
      <c r="E652" s="249"/>
      <c r="F652" s="249"/>
      <c r="G652" s="249"/>
      <c r="H652" s="249"/>
      <c r="I652" s="249"/>
      <c r="J652" s="249"/>
      <c r="K652" s="249"/>
      <c r="L652" s="249"/>
      <c r="M652" s="249"/>
      <c r="N652" s="249"/>
      <c r="O652" s="249"/>
      <c r="P652" s="249"/>
      <c r="Q652" s="249"/>
      <c r="R652" s="249"/>
      <c r="S652" s="249"/>
      <c r="T652" s="249"/>
      <c r="U652" s="249"/>
      <c r="V652" s="249"/>
      <c r="W652" s="249"/>
      <c r="X652" s="249"/>
      <c r="Y652" s="249"/>
      <c r="Z652" s="249"/>
      <c r="AA652" s="249"/>
      <c r="AB652" s="249"/>
      <c r="AC652" s="249"/>
      <c r="AD652" s="249"/>
    </row>
    <row r="653" spans="1:30" ht="12.9">
      <c r="A653" s="249"/>
      <c r="B653" s="249"/>
      <c r="C653" s="249"/>
      <c r="D653" s="249"/>
      <c r="E653" s="249"/>
      <c r="F653" s="249"/>
      <c r="G653" s="249"/>
      <c r="H653" s="249"/>
      <c r="I653" s="249"/>
      <c r="J653" s="249"/>
      <c r="K653" s="249"/>
      <c r="L653" s="249"/>
      <c r="M653" s="249"/>
      <c r="N653" s="249"/>
      <c r="O653" s="249"/>
      <c r="P653" s="249"/>
      <c r="Q653" s="249"/>
      <c r="R653" s="249"/>
      <c r="S653" s="249"/>
      <c r="T653" s="249"/>
      <c r="U653" s="249"/>
      <c r="V653" s="249"/>
      <c r="W653" s="249"/>
      <c r="X653" s="249"/>
      <c r="Y653" s="249"/>
      <c r="Z653" s="249"/>
      <c r="AA653" s="249"/>
      <c r="AB653" s="249"/>
      <c r="AC653" s="249"/>
      <c r="AD653" s="249"/>
    </row>
    <row r="654" spans="1:30" ht="12.9">
      <c r="A654" s="249"/>
      <c r="B654" s="249"/>
      <c r="C654" s="249"/>
      <c r="D654" s="249"/>
      <c r="E654" s="249"/>
      <c r="F654" s="249"/>
      <c r="G654" s="249"/>
      <c r="H654" s="249"/>
      <c r="I654" s="249"/>
      <c r="J654" s="249"/>
      <c r="K654" s="249"/>
      <c r="L654" s="249"/>
      <c r="M654" s="249"/>
      <c r="N654" s="249"/>
      <c r="O654" s="249"/>
      <c r="P654" s="249"/>
      <c r="Q654" s="249"/>
      <c r="R654" s="249"/>
      <c r="S654" s="249"/>
      <c r="T654" s="249"/>
      <c r="U654" s="249"/>
      <c r="V654" s="249"/>
      <c r="W654" s="249"/>
      <c r="X654" s="249"/>
      <c r="Y654" s="249"/>
      <c r="Z654" s="249"/>
      <c r="AA654" s="249"/>
      <c r="AB654" s="249"/>
      <c r="AC654" s="249"/>
      <c r="AD654" s="249"/>
    </row>
    <row r="655" spans="1:30" ht="12.9">
      <c r="A655" s="249"/>
      <c r="B655" s="249"/>
      <c r="C655" s="249"/>
      <c r="D655" s="249"/>
      <c r="E655" s="249"/>
      <c r="F655" s="249"/>
      <c r="G655" s="249"/>
      <c r="H655" s="249"/>
      <c r="I655" s="249"/>
      <c r="J655" s="249"/>
      <c r="K655" s="249"/>
      <c r="L655" s="249"/>
      <c r="M655" s="249"/>
      <c r="N655" s="249"/>
      <c r="O655" s="249"/>
      <c r="P655" s="249"/>
      <c r="Q655" s="249"/>
      <c r="R655" s="249"/>
      <c r="S655" s="249"/>
      <c r="T655" s="249"/>
      <c r="U655" s="249"/>
      <c r="V655" s="249"/>
      <c r="W655" s="249"/>
      <c r="X655" s="249"/>
      <c r="Y655" s="249"/>
      <c r="Z655" s="249"/>
      <c r="AA655" s="249"/>
      <c r="AB655" s="249"/>
      <c r="AC655" s="249"/>
      <c r="AD655" s="249"/>
    </row>
    <row r="656" spans="1:30" ht="12.9">
      <c r="A656" s="249"/>
      <c r="B656" s="249"/>
      <c r="C656" s="249"/>
      <c r="D656" s="249"/>
      <c r="E656" s="249"/>
      <c r="F656" s="249"/>
      <c r="G656" s="249"/>
      <c r="H656" s="249"/>
      <c r="I656" s="249"/>
      <c r="J656" s="249"/>
      <c r="K656" s="249"/>
      <c r="L656" s="249"/>
      <c r="M656" s="249"/>
      <c r="N656" s="249"/>
      <c r="O656" s="249"/>
      <c r="P656" s="249"/>
      <c r="Q656" s="249"/>
      <c r="R656" s="249"/>
      <c r="S656" s="249"/>
      <c r="T656" s="249"/>
      <c r="U656" s="249"/>
      <c r="V656" s="249"/>
      <c r="W656" s="249"/>
      <c r="X656" s="249"/>
      <c r="Y656" s="249"/>
      <c r="Z656" s="249"/>
      <c r="AA656" s="249"/>
      <c r="AB656" s="249"/>
      <c r="AC656" s="249"/>
      <c r="AD656" s="249"/>
    </row>
    <row r="657" spans="1:30" ht="12.9">
      <c r="A657" s="249"/>
      <c r="B657" s="249"/>
      <c r="C657" s="249"/>
      <c r="D657" s="249"/>
      <c r="E657" s="249"/>
      <c r="F657" s="249"/>
      <c r="G657" s="249"/>
      <c r="H657" s="249"/>
      <c r="I657" s="249"/>
      <c r="J657" s="249"/>
      <c r="K657" s="249"/>
      <c r="L657" s="249"/>
      <c r="M657" s="249"/>
      <c r="N657" s="249"/>
      <c r="O657" s="249"/>
      <c r="P657" s="249"/>
      <c r="Q657" s="249"/>
      <c r="R657" s="249"/>
      <c r="S657" s="249"/>
      <c r="T657" s="249"/>
      <c r="U657" s="249"/>
      <c r="V657" s="249"/>
      <c r="W657" s="249"/>
      <c r="X657" s="249"/>
      <c r="Y657" s="249"/>
      <c r="Z657" s="249"/>
      <c r="AA657" s="249"/>
      <c r="AB657" s="249"/>
      <c r="AC657" s="249"/>
      <c r="AD657" s="249"/>
    </row>
    <row r="658" spans="1:30" ht="12.9">
      <c r="A658" s="249"/>
      <c r="B658" s="249"/>
      <c r="C658" s="249"/>
      <c r="D658" s="249"/>
      <c r="E658" s="249"/>
      <c r="F658" s="249"/>
      <c r="G658" s="249"/>
      <c r="H658" s="249"/>
      <c r="I658" s="249"/>
      <c r="J658" s="249"/>
      <c r="K658" s="249"/>
      <c r="L658" s="249"/>
      <c r="M658" s="249"/>
      <c r="N658" s="249"/>
      <c r="O658" s="249"/>
      <c r="P658" s="249"/>
      <c r="Q658" s="249"/>
      <c r="R658" s="249"/>
      <c r="S658" s="249"/>
      <c r="T658" s="249"/>
      <c r="U658" s="249"/>
      <c r="V658" s="249"/>
      <c r="W658" s="249"/>
      <c r="X658" s="249"/>
      <c r="Y658" s="249"/>
      <c r="Z658" s="249"/>
      <c r="AA658" s="249"/>
      <c r="AB658" s="249"/>
      <c r="AC658" s="249"/>
      <c r="AD658" s="249"/>
    </row>
    <row r="659" spans="1:30" ht="12.9">
      <c r="A659" s="249"/>
      <c r="B659" s="249"/>
      <c r="C659" s="249"/>
      <c r="D659" s="249"/>
      <c r="E659" s="249"/>
      <c r="F659" s="249"/>
      <c r="G659" s="249"/>
      <c r="H659" s="249"/>
      <c r="I659" s="249"/>
      <c r="J659" s="249"/>
      <c r="K659" s="249"/>
      <c r="L659" s="249"/>
      <c r="M659" s="249"/>
      <c r="N659" s="249"/>
      <c r="O659" s="249"/>
      <c r="P659" s="249"/>
      <c r="Q659" s="249"/>
      <c r="R659" s="249"/>
      <c r="S659" s="249"/>
      <c r="T659" s="249"/>
      <c r="U659" s="249"/>
      <c r="V659" s="249"/>
      <c r="W659" s="249"/>
      <c r="X659" s="249"/>
      <c r="Y659" s="249"/>
      <c r="Z659" s="249"/>
      <c r="AA659" s="249"/>
      <c r="AB659" s="249"/>
      <c r="AC659" s="249"/>
      <c r="AD659" s="249"/>
    </row>
    <row r="660" spans="1:30" ht="12.9">
      <c r="A660" s="249"/>
      <c r="B660" s="249"/>
      <c r="C660" s="249"/>
      <c r="D660" s="249"/>
      <c r="E660" s="249"/>
      <c r="F660" s="249"/>
      <c r="G660" s="249"/>
      <c r="H660" s="249"/>
      <c r="I660" s="249"/>
      <c r="J660" s="249"/>
      <c r="K660" s="249"/>
      <c r="L660" s="249"/>
      <c r="M660" s="249"/>
      <c r="N660" s="249"/>
      <c r="O660" s="249"/>
      <c r="P660" s="249"/>
      <c r="Q660" s="249"/>
      <c r="R660" s="249"/>
      <c r="S660" s="249"/>
      <c r="T660" s="249"/>
      <c r="U660" s="249"/>
      <c r="V660" s="249"/>
      <c r="W660" s="249"/>
      <c r="X660" s="249"/>
      <c r="Y660" s="249"/>
      <c r="Z660" s="249"/>
      <c r="AA660" s="249"/>
      <c r="AB660" s="249"/>
      <c r="AC660" s="249"/>
      <c r="AD660" s="249"/>
    </row>
    <row r="661" spans="1:30" ht="12.9">
      <c r="A661" s="249"/>
      <c r="B661" s="249"/>
      <c r="C661" s="249"/>
      <c r="D661" s="249"/>
      <c r="E661" s="249"/>
      <c r="F661" s="249"/>
      <c r="G661" s="249"/>
      <c r="H661" s="249"/>
      <c r="I661" s="249"/>
      <c r="J661" s="249"/>
      <c r="K661" s="249"/>
      <c r="L661" s="249"/>
      <c r="M661" s="249"/>
      <c r="N661" s="249"/>
      <c r="O661" s="249"/>
      <c r="P661" s="249"/>
      <c r="Q661" s="249"/>
      <c r="R661" s="249"/>
      <c r="S661" s="249"/>
      <c r="T661" s="249"/>
      <c r="U661" s="249"/>
      <c r="V661" s="249"/>
      <c r="W661" s="249"/>
      <c r="X661" s="249"/>
      <c r="Y661" s="249"/>
      <c r="Z661" s="249"/>
      <c r="AA661" s="249"/>
      <c r="AB661" s="249"/>
      <c r="AC661" s="249"/>
      <c r="AD661" s="249"/>
    </row>
    <row r="662" spans="1:30" ht="12.9">
      <c r="A662" s="249"/>
      <c r="B662" s="249"/>
      <c r="C662" s="249"/>
      <c r="D662" s="249"/>
      <c r="E662" s="249"/>
      <c r="F662" s="249"/>
      <c r="G662" s="249"/>
      <c r="H662" s="249"/>
      <c r="I662" s="249"/>
      <c r="J662" s="249"/>
      <c r="K662" s="249"/>
      <c r="L662" s="249"/>
      <c r="M662" s="249"/>
      <c r="N662" s="249"/>
      <c r="O662" s="249"/>
      <c r="P662" s="249"/>
      <c r="Q662" s="249"/>
      <c r="R662" s="249"/>
      <c r="S662" s="249"/>
      <c r="T662" s="249"/>
      <c r="U662" s="249"/>
      <c r="V662" s="249"/>
      <c r="W662" s="249"/>
      <c r="X662" s="249"/>
      <c r="Y662" s="249"/>
      <c r="Z662" s="249"/>
      <c r="AA662" s="249"/>
      <c r="AB662" s="249"/>
      <c r="AC662" s="249"/>
      <c r="AD662" s="249"/>
    </row>
    <row r="663" spans="1:30" ht="12.9">
      <c r="A663" s="249"/>
      <c r="B663" s="249"/>
      <c r="C663" s="249"/>
      <c r="D663" s="249"/>
      <c r="E663" s="249"/>
      <c r="F663" s="249"/>
      <c r="G663" s="249"/>
      <c r="H663" s="249"/>
      <c r="I663" s="249"/>
      <c r="J663" s="249"/>
      <c r="K663" s="249"/>
      <c r="L663" s="249"/>
      <c r="M663" s="249"/>
      <c r="N663" s="249"/>
      <c r="O663" s="249"/>
      <c r="P663" s="249"/>
      <c r="Q663" s="249"/>
      <c r="R663" s="249"/>
      <c r="S663" s="249"/>
      <c r="T663" s="249"/>
      <c r="U663" s="249"/>
      <c r="V663" s="249"/>
      <c r="W663" s="249"/>
      <c r="X663" s="249"/>
      <c r="Y663" s="249"/>
      <c r="Z663" s="249"/>
      <c r="AA663" s="249"/>
      <c r="AB663" s="249"/>
      <c r="AC663" s="249"/>
      <c r="AD663" s="249"/>
    </row>
    <row r="664" spans="1:30" ht="12.9">
      <c r="A664" s="249"/>
      <c r="B664" s="249"/>
      <c r="C664" s="249"/>
      <c r="D664" s="249"/>
      <c r="E664" s="249"/>
      <c r="F664" s="249"/>
      <c r="G664" s="249"/>
      <c r="H664" s="249"/>
      <c r="I664" s="249"/>
      <c r="J664" s="249"/>
      <c r="K664" s="249"/>
      <c r="L664" s="249"/>
      <c r="M664" s="249"/>
      <c r="N664" s="249"/>
      <c r="O664" s="249"/>
      <c r="P664" s="249"/>
      <c r="Q664" s="249"/>
      <c r="R664" s="249"/>
      <c r="S664" s="249"/>
      <c r="T664" s="249"/>
      <c r="U664" s="249"/>
      <c r="V664" s="249"/>
      <c r="W664" s="249"/>
      <c r="X664" s="249"/>
      <c r="Y664" s="249"/>
      <c r="Z664" s="249"/>
      <c r="AA664" s="249"/>
      <c r="AB664" s="249"/>
      <c r="AC664" s="249"/>
      <c r="AD664" s="249"/>
    </row>
    <row r="665" spans="1:30" ht="12.9">
      <c r="A665" s="249"/>
      <c r="B665" s="249"/>
      <c r="C665" s="249"/>
      <c r="D665" s="249"/>
      <c r="E665" s="249"/>
      <c r="F665" s="249"/>
      <c r="G665" s="249"/>
      <c r="H665" s="249"/>
      <c r="I665" s="249"/>
      <c r="J665" s="249"/>
      <c r="K665" s="249"/>
      <c r="L665" s="249"/>
      <c r="M665" s="249"/>
      <c r="N665" s="249"/>
      <c r="O665" s="249"/>
      <c r="P665" s="249"/>
      <c r="Q665" s="249"/>
      <c r="R665" s="249"/>
      <c r="S665" s="249"/>
      <c r="T665" s="249"/>
      <c r="U665" s="249"/>
      <c r="V665" s="249"/>
      <c r="W665" s="249"/>
      <c r="X665" s="249"/>
      <c r="Y665" s="249"/>
      <c r="Z665" s="249"/>
      <c r="AA665" s="249"/>
      <c r="AB665" s="249"/>
      <c r="AC665" s="249"/>
      <c r="AD665" s="249"/>
    </row>
    <row r="666" spans="1:30" ht="12.9">
      <c r="A666" s="249"/>
      <c r="B666" s="249"/>
      <c r="C666" s="249"/>
      <c r="D666" s="249"/>
      <c r="E666" s="249"/>
      <c r="F666" s="249"/>
      <c r="G666" s="249"/>
      <c r="H666" s="249"/>
      <c r="I666" s="249"/>
      <c r="J666" s="249"/>
      <c r="K666" s="249"/>
      <c r="L666" s="249"/>
      <c r="M666" s="249"/>
      <c r="N666" s="249"/>
      <c r="O666" s="249"/>
      <c r="P666" s="249"/>
      <c r="Q666" s="249"/>
      <c r="R666" s="249"/>
      <c r="S666" s="249"/>
      <c r="T666" s="249"/>
      <c r="U666" s="249"/>
      <c r="V666" s="249"/>
      <c r="W666" s="249"/>
      <c r="X666" s="249"/>
      <c r="Y666" s="249"/>
      <c r="Z666" s="249"/>
      <c r="AA666" s="249"/>
      <c r="AB666" s="249"/>
      <c r="AC666" s="249"/>
      <c r="AD666" s="249"/>
    </row>
    <row r="667" spans="1:30" ht="12.9">
      <c r="A667" s="249"/>
      <c r="B667" s="249"/>
      <c r="C667" s="249"/>
      <c r="D667" s="249"/>
      <c r="E667" s="249"/>
      <c r="F667" s="249"/>
      <c r="G667" s="249"/>
      <c r="H667" s="249"/>
      <c r="I667" s="249"/>
      <c r="J667" s="249"/>
      <c r="K667" s="249"/>
      <c r="L667" s="249"/>
      <c r="M667" s="249"/>
      <c r="N667" s="249"/>
      <c r="O667" s="249"/>
      <c r="P667" s="249"/>
      <c r="Q667" s="249"/>
      <c r="R667" s="249"/>
      <c r="S667" s="249"/>
      <c r="T667" s="249"/>
      <c r="U667" s="249"/>
      <c r="V667" s="249"/>
      <c r="W667" s="249"/>
      <c r="X667" s="249"/>
      <c r="Y667" s="249"/>
      <c r="Z667" s="249"/>
      <c r="AA667" s="249"/>
      <c r="AB667" s="249"/>
      <c r="AC667" s="249"/>
      <c r="AD667" s="249"/>
    </row>
    <row r="668" spans="1:30" ht="12.9">
      <c r="A668" s="249"/>
      <c r="B668" s="249"/>
      <c r="C668" s="249"/>
      <c r="D668" s="249"/>
      <c r="E668" s="249"/>
      <c r="F668" s="249"/>
      <c r="G668" s="249"/>
      <c r="H668" s="249"/>
      <c r="I668" s="249"/>
      <c r="J668" s="249"/>
      <c r="K668" s="249"/>
      <c r="L668" s="249"/>
      <c r="M668" s="249"/>
      <c r="N668" s="249"/>
      <c r="O668" s="249"/>
      <c r="P668" s="249"/>
      <c r="Q668" s="249"/>
      <c r="R668" s="249"/>
      <c r="S668" s="249"/>
      <c r="T668" s="249"/>
      <c r="U668" s="249"/>
      <c r="V668" s="249"/>
      <c r="W668" s="249"/>
      <c r="X668" s="249"/>
      <c r="Y668" s="249"/>
      <c r="Z668" s="249"/>
      <c r="AA668" s="249"/>
      <c r="AB668" s="249"/>
      <c r="AC668" s="249"/>
      <c r="AD668" s="249"/>
    </row>
    <row r="669" spans="1:30" ht="12.9">
      <c r="A669" s="249"/>
      <c r="B669" s="249"/>
      <c r="C669" s="249"/>
      <c r="D669" s="249"/>
      <c r="E669" s="249"/>
      <c r="F669" s="249"/>
      <c r="G669" s="249"/>
      <c r="H669" s="249"/>
      <c r="I669" s="249"/>
      <c r="J669" s="249"/>
      <c r="K669" s="249"/>
      <c r="L669" s="249"/>
      <c r="M669" s="249"/>
      <c r="N669" s="249"/>
      <c r="O669" s="249"/>
      <c r="P669" s="249"/>
      <c r="Q669" s="249"/>
      <c r="R669" s="249"/>
      <c r="S669" s="249"/>
      <c r="T669" s="249"/>
      <c r="U669" s="249"/>
      <c r="V669" s="249"/>
      <c r="W669" s="249"/>
      <c r="X669" s="249"/>
      <c r="Y669" s="249"/>
      <c r="Z669" s="249"/>
      <c r="AA669" s="249"/>
      <c r="AB669" s="249"/>
      <c r="AC669" s="249"/>
      <c r="AD669" s="249"/>
    </row>
    <row r="670" spans="1:30" ht="12.9">
      <c r="A670" s="249"/>
      <c r="B670" s="249"/>
      <c r="C670" s="249"/>
      <c r="D670" s="249"/>
      <c r="E670" s="249"/>
      <c r="F670" s="249"/>
      <c r="G670" s="249"/>
      <c r="H670" s="249"/>
      <c r="I670" s="249"/>
      <c r="J670" s="249"/>
      <c r="K670" s="249"/>
      <c r="L670" s="249"/>
      <c r="M670" s="249"/>
      <c r="N670" s="249"/>
      <c r="O670" s="249"/>
      <c r="P670" s="249"/>
      <c r="Q670" s="249"/>
      <c r="R670" s="249"/>
      <c r="S670" s="249"/>
      <c r="T670" s="249"/>
      <c r="U670" s="249"/>
      <c r="V670" s="249"/>
      <c r="W670" s="249"/>
      <c r="X670" s="249"/>
      <c r="Y670" s="249"/>
      <c r="Z670" s="249"/>
      <c r="AA670" s="249"/>
      <c r="AB670" s="249"/>
      <c r="AC670" s="249"/>
      <c r="AD670" s="249"/>
    </row>
    <row r="671" spans="1:30" ht="12.9">
      <c r="A671" s="249"/>
      <c r="B671" s="249"/>
      <c r="C671" s="249"/>
      <c r="D671" s="249"/>
      <c r="E671" s="249"/>
      <c r="F671" s="249"/>
      <c r="G671" s="249"/>
      <c r="H671" s="249"/>
      <c r="I671" s="249"/>
      <c r="J671" s="249"/>
      <c r="K671" s="249"/>
      <c r="L671" s="249"/>
      <c r="M671" s="249"/>
      <c r="N671" s="249"/>
      <c r="O671" s="249"/>
      <c r="P671" s="249"/>
      <c r="Q671" s="249"/>
      <c r="R671" s="249"/>
      <c r="S671" s="249"/>
      <c r="T671" s="249"/>
      <c r="U671" s="249"/>
      <c r="V671" s="249"/>
      <c r="W671" s="249"/>
      <c r="X671" s="249"/>
      <c r="Y671" s="249"/>
      <c r="Z671" s="249"/>
      <c r="AA671" s="249"/>
      <c r="AB671" s="249"/>
      <c r="AC671" s="249"/>
      <c r="AD671" s="249"/>
    </row>
    <row r="672" spans="1:30" ht="12.9">
      <c r="A672" s="249"/>
      <c r="B672" s="249"/>
      <c r="C672" s="249"/>
      <c r="D672" s="249"/>
      <c r="E672" s="249"/>
      <c r="F672" s="249"/>
      <c r="G672" s="249"/>
      <c r="H672" s="249"/>
      <c r="I672" s="249"/>
      <c r="J672" s="249"/>
      <c r="K672" s="249"/>
      <c r="L672" s="249"/>
      <c r="M672" s="249"/>
      <c r="N672" s="249"/>
      <c r="O672" s="249"/>
      <c r="P672" s="249"/>
      <c r="Q672" s="249"/>
      <c r="R672" s="249"/>
      <c r="S672" s="249"/>
      <c r="T672" s="249"/>
      <c r="U672" s="249"/>
      <c r="V672" s="249"/>
      <c r="W672" s="249"/>
      <c r="X672" s="249"/>
      <c r="Y672" s="249"/>
      <c r="Z672" s="249"/>
      <c r="AA672" s="249"/>
      <c r="AB672" s="249"/>
      <c r="AC672" s="249"/>
      <c r="AD672" s="249"/>
    </row>
    <row r="673" spans="1:30" ht="12.9">
      <c r="A673" s="249"/>
      <c r="B673" s="249"/>
      <c r="C673" s="249"/>
      <c r="D673" s="249"/>
      <c r="E673" s="249"/>
      <c r="F673" s="249"/>
      <c r="G673" s="249"/>
      <c r="H673" s="249"/>
      <c r="I673" s="249"/>
      <c r="J673" s="249"/>
      <c r="K673" s="249"/>
      <c r="L673" s="249"/>
      <c r="M673" s="249"/>
      <c r="N673" s="249"/>
      <c r="O673" s="249"/>
      <c r="P673" s="249"/>
      <c r="Q673" s="249"/>
      <c r="R673" s="249"/>
      <c r="S673" s="249"/>
      <c r="T673" s="249"/>
      <c r="U673" s="249"/>
      <c r="V673" s="249"/>
      <c r="W673" s="249"/>
      <c r="X673" s="249"/>
      <c r="Y673" s="249"/>
      <c r="Z673" s="249"/>
      <c r="AA673" s="249"/>
      <c r="AB673" s="249"/>
      <c r="AC673" s="249"/>
      <c r="AD673" s="249"/>
    </row>
    <row r="674" spans="1:30" ht="12.9">
      <c r="A674" s="249"/>
      <c r="B674" s="249"/>
      <c r="C674" s="249"/>
      <c r="D674" s="249"/>
      <c r="E674" s="249"/>
      <c r="F674" s="249"/>
      <c r="G674" s="249"/>
      <c r="H674" s="249"/>
      <c r="I674" s="249"/>
      <c r="J674" s="249"/>
      <c r="K674" s="249"/>
      <c r="L674" s="249"/>
      <c r="M674" s="249"/>
      <c r="N674" s="249"/>
      <c r="O674" s="249"/>
      <c r="P674" s="249"/>
      <c r="Q674" s="249"/>
      <c r="R674" s="249"/>
      <c r="S674" s="249"/>
      <c r="T674" s="249"/>
      <c r="U674" s="249"/>
      <c r="V674" s="249"/>
      <c r="W674" s="249"/>
      <c r="X674" s="249"/>
      <c r="Y674" s="249"/>
      <c r="Z674" s="249"/>
      <c r="AA674" s="249"/>
      <c r="AB674" s="249"/>
      <c r="AC674" s="249"/>
      <c r="AD674" s="249"/>
    </row>
    <row r="675" spans="1:30" ht="12.9">
      <c r="A675" s="249"/>
      <c r="B675" s="249"/>
      <c r="C675" s="249"/>
      <c r="D675" s="249"/>
      <c r="E675" s="249"/>
      <c r="F675" s="249"/>
      <c r="G675" s="249"/>
      <c r="H675" s="249"/>
      <c r="I675" s="249"/>
      <c r="J675" s="249"/>
      <c r="K675" s="249"/>
      <c r="L675" s="249"/>
      <c r="M675" s="249"/>
      <c r="N675" s="249"/>
      <c r="O675" s="249"/>
      <c r="P675" s="249"/>
      <c r="Q675" s="249"/>
      <c r="R675" s="249"/>
      <c r="S675" s="249"/>
      <c r="T675" s="249"/>
      <c r="U675" s="249"/>
      <c r="V675" s="249"/>
      <c r="W675" s="249"/>
      <c r="X675" s="249"/>
      <c r="Y675" s="249"/>
      <c r="Z675" s="249"/>
      <c r="AA675" s="249"/>
      <c r="AB675" s="249"/>
      <c r="AC675" s="249"/>
      <c r="AD675" s="249"/>
    </row>
    <row r="676" spans="1:30" ht="12.9">
      <c r="A676" s="249"/>
      <c r="B676" s="249"/>
      <c r="C676" s="249"/>
      <c r="D676" s="249"/>
      <c r="E676" s="249"/>
      <c r="F676" s="249"/>
      <c r="G676" s="249"/>
      <c r="H676" s="249"/>
      <c r="I676" s="249"/>
      <c r="J676" s="249"/>
      <c r="K676" s="249"/>
      <c r="L676" s="249"/>
      <c r="M676" s="249"/>
      <c r="N676" s="249"/>
      <c r="O676" s="249"/>
      <c r="P676" s="249"/>
      <c r="Q676" s="249"/>
      <c r="R676" s="249"/>
      <c r="S676" s="249"/>
      <c r="T676" s="249"/>
      <c r="U676" s="249"/>
      <c r="V676" s="249"/>
      <c r="W676" s="249"/>
      <c r="X676" s="249"/>
      <c r="Y676" s="249"/>
      <c r="Z676" s="249"/>
      <c r="AA676" s="249"/>
      <c r="AB676" s="249"/>
      <c r="AC676" s="249"/>
      <c r="AD676" s="249"/>
    </row>
    <row r="677" spans="1:30" ht="12.9">
      <c r="A677" s="249"/>
      <c r="B677" s="249"/>
      <c r="C677" s="249"/>
      <c r="D677" s="249"/>
      <c r="E677" s="249"/>
      <c r="F677" s="249"/>
      <c r="G677" s="249"/>
      <c r="H677" s="249"/>
      <c r="I677" s="249"/>
      <c r="J677" s="249"/>
      <c r="K677" s="249"/>
      <c r="L677" s="249"/>
      <c r="M677" s="249"/>
      <c r="N677" s="249"/>
      <c r="O677" s="249"/>
      <c r="P677" s="249"/>
      <c r="Q677" s="249"/>
      <c r="R677" s="249"/>
      <c r="S677" s="249"/>
      <c r="T677" s="249"/>
      <c r="U677" s="249"/>
      <c r="V677" s="249"/>
      <c r="W677" s="249"/>
      <c r="X677" s="249"/>
      <c r="Y677" s="249"/>
      <c r="Z677" s="249"/>
      <c r="AA677" s="249"/>
      <c r="AB677" s="249"/>
      <c r="AC677" s="249"/>
      <c r="AD677" s="249"/>
    </row>
    <row r="678" spans="1:30" ht="12.9">
      <c r="A678" s="249"/>
      <c r="B678" s="249"/>
      <c r="C678" s="249"/>
      <c r="D678" s="249"/>
      <c r="E678" s="249"/>
      <c r="F678" s="249"/>
      <c r="G678" s="249"/>
      <c r="H678" s="249"/>
      <c r="I678" s="249"/>
      <c r="J678" s="249"/>
      <c r="K678" s="249"/>
      <c r="L678" s="249"/>
      <c r="M678" s="249"/>
      <c r="N678" s="249"/>
      <c r="O678" s="249"/>
      <c r="P678" s="249"/>
      <c r="Q678" s="249"/>
      <c r="R678" s="249"/>
      <c r="S678" s="249"/>
      <c r="T678" s="249"/>
      <c r="U678" s="249"/>
      <c r="V678" s="249"/>
      <c r="W678" s="249"/>
      <c r="X678" s="249"/>
      <c r="Y678" s="249"/>
      <c r="Z678" s="249"/>
      <c r="AA678" s="249"/>
      <c r="AB678" s="249"/>
      <c r="AC678" s="249"/>
      <c r="AD678" s="249"/>
    </row>
    <row r="679" spans="1:30" ht="12.9">
      <c r="A679" s="249"/>
      <c r="B679" s="249"/>
      <c r="C679" s="249"/>
      <c r="D679" s="249"/>
      <c r="E679" s="249"/>
      <c r="F679" s="249"/>
      <c r="G679" s="249"/>
      <c r="H679" s="249"/>
      <c r="I679" s="249"/>
      <c r="J679" s="249"/>
      <c r="K679" s="249"/>
      <c r="L679" s="249"/>
      <c r="M679" s="249"/>
      <c r="N679" s="249"/>
      <c r="O679" s="249"/>
      <c r="P679" s="249"/>
      <c r="Q679" s="249"/>
      <c r="R679" s="249"/>
      <c r="S679" s="249"/>
      <c r="T679" s="249"/>
      <c r="U679" s="249"/>
      <c r="V679" s="249"/>
      <c r="W679" s="249"/>
      <c r="X679" s="249"/>
      <c r="Y679" s="249"/>
      <c r="Z679" s="249"/>
      <c r="AA679" s="249"/>
      <c r="AB679" s="249"/>
      <c r="AC679" s="249"/>
      <c r="AD679" s="249"/>
    </row>
    <row r="680" spans="1:30" ht="12.9">
      <c r="A680" s="249"/>
      <c r="B680" s="249"/>
      <c r="C680" s="249"/>
      <c r="D680" s="249"/>
      <c r="E680" s="249"/>
      <c r="F680" s="249"/>
      <c r="G680" s="249"/>
      <c r="H680" s="249"/>
      <c r="I680" s="249"/>
      <c r="J680" s="249"/>
      <c r="K680" s="249"/>
      <c r="L680" s="249"/>
      <c r="M680" s="249"/>
      <c r="N680" s="249"/>
      <c r="O680" s="249"/>
      <c r="P680" s="249"/>
      <c r="Q680" s="249"/>
      <c r="R680" s="249"/>
      <c r="S680" s="249"/>
      <c r="T680" s="249"/>
      <c r="U680" s="249"/>
      <c r="V680" s="249"/>
      <c r="W680" s="249"/>
      <c r="X680" s="249"/>
      <c r="Y680" s="249"/>
      <c r="Z680" s="249"/>
      <c r="AA680" s="249"/>
      <c r="AB680" s="249"/>
      <c r="AC680" s="249"/>
      <c r="AD680" s="249"/>
    </row>
    <row r="681" spans="1:30" ht="12.9">
      <c r="A681" s="249"/>
      <c r="B681" s="249"/>
      <c r="C681" s="249"/>
      <c r="D681" s="249"/>
      <c r="E681" s="249"/>
      <c r="F681" s="249"/>
      <c r="G681" s="249"/>
      <c r="H681" s="249"/>
      <c r="I681" s="249"/>
      <c r="J681" s="249"/>
      <c r="K681" s="249"/>
      <c r="L681" s="249"/>
      <c r="M681" s="249"/>
      <c r="N681" s="249"/>
      <c r="O681" s="249"/>
      <c r="P681" s="249"/>
      <c r="Q681" s="249"/>
      <c r="R681" s="249"/>
      <c r="S681" s="249"/>
      <c r="T681" s="249"/>
      <c r="U681" s="249"/>
      <c r="V681" s="249"/>
      <c r="W681" s="249"/>
      <c r="X681" s="249"/>
      <c r="Y681" s="249"/>
      <c r="Z681" s="249"/>
      <c r="AA681" s="249"/>
      <c r="AB681" s="249"/>
      <c r="AC681" s="249"/>
      <c r="AD681" s="249"/>
    </row>
    <row r="682" spans="1:30" ht="12.9">
      <c r="A682" s="249"/>
      <c r="B682" s="249"/>
      <c r="C682" s="249"/>
      <c r="D682" s="249"/>
      <c r="E682" s="249"/>
      <c r="F682" s="249"/>
      <c r="G682" s="249"/>
      <c r="H682" s="249"/>
      <c r="I682" s="249"/>
      <c r="J682" s="249"/>
      <c r="K682" s="249"/>
      <c r="L682" s="249"/>
      <c r="M682" s="249"/>
      <c r="N682" s="249"/>
      <c r="O682" s="249"/>
      <c r="P682" s="249"/>
      <c r="Q682" s="249"/>
      <c r="R682" s="249"/>
      <c r="S682" s="249"/>
      <c r="T682" s="249"/>
      <c r="U682" s="249"/>
      <c r="V682" s="249"/>
      <c r="W682" s="249"/>
      <c r="X682" s="249"/>
      <c r="Y682" s="249"/>
      <c r="Z682" s="249"/>
      <c r="AA682" s="249"/>
      <c r="AB682" s="249"/>
      <c r="AC682" s="249"/>
      <c r="AD682" s="249"/>
    </row>
    <row r="683" spans="1:30" ht="12.9">
      <c r="A683" s="249"/>
      <c r="B683" s="249"/>
      <c r="C683" s="249"/>
      <c r="D683" s="249"/>
      <c r="E683" s="249"/>
      <c r="F683" s="249"/>
      <c r="G683" s="249"/>
      <c r="H683" s="249"/>
      <c r="I683" s="249"/>
      <c r="J683" s="249"/>
      <c r="K683" s="249"/>
      <c r="L683" s="249"/>
      <c r="M683" s="249"/>
      <c r="N683" s="249"/>
      <c r="O683" s="249"/>
      <c r="P683" s="249"/>
      <c r="Q683" s="249"/>
      <c r="R683" s="249"/>
      <c r="S683" s="249"/>
      <c r="T683" s="249"/>
      <c r="U683" s="249"/>
      <c r="V683" s="249"/>
      <c r="W683" s="249"/>
      <c r="X683" s="249"/>
      <c r="Y683" s="249"/>
      <c r="Z683" s="249"/>
      <c r="AA683" s="249"/>
      <c r="AB683" s="249"/>
      <c r="AC683" s="249"/>
      <c r="AD683" s="249"/>
    </row>
    <row r="684" spans="1:30" ht="12.9">
      <c r="A684" s="249"/>
      <c r="B684" s="249"/>
      <c r="C684" s="249"/>
      <c r="D684" s="249"/>
      <c r="E684" s="249"/>
      <c r="F684" s="249"/>
      <c r="G684" s="249"/>
      <c r="H684" s="249"/>
      <c r="I684" s="249"/>
      <c r="J684" s="249"/>
      <c r="K684" s="249"/>
      <c r="L684" s="249"/>
      <c r="M684" s="249"/>
      <c r="N684" s="249"/>
      <c r="O684" s="249"/>
      <c r="P684" s="249"/>
      <c r="Q684" s="249"/>
      <c r="R684" s="249"/>
      <c r="S684" s="249"/>
      <c r="T684" s="249"/>
      <c r="U684" s="249"/>
      <c r="V684" s="249"/>
      <c r="W684" s="249"/>
      <c r="X684" s="249"/>
      <c r="Y684" s="249"/>
      <c r="Z684" s="249"/>
      <c r="AA684" s="249"/>
      <c r="AB684" s="249"/>
      <c r="AC684" s="249"/>
      <c r="AD684" s="249"/>
    </row>
    <row r="685" spans="1:30" ht="12.9">
      <c r="A685" s="249"/>
      <c r="B685" s="249"/>
      <c r="C685" s="249"/>
      <c r="D685" s="249"/>
      <c r="E685" s="249"/>
      <c r="F685" s="249"/>
      <c r="G685" s="249"/>
      <c r="H685" s="249"/>
      <c r="I685" s="249"/>
      <c r="J685" s="249"/>
      <c r="K685" s="249"/>
      <c r="L685" s="249"/>
      <c r="M685" s="249"/>
      <c r="N685" s="249"/>
      <c r="O685" s="249"/>
      <c r="P685" s="249"/>
      <c r="Q685" s="249"/>
      <c r="R685" s="249"/>
      <c r="S685" s="249"/>
      <c r="T685" s="249"/>
      <c r="U685" s="249"/>
      <c r="V685" s="249"/>
      <c r="W685" s="249"/>
      <c r="X685" s="249"/>
      <c r="Y685" s="249"/>
      <c r="Z685" s="249"/>
      <c r="AA685" s="249"/>
      <c r="AB685" s="249"/>
      <c r="AC685" s="249"/>
      <c r="AD685" s="249"/>
    </row>
    <row r="686" spans="1:30" ht="12.9">
      <c r="A686" s="249"/>
      <c r="B686" s="249"/>
      <c r="C686" s="249"/>
      <c r="D686" s="249"/>
      <c r="E686" s="249"/>
      <c r="F686" s="249"/>
      <c r="G686" s="249"/>
      <c r="H686" s="249"/>
      <c r="I686" s="249"/>
      <c r="J686" s="249"/>
      <c r="K686" s="249"/>
      <c r="L686" s="249"/>
      <c r="M686" s="249"/>
      <c r="N686" s="249"/>
      <c r="O686" s="249"/>
      <c r="P686" s="249"/>
      <c r="Q686" s="249"/>
      <c r="R686" s="249"/>
      <c r="S686" s="249"/>
      <c r="T686" s="249"/>
      <c r="U686" s="249"/>
      <c r="V686" s="249"/>
      <c r="W686" s="249"/>
      <c r="X686" s="249"/>
      <c r="Y686" s="249"/>
      <c r="Z686" s="249"/>
      <c r="AA686" s="249"/>
      <c r="AB686" s="249"/>
      <c r="AC686" s="249"/>
      <c r="AD686" s="249"/>
    </row>
    <row r="687" spans="1:30" ht="12.9">
      <c r="A687" s="249"/>
      <c r="B687" s="249"/>
      <c r="C687" s="249"/>
      <c r="D687" s="249"/>
      <c r="E687" s="249"/>
      <c r="F687" s="249"/>
      <c r="G687" s="249"/>
      <c r="H687" s="249"/>
      <c r="I687" s="249"/>
      <c r="J687" s="249"/>
      <c r="K687" s="249"/>
      <c r="L687" s="249"/>
      <c r="M687" s="249"/>
      <c r="N687" s="249"/>
      <c r="O687" s="249"/>
      <c r="P687" s="249"/>
      <c r="Q687" s="249"/>
      <c r="R687" s="249"/>
      <c r="S687" s="249"/>
      <c r="T687" s="249"/>
      <c r="U687" s="249"/>
      <c r="V687" s="249"/>
      <c r="W687" s="249"/>
      <c r="X687" s="249"/>
      <c r="Y687" s="249"/>
      <c r="Z687" s="249"/>
      <c r="AA687" s="249"/>
      <c r="AB687" s="249"/>
      <c r="AC687" s="249"/>
      <c r="AD687" s="249"/>
    </row>
    <row r="688" spans="1:30" ht="12.9">
      <c r="A688" s="249"/>
      <c r="B688" s="249"/>
      <c r="C688" s="249"/>
      <c r="D688" s="249"/>
      <c r="E688" s="249"/>
      <c r="F688" s="249"/>
      <c r="G688" s="249"/>
      <c r="H688" s="249"/>
      <c r="I688" s="249"/>
      <c r="J688" s="249"/>
      <c r="K688" s="249"/>
      <c r="L688" s="249"/>
      <c r="M688" s="249"/>
      <c r="N688" s="249"/>
      <c r="O688" s="249"/>
      <c r="P688" s="249"/>
      <c r="Q688" s="249"/>
      <c r="R688" s="249"/>
      <c r="S688" s="249"/>
      <c r="T688" s="249"/>
      <c r="U688" s="249"/>
      <c r="V688" s="249"/>
      <c r="W688" s="249"/>
      <c r="X688" s="249"/>
      <c r="Y688" s="249"/>
      <c r="Z688" s="249"/>
      <c r="AA688" s="249"/>
      <c r="AB688" s="249"/>
      <c r="AC688" s="249"/>
      <c r="AD688" s="249"/>
    </row>
    <row r="689" spans="1:30" ht="12.9">
      <c r="A689" s="249"/>
      <c r="B689" s="249"/>
      <c r="C689" s="249"/>
      <c r="D689" s="249"/>
      <c r="E689" s="249"/>
      <c r="F689" s="249"/>
      <c r="G689" s="249"/>
      <c r="H689" s="249"/>
      <c r="I689" s="249"/>
      <c r="J689" s="249"/>
      <c r="K689" s="249"/>
      <c r="L689" s="249"/>
      <c r="M689" s="249"/>
      <c r="N689" s="249"/>
      <c r="O689" s="249"/>
      <c r="P689" s="249"/>
      <c r="Q689" s="249"/>
      <c r="R689" s="249"/>
      <c r="S689" s="249"/>
      <c r="T689" s="249"/>
      <c r="U689" s="249"/>
      <c r="V689" s="249"/>
      <c r="W689" s="249"/>
      <c r="X689" s="249"/>
      <c r="Y689" s="249"/>
      <c r="Z689" s="249"/>
      <c r="AA689" s="249"/>
      <c r="AB689" s="249"/>
      <c r="AC689" s="249"/>
      <c r="AD689" s="249"/>
    </row>
    <row r="690" spans="1:30" ht="12.9">
      <c r="A690" s="249"/>
      <c r="B690" s="249"/>
      <c r="C690" s="249"/>
      <c r="D690" s="249"/>
      <c r="E690" s="249"/>
      <c r="F690" s="249"/>
      <c r="G690" s="249"/>
      <c r="H690" s="249"/>
      <c r="I690" s="249"/>
      <c r="J690" s="249"/>
      <c r="K690" s="249"/>
      <c r="L690" s="249"/>
      <c r="M690" s="249"/>
      <c r="N690" s="249"/>
      <c r="O690" s="249"/>
      <c r="P690" s="249"/>
      <c r="Q690" s="249"/>
      <c r="R690" s="249"/>
      <c r="S690" s="249"/>
      <c r="T690" s="249"/>
      <c r="U690" s="249"/>
      <c r="V690" s="249"/>
      <c r="W690" s="249"/>
      <c r="X690" s="249"/>
      <c r="Y690" s="249"/>
      <c r="Z690" s="249"/>
      <c r="AA690" s="249"/>
      <c r="AB690" s="249"/>
      <c r="AC690" s="249"/>
      <c r="AD690" s="249"/>
    </row>
    <row r="691" spans="1:30" ht="12.9">
      <c r="A691" s="249"/>
      <c r="B691" s="249"/>
      <c r="C691" s="249"/>
      <c r="D691" s="249"/>
      <c r="E691" s="249"/>
      <c r="F691" s="249"/>
      <c r="G691" s="249"/>
      <c r="H691" s="249"/>
      <c r="I691" s="249"/>
      <c r="J691" s="249"/>
      <c r="K691" s="249"/>
      <c r="L691" s="249"/>
      <c r="M691" s="249"/>
      <c r="N691" s="249"/>
      <c r="O691" s="249"/>
      <c r="P691" s="249"/>
      <c r="Q691" s="249"/>
      <c r="R691" s="249"/>
      <c r="S691" s="249"/>
      <c r="T691" s="249"/>
      <c r="U691" s="249"/>
      <c r="V691" s="249"/>
      <c r="W691" s="249"/>
      <c r="X691" s="249"/>
      <c r="Y691" s="249"/>
      <c r="Z691" s="249"/>
      <c r="AA691" s="249"/>
      <c r="AB691" s="249"/>
      <c r="AC691" s="249"/>
      <c r="AD691" s="249"/>
    </row>
    <row r="692" spans="1:30" ht="12.9">
      <c r="A692" s="249"/>
      <c r="B692" s="249"/>
      <c r="C692" s="249"/>
      <c r="D692" s="249"/>
      <c r="E692" s="249"/>
      <c r="F692" s="249"/>
      <c r="G692" s="249"/>
      <c r="H692" s="249"/>
      <c r="I692" s="249"/>
      <c r="J692" s="249"/>
      <c r="K692" s="249"/>
      <c r="L692" s="249"/>
      <c r="M692" s="249"/>
      <c r="N692" s="249"/>
      <c r="O692" s="249"/>
      <c r="P692" s="249"/>
      <c r="Q692" s="249"/>
      <c r="R692" s="249"/>
      <c r="S692" s="249"/>
      <c r="T692" s="249"/>
      <c r="U692" s="249"/>
      <c r="V692" s="249"/>
      <c r="W692" s="249"/>
      <c r="X692" s="249"/>
      <c r="Y692" s="249"/>
      <c r="Z692" s="249"/>
      <c r="AA692" s="249"/>
      <c r="AB692" s="249"/>
      <c r="AC692" s="249"/>
      <c r="AD692" s="249"/>
    </row>
    <row r="693" spans="1:30" ht="12.9">
      <c r="A693" s="249"/>
      <c r="B693" s="249"/>
      <c r="C693" s="249"/>
      <c r="D693" s="249"/>
      <c r="E693" s="249"/>
      <c r="F693" s="249"/>
      <c r="G693" s="249"/>
      <c r="H693" s="249"/>
      <c r="I693" s="249"/>
      <c r="J693" s="249"/>
      <c r="K693" s="249"/>
      <c r="L693" s="249"/>
      <c r="M693" s="249"/>
      <c r="N693" s="249"/>
      <c r="O693" s="249"/>
      <c r="P693" s="249"/>
      <c r="Q693" s="249"/>
      <c r="R693" s="249"/>
      <c r="S693" s="249"/>
      <c r="T693" s="249"/>
      <c r="U693" s="249"/>
      <c r="V693" s="249"/>
      <c r="W693" s="249"/>
      <c r="X693" s="249"/>
      <c r="Y693" s="249"/>
      <c r="Z693" s="249"/>
      <c r="AA693" s="249"/>
      <c r="AB693" s="249"/>
      <c r="AC693" s="249"/>
      <c r="AD693" s="249"/>
    </row>
    <row r="694" spans="1:30" ht="12.9">
      <c r="A694" s="249"/>
      <c r="B694" s="249"/>
      <c r="C694" s="249"/>
      <c r="D694" s="249"/>
      <c r="E694" s="249"/>
      <c r="F694" s="249"/>
      <c r="G694" s="249"/>
      <c r="H694" s="249"/>
      <c r="I694" s="249"/>
      <c r="J694" s="249"/>
      <c r="K694" s="249"/>
      <c r="L694" s="249"/>
      <c r="M694" s="249"/>
      <c r="N694" s="249"/>
      <c r="O694" s="249"/>
      <c r="P694" s="249"/>
      <c r="Q694" s="249"/>
      <c r="R694" s="249"/>
      <c r="S694" s="249"/>
      <c r="T694" s="249"/>
      <c r="U694" s="249"/>
      <c r="V694" s="249"/>
      <c r="W694" s="249"/>
      <c r="X694" s="249"/>
      <c r="Y694" s="249"/>
      <c r="Z694" s="249"/>
      <c r="AA694" s="249"/>
      <c r="AB694" s="249"/>
      <c r="AC694" s="249"/>
      <c r="AD694" s="249"/>
    </row>
    <row r="695" spans="1:30" ht="12.9">
      <c r="A695" s="249"/>
      <c r="B695" s="249"/>
      <c r="C695" s="249"/>
      <c r="D695" s="249"/>
      <c r="E695" s="249"/>
      <c r="F695" s="249"/>
      <c r="G695" s="249"/>
      <c r="H695" s="249"/>
      <c r="I695" s="249"/>
      <c r="J695" s="249"/>
      <c r="K695" s="249"/>
      <c r="L695" s="249"/>
      <c r="M695" s="249"/>
      <c r="N695" s="249"/>
      <c r="O695" s="249"/>
      <c r="P695" s="249"/>
      <c r="Q695" s="249"/>
      <c r="R695" s="249"/>
      <c r="S695" s="249"/>
      <c r="T695" s="249"/>
      <c r="U695" s="249"/>
      <c r="V695" s="249"/>
      <c r="W695" s="249"/>
      <c r="X695" s="249"/>
      <c r="Y695" s="249"/>
      <c r="Z695" s="249"/>
      <c r="AA695" s="249"/>
      <c r="AB695" s="249"/>
      <c r="AC695" s="249"/>
      <c r="AD695" s="249"/>
    </row>
    <row r="696" spans="1:30" ht="12.9">
      <c r="A696" s="249"/>
      <c r="B696" s="249"/>
      <c r="C696" s="249"/>
      <c r="D696" s="249"/>
      <c r="E696" s="249"/>
      <c r="F696" s="249"/>
      <c r="G696" s="249"/>
      <c r="H696" s="249"/>
      <c r="I696" s="249"/>
      <c r="J696" s="249"/>
      <c r="K696" s="249"/>
      <c r="L696" s="249"/>
      <c r="M696" s="249"/>
      <c r="N696" s="249"/>
      <c r="O696" s="249"/>
      <c r="P696" s="249"/>
      <c r="Q696" s="249"/>
      <c r="R696" s="249"/>
      <c r="S696" s="249"/>
      <c r="T696" s="249"/>
      <c r="U696" s="249"/>
      <c r="V696" s="249"/>
      <c r="W696" s="249"/>
      <c r="X696" s="249"/>
      <c r="Y696" s="249"/>
      <c r="Z696" s="249"/>
      <c r="AA696" s="249"/>
      <c r="AB696" s="249"/>
      <c r="AC696" s="249"/>
      <c r="AD696" s="249"/>
    </row>
    <row r="697" spans="1:30" ht="12.9">
      <c r="A697" s="249"/>
      <c r="B697" s="249"/>
      <c r="C697" s="249"/>
      <c r="D697" s="249"/>
      <c r="E697" s="249"/>
      <c r="F697" s="249"/>
      <c r="G697" s="249"/>
      <c r="H697" s="249"/>
      <c r="I697" s="249"/>
      <c r="J697" s="249"/>
      <c r="K697" s="249"/>
      <c r="L697" s="249"/>
      <c r="M697" s="249"/>
      <c r="N697" s="249"/>
      <c r="O697" s="249"/>
      <c r="P697" s="249"/>
      <c r="Q697" s="249"/>
      <c r="R697" s="249"/>
      <c r="S697" s="249"/>
      <c r="T697" s="249"/>
      <c r="U697" s="249"/>
      <c r="V697" s="249"/>
      <c r="W697" s="249"/>
      <c r="X697" s="249"/>
      <c r="Y697" s="249"/>
      <c r="Z697" s="249"/>
      <c r="AA697" s="249"/>
      <c r="AB697" s="249"/>
      <c r="AC697" s="249"/>
      <c r="AD697" s="249"/>
    </row>
    <row r="698" spans="1:30" ht="12.9">
      <c r="A698" s="249"/>
      <c r="B698" s="249"/>
      <c r="C698" s="249"/>
      <c r="D698" s="249"/>
      <c r="E698" s="249"/>
      <c r="F698" s="249"/>
      <c r="G698" s="249"/>
      <c r="H698" s="249"/>
      <c r="I698" s="249"/>
      <c r="J698" s="249"/>
      <c r="K698" s="249"/>
      <c r="L698" s="249"/>
      <c r="M698" s="249"/>
      <c r="N698" s="249"/>
      <c r="O698" s="249"/>
      <c r="P698" s="249"/>
      <c r="Q698" s="249"/>
      <c r="R698" s="249"/>
      <c r="S698" s="249"/>
      <c r="T698" s="249"/>
      <c r="U698" s="249"/>
      <c r="V698" s="249"/>
      <c r="W698" s="249"/>
      <c r="X698" s="249"/>
      <c r="Y698" s="249"/>
      <c r="Z698" s="249"/>
      <c r="AA698" s="249"/>
      <c r="AB698" s="249"/>
      <c r="AC698" s="249"/>
      <c r="AD698" s="249"/>
    </row>
    <row r="699" spans="1:30" ht="12.9">
      <c r="A699" s="249"/>
      <c r="B699" s="249"/>
      <c r="C699" s="249"/>
      <c r="D699" s="249"/>
      <c r="E699" s="249"/>
      <c r="F699" s="249"/>
      <c r="G699" s="249"/>
      <c r="H699" s="249"/>
      <c r="I699" s="249"/>
      <c r="J699" s="249"/>
      <c r="K699" s="249"/>
      <c r="L699" s="249"/>
      <c r="M699" s="249"/>
      <c r="N699" s="249"/>
      <c r="O699" s="249"/>
      <c r="P699" s="249"/>
      <c r="Q699" s="249"/>
      <c r="R699" s="249"/>
      <c r="S699" s="249"/>
      <c r="T699" s="249"/>
      <c r="U699" s="249"/>
      <c r="V699" s="249"/>
      <c r="W699" s="249"/>
      <c r="X699" s="249"/>
      <c r="Y699" s="249"/>
      <c r="Z699" s="249"/>
      <c r="AA699" s="249"/>
      <c r="AB699" s="249"/>
      <c r="AC699" s="249"/>
      <c r="AD699" s="249"/>
    </row>
    <row r="700" spans="1:30" ht="12.9">
      <c r="A700" s="249"/>
      <c r="B700" s="249"/>
      <c r="C700" s="249"/>
      <c r="D700" s="249"/>
      <c r="E700" s="249"/>
      <c r="F700" s="249"/>
      <c r="G700" s="249"/>
      <c r="H700" s="249"/>
      <c r="I700" s="249"/>
      <c r="J700" s="249"/>
      <c r="K700" s="249"/>
      <c r="L700" s="249"/>
      <c r="M700" s="249"/>
      <c r="N700" s="249"/>
      <c r="O700" s="249"/>
      <c r="P700" s="249"/>
      <c r="Q700" s="249"/>
      <c r="R700" s="249"/>
      <c r="S700" s="249"/>
      <c r="T700" s="249"/>
      <c r="U700" s="249"/>
      <c r="V700" s="249"/>
      <c r="W700" s="249"/>
      <c r="X700" s="249"/>
      <c r="Y700" s="249"/>
      <c r="Z700" s="249"/>
      <c r="AA700" s="249"/>
      <c r="AB700" s="249"/>
      <c r="AC700" s="249"/>
      <c r="AD700" s="249"/>
    </row>
    <row r="701" spans="1:30" ht="12.9">
      <c r="A701" s="249"/>
      <c r="B701" s="249"/>
      <c r="C701" s="249"/>
      <c r="D701" s="249"/>
      <c r="E701" s="249"/>
      <c r="F701" s="249"/>
      <c r="G701" s="249"/>
      <c r="H701" s="249"/>
      <c r="I701" s="249"/>
      <c r="J701" s="249"/>
      <c r="K701" s="249"/>
      <c r="L701" s="249"/>
      <c r="M701" s="249"/>
      <c r="N701" s="249"/>
      <c r="O701" s="249"/>
      <c r="P701" s="249"/>
      <c r="Q701" s="249"/>
      <c r="R701" s="249"/>
      <c r="S701" s="249"/>
      <c r="T701" s="249"/>
      <c r="U701" s="249"/>
      <c r="V701" s="249"/>
      <c r="W701" s="249"/>
      <c r="X701" s="249"/>
      <c r="Y701" s="249"/>
      <c r="Z701" s="249"/>
      <c r="AA701" s="249"/>
      <c r="AB701" s="249"/>
      <c r="AC701" s="249"/>
      <c r="AD701" s="249"/>
    </row>
    <row r="702" spans="1:30" ht="12.9">
      <c r="A702" s="249"/>
      <c r="B702" s="249"/>
      <c r="C702" s="249"/>
      <c r="D702" s="249"/>
      <c r="E702" s="249"/>
      <c r="F702" s="249"/>
      <c r="G702" s="249"/>
      <c r="H702" s="249"/>
      <c r="I702" s="249"/>
      <c r="J702" s="249"/>
      <c r="K702" s="249"/>
      <c r="L702" s="249"/>
      <c r="M702" s="249"/>
      <c r="N702" s="249"/>
      <c r="O702" s="249"/>
      <c r="P702" s="249"/>
      <c r="Q702" s="249"/>
      <c r="R702" s="249"/>
      <c r="S702" s="249"/>
      <c r="T702" s="249"/>
      <c r="U702" s="249"/>
      <c r="V702" s="249"/>
      <c r="W702" s="249"/>
      <c r="X702" s="249"/>
      <c r="Y702" s="249"/>
      <c r="Z702" s="249"/>
      <c r="AA702" s="249"/>
      <c r="AB702" s="249"/>
      <c r="AC702" s="249"/>
      <c r="AD702" s="249"/>
    </row>
    <row r="703" spans="1:30" ht="12.9">
      <c r="A703" s="249"/>
      <c r="B703" s="249"/>
      <c r="C703" s="249"/>
      <c r="D703" s="249"/>
      <c r="E703" s="249"/>
      <c r="F703" s="249"/>
      <c r="G703" s="249"/>
      <c r="H703" s="249"/>
      <c r="I703" s="249"/>
      <c r="J703" s="249"/>
      <c r="K703" s="249"/>
      <c r="L703" s="249"/>
      <c r="M703" s="249"/>
      <c r="N703" s="249"/>
      <c r="O703" s="249"/>
      <c r="P703" s="249"/>
      <c r="Q703" s="249"/>
      <c r="R703" s="249"/>
      <c r="S703" s="249"/>
      <c r="T703" s="249"/>
      <c r="U703" s="249"/>
      <c r="V703" s="249"/>
      <c r="W703" s="249"/>
      <c r="X703" s="249"/>
      <c r="Y703" s="249"/>
      <c r="Z703" s="249"/>
      <c r="AA703" s="249"/>
      <c r="AB703" s="249"/>
      <c r="AC703" s="249"/>
      <c r="AD703" s="249"/>
    </row>
    <row r="704" spans="1:30" ht="12.9">
      <c r="A704" s="249"/>
      <c r="B704" s="249"/>
      <c r="C704" s="249"/>
      <c r="D704" s="249"/>
      <c r="E704" s="249"/>
      <c r="F704" s="249"/>
      <c r="G704" s="249"/>
      <c r="H704" s="249"/>
      <c r="I704" s="249"/>
      <c r="J704" s="249"/>
      <c r="K704" s="249"/>
      <c r="L704" s="249"/>
      <c r="M704" s="249"/>
      <c r="N704" s="249"/>
      <c r="O704" s="249"/>
      <c r="P704" s="249"/>
      <c r="Q704" s="249"/>
      <c r="R704" s="249"/>
      <c r="S704" s="249"/>
      <c r="T704" s="249"/>
      <c r="U704" s="249"/>
      <c r="V704" s="249"/>
      <c r="W704" s="249"/>
      <c r="X704" s="249"/>
      <c r="Y704" s="249"/>
      <c r="Z704" s="249"/>
      <c r="AA704" s="249"/>
      <c r="AB704" s="249"/>
      <c r="AC704" s="249"/>
      <c r="AD704" s="249"/>
    </row>
    <row r="705" spans="1:30" ht="12.9">
      <c r="A705" s="249"/>
      <c r="B705" s="249"/>
      <c r="C705" s="249"/>
      <c r="D705" s="249"/>
      <c r="E705" s="249"/>
      <c r="F705" s="249"/>
      <c r="G705" s="249"/>
      <c r="H705" s="249"/>
      <c r="I705" s="249"/>
      <c r="J705" s="249"/>
      <c r="K705" s="249"/>
      <c r="L705" s="249"/>
      <c r="M705" s="249"/>
      <c r="N705" s="249"/>
      <c r="O705" s="249"/>
      <c r="P705" s="249"/>
      <c r="Q705" s="249"/>
      <c r="R705" s="249"/>
      <c r="S705" s="249"/>
      <c r="T705" s="249"/>
      <c r="U705" s="249"/>
      <c r="V705" s="249"/>
      <c r="W705" s="249"/>
      <c r="X705" s="249"/>
      <c r="Y705" s="249"/>
      <c r="Z705" s="249"/>
      <c r="AA705" s="249"/>
      <c r="AB705" s="249"/>
      <c r="AC705" s="249"/>
      <c r="AD705" s="249"/>
    </row>
    <row r="706" spans="1:30" ht="12.9">
      <c r="A706" s="249"/>
      <c r="B706" s="249"/>
      <c r="C706" s="249"/>
      <c r="D706" s="249"/>
      <c r="E706" s="249"/>
      <c r="F706" s="249"/>
      <c r="G706" s="249"/>
      <c r="H706" s="249"/>
      <c r="I706" s="249"/>
      <c r="J706" s="249"/>
      <c r="K706" s="249"/>
      <c r="L706" s="249"/>
      <c r="M706" s="249"/>
      <c r="N706" s="249"/>
      <c r="O706" s="249"/>
      <c r="P706" s="249"/>
      <c r="Q706" s="249"/>
      <c r="R706" s="249"/>
      <c r="S706" s="249"/>
      <c r="T706" s="249"/>
      <c r="U706" s="249"/>
      <c r="V706" s="249"/>
      <c r="W706" s="249"/>
      <c r="X706" s="249"/>
      <c r="Y706" s="249"/>
      <c r="Z706" s="249"/>
      <c r="AA706" s="249"/>
      <c r="AB706" s="249"/>
      <c r="AC706" s="249"/>
      <c r="AD706" s="249"/>
    </row>
    <row r="707" spans="1:30" ht="12.9">
      <c r="A707" s="249"/>
      <c r="B707" s="249"/>
      <c r="C707" s="249"/>
      <c r="D707" s="249"/>
      <c r="E707" s="249"/>
      <c r="F707" s="249"/>
      <c r="G707" s="249"/>
      <c r="H707" s="249"/>
      <c r="I707" s="249"/>
      <c r="J707" s="249"/>
      <c r="K707" s="249"/>
      <c r="L707" s="249"/>
      <c r="M707" s="249"/>
      <c r="N707" s="249"/>
      <c r="O707" s="249"/>
      <c r="P707" s="249"/>
      <c r="Q707" s="249"/>
      <c r="R707" s="249"/>
      <c r="S707" s="249"/>
      <c r="T707" s="249"/>
      <c r="U707" s="249"/>
      <c r="V707" s="249"/>
      <c r="W707" s="249"/>
      <c r="X707" s="249"/>
      <c r="Y707" s="249"/>
      <c r="Z707" s="249"/>
      <c r="AA707" s="249"/>
      <c r="AB707" s="249"/>
      <c r="AC707" s="249"/>
      <c r="AD707" s="249"/>
    </row>
    <row r="708" spans="1:30" ht="12.9">
      <c r="A708" s="249"/>
      <c r="B708" s="249"/>
      <c r="C708" s="249"/>
      <c r="D708" s="249"/>
      <c r="E708" s="249"/>
      <c r="F708" s="249"/>
      <c r="G708" s="249"/>
      <c r="H708" s="249"/>
      <c r="I708" s="249"/>
      <c r="J708" s="249"/>
      <c r="K708" s="249"/>
      <c r="L708" s="249"/>
      <c r="M708" s="249"/>
      <c r="N708" s="249"/>
      <c r="O708" s="249"/>
      <c r="P708" s="249"/>
      <c r="Q708" s="249"/>
      <c r="R708" s="249"/>
      <c r="S708" s="249"/>
      <c r="T708" s="249"/>
      <c r="U708" s="249"/>
      <c r="V708" s="249"/>
      <c r="W708" s="249"/>
      <c r="X708" s="249"/>
      <c r="Y708" s="249"/>
      <c r="Z708" s="249"/>
      <c r="AA708" s="249"/>
      <c r="AB708" s="249"/>
      <c r="AC708" s="249"/>
      <c r="AD708" s="249"/>
    </row>
    <row r="709" spans="1:30" ht="12.9">
      <c r="A709" s="249"/>
      <c r="B709" s="249"/>
      <c r="C709" s="249"/>
      <c r="D709" s="249"/>
      <c r="E709" s="249"/>
      <c r="F709" s="249"/>
      <c r="G709" s="249"/>
      <c r="H709" s="249"/>
      <c r="I709" s="249"/>
      <c r="J709" s="249"/>
      <c r="K709" s="249"/>
      <c r="L709" s="249"/>
      <c r="M709" s="249"/>
      <c r="N709" s="249"/>
      <c r="O709" s="249"/>
      <c r="P709" s="249"/>
      <c r="Q709" s="249"/>
      <c r="R709" s="249"/>
      <c r="S709" s="249"/>
      <c r="T709" s="249"/>
      <c r="U709" s="249"/>
      <c r="V709" s="249"/>
      <c r="W709" s="249"/>
      <c r="X709" s="249"/>
      <c r="Y709" s="249"/>
      <c r="Z709" s="249"/>
      <c r="AA709" s="249"/>
      <c r="AB709" s="249"/>
      <c r="AC709" s="249"/>
      <c r="AD709" s="249"/>
    </row>
    <row r="710" spans="1:30" ht="12.9">
      <c r="A710" s="249"/>
      <c r="B710" s="249"/>
      <c r="C710" s="249"/>
      <c r="D710" s="249"/>
      <c r="E710" s="249"/>
      <c r="F710" s="249"/>
      <c r="G710" s="249"/>
      <c r="H710" s="249"/>
      <c r="I710" s="249"/>
      <c r="J710" s="249"/>
      <c r="K710" s="249"/>
      <c r="L710" s="249"/>
      <c r="M710" s="249"/>
      <c r="N710" s="249"/>
      <c r="O710" s="249"/>
      <c r="P710" s="249"/>
      <c r="Q710" s="249"/>
      <c r="R710" s="249"/>
      <c r="S710" s="249"/>
      <c r="T710" s="249"/>
      <c r="U710" s="249"/>
      <c r="V710" s="249"/>
      <c r="W710" s="249"/>
      <c r="X710" s="249"/>
      <c r="Y710" s="249"/>
      <c r="Z710" s="249"/>
      <c r="AA710" s="249"/>
      <c r="AB710" s="249"/>
      <c r="AC710" s="249"/>
      <c r="AD710" s="249"/>
    </row>
    <row r="711" spans="1:30" ht="12.9">
      <c r="A711" s="249"/>
      <c r="B711" s="249"/>
      <c r="C711" s="249"/>
      <c r="D711" s="249"/>
      <c r="E711" s="249"/>
      <c r="F711" s="249"/>
      <c r="G711" s="249"/>
      <c r="H711" s="249"/>
      <c r="I711" s="249"/>
      <c r="J711" s="249"/>
      <c r="K711" s="249"/>
      <c r="L711" s="249"/>
      <c r="M711" s="249"/>
      <c r="N711" s="249"/>
      <c r="O711" s="249"/>
      <c r="P711" s="249"/>
      <c r="Q711" s="249"/>
      <c r="R711" s="249"/>
      <c r="S711" s="249"/>
      <c r="T711" s="249"/>
      <c r="U711" s="249"/>
      <c r="V711" s="249"/>
      <c r="W711" s="249"/>
      <c r="X711" s="249"/>
      <c r="Y711" s="249"/>
      <c r="Z711" s="249"/>
      <c r="AA711" s="249"/>
      <c r="AB711" s="249"/>
      <c r="AC711" s="249"/>
      <c r="AD711" s="249"/>
    </row>
    <row r="712" spans="1:30" ht="12.9">
      <c r="A712" s="249"/>
      <c r="B712" s="249"/>
      <c r="C712" s="249"/>
      <c r="D712" s="249"/>
      <c r="E712" s="249"/>
      <c r="F712" s="249"/>
      <c r="G712" s="249"/>
      <c r="H712" s="249"/>
      <c r="I712" s="249"/>
      <c r="J712" s="249"/>
      <c r="K712" s="249"/>
      <c r="L712" s="249"/>
      <c r="M712" s="249"/>
      <c r="N712" s="249"/>
      <c r="O712" s="249"/>
      <c r="P712" s="249"/>
      <c r="Q712" s="249"/>
      <c r="R712" s="249"/>
      <c r="S712" s="249"/>
      <c r="T712" s="249"/>
      <c r="U712" s="249"/>
      <c r="V712" s="249"/>
      <c r="W712" s="249"/>
      <c r="X712" s="249"/>
      <c r="Y712" s="249"/>
      <c r="Z712" s="249"/>
      <c r="AA712" s="249"/>
      <c r="AB712" s="249"/>
      <c r="AC712" s="249"/>
      <c r="AD712" s="249"/>
    </row>
    <row r="713" spans="1:30" ht="12.9">
      <c r="A713" s="249"/>
      <c r="B713" s="249"/>
      <c r="C713" s="249"/>
      <c r="D713" s="249"/>
      <c r="E713" s="249"/>
      <c r="F713" s="249"/>
      <c r="G713" s="249"/>
      <c r="H713" s="249"/>
      <c r="I713" s="249"/>
      <c r="J713" s="249"/>
      <c r="K713" s="249"/>
      <c r="L713" s="249"/>
      <c r="M713" s="249"/>
      <c r="N713" s="249"/>
      <c r="O713" s="249"/>
      <c r="P713" s="249"/>
      <c r="Q713" s="249"/>
      <c r="R713" s="249"/>
      <c r="S713" s="249"/>
      <c r="T713" s="249"/>
      <c r="U713" s="249"/>
      <c r="V713" s="249"/>
      <c r="W713" s="249"/>
      <c r="X713" s="249"/>
      <c r="Y713" s="249"/>
      <c r="Z713" s="249"/>
      <c r="AA713" s="249"/>
      <c r="AB713" s="249"/>
      <c r="AC713" s="249"/>
      <c r="AD713" s="249"/>
    </row>
    <row r="714" spans="1:30" ht="12.9">
      <c r="A714" s="249"/>
      <c r="B714" s="249"/>
      <c r="C714" s="249"/>
      <c r="D714" s="249"/>
      <c r="E714" s="249"/>
      <c r="F714" s="249"/>
      <c r="G714" s="249"/>
      <c r="H714" s="249"/>
      <c r="I714" s="249"/>
      <c r="J714" s="249"/>
      <c r="K714" s="249"/>
      <c r="L714" s="249"/>
      <c r="M714" s="249"/>
      <c r="N714" s="249"/>
      <c r="O714" s="249"/>
      <c r="P714" s="249"/>
      <c r="Q714" s="249"/>
      <c r="R714" s="249"/>
      <c r="S714" s="249"/>
      <c r="T714" s="249"/>
      <c r="U714" s="249"/>
      <c r="V714" s="249"/>
      <c r="W714" s="249"/>
      <c r="X714" s="249"/>
      <c r="Y714" s="249"/>
      <c r="Z714" s="249"/>
      <c r="AA714" s="249"/>
      <c r="AB714" s="249"/>
      <c r="AC714" s="249"/>
      <c r="AD714" s="249"/>
    </row>
    <row r="715" spans="1:30" ht="12.9">
      <c r="A715" s="249"/>
      <c r="B715" s="249"/>
      <c r="C715" s="249"/>
      <c r="D715" s="249"/>
      <c r="E715" s="249"/>
      <c r="F715" s="249"/>
      <c r="G715" s="249"/>
      <c r="H715" s="249"/>
      <c r="I715" s="249"/>
      <c r="J715" s="249"/>
      <c r="K715" s="249"/>
      <c r="L715" s="249"/>
      <c r="M715" s="249"/>
      <c r="N715" s="249"/>
      <c r="O715" s="249"/>
      <c r="P715" s="249"/>
      <c r="Q715" s="249"/>
      <c r="R715" s="249"/>
      <c r="S715" s="249"/>
      <c r="T715" s="249"/>
      <c r="U715" s="249"/>
      <c r="V715" s="249"/>
      <c r="W715" s="249"/>
      <c r="X715" s="249"/>
      <c r="Y715" s="249"/>
      <c r="Z715" s="249"/>
      <c r="AA715" s="249"/>
      <c r="AB715" s="249"/>
      <c r="AC715" s="249"/>
      <c r="AD715" s="249"/>
    </row>
    <row r="716" spans="1:30" ht="12.9">
      <c r="A716" s="249"/>
      <c r="B716" s="249"/>
      <c r="C716" s="249"/>
      <c r="D716" s="249"/>
      <c r="E716" s="249"/>
      <c r="F716" s="249"/>
      <c r="G716" s="249"/>
      <c r="H716" s="249"/>
      <c r="I716" s="249"/>
      <c r="J716" s="249"/>
      <c r="K716" s="249"/>
      <c r="L716" s="249"/>
      <c r="M716" s="249"/>
      <c r="N716" s="249"/>
      <c r="O716" s="249"/>
      <c r="P716" s="249"/>
      <c r="Q716" s="249"/>
      <c r="R716" s="249"/>
      <c r="S716" s="249"/>
      <c r="T716" s="249"/>
      <c r="U716" s="249"/>
      <c r="V716" s="249"/>
      <c r="W716" s="249"/>
      <c r="X716" s="249"/>
      <c r="Y716" s="249"/>
      <c r="Z716" s="249"/>
      <c r="AA716" s="249"/>
      <c r="AB716" s="249"/>
      <c r="AC716" s="249"/>
      <c r="AD716" s="249"/>
    </row>
    <row r="717" spans="1:30" ht="12.9">
      <c r="A717" s="249"/>
      <c r="B717" s="249"/>
      <c r="C717" s="249"/>
      <c r="D717" s="249"/>
      <c r="E717" s="249"/>
      <c r="F717" s="249"/>
      <c r="G717" s="249"/>
      <c r="H717" s="249"/>
      <c r="I717" s="249"/>
      <c r="J717" s="249"/>
      <c r="K717" s="249"/>
      <c r="L717" s="249"/>
      <c r="M717" s="249"/>
      <c r="N717" s="249"/>
      <c r="O717" s="249"/>
      <c r="P717" s="249"/>
      <c r="Q717" s="249"/>
      <c r="R717" s="249"/>
      <c r="S717" s="249"/>
      <c r="T717" s="249"/>
      <c r="U717" s="249"/>
      <c r="V717" s="249"/>
      <c r="W717" s="249"/>
      <c r="X717" s="249"/>
      <c r="Y717" s="249"/>
      <c r="Z717" s="249"/>
      <c r="AA717" s="249"/>
      <c r="AB717" s="249"/>
      <c r="AC717" s="249"/>
      <c r="AD717" s="249"/>
    </row>
    <row r="718" spans="1:30" ht="12.9">
      <c r="A718" s="249"/>
      <c r="B718" s="249"/>
      <c r="C718" s="249"/>
      <c r="D718" s="249"/>
      <c r="E718" s="249"/>
      <c r="F718" s="249"/>
      <c r="G718" s="249"/>
      <c r="H718" s="249"/>
      <c r="I718" s="249"/>
      <c r="J718" s="249"/>
      <c r="K718" s="249"/>
      <c r="L718" s="249"/>
      <c r="M718" s="249"/>
      <c r="N718" s="249"/>
      <c r="O718" s="249"/>
      <c r="P718" s="249"/>
      <c r="Q718" s="249"/>
      <c r="R718" s="249"/>
      <c r="S718" s="249"/>
      <c r="T718" s="249"/>
      <c r="U718" s="249"/>
      <c r="V718" s="249"/>
      <c r="W718" s="249"/>
      <c r="X718" s="249"/>
      <c r="Y718" s="249"/>
      <c r="Z718" s="249"/>
      <c r="AA718" s="249"/>
      <c r="AB718" s="249"/>
      <c r="AC718" s="249"/>
      <c r="AD718" s="249"/>
    </row>
    <row r="719" spans="1:30" ht="12.9">
      <c r="A719" s="249"/>
      <c r="B719" s="249"/>
      <c r="C719" s="249"/>
      <c r="D719" s="249"/>
      <c r="E719" s="249"/>
      <c r="F719" s="249"/>
      <c r="G719" s="249"/>
      <c r="H719" s="249"/>
      <c r="I719" s="249"/>
      <c r="J719" s="249"/>
      <c r="K719" s="249"/>
      <c r="L719" s="249"/>
      <c r="M719" s="249"/>
      <c r="N719" s="249"/>
      <c r="O719" s="249"/>
      <c r="P719" s="249"/>
      <c r="Q719" s="249"/>
      <c r="R719" s="249"/>
      <c r="S719" s="249"/>
      <c r="T719" s="249"/>
      <c r="U719" s="249"/>
      <c r="V719" s="249"/>
      <c r="W719" s="249"/>
      <c r="X719" s="249"/>
      <c r="Y719" s="249"/>
      <c r="Z719" s="249"/>
      <c r="AA719" s="249"/>
      <c r="AB719" s="249"/>
      <c r="AC719" s="249"/>
      <c r="AD719" s="249"/>
    </row>
    <row r="720" spans="1:30" ht="12.9">
      <c r="A720" s="249"/>
      <c r="B720" s="249"/>
      <c r="C720" s="249"/>
      <c r="D720" s="249"/>
      <c r="E720" s="249"/>
      <c r="F720" s="249"/>
      <c r="G720" s="249"/>
      <c r="H720" s="249"/>
      <c r="I720" s="249"/>
      <c r="J720" s="249"/>
      <c r="K720" s="249"/>
      <c r="L720" s="249"/>
      <c r="M720" s="249"/>
      <c r="N720" s="249"/>
      <c r="O720" s="249"/>
      <c r="P720" s="249"/>
      <c r="Q720" s="249"/>
      <c r="R720" s="249"/>
      <c r="S720" s="249"/>
      <c r="T720" s="249"/>
      <c r="U720" s="249"/>
      <c r="V720" s="249"/>
      <c r="W720" s="249"/>
      <c r="X720" s="249"/>
      <c r="Y720" s="249"/>
      <c r="Z720" s="249"/>
      <c r="AA720" s="249"/>
      <c r="AB720" s="249"/>
      <c r="AC720" s="249"/>
      <c r="AD720" s="249"/>
    </row>
    <row r="721" spans="1:30" ht="12.9">
      <c r="A721" s="249"/>
      <c r="B721" s="249"/>
      <c r="C721" s="249"/>
      <c r="D721" s="249"/>
      <c r="E721" s="249"/>
      <c r="F721" s="249"/>
      <c r="G721" s="249"/>
      <c r="H721" s="249"/>
      <c r="I721" s="249"/>
      <c r="J721" s="249"/>
      <c r="K721" s="249"/>
      <c r="L721" s="249"/>
      <c r="M721" s="249"/>
      <c r="N721" s="249"/>
      <c r="O721" s="249"/>
      <c r="P721" s="249"/>
      <c r="Q721" s="249"/>
      <c r="R721" s="249"/>
      <c r="S721" s="249"/>
      <c r="T721" s="249"/>
      <c r="U721" s="249"/>
      <c r="V721" s="249"/>
      <c r="W721" s="249"/>
      <c r="X721" s="249"/>
      <c r="Y721" s="249"/>
      <c r="Z721" s="249"/>
      <c r="AA721" s="249"/>
      <c r="AB721" s="249"/>
      <c r="AC721" s="249"/>
      <c r="AD721" s="249"/>
    </row>
    <row r="722" spans="1:30" ht="12.9">
      <c r="A722" s="249"/>
      <c r="B722" s="249"/>
      <c r="C722" s="249"/>
      <c r="D722" s="249"/>
      <c r="E722" s="249"/>
      <c r="F722" s="249"/>
      <c r="G722" s="249"/>
      <c r="H722" s="249"/>
      <c r="I722" s="249"/>
      <c r="J722" s="249"/>
      <c r="K722" s="249"/>
      <c r="L722" s="249"/>
      <c r="M722" s="249"/>
      <c r="N722" s="249"/>
      <c r="O722" s="249"/>
      <c r="P722" s="249"/>
      <c r="Q722" s="249"/>
      <c r="R722" s="249"/>
      <c r="S722" s="249"/>
      <c r="T722" s="249"/>
      <c r="U722" s="249"/>
      <c r="V722" s="249"/>
      <c r="W722" s="249"/>
      <c r="X722" s="249"/>
      <c r="Y722" s="249"/>
      <c r="Z722" s="249"/>
      <c r="AA722" s="249"/>
      <c r="AB722" s="249"/>
      <c r="AC722" s="249"/>
      <c r="AD722" s="249"/>
    </row>
    <row r="723" spans="1:30" ht="12.9">
      <c r="A723" s="249"/>
      <c r="B723" s="249"/>
      <c r="C723" s="249"/>
      <c r="D723" s="249"/>
      <c r="E723" s="249"/>
      <c r="F723" s="249"/>
      <c r="G723" s="249"/>
      <c r="H723" s="249"/>
      <c r="I723" s="249"/>
      <c r="J723" s="249"/>
      <c r="K723" s="249"/>
      <c r="L723" s="249"/>
      <c r="M723" s="249"/>
      <c r="N723" s="249"/>
      <c r="O723" s="249"/>
      <c r="P723" s="249"/>
      <c r="Q723" s="249"/>
      <c r="R723" s="249"/>
      <c r="S723" s="249"/>
      <c r="T723" s="249"/>
      <c r="U723" s="249"/>
      <c r="V723" s="249"/>
      <c r="W723" s="249"/>
      <c r="X723" s="249"/>
      <c r="Y723" s="249"/>
      <c r="Z723" s="249"/>
      <c r="AA723" s="249"/>
      <c r="AB723" s="249"/>
      <c r="AC723" s="249"/>
      <c r="AD723" s="249"/>
    </row>
    <row r="724" spans="1:30" ht="12.9">
      <c r="A724" s="249"/>
      <c r="B724" s="249"/>
      <c r="C724" s="249"/>
      <c r="D724" s="249"/>
      <c r="E724" s="249"/>
      <c r="F724" s="249"/>
      <c r="G724" s="249"/>
      <c r="H724" s="249"/>
      <c r="I724" s="249"/>
      <c r="J724" s="249"/>
      <c r="K724" s="249"/>
      <c r="L724" s="249"/>
      <c r="M724" s="249"/>
      <c r="N724" s="249"/>
      <c r="O724" s="249"/>
      <c r="P724" s="249"/>
      <c r="Q724" s="249"/>
      <c r="R724" s="249"/>
      <c r="S724" s="249"/>
      <c r="T724" s="249"/>
      <c r="U724" s="249"/>
      <c r="V724" s="249"/>
      <c r="W724" s="249"/>
      <c r="X724" s="249"/>
      <c r="Y724" s="249"/>
      <c r="Z724" s="249"/>
      <c r="AA724" s="249"/>
      <c r="AB724" s="249"/>
      <c r="AC724" s="249"/>
      <c r="AD724" s="249"/>
    </row>
    <row r="725" spans="1:30" ht="12.9">
      <c r="A725" s="249"/>
      <c r="B725" s="249"/>
      <c r="C725" s="249"/>
      <c r="D725" s="249"/>
      <c r="E725" s="249"/>
      <c r="F725" s="249"/>
      <c r="G725" s="249"/>
      <c r="H725" s="249"/>
      <c r="I725" s="249"/>
      <c r="J725" s="249"/>
      <c r="K725" s="249"/>
      <c r="L725" s="249"/>
      <c r="M725" s="249"/>
      <c r="N725" s="249"/>
      <c r="O725" s="249"/>
      <c r="P725" s="249"/>
      <c r="Q725" s="249"/>
      <c r="R725" s="249"/>
      <c r="S725" s="249"/>
      <c r="T725" s="249"/>
      <c r="U725" s="249"/>
      <c r="V725" s="249"/>
      <c r="W725" s="249"/>
      <c r="X725" s="249"/>
      <c r="Y725" s="249"/>
      <c r="Z725" s="249"/>
      <c r="AA725" s="249"/>
      <c r="AB725" s="249"/>
      <c r="AC725" s="249"/>
      <c r="AD725" s="249"/>
    </row>
    <row r="726" spans="1:30" ht="12.9">
      <c r="A726" s="249"/>
      <c r="B726" s="249"/>
      <c r="C726" s="249"/>
      <c r="D726" s="249"/>
      <c r="E726" s="249"/>
      <c r="F726" s="249"/>
      <c r="G726" s="249"/>
      <c r="H726" s="249"/>
      <c r="I726" s="249"/>
      <c r="J726" s="249"/>
      <c r="K726" s="249"/>
      <c r="L726" s="249"/>
      <c r="M726" s="249"/>
      <c r="N726" s="249"/>
      <c r="O726" s="249"/>
      <c r="P726" s="249"/>
      <c r="Q726" s="249"/>
      <c r="R726" s="249"/>
      <c r="S726" s="249"/>
      <c r="T726" s="249"/>
      <c r="U726" s="249"/>
      <c r="V726" s="249"/>
      <c r="W726" s="249"/>
      <c r="X726" s="249"/>
      <c r="Y726" s="249"/>
      <c r="Z726" s="249"/>
      <c r="AA726" s="249"/>
      <c r="AB726" s="249"/>
      <c r="AC726" s="249"/>
      <c r="AD726" s="249"/>
    </row>
    <row r="727" spans="1:30" ht="12.9">
      <c r="A727" s="249"/>
      <c r="B727" s="249"/>
      <c r="C727" s="249"/>
      <c r="D727" s="249"/>
      <c r="E727" s="249"/>
      <c r="F727" s="249"/>
      <c r="G727" s="249"/>
      <c r="H727" s="249"/>
      <c r="I727" s="249"/>
      <c r="J727" s="249"/>
      <c r="K727" s="249"/>
      <c r="L727" s="249"/>
      <c r="M727" s="249"/>
      <c r="N727" s="249"/>
      <c r="O727" s="249"/>
      <c r="P727" s="249"/>
      <c r="Q727" s="249"/>
      <c r="R727" s="249"/>
      <c r="S727" s="249"/>
      <c r="T727" s="249"/>
      <c r="U727" s="249"/>
      <c r="V727" s="249"/>
      <c r="W727" s="249"/>
      <c r="X727" s="249"/>
      <c r="Y727" s="249"/>
      <c r="Z727" s="249"/>
      <c r="AA727" s="249"/>
      <c r="AB727" s="249"/>
      <c r="AC727" s="249"/>
      <c r="AD727" s="249"/>
    </row>
    <row r="728" spans="1:30" ht="12.9">
      <c r="A728" s="249"/>
      <c r="B728" s="249"/>
      <c r="C728" s="249"/>
      <c r="D728" s="249"/>
      <c r="E728" s="249"/>
      <c r="F728" s="249"/>
      <c r="G728" s="249"/>
      <c r="H728" s="249"/>
      <c r="I728" s="249"/>
      <c r="J728" s="249"/>
      <c r="K728" s="249"/>
      <c r="L728" s="249"/>
      <c r="M728" s="249"/>
      <c r="N728" s="249"/>
      <c r="O728" s="249"/>
      <c r="P728" s="249"/>
      <c r="Q728" s="249"/>
      <c r="R728" s="249"/>
      <c r="S728" s="249"/>
      <c r="T728" s="249"/>
      <c r="U728" s="249"/>
      <c r="V728" s="249"/>
      <c r="W728" s="249"/>
      <c r="X728" s="249"/>
      <c r="Y728" s="249"/>
      <c r="Z728" s="249"/>
      <c r="AA728" s="249"/>
      <c r="AB728" s="249"/>
      <c r="AC728" s="249"/>
      <c r="AD728" s="249"/>
    </row>
    <row r="729" spans="1:30" ht="12.9">
      <c r="A729" s="249"/>
      <c r="B729" s="249"/>
      <c r="C729" s="249"/>
      <c r="D729" s="249"/>
      <c r="E729" s="249"/>
      <c r="F729" s="249"/>
      <c r="G729" s="249"/>
      <c r="H729" s="249"/>
      <c r="I729" s="249"/>
      <c r="J729" s="249"/>
      <c r="K729" s="249"/>
      <c r="L729" s="249"/>
      <c r="M729" s="249"/>
      <c r="N729" s="249"/>
      <c r="O729" s="249"/>
      <c r="P729" s="249"/>
      <c r="Q729" s="249"/>
      <c r="R729" s="249"/>
      <c r="S729" s="249"/>
      <c r="T729" s="249"/>
      <c r="U729" s="249"/>
      <c r="V729" s="249"/>
      <c r="W729" s="249"/>
      <c r="X729" s="249"/>
      <c r="Y729" s="249"/>
      <c r="Z729" s="249"/>
      <c r="AA729" s="249"/>
      <c r="AB729" s="249"/>
      <c r="AC729" s="249"/>
      <c r="AD729" s="249"/>
    </row>
    <row r="730" spans="1:30" ht="12.9">
      <c r="A730" s="249"/>
      <c r="B730" s="249"/>
      <c r="C730" s="249"/>
      <c r="D730" s="249"/>
      <c r="E730" s="249"/>
      <c r="F730" s="249"/>
      <c r="G730" s="249"/>
      <c r="H730" s="249"/>
      <c r="I730" s="249"/>
      <c r="J730" s="249"/>
      <c r="K730" s="249"/>
      <c r="L730" s="249"/>
      <c r="M730" s="249"/>
      <c r="N730" s="249"/>
      <c r="O730" s="249"/>
      <c r="P730" s="249"/>
      <c r="Q730" s="249"/>
      <c r="R730" s="249"/>
      <c r="S730" s="249"/>
      <c r="T730" s="249"/>
      <c r="U730" s="249"/>
      <c r="V730" s="249"/>
      <c r="W730" s="249"/>
      <c r="X730" s="249"/>
      <c r="Y730" s="249"/>
      <c r="Z730" s="249"/>
      <c r="AA730" s="249"/>
      <c r="AB730" s="249"/>
      <c r="AC730" s="249"/>
      <c r="AD730" s="249"/>
    </row>
    <row r="731" spans="1:30" ht="12.9">
      <c r="A731" s="249"/>
      <c r="B731" s="249"/>
      <c r="C731" s="249"/>
      <c r="D731" s="249"/>
      <c r="E731" s="249"/>
      <c r="F731" s="249"/>
      <c r="G731" s="249"/>
      <c r="H731" s="249"/>
      <c r="I731" s="249"/>
      <c r="J731" s="249"/>
      <c r="K731" s="249"/>
      <c r="L731" s="249"/>
      <c r="M731" s="249"/>
      <c r="N731" s="249"/>
      <c r="O731" s="249"/>
      <c r="P731" s="249"/>
      <c r="Q731" s="249"/>
      <c r="R731" s="249"/>
      <c r="S731" s="249"/>
      <c r="T731" s="249"/>
      <c r="U731" s="249"/>
      <c r="V731" s="249"/>
      <c r="W731" s="249"/>
      <c r="X731" s="249"/>
      <c r="Y731" s="249"/>
      <c r="Z731" s="249"/>
      <c r="AA731" s="249"/>
      <c r="AB731" s="249"/>
      <c r="AC731" s="249"/>
      <c r="AD731" s="249"/>
    </row>
    <row r="732" spans="1:30" ht="12.9">
      <c r="A732" s="249"/>
      <c r="B732" s="249"/>
      <c r="C732" s="249"/>
      <c r="D732" s="249"/>
      <c r="E732" s="249"/>
      <c r="F732" s="249"/>
      <c r="G732" s="249"/>
      <c r="H732" s="249"/>
      <c r="I732" s="249"/>
      <c r="J732" s="249"/>
      <c r="K732" s="249"/>
      <c r="L732" s="249"/>
      <c r="M732" s="249"/>
      <c r="N732" s="249"/>
      <c r="O732" s="249"/>
      <c r="P732" s="249"/>
      <c r="Q732" s="249"/>
      <c r="R732" s="249"/>
      <c r="S732" s="249"/>
      <c r="T732" s="249"/>
      <c r="U732" s="249"/>
      <c r="V732" s="249"/>
      <c r="W732" s="249"/>
      <c r="X732" s="249"/>
      <c r="Y732" s="249"/>
      <c r="Z732" s="249"/>
      <c r="AA732" s="249"/>
      <c r="AB732" s="249"/>
      <c r="AC732" s="249"/>
      <c r="AD732" s="249"/>
    </row>
    <row r="733" spans="1:30" ht="12.9">
      <c r="A733" s="249"/>
      <c r="B733" s="249"/>
      <c r="C733" s="249"/>
      <c r="D733" s="249"/>
      <c r="E733" s="249"/>
      <c r="F733" s="249"/>
      <c r="G733" s="249"/>
      <c r="H733" s="249"/>
      <c r="I733" s="249"/>
      <c r="J733" s="249"/>
      <c r="K733" s="249"/>
      <c r="L733" s="249"/>
      <c r="M733" s="249"/>
      <c r="N733" s="249"/>
      <c r="O733" s="249"/>
      <c r="P733" s="249"/>
      <c r="Q733" s="249"/>
      <c r="R733" s="249"/>
      <c r="S733" s="249"/>
      <c r="T733" s="249"/>
      <c r="U733" s="249"/>
      <c r="V733" s="249"/>
      <c r="W733" s="249"/>
      <c r="X733" s="249"/>
      <c r="Y733" s="249"/>
      <c r="Z733" s="249"/>
      <c r="AA733" s="249"/>
      <c r="AB733" s="249"/>
      <c r="AC733" s="249"/>
      <c r="AD733" s="249"/>
    </row>
    <row r="734" spans="1:30" ht="12.9">
      <c r="A734" s="249"/>
      <c r="B734" s="249"/>
      <c r="C734" s="249"/>
      <c r="D734" s="249"/>
      <c r="E734" s="249"/>
      <c r="F734" s="249"/>
      <c r="G734" s="249"/>
      <c r="H734" s="249"/>
      <c r="I734" s="249"/>
      <c r="J734" s="249"/>
      <c r="K734" s="249"/>
      <c r="L734" s="249"/>
      <c r="M734" s="249"/>
      <c r="N734" s="249"/>
      <c r="O734" s="249"/>
      <c r="P734" s="249"/>
      <c r="Q734" s="249"/>
      <c r="R734" s="249"/>
      <c r="S734" s="249"/>
      <c r="T734" s="249"/>
      <c r="U734" s="249"/>
      <c r="V734" s="249"/>
      <c r="W734" s="249"/>
      <c r="X734" s="249"/>
      <c r="Y734" s="249"/>
      <c r="Z734" s="249"/>
      <c r="AA734" s="249"/>
      <c r="AB734" s="249"/>
      <c r="AC734" s="249"/>
      <c r="AD734" s="249"/>
    </row>
    <row r="735" spans="1:30" ht="12.9">
      <c r="A735" s="249"/>
      <c r="B735" s="249"/>
      <c r="C735" s="249"/>
      <c r="D735" s="249"/>
      <c r="E735" s="249"/>
      <c r="F735" s="249"/>
      <c r="G735" s="249"/>
      <c r="H735" s="249"/>
      <c r="I735" s="249"/>
      <c r="J735" s="249"/>
      <c r="K735" s="249"/>
      <c r="L735" s="249"/>
      <c r="M735" s="249"/>
      <c r="N735" s="249"/>
      <c r="O735" s="249"/>
      <c r="P735" s="249"/>
      <c r="Q735" s="249"/>
      <c r="R735" s="249"/>
      <c r="S735" s="249"/>
      <c r="T735" s="249"/>
      <c r="U735" s="249"/>
      <c r="V735" s="249"/>
      <c r="W735" s="249"/>
      <c r="X735" s="249"/>
      <c r="Y735" s="249"/>
      <c r="Z735" s="249"/>
      <c r="AA735" s="249"/>
      <c r="AB735" s="249"/>
      <c r="AC735" s="249"/>
      <c r="AD735" s="249"/>
    </row>
    <row r="736" spans="1:30" ht="12.9">
      <c r="A736" s="249"/>
      <c r="B736" s="249"/>
      <c r="C736" s="249"/>
      <c r="D736" s="249"/>
      <c r="E736" s="249"/>
      <c r="F736" s="249"/>
      <c r="G736" s="249"/>
      <c r="H736" s="249"/>
      <c r="I736" s="249"/>
      <c r="J736" s="249"/>
      <c r="K736" s="249"/>
      <c r="L736" s="249"/>
      <c r="M736" s="249"/>
      <c r="N736" s="249"/>
      <c r="O736" s="249"/>
      <c r="P736" s="249"/>
      <c r="Q736" s="249"/>
      <c r="R736" s="249"/>
      <c r="S736" s="249"/>
      <c r="T736" s="249"/>
      <c r="U736" s="249"/>
      <c r="V736" s="249"/>
      <c r="W736" s="249"/>
      <c r="X736" s="249"/>
      <c r="Y736" s="249"/>
      <c r="Z736" s="249"/>
      <c r="AA736" s="249"/>
      <c r="AB736" s="249"/>
      <c r="AC736" s="249"/>
      <c r="AD736" s="249"/>
    </row>
    <row r="737" spans="1:30" ht="12.9">
      <c r="A737" s="249"/>
      <c r="B737" s="249"/>
      <c r="C737" s="249"/>
      <c r="D737" s="249"/>
      <c r="E737" s="249"/>
      <c r="F737" s="249"/>
      <c r="G737" s="249"/>
      <c r="H737" s="249"/>
      <c r="I737" s="249"/>
      <c r="J737" s="249"/>
      <c r="K737" s="249"/>
      <c r="L737" s="249"/>
      <c r="M737" s="249"/>
      <c r="N737" s="249"/>
      <c r="O737" s="249"/>
      <c r="P737" s="249"/>
      <c r="Q737" s="249"/>
      <c r="R737" s="249"/>
      <c r="S737" s="249"/>
      <c r="T737" s="249"/>
      <c r="U737" s="249"/>
      <c r="V737" s="249"/>
      <c r="W737" s="249"/>
      <c r="X737" s="249"/>
      <c r="Y737" s="249"/>
      <c r="Z737" s="249"/>
      <c r="AA737" s="249"/>
      <c r="AB737" s="249"/>
      <c r="AC737" s="249"/>
      <c r="AD737" s="249"/>
    </row>
    <row r="738" spans="1:30" ht="12.9">
      <c r="A738" s="249"/>
      <c r="B738" s="249"/>
      <c r="C738" s="249"/>
      <c r="D738" s="249"/>
      <c r="E738" s="249"/>
      <c r="F738" s="249"/>
      <c r="G738" s="249"/>
      <c r="H738" s="249"/>
      <c r="I738" s="249"/>
      <c r="J738" s="249"/>
      <c r="K738" s="249"/>
      <c r="L738" s="249"/>
      <c r="M738" s="249"/>
      <c r="N738" s="249"/>
      <c r="O738" s="249"/>
      <c r="P738" s="249"/>
      <c r="Q738" s="249"/>
      <c r="R738" s="249"/>
      <c r="S738" s="249"/>
      <c r="T738" s="249"/>
      <c r="U738" s="249"/>
      <c r="V738" s="249"/>
      <c r="W738" s="249"/>
      <c r="X738" s="249"/>
      <c r="Y738" s="249"/>
      <c r="Z738" s="249"/>
      <c r="AA738" s="249"/>
      <c r="AB738" s="249"/>
      <c r="AC738" s="249"/>
      <c r="AD738" s="249"/>
    </row>
    <row r="739" spans="1:30" ht="12.9">
      <c r="A739" s="249"/>
      <c r="B739" s="249"/>
      <c r="C739" s="249"/>
      <c r="D739" s="249"/>
      <c r="E739" s="249"/>
      <c r="F739" s="249"/>
      <c r="G739" s="249"/>
      <c r="H739" s="249"/>
      <c r="I739" s="249"/>
      <c r="J739" s="249"/>
      <c r="K739" s="249"/>
      <c r="L739" s="249"/>
      <c r="M739" s="249"/>
      <c r="N739" s="249"/>
      <c r="O739" s="249"/>
      <c r="P739" s="249"/>
      <c r="Q739" s="249"/>
      <c r="R739" s="249"/>
      <c r="S739" s="249"/>
      <c r="T739" s="249"/>
      <c r="U739" s="249"/>
      <c r="V739" s="249"/>
      <c r="W739" s="249"/>
      <c r="X739" s="249"/>
      <c r="Y739" s="249"/>
      <c r="Z739" s="249"/>
      <c r="AA739" s="249"/>
      <c r="AB739" s="249"/>
      <c r="AC739" s="249"/>
      <c r="AD739" s="249"/>
    </row>
    <row r="740" spans="1:30" ht="12.9">
      <c r="A740" s="249"/>
      <c r="B740" s="249"/>
      <c r="C740" s="249"/>
      <c r="D740" s="249"/>
      <c r="E740" s="249"/>
      <c r="F740" s="249"/>
      <c r="G740" s="249"/>
      <c r="H740" s="249"/>
      <c r="I740" s="249"/>
      <c r="J740" s="249"/>
      <c r="K740" s="249"/>
      <c r="L740" s="249"/>
      <c r="M740" s="249"/>
      <c r="N740" s="249"/>
      <c r="O740" s="249"/>
      <c r="P740" s="249"/>
      <c r="Q740" s="249"/>
      <c r="R740" s="249"/>
      <c r="S740" s="249"/>
      <c r="T740" s="249"/>
      <c r="U740" s="249"/>
      <c r="V740" s="249"/>
      <c r="W740" s="249"/>
      <c r="X740" s="249"/>
      <c r="Y740" s="249"/>
      <c r="Z740" s="249"/>
      <c r="AA740" s="249"/>
      <c r="AB740" s="249"/>
      <c r="AC740" s="249"/>
      <c r="AD740" s="249"/>
    </row>
    <row r="741" spans="1:30" ht="12.9">
      <c r="A741" s="249"/>
      <c r="B741" s="249"/>
      <c r="C741" s="249"/>
      <c r="D741" s="249"/>
      <c r="E741" s="249"/>
      <c r="F741" s="249"/>
      <c r="G741" s="249"/>
      <c r="H741" s="249"/>
      <c r="I741" s="249"/>
      <c r="J741" s="249"/>
      <c r="K741" s="249"/>
      <c r="L741" s="249"/>
      <c r="M741" s="249"/>
      <c r="N741" s="249"/>
      <c r="O741" s="249"/>
      <c r="P741" s="249"/>
      <c r="Q741" s="249"/>
      <c r="R741" s="249"/>
      <c r="S741" s="249"/>
      <c r="T741" s="249"/>
      <c r="U741" s="249"/>
      <c r="V741" s="249"/>
      <c r="W741" s="249"/>
      <c r="X741" s="249"/>
      <c r="Y741" s="249"/>
      <c r="Z741" s="249"/>
      <c r="AA741" s="249"/>
      <c r="AB741" s="249"/>
      <c r="AC741" s="249"/>
      <c r="AD741" s="249"/>
    </row>
    <row r="742" spans="1:30" ht="12.9">
      <c r="A742" s="249"/>
      <c r="B742" s="249"/>
      <c r="C742" s="249"/>
      <c r="D742" s="249"/>
      <c r="E742" s="249"/>
      <c r="F742" s="249"/>
      <c r="G742" s="249"/>
      <c r="H742" s="249"/>
      <c r="I742" s="249"/>
      <c r="J742" s="249"/>
      <c r="K742" s="249"/>
      <c r="L742" s="249"/>
      <c r="M742" s="249"/>
      <c r="N742" s="249"/>
      <c r="O742" s="249"/>
      <c r="P742" s="249"/>
      <c r="Q742" s="249"/>
      <c r="R742" s="249"/>
      <c r="S742" s="249"/>
      <c r="T742" s="249"/>
      <c r="U742" s="249"/>
      <c r="V742" s="249"/>
      <c r="W742" s="249"/>
      <c r="X742" s="249"/>
      <c r="Y742" s="249"/>
      <c r="Z742" s="249"/>
      <c r="AA742" s="249"/>
      <c r="AB742" s="249"/>
      <c r="AC742" s="249"/>
      <c r="AD742" s="249"/>
    </row>
    <row r="743" spans="1:30" ht="12.9">
      <c r="A743" s="249"/>
      <c r="B743" s="249"/>
      <c r="C743" s="249"/>
      <c r="D743" s="249"/>
      <c r="E743" s="249"/>
      <c r="F743" s="249"/>
      <c r="G743" s="249"/>
      <c r="H743" s="249"/>
      <c r="I743" s="249"/>
      <c r="J743" s="249"/>
      <c r="K743" s="249"/>
      <c r="L743" s="249"/>
      <c r="M743" s="249"/>
      <c r="N743" s="249"/>
      <c r="O743" s="249"/>
      <c r="P743" s="249"/>
      <c r="Q743" s="249"/>
      <c r="R743" s="249"/>
      <c r="S743" s="249"/>
      <c r="T743" s="249"/>
      <c r="U743" s="249"/>
      <c r="V743" s="249"/>
      <c r="W743" s="249"/>
      <c r="X743" s="249"/>
      <c r="Y743" s="249"/>
      <c r="Z743" s="249"/>
      <c r="AA743" s="249"/>
      <c r="AB743" s="249"/>
      <c r="AC743" s="249"/>
      <c r="AD743" s="249"/>
    </row>
    <row r="744" spans="1:30" ht="12.9">
      <c r="A744" s="249"/>
      <c r="B744" s="249"/>
      <c r="C744" s="249"/>
      <c r="D744" s="249"/>
      <c r="E744" s="249"/>
      <c r="F744" s="249"/>
      <c r="G744" s="249"/>
      <c r="H744" s="249"/>
      <c r="I744" s="249"/>
      <c r="J744" s="249"/>
      <c r="K744" s="249"/>
      <c r="L744" s="249"/>
      <c r="M744" s="249"/>
      <c r="N744" s="249"/>
      <c r="O744" s="249"/>
      <c r="P744" s="249"/>
      <c r="Q744" s="249"/>
      <c r="R744" s="249"/>
      <c r="S744" s="249"/>
      <c r="T744" s="249"/>
      <c r="U744" s="249"/>
      <c r="V744" s="249"/>
      <c r="W744" s="249"/>
      <c r="X744" s="249"/>
      <c r="Y744" s="249"/>
      <c r="Z744" s="249"/>
      <c r="AA744" s="249"/>
      <c r="AB744" s="249"/>
      <c r="AC744" s="249"/>
      <c r="AD744" s="249"/>
    </row>
    <row r="745" spans="1:30" ht="12.9">
      <c r="A745" s="249"/>
      <c r="B745" s="249"/>
      <c r="C745" s="249"/>
      <c r="D745" s="249"/>
      <c r="E745" s="249"/>
      <c r="F745" s="249"/>
      <c r="G745" s="249"/>
      <c r="H745" s="249"/>
      <c r="I745" s="249"/>
      <c r="J745" s="249"/>
      <c r="K745" s="249"/>
      <c r="L745" s="249"/>
      <c r="M745" s="249"/>
      <c r="N745" s="249"/>
      <c r="O745" s="249"/>
      <c r="P745" s="249"/>
      <c r="Q745" s="249"/>
      <c r="R745" s="249"/>
      <c r="S745" s="249"/>
      <c r="T745" s="249"/>
      <c r="U745" s="249"/>
      <c r="V745" s="249"/>
      <c r="W745" s="249"/>
      <c r="X745" s="249"/>
      <c r="Y745" s="249"/>
      <c r="Z745" s="249"/>
      <c r="AA745" s="249"/>
      <c r="AB745" s="249"/>
      <c r="AC745" s="249"/>
      <c r="AD745" s="249"/>
    </row>
    <row r="746" spans="1:30" ht="12.9">
      <c r="A746" s="249"/>
      <c r="B746" s="249"/>
      <c r="C746" s="249"/>
      <c r="D746" s="249"/>
      <c r="E746" s="249"/>
      <c r="F746" s="249"/>
      <c r="G746" s="249"/>
      <c r="H746" s="249"/>
      <c r="I746" s="249"/>
      <c r="J746" s="249"/>
      <c r="K746" s="249"/>
      <c r="L746" s="249"/>
      <c r="M746" s="249"/>
      <c r="N746" s="249"/>
      <c r="O746" s="249"/>
      <c r="P746" s="249"/>
      <c r="Q746" s="249"/>
      <c r="R746" s="249"/>
      <c r="S746" s="249"/>
      <c r="T746" s="249"/>
      <c r="U746" s="249"/>
      <c r="V746" s="249"/>
      <c r="W746" s="249"/>
      <c r="X746" s="249"/>
      <c r="Y746" s="249"/>
      <c r="Z746" s="249"/>
      <c r="AA746" s="249"/>
      <c r="AB746" s="249"/>
      <c r="AC746" s="249"/>
      <c r="AD746" s="249"/>
    </row>
    <row r="747" spans="1:30" ht="12.9">
      <c r="A747" s="249"/>
      <c r="B747" s="249"/>
      <c r="C747" s="249"/>
      <c r="D747" s="249"/>
      <c r="E747" s="249"/>
      <c r="F747" s="249"/>
      <c r="G747" s="249"/>
      <c r="H747" s="249"/>
      <c r="I747" s="249"/>
      <c r="J747" s="249"/>
      <c r="K747" s="249"/>
      <c r="L747" s="249"/>
      <c r="M747" s="249"/>
      <c r="N747" s="249"/>
      <c r="O747" s="249"/>
      <c r="P747" s="249"/>
      <c r="Q747" s="249"/>
      <c r="R747" s="249"/>
      <c r="S747" s="249"/>
      <c r="T747" s="249"/>
      <c r="U747" s="249"/>
      <c r="V747" s="249"/>
      <c r="W747" s="249"/>
      <c r="X747" s="249"/>
      <c r="Y747" s="249"/>
      <c r="Z747" s="249"/>
      <c r="AA747" s="249"/>
      <c r="AB747" s="249"/>
      <c r="AC747" s="249"/>
      <c r="AD747" s="249"/>
    </row>
    <row r="748" spans="1:30" ht="12.9">
      <c r="A748" s="249"/>
      <c r="B748" s="249"/>
      <c r="C748" s="249"/>
      <c r="D748" s="249"/>
      <c r="E748" s="249"/>
      <c r="F748" s="249"/>
      <c r="G748" s="249"/>
      <c r="H748" s="249"/>
      <c r="I748" s="249"/>
      <c r="J748" s="249"/>
      <c r="K748" s="249"/>
      <c r="L748" s="249"/>
      <c r="M748" s="249"/>
      <c r="N748" s="249"/>
      <c r="O748" s="249"/>
      <c r="P748" s="249"/>
      <c r="Q748" s="249"/>
      <c r="R748" s="249"/>
      <c r="S748" s="249"/>
      <c r="T748" s="249"/>
      <c r="U748" s="249"/>
      <c r="V748" s="249"/>
      <c r="W748" s="249"/>
      <c r="X748" s="249"/>
      <c r="Y748" s="249"/>
      <c r="Z748" s="249"/>
      <c r="AA748" s="249"/>
      <c r="AB748" s="249"/>
      <c r="AC748" s="249"/>
      <c r="AD748" s="249"/>
    </row>
    <row r="749" spans="1:30" ht="12.9">
      <c r="A749" s="249"/>
      <c r="B749" s="249"/>
      <c r="C749" s="249"/>
      <c r="D749" s="249"/>
      <c r="E749" s="249"/>
      <c r="F749" s="249"/>
      <c r="G749" s="249"/>
      <c r="H749" s="249"/>
      <c r="I749" s="249"/>
      <c r="J749" s="249"/>
      <c r="K749" s="249"/>
      <c r="L749" s="249"/>
      <c r="M749" s="249"/>
      <c r="N749" s="249"/>
      <c r="O749" s="249"/>
      <c r="P749" s="249"/>
      <c r="Q749" s="249"/>
      <c r="R749" s="249"/>
      <c r="S749" s="249"/>
      <c r="T749" s="249"/>
      <c r="U749" s="249"/>
      <c r="V749" s="249"/>
      <c r="W749" s="249"/>
      <c r="X749" s="249"/>
      <c r="Y749" s="249"/>
      <c r="Z749" s="249"/>
      <c r="AA749" s="249"/>
      <c r="AB749" s="249"/>
      <c r="AC749" s="249"/>
      <c r="AD749" s="249"/>
    </row>
    <row r="750" spans="1:30" ht="12.9">
      <c r="A750" s="249"/>
      <c r="B750" s="249"/>
      <c r="C750" s="249"/>
      <c r="D750" s="249"/>
      <c r="E750" s="249"/>
      <c r="F750" s="249"/>
      <c r="G750" s="249"/>
      <c r="H750" s="249"/>
      <c r="I750" s="249"/>
      <c r="J750" s="249"/>
      <c r="K750" s="249"/>
      <c r="L750" s="249"/>
      <c r="M750" s="249"/>
      <c r="N750" s="249"/>
      <c r="O750" s="249"/>
      <c r="P750" s="249"/>
      <c r="Q750" s="249"/>
      <c r="R750" s="249"/>
      <c r="S750" s="249"/>
      <c r="T750" s="249"/>
      <c r="U750" s="249"/>
      <c r="V750" s="249"/>
      <c r="W750" s="249"/>
      <c r="X750" s="249"/>
      <c r="Y750" s="249"/>
      <c r="Z750" s="249"/>
      <c r="AA750" s="249"/>
      <c r="AB750" s="249"/>
      <c r="AC750" s="249"/>
      <c r="AD750" s="249"/>
    </row>
    <row r="751" spans="1:30" ht="12.9">
      <c r="A751" s="249"/>
      <c r="B751" s="249"/>
      <c r="C751" s="249"/>
      <c r="D751" s="249"/>
      <c r="E751" s="249"/>
      <c r="F751" s="249"/>
      <c r="G751" s="249"/>
      <c r="H751" s="249"/>
      <c r="I751" s="249"/>
      <c r="J751" s="249"/>
      <c r="K751" s="249"/>
      <c r="L751" s="249"/>
      <c r="M751" s="249"/>
      <c r="N751" s="249"/>
      <c r="O751" s="249"/>
      <c r="P751" s="249"/>
      <c r="Q751" s="249"/>
      <c r="R751" s="249"/>
      <c r="S751" s="249"/>
      <c r="T751" s="249"/>
      <c r="U751" s="249"/>
      <c r="V751" s="249"/>
      <c r="W751" s="249"/>
      <c r="X751" s="249"/>
      <c r="Y751" s="249"/>
      <c r="Z751" s="249"/>
      <c r="AA751" s="249"/>
      <c r="AB751" s="249"/>
      <c r="AC751" s="249"/>
      <c r="AD751" s="249"/>
    </row>
    <row r="752" spans="1:30" ht="12.9">
      <c r="A752" s="249"/>
      <c r="B752" s="249"/>
      <c r="C752" s="249"/>
      <c r="D752" s="249"/>
      <c r="E752" s="249"/>
      <c r="F752" s="249"/>
      <c r="G752" s="249"/>
      <c r="H752" s="249"/>
      <c r="I752" s="249"/>
      <c r="J752" s="249"/>
      <c r="K752" s="249"/>
      <c r="L752" s="249"/>
      <c r="M752" s="249"/>
      <c r="N752" s="249"/>
      <c r="O752" s="249"/>
      <c r="P752" s="249"/>
      <c r="Q752" s="249"/>
      <c r="R752" s="249"/>
      <c r="S752" s="249"/>
      <c r="T752" s="249"/>
      <c r="U752" s="249"/>
      <c r="V752" s="249"/>
      <c r="W752" s="249"/>
      <c r="X752" s="249"/>
      <c r="Y752" s="249"/>
      <c r="Z752" s="249"/>
      <c r="AA752" s="249"/>
      <c r="AB752" s="249"/>
      <c r="AC752" s="249"/>
      <c r="AD752" s="249"/>
    </row>
    <row r="753" spans="1:30" ht="12.9">
      <c r="A753" s="249"/>
      <c r="B753" s="249"/>
      <c r="C753" s="249"/>
      <c r="D753" s="249"/>
      <c r="E753" s="249"/>
      <c r="F753" s="249"/>
      <c r="G753" s="249"/>
      <c r="H753" s="249"/>
      <c r="I753" s="249"/>
      <c r="J753" s="249"/>
      <c r="K753" s="249"/>
      <c r="L753" s="249"/>
      <c r="M753" s="249"/>
      <c r="N753" s="249"/>
      <c r="O753" s="249"/>
      <c r="P753" s="249"/>
      <c r="Q753" s="249"/>
      <c r="R753" s="249"/>
      <c r="S753" s="249"/>
      <c r="T753" s="249"/>
      <c r="U753" s="249"/>
      <c r="V753" s="249"/>
      <c r="W753" s="249"/>
      <c r="X753" s="249"/>
      <c r="Y753" s="249"/>
      <c r="Z753" s="249"/>
      <c r="AA753" s="249"/>
      <c r="AB753" s="249"/>
      <c r="AC753" s="249"/>
      <c r="AD753" s="249"/>
    </row>
    <row r="754" spans="1:30" ht="12.9">
      <c r="A754" s="249"/>
      <c r="B754" s="249"/>
      <c r="C754" s="249"/>
      <c r="D754" s="249"/>
      <c r="E754" s="249"/>
      <c r="F754" s="249"/>
      <c r="G754" s="249"/>
      <c r="H754" s="249"/>
      <c r="I754" s="249"/>
      <c r="J754" s="249"/>
      <c r="K754" s="249"/>
      <c r="L754" s="249"/>
      <c r="M754" s="249"/>
      <c r="N754" s="249"/>
      <c r="O754" s="249"/>
      <c r="P754" s="249"/>
      <c r="Q754" s="249"/>
      <c r="R754" s="249"/>
      <c r="S754" s="249"/>
      <c r="T754" s="249"/>
      <c r="U754" s="249"/>
      <c r="V754" s="249"/>
      <c r="W754" s="249"/>
      <c r="X754" s="249"/>
      <c r="Y754" s="249"/>
      <c r="Z754" s="249"/>
      <c r="AA754" s="249"/>
      <c r="AB754" s="249"/>
      <c r="AC754" s="249"/>
      <c r="AD754" s="249"/>
    </row>
    <row r="755" spans="1:30" ht="12.9">
      <c r="A755" s="249"/>
      <c r="B755" s="249"/>
      <c r="C755" s="249"/>
      <c r="D755" s="249"/>
      <c r="E755" s="249"/>
      <c r="F755" s="249"/>
      <c r="G755" s="249"/>
      <c r="H755" s="249"/>
      <c r="I755" s="249"/>
      <c r="J755" s="249"/>
      <c r="K755" s="249"/>
      <c r="L755" s="249"/>
      <c r="M755" s="249"/>
      <c r="N755" s="249"/>
      <c r="O755" s="249"/>
      <c r="P755" s="249"/>
      <c r="Q755" s="249"/>
      <c r="R755" s="249"/>
      <c r="S755" s="249"/>
      <c r="T755" s="249"/>
      <c r="U755" s="249"/>
      <c r="V755" s="249"/>
      <c r="W755" s="249"/>
      <c r="X755" s="249"/>
      <c r="Y755" s="249"/>
      <c r="Z755" s="249"/>
      <c r="AA755" s="249"/>
      <c r="AB755" s="249"/>
      <c r="AC755" s="249"/>
      <c r="AD755" s="249"/>
    </row>
    <row r="756" spans="1:30" ht="12.9">
      <c r="A756" s="249"/>
      <c r="B756" s="249"/>
      <c r="C756" s="249"/>
      <c r="D756" s="249"/>
      <c r="E756" s="249"/>
      <c r="F756" s="249"/>
      <c r="G756" s="249"/>
      <c r="H756" s="249"/>
      <c r="I756" s="249"/>
      <c r="J756" s="249"/>
      <c r="K756" s="249"/>
      <c r="L756" s="249"/>
      <c r="M756" s="249"/>
      <c r="N756" s="249"/>
      <c r="O756" s="249"/>
      <c r="P756" s="249"/>
      <c r="Q756" s="249"/>
      <c r="R756" s="249"/>
      <c r="S756" s="249"/>
      <c r="T756" s="249"/>
      <c r="U756" s="249"/>
      <c r="V756" s="249"/>
      <c r="W756" s="249"/>
      <c r="X756" s="249"/>
      <c r="Y756" s="249"/>
      <c r="Z756" s="249"/>
      <c r="AA756" s="249"/>
      <c r="AB756" s="249"/>
      <c r="AC756" s="249"/>
      <c r="AD756" s="249"/>
    </row>
    <row r="757" spans="1:30" ht="12.9">
      <c r="A757" s="249"/>
      <c r="B757" s="249"/>
      <c r="C757" s="249"/>
      <c r="D757" s="249"/>
      <c r="E757" s="249"/>
      <c r="F757" s="249"/>
      <c r="G757" s="249"/>
      <c r="H757" s="249"/>
      <c r="I757" s="249"/>
      <c r="J757" s="249"/>
      <c r="K757" s="249"/>
      <c r="L757" s="249"/>
      <c r="M757" s="249"/>
      <c r="N757" s="249"/>
      <c r="O757" s="249"/>
      <c r="P757" s="249"/>
      <c r="Q757" s="249"/>
      <c r="R757" s="249"/>
      <c r="S757" s="249"/>
      <c r="T757" s="249"/>
      <c r="U757" s="249"/>
      <c r="V757" s="249"/>
      <c r="W757" s="249"/>
      <c r="X757" s="249"/>
      <c r="Y757" s="249"/>
      <c r="Z757" s="249"/>
      <c r="AA757" s="249"/>
      <c r="AB757" s="249"/>
      <c r="AC757" s="249"/>
      <c r="AD757" s="249"/>
    </row>
    <row r="758" spans="1:30" ht="12.9">
      <c r="A758" s="249"/>
      <c r="B758" s="249"/>
      <c r="C758" s="249"/>
      <c r="D758" s="249"/>
      <c r="E758" s="249"/>
      <c r="F758" s="249"/>
      <c r="G758" s="249"/>
      <c r="H758" s="249"/>
      <c r="I758" s="249"/>
      <c r="J758" s="249"/>
      <c r="K758" s="249"/>
      <c r="L758" s="249"/>
      <c r="M758" s="249"/>
      <c r="N758" s="249"/>
      <c r="O758" s="249"/>
      <c r="P758" s="249"/>
      <c r="Q758" s="249"/>
      <c r="R758" s="249"/>
      <c r="S758" s="249"/>
      <c r="T758" s="249"/>
      <c r="U758" s="249"/>
      <c r="V758" s="249"/>
      <c r="W758" s="249"/>
      <c r="X758" s="249"/>
      <c r="Y758" s="249"/>
      <c r="Z758" s="249"/>
      <c r="AA758" s="249"/>
      <c r="AB758" s="249"/>
      <c r="AC758" s="249"/>
      <c r="AD758" s="249"/>
    </row>
    <row r="759" spans="1:30" ht="12.9">
      <c r="A759" s="249"/>
      <c r="B759" s="249"/>
      <c r="C759" s="249"/>
      <c r="D759" s="249"/>
      <c r="E759" s="249"/>
      <c r="F759" s="249"/>
      <c r="G759" s="249"/>
      <c r="H759" s="249"/>
      <c r="I759" s="249"/>
      <c r="J759" s="249"/>
      <c r="K759" s="249"/>
      <c r="L759" s="249"/>
      <c r="M759" s="249"/>
      <c r="N759" s="249"/>
      <c r="O759" s="249"/>
      <c r="P759" s="249"/>
      <c r="Q759" s="249"/>
      <c r="R759" s="249"/>
      <c r="S759" s="249"/>
      <c r="T759" s="249"/>
      <c r="U759" s="249"/>
      <c r="V759" s="249"/>
      <c r="W759" s="249"/>
      <c r="X759" s="249"/>
      <c r="Y759" s="249"/>
      <c r="Z759" s="249"/>
      <c r="AA759" s="249"/>
      <c r="AB759" s="249"/>
      <c r="AC759" s="249"/>
      <c r="AD759" s="249"/>
    </row>
    <row r="760" spans="1:30" ht="12.9">
      <c r="A760" s="249"/>
      <c r="B760" s="249"/>
      <c r="C760" s="249"/>
      <c r="D760" s="249"/>
      <c r="E760" s="249"/>
      <c r="F760" s="249"/>
      <c r="G760" s="249"/>
      <c r="H760" s="249"/>
      <c r="I760" s="249"/>
      <c r="J760" s="249"/>
      <c r="K760" s="249"/>
      <c r="L760" s="249"/>
      <c r="M760" s="249"/>
      <c r="N760" s="249"/>
      <c r="O760" s="249"/>
      <c r="P760" s="249"/>
      <c r="Q760" s="249"/>
      <c r="R760" s="249"/>
      <c r="S760" s="249"/>
      <c r="T760" s="249"/>
      <c r="U760" s="249"/>
      <c r="V760" s="249"/>
      <c r="W760" s="249"/>
      <c r="X760" s="249"/>
      <c r="Y760" s="249"/>
      <c r="Z760" s="249"/>
      <c r="AA760" s="249"/>
      <c r="AB760" s="249"/>
      <c r="AC760" s="249"/>
      <c r="AD760" s="249"/>
    </row>
    <row r="761" spans="1:30" ht="12.9">
      <c r="A761" s="249"/>
      <c r="B761" s="249"/>
      <c r="C761" s="249"/>
      <c r="D761" s="249"/>
      <c r="E761" s="249"/>
      <c r="F761" s="249"/>
      <c r="G761" s="249"/>
      <c r="H761" s="249"/>
      <c r="I761" s="249"/>
      <c r="J761" s="249"/>
      <c r="K761" s="249"/>
      <c r="L761" s="249"/>
      <c r="M761" s="249"/>
      <c r="N761" s="249"/>
      <c r="O761" s="249"/>
      <c r="P761" s="249"/>
      <c r="Q761" s="249"/>
      <c r="R761" s="249"/>
      <c r="S761" s="249"/>
      <c r="T761" s="249"/>
      <c r="U761" s="249"/>
      <c r="V761" s="249"/>
      <c r="W761" s="249"/>
      <c r="X761" s="249"/>
      <c r="Y761" s="249"/>
      <c r="Z761" s="249"/>
      <c r="AA761" s="249"/>
      <c r="AB761" s="249"/>
      <c r="AC761" s="249"/>
      <c r="AD761" s="249"/>
    </row>
    <row r="762" spans="1:30" ht="12.9">
      <c r="A762" s="249"/>
      <c r="B762" s="249"/>
      <c r="C762" s="249"/>
      <c r="D762" s="249"/>
      <c r="E762" s="249"/>
      <c r="F762" s="249"/>
      <c r="G762" s="249"/>
      <c r="H762" s="249"/>
      <c r="I762" s="249"/>
      <c r="J762" s="249"/>
      <c r="K762" s="249"/>
      <c r="L762" s="249"/>
      <c r="M762" s="249"/>
      <c r="N762" s="249"/>
      <c r="O762" s="249"/>
      <c r="P762" s="249"/>
      <c r="Q762" s="249"/>
      <c r="R762" s="249"/>
      <c r="S762" s="249"/>
      <c r="T762" s="249"/>
      <c r="U762" s="249"/>
      <c r="V762" s="249"/>
      <c r="W762" s="249"/>
      <c r="X762" s="249"/>
      <c r="Y762" s="249"/>
      <c r="Z762" s="249"/>
      <c r="AA762" s="249"/>
      <c r="AB762" s="249"/>
      <c r="AC762" s="249"/>
      <c r="AD762" s="249"/>
    </row>
    <row r="763" spans="1:30" ht="12.9">
      <c r="A763" s="249"/>
      <c r="B763" s="249"/>
      <c r="C763" s="249"/>
      <c r="D763" s="249"/>
      <c r="E763" s="249"/>
      <c r="F763" s="249"/>
      <c r="G763" s="249"/>
      <c r="H763" s="249"/>
      <c r="I763" s="249"/>
      <c r="J763" s="249"/>
      <c r="K763" s="249"/>
      <c r="L763" s="249"/>
      <c r="M763" s="249"/>
      <c r="N763" s="249"/>
      <c r="O763" s="249"/>
      <c r="P763" s="249"/>
      <c r="Q763" s="249"/>
      <c r="R763" s="249"/>
      <c r="S763" s="249"/>
      <c r="T763" s="249"/>
      <c r="U763" s="249"/>
      <c r="V763" s="249"/>
      <c r="W763" s="249"/>
      <c r="X763" s="249"/>
      <c r="Y763" s="249"/>
      <c r="Z763" s="249"/>
      <c r="AA763" s="249"/>
      <c r="AB763" s="249"/>
      <c r="AC763" s="249"/>
      <c r="AD763" s="249"/>
    </row>
    <row r="764" spans="1:30" ht="12.9">
      <c r="A764" s="249"/>
      <c r="B764" s="249"/>
      <c r="C764" s="249"/>
      <c r="D764" s="249"/>
      <c r="E764" s="249"/>
      <c r="F764" s="249"/>
      <c r="G764" s="249"/>
      <c r="H764" s="249"/>
      <c r="I764" s="249"/>
      <c r="J764" s="249"/>
      <c r="K764" s="249"/>
      <c r="L764" s="249"/>
      <c r="M764" s="249"/>
      <c r="N764" s="249"/>
      <c r="O764" s="249"/>
      <c r="P764" s="249"/>
      <c r="Q764" s="249"/>
      <c r="R764" s="249"/>
      <c r="S764" s="249"/>
      <c r="T764" s="249"/>
      <c r="U764" s="249"/>
      <c r="V764" s="249"/>
      <c r="W764" s="249"/>
      <c r="X764" s="249"/>
      <c r="Y764" s="249"/>
      <c r="Z764" s="249"/>
      <c r="AA764" s="249"/>
      <c r="AB764" s="249"/>
      <c r="AC764" s="249"/>
      <c r="AD764" s="249"/>
    </row>
    <row r="765" spans="1:30" ht="12.9">
      <c r="A765" s="249"/>
      <c r="B765" s="249"/>
      <c r="C765" s="249"/>
      <c r="D765" s="249"/>
      <c r="E765" s="249"/>
      <c r="F765" s="249"/>
      <c r="G765" s="249"/>
      <c r="H765" s="249"/>
      <c r="I765" s="249"/>
      <c r="J765" s="249"/>
      <c r="K765" s="249"/>
      <c r="L765" s="249"/>
      <c r="M765" s="249"/>
      <c r="N765" s="249"/>
      <c r="O765" s="249"/>
      <c r="P765" s="249"/>
      <c r="Q765" s="249"/>
      <c r="R765" s="249"/>
      <c r="S765" s="249"/>
      <c r="T765" s="249"/>
      <c r="U765" s="249"/>
      <c r="V765" s="249"/>
      <c r="W765" s="249"/>
      <c r="X765" s="249"/>
      <c r="Y765" s="249"/>
      <c r="Z765" s="249"/>
      <c r="AA765" s="249"/>
      <c r="AB765" s="249"/>
      <c r="AC765" s="249"/>
      <c r="AD765" s="249"/>
    </row>
    <row r="766" spans="1:30" ht="12.9">
      <c r="A766" s="249"/>
      <c r="B766" s="249"/>
      <c r="C766" s="249"/>
      <c r="D766" s="249"/>
      <c r="E766" s="249"/>
      <c r="F766" s="249"/>
      <c r="G766" s="249"/>
      <c r="H766" s="249"/>
      <c r="I766" s="249"/>
      <c r="J766" s="249"/>
      <c r="K766" s="249"/>
      <c r="L766" s="249"/>
      <c r="M766" s="249"/>
      <c r="N766" s="249"/>
      <c r="O766" s="249"/>
      <c r="P766" s="249"/>
      <c r="Q766" s="249"/>
      <c r="R766" s="249"/>
      <c r="S766" s="249"/>
      <c r="T766" s="249"/>
      <c r="U766" s="249"/>
      <c r="V766" s="249"/>
      <c r="W766" s="249"/>
      <c r="X766" s="249"/>
      <c r="Y766" s="249"/>
      <c r="Z766" s="249"/>
      <c r="AA766" s="249"/>
      <c r="AB766" s="249"/>
      <c r="AC766" s="249"/>
      <c r="AD766" s="249"/>
    </row>
    <row r="767" spans="1:30" ht="12.9">
      <c r="A767" s="249"/>
      <c r="B767" s="249"/>
      <c r="C767" s="249"/>
      <c r="D767" s="249"/>
      <c r="E767" s="249"/>
      <c r="F767" s="249"/>
      <c r="G767" s="249"/>
      <c r="H767" s="249"/>
      <c r="I767" s="249"/>
      <c r="J767" s="249"/>
      <c r="K767" s="249"/>
      <c r="L767" s="249"/>
      <c r="M767" s="249"/>
      <c r="N767" s="249"/>
      <c r="O767" s="249"/>
      <c r="P767" s="249"/>
      <c r="Q767" s="249"/>
      <c r="R767" s="249"/>
      <c r="S767" s="249"/>
      <c r="T767" s="249"/>
      <c r="U767" s="249"/>
      <c r="V767" s="249"/>
      <c r="W767" s="249"/>
      <c r="X767" s="249"/>
      <c r="Y767" s="249"/>
      <c r="Z767" s="249"/>
      <c r="AA767" s="249"/>
      <c r="AB767" s="249"/>
      <c r="AC767" s="249"/>
      <c r="AD767" s="249"/>
    </row>
    <row r="768" spans="1:30" ht="12.9">
      <c r="A768" s="249"/>
      <c r="B768" s="249"/>
      <c r="C768" s="249"/>
      <c r="D768" s="249"/>
      <c r="E768" s="249"/>
      <c r="F768" s="249"/>
      <c r="G768" s="249"/>
      <c r="H768" s="249"/>
      <c r="I768" s="249"/>
      <c r="J768" s="249"/>
      <c r="K768" s="249"/>
      <c r="L768" s="249"/>
      <c r="M768" s="249"/>
      <c r="N768" s="249"/>
      <c r="O768" s="249"/>
      <c r="P768" s="249"/>
      <c r="Q768" s="249"/>
      <c r="R768" s="249"/>
      <c r="S768" s="249"/>
      <c r="T768" s="249"/>
      <c r="U768" s="249"/>
      <c r="V768" s="249"/>
      <c r="W768" s="249"/>
      <c r="X768" s="249"/>
      <c r="Y768" s="249"/>
      <c r="Z768" s="249"/>
      <c r="AA768" s="249"/>
      <c r="AB768" s="249"/>
      <c r="AC768" s="249"/>
      <c r="AD768" s="249"/>
    </row>
    <row r="769" spans="1:30" ht="12.9">
      <c r="A769" s="249"/>
      <c r="B769" s="249"/>
      <c r="C769" s="249"/>
      <c r="D769" s="249"/>
      <c r="E769" s="249"/>
      <c r="F769" s="249"/>
      <c r="G769" s="249"/>
      <c r="H769" s="249"/>
      <c r="I769" s="249"/>
      <c r="J769" s="249"/>
      <c r="K769" s="249"/>
      <c r="L769" s="249"/>
      <c r="M769" s="249"/>
      <c r="N769" s="249"/>
      <c r="O769" s="249"/>
      <c r="P769" s="249"/>
      <c r="Q769" s="249"/>
      <c r="R769" s="249"/>
      <c r="S769" s="249"/>
      <c r="T769" s="249"/>
      <c r="U769" s="249"/>
      <c r="V769" s="249"/>
      <c r="W769" s="249"/>
      <c r="X769" s="249"/>
      <c r="Y769" s="249"/>
      <c r="Z769" s="249"/>
      <c r="AA769" s="249"/>
      <c r="AB769" s="249"/>
      <c r="AC769" s="249"/>
      <c r="AD769" s="249"/>
    </row>
    <row r="770" spans="1:30" ht="12.9">
      <c r="A770" s="249"/>
      <c r="B770" s="249"/>
      <c r="C770" s="249"/>
      <c r="D770" s="249"/>
      <c r="E770" s="249"/>
      <c r="F770" s="249"/>
      <c r="G770" s="249"/>
      <c r="H770" s="249"/>
      <c r="I770" s="249"/>
      <c r="J770" s="249"/>
      <c r="K770" s="249"/>
      <c r="L770" s="249"/>
      <c r="M770" s="249"/>
      <c r="N770" s="249"/>
      <c r="O770" s="249"/>
      <c r="P770" s="249"/>
      <c r="Q770" s="249"/>
      <c r="R770" s="249"/>
      <c r="S770" s="249"/>
      <c r="T770" s="249"/>
      <c r="U770" s="249"/>
      <c r="V770" s="249"/>
      <c r="W770" s="249"/>
      <c r="X770" s="249"/>
      <c r="Y770" s="249"/>
      <c r="Z770" s="249"/>
      <c r="AA770" s="249"/>
      <c r="AB770" s="249"/>
      <c r="AC770" s="249"/>
      <c r="AD770" s="249"/>
    </row>
    <row r="771" spans="1:30" ht="12.9">
      <c r="A771" s="249"/>
      <c r="B771" s="249"/>
      <c r="C771" s="249"/>
      <c r="D771" s="249"/>
      <c r="E771" s="249"/>
      <c r="F771" s="249"/>
      <c r="G771" s="249"/>
      <c r="H771" s="249"/>
      <c r="I771" s="249"/>
      <c r="J771" s="249"/>
      <c r="K771" s="249"/>
      <c r="L771" s="249"/>
      <c r="M771" s="249"/>
      <c r="N771" s="249"/>
      <c r="O771" s="249"/>
      <c r="P771" s="249"/>
      <c r="Q771" s="249"/>
      <c r="R771" s="249"/>
      <c r="S771" s="249"/>
      <c r="T771" s="249"/>
      <c r="U771" s="249"/>
      <c r="V771" s="249"/>
      <c r="W771" s="249"/>
      <c r="X771" s="249"/>
      <c r="Y771" s="249"/>
      <c r="Z771" s="249"/>
      <c r="AA771" s="249"/>
      <c r="AB771" s="249"/>
      <c r="AC771" s="249"/>
      <c r="AD771" s="249"/>
    </row>
    <row r="772" spans="1:30" ht="12.9">
      <c r="A772" s="249"/>
      <c r="B772" s="249"/>
      <c r="C772" s="249"/>
      <c r="D772" s="249"/>
      <c r="E772" s="249"/>
      <c r="F772" s="249"/>
      <c r="G772" s="249"/>
      <c r="H772" s="249"/>
      <c r="I772" s="249"/>
      <c r="J772" s="249"/>
      <c r="K772" s="249"/>
      <c r="L772" s="249"/>
      <c r="M772" s="249"/>
      <c r="N772" s="249"/>
      <c r="O772" s="249"/>
      <c r="P772" s="249"/>
      <c r="Q772" s="249"/>
      <c r="R772" s="249"/>
      <c r="S772" s="249"/>
      <c r="T772" s="249"/>
      <c r="U772" s="249"/>
      <c r="V772" s="249"/>
      <c r="W772" s="249"/>
      <c r="X772" s="249"/>
      <c r="Y772" s="249"/>
      <c r="Z772" s="249"/>
      <c r="AA772" s="249"/>
      <c r="AB772" s="249"/>
      <c r="AC772" s="249"/>
      <c r="AD772" s="249"/>
    </row>
    <row r="773" spans="1:30" ht="12.9">
      <c r="A773" s="249"/>
      <c r="B773" s="249"/>
      <c r="C773" s="249"/>
      <c r="D773" s="249"/>
      <c r="E773" s="249"/>
      <c r="F773" s="249"/>
      <c r="G773" s="249"/>
      <c r="H773" s="249"/>
      <c r="I773" s="249"/>
      <c r="J773" s="249"/>
      <c r="K773" s="249"/>
      <c r="L773" s="249"/>
      <c r="M773" s="249"/>
      <c r="N773" s="249"/>
      <c r="O773" s="249"/>
      <c r="P773" s="249"/>
      <c r="Q773" s="249"/>
      <c r="R773" s="249"/>
      <c r="S773" s="249"/>
      <c r="T773" s="249"/>
      <c r="U773" s="249"/>
      <c r="V773" s="249"/>
      <c r="W773" s="249"/>
      <c r="X773" s="249"/>
      <c r="Y773" s="249"/>
      <c r="Z773" s="249"/>
      <c r="AA773" s="249"/>
      <c r="AB773" s="249"/>
      <c r="AC773" s="249"/>
      <c r="AD773" s="249"/>
    </row>
    <row r="774" spans="1:30" ht="12.9">
      <c r="A774" s="249"/>
      <c r="B774" s="249"/>
      <c r="C774" s="249"/>
      <c r="D774" s="249"/>
      <c r="E774" s="249"/>
      <c r="F774" s="249"/>
      <c r="G774" s="249"/>
      <c r="H774" s="249"/>
      <c r="I774" s="249"/>
      <c r="J774" s="249"/>
      <c r="K774" s="249"/>
      <c r="L774" s="249"/>
      <c r="M774" s="249"/>
      <c r="N774" s="249"/>
      <c r="O774" s="249"/>
      <c r="P774" s="249"/>
      <c r="Q774" s="249"/>
      <c r="R774" s="249"/>
      <c r="S774" s="249"/>
      <c r="T774" s="249"/>
      <c r="U774" s="249"/>
      <c r="V774" s="249"/>
      <c r="W774" s="249"/>
      <c r="X774" s="249"/>
      <c r="Y774" s="249"/>
      <c r="Z774" s="249"/>
      <c r="AA774" s="249"/>
      <c r="AB774" s="249"/>
      <c r="AC774" s="249"/>
      <c r="AD774" s="249"/>
    </row>
    <row r="775" spans="1:30" ht="12.9">
      <c r="A775" s="249"/>
      <c r="B775" s="249"/>
      <c r="C775" s="249"/>
      <c r="D775" s="249"/>
      <c r="E775" s="249"/>
      <c r="F775" s="249"/>
      <c r="G775" s="249"/>
      <c r="H775" s="249"/>
      <c r="I775" s="249"/>
      <c r="J775" s="249"/>
      <c r="K775" s="249"/>
      <c r="L775" s="249"/>
      <c r="M775" s="249"/>
      <c r="N775" s="249"/>
      <c r="O775" s="249"/>
      <c r="P775" s="249"/>
      <c r="Q775" s="249"/>
      <c r="R775" s="249"/>
      <c r="S775" s="249"/>
      <c r="T775" s="249"/>
      <c r="U775" s="249"/>
      <c r="V775" s="249"/>
      <c r="W775" s="249"/>
      <c r="X775" s="249"/>
      <c r="Y775" s="249"/>
      <c r="Z775" s="249"/>
      <c r="AA775" s="249"/>
      <c r="AB775" s="249"/>
      <c r="AC775" s="249"/>
      <c r="AD775" s="249"/>
    </row>
    <row r="776" spans="1:30" ht="12.9">
      <c r="A776" s="249"/>
      <c r="B776" s="249"/>
      <c r="C776" s="249"/>
      <c r="D776" s="249"/>
      <c r="E776" s="249"/>
      <c r="F776" s="249"/>
      <c r="G776" s="249"/>
      <c r="H776" s="249"/>
      <c r="I776" s="249"/>
      <c r="J776" s="249"/>
      <c r="K776" s="249"/>
      <c r="L776" s="249"/>
      <c r="M776" s="249"/>
      <c r="N776" s="249"/>
      <c r="O776" s="249"/>
      <c r="P776" s="249"/>
      <c r="Q776" s="249"/>
      <c r="R776" s="249"/>
      <c r="S776" s="249"/>
      <c r="T776" s="249"/>
      <c r="U776" s="249"/>
      <c r="V776" s="249"/>
      <c r="W776" s="249"/>
      <c r="X776" s="249"/>
      <c r="Y776" s="249"/>
      <c r="Z776" s="249"/>
      <c r="AA776" s="249"/>
      <c r="AB776" s="249"/>
      <c r="AC776" s="249"/>
      <c r="AD776" s="249"/>
    </row>
    <row r="777" spans="1:30" ht="12.9">
      <c r="A777" s="249"/>
      <c r="B777" s="249"/>
      <c r="C777" s="249"/>
      <c r="D777" s="249"/>
      <c r="E777" s="249"/>
      <c r="F777" s="249"/>
      <c r="G777" s="249"/>
      <c r="H777" s="249"/>
      <c r="I777" s="249"/>
      <c r="J777" s="249"/>
      <c r="K777" s="249"/>
      <c r="L777" s="249"/>
      <c r="M777" s="249"/>
      <c r="N777" s="249"/>
      <c r="O777" s="249"/>
      <c r="P777" s="249"/>
      <c r="Q777" s="249"/>
      <c r="R777" s="249"/>
      <c r="S777" s="249"/>
      <c r="T777" s="249"/>
      <c r="U777" s="249"/>
      <c r="V777" s="249"/>
      <c r="W777" s="249"/>
      <c r="X777" s="249"/>
      <c r="Y777" s="249"/>
      <c r="Z777" s="249"/>
      <c r="AA777" s="249"/>
      <c r="AB777" s="249"/>
      <c r="AC777" s="249"/>
      <c r="AD777" s="249"/>
    </row>
    <row r="778" spans="1:30" ht="12.9">
      <c r="A778" s="249"/>
      <c r="B778" s="249"/>
      <c r="C778" s="249"/>
      <c r="D778" s="249"/>
      <c r="E778" s="249"/>
      <c r="F778" s="249"/>
      <c r="G778" s="249"/>
      <c r="H778" s="249"/>
      <c r="I778" s="249"/>
      <c r="J778" s="249"/>
      <c r="K778" s="249"/>
      <c r="L778" s="249"/>
      <c r="M778" s="249"/>
      <c r="N778" s="249"/>
      <c r="O778" s="249"/>
      <c r="P778" s="249"/>
      <c r="Q778" s="249"/>
      <c r="R778" s="249"/>
      <c r="S778" s="249"/>
      <c r="T778" s="249"/>
      <c r="U778" s="249"/>
      <c r="V778" s="249"/>
      <c r="W778" s="249"/>
      <c r="X778" s="249"/>
      <c r="Y778" s="249"/>
      <c r="Z778" s="249"/>
      <c r="AA778" s="249"/>
      <c r="AB778" s="249"/>
      <c r="AC778" s="249"/>
      <c r="AD778" s="249"/>
    </row>
    <row r="779" spans="1:30" ht="12.9">
      <c r="A779" s="249"/>
      <c r="B779" s="249"/>
      <c r="C779" s="249"/>
      <c r="D779" s="249"/>
      <c r="E779" s="249"/>
      <c r="F779" s="249"/>
      <c r="G779" s="249"/>
      <c r="H779" s="249"/>
      <c r="I779" s="249"/>
      <c r="J779" s="249"/>
      <c r="K779" s="249"/>
      <c r="L779" s="249"/>
      <c r="M779" s="249"/>
      <c r="N779" s="249"/>
      <c r="O779" s="249"/>
      <c r="P779" s="249"/>
      <c r="Q779" s="249"/>
      <c r="R779" s="249"/>
      <c r="S779" s="249"/>
      <c r="T779" s="249"/>
      <c r="U779" s="249"/>
      <c r="V779" s="249"/>
      <c r="W779" s="249"/>
      <c r="X779" s="249"/>
      <c r="Y779" s="249"/>
      <c r="Z779" s="249"/>
      <c r="AA779" s="249"/>
      <c r="AB779" s="249"/>
      <c r="AC779" s="249"/>
      <c r="AD779" s="249"/>
    </row>
    <row r="780" spans="1:30" ht="12.9">
      <c r="A780" s="249"/>
      <c r="B780" s="249"/>
      <c r="C780" s="249"/>
      <c r="D780" s="249"/>
      <c r="E780" s="249"/>
      <c r="F780" s="249"/>
      <c r="G780" s="249"/>
      <c r="H780" s="249"/>
      <c r="I780" s="249"/>
      <c r="J780" s="249"/>
      <c r="K780" s="249"/>
      <c r="L780" s="249"/>
      <c r="M780" s="249"/>
      <c r="N780" s="249"/>
      <c r="O780" s="249"/>
      <c r="P780" s="249"/>
      <c r="Q780" s="249"/>
      <c r="R780" s="249"/>
      <c r="S780" s="249"/>
      <c r="T780" s="249"/>
      <c r="U780" s="249"/>
      <c r="V780" s="249"/>
      <c r="W780" s="249"/>
      <c r="X780" s="249"/>
      <c r="Y780" s="249"/>
      <c r="Z780" s="249"/>
      <c r="AA780" s="249"/>
      <c r="AB780" s="249"/>
      <c r="AC780" s="249"/>
      <c r="AD780" s="249"/>
    </row>
    <row r="781" spans="1:30" ht="12.9">
      <c r="A781" s="249"/>
      <c r="B781" s="249"/>
      <c r="C781" s="249"/>
      <c r="D781" s="249"/>
      <c r="E781" s="249"/>
      <c r="F781" s="249"/>
      <c r="G781" s="249"/>
      <c r="H781" s="249"/>
      <c r="I781" s="249"/>
      <c r="J781" s="249"/>
      <c r="K781" s="249"/>
      <c r="L781" s="249"/>
      <c r="M781" s="249"/>
      <c r="N781" s="249"/>
      <c r="O781" s="249"/>
      <c r="P781" s="249"/>
      <c r="Q781" s="249"/>
      <c r="R781" s="249"/>
      <c r="S781" s="249"/>
      <c r="T781" s="249"/>
      <c r="U781" s="249"/>
      <c r="V781" s="249"/>
      <c r="W781" s="249"/>
      <c r="X781" s="249"/>
      <c r="Y781" s="249"/>
      <c r="Z781" s="249"/>
      <c r="AA781" s="249"/>
      <c r="AB781" s="249"/>
      <c r="AC781" s="249"/>
      <c r="AD781" s="249"/>
    </row>
    <row r="782" spans="1:30" ht="12.9">
      <c r="A782" s="249"/>
      <c r="B782" s="249"/>
      <c r="C782" s="249"/>
      <c r="D782" s="249"/>
      <c r="E782" s="249"/>
      <c r="F782" s="249"/>
      <c r="G782" s="249"/>
      <c r="H782" s="249"/>
      <c r="I782" s="249"/>
      <c r="J782" s="249"/>
      <c r="K782" s="249"/>
      <c r="L782" s="249"/>
      <c r="M782" s="249"/>
      <c r="N782" s="249"/>
      <c r="O782" s="249"/>
      <c r="P782" s="249"/>
      <c r="Q782" s="249"/>
      <c r="R782" s="249"/>
      <c r="S782" s="249"/>
      <c r="T782" s="249"/>
      <c r="U782" s="249"/>
      <c r="V782" s="249"/>
      <c r="W782" s="249"/>
      <c r="X782" s="249"/>
      <c r="Y782" s="249"/>
      <c r="Z782" s="249"/>
      <c r="AA782" s="249"/>
      <c r="AB782" s="249"/>
      <c r="AC782" s="249"/>
      <c r="AD782" s="249"/>
    </row>
    <row r="783" spans="1:30" ht="12.9">
      <c r="A783" s="249"/>
      <c r="B783" s="249"/>
      <c r="C783" s="249"/>
      <c r="D783" s="249"/>
      <c r="E783" s="249"/>
      <c r="F783" s="249"/>
      <c r="G783" s="249"/>
      <c r="H783" s="249"/>
      <c r="I783" s="249"/>
      <c r="J783" s="249"/>
      <c r="K783" s="249"/>
      <c r="L783" s="249"/>
      <c r="M783" s="249"/>
      <c r="N783" s="249"/>
      <c r="O783" s="249"/>
      <c r="P783" s="249"/>
      <c r="Q783" s="249"/>
      <c r="R783" s="249"/>
      <c r="S783" s="249"/>
      <c r="T783" s="249"/>
      <c r="U783" s="249"/>
      <c r="V783" s="249"/>
      <c r="W783" s="249"/>
      <c r="X783" s="249"/>
      <c r="Y783" s="249"/>
      <c r="Z783" s="249"/>
      <c r="AA783" s="249"/>
      <c r="AB783" s="249"/>
      <c r="AC783" s="249"/>
      <c r="AD783" s="249"/>
    </row>
    <row r="784" spans="1:30" ht="12.9">
      <c r="A784" s="249"/>
      <c r="B784" s="249"/>
      <c r="C784" s="249"/>
      <c r="D784" s="249"/>
      <c r="E784" s="249"/>
      <c r="F784" s="249"/>
      <c r="G784" s="249"/>
      <c r="H784" s="249"/>
      <c r="I784" s="249"/>
      <c r="J784" s="249"/>
      <c r="K784" s="249"/>
      <c r="L784" s="249"/>
      <c r="M784" s="249"/>
      <c r="N784" s="249"/>
      <c r="O784" s="249"/>
      <c r="P784" s="249"/>
      <c r="Q784" s="249"/>
      <c r="R784" s="249"/>
      <c r="S784" s="249"/>
      <c r="T784" s="249"/>
      <c r="U784" s="249"/>
      <c r="V784" s="249"/>
      <c r="W784" s="249"/>
      <c r="X784" s="249"/>
      <c r="Y784" s="249"/>
      <c r="Z784" s="249"/>
      <c r="AA784" s="249"/>
      <c r="AB784" s="249"/>
      <c r="AC784" s="249"/>
      <c r="AD784" s="249"/>
    </row>
    <row r="785" spans="1:30" ht="12.9">
      <c r="A785" s="249"/>
      <c r="B785" s="249"/>
      <c r="C785" s="249"/>
      <c r="D785" s="249"/>
      <c r="E785" s="249"/>
      <c r="F785" s="249"/>
      <c r="G785" s="249"/>
      <c r="H785" s="249"/>
      <c r="I785" s="249"/>
      <c r="J785" s="249"/>
      <c r="K785" s="249"/>
      <c r="L785" s="249"/>
      <c r="M785" s="249"/>
      <c r="N785" s="249"/>
      <c r="O785" s="249"/>
      <c r="P785" s="249"/>
      <c r="Q785" s="249"/>
      <c r="R785" s="249"/>
      <c r="S785" s="249"/>
      <c r="T785" s="249"/>
      <c r="U785" s="249"/>
      <c r="V785" s="249"/>
      <c r="W785" s="249"/>
      <c r="X785" s="249"/>
      <c r="Y785" s="249"/>
      <c r="Z785" s="249"/>
      <c r="AA785" s="249"/>
      <c r="AB785" s="249"/>
      <c r="AC785" s="249"/>
      <c r="AD785" s="249"/>
    </row>
    <row r="786" spans="1:30" ht="12.9">
      <c r="A786" s="249"/>
      <c r="B786" s="249"/>
      <c r="C786" s="249"/>
      <c r="D786" s="249"/>
      <c r="E786" s="249"/>
      <c r="F786" s="249"/>
      <c r="G786" s="249"/>
      <c r="H786" s="249"/>
      <c r="I786" s="249"/>
      <c r="J786" s="249"/>
      <c r="K786" s="249"/>
      <c r="L786" s="249"/>
      <c r="M786" s="249"/>
      <c r="N786" s="249"/>
      <c r="O786" s="249"/>
      <c r="P786" s="249"/>
      <c r="Q786" s="249"/>
      <c r="R786" s="249"/>
      <c r="S786" s="249"/>
      <c r="T786" s="249"/>
      <c r="U786" s="249"/>
      <c r="V786" s="249"/>
      <c r="W786" s="249"/>
      <c r="X786" s="249"/>
      <c r="Y786" s="249"/>
      <c r="Z786" s="249"/>
      <c r="AA786" s="249"/>
      <c r="AB786" s="249"/>
      <c r="AC786" s="249"/>
      <c r="AD786" s="249"/>
    </row>
    <row r="787" spans="1:30" ht="12.9">
      <c r="A787" s="249"/>
      <c r="B787" s="249"/>
      <c r="C787" s="249"/>
      <c r="D787" s="249"/>
      <c r="E787" s="249"/>
      <c r="F787" s="249"/>
      <c r="G787" s="249"/>
      <c r="H787" s="249"/>
      <c r="I787" s="249"/>
      <c r="J787" s="249"/>
      <c r="K787" s="249"/>
      <c r="L787" s="249"/>
      <c r="M787" s="249"/>
      <c r="N787" s="249"/>
      <c r="O787" s="249"/>
      <c r="P787" s="249"/>
      <c r="Q787" s="249"/>
      <c r="R787" s="249"/>
      <c r="S787" s="249"/>
      <c r="T787" s="249"/>
      <c r="U787" s="249"/>
      <c r="V787" s="249"/>
      <c r="W787" s="249"/>
      <c r="X787" s="249"/>
      <c r="Y787" s="249"/>
      <c r="Z787" s="249"/>
      <c r="AA787" s="249"/>
      <c r="AB787" s="249"/>
      <c r="AC787" s="249"/>
      <c r="AD787" s="249"/>
    </row>
    <row r="788" spans="1:30" ht="12.9">
      <c r="A788" s="249"/>
      <c r="B788" s="249"/>
      <c r="C788" s="249"/>
      <c r="D788" s="249"/>
      <c r="E788" s="249"/>
      <c r="F788" s="249"/>
      <c r="G788" s="249"/>
      <c r="H788" s="249"/>
      <c r="I788" s="249"/>
      <c r="J788" s="249"/>
      <c r="K788" s="249"/>
      <c r="L788" s="249"/>
      <c r="M788" s="249"/>
      <c r="N788" s="249"/>
      <c r="O788" s="249"/>
      <c r="P788" s="249"/>
      <c r="Q788" s="249"/>
      <c r="R788" s="249"/>
      <c r="S788" s="249"/>
      <c r="T788" s="249"/>
      <c r="U788" s="249"/>
      <c r="V788" s="249"/>
      <c r="W788" s="249"/>
      <c r="X788" s="249"/>
      <c r="Y788" s="249"/>
      <c r="Z788" s="249"/>
      <c r="AA788" s="249"/>
      <c r="AB788" s="249"/>
      <c r="AC788" s="249"/>
      <c r="AD788" s="249"/>
    </row>
    <row r="789" spans="1:30" ht="12.9">
      <c r="A789" s="249"/>
      <c r="B789" s="249"/>
      <c r="C789" s="249"/>
      <c r="D789" s="249"/>
      <c r="E789" s="249"/>
      <c r="F789" s="249"/>
      <c r="G789" s="249"/>
      <c r="H789" s="249"/>
      <c r="I789" s="249"/>
      <c r="J789" s="249"/>
      <c r="K789" s="249"/>
      <c r="L789" s="249"/>
      <c r="M789" s="249"/>
      <c r="N789" s="249"/>
      <c r="O789" s="249"/>
      <c r="P789" s="249"/>
      <c r="Q789" s="249"/>
      <c r="R789" s="249"/>
      <c r="S789" s="249"/>
      <c r="T789" s="249"/>
      <c r="U789" s="249"/>
      <c r="V789" s="249"/>
      <c r="W789" s="249"/>
      <c r="X789" s="249"/>
      <c r="Y789" s="249"/>
      <c r="Z789" s="249"/>
      <c r="AA789" s="249"/>
      <c r="AB789" s="249"/>
      <c r="AC789" s="249"/>
      <c r="AD789" s="249"/>
    </row>
    <row r="790" spans="1:30" ht="12.9">
      <c r="A790" s="249"/>
      <c r="B790" s="249"/>
      <c r="C790" s="249"/>
      <c r="D790" s="249"/>
      <c r="E790" s="249"/>
      <c r="F790" s="249"/>
      <c r="G790" s="249"/>
      <c r="H790" s="249"/>
      <c r="I790" s="249"/>
      <c r="J790" s="249"/>
      <c r="K790" s="249"/>
      <c r="L790" s="249"/>
      <c r="M790" s="249"/>
      <c r="N790" s="249"/>
      <c r="O790" s="249"/>
      <c r="P790" s="249"/>
      <c r="Q790" s="249"/>
      <c r="R790" s="249"/>
      <c r="S790" s="249"/>
      <c r="T790" s="249"/>
      <c r="U790" s="249"/>
      <c r="V790" s="249"/>
      <c r="W790" s="249"/>
      <c r="X790" s="249"/>
      <c r="Y790" s="249"/>
      <c r="Z790" s="249"/>
      <c r="AA790" s="249"/>
      <c r="AB790" s="249"/>
      <c r="AC790" s="249"/>
      <c r="AD790" s="249"/>
    </row>
    <row r="791" spans="1:30" ht="12.9">
      <c r="A791" s="249"/>
      <c r="B791" s="249"/>
      <c r="C791" s="249"/>
      <c r="D791" s="249"/>
      <c r="E791" s="249"/>
      <c r="F791" s="249"/>
      <c r="G791" s="249"/>
      <c r="H791" s="249"/>
      <c r="I791" s="249"/>
      <c r="J791" s="249"/>
      <c r="K791" s="249"/>
      <c r="L791" s="249"/>
      <c r="M791" s="249"/>
      <c r="N791" s="249"/>
      <c r="O791" s="249"/>
      <c r="P791" s="249"/>
      <c r="Q791" s="249"/>
      <c r="R791" s="249"/>
      <c r="S791" s="249"/>
      <c r="T791" s="249"/>
      <c r="U791" s="249"/>
      <c r="V791" s="249"/>
      <c r="W791" s="249"/>
      <c r="X791" s="249"/>
      <c r="Y791" s="249"/>
      <c r="Z791" s="249"/>
      <c r="AA791" s="249"/>
      <c r="AB791" s="249"/>
      <c r="AC791" s="249"/>
      <c r="AD791" s="249"/>
    </row>
    <row r="792" spans="1:30" ht="12.9">
      <c r="A792" s="249"/>
      <c r="B792" s="249"/>
      <c r="C792" s="249"/>
      <c r="D792" s="249"/>
      <c r="E792" s="249"/>
      <c r="F792" s="249"/>
      <c r="G792" s="249"/>
      <c r="H792" s="249"/>
      <c r="I792" s="249"/>
      <c r="J792" s="249"/>
      <c r="K792" s="249"/>
      <c r="L792" s="249"/>
      <c r="M792" s="249"/>
      <c r="N792" s="249"/>
      <c r="O792" s="249"/>
      <c r="P792" s="249"/>
      <c r="Q792" s="249"/>
      <c r="R792" s="249"/>
      <c r="S792" s="249"/>
      <c r="T792" s="249"/>
      <c r="U792" s="249"/>
      <c r="V792" s="249"/>
      <c r="W792" s="249"/>
      <c r="X792" s="249"/>
      <c r="Y792" s="249"/>
      <c r="Z792" s="249"/>
      <c r="AA792" s="249"/>
      <c r="AB792" s="249"/>
      <c r="AC792" s="249"/>
      <c r="AD792" s="249"/>
    </row>
    <row r="793" spans="1:30" ht="12.9">
      <c r="A793" s="249"/>
      <c r="B793" s="249"/>
      <c r="C793" s="249"/>
      <c r="D793" s="249"/>
      <c r="E793" s="249"/>
      <c r="F793" s="249"/>
      <c r="G793" s="249"/>
      <c r="H793" s="249"/>
      <c r="I793" s="249"/>
      <c r="J793" s="249"/>
      <c r="K793" s="249"/>
      <c r="L793" s="249"/>
      <c r="M793" s="249"/>
      <c r="N793" s="249"/>
      <c r="O793" s="249"/>
      <c r="P793" s="249"/>
      <c r="Q793" s="249"/>
      <c r="R793" s="249"/>
      <c r="S793" s="249"/>
      <c r="T793" s="249"/>
      <c r="U793" s="249"/>
      <c r="V793" s="249"/>
      <c r="W793" s="249"/>
      <c r="X793" s="249"/>
      <c r="Y793" s="249"/>
      <c r="Z793" s="249"/>
      <c r="AA793" s="249"/>
      <c r="AB793" s="249"/>
      <c r="AC793" s="249"/>
      <c r="AD793" s="249"/>
    </row>
    <row r="794" spans="1:30" ht="12.9">
      <c r="A794" s="249"/>
      <c r="B794" s="249"/>
      <c r="C794" s="249"/>
      <c r="D794" s="249"/>
      <c r="E794" s="249"/>
      <c r="F794" s="249"/>
      <c r="G794" s="249"/>
      <c r="H794" s="249"/>
      <c r="I794" s="249"/>
      <c r="J794" s="249"/>
      <c r="K794" s="249"/>
      <c r="L794" s="249"/>
      <c r="M794" s="249"/>
      <c r="N794" s="249"/>
      <c r="O794" s="249"/>
      <c r="P794" s="249"/>
      <c r="Q794" s="249"/>
      <c r="R794" s="249"/>
      <c r="S794" s="249"/>
      <c r="T794" s="249"/>
      <c r="U794" s="249"/>
      <c r="V794" s="249"/>
      <c r="W794" s="249"/>
      <c r="X794" s="249"/>
      <c r="Y794" s="249"/>
      <c r="Z794" s="249"/>
      <c r="AA794" s="249"/>
      <c r="AB794" s="249"/>
      <c r="AC794" s="249"/>
      <c r="AD794" s="249"/>
    </row>
    <row r="795" spans="1:30" ht="12.9">
      <c r="A795" s="249"/>
      <c r="B795" s="249"/>
      <c r="C795" s="249"/>
      <c r="D795" s="249"/>
      <c r="E795" s="249"/>
      <c r="F795" s="249"/>
      <c r="G795" s="249"/>
      <c r="H795" s="249"/>
      <c r="I795" s="249"/>
      <c r="J795" s="249"/>
      <c r="K795" s="249"/>
      <c r="L795" s="249"/>
      <c r="M795" s="249"/>
      <c r="N795" s="249"/>
      <c r="O795" s="249"/>
      <c r="P795" s="249"/>
      <c r="Q795" s="249"/>
      <c r="R795" s="249"/>
      <c r="S795" s="249"/>
      <c r="T795" s="249"/>
      <c r="U795" s="249"/>
      <c r="V795" s="249"/>
      <c r="W795" s="249"/>
      <c r="X795" s="249"/>
      <c r="Y795" s="249"/>
      <c r="Z795" s="249"/>
      <c r="AA795" s="249"/>
      <c r="AB795" s="249"/>
      <c r="AC795" s="249"/>
      <c r="AD795" s="249"/>
    </row>
    <row r="796" spans="1:30" ht="12.9">
      <c r="A796" s="249"/>
      <c r="B796" s="249"/>
      <c r="C796" s="249"/>
      <c r="D796" s="249"/>
      <c r="E796" s="249"/>
      <c r="F796" s="249"/>
      <c r="G796" s="249"/>
      <c r="H796" s="249"/>
      <c r="I796" s="249"/>
      <c r="J796" s="249"/>
      <c r="K796" s="249"/>
      <c r="L796" s="249"/>
      <c r="M796" s="249"/>
      <c r="N796" s="249"/>
      <c r="O796" s="249"/>
      <c r="P796" s="249"/>
      <c r="Q796" s="249"/>
      <c r="R796" s="249"/>
      <c r="S796" s="249"/>
      <c r="T796" s="249"/>
      <c r="U796" s="249"/>
      <c r="V796" s="249"/>
      <c r="W796" s="249"/>
      <c r="X796" s="249"/>
      <c r="Y796" s="249"/>
      <c r="Z796" s="249"/>
      <c r="AA796" s="249"/>
      <c r="AB796" s="249"/>
      <c r="AC796" s="249"/>
      <c r="AD796" s="249"/>
    </row>
    <row r="797" spans="1:30" ht="12.9">
      <c r="A797" s="249"/>
      <c r="B797" s="249"/>
      <c r="C797" s="249"/>
      <c r="D797" s="249"/>
      <c r="E797" s="249"/>
      <c r="F797" s="249"/>
      <c r="G797" s="249"/>
      <c r="H797" s="249"/>
      <c r="I797" s="249"/>
      <c r="J797" s="249"/>
      <c r="K797" s="249"/>
      <c r="L797" s="249"/>
      <c r="M797" s="249"/>
      <c r="N797" s="249"/>
      <c r="O797" s="249"/>
      <c r="P797" s="249"/>
      <c r="Q797" s="249"/>
      <c r="R797" s="249"/>
      <c r="S797" s="249"/>
      <c r="T797" s="249"/>
      <c r="U797" s="249"/>
      <c r="V797" s="249"/>
      <c r="W797" s="249"/>
      <c r="X797" s="249"/>
      <c r="Y797" s="249"/>
      <c r="Z797" s="249"/>
      <c r="AA797" s="249"/>
      <c r="AB797" s="249"/>
      <c r="AC797" s="249"/>
      <c r="AD797" s="249"/>
    </row>
    <row r="798" spans="1:30" ht="12.9">
      <c r="A798" s="249"/>
      <c r="B798" s="249"/>
      <c r="C798" s="249"/>
      <c r="D798" s="249"/>
      <c r="E798" s="249"/>
      <c r="F798" s="249"/>
      <c r="G798" s="249"/>
      <c r="H798" s="249"/>
      <c r="I798" s="249"/>
      <c r="J798" s="249"/>
      <c r="K798" s="249"/>
      <c r="L798" s="249"/>
      <c r="M798" s="249"/>
      <c r="N798" s="249"/>
      <c r="O798" s="249"/>
      <c r="P798" s="249"/>
      <c r="Q798" s="249"/>
      <c r="R798" s="249"/>
      <c r="S798" s="249"/>
      <c r="T798" s="249"/>
      <c r="U798" s="249"/>
      <c r="V798" s="249"/>
      <c r="W798" s="249"/>
      <c r="X798" s="249"/>
      <c r="Y798" s="249"/>
      <c r="Z798" s="249"/>
      <c r="AA798" s="249"/>
      <c r="AB798" s="249"/>
      <c r="AC798" s="249"/>
      <c r="AD798" s="249"/>
    </row>
    <row r="799" spans="1:30" ht="12.9">
      <c r="A799" s="249"/>
      <c r="B799" s="249"/>
      <c r="C799" s="249"/>
      <c r="D799" s="249"/>
      <c r="E799" s="249"/>
      <c r="F799" s="249"/>
      <c r="G799" s="249"/>
      <c r="H799" s="249"/>
      <c r="I799" s="249"/>
      <c r="J799" s="249"/>
      <c r="K799" s="249"/>
      <c r="L799" s="249"/>
      <c r="M799" s="249"/>
      <c r="N799" s="249"/>
      <c r="O799" s="249"/>
      <c r="P799" s="249"/>
      <c r="Q799" s="249"/>
      <c r="R799" s="249"/>
      <c r="S799" s="249"/>
      <c r="T799" s="249"/>
      <c r="U799" s="249"/>
      <c r="V799" s="249"/>
      <c r="W799" s="249"/>
      <c r="X799" s="249"/>
      <c r="Y799" s="249"/>
      <c r="Z799" s="249"/>
      <c r="AA799" s="249"/>
      <c r="AB799" s="249"/>
      <c r="AC799" s="249"/>
      <c r="AD799" s="249"/>
    </row>
    <row r="800" spans="1:30" ht="12.9">
      <c r="A800" s="249"/>
      <c r="B800" s="249"/>
      <c r="C800" s="249"/>
      <c r="D800" s="249"/>
      <c r="E800" s="249"/>
      <c r="F800" s="249"/>
      <c r="G800" s="249"/>
      <c r="H800" s="249"/>
      <c r="I800" s="249"/>
      <c r="J800" s="249"/>
      <c r="K800" s="249"/>
      <c r="L800" s="249"/>
      <c r="M800" s="249"/>
      <c r="N800" s="249"/>
      <c r="O800" s="249"/>
      <c r="P800" s="249"/>
      <c r="Q800" s="249"/>
      <c r="R800" s="249"/>
      <c r="S800" s="249"/>
      <c r="T800" s="249"/>
      <c r="U800" s="249"/>
      <c r="V800" s="249"/>
      <c r="W800" s="249"/>
      <c r="X800" s="249"/>
      <c r="Y800" s="249"/>
      <c r="Z800" s="249"/>
      <c r="AA800" s="249"/>
      <c r="AB800" s="249"/>
      <c r="AC800" s="249"/>
      <c r="AD800" s="249"/>
    </row>
    <row r="801" spans="1:30" ht="12.9">
      <c r="A801" s="249"/>
      <c r="B801" s="249"/>
      <c r="C801" s="249"/>
      <c r="D801" s="249"/>
      <c r="E801" s="249"/>
      <c r="F801" s="249"/>
      <c r="G801" s="249"/>
      <c r="H801" s="249"/>
      <c r="I801" s="249"/>
      <c r="J801" s="249"/>
      <c r="K801" s="249"/>
      <c r="L801" s="249"/>
      <c r="M801" s="249"/>
      <c r="N801" s="249"/>
      <c r="O801" s="249"/>
      <c r="P801" s="249"/>
      <c r="Q801" s="249"/>
      <c r="R801" s="249"/>
      <c r="S801" s="249"/>
      <c r="T801" s="249"/>
      <c r="U801" s="249"/>
      <c r="V801" s="249"/>
      <c r="W801" s="249"/>
      <c r="X801" s="249"/>
      <c r="Y801" s="249"/>
      <c r="Z801" s="249"/>
      <c r="AA801" s="249"/>
      <c r="AB801" s="249"/>
      <c r="AC801" s="249"/>
      <c r="AD801" s="249"/>
    </row>
    <row r="802" spans="1:30" ht="12.9">
      <c r="A802" s="249"/>
      <c r="B802" s="249"/>
      <c r="C802" s="249"/>
      <c r="D802" s="249"/>
      <c r="E802" s="249"/>
      <c r="F802" s="249"/>
      <c r="G802" s="249"/>
      <c r="H802" s="249"/>
      <c r="I802" s="249"/>
      <c r="J802" s="249"/>
      <c r="K802" s="249"/>
      <c r="L802" s="249"/>
      <c r="M802" s="249"/>
      <c r="N802" s="249"/>
      <c r="O802" s="249"/>
      <c r="P802" s="249"/>
      <c r="Q802" s="249"/>
      <c r="R802" s="249"/>
      <c r="S802" s="249"/>
      <c r="T802" s="249"/>
      <c r="U802" s="249"/>
      <c r="V802" s="249"/>
      <c r="W802" s="249"/>
      <c r="X802" s="249"/>
      <c r="Y802" s="249"/>
      <c r="Z802" s="249"/>
      <c r="AA802" s="249"/>
      <c r="AB802" s="249"/>
      <c r="AC802" s="249"/>
      <c r="AD802" s="249"/>
    </row>
    <row r="803" spans="1:30" ht="12.9">
      <c r="A803" s="249"/>
      <c r="B803" s="249"/>
      <c r="C803" s="249"/>
      <c r="D803" s="249"/>
      <c r="E803" s="249"/>
      <c r="F803" s="249"/>
      <c r="G803" s="249"/>
      <c r="H803" s="249"/>
      <c r="I803" s="249"/>
      <c r="J803" s="249"/>
      <c r="K803" s="249"/>
      <c r="L803" s="249"/>
      <c r="M803" s="249"/>
      <c r="N803" s="249"/>
      <c r="O803" s="249"/>
      <c r="P803" s="249"/>
      <c r="Q803" s="249"/>
      <c r="R803" s="249"/>
      <c r="S803" s="249"/>
      <c r="T803" s="249"/>
      <c r="U803" s="249"/>
      <c r="V803" s="249"/>
      <c r="W803" s="249"/>
      <c r="X803" s="249"/>
      <c r="Y803" s="249"/>
      <c r="Z803" s="249"/>
      <c r="AA803" s="249"/>
      <c r="AB803" s="249"/>
      <c r="AC803" s="249"/>
      <c r="AD803" s="249"/>
    </row>
    <row r="804" spans="1:30" ht="12.9">
      <c r="A804" s="249"/>
      <c r="B804" s="249"/>
      <c r="C804" s="249"/>
      <c r="D804" s="249"/>
      <c r="E804" s="249"/>
      <c r="F804" s="249"/>
      <c r="G804" s="249"/>
      <c r="H804" s="249"/>
      <c r="I804" s="249"/>
      <c r="J804" s="249"/>
      <c r="K804" s="249"/>
      <c r="L804" s="249"/>
      <c r="M804" s="249"/>
      <c r="N804" s="249"/>
      <c r="O804" s="249"/>
      <c r="P804" s="249"/>
      <c r="Q804" s="249"/>
      <c r="R804" s="249"/>
      <c r="S804" s="249"/>
      <c r="T804" s="249"/>
      <c r="U804" s="249"/>
      <c r="V804" s="249"/>
      <c r="W804" s="249"/>
      <c r="X804" s="249"/>
      <c r="Y804" s="249"/>
      <c r="Z804" s="249"/>
      <c r="AA804" s="249"/>
      <c r="AB804" s="249"/>
      <c r="AC804" s="249"/>
      <c r="AD804" s="249"/>
    </row>
    <row r="805" spans="1:30" ht="12.9">
      <c r="A805" s="249"/>
      <c r="B805" s="249"/>
      <c r="C805" s="249"/>
      <c r="D805" s="249"/>
      <c r="E805" s="249"/>
      <c r="F805" s="249"/>
      <c r="G805" s="249"/>
      <c r="H805" s="249"/>
      <c r="I805" s="249"/>
      <c r="J805" s="249"/>
      <c r="K805" s="249"/>
      <c r="L805" s="249"/>
      <c r="M805" s="249"/>
      <c r="N805" s="249"/>
      <c r="O805" s="249"/>
      <c r="P805" s="249"/>
      <c r="Q805" s="249"/>
      <c r="R805" s="249"/>
      <c r="S805" s="249"/>
      <c r="T805" s="249"/>
      <c r="U805" s="249"/>
      <c r="V805" s="249"/>
      <c r="W805" s="249"/>
      <c r="X805" s="249"/>
      <c r="Y805" s="249"/>
      <c r="Z805" s="249"/>
      <c r="AA805" s="249"/>
      <c r="AB805" s="249"/>
      <c r="AC805" s="249"/>
      <c r="AD805" s="249"/>
    </row>
    <row r="806" spans="1:30" ht="12.9">
      <c r="A806" s="249"/>
      <c r="B806" s="249"/>
      <c r="C806" s="249"/>
      <c r="D806" s="249"/>
      <c r="E806" s="249"/>
      <c r="F806" s="249"/>
      <c r="G806" s="249"/>
      <c r="H806" s="249"/>
      <c r="I806" s="249"/>
      <c r="J806" s="249"/>
      <c r="K806" s="249"/>
      <c r="L806" s="249"/>
      <c r="M806" s="249"/>
      <c r="N806" s="249"/>
      <c r="O806" s="249"/>
      <c r="P806" s="249"/>
      <c r="Q806" s="249"/>
      <c r="R806" s="249"/>
      <c r="S806" s="249"/>
      <c r="T806" s="249"/>
      <c r="U806" s="249"/>
      <c r="V806" s="249"/>
      <c r="W806" s="249"/>
      <c r="X806" s="249"/>
      <c r="Y806" s="249"/>
      <c r="Z806" s="249"/>
      <c r="AA806" s="249"/>
      <c r="AB806" s="249"/>
      <c r="AC806" s="249"/>
      <c r="AD806" s="249"/>
    </row>
    <row r="807" spans="1:30" ht="12.9">
      <c r="A807" s="249"/>
      <c r="B807" s="249"/>
      <c r="C807" s="249"/>
      <c r="D807" s="249"/>
      <c r="E807" s="249"/>
      <c r="F807" s="249"/>
      <c r="G807" s="249"/>
      <c r="H807" s="249"/>
      <c r="I807" s="249"/>
      <c r="J807" s="249"/>
      <c r="K807" s="249"/>
      <c r="L807" s="249"/>
      <c r="M807" s="249"/>
      <c r="N807" s="249"/>
      <c r="O807" s="249"/>
      <c r="P807" s="249"/>
      <c r="Q807" s="249"/>
      <c r="R807" s="249"/>
      <c r="S807" s="249"/>
      <c r="T807" s="249"/>
      <c r="U807" s="249"/>
      <c r="V807" s="249"/>
      <c r="W807" s="249"/>
      <c r="X807" s="249"/>
      <c r="Y807" s="249"/>
      <c r="Z807" s="249"/>
      <c r="AA807" s="249"/>
      <c r="AB807" s="249"/>
      <c r="AC807" s="249"/>
      <c r="AD807" s="249"/>
    </row>
    <row r="808" spans="1:30" ht="12.9">
      <c r="A808" s="249"/>
      <c r="B808" s="249"/>
      <c r="C808" s="249"/>
      <c r="D808" s="249"/>
      <c r="E808" s="249"/>
      <c r="F808" s="249"/>
      <c r="G808" s="249"/>
      <c r="H808" s="249"/>
      <c r="I808" s="249"/>
      <c r="J808" s="249"/>
      <c r="K808" s="249"/>
      <c r="L808" s="249"/>
      <c r="M808" s="249"/>
      <c r="N808" s="249"/>
      <c r="O808" s="249"/>
      <c r="P808" s="249"/>
      <c r="Q808" s="249"/>
      <c r="R808" s="249"/>
      <c r="S808" s="249"/>
      <c r="T808" s="249"/>
      <c r="U808" s="249"/>
      <c r="V808" s="249"/>
      <c r="W808" s="249"/>
      <c r="X808" s="249"/>
      <c r="Y808" s="249"/>
      <c r="Z808" s="249"/>
      <c r="AA808" s="249"/>
      <c r="AB808" s="249"/>
      <c r="AC808" s="249"/>
      <c r="AD808" s="249"/>
    </row>
    <row r="809" spans="1:30" ht="12.9">
      <c r="A809" s="249"/>
      <c r="B809" s="249"/>
      <c r="C809" s="249"/>
      <c r="D809" s="249"/>
      <c r="E809" s="249"/>
      <c r="F809" s="249"/>
      <c r="G809" s="249"/>
      <c r="H809" s="249"/>
      <c r="I809" s="249"/>
      <c r="J809" s="249"/>
      <c r="K809" s="249"/>
      <c r="L809" s="249"/>
      <c r="M809" s="249"/>
      <c r="N809" s="249"/>
      <c r="O809" s="249"/>
      <c r="P809" s="249"/>
      <c r="Q809" s="249"/>
      <c r="R809" s="249"/>
      <c r="S809" s="249"/>
      <c r="T809" s="249"/>
      <c r="U809" s="249"/>
      <c r="V809" s="249"/>
      <c r="W809" s="249"/>
      <c r="X809" s="249"/>
      <c r="Y809" s="249"/>
      <c r="Z809" s="249"/>
      <c r="AA809" s="249"/>
      <c r="AB809" s="249"/>
      <c r="AC809" s="249"/>
      <c r="AD809" s="249"/>
    </row>
    <row r="810" spans="1:30" ht="12.9">
      <c r="A810" s="249"/>
      <c r="B810" s="249"/>
      <c r="C810" s="249"/>
      <c r="D810" s="249"/>
      <c r="E810" s="249"/>
      <c r="F810" s="249"/>
      <c r="G810" s="249"/>
      <c r="H810" s="249"/>
      <c r="I810" s="249"/>
      <c r="J810" s="249"/>
      <c r="K810" s="249"/>
      <c r="L810" s="249"/>
      <c r="M810" s="249"/>
      <c r="N810" s="249"/>
      <c r="O810" s="249"/>
      <c r="P810" s="249"/>
      <c r="Q810" s="249"/>
      <c r="R810" s="249"/>
      <c r="S810" s="249"/>
      <c r="T810" s="249"/>
      <c r="U810" s="249"/>
      <c r="V810" s="249"/>
      <c r="W810" s="249"/>
      <c r="X810" s="249"/>
      <c r="Y810" s="249"/>
      <c r="Z810" s="249"/>
      <c r="AA810" s="249"/>
      <c r="AB810" s="249"/>
      <c r="AC810" s="249"/>
      <c r="AD810" s="249"/>
    </row>
    <row r="811" spans="1:30" ht="12.9">
      <c r="A811" s="249"/>
      <c r="B811" s="249"/>
      <c r="C811" s="249"/>
      <c r="D811" s="249"/>
      <c r="E811" s="249"/>
      <c r="F811" s="249"/>
      <c r="G811" s="249"/>
      <c r="H811" s="249"/>
      <c r="I811" s="249"/>
      <c r="J811" s="249"/>
      <c r="K811" s="249"/>
      <c r="L811" s="249"/>
      <c r="M811" s="249"/>
      <c r="N811" s="249"/>
      <c r="O811" s="249"/>
      <c r="P811" s="249"/>
      <c r="Q811" s="249"/>
      <c r="R811" s="249"/>
      <c r="S811" s="249"/>
      <c r="T811" s="249"/>
      <c r="U811" s="249"/>
      <c r="V811" s="249"/>
      <c r="W811" s="249"/>
      <c r="X811" s="249"/>
      <c r="Y811" s="249"/>
      <c r="Z811" s="249"/>
      <c r="AA811" s="249"/>
      <c r="AB811" s="249"/>
      <c r="AC811" s="249"/>
      <c r="AD811" s="249"/>
    </row>
    <row r="812" spans="1:30" ht="12.9">
      <c r="A812" s="249"/>
      <c r="B812" s="249"/>
      <c r="C812" s="249"/>
      <c r="D812" s="249"/>
      <c r="E812" s="249"/>
      <c r="F812" s="249"/>
      <c r="G812" s="249"/>
      <c r="H812" s="249"/>
      <c r="I812" s="249"/>
      <c r="J812" s="249"/>
      <c r="K812" s="249"/>
      <c r="L812" s="249"/>
      <c r="M812" s="249"/>
      <c r="N812" s="249"/>
      <c r="O812" s="249"/>
      <c r="P812" s="249"/>
      <c r="Q812" s="249"/>
      <c r="R812" s="249"/>
      <c r="S812" s="249"/>
      <c r="T812" s="249"/>
      <c r="U812" s="249"/>
      <c r="V812" s="249"/>
      <c r="W812" s="249"/>
      <c r="X812" s="249"/>
      <c r="Y812" s="249"/>
      <c r="Z812" s="249"/>
      <c r="AA812" s="249"/>
      <c r="AB812" s="249"/>
      <c r="AC812" s="249"/>
      <c r="AD812" s="249"/>
    </row>
    <row r="813" spans="1:30" ht="12.9">
      <c r="A813" s="249"/>
      <c r="B813" s="249"/>
      <c r="C813" s="249"/>
      <c r="D813" s="249"/>
      <c r="E813" s="249"/>
      <c r="F813" s="249"/>
      <c r="G813" s="249"/>
      <c r="H813" s="249"/>
      <c r="I813" s="249"/>
      <c r="J813" s="249"/>
      <c r="K813" s="249"/>
      <c r="L813" s="249"/>
      <c r="M813" s="249"/>
      <c r="N813" s="249"/>
      <c r="O813" s="249"/>
      <c r="P813" s="249"/>
      <c r="Q813" s="249"/>
      <c r="R813" s="249"/>
      <c r="S813" s="249"/>
      <c r="T813" s="249"/>
      <c r="U813" s="249"/>
      <c r="V813" s="249"/>
      <c r="W813" s="249"/>
      <c r="X813" s="249"/>
      <c r="Y813" s="249"/>
      <c r="Z813" s="249"/>
      <c r="AA813" s="249"/>
      <c r="AB813" s="249"/>
      <c r="AC813" s="249"/>
      <c r="AD813" s="249"/>
    </row>
    <row r="814" spans="1:30" ht="12.9">
      <c r="A814" s="249"/>
      <c r="B814" s="249"/>
      <c r="C814" s="249"/>
      <c r="D814" s="249"/>
      <c r="E814" s="249"/>
      <c r="F814" s="249"/>
      <c r="G814" s="249"/>
      <c r="H814" s="249"/>
      <c r="I814" s="249"/>
      <c r="J814" s="249"/>
      <c r="K814" s="249"/>
      <c r="L814" s="249"/>
      <c r="M814" s="249"/>
      <c r="N814" s="249"/>
      <c r="O814" s="249"/>
      <c r="P814" s="249"/>
      <c r="Q814" s="249"/>
      <c r="R814" s="249"/>
      <c r="S814" s="249"/>
      <c r="T814" s="249"/>
      <c r="U814" s="249"/>
      <c r="V814" s="249"/>
      <c r="W814" s="249"/>
      <c r="X814" s="249"/>
      <c r="Y814" s="249"/>
      <c r="Z814" s="249"/>
      <c r="AA814" s="249"/>
      <c r="AB814" s="249"/>
      <c r="AC814" s="249"/>
      <c r="AD814" s="249"/>
    </row>
    <row r="815" spans="1:30" ht="12.9">
      <c r="A815" s="249"/>
      <c r="B815" s="249"/>
      <c r="C815" s="249"/>
      <c r="D815" s="249"/>
      <c r="E815" s="249"/>
      <c r="F815" s="249"/>
      <c r="G815" s="249"/>
      <c r="H815" s="249"/>
      <c r="I815" s="249"/>
      <c r="J815" s="249"/>
      <c r="K815" s="249"/>
      <c r="L815" s="249"/>
      <c r="M815" s="249"/>
      <c r="N815" s="249"/>
      <c r="O815" s="249"/>
      <c r="P815" s="249"/>
      <c r="Q815" s="249"/>
      <c r="R815" s="249"/>
      <c r="S815" s="249"/>
      <c r="T815" s="249"/>
      <c r="U815" s="249"/>
      <c r="V815" s="249"/>
      <c r="W815" s="249"/>
      <c r="X815" s="249"/>
      <c r="Y815" s="249"/>
      <c r="Z815" s="249"/>
      <c r="AA815" s="249"/>
      <c r="AB815" s="249"/>
      <c r="AC815" s="249"/>
      <c r="AD815" s="249"/>
    </row>
    <row r="816" spans="1:30" ht="12.9">
      <c r="A816" s="249"/>
      <c r="B816" s="249"/>
      <c r="C816" s="249"/>
      <c r="D816" s="249"/>
      <c r="E816" s="249"/>
      <c r="F816" s="249"/>
      <c r="G816" s="249"/>
      <c r="H816" s="249"/>
      <c r="I816" s="249"/>
      <c r="J816" s="249"/>
      <c r="K816" s="249"/>
      <c r="L816" s="249"/>
      <c r="M816" s="249"/>
      <c r="N816" s="249"/>
      <c r="O816" s="249"/>
      <c r="P816" s="249"/>
      <c r="Q816" s="249"/>
      <c r="R816" s="249"/>
      <c r="S816" s="249"/>
      <c r="T816" s="249"/>
      <c r="U816" s="249"/>
      <c r="V816" s="249"/>
      <c r="W816" s="249"/>
      <c r="X816" s="249"/>
      <c r="Y816" s="249"/>
      <c r="Z816" s="249"/>
      <c r="AA816" s="249"/>
      <c r="AB816" s="249"/>
      <c r="AC816" s="249"/>
      <c r="AD816" s="249"/>
    </row>
    <row r="817" spans="1:30" ht="12.9">
      <c r="A817" s="249"/>
      <c r="B817" s="249"/>
      <c r="C817" s="249"/>
      <c r="D817" s="249"/>
      <c r="E817" s="249"/>
      <c r="F817" s="249"/>
      <c r="G817" s="249"/>
      <c r="H817" s="249"/>
      <c r="I817" s="249"/>
      <c r="J817" s="249"/>
      <c r="K817" s="249"/>
      <c r="L817" s="249"/>
      <c r="M817" s="249"/>
      <c r="N817" s="249"/>
      <c r="O817" s="249"/>
      <c r="P817" s="249"/>
      <c r="Q817" s="249"/>
      <c r="R817" s="249"/>
      <c r="S817" s="249"/>
      <c r="T817" s="249"/>
      <c r="U817" s="249"/>
      <c r="V817" s="249"/>
      <c r="W817" s="249"/>
      <c r="X817" s="249"/>
      <c r="Y817" s="249"/>
      <c r="Z817" s="249"/>
      <c r="AA817" s="249"/>
      <c r="AB817" s="249"/>
      <c r="AC817" s="249"/>
      <c r="AD817" s="249"/>
    </row>
    <row r="818" spans="1:30" ht="12.9">
      <c r="A818" s="249"/>
      <c r="B818" s="249"/>
      <c r="C818" s="249"/>
      <c r="D818" s="249"/>
      <c r="E818" s="249"/>
      <c r="F818" s="249"/>
      <c r="G818" s="249"/>
      <c r="H818" s="249"/>
      <c r="I818" s="249"/>
      <c r="J818" s="249"/>
      <c r="K818" s="249"/>
      <c r="L818" s="249"/>
      <c r="M818" s="249"/>
      <c r="N818" s="249"/>
      <c r="O818" s="249"/>
      <c r="P818" s="249"/>
      <c r="Q818" s="249"/>
      <c r="R818" s="249"/>
      <c r="S818" s="249"/>
      <c r="T818" s="249"/>
      <c r="U818" s="249"/>
      <c r="V818" s="249"/>
      <c r="W818" s="249"/>
      <c r="X818" s="249"/>
      <c r="Y818" s="249"/>
      <c r="Z818" s="249"/>
      <c r="AA818" s="249"/>
      <c r="AB818" s="249"/>
      <c r="AC818" s="249"/>
      <c r="AD818" s="249"/>
    </row>
    <row r="819" spans="1:30" ht="12.9">
      <c r="A819" s="249"/>
      <c r="B819" s="249"/>
      <c r="C819" s="249"/>
      <c r="D819" s="249"/>
      <c r="E819" s="249"/>
      <c r="F819" s="249"/>
      <c r="G819" s="249"/>
      <c r="H819" s="249"/>
      <c r="I819" s="249"/>
      <c r="J819" s="249"/>
      <c r="K819" s="249"/>
      <c r="L819" s="249"/>
      <c r="M819" s="249"/>
      <c r="N819" s="249"/>
      <c r="O819" s="249"/>
      <c r="P819" s="249"/>
      <c r="Q819" s="249"/>
      <c r="R819" s="249"/>
      <c r="S819" s="249"/>
      <c r="T819" s="249"/>
      <c r="U819" s="249"/>
      <c r="V819" s="249"/>
      <c r="W819" s="249"/>
      <c r="X819" s="249"/>
      <c r="Y819" s="249"/>
      <c r="Z819" s="249"/>
      <c r="AA819" s="249"/>
      <c r="AB819" s="249"/>
      <c r="AC819" s="249"/>
      <c r="AD819" s="249"/>
    </row>
    <row r="820" spans="1:30" ht="12.9">
      <c r="A820" s="249"/>
      <c r="B820" s="249"/>
      <c r="C820" s="249"/>
      <c r="D820" s="249"/>
      <c r="E820" s="249"/>
      <c r="F820" s="249"/>
      <c r="G820" s="249"/>
      <c r="H820" s="249"/>
      <c r="I820" s="249"/>
      <c r="J820" s="249"/>
      <c r="K820" s="249"/>
      <c r="L820" s="249"/>
      <c r="M820" s="249"/>
      <c r="N820" s="249"/>
      <c r="O820" s="249"/>
      <c r="P820" s="249"/>
      <c r="Q820" s="249"/>
      <c r="R820" s="249"/>
      <c r="S820" s="249"/>
      <c r="T820" s="249"/>
      <c r="U820" s="249"/>
      <c r="V820" s="249"/>
      <c r="W820" s="249"/>
      <c r="X820" s="249"/>
      <c r="Y820" s="249"/>
      <c r="Z820" s="249"/>
      <c r="AA820" s="249"/>
      <c r="AB820" s="249"/>
      <c r="AC820" s="249"/>
      <c r="AD820" s="249"/>
    </row>
    <row r="821" spans="1:30" ht="12.9">
      <c r="A821" s="249"/>
      <c r="B821" s="249"/>
      <c r="C821" s="249"/>
      <c r="D821" s="249"/>
      <c r="E821" s="249"/>
      <c r="F821" s="249"/>
      <c r="G821" s="249"/>
      <c r="H821" s="249"/>
      <c r="I821" s="249"/>
      <c r="J821" s="249"/>
      <c r="K821" s="249"/>
      <c r="L821" s="249"/>
      <c r="M821" s="249"/>
      <c r="N821" s="249"/>
      <c r="O821" s="249"/>
      <c r="P821" s="249"/>
      <c r="Q821" s="249"/>
      <c r="R821" s="249"/>
      <c r="S821" s="249"/>
      <c r="T821" s="249"/>
      <c r="U821" s="249"/>
      <c r="V821" s="249"/>
      <c r="W821" s="249"/>
      <c r="X821" s="249"/>
      <c r="Y821" s="249"/>
      <c r="Z821" s="249"/>
      <c r="AA821" s="249"/>
      <c r="AB821" s="249"/>
      <c r="AC821" s="249"/>
      <c r="AD821" s="249"/>
    </row>
    <row r="822" spans="1:30" ht="12.9">
      <c r="A822" s="249"/>
      <c r="B822" s="249"/>
      <c r="C822" s="249"/>
      <c r="D822" s="249"/>
      <c r="E822" s="249"/>
      <c r="F822" s="249"/>
      <c r="G822" s="249"/>
      <c r="H822" s="249"/>
      <c r="I822" s="249"/>
      <c r="J822" s="249"/>
      <c r="K822" s="249"/>
      <c r="L822" s="249"/>
      <c r="M822" s="249"/>
      <c r="N822" s="249"/>
      <c r="O822" s="249"/>
      <c r="P822" s="249"/>
      <c r="Q822" s="249"/>
      <c r="R822" s="249"/>
      <c r="S822" s="249"/>
      <c r="T822" s="249"/>
      <c r="U822" s="249"/>
      <c r="V822" s="249"/>
      <c r="W822" s="249"/>
      <c r="X822" s="249"/>
      <c r="Y822" s="249"/>
      <c r="Z822" s="249"/>
      <c r="AA822" s="249"/>
      <c r="AB822" s="249"/>
      <c r="AC822" s="249"/>
      <c r="AD822" s="249"/>
    </row>
    <row r="823" spans="1:30" ht="12.9">
      <c r="A823" s="249"/>
      <c r="B823" s="249"/>
      <c r="C823" s="249"/>
      <c r="D823" s="249"/>
      <c r="E823" s="249"/>
      <c r="F823" s="249"/>
      <c r="G823" s="249"/>
      <c r="H823" s="249"/>
      <c r="I823" s="249"/>
      <c r="J823" s="249"/>
      <c r="K823" s="249"/>
      <c r="L823" s="249"/>
      <c r="M823" s="249"/>
      <c r="N823" s="249"/>
      <c r="O823" s="249"/>
      <c r="P823" s="249"/>
      <c r="Q823" s="249"/>
      <c r="R823" s="249"/>
      <c r="S823" s="249"/>
      <c r="T823" s="249"/>
      <c r="U823" s="249"/>
      <c r="V823" s="249"/>
      <c r="W823" s="249"/>
      <c r="X823" s="249"/>
      <c r="Y823" s="249"/>
      <c r="Z823" s="249"/>
      <c r="AA823" s="249"/>
      <c r="AB823" s="249"/>
      <c r="AC823" s="249"/>
      <c r="AD823" s="249"/>
    </row>
    <row r="824" spans="1:30" ht="12.9">
      <c r="A824" s="249"/>
      <c r="B824" s="249"/>
      <c r="C824" s="249"/>
      <c r="D824" s="249"/>
      <c r="E824" s="249"/>
      <c r="F824" s="249"/>
      <c r="G824" s="249"/>
      <c r="H824" s="249"/>
      <c r="I824" s="249"/>
      <c r="J824" s="249"/>
      <c r="K824" s="249"/>
      <c r="L824" s="249"/>
      <c r="M824" s="249"/>
      <c r="N824" s="249"/>
      <c r="O824" s="249"/>
      <c r="P824" s="249"/>
      <c r="Q824" s="249"/>
      <c r="R824" s="249"/>
      <c r="S824" s="249"/>
      <c r="T824" s="249"/>
      <c r="U824" s="249"/>
      <c r="V824" s="249"/>
      <c r="W824" s="249"/>
      <c r="X824" s="249"/>
      <c r="Y824" s="249"/>
      <c r="Z824" s="249"/>
      <c r="AA824" s="249"/>
      <c r="AB824" s="249"/>
      <c r="AC824" s="249"/>
      <c r="AD824" s="249"/>
    </row>
    <row r="825" spans="1:30" ht="12.9">
      <c r="A825" s="249"/>
      <c r="B825" s="249"/>
      <c r="C825" s="249"/>
      <c r="D825" s="249"/>
      <c r="E825" s="249"/>
      <c r="F825" s="249"/>
      <c r="G825" s="249"/>
      <c r="H825" s="249"/>
      <c r="I825" s="249"/>
      <c r="J825" s="249"/>
      <c r="K825" s="249"/>
      <c r="L825" s="249"/>
      <c r="M825" s="249"/>
      <c r="N825" s="249"/>
      <c r="O825" s="249"/>
      <c r="P825" s="249"/>
      <c r="Q825" s="249"/>
      <c r="R825" s="249"/>
      <c r="S825" s="249"/>
      <c r="T825" s="249"/>
      <c r="U825" s="249"/>
      <c r="V825" s="249"/>
      <c r="W825" s="249"/>
      <c r="X825" s="249"/>
      <c r="Y825" s="249"/>
      <c r="Z825" s="249"/>
      <c r="AA825" s="249"/>
      <c r="AB825" s="249"/>
      <c r="AC825" s="249"/>
      <c r="AD825" s="249"/>
    </row>
    <row r="826" spans="1:30" ht="12.9">
      <c r="A826" s="249"/>
      <c r="B826" s="249"/>
      <c r="C826" s="249"/>
      <c r="D826" s="249"/>
      <c r="E826" s="249"/>
      <c r="F826" s="249"/>
      <c r="G826" s="249"/>
      <c r="H826" s="249"/>
      <c r="I826" s="249"/>
      <c r="J826" s="249"/>
      <c r="K826" s="249"/>
      <c r="L826" s="249"/>
      <c r="M826" s="249"/>
      <c r="N826" s="249"/>
      <c r="O826" s="249"/>
      <c r="P826" s="249"/>
      <c r="Q826" s="249"/>
      <c r="R826" s="249"/>
      <c r="S826" s="249"/>
      <c r="T826" s="249"/>
      <c r="U826" s="249"/>
      <c r="V826" s="249"/>
      <c r="W826" s="249"/>
      <c r="X826" s="249"/>
      <c r="Y826" s="249"/>
      <c r="Z826" s="249"/>
      <c r="AA826" s="249"/>
      <c r="AB826" s="249"/>
      <c r="AC826" s="249"/>
      <c r="AD826" s="249"/>
    </row>
    <row r="827" spans="1:30" ht="12.9">
      <c r="A827" s="249"/>
      <c r="B827" s="249"/>
      <c r="C827" s="249"/>
      <c r="D827" s="249"/>
      <c r="E827" s="249"/>
      <c r="F827" s="249"/>
      <c r="G827" s="249"/>
      <c r="H827" s="249"/>
      <c r="I827" s="249"/>
      <c r="J827" s="249"/>
      <c r="K827" s="249"/>
      <c r="L827" s="249"/>
      <c r="M827" s="249"/>
      <c r="N827" s="249"/>
      <c r="O827" s="249"/>
      <c r="P827" s="249"/>
      <c r="Q827" s="249"/>
      <c r="R827" s="249"/>
      <c r="S827" s="249"/>
      <c r="T827" s="249"/>
      <c r="U827" s="249"/>
      <c r="V827" s="249"/>
      <c r="W827" s="249"/>
      <c r="X827" s="249"/>
      <c r="Y827" s="249"/>
      <c r="Z827" s="249"/>
      <c r="AA827" s="249"/>
      <c r="AB827" s="249"/>
      <c r="AC827" s="249"/>
      <c r="AD827" s="249"/>
    </row>
    <row r="828" spans="1:30" ht="12.9">
      <c r="A828" s="249"/>
      <c r="B828" s="249"/>
      <c r="C828" s="249"/>
      <c r="D828" s="249"/>
      <c r="E828" s="249"/>
      <c r="F828" s="249"/>
      <c r="G828" s="249"/>
      <c r="H828" s="249"/>
      <c r="I828" s="249"/>
      <c r="J828" s="249"/>
      <c r="K828" s="249"/>
      <c r="L828" s="249"/>
      <c r="M828" s="249"/>
      <c r="N828" s="249"/>
      <c r="O828" s="249"/>
      <c r="P828" s="249"/>
      <c r="Q828" s="249"/>
      <c r="R828" s="249"/>
      <c r="S828" s="249"/>
      <c r="T828" s="249"/>
      <c r="U828" s="249"/>
      <c r="V828" s="249"/>
      <c r="W828" s="249"/>
      <c r="X828" s="249"/>
      <c r="Y828" s="249"/>
      <c r="Z828" s="249"/>
      <c r="AA828" s="249"/>
      <c r="AB828" s="249"/>
      <c r="AC828" s="249"/>
      <c r="AD828" s="249"/>
    </row>
    <row r="829" spans="1:30" ht="12.9">
      <c r="A829" s="249"/>
      <c r="B829" s="249"/>
      <c r="C829" s="249"/>
      <c r="D829" s="249"/>
      <c r="E829" s="249"/>
      <c r="F829" s="249"/>
      <c r="G829" s="249"/>
      <c r="H829" s="249"/>
      <c r="I829" s="249"/>
      <c r="J829" s="249"/>
      <c r="K829" s="249"/>
      <c r="L829" s="249"/>
      <c r="M829" s="249"/>
      <c r="N829" s="249"/>
      <c r="O829" s="249"/>
      <c r="P829" s="249"/>
      <c r="Q829" s="249"/>
      <c r="R829" s="249"/>
      <c r="S829" s="249"/>
      <c r="T829" s="249"/>
      <c r="U829" s="249"/>
      <c r="V829" s="249"/>
      <c r="W829" s="249"/>
      <c r="X829" s="249"/>
      <c r="Y829" s="249"/>
      <c r="Z829" s="249"/>
      <c r="AA829" s="249"/>
      <c r="AB829" s="249"/>
      <c r="AC829" s="249"/>
      <c r="AD829" s="249"/>
    </row>
    <row r="830" spans="1:30" ht="12.9">
      <c r="A830" s="249"/>
      <c r="B830" s="249"/>
      <c r="C830" s="249"/>
      <c r="D830" s="249"/>
      <c r="E830" s="249"/>
      <c r="F830" s="249"/>
      <c r="G830" s="249"/>
      <c r="H830" s="249"/>
      <c r="I830" s="249"/>
      <c r="J830" s="249"/>
      <c r="K830" s="249"/>
      <c r="L830" s="249"/>
      <c r="M830" s="249"/>
      <c r="N830" s="249"/>
      <c r="O830" s="249"/>
      <c r="P830" s="249"/>
      <c r="Q830" s="249"/>
      <c r="R830" s="249"/>
      <c r="S830" s="249"/>
      <c r="T830" s="249"/>
      <c r="U830" s="249"/>
      <c r="V830" s="249"/>
      <c r="W830" s="249"/>
      <c r="X830" s="249"/>
      <c r="Y830" s="249"/>
      <c r="Z830" s="249"/>
      <c r="AA830" s="249"/>
      <c r="AB830" s="249"/>
      <c r="AC830" s="249"/>
      <c r="AD830" s="249"/>
    </row>
    <row r="831" spans="1:30" ht="12.9">
      <c r="A831" s="249"/>
      <c r="B831" s="249"/>
      <c r="C831" s="249"/>
      <c r="D831" s="249"/>
      <c r="E831" s="249"/>
      <c r="F831" s="249"/>
      <c r="G831" s="249"/>
      <c r="H831" s="249"/>
      <c r="I831" s="249"/>
      <c r="J831" s="249"/>
      <c r="K831" s="249"/>
      <c r="L831" s="249"/>
      <c r="M831" s="249"/>
      <c r="N831" s="249"/>
      <c r="O831" s="249"/>
      <c r="P831" s="249"/>
      <c r="Q831" s="249"/>
      <c r="R831" s="249"/>
      <c r="S831" s="249"/>
      <c r="T831" s="249"/>
      <c r="U831" s="249"/>
      <c r="V831" s="249"/>
      <c r="W831" s="249"/>
      <c r="X831" s="249"/>
      <c r="Y831" s="249"/>
      <c r="Z831" s="249"/>
      <c r="AA831" s="249"/>
      <c r="AB831" s="249"/>
      <c r="AC831" s="249"/>
      <c r="AD831" s="249"/>
    </row>
    <row r="832" spans="1:30" ht="12.9">
      <c r="A832" s="249"/>
      <c r="B832" s="249"/>
      <c r="C832" s="249"/>
      <c r="D832" s="249"/>
      <c r="E832" s="249"/>
      <c r="F832" s="249"/>
      <c r="G832" s="249"/>
      <c r="H832" s="249"/>
      <c r="I832" s="249"/>
      <c r="J832" s="249"/>
      <c r="K832" s="249"/>
      <c r="L832" s="249"/>
      <c r="M832" s="249"/>
      <c r="N832" s="249"/>
      <c r="O832" s="249"/>
      <c r="P832" s="249"/>
      <c r="Q832" s="249"/>
      <c r="R832" s="249"/>
      <c r="S832" s="249"/>
      <c r="T832" s="249"/>
      <c r="U832" s="249"/>
      <c r="V832" s="249"/>
      <c r="W832" s="249"/>
      <c r="X832" s="249"/>
      <c r="Y832" s="249"/>
      <c r="Z832" s="249"/>
      <c r="AA832" s="249"/>
      <c r="AB832" s="249"/>
      <c r="AC832" s="249"/>
      <c r="AD832" s="249"/>
    </row>
    <row r="833" spans="1:30" ht="12.9">
      <c r="A833" s="249"/>
      <c r="B833" s="249"/>
      <c r="C833" s="249"/>
      <c r="D833" s="249"/>
      <c r="E833" s="249"/>
      <c r="F833" s="249"/>
      <c r="G833" s="249"/>
      <c r="H833" s="249"/>
      <c r="I833" s="249"/>
      <c r="J833" s="249"/>
      <c r="K833" s="249"/>
      <c r="L833" s="249"/>
      <c r="M833" s="249"/>
      <c r="N833" s="249"/>
      <c r="O833" s="249"/>
      <c r="P833" s="249"/>
      <c r="Q833" s="249"/>
      <c r="R833" s="249"/>
      <c r="S833" s="249"/>
      <c r="T833" s="249"/>
      <c r="U833" s="249"/>
      <c r="V833" s="249"/>
      <c r="W833" s="249"/>
      <c r="X833" s="249"/>
      <c r="Y833" s="249"/>
      <c r="Z833" s="249"/>
      <c r="AA833" s="249"/>
      <c r="AB833" s="249"/>
      <c r="AC833" s="249"/>
      <c r="AD833" s="249"/>
    </row>
    <row r="834" spans="1:30" ht="12.9">
      <c r="A834" s="249"/>
      <c r="B834" s="249"/>
      <c r="C834" s="249"/>
      <c r="D834" s="249"/>
      <c r="E834" s="249"/>
      <c r="F834" s="249"/>
      <c r="G834" s="249"/>
      <c r="H834" s="249"/>
      <c r="I834" s="249"/>
      <c r="J834" s="249"/>
      <c r="K834" s="249"/>
      <c r="L834" s="249"/>
      <c r="M834" s="249"/>
      <c r="N834" s="249"/>
      <c r="O834" s="249"/>
      <c r="P834" s="249"/>
      <c r="Q834" s="249"/>
      <c r="R834" s="249"/>
      <c r="S834" s="249"/>
      <c r="T834" s="249"/>
      <c r="U834" s="249"/>
      <c r="V834" s="249"/>
      <c r="W834" s="249"/>
      <c r="X834" s="249"/>
      <c r="Y834" s="249"/>
      <c r="Z834" s="249"/>
      <c r="AA834" s="249"/>
      <c r="AB834" s="249"/>
      <c r="AC834" s="249"/>
      <c r="AD834" s="249"/>
    </row>
    <row r="835" spans="1:30" ht="12.9">
      <c r="A835" s="249"/>
      <c r="B835" s="249"/>
      <c r="C835" s="249"/>
      <c r="D835" s="249"/>
      <c r="E835" s="249"/>
      <c r="F835" s="249"/>
      <c r="G835" s="249"/>
      <c r="H835" s="249"/>
      <c r="I835" s="249"/>
      <c r="J835" s="249"/>
      <c r="K835" s="249"/>
      <c r="L835" s="249"/>
      <c r="M835" s="249"/>
      <c r="N835" s="249"/>
      <c r="O835" s="249"/>
      <c r="P835" s="249"/>
      <c r="Q835" s="249"/>
      <c r="R835" s="249"/>
      <c r="S835" s="249"/>
      <c r="T835" s="249"/>
      <c r="U835" s="249"/>
      <c r="V835" s="249"/>
      <c r="W835" s="249"/>
      <c r="X835" s="249"/>
      <c r="Y835" s="249"/>
      <c r="Z835" s="249"/>
      <c r="AA835" s="249"/>
      <c r="AB835" s="249"/>
      <c r="AC835" s="249"/>
      <c r="AD835" s="249"/>
    </row>
    <row r="836" spans="1:30" ht="12.9">
      <c r="A836" s="249"/>
      <c r="B836" s="249"/>
      <c r="C836" s="249"/>
      <c r="D836" s="249"/>
      <c r="E836" s="249"/>
      <c r="F836" s="249"/>
      <c r="G836" s="249"/>
      <c r="H836" s="249"/>
      <c r="I836" s="249"/>
      <c r="J836" s="249"/>
      <c r="K836" s="249"/>
      <c r="L836" s="249"/>
      <c r="M836" s="249"/>
      <c r="N836" s="249"/>
      <c r="O836" s="249"/>
      <c r="P836" s="249"/>
      <c r="Q836" s="249"/>
      <c r="R836" s="249"/>
      <c r="S836" s="249"/>
      <c r="T836" s="249"/>
      <c r="U836" s="249"/>
      <c r="V836" s="249"/>
      <c r="W836" s="249"/>
      <c r="X836" s="249"/>
      <c r="Y836" s="249"/>
      <c r="Z836" s="249"/>
      <c r="AA836" s="249"/>
      <c r="AB836" s="249"/>
      <c r="AC836" s="249"/>
      <c r="AD836" s="249"/>
    </row>
    <row r="837" spans="1:30" ht="12.9">
      <c r="A837" s="249"/>
      <c r="B837" s="249"/>
      <c r="C837" s="249"/>
      <c r="D837" s="249"/>
      <c r="E837" s="249"/>
      <c r="F837" s="249"/>
      <c r="G837" s="249"/>
      <c r="H837" s="249"/>
      <c r="I837" s="249"/>
      <c r="J837" s="249"/>
      <c r="K837" s="249"/>
      <c r="L837" s="249"/>
      <c r="M837" s="249"/>
      <c r="N837" s="249"/>
      <c r="O837" s="249"/>
      <c r="P837" s="249"/>
      <c r="Q837" s="249"/>
      <c r="R837" s="249"/>
      <c r="S837" s="249"/>
      <c r="T837" s="249"/>
      <c r="U837" s="249"/>
      <c r="V837" s="249"/>
      <c r="W837" s="249"/>
      <c r="X837" s="249"/>
      <c r="Y837" s="249"/>
      <c r="Z837" s="249"/>
      <c r="AA837" s="249"/>
      <c r="AB837" s="249"/>
      <c r="AC837" s="249"/>
      <c r="AD837" s="249"/>
    </row>
    <row r="838" spans="1:30" ht="12.9">
      <c r="A838" s="249"/>
      <c r="B838" s="249"/>
      <c r="C838" s="249"/>
      <c r="D838" s="249"/>
      <c r="E838" s="249"/>
      <c r="F838" s="249"/>
      <c r="G838" s="249"/>
      <c r="H838" s="249"/>
      <c r="I838" s="249"/>
      <c r="J838" s="249"/>
      <c r="K838" s="249"/>
      <c r="L838" s="249"/>
      <c r="M838" s="249"/>
      <c r="N838" s="249"/>
      <c r="O838" s="249"/>
      <c r="P838" s="249"/>
      <c r="Q838" s="249"/>
      <c r="R838" s="249"/>
      <c r="S838" s="249"/>
      <c r="T838" s="249"/>
      <c r="U838" s="249"/>
      <c r="V838" s="249"/>
      <c r="W838" s="249"/>
      <c r="X838" s="249"/>
      <c r="Y838" s="249"/>
      <c r="Z838" s="249"/>
      <c r="AA838" s="249"/>
      <c r="AB838" s="249"/>
      <c r="AC838" s="249"/>
      <c r="AD838" s="249"/>
    </row>
    <row r="839" spans="1:30" ht="12.9">
      <c r="A839" s="249"/>
      <c r="B839" s="249"/>
      <c r="C839" s="249"/>
      <c r="D839" s="249"/>
      <c r="E839" s="249"/>
      <c r="F839" s="249"/>
      <c r="G839" s="249"/>
      <c r="H839" s="249"/>
      <c r="I839" s="249"/>
      <c r="J839" s="249"/>
      <c r="K839" s="249"/>
      <c r="L839" s="249"/>
      <c r="M839" s="249"/>
      <c r="N839" s="249"/>
      <c r="O839" s="249"/>
      <c r="P839" s="249"/>
      <c r="Q839" s="249"/>
      <c r="R839" s="249"/>
      <c r="S839" s="249"/>
      <c r="T839" s="249"/>
      <c r="U839" s="249"/>
      <c r="V839" s="249"/>
      <c r="W839" s="249"/>
      <c r="X839" s="249"/>
      <c r="Y839" s="249"/>
      <c r="Z839" s="249"/>
      <c r="AA839" s="249"/>
      <c r="AB839" s="249"/>
      <c r="AC839" s="249"/>
      <c r="AD839" s="249"/>
    </row>
    <row r="840" spans="1:30" ht="12.9">
      <c r="A840" s="249"/>
      <c r="B840" s="249"/>
      <c r="C840" s="249"/>
      <c r="D840" s="249"/>
      <c r="E840" s="249"/>
      <c r="F840" s="249"/>
      <c r="G840" s="249"/>
      <c r="H840" s="249"/>
      <c r="I840" s="249"/>
      <c r="J840" s="249"/>
      <c r="K840" s="249"/>
      <c r="L840" s="249"/>
      <c r="M840" s="249"/>
      <c r="N840" s="249"/>
      <c r="O840" s="249"/>
      <c r="P840" s="249"/>
      <c r="Q840" s="249"/>
      <c r="R840" s="249"/>
      <c r="S840" s="249"/>
      <c r="T840" s="249"/>
      <c r="U840" s="249"/>
      <c r="V840" s="249"/>
      <c r="W840" s="249"/>
      <c r="X840" s="249"/>
      <c r="Y840" s="249"/>
      <c r="Z840" s="249"/>
      <c r="AA840" s="249"/>
      <c r="AB840" s="249"/>
      <c r="AC840" s="249"/>
      <c r="AD840" s="249"/>
    </row>
    <row r="841" spans="1:30" ht="12.9">
      <c r="A841" s="249"/>
      <c r="B841" s="249"/>
      <c r="C841" s="249"/>
      <c r="D841" s="249"/>
      <c r="E841" s="249"/>
      <c r="F841" s="249"/>
      <c r="G841" s="249"/>
      <c r="H841" s="249"/>
      <c r="I841" s="249"/>
      <c r="J841" s="249"/>
      <c r="K841" s="249"/>
      <c r="L841" s="249"/>
      <c r="M841" s="249"/>
      <c r="N841" s="249"/>
      <c r="O841" s="249"/>
      <c r="P841" s="249"/>
      <c r="Q841" s="249"/>
      <c r="R841" s="249"/>
      <c r="S841" s="249"/>
      <c r="T841" s="249"/>
      <c r="U841" s="249"/>
      <c r="V841" s="249"/>
      <c r="W841" s="249"/>
      <c r="X841" s="249"/>
      <c r="Y841" s="249"/>
      <c r="Z841" s="249"/>
      <c r="AA841" s="249"/>
      <c r="AB841" s="249"/>
      <c r="AC841" s="249"/>
      <c r="AD841" s="249"/>
    </row>
    <row r="842" spans="1:30" ht="12.9">
      <c r="A842" s="249"/>
      <c r="B842" s="249"/>
      <c r="C842" s="249"/>
      <c r="D842" s="249"/>
      <c r="E842" s="249"/>
      <c r="F842" s="249"/>
      <c r="G842" s="249"/>
      <c r="H842" s="249"/>
      <c r="I842" s="249"/>
      <c r="J842" s="249"/>
      <c r="K842" s="249"/>
      <c r="L842" s="249"/>
      <c r="M842" s="249"/>
      <c r="N842" s="249"/>
      <c r="O842" s="249"/>
      <c r="P842" s="249"/>
      <c r="Q842" s="249"/>
      <c r="R842" s="249"/>
      <c r="S842" s="249"/>
      <c r="T842" s="249"/>
      <c r="U842" s="249"/>
      <c r="V842" s="249"/>
      <c r="W842" s="249"/>
      <c r="X842" s="249"/>
      <c r="Y842" s="249"/>
      <c r="Z842" s="249"/>
      <c r="AA842" s="249"/>
      <c r="AB842" s="249"/>
      <c r="AC842" s="249"/>
      <c r="AD842" s="249"/>
    </row>
    <row r="843" spans="1:30" ht="12.9">
      <c r="A843" s="249"/>
      <c r="B843" s="249"/>
      <c r="C843" s="249"/>
      <c r="D843" s="249"/>
      <c r="E843" s="249"/>
      <c r="F843" s="249"/>
      <c r="G843" s="249"/>
      <c r="H843" s="249"/>
      <c r="I843" s="249"/>
      <c r="J843" s="249"/>
      <c r="K843" s="249"/>
      <c r="L843" s="249"/>
      <c r="M843" s="249"/>
      <c r="N843" s="249"/>
      <c r="O843" s="249"/>
      <c r="P843" s="249"/>
      <c r="Q843" s="249"/>
      <c r="R843" s="249"/>
      <c r="S843" s="249"/>
      <c r="T843" s="249"/>
      <c r="U843" s="249"/>
      <c r="V843" s="249"/>
      <c r="W843" s="249"/>
      <c r="X843" s="249"/>
      <c r="Y843" s="249"/>
      <c r="Z843" s="249"/>
      <c r="AA843" s="249"/>
      <c r="AB843" s="249"/>
      <c r="AC843" s="249"/>
      <c r="AD843" s="249"/>
    </row>
    <row r="844" spans="1:30" ht="12.9">
      <c r="A844" s="249"/>
      <c r="B844" s="249"/>
      <c r="C844" s="249"/>
      <c r="D844" s="249"/>
      <c r="E844" s="249"/>
      <c r="F844" s="249"/>
      <c r="G844" s="249"/>
      <c r="H844" s="249"/>
      <c r="I844" s="249"/>
      <c r="J844" s="249"/>
      <c r="K844" s="249"/>
      <c r="L844" s="249"/>
      <c r="M844" s="249"/>
      <c r="N844" s="249"/>
      <c r="O844" s="249"/>
      <c r="P844" s="249"/>
      <c r="Q844" s="249"/>
      <c r="R844" s="249"/>
      <c r="S844" s="249"/>
      <c r="T844" s="249"/>
      <c r="U844" s="249"/>
      <c r="V844" s="249"/>
      <c r="W844" s="249"/>
      <c r="X844" s="249"/>
      <c r="Y844" s="249"/>
      <c r="Z844" s="249"/>
      <c r="AA844" s="249"/>
      <c r="AB844" s="249"/>
      <c r="AC844" s="249"/>
      <c r="AD844" s="249"/>
    </row>
    <row r="845" spans="1:30" ht="12.9">
      <c r="A845" s="249"/>
      <c r="B845" s="249"/>
      <c r="C845" s="249"/>
      <c r="D845" s="249"/>
      <c r="E845" s="249"/>
      <c r="F845" s="249"/>
      <c r="G845" s="249"/>
      <c r="H845" s="249"/>
      <c r="I845" s="249"/>
      <c r="J845" s="249"/>
      <c r="K845" s="249"/>
      <c r="L845" s="249"/>
      <c r="M845" s="249"/>
      <c r="N845" s="249"/>
      <c r="O845" s="249"/>
      <c r="P845" s="249"/>
      <c r="Q845" s="249"/>
      <c r="R845" s="249"/>
      <c r="S845" s="249"/>
      <c r="T845" s="249"/>
      <c r="U845" s="249"/>
      <c r="V845" s="249"/>
      <c r="W845" s="249"/>
      <c r="X845" s="249"/>
      <c r="Y845" s="249"/>
      <c r="Z845" s="249"/>
      <c r="AA845" s="249"/>
      <c r="AB845" s="249"/>
      <c r="AC845" s="249"/>
      <c r="AD845" s="249"/>
    </row>
    <row r="846" spans="1:30" ht="12.9">
      <c r="A846" s="249"/>
      <c r="B846" s="249"/>
      <c r="C846" s="249"/>
      <c r="D846" s="249"/>
      <c r="E846" s="249"/>
      <c r="F846" s="249"/>
      <c r="G846" s="249"/>
      <c r="H846" s="249"/>
      <c r="I846" s="249"/>
      <c r="J846" s="249"/>
      <c r="K846" s="249"/>
      <c r="L846" s="249"/>
      <c r="M846" s="249"/>
      <c r="N846" s="249"/>
      <c r="O846" s="249"/>
      <c r="P846" s="249"/>
      <c r="Q846" s="249"/>
      <c r="R846" s="249"/>
      <c r="S846" s="249"/>
      <c r="T846" s="249"/>
      <c r="U846" s="249"/>
      <c r="V846" s="249"/>
      <c r="W846" s="249"/>
      <c r="X846" s="249"/>
      <c r="Y846" s="249"/>
      <c r="Z846" s="249"/>
      <c r="AA846" s="249"/>
      <c r="AB846" s="249"/>
      <c r="AC846" s="249"/>
      <c r="AD846" s="249"/>
    </row>
    <row r="847" spans="1:30" ht="12.9">
      <c r="A847" s="249"/>
      <c r="B847" s="249"/>
      <c r="C847" s="249"/>
      <c r="D847" s="249"/>
      <c r="E847" s="249"/>
      <c r="F847" s="249"/>
      <c r="G847" s="249"/>
      <c r="H847" s="249"/>
      <c r="I847" s="249"/>
      <c r="J847" s="249"/>
      <c r="K847" s="249"/>
      <c r="L847" s="249"/>
      <c r="M847" s="249"/>
      <c r="N847" s="249"/>
      <c r="O847" s="249"/>
      <c r="P847" s="249"/>
      <c r="Q847" s="249"/>
      <c r="R847" s="249"/>
      <c r="S847" s="249"/>
      <c r="T847" s="249"/>
      <c r="U847" s="249"/>
      <c r="V847" s="249"/>
      <c r="W847" s="249"/>
      <c r="X847" s="249"/>
      <c r="Y847" s="249"/>
      <c r="Z847" s="249"/>
      <c r="AA847" s="249"/>
      <c r="AB847" s="249"/>
      <c r="AC847" s="249"/>
      <c r="AD847" s="249"/>
    </row>
    <row r="848" spans="1:30" ht="12.9">
      <c r="A848" s="249"/>
      <c r="B848" s="249"/>
      <c r="C848" s="249"/>
      <c r="D848" s="249"/>
      <c r="E848" s="249"/>
      <c r="F848" s="249"/>
      <c r="G848" s="249"/>
      <c r="H848" s="249"/>
      <c r="I848" s="249"/>
      <c r="J848" s="249"/>
      <c r="K848" s="249"/>
      <c r="L848" s="249"/>
      <c r="M848" s="249"/>
      <c r="N848" s="249"/>
      <c r="O848" s="249"/>
      <c r="P848" s="249"/>
      <c r="Q848" s="249"/>
      <c r="R848" s="249"/>
      <c r="S848" s="249"/>
      <c r="T848" s="249"/>
      <c r="U848" s="249"/>
      <c r="V848" s="249"/>
      <c r="W848" s="249"/>
      <c r="X848" s="249"/>
      <c r="Y848" s="249"/>
      <c r="Z848" s="249"/>
      <c r="AA848" s="249"/>
      <c r="AB848" s="249"/>
      <c r="AC848" s="249"/>
      <c r="AD848" s="249"/>
    </row>
    <row r="849" spans="1:30" ht="12.9">
      <c r="A849" s="249"/>
      <c r="B849" s="249"/>
      <c r="C849" s="249"/>
      <c r="D849" s="249"/>
      <c r="E849" s="249"/>
      <c r="F849" s="249"/>
      <c r="G849" s="249"/>
      <c r="H849" s="249"/>
      <c r="I849" s="249"/>
      <c r="J849" s="249"/>
      <c r="K849" s="249"/>
      <c r="L849" s="249"/>
      <c r="M849" s="249"/>
      <c r="N849" s="249"/>
      <c r="O849" s="249"/>
      <c r="P849" s="249"/>
      <c r="Q849" s="249"/>
      <c r="R849" s="249"/>
      <c r="S849" s="249"/>
      <c r="T849" s="249"/>
      <c r="U849" s="249"/>
      <c r="V849" s="249"/>
      <c r="W849" s="249"/>
      <c r="X849" s="249"/>
      <c r="Y849" s="249"/>
      <c r="Z849" s="249"/>
      <c r="AA849" s="249"/>
      <c r="AB849" s="249"/>
      <c r="AC849" s="249"/>
      <c r="AD849" s="249"/>
    </row>
    <row r="850" spans="1:30" ht="12.9">
      <c r="A850" s="249"/>
      <c r="B850" s="249"/>
      <c r="C850" s="249"/>
      <c r="D850" s="249"/>
      <c r="E850" s="249"/>
      <c r="F850" s="249"/>
      <c r="G850" s="249"/>
      <c r="H850" s="249"/>
      <c r="I850" s="249"/>
      <c r="J850" s="249"/>
      <c r="K850" s="249"/>
      <c r="L850" s="249"/>
      <c r="M850" s="249"/>
      <c r="N850" s="249"/>
      <c r="O850" s="249"/>
      <c r="P850" s="249"/>
      <c r="Q850" s="249"/>
      <c r="R850" s="249"/>
      <c r="S850" s="249"/>
      <c r="T850" s="249"/>
      <c r="U850" s="249"/>
      <c r="V850" s="249"/>
      <c r="W850" s="249"/>
      <c r="X850" s="249"/>
      <c r="Y850" s="249"/>
      <c r="Z850" s="249"/>
      <c r="AA850" s="249"/>
      <c r="AB850" s="249"/>
      <c r="AC850" s="249"/>
      <c r="AD850" s="249"/>
    </row>
    <row r="851" spans="1:30" ht="12.9">
      <c r="A851" s="249"/>
      <c r="B851" s="249"/>
      <c r="C851" s="249"/>
      <c r="D851" s="249"/>
      <c r="E851" s="249"/>
      <c r="F851" s="249"/>
      <c r="G851" s="249"/>
      <c r="H851" s="249"/>
      <c r="I851" s="249"/>
      <c r="J851" s="249"/>
      <c r="K851" s="249"/>
      <c r="L851" s="249"/>
      <c r="M851" s="249"/>
      <c r="N851" s="249"/>
      <c r="O851" s="249"/>
      <c r="P851" s="249"/>
      <c r="Q851" s="249"/>
      <c r="R851" s="249"/>
      <c r="S851" s="249"/>
      <c r="T851" s="249"/>
      <c r="U851" s="249"/>
      <c r="V851" s="249"/>
      <c r="W851" s="249"/>
      <c r="X851" s="249"/>
      <c r="Y851" s="249"/>
      <c r="Z851" s="249"/>
      <c r="AA851" s="249"/>
      <c r="AB851" s="249"/>
      <c r="AC851" s="249"/>
      <c r="AD851" s="249"/>
    </row>
    <row r="852" spans="1:30" ht="12.9">
      <c r="A852" s="249"/>
      <c r="B852" s="249"/>
      <c r="C852" s="249"/>
      <c r="D852" s="249"/>
      <c r="E852" s="249"/>
      <c r="F852" s="249"/>
      <c r="G852" s="249"/>
      <c r="H852" s="249"/>
      <c r="I852" s="249"/>
      <c r="J852" s="249"/>
      <c r="K852" s="249"/>
      <c r="L852" s="249"/>
      <c r="M852" s="249"/>
      <c r="N852" s="249"/>
      <c r="O852" s="249"/>
      <c r="P852" s="249"/>
      <c r="Q852" s="249"/>
      <c r="R852" s="249"/>
      <c r="S852" s="249"/>
      <c r="T852" s="249"/>
      <c r="U852" s="249"/>
      <c r="V852" s="249"/>
      <c r="W852" s="249"/>
      <c r="X852" s="249"/>
      <c r="Y852" s="249"/>
      <c r="Z852" s="249"/>
      <c r="AA852" s="249"/>
      <c r="AB852" s="249"/>
      <c r="AC852" s="249"/>
      <c r="AD852" s="249"/>
    </row>
    <row r="853" spans="1:30" ht="12.9">
      <c r="A853" s="249"/>
      <c r="B853" s="249"/>
      <c r="C853" s="249"/>
      <c r="D853" s="249"/>
      <c r="E853" s="249"/>
      <c r="F853" s="249"/>
      <c r="G853" s="249"/>
      <c r="H853" s="249"/>
      <c r="I853" s="249"/>
      <c r="J853" s="249"/>
      <c r="K853" s="249"/>
      <c r="L853" s="249"/>
      <c r="M853" s="249"/>
      <c r="N853" s="249"/>
      <c r="O853" s="249"/>
      <c r="P853" s="249"/>
      <c r="Q853" s="249"/>
      <c r="R853" s="249"/>
      <c r="S853" s="249"/>
      <c r="T853" s="249"/>
      <c r="U853" s="249"/>
      <c r="V853" s="249"/>
      <c r="W853" s="249"/>
      <c r="X853" s="249"/>
      <c r="Y853" s="249"/>
      <c r="Z853" s="249"/>
      <c r="AA853" s="249"/>
      <c r="AB853" s="249"/>
      <c r="AC853" s="249"/>
      <c r="AD853" s="249"/>
    </row>
    <row r="854" spans="1:30" ht="12.9">
      <c r="A854" s="249"/>
      <c r="B854" s="249"/>
      <c r="C854" s="249"/>
      <c r="D854" s="249"/>
      <c r="E854" s="249"/>
      <c r="F854" s="249"/>
      <c r="G854" s="249"/>
      <c r="H854" s="249"/>
      <c r="I854" s="249"/>
      <c r="J854" s="249"/>
      <c r="K854" s="249"/>
      <c r="L854" s="249"/>
      <c r="M854" s="249"/>
      <c r="N854" s="249"/>
      <c r="O854" s="249"/>
      <c r="P854" s="249"/>
      <c r="Q854" s="249"/>
      <c r="R854" s="249"/>
      <c r="S854" s="249"/>
      <c r="T854" s="249"/>
      <c r="U854" s="249"/>
      <c r="V854" s="249"/>
      <c r="W854" s="249"/>
      <c r="X854" s="249"/>
      <c r="Y854" s="249"/>
      <c r="Z854" s="249"/>
      <c r="AA854" s="249"/>
      <c r="AB854" s="249"/>
      <c r="AC854" s="249"/>
      <c r="AD854" s="249"/>
    </row>
    <row r="855" spans="1:30" ht="12.9">
      <c r="A855" s="249"/>
      <c r="B855" s="249"/>
      <c r="C855" s="249"/>
      <c r="D855" s="249"/>
      <c r="E855" s="249"/>
      <c r="F855" s="249"/>
      <c r="G855" s="249"/>
      <c r="H855" s="249"/>
      <c r="I855" s="249"/>
      <c r="J855" s="249"/>
      <c r="K855" s="249"/>
      <c r="L855" s="249"/>
      <c r="M855" s="249"/>
      <c r="N855" s="249"/>
      <c r="O855" s="249"/>
      <c r="P855" s="249"/>
      <c r="Q855" s="249"/>
      <c r="R855" s="249"/>
      <c r="S855" s="249"/>
      <c r="T855" s="249"/>
      <c r="U855" s="249"/>
      <c r="V855" s="249"/>
      <c r="W855" s="249"/>
      <c r="X855" s="249"/>
      <c r="Y855" s="249"/>
      <c r="Z855" s="249"/>
      <c r="AA855" s="249"/>
      <c r="AB855" s="249"/>
      <c r="AC855" s="249"/>
      <c r="AD855" s="249"/>
    </row>
    <row r="856" spans="1:30" ht="12.9">
      <c r="A856" s="249"/>
      <c r="B856" s="249"/>
      <c r="C856" s="249"/>
      <c r="D856" s="249"/>
      <c r="E856" s="249"/>
      <c r="F856" s="249"/>
      <c r="G856" s="249"/>
      <c r="H856" s="249"/>
      <c r="I856" s="249"/>
      <c r="J856" s="249"/>
      <c r="K856" s="249"/>
      <c r="L856" s="249"/>
      <c r="M856" s="249"/>
      <c r="N856" s="249"/>
      <c r="O856" s="249"/>
      <c r="P856" s="249"/>
      <c r="Q856" s="249"/>
      <c r="R856" s="249"/>
      <c r="S856" s="249"/>
      <c r="T856" s="249"/>
      <c r="U856" s="249"/>
      <c r="V856" s="249"/>
      <c r="W856" s="249"/>
      <c r="X856" s="249"/>
      <c r="Y856" s="249"/>
      <c r="Z856" s="249"/>
      <c r="AA856" s="249"/>
      <c r="AB856" s="249"/>
      <c r="AC856" s="249"/>
      <c r="AD856" s="249"/>
    </row>
    <row r="857" spans="1:30" ht="12.9">
      <c r="A857" s="249"/>
      <c r="B857" s="249"/>
      <c r="C857" s="249"/>
      <c r="D857" s="249"/>
      <c r="E857" s="249"/>
      <c r="F857" s="249"/>
      <c r="G857" s="249"/>
      <c r="H857" s="249"/>
      <c r="I857" s="249"/>
      <c r="J857" s="249"/>
      <c r="K857" s="249"/>
      <c r="L857" s="249"/>
      <c r="M857" s="249"/>
      <c r="N857" s="249"/>
      <c r="O857" s="249"/>
      <c r="P857" s="249"/>
      <c r="Q857" s="249"/>
      <c r="R857" s="249"/>
      <c r="S857" s="249"/>
      <c r="T857" s="249"/>
      <c r="U857" s="249"/>
      <c r="V857" s="249"/>
      <c r="W857" s="249"/>
      <c r="X857" s="249"/>
      <c r="Y857" s="249"/>
      <c r="Z857" s="249"/>
      <c r="AA857" s="249"/>
      <c r="AB857" s="249"/>
      <c r="AC857" s="249"/>
      <c r="AD857" s="249"/>
    </row>
    <row r="858" spans="1:30" ht="12.9">
      <c r="A858" s="249"/>
      <c r="B858" s="249"/>
      <c r="C858" s="249"/>
      <c r="D858" s="249"/>
      <c r="E858" s="249"/>
      <c r="F858" s="249"/>
      <c r="G858" s="249"/>
      <c r="H858" s="249"/>
      <c r="I858" s="249"/>
      <c r="J858" s="249"/>
      <c r="K858" s="249"/>
      <c r="L858" s="249"/>
      <c r="M858" s="249"/>
      <c r="N858" s="249"/>
      <c r="O858" s="249"/>
      <c r="P858" s="249"/>
      <c r="Q858" s="249"/>
      <c r="R858" s="249"/>
      <c r="S858" s="249"/>
      <c r="T858" s="249"/>
      <c r="U858" s="249"/>
      <c r="V858" s="249"/>
      <c r="W858" s="249"/>
      <c r="X858" s="249"/>
      <c r="Y858" s="249"/>
      <c r="Z858" s="249"/>
      <c r="AA858" s="249"/>
      <c r="AB858" s="249"/>
      <c r="AC858" s="249"/>
      <c r="AD858" s="249"/>
    </row>
    <row r="859" spans="1:30" ht="12.9">
      <c r="A859" s="249"/>
      <c r="B859" s="249"/>
      <c r="C859" s="249"/>
      <c r="D859" s="249"/>
      <c r="E859" s="249"/>
      <c r="F859" s="249"/>
      <c r="G859" s="249"/>
      <c r="H859" s="249"/>
      <c r="I859" s="249"/>
      <c r="J859" s="249"/>
      <c r="K859" s="249"/>
      <c r="L859" s="249"/>
      <c r="M859" s="249"/>
      <c r="N859" s="249"/>
      <c r="O859" s="249"/>
      <c r="P859" s="249"/>
      <c r="Q859" s="249"/>
      <c r="R859" s="249"/>
      <c r="S859" s="249"/>
      <c r="T859" s="249"/>
      <c r="U859" s="249"/>
      <c r="V859" s="249"/>
      <c r="W859" s="249"/>
      <c r="X859" s="249"/>
      <c r="Y859" s="249"/>
      <c r="Z859" s="249"/>
      <c r="AA859" s="249"/>
      <c r="AB859" s="249"/>
      <c r="AC859" s="249"/>
      <c r="AD859" s="249"/>
    </row>
    <row r="860" spans="1:30" ht="12.9">
      <c r="A860" s="249"/>
      <c r="B860" s="249"/>
      <c r="C860" s="249"/>
      <c r="D860" s="249"/>
      <c r="E860" s="249"/>
      <c r="F860" s="249"/>
      <c r="G860" s="249"/>
      <c r="H860" s="249"/>
      <c r="I860" s="249"/>
      <c r="J860" s="249"/>
      <c r="K860" s="249"/>
      <c r="L860" s="249"/>
      <c r="M860" s="249"/>
      <c r="N860" s="249"/>
      <c r="O860" s="249"/>
      <c r="P860" s="249"/>
      <c r="Q860" s="249"/>
      <c r="R860" s="249"/>
      <c r="S860" s="249"/>
      <c r="T860" s="249"/>
      <c r="U860" s="249"/>
      <c r="V860" s="249"/>
      <c r="W860" s="249"/>
      <c r="X860" s="249"/>
      <c r="Y860" s="249"/>
      <c r="Z860" s="249"/>
      <c r="AA860" s="249"/>
      <c r="AB860" s="249"/>
      <c r="AC860" s="249"/>
      <c r="AD860" s="249"/>
    </row>
    <row r="861" spans="1:30" ht="12.9">
      <c r="A861" s="249"/>
      <c r="B861" s="249"/>
      <c r="C861" s="249"/>
      <c r="D861" s="249"/>
      <c r="E861" s="249"/>
      <c r="F861" s="249"/>
      <c r="G861" s="249"/>
      <c r="H861" s="249"/>
      <c r="I861" s="249"/>
      <c r="J861" s="249"/>
      <c r="K861" s="249"/>
      <c r="L861" s="249"/>
      <c r="M861" s="249"/>
      <c r="N861" s="249"/>
      <c r="O861" s="249"/>
      <c r="P861" s="249"/>
      <c r="Q861" s="249"/>
      <c r="R861" s="249"/>
      <c r="S861" s="249"/>
      <c r="T861" s="249"/>
      <c r="U861" s="249"/>
      <c r="V861" s="249"/>
      <c r="W861" s="249"/>
      <c r="X861" s="249"/>
      <c r="Y861" s="249"/>
      <c r="Z861" s="249"/>
      <c r="AA861" s="249"/>
      <c r="AB861" s="249"/>
      <c r="AC861" s="249"/>
      <c r="AD861" s="249"/>
    </row>
    <row r="862" spans="1:30" ht="12.9">
      <c r="A862" s="249"/>
      <c r="B862" s="249"/>
      <c r="C862" s="249"/>
      <c r="D862" s="249"/>
      <c r="E862" s="249"/>
      <c r="F862" s="249"/>
      <c r="G862" s="249"/>
      <c r="H862" s="249"/>
      <c r="I862" s="249"/>
      <c r="J862" s="249"/>
      <c r="K862" s="249"/>
      <c r="L862" s="249"/>
      <c r="M862" s="249"/>
      <c r="N862" s="249"/>
      <c r="O862" s="249"/>
      <c r="P862" s="249"/>
      <c r="Q862" s="249"/>
      <c r="R862" s="249"/>
      <c r="S862" s="249"/>
      <c r="T862" s="249"/>
      <c r="U862" s="249"/>
      <c r="V862" s="249"/>
      <c r="W862" s="249"/>
      <c r="X862" s="249"/>
      <c r="Y862" s="249"/>
      <c r="Z862" s="249"/>
      <c r="AA862" s="249"/>
      <c r="AB862" s="249"/>
      <c r="AC862" s="249"/>
      <c r="AD862" s="249"/>
    </row>
    <row r="863" spans="1:30" ht="12.9">
      <c r="A863" s="249"/>
      <c r="B863" s="249"/>
      <c r="C863" s="249"/>
      <c r="D863" s="249"/>
      <c r="E863" s="249"/>
      <c r="F863" s="249"/>
      <c r="G863" s="249"/>
      <c r="H863" s="249"/>
      <c r="I863" s="249"/>
      <c r="J863" s="249"/>
      <c r="K863" s="249"/>
      <c r="L863" s="249"/>
      <c r="M863" s="249"/>
      <c r="N863" s="249"/>
      <c r="O863" s="249"/>
      <c r="P863" s="249"/>
      <c r="Q863" s="249"/>
      <c r="R863" s="249"/>
      <c r="S863" s="249"/>
      <c r="T863" s="249"/>
      <c r="U863" s="249"/>
      <c r="V863" s="249"/>
      <c r="W863" s="249"/>
      <c r="X863" s="249"/>
      <c r="Y863" s="249"/>
      <c r="Z863" s="249"/>
      <c r="AA863" s="249"/>
      <c r="AB863" s="249"/>
      <c r="AC863" s="249"/>
      <c r="AD863" s="249"/>
    </row>
    <row r="864" spans="1:30" ht="12.9">
      <c r="A864" s="249"/>
      <c r="B864" s="249"/>
      <c r="C864" s="249"/>
      <c r="D864" s="249"/>
      <c r="E864" s="249"/>
      <c r="F864" s="249"/>
      <c r="G864" s="249"/>
      <c r="H864" s="249"/>
      <c r="I864" s="249"/>
      <c r="J864" s="249"/>
      <c r="K864" s="249"/>
      <c r="L864" s="249"/>
      <c r="M864" s="249"/>
      <c r="N864" s="249"/>
      <c r="O864" s="249"/>
      <c r="P864" s="249"/>
      <c r="Q864" s="249"/>
      <c r="R864" s="249"/>
      <c r="S864" s="249"/>
      <c r="T864" s="249"/>
      <c r="U864" s="249"/>
      <c r="V864" s="249"/>
      <c r="W864" s="249"/>
      <c r="X864" s="249"/>
      <c r="Y864" s="249"/>
      <c r="Z864" s="249"/>
      <c r="AA864" s="249"/>
      <c r="AB864" s="249"/>
      <c r="AC864" s="249"/>
      <c r="AD864" s="249"/>
    </row>
    <row r="865" spans="1:30" ht="12.9">
      <c r="A865" s="249"/>
      <c r="B865" s="249"/>
      <c r="C865" s="249"/>
      <c r="D865" s="249"/>
      <c r="E865" s="249"/>
      <c r="F865" s="249"/>
      <c r="G865" s="249"/>
      <c r="H865" s="249"/>
      <c r="I865" s="249"/>
      <c r="J865" s="249"/>
      <c r="K865" s="249"/>
      <c r="L865" s="249"/>
      <c r="M865" s="249"/>
      <c r="N865" s="249"/>
      <c r="O865" s="249"/>
      <c r="P865" s="249"/>
      <c r="Q865" s="249"/>
      <c r="R865" s="249"/>
      <c r="S865" s="249"/>
      <c r="T865" s="249"/>
      <c r="U865" s="249"/>
      <c r="V865" s="249"/>
      <c r="W865" s="249"/>
      <c r="X865" s="249"/>
      <c r="Y865" s="249"/>
      <c r="Z865" s="249"/>
      <c r="AA865" s="249"/>
      <c r="AB865" s="249"/>
      <c r="AC865" s="249"/>
      <c r="AD865" s="249"/>
    </row>
    <row r="866" spans="1:30" ht="12.9">
      <c r="A866" s="249"/>
      <c r="B866" s="249"/>
      <c r="C866" s="249"/>
      <c r="D866" s="249"/>
      <c r="E866" s="249"/>
      <c r="F866" s="249"/>
      <c r="G866" s="249"/>
      <c r="H866" s="249"/>
      <c r="I866" s="249"/>
      <c r="J866" s="249"/>
      <c r="K866" s="249"/>
      <c r="L866" s="249"/>
      <c r="M866" s="249"/>
      <c r="N866" s="249"/>
      <c r="O866" s="249"/>
      <c r="P866" s="249"/>
      <c r="Q866" s="249"/>
      <c r="R866" s="249"/>
      <c r="S866" s="249"/>
      <c r="T866" s="249"/>
      <c r="U866" s="249"/>
      <c r="V866" s="249"/>
      <c r="W866" s="249"/>
      <c r="X866" s="249"/>
      <c r="Y866" s="249"/>
      <c r="Z866" s="249"/>
      <c r="AA866" s="249"/>
      <c r="AB866" s="249"/>
      <c r="AC866" s="249"/>
      <c r="AD866" s="249"/>
    </row>
    <row r="867" spans="1:30" ht="12.9">
      <c r="A867" s="249"/>
      <c r="B867" s="249"/>
      <c r="C867" s="249"/>
      <c r="D867" s="249"/>
      <c r="E867" s="249"/>
      <c r="F867" s="249"/>
      <c r="G867" s="249"/>
      <c r="H867" s="249"/>
      <c r="I867" s="249"/>
      <c r="J867" s="249"/>
      <c r="K867" s="249"/>
      <c r="L867" s="249"/>
      <c r="M867" s="249"/>
      <c r="N867" s="249"/>
      <c r="O867" s="249"/>
      <c r="P867" s="249"/>
      <c r="Q867" s="249"/>
      <c r="R867" s="249"/>
      <c r="S867" s="249"/>
      <c r="T867" s="249"/>
      <c r="U867" s="249"/>
      <c r="V867" s="249"/>
      <c r="W867" s="249"/>
      <c r="X867" s="249"/>
      <c r="Y867" s="249"/>
      <c r="Z867" s="249"/>
      <c r="AA867" s="249"/>
      <c r="AB867" s="249"/>
      <c r="AC867" s="249"/>
      <c r="AD867" s="249"/>
    </row>
    <row r="868" spans="1:30" ht="12.9">
      <c r="A868" s="249"/>
      <c r="B868" s="249"/>
      <c r="C868" s="249"/>
      <c r="D868" s="249"/>
      <c r="E868" s="249"/>
      <c r="F868" s="249"/>
      <c r="G868" s="249"/>
      <c r="H868" s="249"/>
      <c r="I868" s="249"/>
      <c r="J868" s="249"/>
      <c r="K868" s="249"/>
      <c r="L868" s="249"/>
      <c r="M868" s="249"/>
      <c r="N868" s="249"/>
      <c r="O868" s="249"/>
      <c r="P868" s="249"/>
      <c r="Q868" s="249"/>
      <c r="R868" s="249"/>
      <c r="S868" s="249"/>
      <c r="T868" s="249"/>
      <c r="U868" s="249"/>
      <c r="V868" s="249"/>
      <c r="W868" s="249"/>
      <c r="X868" s="249"/>
      <c r="Y868" s="249"/>
      <c r="Z868" s="249"/>
      <c r="AA868" s="249"/>
      <c r="AB868" s="249"/>
      <c r="AC868" s="249"/>
      <c r="AD868" s="249"/>
    </row>
    <row r="869" spans="1:30" ht="12.9">
      <c r="A869" s="249"/>
      <c r="B869" s="249"/>
      <c r="C869" s="249"/>
      <c r="D869" s="249"/>
      <c r="E869" s="249"/>
      <c r="F869" s="249"/>
      <c r="G869" s="249"/>
      <c r="H869" s="249"/>
      <c r="I869" s="249"/>
      <c r="J869" s="249"/>
      <c r="K869" s="249"/>
      <c r="L869" s="249"/>
      <c r="M869" s="249"/>
      <c r="N869" s="249"/>
      <c r="O869" s="249"/>
      <c r="P869" s="249"/>
      <c r="Q869" s="249"/>
      <c r="R869" s="249"/>
      <c r="S869" s="249"/>
      <c r="T869" s="249"/>
      <c r="U869" s="249"/>
      <c r="V869" s="249"/>
      <c r="W869" s="249"/>
      <c r="X869" s="249"/>
      <c r="Y869" s="249"/>
      <c r="Z869" s="249"/>
      <c r="AA869" s="249"/>
      <c r="AB869" s="249"/>
      <c r="AC869" s="249"/>
      <c r="AD869" s="249"/>
    </row>
    <row r="870" spans="1:30" ht="12.9">
      <c r="A870" s="249"/>
      <c r="B870" s="249"/>
      <c r="C870" s="249"/>
      <c r="D870" s="249"/>
      <c r="E870" s="249"/>
      <c r="F870" s="249"/>
      <c r="G870" s="249"/>
      <c r="H870" s="249"/>
      <c r="I870" s="249"/>
      <c r="J870" s="249"/>
      <c r="K870" s="249"/>
      <c r="L870" s="249"/>
      <c r="M870" s="249"/>
      <c r="N870" s="249"/>
      <c r="O870" s="249"/>
      <c r="P870" s="249"/>
      <c r="Q870" s="249"/>
      <c r="R870" s="249"/>
      <c r="S870" s="249"/>
      <c r="T870" s="249"/>
      <c r="U870" s="249"/>
      <c r="V870" s="249"/>
      <c r="W870" s="249"/>
      <c r="X870" s="249"/>
      <c r="Y870" s="249"/>
      <c r="Z870" s="249"/>
      <c r="AA870" s="249"/>
      <c r="AB870" s="249"/>
      <c r="AC870" s="249"/>
      <c r="AD870" s="249"/>
    </row>
    <row r="871" spans="1:30" ht="12.9">
      <c r="A871" s="249"/>
      <c r="B871" s="249"/>
      <c r="C871" s="249"/>
      <c r="D871" s="249"/>
      <c r="E871" s="249"/>
      <c r="F871" s="249"/>
      <c r="G871" s="249"/>
      <c r="H871" s="249"/>
      <c r="I871" s="249"/>
      <c r="J871" s="249"/>
      <c r="K871" s="249"/>
      <c r="L871" s="249"/>
      <c r="M871" s="249"/>
      <c r="N871" s="249"/>
      <c r="O871" s="249"/>
      <c r="P871" s="249"/>
      <c r="Q871" s="249"/>
      <c r="R871" s="249"/>
      <c r="S871" s="249"/>
      <c r="T871" s="249"/>
      <c r="U871" s="249"/>
      <c r="V871" s="249"/>
      <c r="W871" s="249"/>
      <c r="X871" s="249"/>
      <c r="Y871" s="249"/>
      <c r="Z871" s="249"/>
      <c r="AA871" s="249"/>
      <c r="AB871" s="249"/>
      <c r="AC871" s="249"/>
      <c r="AD871" s="249"/>
    </row>
    <row r="872" spans="1:30" ht="12.9">
      <c r="A872" s="249"/>
      <c r="B872" s="249"/>
      <c r="C872" s="249"/>
      <c r="D872" s="249"/>
      <c r="E872" s="249"/>
      <c r="F872" s="249"/>
      <c r="G872" s="249"/>
      <c r="H872" s="249"/>
      <c r="I872" s="249"/>
      <c r="J872" s="249"/>
      <c r="K872" s="249"/>
      <c r="L872" s="249"/>
      <c r="M872" s="249"/>
      <c r="N872" s="249"/>
      <c r="O872" s="249"/>
      <c r="P872" s="249"/>
      <c r="Q872" s="249"/>
      <c r="R872" s="249"/>
      <c r="S872" s="249"/>
      <c r="T872" s="249"/>
      <c r="U872" s="249"/>
      <c r="V872" s="249"/>
      <c r="W872" s="249"/>
      <c r="X872" s="249"/>
      <c r="Y872" s="249"/>
      <c r="Z872" s="249"/>
      <c r="AA872" s="249"/>
      <c r="AB872" s="249"/>
      <c r="AC872" s="249"/>
      <c r="AD872" s="249"/>
    </row>
    <row r="873" spans="1:30" ht="12.9">
      <c r="A873" s="249"/>
      <c r="B873" s="249"/>
      <c r="C873" s="249"/>
      <c r="D873" s="249"/>
      <c r="E873" s="249"/>
      <c r="F873" s="249"/>
      <c r="G873" s="249"/>
      <c r="H873" s="249"/>
      <c r="I873" s="249"/>
      <c r="J873" s="249"/>
      <c r="K873" s="249"/>
      <c r="L873" s="249"/>
      <c r="M873" s="249"/>
      <c r="N873" s="249"/>
      <c r="O873" s="249"/>
      <c r="P873" s="249"/>
      <c r="Q873" s="249"/>
      <c r="R873" s="249"/>
      <c r="S873" s="249"/>
      <c r="T873" s="249"/>
      <c r="U873" s="249"/>
      <c r="V873" s="249"/>
      <c r="W873" s="249"/>
      <c r="X873" s="249"/>
      <c r="Y873" s="249"/>
      <c r="Z873" s="249"/>
      <c r="AA873" s="249"/>
      <c r="AB873" s="249"/>
      <c r="AC873" s="249"/>
      <c r="AD873" s="249"/>
    </row>
    <row r="874" spans="1:30" ht="12.9">
      <c r="A874" s="249"/>
      <c r="B874" s="249"/>
      <c r="C874" s="249"/>
      <c r="D874" s="249"/>
      <c r="E874" s="249"/>
      <c r="F874" s="249"/>
      <c r="G874" s="249"/>
      <c r="H874" s="249"/>
      <c r="I874" s="249"/>
      <c r="J874" s="249"/>
      <c r="K874" s="249"/>
      <c r="L874" s="249"/>
      <c r="M874" s="249"/>
      <c r="N874" s="249"/>
      <c r="O874" s="249"/>
      <c r="P874" s="249"/>
      <c r="Q874" s="249"/>
      <c r="R874" s="249"/>
      <c r="S874" s="249"/>
      <c r="T874" s="249"/>
      <c r="U874" s="249"/>
      <c r="V874" s="249"/>
      <c r="W874" s="249"/>
      <c r="X874" s="249"/>
      <c r="Y874" s="249"/>
      <c r="Z874" s="249"/>
      <c r="AA874" s="249"/>
      <c r="AB874" s="249"/>
      <c r="AC874" s="249"/>
      <c r="AD874" s="249"/>
    </row>
    <row r="875" spans="1:30" ht="12.9">
      <c r="A875" s="249"/>
      <c r="B875" s="249"/>
      <c r="C875" s="249"/>
      <c r="D875" s="249"/>
      <c r="E875" s="249"/>
      <c r="F875" s="249"/>
      <c r="G875" s="249"/>
      <c r="H875" s="249"/>
      <c r="I875" s="249"/>
      <c r="J875" s="249"/>
      <c r="K875" s="249"/>
      <c r="L875" s="249"/>
      <c r="M875" s="249"/>
      <c r="N875" s="249"/>
      <c r="O875" s="249"/>
      <c r="P875" s="249"/>
      <c r="Q875" s="249"/>
      <c r="R875" s="249"/>
      <c r="S875" s="249"/>
      <c r="T875" s="249"/>
      <c r="U875" s="249"/>
      <c r="V875" s="249"/>
      <c r="W875" s="249"/>
      <c r="X875" s="249"/>
      <c r="Y875" s="249"/>
      <c r="Z875" s="249"/>
      <c r="AA875" s="249"/>
      <c r="AB875" s="249"/>
      <c r="AC875" s="249"/>
      <c r="AD875" s="249"/>
    </row>
    <row r="876" spans="1:30" ht="12.9">
      <c r="A876" s="249"/>
      <c r="B876" s="249"/>
      <c r="C876" s="249"/>
      <c r="D876" s="249"/>
      <c r="E876" s="249"/>
      <c r="F876" s="249"/>
      <c r="G876" s="249"/>
      <c r="H876" s="249"/>
      <c r="I876" s="249"/>
      <c r="J876" s="249"/>
      <c r="K876" s="249"/>
      <c r="L876" s="249"/>
      <c r="M876" s="249"/>
      <c r="N876" s="249"/>
      <c r="O876" s="249"/>
      <c r="P876" s="249"/>
      <c r="Q876" s="249"/>
      <c r="R876" s="249"/>
      <c r="S876" s="249"/>
      <c r="T876" s="249"/>
      <c r="U876" s="249"/>
      <c r="V876" s="249"/>
      <c r="W876" s="249"/>
      <c r="X876" s="249"/>
      <c r="Y876" s="249"/>
      <c r="Z876" s="249"/>
      <c r="AA876" s="249"/>
      <c r="AB876" s="249"/>
      <c r="AC876" s="249"/>
      <c r="AD876" s="249"/>
    </row>
    <row r="877" spans="1:30" ht="12.9">
      <c r="A877" s="249"/>
      <c r="B877" s="249"/>
      <c r="C877" s="249"/>
      <c r="D877" s="249"/>
      <c r="E877" s="249"/>
      <c r="F877" s="249"/>
      <c r="G877" s="249"/>
      <c r="H877" s="249"/>
      <c r="I877" s="249"/>
      <c r="J877" s="249"/>
      <c r="K877" s="249"/>
      <c r="L877" s="249"/>
      <c r="M877" s="249"/>
      <c r="N877" s="249"/>
      <c r="O877" s="249"/>
      <c r="P877" s="249"/>
      <c r="Q877" s="249"/>
      <c r="R877" s="249"/>
      <c r="S877" s="249"/>
      <c r="T877" s="249"/>
      <c r="U877" s="249"/>
      <c r="V877" s="249"/>
      <c r="W877" s="249"/>
      <c r="X877" s="249"/>
      <c r="Y877" s="249"/>
      <c r="Z877" s="249"/>
      <c r="AA877" s="249"/>
      <c r="AB877" s="249"/>
      <c r="AC877" s="249"/>
      <c r="AD877" s="249"/>
    </row>
    <row r="878" spans="1:30" ht="12.9">
      <c r="A878" s="249"/>
      <c r="B878" s="249"/>
      <c r="C878" s="249"/>
      <c r="D878" s="249"/>
      <c r="E878" s="249"/>
      <c r="F878" s="249"/>
      <c r="G878" s="249"/>
      <c r="H878" s="249"/>
      <c r="I878" s="249"/>
      <c r="J878" s="249"/>
      <c r="K878" s="249"/>
      <c r="L878" s="249"/>
      <c r="M878" s="249"/>
      <c r="N878" s="249"/>
      <c r="O878" s="249"/>
      <c r="P878" s="249"/>
      <c r="Q878" s="249"/>
      <c r="R878" s="249"/>
      <c r="S878" s="249"/>
      <c r="T878" s="249"/>
      <c r="U878" s="249"/>
      <c r="V878" s="249"/>
      <c r="W878" s="249"/>
      <c r="X878" s="249"/>
      <c r="Y878" s="249"/>
      <c r="Z878" s="249"/>
      <c r="AA878" s="249"/>
      <c r="AB878" s="249"/>
      <c r="AC878" s="249"/>
      <c r="AD878" s="249"/>
    </row>
    <row r="879" spans="1:30" ht="12.9">
      <c r="A879" s="249"/>
      <c r="B879" s="249"/>
      <c r="C879" s="249"/>
      <c r="D879" s="249"/>
      <c r="E879" s="249"/>
      <c r="F879" s="249"/>
      <c r="G879" s="249"/>
      <c r="H879" s="249"/>
      <c r="I879" s="249"/>
      <c r="J879" s="249"/>
      <c r="K879" s="249"/>
      <c r="L879" s="249"/>
      <c r="M879" s="249"/>
      <c r="N879" s="249"/>
      <c r="O879" s="249"/>
      <c r="P879" s="249"/>
      <c r="Q879" s="249"/>
      <c r="R879" s="249"/>
      <c r="S879" s="249"/>
      <c r="T879" s="249"/>
      <c r="U879" s="249"/>
      <c r="V879" s="249"/>
      <c r="W879" s="249"/>
      <c r="X879" s="249"/>
      <c r="Y879" s="249"/>
      <c r="Z879" s="249"/>
      <c r="AA879" s="249"/>
      <c r="AB879" s="249"/>
      <c r="AC879" s="249"/>
      <c r="AD879" s="249"/>
    </row>
    <row r="880" spans="1:30" ht="12.9">
      <c r="A880" s="249"/>
      <c r="B880" s="249"/>
      <c r="C880" s="249"/>
      <c r="D880" s="249"/>
      <c r="E880" s="249"/>
      <c r="F880" s="249"/>
      <c r="G880" s="249"/>
      <c r="H880" s="249"/>
      <c r="I880" s="249"/>
      <c r="J880" s="249"/>
      <c r="K880" s="249"/>
      <c r="L880" s="249"/>
      <c r="M880" s="249"/>
      <c r="N880" s="249"/>
      <c r="O880" s="249"/>
      <c r="P880" s="249"/>
      <c r="Q880" s="249"/>
      <c r="R880" s="249"/>
      <c r="S880" s="249"/>
      <c r="T880" s="249"/>
      <c r="U880" s="249"/>
      <c r="V880" s="249"/>
      <c r="W880" s="249"/>
      <c r="X880" s="249"/>
      <c r="Y880" s="249"/>
      <c r="Z880" s="249"/>
      <c r="AA880" s="249"/>
      <c r="AB880" s="249"/>
      <c r="AC880" s="249"/>
      <c r="AD880" s="249"/>
    </row>
    <row r="881" spans="1:30" ht="12.9">
      <c r="A881" s="249"/>
      <c r="B881" s="249"/>
      <c r="C881" s="249"/>
      <c r="D881" s="249"/>
      <c r="E881" s="249"/>
      <c r="F881" s="249"/>
      <c r="G881" s="249"/>
      <c r="H881" s="249"/>
      <c r="I881" s="249"/>
      <c r="J881" s="249"/>
      <c r="K881" s="249"/>
      <c r="L881" s="249"/>
      <c r="M881" s="249"/>
      <c r="N881" s="249"/>
      <c r="O881" s="249"/>
      <c r="P881" s="249"/>
      <c r="Q881" s="249"/>
      <c r="R881" s="249"/>
      <c r="S881" s="249"/>
      <c r="T881" s="249"/>
      <c r="U881" s="249"/>
      <c r="V881" s="249"/>
      <c r="W881" s="249"/>
      <c r="X881" s="249"/>
      <c r="Y881" s="249"/>
      <c r="Z881" s="249"/>
      <c r="AA881" s="249"/>
      <c r="AB881" s="249"/>
      <c r="AC881" s="249"/>
      <c r="AD881" s="249"/>
    </row>
    <row r="882" spans="1:30" ht="12.9">
      <c r="A882" s="249"/>
      <c r="B882" s="249"/>
      <c r="C882" s="249"/>
      <c r="D882" s="249"/>
      <c r="E882" s="249"/>
      <c r="F882" s="249"/>
      <c r="G882" s="249"/>
      <c r="H882" s="249"/>
      <c r="I882" s="249"/>
      <c r="J882" s="249"/>
      <c r="K882" s="249"/>
      <c r="L882" s="249"/>
      <c r="M882" s="249"/>
      <c r="N882" s="249"/>
      <c r="O882" s="249"/>
      <c r="P882" s="249"/>
      <c r="Q882" s="249"/>
      <c r="R882" s="249"/>
      <c r="S882" s="249"/>
      <c r="T882" s="249"/>
      <c r="U882" s="249"/>
      <c r="V882" s="249"/>
      <c r="W882" s="249"/>
      <c r="X882" s="249"/>
      <c r="Y882" s="249"/>
      <c r="Z882" s="249"/>
      <c r="AA882" s="249"/>
      <c r="AB882" s="249"/>
      <c r="AC882" s="249"/>
      <c r="AD882" s="249"/>
    </row>
    <row r="883" spans="1:30" ht="12.9">
      <c r="A883" s="249"/>
      <c r="B883" s="249"/>
      <c r="C883" s="249"/>
      <c r="D883" s="249"/>
      <c r="E883" s="249"/>
      <c r="F883" s="249"/>
      <c r="G883" s="249"/>
      <c r="H883" s="249"/>
      <c r="I883" s="249"/>
      <c r="J883" s="249"/>
      <c r="K883" s="249"/>
      <c r="L883" s="249"/>
      <c r="M883" s="249"/>
      <c r="N883" s="249"/>
      <c r="O883" s="249"/>
      <c r="P883" s="249"/>
      <c r="Q883" s="249"/>
      <c r="R883" s="249"/>
      <c r="S883" s="249"/>
      <c r="T883" s="249"/>
      <c r="U883" s="249"/>
      <c r="V883" s="249"/>
      <c r="W883" s="249"/>
      <c r="X883" s="249"/>
      <c r="Y883" s="249"/>
      <c r="Z883" s="249"/>
      <c r="AA883" s="249"/>
      <c r="AB883" s="249"/>
      <c r="AC883" s="249"/>
      <c r="AD883" s="249"/>
    </row>
    <row r="884" spans="1:30" ht="12.9">
      <c r="A884" s="249"/>
      <c r="B884" s="249"/>
      <c r="C884" s="249"/>
      <c r="D884" s="249"/>
      <c r="E884" s="249"/>
      <c r="F884" s="249"/>
      <c r="G884" s="249"/>
      <c r="H884" s="249"/>
      <c r="I884" s="249"/>
      <c r="J884" s="249"/>
      <c r="K884" s="249"/>
      <c r="L884" s="249"/>
      <c r="M884" s="249"/>
      <c r="N884" s="249"/>
      <c r="O884" s="249"/>
      <c r="P884" s="249"/>
      <c r="Q884" s="249"/>
      <c r="R884" s="249"/>
      <c r="S884" s="249"/>
      <c r="T884" s="249"/>
      <c r="U884" s="249"/>
      <c r="V884" s="249"/>
      <c r="W884" s="249"/>
      <c r="X884" s="249"/>
      <c r="Y884" s="249"/>
      <c r="Z884" s="249"/>
      <c r="AA884" s="249"/>
      <c r="AB884" s="249"/>
      <c r="AC884" s="249"/>
      <c r="AD884" s="249"/>
    </row>
    <row r="885" spans="1:30" ht="12.9">
      <c r="A885" s="249"/>
      <c r="B885" s="249"/>
      <c r="C885" s="249"/>
      <c r="D885" s="249"/>
      <c r="E885" s="249"/>
      <c r="F885" s="249"/>
      <c r="G885" s="249"/>
      <c r="H885" s="249"/>
      <c r="I885" s="249"/>
      <c r="J885" s="249"/>
      <c r="K885" s="249"/>
      <c r="L885" s="249"/>
      <c r="M885" s="249"/>
      <c r="N885" s="249"/>
      <c r="O885" s="249"/>
      <c r="P885" s="249"/>
      <c r="Q885" s="249"/>
      <c r="R885" s="249"/>
      <c r="S885" s="249"/>
      <c r="T885" s="249"/>
      <c r="U885" s="249"/>
      <c r="V885" s="249"/>
      <c r="W885" s="249"/>
      <c r="X885" s="249"/>
      <c r="Y885" s="249"/>
      <c r="Z885" s="249"/>
      <c r="AA885" s="249"/>
      <c r="AB885" s="249"/>
      <c r="AC885" s="249"/>
      <c r="AD885" s="249"/>
    </row>
    <row r="886" spans="1:30" ht="12.9">
      <c r="A886" s="249"/>
      <c r="B886" s="249"/>
      <c r="C886" s="249"/>
      <c r="D886" s="249"/>
      <c r="E886" s="249"/>
      <c r="F886" s="249"/>
      <c r="G886" s="249"/>
      <c r="H886" s="249"/>
      <c r="I886" s="249"/>
      <c r="J886" s="249"/>
      <c r="K886" s="249"/>
      <c r="L886" s="249"/>
      <c r="M886" s="249"/>
      <c r="N886" s="249"/>
      <c r="O886" s="249"/>
      <c r="P886" s="249"/>
      <c r="Q886" s="249"/>
      <c r="R886" s="249"/>
      <c r="S886" s="249"/>
      <c r="T886" s="249"/>
      <c r="U886" s="249"/>
      <c r="V886" s="249"/>
      <c r="W886" s="249"/>
      <c r="X886" s="249"/>
      <c r="Y886" s="249"/>
      <c r="Z886" s="249"/>
      <c r="AA886" s="249"/>
      <c r="AB886" s="249"/>
      <c r="AC886" s="249"/>
      <c r="AD886" s="249"/>
    </row>
    <row r="887" spans="1:30" ht="12.9">
      <c r="A887" s="249"/>
      <c r="B887" s="249"/>
      <c r="C887" s="249"/>
      <c r="D887" s="249"/>
      <c r="E887" s="249"/>
      <c r="F887" s="249"/>
      <c r="G887" s="249"/>
      <c r="H887" s="249"/>
      <c r="I887" s="249"/>
      <c r="J887" s="249"/>
      <c r="K887" s="249"/>
      <c r="L887" s="249"/>
      <c r="M887" s="249"/>
      <c r="N887" s="249"/>
      <c r="O887" s="249"/>
      <c r="P887" s="249"/>
      <c r="Q887" s="249"/>
      <c r="R887" s="249"/>
      <c r="S887" s="249"/>
      <c r="T887" s="249"/>
      <c r="U887" s="249"/>
      <c r="V887" s="249"/>
      <c r="W887" s="249"/>
      <c r="X887" s="249"/>
      <c r="Y887" s="249"/>
      <c r="Z887" s="249"/>
      <c r="AA887" s="249"/>
      <c r="AB887" s="249"/>
      <c r="AC887" s="249"/>
      <c r="AD887" s="249"/>
    </row>
    <row r="888" spans="1:30" ht="12.9">
      <c r="A888" s="249"/>
      <c r="B888" s="249"/>
      <c r="C888" s="249"/>
      <c r="D888" s="249"/>
      <c r="E888" s="249"/>
      <c r="F888" s="249"/>
      <c r="G888" s="249"/>
      <c r="H888" s="249"/>
      <c r="I888" s="249"/>
      <c r="J888" s="249"/>
      <c r="K888" s="249"/>
      <c r="L888" s="249"/>
      <c r="M888" s="249"/>
      <c r="N888" s="249"/>
      <c r="O888" s="249"/>
      <c r="P888" s="249"/>
      <c r="Q888" s="249"/>
      <c r="R888" s="249"/>
      <c r="S888" s="249"/>
      <c r="T888" s="249"/>
      <c r="U888" s="249"/>
      <c r="V888" s="249"/>
      <c r="W888" s="249"/>
      <c r="X888" s="249"/>
      <c r="Y888" s="249"/>
      <c r="Z888" s="249"/>
      <c r="AA888" s="249"/>
      <c r="AB888" s="249"/>
      <c r="AC888" s="249"/>
      <c r="AD888" s="249"/>
    </row>
    <row r="889" spans="1:30" ht="12.9">
      <c r="A889" s="249"/>
      <c r="B889" s="249"/>
      <c r="C889" s="249"/>
      <c r="D889" s="249"/>
      <c r="E889" s="249"/>
      <c r="F889" s="249"/>
      <c r="G889" s="249"/>
      <c r="H889" s="249"/>
      <c r="I889" s="249"/>
      <c r="J889" s="249"/>
      <c r="K889" s="249"/>
      <c r="L889" s="249"/>
      <c r="M889" s="249"/>
      <c r="N889" s="249"/>
      <c r="O889" s="249"/>
      <c r="P889" s="249"/>
      <c r="Q889" s="249"/>
      <c r="R889" s="249"/>
      <c r="S889" s="249"/>
      <c r="T889" s="249"/>
      <c r="U889" s="249"/>
      <c r="V889" s="249"/>
      <c r="W889" s="249"/>
      <c r="X889" s="249"/>
      <c r="Y889" s="249"/>
      <c r="Z889" s="249"/>
      <c r="AA889" s="249"/>
      <c r="AB889" s="249"/>
      <c r="AC889" s="249"/>
      <c r="AD889" s="249"/>
    </row>
    <row r="890" spans="1:30" ht="12.9">
      <c r="A890" s="249"/>
      <c r="B890" s="249"/>
      <c r="C890" s="249"/>
      <c r="D890" s="249"/>
      <c r="E890" s="249"/>
      <c r="F890" s="249"/>
      <c r="G890" s="249"/>
      <c r="H890" s="249"/>
      <c r="I890" s="249"/>
      <c r="J890" s="249"/>
      <c r="K890" s="249"/>
      <c r="L890" s="249"/>
      <c r="M890" s="249"/>
      <c r="N890" s="249"/>
      <c r="O890" s="249"/>
      <c r="P890" s="249"/>
      <c r="Q890" s="249"/>
      <c r="R890" s="249"/>
      <c r="S890" s="249"/>
      <c r="T890" s="249"/>
      <c r="U890" s="249"/>
      <c r="V890" s="249"/>
      <c r="W890" s="249"/>
      <c r="X890" s="249"/>
      <c r="Y890" s="249"/>
      <c r="Z890" s="249"/>
      <c r="AA890" s="249"/>
      <c r="AB890" s="249"/>
      <c r="AC890" s="249"/>
      <c r="AD890" s="249"/>
    </row>
    <row r="891" spans="1:30" ht="12.9">
      <c r="A891" s="249"/>
      <c r="B891" s="249"/>
      <c r="C891" s="249"/>
      <c r="D891" s="249"/>
      <c r="E891" s="249"/>
      <c r="F891" s="249"/>
      <c r="G891" s="249"/>
      <c r="H891" s="249"/>
      <c r="I891" s="249"/>
      <c r="J891" s="249"/>
      <c r="K891" s="249"/>
      <c r="L891" s="249"/>
      <c r="M891" s="249"/>
      <c r="N891" s="249"/>
      <c r="O891" s="249"/>
      <c r="P891" s="249"/>
      <c r="Q891" s="249"/>
      <c r="R891" s="249"/>
      <c r="S891" s="249"/>
      <c r="T891" s="249"/>
      <c r="U891" s="249"/>
      <c r="V891" s="249"/>
      <c r="W891" s="249"/>
      <c r="X891" s="249"/>
      <c r="Y891" s="249"/>
      <c r="Z891" s="249"/>
      <c r="AA891" s="249"/>
      <c r="AB891" s="249"/>
      <c r="AC891" s="249"/>
      <c r="AD891" s="249"/>
    </row>
    <row r="892" spans="1:30" ht="12.9">
      <c r="A892" s="249"/>
      <c r="B892" s="249"/>
      <c r="C892" s="249"/>
      <c r="D892" s="249"/>
      <c r="E892" s="249"/>
      <c r="F892" s="249"/>
      <c r="G892" s="249"/>
      <c r="H892" s="249"/>
      <c r="I892" s="249"/>
      <c r="J892" s="249"/>
      <c r="K892" s="249"/>
      <c r="L892" s="249"/>
      <c r="M892" s="249"/>
      <c r="N892" s="249"/>
      <c r="O892" s="249"/>
      <c r="P892" s="249"/>
      <c r="Q892" s="249"/>
      <c r="R892" s="249"/>
      <c r="S892" s="249"/>
      <c r="T892" s="249"/>
      <c r="U892" s="249"/>
      <c r="V892" s="249"/>
      <c r="W892" s="249"/>
      <c r="X892" s="249"/>
      <c r="Y892" s="249"/>
      <c r="Z892" s="249"/>
      <c r="AA892" s="249"/>
      <c r="AB892" s="249"/>
      <c r="AC892" s="249"/>
      <c r="AD892" s="249"/>
    </row>
    <row r="893" spans="1:30" ht="12.9">
      <c r="A893" s="249"/>
      <c r="B893" s="249"/>
      <c r="C893" s="249"/>
      <c r="D893" s="249"/>
      <c r="E893" s="249"/>
      <c r="F893" s="249"/>
      <c r="G893" s="249"/>
      <c r="H893" s="249"/>
      <c r="I893" s="249"/>
      <c r="J893" s="249"/>
      <c r="K893" s="249"/>
      <c r="L893" s="249"/>
      <c r="M893" s="249"/>
      <c r="N893" s="249"/>
      <c r="O893" s="249"/>
      <c r="P893" s="249"/>
      <c r="Q893" s="249"/>
      <c r="R893" s="249"/>
      <c r="S893" s="249"/>
      <c r="T893" s="249"/>
      <c r="U893" s="249"/>
      <c r="V893" s="249"/>
      <c r="W893" s="249"/>
      <c r="X893" s="249"/>
      <c r="Y893" s="249"/>
      <c r="Z893" s="249"/>
      <c r="AA893" s="249"/>
      <c r="AB893" s="249"/>
      <c r="AC893" s="249"/>
      <c r="AD893" s="249"/>
    </row>
    <row r="894" spans="1:30" ht="12.9">
      <c r="A894" s="249"/>
      <c r="B894" s="249"/>
      <c r="C894" s="249"/>
      <c r="D894" s="249"/>
      <c r="E894" s="249"/>
      <c r="F894" s="249"/>
      <c r="G894" s="249"/>
      <c r="H894" s="249"/>
      <c r="I894" s="249"/>
      <c r="J894" s="249"/>
      <c r="K894" s="249"/>
      <c r="L894" s="249"/>
      <c r="M894" s="249"/>
      <c r="N894" s="249"/>
      <c r="O894" s="249"/>
      <c r="P894" s="249"/>
      <c r="Q894" s="249"/>
      <c r="R894" s="249"/>
      <c r="S894" s="249"/>
      <c r="T894" s="249"/>
      <c r="U894" s="249"/>
      <c r="V894" s="249"/>
      <c r="W894" s="249"/>
      <c r="X894" s="249"/>
      <c r="Y894" s="249"/>
      <c r="Z894" s="249"/>
      <c r="AA894" s="249"/>
      <c r="AB894" s="249"/>
      <c r="AC894" s="249"/>
      <c r="AD894" s="249"/>
    </row>
    <row r="895" spans="1:30" ht="12.9">
      <c r="A895" s="249"/>
      <c r="B895" s="249"/>
      <c r="C895" s="249"/>
      <c r="D895" s="249"/>
      <c r="E895" s="249"/>
      <c r="F895" s="249"/>
      <c r="G895" s="249"/>
      <c r="H895" s="249"/>
      <c r="I895" s="249"/>
      <c r="J895" s="249"/>
      <c r="K895" s="249"/>
      <c r="L895" s="249"/>
      <c r="M895" s="249"/>
      <c r="N895" s="249"/>
      <c r="O895" s="249"/>
      <c r="P895" s="249"/>
      <c r="Q895" s="249"/>
      <c r="R895" s="249"/>
      <c r="S895" s="249"/>
      <c r="T895" s="249"/>
      <c r="U895" s="249"/>
      <c r="V895" s="249"/>
      <c r="W895" s="249"/>
      <c r="X895" s="249"/>
      <c r="Y895" s="249"/>
      <c r="Z895" s="249"/>
      <c r="AA895" s="249"/>
      <c r="AB895" s="249"/>
      <c r="AC895" s="249"/>
      <c r="AD895" s="249"/>
    </row>
    <row r="896" spans="1:30" ht="12.9">
      <c r="A896" s="249"/>
      <c r="B896" s="249"/>
      <c r="C896" s="249"/>
      <c r="D896" s="249"/>
      <c r="E896" s="249"/>
      <c r="F896" s="249"/>
      <c r="G896" s="249"/>
      <c r="H896" s="249"/>
      <c r="I896" s="249"/>
      <c r="J896" s="249"/>
      <c r="K896" s="249"/>
      <c r="L896" s="249"/>
      <c r="M896" s="249"/>
      <c r="N896" s="249"/>
      <c r="O896" s="249"/>
      <c r="P896" s="249"/>
      <c r="Q896" s="249"/>
      <c r="R896" s="249"/>
      <c r="S896" s="249"/>
      <c r="T896" s="249"/>
      <c r="U896" s="249"/>
      <c r="V896" s="249"/>
      <c r="W896" s="249"/>
      <c r="X896" s="249"/>
      <c r="Y896" s="249"/>
      <c r="Z896" s="249"/>
      <c r="AA896" s="249"/>
      <c r="AB896" s="249"/>
      <c r="AC896" s="249"/>
      <c r="AD896" s="249"/>
    </row>
    <row r="897" spans="1:30" ht="12.9">
      <c r="A897" s="249"/>
      <c r="B897" s="249"/>
      <c r="C897" s="249"/>
      <c r="D897" s="249"/>
      <c r="E897" s="249"/>
      <c r="F897" s="249"/>
      <c r="G897" s="249"/>
      <c r="H897" s="249"/>
      <c r="I897" s="249"/>
      <c r="J897" s="249"/>
      <c r="K897" s="249"/>
      <c r="L897" s="249"/>
      <c r="M897" s="249"/>
      <c r="N897" s="249"/>
      <c r="O897" s="249"/>
      <c r="P897" s="249"/>
      <c r="Q897" s="249"/>
      <c r="R897" s="249"/>
      <c r="S897" s="249"/>
      <c r="T897" s="249"/>
      <c r="U897" s="249"/>
      <c r="V897" s="249"/>
      <c r="W897" s="249"/>
      <c r="X897" s="249"/>
      <c r="Y897" s="249"/>
      <c r="Z897" s="249"/>
      <c r="AA897" s="249"/>
      <c r="AB897" s="249"/>
      <c r="AC897" s="249"/>
      <c r="AD897" s="249"/>
    </row>
    <row r="898" spans="1:30" ht="12.9">
      <c r="A898" s="249"/>
      <c r="B898" s="249"/>
      <c r="C898" s="249"/>
      <c r="D898" s="249"/>
      <c r="E898" s="249"/>
      <c r="F898" s="249"/>
      <c r="G898" s="249"/>
      <c r="H898" s="249"/>
      <c r="I898" s="249"/>
      <c r="J898" s="249"/>
      <c r="K898" s="249"/>
      <c r="L898" s="249"/>
      <c r="M898" s="249"/>
      <c r="N898" s="249"/>
      <c r="O898" s="249"/>
      <c r="P898" s="249"/>
      <c r="Q898" s="249"/>
      <c r="R898" s="249"/>
      <c r="S898" s="249"/>
      <c r="T898" s="249"/>
      <c r="U898" s="249"/>
      <c r="V898" s="249"/>
      <c r="W898" s="249"/>
      <c r="X898" s="249"/>
      <c r="Y898" s="249"/>
      <c r="Z898" s="249"/>
      <c r="AA898" s="249"/>
      <c r="AB898" s="249"/>
      <c r="AC898" s="249"/>
      <c r="AD898" s="249"/>
    </row>
    <row r="899" spans="1:30" ht="12.9">
      <c r="A899" s="249"/>
      <c r="B899" s="249"/>
      <c r="C899" s="249"/>
      <c r="D899" s="249"/>
      <c r="E899" s="249"/>
      <c r="F899" s="249"/>
      <c r="G899" s="249"/>
      <c r="H899" s="249"/>
      <c r="I899" s="249"/>
      <c r="J899" s="249"/>
      <c r="K899" s="249"/>
      <c r="L899" s="249"/>
      <c r="M899" s="249"/>
      <c r="N899" s="249"/>
      <c r="O899" s="249"/>
      <c r="P899" s="249"/>
      <c r="Q899" s="249"/>
      <c r="R899" s="249"/>
      <c r="S899" s="249"/>
      <c r="T899" s="249"/>
      <c r="U899" s="249"/>
      <c r="V899" s="249"/>
      <c r="W899" s="249"/>
      <c r="X899" s="249"/>
      <c r="Y899" s="249"/>
      <c r="Z899" s="249"/>
      <c r="AA899" s="249"/>
      <c r="AB899" s="249"/>
      <c r="AC899" s="249"/>
      <c r="AD899" s="249"/>
    </row>
    <row r="900" spans="1:30" ht="12.9">
      <c r="A900" s="249"/>
      <c r="B900" s="249"/>
      <c r="C900" s="249"/>
      <c r="D900" s="249"/>
      <c r="E900" s="249"/>
      <c r="F900" s="249"/>
      <c r="G900" s="249"/>
      <c r="H900" s="249"/>
      <c r="I900" s="249"/>
      <c r="J900" s="249"/>
      <c r="K900" s="249"/>
      <c r="L900" s="249"/>
      <c r="M900" s="249"/>
      <c r="N900" s="249"/>
      <c r="O900" s="249"/>
      <c r="P900" s="249"/>
      <c r="Q900" s="249"/>
      <c r="R900" s="249"/>
      <c r="S900" s="249"/>
      <c r="T900" s="249"/>
      <c r="U900" s="249"/>
      <c r="V900" s="249"/>
      <c r="W900" s="249"/>
      <c r="X900" s="249"/>
      <c r="Y900" s="249"/>
      <c r="Z900" s="249"/>
      <c r="AA900" s="249"/>
      <c r="AB900" s="249"/>
      <c r="AC900" s="249"/>
      <c r="AD900" s="249"/>
    </row>
    <row r="901" spans="1:30" ht="12.9">
      <c r="A901" s="249"/>
      <c r="B901" s="249"/>
      <c r="C901" s="249"/>
      <c r="D901" s="249"/>
      <c r="E901" s="249"/>
      <c r="F901" s="249"/>
      <c r="G901" s="249"/>
      <c r="H901" s="249"/>
      <c r="I901" s="249"/>
      <c r="J901" s="249"/>
      <c r="K901" s="249"/>
      <c r="L901" s="249"/>
      <c r="M901" s="249"/>
      <c r="N901" s="249"/>
      <c r="O901" s="249"/>
      <c r="P901" s="249"/>
      <c r="Q901" s="249"/>
      <c r="R901" s="249"/>
      <c r="S901" s="249"/>
      <c r="T901" s="249"/>
      <c r="U901" s="249"/>
      <c r="V901" s="249"/>
      <c r="W901" s="249"/>
      <c r="X901" s="249"/>
      <c r="Y901" s="249"/>
      <c r="Z901" s="249"/>
      <c r="AA901" s="249"/>
      <c r="AB901" s="249"/>
      <c r="AC901" s="249"/>
      <c r="AD901" s="249"/>
    </row>
    <row r="902" spans="1:30" ht="12.9">
      <c r="A902" s="249"/>
      <c r="B902" s="249"/>
      <c r="C902" s="249"/>
      <c r="D902" s="249"/>
      <c r="E902" s="249"/>
      <c r="F902" s="249"/>
      <c r="G902" s="249"/>
      <c r="H902" s="249"/>
      <c r="I902" s="249"/>
      <c r="J902" s="249"/>
      <c r="K902" s="249"/>
      <c r="L902" s="249"/>
      <c r="M902" s="249"/>
      <c r="N902" s="249"/>
      <c r="O902" s="249"/>
      <c r="P902" s="249"/>
      <c r="Q902" s="249"/>
      <c r="R902" s="249"/>
      <c r="S902" s="249"/>
      <c r="T902" s="249"/>
      <c r="U902" s="249"/>
      <c r="V902" s="249"/>
      <c r="W902" s="249"/>
      <c r="X902" s="249"/>
      <c r="Y902" s="249"/>
      <c r="Z902" s="249"/>
      <c r="AA902" s="249"/>
      <c r="AB902" s="249"/>
      <c r="AC902" s="249"/>
      <c r="AD902" s="249"/>
    </row>
    <row r="903" spans="1:30" ht="12.9">
      <c r="A903" s="249"/>
      <c r="B903" s="249"/>
      <c r="C903" s="249"/>
      <c r="D903" s="249"/>
      <c r="E903" s="249"/>
      <c r="F903" s="249"/>
      <c r="G903" s="249"/>
      <c r="H903" s="249"/>
      <c r="I903" s="249"/>
      <c r="J903" s="249"/>
      <c r="K903" s="249"/>
      <c r="L903" s="249"/>
      <c r="M903" s="249"/>
      <c r="N903" s="249"/>
      <c r="O903" s="249"/>
      <c r="P903" s="249"/>
      <c r="Q903" s="249"/>
      <c r="R903" s="249"/>
      <c r="S903" s="249"/>
      <c r="T903" s="249"/>
      <c r="U903" s="249"/>
      <c r="V903" s="249"/>
      <c r="W903" s="249"/>
      <c r="X903" s="249"/>
      <c r="Y903" s="249"/>
      <c r="Z903" s="249"/>
      <c r="AA903" s="249"/>
      <c r="AB903" s="249"/>
      <c r="AC903" s="249"/>
      <c r="AD903" s="249"/>
    </row>
    <row r="904" spans="1:30" ht="12.9">
      <c r="A904" s="249"/>
      <c r="B904" s="249"/>
      <c r="C904" s="249"/>
      <c r="D904" s="249"/>
      <c r="E904" s="249"/>
      <c r="F904" s="249"/>
      <c r="G904" s="249"/>
      <c r="H904" s="249"/>
      <c r="I904" s="249"/>
      <c r="J904" s="249"/>
      <c r="K904" s="249"/>
      <c r="L904" s="249"/>
      <c r="M904" s="249"/>
      <c r="N904" s="249"/>
      <c r="O904" s="249"/>
      <c r="P904" s="249"/>
      <c r="Q904" s="249"/>
      <c r="R904" s="249"/>
      <c r="S904" s="249"/>
      <c r="T904" s="249"/>
      <c r="U904" s="249"/>
      <c r="V904" s="249"/>
      <c r="W904" s="249"/>
      <c r="X904" s="249"/>
      <c r="Y904" s="249"/>
      <c r="Z904" s="249"/>
      <c r="AA904" s="249"/>
      <c r="AB904" s="249"/>
      <c r="AC904" s="249"/>
      <c r="AD904" s="249"/>
    </row>
    <row r="905" spans="1:30" ht="12.9">
      <c r="A905" s="249"/>
      <c r="B905" s="249"/>
      <c r="C905" s="249"/>
      <c r="D905" s="249"/>
      <c r="E905" s="249"/>
      <c r="F905" s="249"/>
      <c r="G905" s="249"/>
      <c r="H905" s="249"/>
      <c r="I905" s="249"/>
      <c r="J905" s="249"/>
      <c r="K905" s="249"/>
      <c r="L905" s="249"/>
      <c r="M905" s="249"/>
      <c r="N905" s="249"/>
      <c r="O905" s="249"/>
      <c r="P905" s="249"/>
      <c r="Q905" s="249"/>
      <c r="R905" s="249"/>
      <c r="S905" s="249"/>
      <c r="T905" s="249"/>
      <c r="U905" s="249"/>
      <c r="V905" s="249"/>
      <c r="W905" s="249"/>
      <c r="X905" s="249"/>
      <c r="Y905" s="249"/>
      <c r="Z905" s="249"/>
      <c r="AA905" s="249"/>
      <c r="AB905" s="249"/>
      <c r="AC905" s="249"/>
      <c r="AD905" s="249"/>
    </row>
    <row r="906" spans="1:30" ht="12.9">
      <c r="A906" s="249"/>
      <c r="B906" s="249"/>
      <c r="C906" s="249"/>
      <c r="D906" s="249"/>
      <c r="E906" s="249"/>
      <c r="F906" s="249"/>
      <c r="G906" s="249"/>
      <c r="H906" s="249"/>
      <c r="I906" s="249"/>
      <c r="J906" s="249"/>
      <c r="K906" s="249"/>
      <c r="L906" s="249"/>
      <c r="M906" s="249"/>
      <c r="N906" s="249"/>
      <c r="O906" s="249"/>
      <c r="P906" s="249"/>
      <c r="Q906" s="249"/>
      <c r="R906" s="249"/>
      <c r="S906" s="249"/>
      <c r="T906" s="249"/>
      <c r="U906" s="249"/>
      <c r="V906" s="249"/>
      <c r="W906" s="249"/>
      <c r="X906" s="249"/>
      <c r="Y906" s="249"/>
      <c r="Z906" s="249"/>
      <c r="AA906" s="249"/>
      <c r="AB906" s="249"/>
      <c r="AC906" s="249"/>
      <c r="AD906" s="249"/>
    </row>
    <row r="907" spans="1:30" ht="12.9">
      <c r="A907" s="249"/>
      <c r="B907" s="249"/>
      <c r="C907" s="249"/>
      <c r="D907" s="249"/>
      <c r="E907" s="249"/>
      <c r="F907" s="249"/>
      <c r="G907" s="249"/>
      <c r="H907" s="249"/>
      <c r="I907" s="249"/>
      <c r="J907" s="249"/>
      <c r="K907" s="249"/>
      <c r="L907" s="249"/>
      <c r="M907" s="249"/>
      <c r="N907" s="249"/>
      <c r="O907" s="249"/>
      <c r="P907" s="249"/>
      <c r="Q907" s="249"/>
      <c r="R907" s="249"/>
      <c r="S907" s="249"/>
      <c r="T907" s="249"/>
      <c r="U907" s="249"/>
      <c r="V907" s="249"/>
      <c r="W907" s="249"/>
      <c r="X907" s="249"/>
      <c r="Y907" s="249"/>
      <c r="Z907" s="249"/>
      <c r="AA907" s="249"/>
      <c r="AB907" s="249"/>
      <c r="AC907" s="249"/>
      <c r="AD907" s="249"/>
    </row>
    <row r="908" spans="1:30" ht="12.9">
      <c r="A908" s="249"/>
      <c r="B908" s="249"/>
      <c r="C908" s="249"/>
      <c r="D908" s="249"/>
      <c r="E908" s="249"/>
      <c r="F908" s="249"/>
      <c r="G908" s="249"/>
      <c r="H908" s="249"/>
      <c r="I908" s="249"/>
      <c r="J908" s="249"/>
      <c r="K908" s="249"/>
      <c r="L908" s="249"/>
      <c r="M908" s="249"/>
      <c r="N908" s="249"/>
      <c r="O908" s="249"/>
      <c r="P908" s="249"/>
      <c r="Q908" s="249"/>
      <c r="R908" s="249"/>
      <c r="S908" s="249"/>
      <c r="T908" s="249"/>
      <c r="U908" s="249"/>
      <c r="V908" s="249"/>
      <c r="W908" s="249"/>
      <c r="X908" s="249"/>
      <c r="Y908" s="249"/>
      <c r="Z908" s="249"/>
      <c r="AA908" s="249"/>
      <c r="AB908" s="249"/>
      <c r="AC908" s="249"/>
      <c r="AD908" s="249"/>
    </row>
    <row r="909" spans="1:30" ht="12.9">
      <c r="A909" s="249"/>
      <c r="B909" s="249"/>
      <c r="C909" s="249"/>
      <c r="D909" s="249"/>
      <c r="E909" s="249"/>
      <c r="F909" s="249"/>
      <c r="G909" s="249"/>
      <c r="H909" s="249"/>
      <c r="I909" s="249"/>
      <c r="J909" s="249"/>
      <c r="K909" s="249"/>
      <c r="L909" s="249"/>
      <c r="M909" s="249"/>
      <c r="N909" s="249"/>
      <c r="O909" s="249"/>
      <c r="P909" s="249"/>
      <c r="Q909" s="249"/>
      <c r="R909" s="249"/>
      <c r="S909" s="249"/>
      <c r="T909" s="249"/>
      <c r="U909" s="249"/>
      <c r="V909" s="249"/>
      <c r="W909" s="249"/>
      <c r="X909" s="249"/>
      <c r="Y909" s="249"/>
      <c r="Z909" s="249"/>
      <c r="AA909" s="249"/>
      <c r="AB909" s="249"/>
      <c r="AC909" s="249"/>
      <c r="AD909" s="249"/>
    </row>
    <row r="910" spans="1:30" ht="12.9">
      <c r="A910" s="249"/>
      <c r="B910" s="249"/>
      <c r="C910" s="249"/>
      <c r="D910" s="249"/>
      <c r="E910" s="249"/>
      <c r="F910" s="249"/>
      <c r="G910" s="249"/>
      <c r="H910" s="249"/>
      <c r="I910" s="249"/>
      <c r="J910" s="249"/>
      <c r="K910" s="249"/>
      <c r="L910" s="249"/>
      <c r="M910" s="249"/>
      <c r="N910" s="249"/>
      <c r="O910" s="249"/>
      <c r="P910" s="249"/>
      <c r="Q910" s="249"/>
      <c r="R910" s="249"/>
      <c r="S910" s="249"/>
      <c r="T910" s="249"/>
      <c r="U910" s="249"/>
      <c r="V910" s="249"/>
      <c r="W910" s="249"/>
      <c r="X910" s="249"/>
      <c r="Y910" s="249"/>
      <c r="Z910" s="249"/>
      <c r="AA910" s="249"/>
      <c r="AB910" s="249"/>
      <c r="AC910" s="249"/>
      <c r="AD910" s="249"/>
    </row>
    <row r="911" spans="1:30" ht="12.9">
      <c r="A911" s="249"/>
      <c r="B911" s="249"/>
      <c r="C911" s="249"/>
      <c r="D911" s="249"/>
      <c r="E911" s="249"/>
      <c r="F911" s="249"/>
      <c r="G911" s="249"/>
      <c r="H911" s="249"/>
      <c r="I911" s="249"/>
      <c r="J911" s="249"/>
      <c r="K911" s="249"/>
      <c r="L911" s="249"/>
      <c r="M911" s="249"/>
      <c r="N911" s="249"/>
      <c r="O911" s="249"/>
      <c r="P911" s="249"/>
      <c r="Q911" s="249"/>
      <c r="R911" s="249"/>
      <c r="S911" s="249"/>
      <c r="T911" s="249"/>
      <c r="U911" s="249"/>
      <c r="V911" s="249"/>
      <c r="W911" s="249"/>
      <c r="X911" s="249"/>
      <c r="Y911" s="249"/>
      <c r="Z911" s="249"/>
      <c r="AA911" s="249"/>
      <c r="AB911" s="249"/>
      <c r="AC911" s="249"/>
      <c r="AD911" s="249"/>
    </row>
    <row r="912" spans="1:30" ht="12.9">
      <c r="A912" s="249"/>
      <c r="B912" s="249"/>
      <c r="C912" s="249"/>
      <c r="D912" s="249"/>
      <c r="E912" s="249"/>
      <c r="F912" s="249"/>
      <c r="G912" s="249"/>
      <c r="H912" s="249"/>
      <c r="I912" s="249"/>
      <c r="J912" s="249"/>
      <c r="K912" s="249"/>
      <c r="L912" s="249"/>
      <c r="M912" s="249"/>
      <c r="N912" s="249"/>
      <c r="O912" s="249"/>
      <c r="P912" s="249"/>
      <c r="Q912" s="249"/>
      <c r="R912" s="249"/>
      <c r="S912" s="249"/>
      <c r="T912" s="249"/>
      <c r="U912" s="249"/>
      <c r="V912" s="249"/>
      <c r="W912" s="249"/>
      <c r="X912" s="249"/>
      <c r="Y912" s="249"/>
      <c r="Z912" s="249"/>
      <c r="AA912" s="249"/>
      <c r="AB912" s="249"/>
      <c r="AC912" s="249"/>
      <c r="AD912" s="249"/>
    </row>
    <row r="913" spans="1:30" ht="12.9">
      <c r="A913" s="249"/>
      <c r="B913" s="249"/>
      <c r="C913" s="249"/>
      <c r="D913" s="249"/>
      <c r="E913" s="249"/>
      <c r="F913" s="249"/>
      <c r="G913" s="249"/>
      <c r="H913" s="249"/>
      <c r="I913" s="249"/>
      <c r="J913" s="249"/>
      <c r="K913" s="249"/>
      <c r="L913" s="249"/>
      <c r="M913" s="249"/>
      <c r="N913" s="249"/>
      <c r="O913" s="249"/>
      <c r="P913" s="249"/>
      <c r="Q913" s="249"/>
      <c r="R913" s="249"/>
      <c r="S913" s="249"/>
      <c r="T913" s="249"/>
      <c r="U913" s="249"/>
      <c r="V913" s="249"/>
      <c r="W913" s="249"/>
      <c r="X913" s="249"/>
      <c r="Y913" s="249"/>
      <c r="Z913" s="249"/>
      <c r="AA913" s="249"/>
      <c r="AB913" s="249"/>
      <c r="AC913" s="249"/>
      <c r="AD913" s="249"/>
    </row>
    <row r="914" spans="1:30" ht="12.9">
      <c r="A914" s="249"/>
      <c r="B914" s="249"/>
      <c r="C914" s="249"/>
      <c r="D914" s="249"/>
      <c r="E914" s="249"/>
      <c r="F914" s="249"/>
      <c r="G914" s="249"/>
      <c r="H914" s="249"/>
      <c r="I914" s="249"/>
      <c r="J914" s="249"/>
      <c r="K914" s="249"/>
      <c r="L914" s="249"/>
      <c r="M914" s="249"/>
      <c r="N914" s="249"/>
      <c r="O914" s="249"/>
      <c r="P914" s="249"/>
      <c r="Q914" s="249"/>
      <c r="R914" s="249"/>
      <c r="S914" s="249"/>
      <c r="T914" s="249"/>
      <c r="U914" s="249"/>
      <c r="V914" s="249"/>
      <c r="W914" s="249"/>
      <c r="X914" s="249"/>
      <c r="Y914" s="249"/>
      <c r="Z914" s="249"/>
      <c r="AA914" s="249"/>
      <c r="AB914" s="249"/>
      <c r="AC914" s="249"/>
      <c r="AD914" s="249"/>
    </row>
    <row r="915" spans="1:30" ht="12.9">
      <c r="A915" s="249"/>
      <c r="B915" s="249"/>
      <c r="C915" s="249"/>
      <c r="D915" s="249"/>
      <c r="E915" s="249"/>
      <c r="F915" s="249"/>
      <c r="G915" s="249"/>
      <c r="H915" s="249"/>
      <c r="I915" s="249"/>
      <c r="J915" s="249"/>
      <c r="K915" s="249"/>
      <c r="L915" s="249"/>
      <c r="M915" s="249"/>
      <c r="N915" s="249"/>
      <c r="O915" s="249"/>
      <c r="P915" s="249"/>
      <c r="Q915" s="249"/>
      <c r="R915" s="249"/>
      <c r="S915" s="249"/>
      <c r="T915" s="249"/>
      <c r="U915" s="249"/>
      <c r="V915" s="249"/>
      <c r="W915" s="249"/>
      <c r="X915" s="249"/>
      <c r="Y915" s="249"/>
      <c r="Z915" s="249"/>
      <c r="AA915" s="249"/>
      <c r="AB915" s="249"/>
      <c r="AC915" s="249"/>
      <c r="AD915" s="249"/>
    </row>
    <row r="916" spans="1:30" ht="12.9">
      <c r="A916" s="249"/>
      <c r="B916" s="249"/>
      <c r="C916" s="249"/>
      <c r="D916" s="249"/>
      <c r="E916" s="249"/>
      <c r="F916" s="249"/>
      <c r="G916" s="249"/>
      <c r="H916" s="249"/>
      <c r="I916" s="249"/>
      <c r="J916" s="249"/>
      <c r="K916" s="249"/>
      <c r="L916" s="249"/>
      <c r="M916" s="249"/>
      <c r="N916" s="249"/>
      <c r="O916" s="249"/>
      <c r="P916" s="249"/>
      <c r="Q916" s="249"/>
      <c r="R916" s="249"/>
      <c r="S916" s="249"/>
      <c r="T916" s="249"/>
      <c r="U916" s="249"/>
      <c r="V916" s="249"/>
      <c r="W916" s="249"/>
      <c r="X916" s="249"/>
      <c r="Y916" s="249"/>
      <c r="Z916" s="249"/>
      <c r="AA916" s="249"/>
      <c r="AB916" s="249"/>
      <c r="AC916" s="249"/>
      <c r="AD916" s="249"/>
    </row>
    <row r="917" spans="1:30" ht="12.9">
      <c r="A917" s="249"/>
      <c r="B917" s="249"/>
      <c r="C917" s="249"/>
      <c r="D917" s="249"/>
      <c r="E917" s="249"/>
      <c r="F917" s="249"/>
      <c r="G917" s="249"/>
      <c r="H917" s="249"/>
      <c r="I917" s="249"/>
      <c r="J917" s="249"/>
      <c r="K917" s="249"/>
      <c r="L917" s="249"/>
      <c r="M917" s="249"/>
      <c r="N917" s="249"/>
      <c r="O917" s="249"/>
      <c r="P917" s="249"/>
      <c r="Q917" s="249"/>
      <c r="R917" s="249"/>
      <c r="S917" s="249"/>
      <c r="T917" s="249"/>
      <c r="U917" s="249"/>
      <c r="V917" s="249"/>
      <c r="W917" s="249"/>
      <c r="X917" s="249"/>
      <c r="Y917" s="249"/>
      <c r="Z917" s="249"/>
      <c r="AA917" s="249"/>
      <c r="AB917" s="249"/>
      <c r="AC917" s="249"/>
      <c r="AD917" s="249"/>
    </row>
    <row r="918" spans="1:30" ht="12.9">
      <c r="A918" s="249"/>
      <c r="B918" s="249"/>
      <c r="C918" s="249"/>
      <c r="D918" s="249"/>
      <c r="E918" s="249"/>
      <c r="F918" s="249"/>
      <c r="G918" s="249"/>
      <c r="H918" s="249"/>
      <c r="I918" s="249"/>
      <c r="J918" s="249"/>
      <c r="K918" s="249"/>
      <c r="L918" s="249"/>
      <c r="M918" s="249"/>
      <c r="N918" s="249"/>
      <c r="O918" s="249"/>
      <c r="P918" s="249"/>
      <c r="Q918" s="249"/>
      <c r="R918" s="249"/>
      <c r="S918" s="249"/>
      <c r="T918" s="249"/>
      <c r="U918" s="249"/>
      <c r="V918" s="249"/>
      <c r="W918" s="249"/>
      <c r="X918" s="249"/>
      <c r="Y918" s="249"/>
      <c r="Z918" s="249"/>
      <c r="AA918" s="249"/>
      <c r="AB918" s="249"/>
      <c r="AC918" s="249"/>
      <c r="AD918" s="249"/>
    </row>
    <row r="919" spans="1:30" ht="12.9">
      <c r="A919" s="249"/>
      <c r="B919" s="249"/>
      <c r="C919" s="249"/>
      <c r="D919" s="249"/>
      <c r="E919" s="249"/>
      <c r="F919" s="249"/>
      <c r="G919" s="249"/>
      <c r="H919" s="249"/>
      <c r="I919" s="249"/>
      <c r="J919" s="249"/>
      <c r="K919" s="249"/>
      <c r="L919" s="249"/>
      <c r="M919" s="249"/>
      <c r="N919" s="249"/>
      <c r="O919" s="249"/>
      <c r="P919" s="249"/>
      <c r="Q919" s="249"/>
      <c r="R919" s="249"/>
      <c r="S919" s="249"/>
      <c r="T919" s="249"/>
      <c r="U919" s="249"/>
      <c r="V919" s="249"/>
      <c r="W919" s="249"/>
      <c r="X919" s="249"/>
      <c r="Y919" s="249"/>
      <c r="Z919" s="249"/>
      <c r="AA919" s="249"/>
      <c r="AB919" s="249"/>
      <c r="AC919" s="249"/>
      <c r="AD919" s="249"/>
    </row>
    <row r="920" spans="1:30" ht="12.9">
      <c r="A920" s="249"/>
      <c r="B920" s="249"/>
      <c r="C920" s="249"/>
      <c r="D920" s="249"/>
      <c r="E920" s="249"/>
      <c r="F920" s="249"/>
      <c r="G920" s="249"/>
      <c r="H920" s="249"/>
      <c r="I920" s="249"/>
      <c r="J920" s="249"/>
      <c r="K920" s="249"/>
      <c r="L920" s="249"/>
      <c r="M920" s="249"/>
      <c r="N920" s="249"/>
      <c r="O920" s="249"/>
      <c r="P920" s="249"/>
      <c r="Q920" s="249"/>
      <c r="R920" s="249"/>
      <c r="S920" s="249"/>
      <c r="T920" s="249"/>
      <c r="U920" s="249"/>
      <c r="V920" s="249"/>
      <c r="W920" s="249"/>
      <c r="X920" s="249"/>
      <c r="Y920" s="249"/>
      <c r="Z920" s="249"/>
      <c r="AA920" s="249"/>
      <c r="AB920" s="249"/>
      <c r="AC920" s="249"/>
      <c r="AD920" s="249"/>
    </row>
    <row r="921" spans="1:30" ht="12.9">
      <c r="A921" s="249"/>
      <c r="B921" s="249"/>
      <c r="C921" s="249"/>
      <c r="D921" s="249"/>
      <c r="E921" s="249"/>
      <c r="F921" s="249"/>
      <c r="G921" s="249"/>
      <c r="H921" s="249"/>
      <c r="I921" s="249"/>
      <c r="J921" s="249"/>
      <c r="K921" s="249"/>
      <c r="L921" s="249"/>
      <c r="M921" s="249"/>
      <c r="N921" s="249"/>
      <c r="O921" s="249"/>
      <c r="P921" s="249"/>
      <c r="Q921" s="249"/>
      <c r="R921" s="249"/>
      <c r="S921" s="249"/>
      <c r="T921" s="249"/>
      <c r="U921" s="249"/>
      <c r="V921" s="249"/>
      <c r="W921" s="249"/>
      <c r="X921" s="249"/>
      <c r="Y921" s="249"/>
      <c r="Z921" s="249"/>
      <c r="AA921" s="249"/>
      <c r="AB921" s="249"/>
      <c r="AC921" s="249"/>
      <c r="AD921" s="249"/>
    </row>
    <row r="922" spans="1:30" ht="12.9">
      <c r="A922" s="249"/>
      <c r="B922" s="249"/>
      <c r="C922" s="249"/>
      <c r="D922" s="249"/>
      <c r="E922" s="249"/>
      <c r="F922" s="249"/>
      <c r="G922" s="249"/>
      <c r="H922" s="249"/>
      <c r="I922" s="249"/>
      <c r="J922" s="249"/>
      <c r="K922" s="249"/>
      <c r="L922" s="249"/>
      <c r="M922" s="249"/>
      <c r="N922" s="249"/>
      <c r="O922" s="249"/>
      <c r="P922" s="249"/>
      <c r="Q922" s="249"/>
      <c r="R922" s="249"/>
      <c r="S922" s="249"/>
      <c r="T922" s="249"/>
      <c r="U922" s="249"/>
      <c r="V922" s="249"/>
      <c r="W922" s="249"/>
      <c r="X922" s="249"/>
      <c r="Y922" s="249"/>
      <c r="Z922" s="249"/>
      <c r="AA922" s="249"/>
      <c r="AB922" s="249"/>
      <c r="AC922" s="249"/>
      <c r="AD922" s="249"/>
    </row>
    <row r="923" spans="1:30" ht="12.9">
      <c r="A923" s="249"/>
      <c r="B923" s="249"/>
      <c r="C923" s="249"/>
      <c r="D923" s="249"/>
      <c r="E923" s="249"/>
      <c r="F923" s="249"/>
      <c r="G923" s="249"/>
      <c r="H923" s="249"/>
      <c r="I923" s="249"/>
      <c r="J923" s="249"/>
      <c r="K923" s="249"/>
      <c r="L923" s="249"/>
      <c r="M923" s="249"/>
      <c r="N923" s="249"/>
      <c r="O923" s="249"/>
      <c r="P923" s="249"/>
      <c r="Q923" s="249"/>
      <c r="R923" s="249"/>
      <c r="S923" s="249"/>
      <c r="T923" s="249"/>
      <c r="U923" s="249"/>
      <c r="V923" s="249"/>
      <c r="W923" s="249"/>
      <c r="X923" s="249"/>
      <c r="Y923" s="249"/>
      <c r="Z923" s="249"/>
      <c r="AA923" s="249"/>
      <c r="AB923" s="249"/>
      <c r="AC923" s="249"/>
      <c r="AD923" s="249"/>
    </row>
    <row r="924" spans="1:30" ht="12.9">
      <c r="A924" s="249"/>
      <c r="B924" s="249"/>
      <c r="C924" s="249"/>
      <c r="D924" s="249"/>
      <c r="E924" s="249"/>
      <c r="F924" s="249"/>
      <c r="G924" s="249"/>
      <c r="H924" s="249"/>
      <c r="I924" s="249"/>
      <c r="J924" s="249"/>
      <c r="K924" s="249"/>
      <c r="L924" s="249"/>
      <c r="M924" s="249"/>
      <c r="N924" s="249"/>
      <c r="O924" s="249"/>
      <c r="P924" s="249"/>
      <c r="Q924" s="249"/>
      <c r="R924" s="249"/>
      <c r="S924" s="249"/>
      <c r="T924" s="249"/>
      <c r="U924" s="249"/>
      <c r="V924" s="249"/>
      <c r="W924" s="249"/>
      <c r="X924" s="249"/>
      <c r="Y924" s="249"/>
      <c r="Z924" s="249"/>
      <c r="AA924" s="249"/>
      <c r="AB924" s="249"/>
      <c r="AC924" s="249"/>
      <c r="AD924" s="249"/>
    </row>
    <row r="925" spans="1:30" ht="12.9">
      <c r="A925" s="249"/>
      <c r="B925" s="249"/>
      <c r="C925" s="249"/>
      <c r="D925" s="249"/>
      <c r="E925" s="249"/>
      <c r="F925" s="249"/>
      <c r="G925" s="249"/>
      <c r="H925" s="249"/>
      <c r="I925" s="249"/>
      <c r="J925" s="249"/>
      <c r="K925" s="249"/>
      <c r="L925" s="249"/>
      <c r="M925" s="249"/>
      <c r="N925" s="249"/>
      <c r="O925" s="249"/>
      <c r="P925" s="249"/>
      <c r="Q925" s="249"/>
      <c r="R925" s="249"/>
      <c r="S925" s="249"/>
      <c r="T925" s="249"/>
      <c r="U925" s="249"/>
      <c r="V925" s="249"/>
      <c r="W925" s="249"/>
      <c r="X925" s="249"/>
      <c r="Y925" s="249"/>
      <c r="Z925" s="249"/>
      <c r="AA925" s="249"/>
      <c r="AB925" s="249"/>
      <c r="AC925" s="249"/>
      <c r="AD925" s="249"/>
    </row>
    <row r="926" spans="1:30" ht="12.9">
      <c r="A926" s="249"/>
      <c r="B926" s="249"/>
      <c r="C926" s="249"/>
      <c r="D926" s="249"/>
      <c r="E926" s="249"/>
      <c r="F926" s="249"/>
      <c r="G926" s="249"/>
      <c r="H926" s="249"/>
      <c r="I926" s="249"/>
      <c r="J926" s="249"/>
      <c r="K926" s="249"/>
      <c r="L926" s="249"/>
      <c r="M926" s="249"/>
      <c r="N926" s="249"/>
      <c r="O926" s="249"/>
      <c r="P926" s="249"/>
      <c r="Q926" s="249"/>
      <c r="R926" s="249"/>
      <c r="S926" s="249"/>
      <c r="T926" s="249"/>
      <c r="U926" s="249"/>
      <c r="V926" s="249"/>
      <c r="W926" s="249"/>
      <c r="X926" s="249"/>
      <c r="Y926" s="249"/>
      <c r="Z926" s="249"/>
      <c r="AA926" s="249"/>
      <c r="AB926" s="249"/>
      <c r="AC926" s="249"/>
      <c r="AD926" s="249"/>
    </row>
    <row r="927" spans="1:30" ht="12.9">
      <c r="A927" s="249"/>
      <c r="B927" s="249"/>
      <c r="C927" s="249"/>
      <c r="D927" s="249"/>
      <c r="E927" s="249"/>
      <c r="F927" s="249"/>
      <c r="G927" s="249"/>
      <c r="H927" s="249"/>
      <c r="I927" s="249"/>
      <c r="J927" s="249"/>
      <c r="K927" s="249"/>
      <c r="L927" s="249"/>
      <c r="M927" s="249"/>
      <c r="N927" s="249"/>
      <c r="O927" s="249"/>
      <c r="P927" s="249"/>
      <c r="Q927" s="249"/>
      <c r="R927" s="249"/>
      <c r="S927" s="249"/>
      <c r="T927" s="249"/>
      <c r="U927" s="249"/>
      <c r="V927" s="249"/>
      <c r="W927" s="249"/>
      <c r="X927" s="249"/>
      <c r="Y927" s="249"/>
      <c r="Z927" s="249"/>
      <c r="AA927" s="249"/>
      <c r="AB927" s="249"/>
      <c r="AC927" s="249"/>
      <c r="AD927" s="249"/>
    </row>
    <row r="928" spans="1:30" ht="12.9">
      <c r="A928" s="249"/>
      <c r="B928" s="249"/>
      <c r="C928" s="249"/>
      <c r="D928" s="249"/>
      <c r="E928" s="249"/>
      <c r="F928" s="249"/>
      <c r="G928" s="249"/>
      <c r="H928" s="249"/>
      <c r="I928" s="249"/>
      <c r="J928" s="249"/>
      <c r="K928" s="249"/>
      <c r="L928" s="249"/>
      <c r="M928" s="249"/>
      <c r="N928" s="249"/>
      <c r="O928" s="249"/>
      <c r="P928" s="249"/>
      <c r="Q928" s="249"/>
      <c r="R928" s="249"/>
      <c r="S928" s="249"/>
      <c r="T928" s="249"/>
      <c r="U928" s="249"/>
      <c r="V928" s="249"/>
      <c r="W928" s="249"/>
      <c r="X928" s="249"/>
      <c r="Y928" s="249"/>
      <c r="Z928" s="249"/>
      <c r="AA928" s="249"/>
      <c r="AB928" s="249"/>
      <c r="AC928" s="249"/>
      <c r="AD928" s="249"/>
    </row>
    <row r="929" spans="1:30" ht="12.9">
      <c r="A929" s="249"/>
      <c r="B929" s="249"/>
      <c r="C929" s="249"/>
      <c r="D929" s="249"/>
      <c r="E929" s="249"/>
      <c r="F929" s="249"/>
      <c r="G929" s="249"/>
      <c r="H929" s="249"/>
      <c r="I929" s="249"/>
      <c r="J929" s="249"/>
      <c r="K929" s="249"/>
      <c r="L929" s="249"/>
      <c r="M929" s="249"/>
      <c r="N929" s="249"/>
      <c r="O929" s="249"/>
      <c r="P929" s="249"/>
      <c r="Q929" s="249"/>
      <c r="R929" s="249"/>
      <c r="S929" s="249"/>
      <c r="T929" s="249"/>
      <c r="U929" s="249"/>
      <c r="V929" s="249"/>
      <c r="W929" s="249"/>
      <c r="X929" s="249"/>
      <c r="Y929" s="249"/>
      <c r="Z929" s="249"/>
      <c r="AA929" s="249"/>
      <c r="AB929" s="249"/>
      <c r="AC929" s="249"/>
      <c r="AD929" s="249"/>
    </row>
    <row r="930" spans="1:30" ht="12.9">
      <c r="A930" s="249"/>
      <c r="B930" s="249"/>
      <c r="C930" s="249"/>
      <c r="D930" s="249"/>
      <c r="E930" s="249"/>
      <c r="F930" s="249"/>
      <c r="G930" s="249"/>
      <c r="H930" s="249"/>
      <c r="I930" s="249"/>
      <c r="J930" s="249"/>
      <c r="K930" s="249"/>
      <c r="L930" s="249"/>
      <c r="M930" s="249"/>
      <c r="N930" s="249"/>
      <c r="O930" s="249"/>
      <c r="P930" s="249"/>
      <c r="Q930" s="249"/>
      <c r="R930" s="249"/>
      <c r="S930" s="249"/>
      <c r="T930" s="249"/>
      <c r="U930" s="249"/>
      <c r="V930" s="249"/>
      <c r="W930" s="249"/>
      <c r="X930" s="249"/>
      <c r="Y930" s="249"/>
      <c r="Z930" s="249"/>
      <c r="AA930" s="249"/>
      <c r="AB930" s="249"/>
      <c r="AC930" s="249"/>
      <c r="AD930" s="249"/>
    </row>
    <row r="931" spans="1:30" ht="12.9">
      <c r="A931" s="249"/>
      <c r="B931" s="249"/>
      <c r="C931" s="249"/>
      <c r="D931" s="249"/>
      <c r="E931" s="249"/>
      <c r="F931" s="249"/>
      <c r="G931" s="249"/>
      <c r="H931" s="249"/>
      <c r="I931" s="249"/>
      <c r="J931" s="249"/>
      <c r="K931" s="249"/>
      <c r="L931" s="249"/>
      <c r="M931" s="249"/>
      <c r="N931" s="249"/>
      <c r="O931" s="249"/>
      <c r="P931" s="249"/>
      <c r="Q931" s="249"/>
      <c r="R931" s="249"/>
      <c r="S931" s="249"/>
      <c r="T931" s="249"/>
      <c r="U931" s="249"/>
      <c r="V931" s="249"/>
      <c r="W931" s="249"/>
      <c r="X931" s="249"/>
      <c r="Y931" s="249"/>
      <c r="Z931" s="249"/>
      <c r="AA931" s="249"/>
      <c r="AB931" s="249"/>
      <c r="AC931" s="249"/>
      <c r="AD931" s="249"/>
    </row>
    <row r="932" spans="1:30" ht="12.9">
      <c r="A932" s="249"/>
      <c r="B932" s="249"/>
      <c r="C932" s="249"/>
      <c r="D932" s="249"/>
      <c r="E932" s="249"/>
      <c r="F932" s="249"/>
      <c r="G932" s="249"/>
      <c r="H932" s="249"/>
      <c r="I932" s="249"/>
      <c r="J932" s="249"/>
      <c r="K932" s="249"/>
      <c r="L932" s="249"/>
      <c r="M932" s="249"/>
      <c r="N932" s="249"/>
      <c r="O932" s="249"/>
      <c r="P932" s="249"/>
      <c r="Q932" s="249"/>
      <c r="R932" s="249"/>
      <c r="S932" s="249"/>
      <c r="T932" s="249"/>
      <c r="U932" s="249"/>
      <c r="V932" s="249"/>
      <c r="W932" s="249"/>
      <c r="X932" s="249"/>
      <c r="Y932" s="249"/>
      <c r="Z932" s="249"/>
      <c r="AA932" s="249"/>
      <c r="AB932" s="249"/>
      <c r="AC932" s="249"/>
      <c r="AD932" s="249"/>
    </row>
    <row r="933" spans="1:30" ht="12.9">
      <c r="A933" s="249"/>
      <c r="B933" s="249"/>
      <c r="C933" s="249"/>
      <c r="D933" s="249"/>
      <c r="E933" s="249"/>
      <c r="F933" s="249"/>
      <c r="G933" s="249"/>
      <c r="H933" s="249"/>
      <c r="I933" s="249"/>
      <c r="J933" s="249"/>
      <c r="K933" s="249"/>
      <c r="L933" s="249"/>
      <c r="M933" s="249"/>
      <c r="N933" s="249"/>
      <c r="O933" s="249"/>
      <c r="P933" s="249"/>
      <c r="Q933" s="249"/>
      <c r="R933" s="249"/>
      <c r="S933" s="249"/>
      <c r="T933" s="249"/>
      <c r="U933" s="249"/>
      <c r="V933" s="249"/>
      <c r="W933" s="249"/>
      <c r="X933" s="249"/>
      <c r="Y933" s="249"/>
      <c r="Z933" s="249"/>
      <c r="AA933" s="249"/>
      <c r="AB933" s="249"/>
      <c r="AC933" s="249"/>
      <c r="AD933" s="249"/>
    </row>
    <row r="934" spans="1:30" ht="12.9">
      <c r="A934" s="249"/>
      <c r="B934" s="249"/>
      <c r="C934" s="249"/>
      <c r="D934" s="249"/>
      <c r="E934" s="249"/>
      <c r="F934" s="249"/>
      <c r="G934" s="249"/>
      <c r="H934" s="249"/>
      <c r="I934" s="249"/>
      <c r="J934" s="249"/>
      <c r="K934" s="249"/>
      <c r="L934" s="249"/>
      <c r="M934" s="249"/>
      <c r="N934" s="249"/>
      <c r="O934" s="249"/>
      <c r="P934" s="249"/>
      <c r="Q934" s="249"/>
      <c r="R934" s="249"/>
      <c r="S934" s="249"/>
      <c r="T934" s="249"/>
      <c r="U934" s="249"/>
      <c r="V934" s="249"/>
      <c r="W934" s="249"/>
      <c r="X934" s="249"/>
      <c r="Y934" s="249"/>
      <c r="Z934" s="249"/>
      <c r="AA934" s="249"/>
      <c r="AB934" s="249"/>
      <c r="AC934" s="249"/>
      <c r="AD934" s="249"/>
    </row>
    <row r="935" spans="1:30" ht="12.9">
      <c r="A935" s="249"/>
      <c r="B935" s="249"/>
      <c r="C935" s="249"/>
      <c r="D935" s="249"/>
      <c r="E935" s="249"/>
      <c r="F935" s="249"/>
      <c r="G935" s="249"/>
      <c r="H935" s="249"/>
      <c r="I935" s="249"/>
      <c r="J935" s="249"/>
      <c r="K935" s="249"/>
      <c r="L935" s="249"/>
      <c r="M935" s="249"/>
      <c r="N935" s="249"/>
      <c r="O935" s="249"/>
      <c r="P935" s="249"/>
      <c r="Q935" s="249"/>
      <c r="R935" s="249"/>
      <c r="S935" s="249"/>
      <c r="T935" s="249"/>
      <c r="U935" s="249"/>
      <c r="V935" s="249"/>
      <c r="W935" s="249"/>
      <c r="X935" s="249"/>
      <c r="Y935" s="249"/>
      <c r="Z935" s="249"/>
      <c r="AA935" s="249"/>
      <c r="AB935" s="249"/>
      <c r="AC935" s="249"/>
      <c r="AD935" s="249"/>
    </row>
    <row r="936" spans="1:30" ht="12.9">
      <c r="A936" s="249"/>
      <c r="B936" s="249"/>
      <c r="C936" s="249"/>
      <c r="D936" s="249"/>
      <c r="E936" s="249"/>
      <c r="F936" s="249"/>
      <c r="G936" s="249"/>
      <c r="H936" s="249"/>
      <c r="I936" s="249"/>
      <c r="J936" s="249"/>
      <c r="K936" s="249"/>
      <c r="L936" s="249"/>
      <c r="M936" s="249"/>
      <c r="N936" s="249"/>
      <c r="O936" s="249"/>
      <c r="P936" s="249"/>
      <c r="Q936" s="249"/>
      <c r="R936" s="249"/>
      <c r="S936" s="249"/>
      <c r="T936" s="249"/>
      <c r="U936" s="249"/>
      <c r="V936" s="249"/>
      <c r="W936" s="249"/>
      <c r="X936" s="249"/>
      <c r="Y936" s="249"/>
      <c r="Z936" s="249"/>
      <c r="AA936" s="249"/>
      <c r="AB936" s="249"/>
      <c r="AC936" s="249"/>
      <c r="AD936" s="249"/>
    </row>
    <row r="937" spans="1:30" ht="12.9">
      <c r="A937" s="249"/>
      <c r="B937" s="249"/>
      <c r="C937" s="249"/>
      <c r="D937" s="249"/>
      <c r="E937" s="249"/>
      <c r="F937" s="249"/>
      <c r="G937" s="249"/>
      <c r="H937" s="249"/>
      <c r="I937" s="249"/>
      <c r="J937" s="249"/>
      <c r="K937" s="249"/>
      <c r="L937" s="249"/>
      <c r="M937" s="249"/>
      <c r="N937" s="249"/>
      <c r="O937" s="249"/>
      <c r="P937" s="249"/>
      <c r="Q937" s="249"/>
      <c r="R937" s="249"/>
      <c r="S937" s="249"/>
      <c r="T937" s="249"/>
      <c r="U937" s="249"/>
      <c r="V937" s="249"/>
      <c r="W937" s="249"/>
      <c r="X937" s="249"/>
      <c r="Y937" s="249"/>
      <c r="Z937" s="249"/>
      <c r="AA937" s="249"/>
      <c r="AB937" s="249"/>
      <c r="AC937" s="249"/>
      <c r="AD937" s="249"/>
    </row>
    <row r="938" spans="1:30" ht="12.9">
      <c r="A938" s="249"/>
      <c r="B938" s="249"/>
      <c r="C938" s="249"/>
      <c r="D938" s="249"/>
      <c r="E938" s="249"/>
      <c r="F938" s="249"/>
      <c r="G938" s="249"/>
      <c r="H938" s="249"/>
      <c r="I938" s="249"/>
      <c r="J938" s="249"/>
      <c r="K938" s="249"/>
      <c r="L938" s="249"/>
      <c r="M938" s="249"/>
      <c r="N938" s="249"/>
      <c r="O938" s="249"/>
      <c r="P938" s="249"/>
      <c r="Q938" s="249"/>
      <c r="R938" s="249"/>
      <c r="S938" s="249"/>
      <c r="T938" s="249"/>
      <c r="U938" s="249"/>
      <c r="V938" s="249"/>
      <c r="W938" s="249"/>
      <c r="X938" s="249"/>
      <c r="Y938" s="249"/>
      <c r="Z938" s="249"/>
      <c r="AA938" s="249"/>
      <c r="AB938" s="249"/>
      <c r="AC938" s="249"/>
      <c r="AD938" s="249"/>
    </row>
    <row r="939" spans="1:30" ht="12.9">
      <c r="A939" s="249"/>
      <c r="B939" s="249"/>
      <c r="C939" s="249"/>
      <c r="D939" s="249"/>
      <c r="E939" s="249"/>
      <c r="F939" s="249"/>
      <c r="G939" s="249"/>
      <c r="H939" s="249"/>
      <c r="I939" s="249"/>
      <c r="J939" s="249"/>
      <c r="K939" s="249"/>
      <c r="L939" s="249"/>
      <c r="M939" s="249"/>
      <c r="N939" s="249"/>
      <c r="O939" s="249"/>
      <c r="P939" s="249"/>
      <c r="Q939" s="249"/>
      <c r="R939" s="249"/>
      <c r="S939" s="249"/>
      <c r="T939" s="249"/>
      <c r="U939" s="249"/>
      <c r="V939" s="249"/>
      <c r="W939" s="249"/>
      <c r="X939" s="249"/>
      <c r="Y939" s="249"/>
      <c r="Z939" s="249"/>
      <c r="AA939" s="249"/>
      <c r="AB939" s="249"/>
      <c r="AC939" s="249"/>
      <c r="AD939" s="249"/>
    </row>
    <row r="940" spans="1:30" ht="12.9">
      <c r="A940" s="249"/>
      <c r="B940" s="249"/>
      <c r="C940" s="249"/>
      <c r="D940" s="249"/>
      <c r="E940" s="249"/>
      <c r="F940" s="249"/>
      <c r="G940" s="249"/>
      <c r="H940" s="249"/>
      <c r="I940" s="249"/>
      <c r="J940" s="249"/>
      <c r="K940" s="249"/>
      <c r="L940" s="249"/>
      <c r="M940" s="249"/>
      <c r="N940" s="249"/>
      <c r="O940" s="249"/>
      <c r="P940" s="249"/>
      <c r="Q940" s="249"/>
      <c r="R940" s="249"/>
      <c r="S940" s="249"/>
      <c r="T940" s="249"/>
      <c r="U940" s="249"/>
      <c r="V940" s="249"/>
      <c r="W940" s="249"/>
      <c r="X940" s="249"/>
      <c r="Y940" s="249"/>
      <c r="Z940" s="249"/>
      <c r="AA940" s="249"/>
      <c r="AB940" s="249"/>
      <c r="AC940" s="249"/>
      <c r="AD940" s="249"/>
    </row>
    <row r="941" spans="1:30" ht="12.9">
      <c r="A941" s="249"/>
      <c r="B941" s="249"/>
      <c r="C941" s="249"/>
      <c r="D941" s="249"/>
      <c r="E941" s="249"/>
      <c r="F941" s="249"/>
      <c r="G941" s="249"/>
      <c r="H941" s="249"/>
      <c r="I941" s="249"/>
      <c r="J941" s="249"/>
      <c r="K941" s="249"/>
      <c r="L941" s="249"/>
      <c r="M941" s="249"/>
      <c r="N941" s="249"/>
      <c r="O941" s="249"/>
      <c r="P941" s="249"/>
      <c r="Q941" s="249"/>
      <c r="R941" s="249"/>
      <c r="S941" s="249"/>
      <c r="T941" s="249"/>
      <c r="U941" s="249"/>
      <c r="V941" s="249"/>
      <c r="W941" s="249"/>
      <c r="X941" s="249"/>
      <c r="Y941" s="249"/>
      <c r="Z941" s="249"/>
      <c r="AA941" s="249"/>
      <c r="AB941" s="249"/>
      <c r="AC941" s="249"/>
      <c r="AD941" s="249"/>
    </row>
    <row r="942" spans="1:30" ht="12.9">
      <c r="A942" s="249"/>
      <c r="B942" s="249"/>
      <c r="C942" s="249"/>
      <c r="D942" s="249"/>
      <c r="E942" s="249"/>
      <c r="F942" s="249"/>
      <c r="G942" s="249"/>
      <c r="H942" s="249"/>
      <c r="I942" s="249"/>
      <c r="J942" s="249"/>
      <c r="K942" s="249"/>
      <c r="L942" s="249"/>
      <c r="M942" s="249"/>
      <c r="N942" s="249"/>
      <c r="O942" s="249"/>
      <c r="P942" s="249"/>
      <c r="Q942" s="249"/>
      <c r="R942" s="249"/>
      <c r="S942" s="249"/>
      <c r="T942" s="249"/>
      <c r="U942" s="249"/>
      <c r="V942" s="249"/>
      <c r="W942" s="249"/>
      <c r="X942" s="249"/>
      <c r="Y942" s="249"/>
      <c r="Z942" s="249"/>
      <c r="AA942" s="249"/>
      <c r="AB942" s="249"/>
      <c r="AC942" s="249"/>
      <c r="AD942" s="249"/>
    </row>
    <row r="943" spans="1:30" ht="12.9">
      <c r="A943" s="249"/>
      <c r="B943" s="249"/>
      <c r="C943" s="249"/>
      <c r="D943" s="249"/>
      <c r="E943" s="249"/>
      <c r="F943" s="249"/>
      <c r="G943" s="249"/>
      <c r="H943" s="249"/>
      <c r="I943" s="249"/>
      <c r="J943" s="249"/>
      <c r="K943" s="249"/>
      <c r="L943" s="249"/>
      <c r="M943" s="249"/>
      <c r="N943" s="249"/>
      <c r="O943" s="249"/>
      <c r="P943" s="249"/>
      <c r="Q943" s="249"/>
      <c r="R943" s="249"/>
      <c r="S943" s="249"/>
      <c r="T943" s="249"/>
      <c r="U943" s="249"/>
      <c r="V943" s="249"/>
      <c r="W943" s="249"/>
      <c r="X943" s="249"/>
      <c r="Y943" s="249"/>
      <c r="Z943" s="249"/>
      <c r="AA943" s="249"/>
      <c r="AB943" s="249"/>
      <c r="AC943" s="249"/>
      <c r="AD943" s="249"/>
    </row>
    <row r="944" spans="1:30" ht="12.9">
      <c r="A944" s="249"/>
      <c r="B944" s="249"/>
      <c r="C944" s="249"/>
      <c r="D944" s="249"/>
      <c r="E944" s="249"/>
      <c r="F944" s="249"/>
      <c r="G944" s="249"/>
      <c r="H944" s="249"/>
      <c r="I944" s="249"/>
      <c r="J944" s="249"/>
      <c r="K944" s="249"/>
      <c r="L944" s="249"/>
      <c r="M944" s="249"/>
      <c r="N944" s="249"/>
      <c r="O944" s="249"/>
      <c r="P944" s="249"/>
      <c r="Q944" s="249"/>
      <c r="R944" s="249"/>
      <c r="S944" s="249"/>
      <c r="T944" s="249"/>
      <c r="U944" s="249"/>
      <c r="V944" s="249"/>
      <c r="W944" s="249"/>
      <c r="X944" s="249"/>
      <c r="Y944" s="249"/>
      <c r="Z944" s="249"/>
      <c r="AA944" s="249"/>
      <c r="AB944" s="249"/>
      <c r="AC944" s="249"/>
      <c r="AD944" s="249"/>
    </row>
    <row r="945" spans="1:30" ht="12.9">
      <c r="A945" s="249"/>
      <c r="B945" s="249"/>
      <c r="C945" s="249"/>
      <c r="D945" s="249"/>
      <c r="E945" s="249"/>
      <c r="F945" s="249"/>
      <c r="G945" s="249"/>
      <c r="H945" s="249"/>
      <c r="I945" s="249"/>
      <c r="J945" s="249"/>
      <c r="K945" s="249"/>
      <c r="L945" s="249"/>
      <c r="M945" s="249"/>
      <c r="N945" s="249"/>
      <c r="O945" s="249"/>
      <c r="P945" s="249"/>
      <c r="Q945" s="249"/>
      <c r="R945" s="249"/>
      <c r="S945" s="249"/>
      <c r="T945" s="249"/>
      <c r="U945" s="249"/>
      <c r="V945" s="249"/>
      <c r="W945" s="249"/>
      <c r="X945" s="249"/>
      <c r="Y945" s="249"/>
      <c r="Z945" s="249"/>
      <c r="AA945" s="249"/>
      <c r="AB945" s="249"/>
      <c r="AC945" s="249"/>
      <c r="AD945" s="249"/>
    </row>
    <row r="946" spans="1:30" ht="12.9">
      <c r="A946" s="249"/>
      <c r="B946" s="249"/>
      <c r="C946" s="249"/>
      <c r="D946" s="249"/>
      <c r="E946" s="249"/>
      <c r="F946" s="249"/>
      <c r="G946" s="249"/>
      <c r="H946" s="249"/>
      <c r="I946" s="249"/>
      <c r="J946" s="249"/>
      <c r="K946" s="249"/>
      <c r="L946" s="249"/>
      <c r="M946" s="249"/>
      <c r="N946" s="249"/>
      <c r="O946" s="249"/>
      <c r="P946" s="249"/>
      <c r="Q946" s="249"/>
      <c r="R946" s="249"/>
      <c r="S946" s="249"/>
      <c r="T946" s="249"/>
      <c r="U946" s="249"/>
      <c r="V946" s="249"/>
      <c r="W946" s="249"/>
      <c r="X946" s="249"/>
      <c r="Y946" s="249"/>
      <c r="Z946" s="249"/>
      <c r="AA946" s="249"/>
      <c r="AB946" s="249"/>
      <c r="AC946" s="249"/>
      <c r="AD946" s="249"/>
    </row>
    <row r="947" spans="1:30" ht="12.9">
      <c r="A947" s="249"/>
      <c r="B947" s="249"/>
      <c r="C947" s="249"/>
      <c r="D947" s="249"/>
      <c r="E947" s="249"/>
      <c r="F947" s="249"/>
      <c r="G947" s="249"/>
      <c r="H947" s="249"/>
      <c r="I947" s="249"/>
      <c r="J947" s="249"/>
      <c r="K947" s="249"/>
      <c r="L947" s="249"/>
      <c r="M947" s="249"/>
      <c r="N947" s="249"/>
      <c r="O947" s="249"/>
      <c r="P947" s="249"/>
      <c r="Q947" s="249"/>
      <c r="R947" s="249"/>
      <c r="S947" s="249"/>
      <c r="T947" s="249"/>
      <c r="U947" s="249"/>
      <c r="V947" s="249"/>
      <c r="W947" s="249"/>
      <c r="X947" s="249"/>
      <c r="Y947" s="249"/>
      <c r="Z947" s="249"/>
      <c r="AA947" s="249"/>
      <c r="AB947" s="249"/>
      <c r="AC947" s="249"/>
      <c r="AD947" s="249"/>
    </row>
    <row r="948" spans="1:30" ht="12.9">
      <c r="A948" s="249"/>
      <c r="B948" s="249"/>
      <c r="C948" s="249"/>
      <c r="D948" s="249"/>
      <c r="E948" s="249"/>
      <c r="F948" s="249"/>
      <c r="G948" s="249"/>
      <c r="H948" s="249"/>
      <c r="I948" s="249"/>
      <c r="J948" s="249"/>
      <c r="K948" s="249"/>
      <c r="L948" s="249"/>
      <c r="M948" s="249"/>
      <c r="N948" s="249"/>
      <c r="O948" s="249"/>
      <c r="P948" s="249"/>
      <c r="Q948" s="249"/>
      <c r="R948" s="249"/>
      <c r="S948" s="249"/>
      <c r="T948" s="249"/>
      <c r="U948" s="249"/>
      <c r="V948" s="249"/>
      <c r="W948" s="249"/>
      <c r="X948" s="249"/>
      <c r="Y948" s="249"/>
      <c r="Z948" s="249"/>
      <c r="AA948" s="249"/>
      <c r="AB948" s="249"/>
      <c r="AC948" s="249"/>
      <c r="AD948" s="249"/>
    </row>
    <row r="949" spans="1:30" ht="12.9">
      <c r="A949" s="249"/>
      <c r="B949" s="249"/>
      <c r="C949" s="249"/>
      <c r="D949" s="249"/>
      <c r="E949" s="249"/>
      <c r="F949" s="249"/>
      <c r="G949" s="249"/>
      <c r="H949" s="249"/>
      <c r="I949" s="249"/>
      <c r="J949" s="249"/>
      <c r="K949" s="249"/>
      <c r="L949" s="249"/>
      <c r="M949" s="249"/>
      <c r="N949" s="249"/>
      <c r="O949" s="249"/>
      <c r="P949" s="249"/>
      <c r="Q949" s="249"/>
      <c r="R949" s="249"/>
      <c r="S949" s="249"/>
      <c r="T949" s="249"/>
      <c r="U949" s="249"/>
      <c r="V949" s="249"/>
      <c r="W949" s="249"/>
      <c r="X949" s="249"/>
      <c r="Y949" s="249"/>
      <c r="Z949" s="249"/>
      <c r="AA949" s="249"/>
      <c r="AB949" s="249"/>
      <c r="AC949" s="249"/>
      <c r="AD949" s="249"/>
    </row>
    <row r="950" spans="1:30" ht="12.9">
      <c r="A950" s="249"/>
      <c r="B950" s="249"/>
      <c r="C950" s="249"/>
      <c r="D950" s="249"/>
      <c r="E950" s="249"/>
      <c r="F950" s="249"/>
      <c r="G950" s="249"/>
      <c r="H950" s="249"/>
      <c r="I950" s="249"/>
      <c r="J950" s="249"/>
      <c r="K950" s="249"/>
      <c r="L950" s="249"/>
      <c r="M950" s="249"/>
      <c r="N950" s="249"/>
      <c r="O950" s="249"/>
      <c r="P950" s="249"/>
      <c r="Q950" s="249"/>
      <c r="R950" s="249"/>
      <c r="S950" s="249"/>
      <c r="T950" s="249"/>
      <c r="U950" s="249"/>
      <c r="V950" s="249"/>
      <c r="W950" s="249"/>
      <c r="X950" s="249"/>
      <c r="Y950" s="249"/>
      <c r="Z950" s="249"/>
      <c r="AA950" s="249"/>
      <c r="AB950" s="249"/>
      <c r="AC950" s="249"/>
      <c r="AD950" s="249"/>
    </row>
    <row r="951" spans="1:30" ht="12.9">
      <c r="A951" s="249"/>
      <c r="B951" s="249"/>
      <c r="C951" s="249"/>
      <c r="D951" s="249"/>
      <c r="E951" s="249"/>
      <c r="F951" s="249"/>
      <c r="G951" s="249"/>
      <c r="H951" s="249"/>
      <c r="I951" s="249"/>
      <c r="J951" s="249"/>
      <c r="K951" s="249"/>
      <c r="L951" s="249"/>
      <c r="M951" s="249"/>
      <c r="N951" s="249"/>
      <c r="O951" s="249"/>
      <c r="P951" s="249"/>
      <c r="Q951" s="249"/>
      <c r="R951" s="249"/>
      <c r="S951" s="249"/>
      <c r="T951" s="249"/>
      <c r="U951" s="249"/>
      <c r="V951" s="249"/>
      <c r="W951" s="249"/>
      <c r="X951" s="249"/>
      <c r="Y951" s="249"/>
      <c r="Z951" s="249"/>
      <c r="AA951" s="249"/>
      <c r="AB951" s="249"/>
      <c r="AC951" s="249"/>
      <c r="AD951" s="249"/>
    </row>
    <row r="952" spans="1:30" ht="12.9">
      <c r="A952" s="249"/>
      <c r="B952" s="249"/>
      <c r="C952" s="249"/>
      <c r="D952" s="249"/>
      <c r="E952" s="249"/>
      <c r="F952" s="249"/>
      <c r="G952" s="249"/>
      <c r="H952" s="249"/>
      <c r="I952" s="249"/>
      <c r="J952" s="249"/>
      <c r="K952" s="249"/>
      <c r="L952" s="249"/>
      <c r="M952" s="249"/>
      <c r="N952" s="249"/>
      <c r="O952" s="249"/>
      <c r="P952" s="249"/>
      <c r="Q952" s="249"/>
      <c r="R952" s="249"/>
      <c r="S952" s="249"/>
      <c r="T952" s="249"/>
      <c r="U952" s="249"/>
      <c r="V952" s="249"/>
      <c r="W952" s="249"/>
      <c r="X952" s="249"/>
      <c r="Y952" s="249"/>
      <c r="Z952" s="249"/>
      <c r="AA952" s="249"/>
      <c r="AB952" s="249"/>
      <c r="AC952" s="249"/>
      <c r="AD952" s="249"/>
    </row>
    <row r="953" spans="1:30" ht="12.9">
      <c r="A953" s="249"/>
      <c r="B953" s="249"/>
      <c r="C953" s="249"/>
      <c r="D953" s="249"/>
      <c r="E953" s="249"/>
      <c r="F953" s="249"/>
      <c r="G953" s="249"/>
      <c r="H953" s="249"/>
      <c r="I953" s="249"/>
      <c r="J953" s="249"/>
      <c r="K953" s="249"/>
      <c r="L953" s="249"/>
      <c r="M953" s="249"/>
      <c r="N953" s="249"/>
      <c r="O953" s="249"/>
      <c r="P953" s="249"/>
      <c r="Q953" s="249"/>
      <c r="R953" s="249"/>
      <c r="S953" s="249"/>
      <c r="T953" s="249"/>
      <c r="U953" s="249"/>
      <c r="V953" s="249"/>
      <c r="W953" s="249"/>
      <c r="X953" s="249"/>
      <c r="Y953" s="249"/>
      <c r="Z953" s="249"/>
      <c r="AA953" s="249"/>
      <c r="AB953" s="249"/>
      <c r="AC953" s="249"/>
      <c r="AD953" s="249"/>
    </row>
    <row r="954" spans="1:30" ht="12.9">
      <c r="A954" s="249"/>
      <c r="B954" s="249"/>
      <c r="C954" s="249"/>
      <c r="D954" s="249"/>
      <c r="E954" s="249"/>
      <c r="F954" s="249"/>
      <c r="G954" s="249"/>
      <c r="H954" s="249"/>
      <c r="I954" s="249"/>
      <c r="J954" s="249"/>
      <c r="K954" s="249"/>
      <c r="L954" s="249"/>
      <c r="M954" s="249"/>
      <c r="N954" s="249"/>
      <c r="O954" s="249"/>
      <c r="P954" s="249"/>
      <c r="Q954" s="249"/>
      <c r="R954" s="249"/>
      <c r="S954" s="249"/>
      <c r="T954" s="249"/>
      <c r="U954" s="249"/>
      <c r="V954" s="249"/>
      <c r="W954" s="249"/>
      <c r="X954" s="249"/>
      <c r="Y954" s="249"/>
      <c r="Z954" s="249"/>
      <c r="AA954" s="249"/>
      <c r="AB954" s="249"/>
      <c r="AC954" s="249"/>
      <c r="AD954" s="249"/>
    </row>
    <row r="955" spans="1:30" ht="12.9">
      <c r="A955" s="249"/>
      <c r="B955" s="249"/>
      <c r="C955" s="249"/>
      <c r="D955" s="249"/>
      <c r="E955" s="249"/>
      <c r="F955" s="249"/>
      <c r="G955" s="249"/>
      <c r="H955" s="249"/>
      <c r="I955" s="249"/>
      <c r="J955" s="249"/>
      <c r="K955" s="249"/>
      <c r="L955" s="249"/>
      <c r="M955" s="249"/>
      <c r="N955" s="249"/>
      <c r="O955" s="249"/>
      <c r="P955" s="249"/>
      <c r="Q955" s="249"/>
      <c r="R955" s="249"/>
      <c r="S955" s="249"/>
      <c r="T955" s="249"/>
      <c r="U955" s="249"/>
      <c r="V955" s="249"/>
      <c r="W955" s="249"/>
      <c r="X955" s="249"/>
      <c r="Y955" s="249"/>
      <c r="Z955" s="249"/>
      <c r="AA955" s="249"/>
      <c r="AB955" s="249"/>
      <c r="AC955" s="249"/>
      <c r="AD955" s="249"/>
    </row>
    <row r="956" spans="1:30" ht="12.9">
      <c r="A956" s="249"/>
      <c r="B956" s="249"/>
      <c r="C956" s="249"/>
      <c r="D956" s="249"/>
      <c r="E956" s="249"/>
      <c r="F956" s="249"/>
      <c r="G956" s="249"/>
      <c r="H956" s="249"/>
      <c r="I956" s="249"/>
      <c r="J956" s="249"/>
      <c r="K956" s="249"/>
      <c r="L956" s="249"/>
      <c r="M956" s="249"/>
      <c r="N956" s="249"/>
      <c r="O956" s="249"/>
      <c r="P956" s="249"/>
      <c r="Q956" s="249"/>
      <c r="R956" s="249"/>
      <c r="S956" s="249"/>
      <c r="T956" s="249"/>
      <c r="U956" s="249"/>
      <c r="V956" s="249"/>
      <c r="W956" s="249"/>
      <c r="X956" s="249"/>
      <c r="Y956" s="249"/>
      <c r="Z956" s="249"/>
      <c r="AA956" s="249"/>
      <c r="AB956" s="249"/>
      <c r="AC956" s="249"/>
      <c r="AD956" s="249"/>
    </row>
    <row r="957" spans="1:30" ht="12.9">
      <c r="A957" s="249"/>
      <c r="B957" s="249"/>
      <c r="C957" s="249"/>
      <c r="D957" s="249"/>
      <c r="E957" s="249"/>
      <c r="F957" s="249"/>
      <c r="G957" s="249"/>
      <c r="H957" s="249"/>
      <c r="I957" s="249"/>
      <c r="J957" s="249"/>
      <c r="K957" s="249"/>
      <c r="L957" s="249"/>
      <c r="M957" s="249"/>
      <c r="N957" s="249"/>
      <c r="O957" s="249"/>
      <c r="P957" s="249"/>
      <c r="Q957" s="249"/>
      <c r="R957" s="249"/>
      <c r="S957" s="249"/>
      <c r="T957" s="249"/>
      <c r="U957" s="249"/>
      <c r="V957" s="249"/>
      <c r="W957" s="249"/>
      <c r="X957" s="249"/>
      <c r="Y957" s="249"/>
      <c r="Z957" s="249"/>
      <c r="AA957" s="249"/>
      <c r="AB957" s="249"/>
      <c r="AC957" s="249"/>
      <c r="AD957" s="249"/>
    </row>
    <row r="958" spans="1:30" ht="12.9">
      <c r="A958" s="249"/>
      <c r="B958" s="249"/>
      <c r="C958" s="249"/>
      <c r="D958" s="249"/>
      <c r="E958" s="249"/>
      <c r="F958" s="249"/>
      <c r="G958" s="249"/>
      <c r="H958" s="249"/>
      <c r="I958" s="249"/>
      <c r="J958" s="249"/>
      <c r="K958" s="249"/>
      <c r="L958" s="249"/>
      <c r="M958" s="249"/>
      <c r="N958" s="249"/>
      <c r="O958" s="249"/>
      <c r="P958" s="249"/>
      <c r="Q958" s="249"/>
      <c r="R958" s="249"/>
      <c r="S958" s="249"/>
      <c r="T958" s="249"/>
      <c r="U958" s="249"/>
      <c r="V958" s="249"/>
      <c r="W958" s="249"/>
      <c r="X958" s="249"/>
      <c r="Y958" s="249"/>
      <c r="Z958" s="249"/>
      <c r="AA958" s="249"/>
      <c r="AB958" s="249"/>
      <c r="AC958" s="249"/>
      <c r="AD958" s="249"/>
    </row>
    <row r="959" spans="1:30" ht="12.9">
      <c r="A959" s="249"/>
      <c r="B959" s="249"/>
      <c r="C959" s="249"/>
      <c r="D959" s="249"/>
      <c r="E959" s="249"/>
      <c r="F959" s="249"/>
      <c r="G959" s="249"/>
      <c r="H959" s="249"/>
      <c r="I959" s="249"/>
      <c r="J959" s="249"/>
      <c r="K959" s="249"/>
      <c r="L959" s="249"/>
      <c r="M959" s="249"/>
      <c r="N959" s="249"/>
      <c r="O959" s="249"/>
      <c r="P959" s="249"/>
      <c r="Q959" s="249"/>
      <c r="R959" s="249"/>
      <c r="S959" s="249"/>
      <c r="T959" s="249"/>
      <c r="U959" s="249"/>
      <c r="V959" s="249"/>
      <c r="W959" s="249"/>
      <c r="X959" s="249"/>
      <c r="Y959" s="249"/>
      <c r="Z959" s="249"/>
      <c r="AA959" s="249"/>
      <c r="AB959" s="249"/>
      <c r="AC959" s="249"/>
      <c r="AD959" s="249"/>
    </row>
    <row r="960" spans="1:30" ht="12.9">
      <c r="A960" s="249"/>
      <c r="B960" s="249"/>
      <c r="C960" s="249"/>
      <c r="D960" s="249"/>
      <c r="E960" s="249"/>
      <c r="F960" s="249"/>
      <c r="G960" s="249"/>
      <c r="H960" s="249"/>
      <c r="I960" s="249"/>
      <c r="J960" s="249"/>
      <c r="K960" s="249"/>
      <c r="L960" s="249"/>
      <c r="M960" s="249"/>
      <c r="N960" s="249"/>
      <c r="O960" s="249"/>
      <c r="P960" s="249"/>
      <c r="Q960" s="249"/>
      <c r="R960" s="249"/>
      <c r="S960" s="249"/>
      <c r="T960" s="249"/>
      <c r="U960" s="249"/>
      <c r="V960" s="249"/>
      <c r="W960" s="249"/>
      <c r="X960" s="249"/>
      <c r="Y960" s="249"/>
      <c r="Z960" s="249"/>
      <c r="AA960" s="249"/>
      <c r="AB960" s="249"/>
      <c r="AC960" s="249"/>
      <c r="AD960" s="249"/>
    </row>
    <row r="961" spans="1:30" ht="12.9">
      <c r="A961" s="249"/>
      <c r="B961" s="249"/>
      <c r="C961" s="249"/>
      <c r="D961" s="249"/>
      <c r="E961" s="249"/>
      <c r="F961" s="249"/>
      <c r="G961" s="249"/>
      <c r="H961" s="249"/>
      <c r="I961" s="249"/>
      <c r="J961" s="249"/>
      <c r="K961" s="249"/>
      <c r="L961" s="249"/>
      <c r="M961" s="249"/>
      <c r="N961" s="249"/>
      <c r="O961" s="249"/>
      <c r="P961" s="249"/>
      <c r="Q961" s="249"/>
      <c r="R961" s="249"/>
      <c r="S961" s="249"/>
      <c r="T961" s="249"/>
      <c r="U961" s="249"/>
      <c r="V961" s="249"/>
      <c r="W961" s="249"/>
      <c r="X961" s="249"/>
      <c r="Y961" s="249"/>
      <c r="Z961" s="249"/>
      <c r="AA961" s="249"/>
      <c r="AB961" s="249"/>
      <c r="AC961" s="249"/>
      <c r="AD961" s="249"/>
    </row>
    <row r="962" spans="1:30" ht="12.9">
      <c r="A962" s="249"/>
      <c r="B962" s="249"/>
      <c r="C962" s="249"/>
      <c r="D962" s="249"/>
      <c r="E962" s="249"/>
      <c r="F962" s="249"/>
      <c r="G962" s="249"/>
      <c r="H962" s="249"/>
      <c r="I962" s="249"/>
      <c r="J962" s="249"/>
      <c r="K962" s="249"/>
      <c r="L962" s="249"/>
      <c r="M962" s="249"/>
      <c r="N962" s="249"/>
      <c r="O962" s="249"/>
      <c r="P962" s="249"/>
      <c r="Q962" s="249"/>
      <c r="R962" s="249"/>
      <c r="S962" s="249"/>
      <c r="T962" s="249"/>
      <c r="U962" s="249"/>
      <c r="V962" s="249"/>
      <c r="W962" s="249"/>
      <c r="X962" s="249"/>
      <c r="Y962" s="249"/>
      <c r="Z962" s="249"/>
      <c r="AA962" s="249"/>
      <c r="AB962" s="249"/>
      <c r="AC962" s="249"/>
      <c r="AD962" s="249"/>
    </row>
    <row r="963" spans="1:30" ht="12.9">
      <c r="A963" s="249"/>
      <c r="B963" s="249"/>
      <c r="C963" s="249"/>
      <c r="D963" s="249"/>
      <c r="E963" s="249"/>
      <c r="F963" s="249"/>
      <c r="G963" s="249"/>
      <c r="H963" s="249"/>
      <c r="I963" s="249"/>
      <c r="J963" s="249"/>
      <c r="K963" s="249"/>
      <c r="L963" s="249"/>
      <c r="M963" s="249"/>
      <c r="N963" s="249"/>
      <c r="O963" s="249"/>
      <c r="P963" s="249"/>
      <c r="Q963" s="249"/>
      <c r="R963" s="249"/>
      <c r="S963" s="249"/>
      <c r="T963" s="249"/>
      <c r="U963" s="249"/>
      <c r="V963" s="249"/>
      <c r="W963" s="249"/>
      <c r="X963" s="249"/>
      <c r="Y963" s="249"/>
      <c r="Z963" s="249"/>
      <c r="AA963" s="249"/>
      <c r="AB963" s="249"/>
      <c r="AC963" s="249"/>
      <c r="AD963" s="249"/>
    </row>
    <row r="964" spans="1:30" ht="12.9">
      <c r="A964" s="249"/>
      <c r="B964" s="249"/>
      <c r="C964" s="249"/>
      <c r="D964" s="249"/>
      <c r="E964" s="249"/>
      <c r="F964" s="249"/>
      <c r="G964" s="249"/>
      <c r="H964" s="249"/>
      <c r="I964" s="249"/>
      <c r="J964" s="249"/>
      <c r="K964" s="249"/>
      <c r="L964" s="249"/>
      <c r="M964" s="249"/>
      <c r="N964" s="249"/>
      <c r="O964" s="249"/>
      <c r="P964" s="249"/>
      <c r="Q964" s="249"/>
      <c r="R964" s="249"/>
      <c r="S964" s="249"/>
      <c r="T964" s="249"/>
      <c r="U964" s="249"/>
      <c r="V964" s="249"/>
      <c r="W964" s="249"/>
      <c r="X964" s="249"/>
      <c r="Y964" s="249"/>
      <c r="Z964" s="249"/>
      <c r="AA964" s="249"/>
      <c r="AB964" s="249"/>
      <c r="AC964" s="249"/>
      <c r="AD964" s="249"/>
    </row>
    <row r="965" spans="1:30" ht="12.9">
      <c r="A965" s="249"/>
      <c r="B965" s="249"/>
      <c r="C965" s="249"/>
      <c r="D965" s="249"/>
      <c r="E965" s="249"/>
      <c r="F965" s="249"/>
      <c r="G965" s="249"/>
      <c r="H965" s="249"/>
      <c r="I965" s="249"/>
      <c r="J965" s="249"/>
      <c r="K965" s="249"/>
      <c r="L965" s="249"/>
      <c r="M965" s="249"/>
      <c r="N965" s="249"/>
      <c r="O965" s="249"/>
      <c r="P965" s="249"/>
      <c r="Q965" s="249"/>
      <c r="R965" s="249"/>
      <c r="S965" s="249"/>
      <c r="T965" s="249"/>
      <c r="U965" s="249"/>
      <c r="V965" s="249"/>
      <c r="W965" s="249"/>
      <c r="X965" s="249"/>
      <c r="Y965" s="249"/>
      <c r="Z965" s="249"/>
      <c r="AA965" s="249"/>
      <c r="AB965" s="249"/>
      <c r="AC965" s="249"/>
      <c r="AD965" s="249"/>
    </row>
    <row r="966" spans="1:30" ht="12.9">
      <c r="A966" s="249"/>
      <c r="B966" s="249"/>
      <c r="C966" s="249"/>
      <c r="D966" s="249"/>
      <c r="E966" s="249"/>
      <c r="F966" s="249"/>
      <c r="G966" s="249"/>
      <c r="H966" s="249"/>
      <c r="I966" s="249"/>
      <c r="J966" s="249"/>
      <c r="K966" s="249"/>
      <c r="L966" s="249"/>
      <c r="M966" s="249"/>
      <c r="N966" s="249"/>
      <c r="O966" s="249"/>
      <c r="P966" s="249"/>
      <c r="Q966" s="249"/>
      <c r="R966" s="249"/>
      <c r="S966" s="249"/>
      <c r="T966" s="249"/>
      <c r="U966" s="249"/>
      <c r="V966" s="249"/>
      <c r="W966" s="249"/>
      <c r="X966" s="249"/>
      <c r="Y966" s="249"/>
      <c r="Z966" s="249"/>
      <c r="AA966" s="249"/>
      <c r="AB966" s="249"/>
      <c r="AC966" s="249"/>
      <c r="AD966" s="249"/>
    </row>
    <row r="967" spans="1:30" ht="12.9">
      <c r="A967" s="249"/>
      <c r="B967" s="249"/>
      <c r="C967" s="249"/>
      <c r="D967" s="249"/>
      <c r="E967" s="249"/>
      <c r="F967" s="249"/>
      <c r="G967" s="249"/>
      <c r="H967" s="249"/>
      <c r="I967" s="249"/>
      <c r="J967" s="249"/>
      <c r="K967" s="249"/>
      <c r="L967" s="249"/>
      <c r="M967" s="249"/>
      <c r="N967" s="249"/>
      <c r="O967" s="249"/>
      <c r="P967" s="249"/>
      <c r="Q967" s="249"/>
      <c r="R967" s="249"/>
      <c r="S967" s="249"/>
      <c r="T967" s="249"/>
      <c r="U967" s="249"/>
      <c r="V967" s="249"/>
      <c r="W967" s="249"/>
      <c r="X967" s="249"/>
      <c r="Y967" s="249"/>
      <c r="Z967" s="249"/>
      <c r="AA967" s="249"/>
      <c r="AB967" s="249"/>
      <c r="AC967" s="249"/>
      <c r="AD967" s="249"/>
    </row>
    <row r="968" spans="1:30" ht="12.9">
      <c r="A968" s="249"/>
      <c r="B968" s="249"/>
      <c r="C968" s="249"/>
      <c r="D968" s="249"/>
      <c r="E968" s="249"/>
      <c r="F968" s="249"/>
      <c r="G968" s="249"/>
      <c r="H968" s="249"/>
      <c r="I968" s="249"/>
      <c r="J968" s="249"/>
      <c r="K968" s="249"/>
      <c r="L968" s="249"/>
      <c r="M968" s="249"/>
      <c r="N968" s="249"/>
      <c r="O968" s="249"/>
      <c r="P968" s="249"/>
      <c r="Q968" s="249"/>
      <c r="R968" s="249"/>
      <c r="S968" s="249"/>
      <c r="T968" s="249"/>
      <c r="U968" s="249"/>
      <c r="V968" s="249"/>
      <c r="W968" s="249"/>
      <c r="X968" s="249"/>
      <c r="Y968" s="249"/>
      <c r="Z968" s="249"/>
      <c r="AA968" s="249"/>
      <c r="AB968" s="249"/>
      <c r="AC968" s="249"/>
      <c r="AD968" s="249"/>
    </row>
    <row r="969" spans="1:30" ht="12.9">
      <c r="A969" s="249"/>
      <c r="B969" s="249"/>
      <c r="C969" s="249"/>
      <c r="D969" s="249"/>
      <c r="E969" s="249"/>
      <c r="F969" s="249"/>
      <c r="G969" s="249"/>
      <c r="H969" s="249"/>
      <c r="I969" s="249"/>
      <c r="J969" s="249"/>
      <c r="K969" s="249"/>
      <c r="L969" s="249"/>
      <c r="M969" s="249"/>
      <c r="N969" s="249"/>
      <c r="O969" s="249"/>
      <c r="P969" s="249"/>
      <c r="Q969" s="249"/>
      <c r="R969" s="249"/>
      <c r="S969" s="249"/>
      <c r="T969" s="249"/>
      <c r="U969" s="249"/>
      <c r="V969" s="249"/>
      <c r="W969" s="249"/>
      <c r="X969" s="249"/>
      <c r="Y969" s="249"/>
      <c r="Z969" s="249"/>
      <c r="AA969" s="249"/>
      <c r="AB969" s="249"/>
      <c r="AC969" s="249"/>
      <c r="AD969" s="249"/>
    </row>
    <row r="970" spans="1:30" ht="12.9">
      <c r="A970" s="249"/>
      <c r="B970" s="249"/>
      <c r="C970" s="249"/>
      <c r="D970" s="249"/>
      <c r="E970" s="249"/>
      <c r="F970" s="249"/>
      <c r="G970" s="249"/>
      <c r="H970" s="249"/>
      <c r="I970" s="249"/>
      <c r="J970" s="249"/>
      <c r="K970" s="249"/>
      <c r="L970" s="249"/>
      <c r="M970" s="249"/>
      <c r="N970" s="249"/>
      <c r="O970" s="249"/>
      <c r="P970" s="249"/>
      <c r="Q970" s="249"/>
      <c r="R970" s="249"/>
      <c r="S970" s="249"/>
      <c r="T970" s="249"/>
      <c r="U970" s="249"/>
      <c r="V970" s="249"/>
      <c r="W970" s="249"/>
      <c r="X970" s="249"/>
      <c r="Y970" s="249"/>
      <c r="Z970" s="249"/>
      <c r="AA970" s="249"/>
      <c r="AB970" s="249"/>
      <c r="AC970" s="249"/>
      <c r="AD970" s="249"/>
    </row>
    <row r="971" spans="1:30" ht="12.9">
      <c r="A971" s="249"/>
      <c r="B971" s="249"/>
      <c r="C971" s="249"/>
      <c r="D971" s="249"/>
      <c r="E971" s="249"/>
      <c r="F971" s="249"/>
      <c r="G971" s="249"/>
      <c r="H971" s="249"/>
      <c r="I971" s="249"/>
      <c r="J971" s="249"/>
      <c r="K971" s="249"/>
      <c r="L971" s="249"/>
      <c r="M971" s="249"/>
      <c r="N971" s="249"/>
      <c r="O971" s="249"/>
      <c r="P971" s="249"/>
      <c r="Q971" s="249"/>
      <c r="R971" s="249"/>
      <c r="S971" s="249"/>
      <c r="T971" s="249"/>
      <c r="U971" s="249"/>
      <c r="V971" s="249"/>
      <c r="W971" s="249"/>
      <c r="X971" s="249"/>
      <c r="Y971" s="249"/>
      <c r="Z971" s="249"/>
      <c r="AA971" s="249"/>
      <c r="AB971" s="249"/>
      <c r="AC971" s="249"/>
      <c r="AD971" s="249"/>
    </row>
    <row r="972" spans="1:30" ht="12.9">
      <c r="A972" s="249"/>
      <c r="B972" s="249"/>
      <c r="C972" s="249"/>
      <c r="D972" s="249"/>
      <c r="E972" s="249"/>
      <c r="F972" s="249"/>
      <c r="G972" s="249"/>
      <c r="H972" s="249"/>
      <c r="I972" s="249"/>
      <c r="J972" s="249"/>
      <c r="K972" s="249"/>
      <c r="L972" s="249"/>
      <c r="M972" s="249"/>
      <c r="N972" s="249"/>
      <c r="O972" s="249"/>
      <c r="P972" s="249"/>
      <c r="Q972" s="249"/>
      <c r="R972" s="249"/>
      <c r="S972" s="249"/>
      <c r="T972" s="249"/>
      <c r="U972" s="249"/>
      <c r="V972" s="249"/>
      <c r="W972" s="249"/>
      <c r="X972" s="249"/>
      <c r="Y972" s="249"/>
      <c r="Z972" s="249"/>
      <c r="AA972" s="249"/>
      <c r="AB972" s="249"/>
      <c r="AC972" s="249"/>
      <c r="AD972" s="249"/>
    </row>
    <row r="973" spans="1:30" ht="12.9">
      <c r="A973" s="249"/>
      <c r="B973" s="249"/>
      <c r="C973" s="249"/>
      <c r="D973" s="249"/>
      <c r="E973" s="249"/>
      <c r="F973" s="249"/>
      <c r="G973" s="249"/>
      <c r="H973" s="249"/>
      <c r="I973" s="249"/>
      <c r="J973" s="249"/>
      <c r="K973" s="249"/>
      <c r="L973" s="249"/>
      <c r="M973" s="249"/>
      <c r="N973" s="249"/>
      <c r="O973" s="249"/>
      <c r="P973" s="249"/>
      <c r="Q973" s="249"/>
      <c r="R973" s="249"/>
      <c r="S973" s="249"/>
      <c r="T973" s="249"/>
      <c r="U973" s="249"/>
      <c r="V973" s="249"/>
      <c r="W973" s="249"/>
      <c r="X973" s="249"/>
      <c r="Y973" s="249"/>
      <c r="Z973" s="249"/>
      <c r="AA973" s="249"/>
      <c r="AB973" s="249"/>
      <c r="AC973" s="249"/>
      <c r="AD973" s="249"/>
    </row>
    <row r="974" spans="1:30" ht="12.9">
      <c r="A974" s="249"/>
      <c r="B974" s="249"/>
      <c r="C974" s="249"/>
      <c r="D974" s="249"/>
      <c r="E974" s="249"/>
      <c r="F974" s="249"/>
      <c r="G974" s="249"/>
      <c r="H974" s="249"/>
      <c r="I974" s="249"/>
      <c r="J974" s="249"/>
      <c r="K974" s="249"/>
      <c r="L974" s="249"/>
      <c r="M974" s="249"/>
      <c r="N974" s="249"/>
      <c r="O974" s="249"/>
      <c r="P974" s="249"/>
      <c r="Q974" s="249"/>
      <c r="R974" s="249"/>
      <c r="S974" s="249"/>
      <c r="T974" s="249"/>
      <c r="U974" s="249"/>
      <c r="V974" s="249"/>
      <c r="W974" s="249"/>
      <c r="X974" s="249"/>
      <c r="Y974" s="249"/>
      <c r="Z974" s="249"/>
      <c r="AA974" s="249"/>
      <c r="AB974" s="249"/>
      <c r="AC974" s="249"/>
      <c r="AD974" s="249"/>
    </row>
    <row r="975" spans="1:30" ht="12.9">
      <c r="A975" s="249"/>
      <c r="B975" s="249"/>
      <c r="C975" s="249"/>
      <c r="D975" s="249"/>
      <c r="E975" s="249"/>
      <c r="F975" s="249"/>
      <c r="G975" s="249"/>
      <c r="H975" s="249"/>
      <c r="I975" s="249"/>
      <c r="J975" s="249"/>
      <c r="K975" s="249"/>
      <c r="L975" s="249"/>
      <c r="M975" s="249"/>
      <c r="N975" s="249"/>
      <c r="O975" s="249"/>
      <c r="P975" s="249"/>
      <c r="Q975" s="249"/>
      <c r="R975" s="249"/>
      <c r="S975" s="249"/>
      <c r="T975" s="249"/>
      <c r="U975" s="249"/>
      <c r="V975" s="249"/>
      <c r="W975" s="249"/>
      <c r="X975" s="249"/>
      <c r="Y975" s="249"/>
      <c r="Z975" s="249"/>
      <c r="AA975" s="249"/>
      <c r="AB975" s="249"/>
      <c r="AC975" s="249"/>
      <c r="AD975" s="249"/>
    </row>
    <row r="976" spans="1:30" ht="12.9">
      <c r="A976" s="249"/>
      <c r="B976" s="249"/>
      <c r="C976" s="249"/>
      <c r="D976" s="249"/>
      <c r="E976" s="249"/>
      <c r="F976" s="249"/>
      <c r="G976" s="249"/>
      <c r="H976" s="249"/>
      <c r="I976" s="249"/>
      <c r="J976" s="249"/>
      <c r="K976" s="249"/>
      <c r="L976" s="249"/>
      <c r="M976" s="249"/>
      <c r="N976" s="249"/>
      <c r="O976" s="249"/>
      <c r="P976" s="249"/>
      <c r="Q976" s="249"/>
      <c r="R976" s="249"/>
      <c r="S976" s="249"/>
      <c r="T976" s="249"/>
      <c r="U976" s="249"/>
      <c r="V976" s="249"/>
      <c r="W976" s="249"/>
      <c r="X976" s="249"/>
      <c r="Y976" s="249"/>
      <c r="Z976" s="249"/>
      <c r="AA976" s="249"/>
      <c r="AB976" s="249"/>
      <c r="AC976" s="249"/>
      <c r="AD976" s="249"/>
    </row>
    <row r="977" spans="1:30" ht="12.9">
      <c r="A977" s="249"/>
      <c r="B977" s="249"/>
      <c r="C977" s="249"/>
      <c r="D977" s="249"/>
      <c r="E977" s="249"/>
      <c r="F977" s="249"/>
      <c r="G977" s="249"/>
      <c r="H977" s="249"/>
      <c r="I977" s="249"/>
      <c r="J977" s="249"/>
      <c r="K977" s="249"/>
      <c r="L977" s="249"/>
      <c r="M977" s="249"/>
      <c r="N977" s="249"/>
      <c r="O977" s="249"/>
      <c r="P977" s="249"/>
      <c r="Q977" s="249"/>
      <c r="R977" s="249"/>
      <c r="S977" s="249"/>
      <c r="T977" s="249"/>
      <c r="U977" s="249"/>
      <c r="V977" s="249"/>
      <c r="W977" s="249"/>
      <c r="X977" s="249"/>
      <c r="Y977" s="249"/>
      <c r="Z977" s="249"/>
      <c r="AA977" s="249"/>
      <c r="AB977" s="249"/>
      <c r="AC977" s="249"/>
      <c r="AD977" s="249"/>
    </row>
    <row r="978" spans="1:30" ht="12.9">
      <c r="A978" s="249"/>
      <c r="B978" s="249"/>
      <c r="C978" s="249"/>
      <c r="D978" s="249"/>
      <c r="E978" s="249"/>
      <c r="F978" s="249"/>
      <c r="G978" s="249"/>
      <c r="H978" s="249"/>
      <c r="I978" s="249"/>
      <c r="J978" s="249"/>
      <c r="K978" s="249"/>
      <c r="L978" s="249"/>
      <c r="M978" s="249"/>
      <c r="N978" s="249"/>
      <c r="O978" s="249"/>
      <c r="P978" s="249"/>
      <c r="Q978" s="249"/>
      <c r="R978" s="249"/>
      <c r="S978" s="249"/>
      <c r="T978" s="249"/>
      <c r="U978" s="249"/>
      <c r="V978" s="249"/>
      <c r="W978" s="249"/>
      <c r="X978" s="249"/>
      <c r="Y978" s="249"/>
      <c r="Z978" s="249"/>
      <c r="AA978" s="249"/>
      <c r="AB978" s="249"/>
      <c r="AC978" s="249"/>
      <c r="AD978" s="249"/>
    </row>
    <row r="979" spans="1:30" ht="12.9">
      <c r="A979" s="249"/>
      <c r="B979" s="249"/>
      <c r="C979" s="249"/>
      <c r="D979" s="249"/>
      <c r="E979" s="249"/>
      <c r="F979" s="249"/>
      <c r="G979" s="249"/>
      <c r="H979" s="249"/>
      <c r="I979" s="249"/>
      <c r="J979" s="249"/>
      <c r="K979" s="249"/>
      <c r="L979" s="249"/>
      <c r="M979" s="249"/>
      <c r="N979" s="249"/>
      <c r="O979" s="249"/>
      <c r="P979" s="249"/>
      <c r="Q979" s="249"/>
      <c r="R979" s="249"/>
      <c r="S979" s="249"/>
      <c r="T979" s="249"/>
      <c r="U979" s="249"/>
      <c r="V979" s="249"/>
      <c r="W979" s="249"/>
      <c r="X979" s="249"/>
      <c r="Y979" s="249"/>
      <c r="Z979" s="249"/>
      <c r="AA979" s="249"/>
      <c r="AB979" s="249"/>
      <c r="AC979" s="249"/>
      <c r="AD979" s="249"/>
    </row>
    <row r="980" spans="1:30" ht="12.9">
      <c r="A980" s="249"/>
      <c r="B980" s="249"/>
      <c r="C980" s="249"/>
      <c r="D980" s="249"/>
      <c r="E980" s="249"/>
      <c r="F980" s="249"/>
      <c r="G980" s="249"/>
      <c r="H980" s="249"/>
      <c r="I980" s="249"/>
      <c r="J980" s="249"/>
      <c r="K980" s="249"/>
      <c r="L980" s="249"/>
      <c r="M980" s="249"/>
      <c r="N980" s="249"/>
      <c r="O980" s="249"/>
      <c r="P980" s="249"/>
      <c r="Q980" s="249"/>
      <c r="R980" s="249"/>
      <c r="S980" s="249"/>
      <c r="T980" s="249"/>
      <c r="U980" s="249"/>
      <c r="V980" s="249"/>
      <c r="W980" s="249"/>
      <c r="X980" s="249"/>
      <c r="Y980" s="249"/>
      <c r="Z980" s="249"/>
      <c r="AA980" s="249"/>
      <c r="AB980" s="249"/>
      <c r="AC980" s="249"/>
      <c r="AD980" s="249"/>
    </row>
    <row r="981" spans="1:30" ht="12.9">
      <c r="A981" s="249"/>
      <c r="B981" s="249"/>
      <c r="C981" s="249"/>
      <c r="D981" s="249"/>
      <c r="E981" s="249"/>
      <c r="F981" s="249"/>
      <c r="G981" s="249"/>
      <c r="H981" s="249"/>
      <c r="I981" s="249"/>
      <c r="J981" s="249"/>
      <c r="K981" s="249"/>
      <c r="L981" s="249"/>
      <c r="M981" s="249"/>
      <c r="N981" s="249"/>
      <c r="O981" s="249"/>
      <c r="P981" s="249"/>
      <c r="Q981" s="249"/>
      <c r="R981" s="249"/>
      <c r="S981" s="249"/>
      <c r="T981" s="249"/>
      <c r="U981" s="249"/>
      <c r="V981" s="249"/>
      <c r="W981" s="249"/>
      <c r="X981" s="249"/>
      <c r="Y981" s="249"/>
      <c r="Z981" s="249"/>
      <c r="AA981" s="249"/>
      <c r="AB981" s="249"/>
      <c r="AC981" s="249"/>
      <c r="AD981" s="249"/>
    </row>
    <row r="982" spans="1:30" ht="12.9">
      <c r="A982" s="249"/>
      <c r="B982" s="249"/>
      <c r="C982" s="249"/>
      <c r="D982" s="249"/>
      <c r="E982" s="249"/>
      <c r="F982" s="249"/>
      <c r="G982" s="249"/>
      <c r="H982" s="249"/>
      <c r="I982" s="249"/>
      <c r="J982" s="249"/>
      <c r="K982" s="249"/>
      <c r="L982" s="249"/>
      <c r="M982" s="249"/>
      <c r="N982" s="249"/>
      <c r="O982" s="249"/>
      <c r="P982" s="249"/>
      <c r="Q982" s="249"/>
      <c r="R982" s="249"/>
      <c r="S982" s="249"/>
      <c r="T982" s="249"/>
      <c r="U982" s="249"/>
      <c r="V982" s="249"/>
      <c r="W982" s="249"/>
      <c r="X982" s="249"/>
      <c r="Y982" s="249"/>
      <c r="Z982" s="249"/>
      <c r="AA982" s="249"/>
      <c r="AB982" s="249"/>
      <c r="AC982" s="249"/>
      <c r="AD982" s="249"/>
    </row>
    <row r="983" spans="1:30" ht="12.9">
      <c r="A983" s="249"/>
      <c r="B983" s="249"/>
      <c r="C983" s="249"/>
      <c r="D983" s="249"/>
      <c r="E983" s="249"/>
      <c r="F983" s="249"/>
      <c r="G983" s="249"/>
      <c r="H983" s="249"/>
      <c r="I983" s="249"/>
      <c r="J983" s="249"/>
      <c r="K983" s="249"/>
      <c r="L983" s="249"/>
      <c r="M983" s="249"/>
      <c r="N983" s="249"/>
      <c r="O983" s="249"/>
      <c r="P983" s="249"/>
      <c r="Q983" s="249"/>
      <c r="R983" s="249"/>
      <c r="S983" s="249"/>
      <c r="T983" s="249"/>
      <c r="U983" s="249"/>
      <c r="V983" s="249"/>
      <c r="W983" s="249"/>
      <c r="X983" s="249"/>
      <c r="Y983" s="249"/>
      <c r="Z983" s="249"/>
      <c r="AA983" s="249"/>
      <c r="AB983" s="249"/>
      <c r="AC983" s="249"/>
      <c r="AD983" s="249"/>
    </row>
    <row r="984" spans="1:30" ht="12.9">
      <c r="A984" s="249"/>
      <c r="B984" s="249"/>
      <c r="C984" s="249"/>
      <c r="D984" s="249"/>
      <c r="E984" s="249"/>
      <c r="F984" s="249"/>
      <c r="G984" s="249"/>
      <c r="H984" s="249"/>
      <c r="I984" s="249"/>
      <c r="J984" s="249"/>
      <c r="K984" s="249"/>
      <c r="L984" s="249"/>
      <c r="M984" s="249"/>
      <c r="N984" s="249"/>
      <c r="O984" s="249"/>
      <c r="P984" s="249"/>
      <c r="Q984" s="249"/>
      <c r="R984" s="249"/>
      <c r="S984" s="249"/>
      <c r="T984" s="249"/>
      <c r="U984" s="249"/>
      <c r="V984" s="249"/>
      <c r="W984" s="249"/>
      <c r="X984" s="249"/>
      <c r="Y984" s="249"/>
      <c r="Z984" s="249"/>
      <c r="AA984" s="249"/>
      <c r="AB984" s="249"/>
      <c r="AC984" s="249"/>
      <c r="AD984" s="249"/>
    </row>
    <row r="985" spans="1:30" ht="12.9">
      <c r="A985" s="249"/>
      <c r="B985" s="249"/>
      <c r="C985" s="249"/>
      <c r="D985" s="249"/>
      <c r="E985" s="249"/>
      <c r="F985" s="249"/>
      <c r="G985" s="249"/>
      <c r="H985" s="249"/>
      <c r="I985" s="249"/>
      <c r="J985" s="249"/>
      <c r="K985" s="249"/>
      <c r="L985" s="249"/>
      <c r="M985" s="249"/>
      <c r="N985" s="249"/>
      <c r="O985" s="249"/>
      <c r="P985" s="249"/>
      <c r="Q985" s="249"/>
      <c r="R985" s="249"/>
      <c r="S985" s="249"/>
      <c r="T985" s="249"/>
      <c r="U985" s="249"/>
      <c r="V985" s="249"/>
      <c r="W985" s="249"/>
      <c r="X985" s="249"/>
      <c r="Y985" s="249"/>
      <c r="Z985" s="249"/>
      <c r="AA985" s="249"/>
      <c r="AB985" s="249"/>
      <c r="AC985" s="249"/>
      <c r="AD985" s="249"/>
    </row>
    <row r="986" spans="1:30" ht="12.9">
      <c r="A986" s="249"/>
      <c r="B986" s="249"/>
      <c r="C986" s="249"/>
      <c r="D986" s="249"/>
      <c r="E986" s="249"/>
      <c r="F986" s="249"/>
      <c r="G986" s="249"/>
      <c r="H986" s="249"/>
      <c r="I986" s="249"/>
      <c r="J986" s="249"/>
      <c r="K986" s="249"/>
      <c r="L986" s="249"/>
      <c r="M986" s="249"/>
      <c r="N986" s="249"/>
      <c r="O986" s="249"/>
      <c r="P986" s="249"/>
      <c r="Q986" s="249"/>
      <c r="R986" s="249"/>
      <c r="S986" s="249"/>
      <c r="T986" s="249"/>
      <c r="U986" s="249"/>
      <c r="V986" s="249"/>
      <c r="W986" s="249"/>
      <c r="X986" s="249"/>
      <c r="Y986" s="249"/>
      <c r="Z986" s="249"/>
      <c r="AA986" s="249"/>
      <c r="AB986" s="249"/>
      <c r="AC986" s="249"/>
      <c r="AD986" s="249"/>
    </row>
    <row r="987" spans="1:30" ht="12.9">
      <c r="A987" s="249"/>
      <c r="B987" s="249"/>
      <c r="C987" s="249"/>
      <c r="D987" s="249"/>
      <c r="E987" s="249"/>
      <c r="F987" s="249"/>
      <c r="G987" s="249"/>
      <c r="H987" s="249"/>
      <c r="I987" s="249"/>
      <c r="J987" s="249"/>
      <c r="K987" s="249"/>
      <c r="L987" s="249"/>
      <c r="M987" s="249"/>
      <c r="N987" s="249"/>
      <c r="O987" s="249"/>
      <c r="P987" s="249"/>
      <c r="Q987" s="249"/>
      <c r="R987" s="249"/>
      <c r="S987" s="249"/>
      <c r="T987" s="249"/>
      <c r="U987" s="249"/>
      <c r="V987" s="249"/>
      <c r="W987" s="249"/>
      <c r="X987" s="249"/>
      <c r="Y987" s="249"/>
      <c r="Z987" s="249"/>
      <c r="AA987" s="249"/>
      <c r="AB987" s="249"/>
      <c r="AC987" s="249"/>
      <c r="AD987" s="249"/>
    </row>
    <row r="988" spans="1:30" ht="12.9">
      <c r="A988" s="249"/>
      <c r="B988" s="249"/>
      <c r="C988" s="249"/>
      <c r="D988" s="249"/>
      <c r="E988" s="249"/>
      <c r="F988" s="249"/>
      <c r="G988" s="249"/>
      <c r="H988" s="249"/>
      <c r="I988" s="249"/>
      <c r="J988" s="249"/>
      <c r="K988" s="249"/>
      <c r="L988" s="249"/>
      <c r="M988" s="249"/>
      <c r="N988" s="249"/>
      <c r="O988" s="249"/>
      <c r="P988" s="249"/>
      <c r="Q988" s="249"/>
      <c r="R988" s="249"/>
      <c r="S988" s="249"/>
      <c r="T988" s="249"/>
      <c r="U988" s="249"/>
      <c r="V988" s="249"/>
      <c r="W988" s="249"/>
      <c r="X988" s="249"/>
      <c r="Y988" s="249"/>
      <c r="Z988" s="249"/>
      <c r="AA988" s="249"/>
      <c r="AB988" s="249"/>
      <c r="AC988" s="249"/>
      <c r="AD988" s="249"/>
    </row>
    <row r="989" spans="1:30" ht="12.9">
      <c r="A989" s="249"/>
      <c r="B989" s="249"/>
      <c r="C989" s="249"/>
      <c r="D989" s="249"/>
      <c r="E989" s="249"/>
      <c r="F989" s="249"/>
      <c r="G989" s="249"/>
      <c r="H989" s="249"/>
      <c r="I989" s="249"/>
      <c r="J989" s="249"/>
      <c r="K989" s="249"/>
      <c r="L989" s="249"/>
      <c r="M989" s="249"/>
      <c r="N989" s="249"/>
      <c r="O989" s="249"/>
      <c r="P989" s="249"/>
      <c r="Q989" s="249"/>
      <c r="R989" s="249"/>
      <c r="S989" s="249"/>
      <c r="T989" s="249"/>
      <c r="U989" s="249"/>
      <c r="V989" s="249"/>
      <c r="W989" s="249"/>
      <c r="X989" s="249"/>
      <c r="Y989" s="249"/>
      <c r="Z989" s="249"/>
      <c r="AA989" s="249"/>
      <c r="AB989" s="249"/>
      <c r="AC989" s="249"/>
      <c r="AD989" s="249"/>
    </row>
    <row r="990" spans="1:30" ht="12.9">
      <c r="A990" s="249"/>
      <c r="B990" s="249"/>
      <c r="C990" s="249"/>
      <c r="D990" s="249"/>
      <c r="E990" s="249"/>
      <c r="F990" s="249"/>
      <c r="G990" s="249"/>
      <c r="H990" s="249"/>
      <c r="I990" s="249"/>
      <c r="J990" s="249"/>
      <c r="K990" s="249"/>
      <c r="L990" s="249"/>
      <c r="M990" s="249"/>
      <c r="N990" s="249"/>
      <c r="O990" s="249"/>
      <c r="P990" s="249"/>
      <c r="Q990" s="249"/>
      <c r="R990" s="249"/>
      <c r="S990" s="249"/>
      <c r="T990" s="249"/>
      <c r="U990" s="249"/>
      <c r="V990" s="249"/>
      <c r="W990" s="249"/>
      <c r="X990" s="249"/>
      <c r="Y990" s="249"/>
      <c r="Z990" s="249"/>
      <c r="AA990" s="249"/>
      <c r="AB990" s="249"/>
      <c r="AC990" s="249"/>
      <c r="AD990" s="249"/>
    </row>
    <row r="991" spans="1:30" ht="12.9">
      <c r="A991" s="249"/>
      <c r="B991" s="249"/>
      <c r="C991" s="249"/>
      <c r="D991" s="249"/>
      <c r="E991" s="249"/>
      <c r="F991" s="249"/>
      <c r="G991" s="249"/>
      <c r="H991" s="249"/>
      <c r="I991" s="249"/>
      <c r="J991" s="249"/>
      <c r="K991" s="249"/>
      <c r="L991" s="249"/>
      <c r="M991" s="249"/>
      <c r="N991" s="249"/>
      <c r="O991" s="249"/>
      <c r="P991" s="249"/>
      <c r="Q991" s="249"/>
      <c r="R991" s="249"/>
      <c r="S991" s="249"/>
      <c r="T991" s="249"/>
      <c r="U991" s="249"/>
      <c r="V991" s="249"/>
      <c r="W991" s="249"/>
      <c r="X991" s="249"/>
      <c r="Y991" s="249"/>
      <c r="Z991" s="249"/>
      <c r="AA991" s="249"/>
      <c r="AB991" s="249"/>
      <c r="AC991" s="249"/>
      <c r="AD991" s="249"/>
    </row>
    <row r="992" spans="1:30" ht="12.9">
      <c r="A992" s="249"/>
      <c r="B992" s="249"/>
      <c r="C992" s="249"/>
      <c r="D992" s="249"/>
      <c r="E992" s="249"/>
      <c r="F992" s="249"/>
      <c r="G992" s="249"/>
      <c r="H992" s="249"/>
      <c r="I992" s="249"/>
      <c r="J992" s="249"/>
      <c r="K992" s="249"/>
      <c r="L992" s="249"/>
      <c r="M992" s="249"/>
      <c r="N992" s="249"/>
      <c r="O992" s="249"/>
      <c r="P992" s="249"/>
      <c r="Q992" s="249"/>
      <c r="R992" s="249"/>
      <c r="S992" s="249"/>
      <c r="T992" s="249"/>
      <c r="U992" s="249"/>
      <c r="V992" s="249"/>
      <c r="W992" s="249"/>
      <c r="X992" s="249"/>
      <c r="Y992" s="249"/>
      <c r="Z992" s="249"/>
      <c r="AA992" s="249"/>
      <c r="AB992" s="249"/>
      <c r="AC992" s="249"/>
      <c r="AD992" s="249"/>
    </row>
    <row r="993" spans="1:30" ht="12.9">
      <c r="A993" s="249"/>
      <c r="B993" s="249"/>
      <c r="C993" s="249"/>
      <c r="D993" s="249"/>
      <c r="E993" s="249"/>
      <c r="F993" s="249"/>
      <c r="G993" s="249"/>
      <c r="H993" s="249"/>
      <c r="I993" s="249"/>
      <c r="J993" s="249"/>
      <c r="K993" s="249"/>
      <c r="L993" s="249"/>
      <c r="M993" s="249"/>
      <c r="N993" s="249"/>
      <c r="O993" s="249"/>
      <c r="P993" s="249"/>
      <c r="Q993" s="249"/>
      <c r="R993" s="249"/>
      <c r="S993" s="249"/>
      <c r="T993" s="249"/>
      <c r="U993" s="249"/>
      <c r="V993" s="249"/>
      <c r="W993" s="249"/>
      <c r="X993" s="249"/>
      <c r="Y993" s="249"/>
      <c r="Z993" s="249"/>
      <c r="AA993" s="249"/>
      <c r="AB993" s="249"/>
      <c r="AC993" s="249"/>
      <c r="AD993" s="249"/>
    </row>
    <row r="994" spans="1:30" ht="12.9">
      <c r="A994" s="249"/>
      <c r="B994" s="249"/>
      <c r="C994" s="249"/>
      <c r="D994" s="249"/>
      <c r="E994" s="249"/>
      <c r="F994" s="249"/>
      <c r="G994" s="249"/>
      <c r="H994" s="249"/>
      <c r="I994" s="249"/>
      <c r="J994" s="249"/>
      <c r="K994" s="249"/>
      <c r="L994" s="249"/>
      <c r="M994" s="249"/>
      <c r="N994" s="249"/>
      <c r="O994" s="249"/>
      <c r="P994" s="249"/>
      <c r="Q994" s="249"/>
      <c r="R994" s="249"/>
      <c r="S994" s="249"/>
      <c r="T994" s="249"/>
      <c r="U994" s="249"/>
      <c r="V994" s="249"/>
      <c r="W994" s="249"/>
      <c r="X994" s="249"/>
      <c r="Y994" s="249"/>
      <c r="Z994" s="249"/>
      <c r="AA994" s="249"/>
      <c r="AB994" s="249"/>
      <c r="AC994" s="249"/>
      <c r="AD994" s="249"/>
    </row>
    <row r="995" spans="1:30" ht="12.9">
      <c r="A995" s="249"/>
      <c r="B995" s="249"/>
      <c r="C995" s="249"/>
      <c r="D995" s="249"/>
      <c r="E995" s="249"/>
      <c r="F995" s="249"/>
      <c r="G995" s="249"/>
      <c r="H995" s="249"/>
      <c r="I995" s="249"/>
      <c r="J995" s="249"/>
      <c r="K995" s="249"/>
      <c r="L995" s="249"/>
      <c r="M995" s="249"/>
      <c r="N995" s="249"/>
      <c r="O995" s="249"/>
      <c r="P995" s="249"/>
      <c r="Q995" s="249"/>
      <c r="R995" s="249"/>
      <c r="S995" s="249"/>
      <c r="T995" s="249"/>
      <c r="U995" s="249"/>
      <c r="V995" s="249"/>
      <c r="W995" s="249"/>
      <c r="X995" s="249"/>
      <c r="Y995" s="249"/>
      <c r="Z995" s="249"/>
      <c r="AA995" s="249"/>
      <c r="AB995" s="249"/>
      <c r="AC995" s="249"/>
      <c r="AD995" s="249"/>
    </row>
    <row r="996" spans="1:30" ht="12.9">
      <c r="A996" s="249"/>
      <c r="B996" s="249"/>
      <c r="C996" s="249"/>
      <c r="D996" s="249"/>
      <c r="E996" s="249"/>
      <c r="F996" s="249"/>
      <c r="G996" s="249"/>
      <c r="H996" s="249"/>
      <c r="I996" s="249"/>
      <c r="J996" s="249"/>
      <c r="K996" s="249"/>
      <c r="L996" s="249"/>
      <c r="M996" s="249"/>
      <c r="N996" s="249"/>
      <c r="O996" s="249"/>
      <c r="P996" s="249"/>
      <c r="Q996" s="249"/>
      <c r="R996" s="249"/>
      <c r="S996" s="249"/>
      <c r="T996" s="249"/>
      <c r="U996" s="249"/>
      <c r="V996" s="249"/>
      <c r="W996" s="249"/>
      <c r="X996" s="249"/>
      <c r="Y996" s="249"/>
      <c r="Z996" s="249"/>
      <c r="AA996" s="249"/>
      <c r="AB996" s="249"/>
      <c r="AC996" s="249"/>
      <c r="AD996" s="249"/>
    </row>
    <row r="997" spans="1:30" ht="12.9">
      <c r="A997" s="249"/>
      <c r="B997" s="249"/>
      <c r="C997" s="249"/>
      <c r="D997" s="249"/>
      <c r="E997" s="249"/>
      <c r="F997" s="249"/>
      <c r="G997" s="249"/>
      <c r="H997" s="249"/>
      <c r="I997" s="249"/>
      <c r="J997" s="249"/>
      <c r="K997" s="249"/>
      <c r="L997" s="249"/>
      <c r="M997" s="249"/>
      <c r="N997" s="249"/>
      <c r="O997" s="249"/>
      <c r="P997" s="249"/>
      <c r="Q997" s="249"/>
      <c r="R997" s="249"/>
      <c r="S997" s="249"/>
      <c r="T997" s="249"/>
      <c r="U997" s="249"/>
      <c r="V997" s="249"/>
      <c r="W997" s="249"/>
      <c r="X997" s="249"/>
      <c r="Y997" s="249"/>
      <c r="Z997" s="249"/>
      <c r="AA997" s="249"/>
      <c r="AB997" s="249"/>
      <c r="AC997" s="249"/>
      <c r="AD997" s="249"/>
    </row>
    <row r="998" spans="1:30" ht="12.9">
      <c r="A998" s="249"/>
      <c r="B998" s="249"/>
      <c r="C998" s="249"/>
      <c r="D998" s="249"/>
      <c r="E998" s="249"/>
      <c r="F998" s="249"/>
      <c r="G998" s="249"/>
      <c r="H998" s="249"/>
      <c r="I998" s="249"/>
      <c r="J998" s="249"/>
      <c r="K998" s="249"/>
      <c r="L998" s="249"/>
      <c r="M998" s="249"/>
      <c r="N998" s="249"/>
      <c r="O998" s="249"/>
      <c r="P998" s="249"/>
      <c r="Q998" s="249"/>
      <c r="R998" s="249"/>
      <c r="S998" s="249"/>
      <c r="T998" s="249"/>
      <c r="U998" s="249"/>
      <c r="V998" s="249"/>
      <c r="W998" s="249"/>
      <c r="X998" s="249"/>
      <c r="Y998" s="249"/>
      <c r="Z998" s="249"/>
      <c r="AA998" s="249"/>
      <c r="AB998" s="249"/>
      <c r="AC998" s="249"/>
      <c r="AD998" s="249"/>
    </row>
    <row r="999" spans="1:30" ht="12.9">
      <c r="A999" s="249"/>
      <c r="B999" s="249"/>
      <c r="C999" s="249"/>
      <c r="D999" s="249"/>
      <c r="E999" s="249"/>
      <c r="F999" s="249"/>
      <c r="G999" s="249"/>
      <c r="H999" s="249"/>
      <c r="I999" s="249"/>
      <c r="J999" s="249"/>
      <c r="K999" s="249"/>
      <c r="L999" s="249"/>
      <c r="M999" s="249"/>
      <c r="N999" s="249"/>
      <c r="O999" s="249"/>
      <c r="P999" s="249"/>
      <c r="Q999" s="249"/>
      <c r="R999" s="249"/>
      <c r="S999" s="249"/>
      <c r="T999" s="249"/>
      <c r="U999" s="249"/>
      <c r="V999" s="249"/>
      <c r="W999" s="249"/>
      <c r="X999" s="249"/>
      <c r="Y999" s="249"/>
      <c r="Z999" s="249"/>
      <c r="AA999" s="249"/>
      <c r="AB999" s="249"/>
      <c r="AC999" s="249"/>
      <c r="AD999" s="249"/>
    </row>
    <row r="1000" spans="1:30" ht="12.9">
      <c r="A1000" s="249"/>
      <c r="B1000" s="249"/>
      <c r="C1000" s="249"/>
      <c r="D1000" s="249"/>
      <c r="E1000" s="249"/>
      <c r="F1000" s="249"/>
      <c r="G1000" s="249"/>
      <c r="H1000" s="249"/>
      <c r="I1000" s="249"/>
      <c r="J1000" s="249"/>
      <c r="K1000" s="249"/>
      <c r="L1000" s="249"/>
      <c r="M1000" s="249"/>
      <c r="N1000" s="249"/>
      <c r="O1000" s="249"/>
      <c r="P1000" s="249"/>
      <c r="Q1000" s="249"/>
      <c r="R1000" s="249"/>
      <c r="S1000" s="249"/>
      <c r="T1000" s="249"/>
      <c r="U1000" s="249"/>
      <c r="V1000" s="249"/>
      <c r="W1000" s="249"/>
      <c r="X1000" s="249"/>
      <c r="Y1000" s="249"/>
      <c r="Z1000" s="249"/>
      <c r="AA1000" s="249"/>
      <c r="AB1000" s="249"/>
      <c r="AC1000" s="249"/>
      <c r="AD1000" s="249"/>
    </row>
    <row r="1001" spans="1:30" ht="12.9">
      <c r="A1001" s="249"/>
      <c r="B1001" s="249"/>
      <c r="C1001" s="249"/>
      <c r="D1001" s="249"/>
      <c r="E1001" s="249"/>
      <c r="F1001" s="249"/>
      <c r="G1001" s="249"/>
      <c r="H1001" s="249"/>
      <c r="I1001" s="249"/>
      <c r="J1001" s="249"/>
      <c r="K1001" s="249"/>
      <c r="L1001" s="249"/>
      <c r="M1001" s="249"/>
      <c r="N1001" s="249"/>
      <c r="O1001" s="249"/>
      <c r="P1001" s="249"/>
      <c r="Q1001" s="249"/>
      <c r="R1001" s="249"/>
      <c r="S1001" s="249"/>
      <c r="T1001" s="249"/>
      <c r="U1001" s="249"/>
      <c r="V1001" s="249"/>
      <c r="W1001" s="249"/>
      <c r="X1001" s="249"/>
      <c r="Y1001" s="249"/>
      <c r="Z1001" s="249"/>
      <c r="AA1001" s="249"/>
      <c r="AB1001" s="249"/>
      <c r="AC1001" s="249"/>
      <c r="AD1001" s="249"/>
    </row>
    <row r="1002" spans="1:30" ht="12.9">
      <c r="A1002" s="249"/>
      <c r="B1002" s="249"/>
      <c r="C1002" s="249"/>
      <c r="D1002" s="249"/>
      <c r="E1002" s="249"/>
      <c r="F1002" s="249"/>
      <c r="G1002" s="249"/>
      <c r="H1002" s="249"/>
      <c r="I1002" s="249"/>
      <c r="J1002" s="249"/>
      <c r="K1002" s="249"/>
      <c r="L1002" s="249"/>
      <c r="M1002" s="249"/>
      <c r="N1002" s="249"/>
      <c r="O1002" s="249"/>
      <c r="P1002" s="249"/>
      <c r="Q1002" s="249"/>
      <c r="R1002" s="249"/>
      <c r="S1002" s="249"/>
      <c r="T1002" s="249"/>
      <c r="U1002" s="249"/>
      <c r="V1002" s="249"/>
      <c r="W1002" s="249"/>
      <c r="X1002" s="249"/>
      <c r="Y1002" s="249"/>
      <c r="Z1002" s="249"/>
      <c r="AA1002" s="249"/>
      <c r="AB1002" s="249"/>
      <c r="AC1002" s="249"/>
      <c r="AD1002" s="249"/>
    </row>
    <row r="1003" spans="1:30" ht="12.9">
      <c r="A1003" s="249"/>
      <c r="B1003" s="249"/>
      <c r="C1003" s="249"/>
      <c r="D1003" s="249"/>
      <c r="E1003" s="249"/>
      <c r="F1003" s="249"/>
      <c r="G1003" s="249"/>
      <c r="H1003" s="249"/>
      <c r="I1003" s="249"/>
      <c r="J1003" s="249"/>
      <c r="K1003" s="249"/>
      <c r="L1003" s="249"/>
      <c r="M1003" s="249"/>
      <c r="N1003" s="249"/>
      <c r="O1003" s="249"/>
      <c r="P1003" s="249"/>
      <c r="Q1003" s="249"/>
      <c r="R1003" s="249"/>
      <c r="S1003" s="249"/>
      <c r="T1003" s="249"/>
      <c r="U1003" s="249"/>
      <c r="V1003" s="249"/>
      <c r="W1003" s="249"/>
      <c r="X1003" s="249"/>
      <c r="Y1003" s="249"/>
      <c r="Z1003" s="249"/>
      <c r="AA1003" s="249"/>
      <c r="AB1003" s="249"/>
      <c r="AC1003" s="249"/>
      <c r="AD1003" s="249"/>
    </row>
    <row r="1004" spans="1:30" ht="12.9">
      <c r="A1004" s="249"/>
      <c r="B1004" s="249"/>
      <c r="C1004" s="249"/>
      <c r="D1004" s="249"/>
      <c r="E1004" s="249"/>
      <c r="F1004" s="249"/>
      <c r="G1004" s="249"/>
      <c r="H1004" s="249"/>
      <c r="I1004" s="249"/>
      <c r="J1004" s="249"/>
      <c r="K1004" s="249"/>
      <c r="L1004" s="249"/>
      <c r="M1004" s="249"/>
      <c r="N1004" s="249"/>
      <c r="O1004" s="249"/>
      <c r="P1004" s="249"/>
      <c r="Q1004" s="249"/>
      <c r="R1004" s="249"/>
      <c r="S1004" s="249"/>
      <c r="T1004" s="249"/>
      <c r="U1004" s="249"/>
      <c r="V1004" s="249"/>
      <c r="W1004" s="249"/>
      <c r="X1004" s="249"/>
      <c r="Y1004" s="249"/>
      <c r="Z1004" s="249"/>
      <c r="AA1004" s="249"/>
      <c r="AB1004" s="249"/>
      <c r="AC1004" s="249"/>
      <c r="AD1004" s="249"/>
    </row>
    <row r="1005" spans="1:30" ht="12.9">
      <c r="A1005" s="249"/>
      <c r="B1005" s="249"/>
      <c r="C1005" s="249"/>
      <c r="D1005" s="249"/>
      <c r="E1005" s="249"/>
      <c r="F1005" s="249"/>
      <c r="G1005" s="249"/>
      <c r="H1005" s="249"/>
      <c r="I1005" s="249"/>
      <c r="J1005" s="249"/>
      <c r="K1005" s="249"/>
      <c r="L1005" s="249"/>
      <c r="M1005" s="249"/>
      <c r="N1005" s="249"/>
      <c r="O1005" s="249"/>
      <c r="P1005" s="249"/>
      <c r="Q1005" s="249"/>
      <c r="R1005" s="249"/>
      <c r="S1005" s="249"/>
      <c r="T1005" s="249"/>
      <c r="U1005" s="249"/>
      <c r="V1005" s="249"/>
      <c r="W1005" s="249"/>
      <c r="X1005" s="249"/>
      <c r="Y1005" s="249"/>
      <c r="Z1005" s="249"/>
      <c r="AA1005" s="249"/>
      <c r="AB1005" s="249"/>
      <c r="AC1005" s="249"/>
      <c r="AD1005" s="249"/>
    </row>
    <row r="1006" spans="1:30" ht="12.9">
      <c r="A1006" s="249"/>
      <c r="B1006" s="249"/>
      <c r="C1006" s="249"/>
      <c r="D1006" s="249"/>
      <c r="E1006" s="249"/>
      <c r="F1006" s="249"/>
      <c r="G1006" s="249"/>
      <c r="H1006" s="249"/>
      <c r="I1006" s="249"/>
      <c r="J1006" s="249"/>
      <c r="K1006" s="249"/>
      <c r="L1006" s="249"/>
      <c r="M1006" s="249"/>
      <c r="N1006" s="249"/>
      <c r="O1006" s="249"/>
      <c r="P1006" s="249"/>
      <c r="Q1006" s="249"/>
      <c r="R1006" s="249"/>
      <c r="S1006" s="249"/>
      <c r="T1006" s="249"/>
      <c r="U1006" s="249"/>
      <c r="V1006" s="249"/>
      <c r="W1006" s="249"/>
      <c r="X1006" s="249"/>
      <c r="Y1006" s="249"/>
      <c r="Z1006" s="249"/>
      <c r="AA1006" s="249"/>
      <c r="AB1006" s="249"/>
      <c r="AC1006" s="249"/>
      <c r="AD1006" s="249"/>
    </row>
    <row r="1007" spans="1:30" ht="12.9">
      <c r="A1007" s="249"/>
      <c r="B1007" s="249"/>
      <c r="C1007" s="249"/>
      <c r="D1007" s="249"/>
      <c r="E1007" s="249"/>
      <c r="F1007" s="249"/>
      <c r="G1007" s="249"/>
      <c r="H1007" s="249"/>
      <c r="I1007" s="249"/>
      <c r="J1007" s="249"/>
      <c r="K1007" s="249"/>
      <c r="L1007" s="249"/>
      <c r="M1007" s="249"/>
      <c r="N1007" s="249"/>
      <c r="O1007" s="249"/>
      <c r="P1007" s="249"/>
      <c r="Q1007" s="249"/>
      <c r="R1007" s="249"/>
      <c r="S1007" s="249"/>
      <c r="T1007" s="249"/>
      <c r="U1007" s="249"/>
      <c r="V1007" s="249"/>
      <c r="W1007" s="249"/>
      <c r="X1007" s="249"/>
      <c r="Y1007" s="249"/>
      <c r="Z1007" s="249"/>
      <c r="AA1007" s="249"/>
      <c r="AB1007" s="249"/>
      <c r="AC1007" s="249"/>
      <c r="AD1007" s="249"/>
    </row>
    <row r="1008" spans="1:30" ht="12.9">
      <c r="A1008" s="249"/>
      <c r="B1008" s="249"/>
      <c r="C1008" s="249"/>
      <c r="D1008" s="249"/>
      <c r="E1008" s="249"/>
      <c r="F1008" s="249"/>
      <c r="G1008" s="249"/>
      <c r="H1008" s="249"/>
      <c r="I1008" s="249"/>
      <c r="J1008" s="249"/>
      <c r="K1008" s="249"/>
      <c r="L1008" s="249"/>
      <c r="M1008" s="249"/>
      <c r="N1008" s="249"/>
      <c r="O1008" s="249"/>
      <c r="P1008" s="249"/>
      <c r="Q1008" s="249"/>
      <c r="R1008" s="249"/>
      <c r="S1008" s="249"/>
      <c r="T1008" s="249"/>
      <c r="U1008" s="249"/>
      <c r="V1008" s="249"/>
      <c r="W1008" s="249"/>
      <c r="X1008" s="249"/>
      <c r="Y1008" s="249"/>
      <c r="Z1008" s="249"/>
      <c r="AA1008" s="249"/>
      <c r="AB1008" s="249"/>
      <c r="AC1008" s="249"/>
      <c r="AD1008" s="249"/>
    </row>
    <row r="1009" spans="1:30" ht="12.9">
      <c r="A1009" s="249"/>
      <c r="B1009" s="249"/>
      <c r="C1009" s="249"/>
      <c r="D1009" s="249"/>
      <c r="E1009" s="249"/>
      <c r="F1009" s="249"/>
      <c r="G1009" s="249"/>
      <c r="H1009" s="249"/>
      <c r="I1009" s="249"/>
      <c r="J1009" s="249"/>
      <c r="K1009" s="249"/>
      <c r="L1009" s="249"/>
      <c r="M1009" s="249"/>
      <c r="N1009" s="249"/>
      <c r="O1009" s="249"/>
      <c r="P1009" s="249"/>
      <c r="Q1009" s="249"/>
      <c r="R1009" s="249"/>
      <c r="S1009" s="249"/>
      <c r="T1009" s="249"/>
      <c r="U1009" s="249"/>
      <c r="V1009" s="249"/>
      <c r="W1009" s="249"/>
      <c r="X1009" s="249"/>
      <c r="Y1009" s="249"/>
      <c r="Z1009" s="249"/>
      <c r="AA1009" s="249"/>
      <c r="AB1009" s="249"/>
      <c r="AC1009" s="249"/>
      <c r="AD1009" s="249"/>
    </row>
    <row r="1010" spans="1:30" ht="12.9">
      <c r="A1010" s="249"/>
      <c r="B1010" s="249"/>
      <c r="C1010" s="249"/>
      <c r="D1010" s="249"/>
      <c r="E1010" s="249"/>
      <c r="F1010" s="249"/>
      <c r="G1010" s="249"/>
      <c r="H1010" s="249"/>
      <c r="I1010" s="249"/>
      <c r="J1010" s="249"/>
      <c r="K1010" s="249"/>
      <c r="L1010" s="249"/>
      <c r="M1010" s="249"/>
      <c r="N1010" s="249"/>
      <c r="O1010" s="249"/>
      <c r="P1010" s="249"/>
      <c r="Q1010" s="249"/>
      <c r="R1010" s="249"/>
      <c r="S1010" s="249"/>
      <c r="T1010" s="249"/>
      <c r="U1010" s="249"/>
      <c r="V1010" s="249"/>
      <c r="W1010" s="249"/>
      <c r="X1010" s="249"/>
      <c r="Y1010" s="249"/>
      <c r="Z1010" s="249"/>
      <c r="AA1010" s="249"/>
      <c r="AB1010" s="249"/>
      <c r="AC1010" s="249"/>
      <c r="AD1010" s="249"/>
    </row>
    <row r="1011" spans="1:30" ht="12.9">
      <c r="A1011" s="249"/>
      <c r="B1011" s="249"/>
      <c r="C1011" s="249"/>
      <c r="D1011" s="249"/>
      <c r="E1011" s="249"/>
      <c r="F1011" s="249"/>
      <c r="G1011" s="249"/>
      <c r="H1011" s="249"/>
      <c r="I1011" s="249"/>
      <c r="J1011" s="249"/>
      <c r="K1011" s="249"/>
      <c r="L1011" s="249"/>
      <c r="M1011" s="249"/>
      <c r="N1011" s="249"/>
      <c r="O1011" s="249"/>
      <c r="P1011" s="249"/>
      <c r="Q1011" s="249"/>
      <c r="R1011" s="249"/>
      <c r="S1011" s="249"/>
      <c r="T1011" s="249"/>
      <c r="U1011" s="249"/>
      <c r="V1011" s="249"/>
      <c r="W1011" s="249"/>
      <c r="X1011" s="249"/>
      <c r="Y1011" s="249"/>
      <c r="Z1011" s="249"/>
      <c r="AA1011" s="249"/>
      <c r="AB1011" s="249"/>
      <c r="AC1011" s="249"/>
      <c r="AD1011" s="249"/>
    </row>
    <row r="1012" spans="1:30" ht="12.9">
      <c r="A1012" s="249"/>
      <c r="B1012" s="249"/>
      <c r="C1012" s="249"/>
      <c r="D1012" s="249"/>
      <c r="E1012" s="249"/>
      <c r="F1012" s="249"/>
      <c r="G1012" s="249"/>
      <c r="H1012" s="249"/>
      <c r="I1012" s="249"/>
      <c r="J1012" s="249"/>
      <c r="K1012" s="249"/>
      <c r="L1012" s="249"/>
      <c r="M1012" s="249"/>
      <c r="N1012" s="249"/>
      <c r="O1012" s="249"/>
      <c r="P1012" s="249"/>
      <c r="Q1012" s="249"/>
      <c r="R1012" s="249"/>
      <c r="S1012" s="249"/>
      <c r="T1012" s="249"/>
      <c r="U1012" s="249"/>
      <c r="V1012" s="249"/>
      <c r="W1012" s="249"/>
      <c r="X1012" s="249"/>
      <c r="Y1012" s="249"/>
      <c r="Z1012" s="249"/>
      <c r="AA1012" s="249"/>
      <c r="AB1012" s="249"/>
      <c r="AC1012" s="249"/>
      <c r="AD1012" s="249"/>
    </row>
    <row r="1013" spans="1:30" ht="12.9">
      <c r="A1013" s="249"/>
      <c r="B1013" s="249"/>
      <c r="C1013" s="249"/>
      <c r="D1013" s="249"/>
      <c r="E1013" s="249"/>
      <c r="F1013" s="249"/>
      <c r="G1013" s="249"/>
      <c r="H1013" s="249"/>
      <c r="I1013" s="249"/>
      <c r="J1013" s="249"/>
      <c r="K1013" s="249"/>
      <c r="L1013" s="249"/>
      <c r="M1013" s="249"/>
      <c r="N1013" s="249"/>
      <c r="O1013" s="249"/>
      <c r="P1013" s="249"/>
      <c r="Q1013" s="249"/>
      <c r="R1013" s="249"/>
      <c r="S1013" s="249"/>
      <c r="T1013" s="249"/>
      <c r="U1013" s="249"/>
      <c r="V1013" s="249"/>
      <c r="W1013" s="249"/>
      <c r="X1013" s="249"/>
      <c r="Y1013" s="249"/>
      <c r="Z1013" s="249"/>
      <c r="AA1013" s="249"/>
      <c r="AB1013" s="249"/>
      <c r="AC1013" s="249"/>
      <c r="AD1013" s="249"/>
    </row>
    <row r="1014" spans="1:30" ht="12.9">
      <c r="A1014" s="249"/>
      <c r="B1014" s="249"/>
      <c r="C1014" s="249"/>
      <c r="D1014" s="249"/>
      <c r="E1014" s="249"/>
      <c r="F1014" s="249"/>
      <c r="G1014" s="249"/>
      <c r="H1014" s="249"/>
      <c r="I1014" s="249"/>
      <c r="J1014" s="249"/>
      <c r="K1014" s="249"/>
      <c r="L1014" s="249"/>
      <c r="M1014" s="249"/>
      <c r="N1014" s="249"/>
      <c r="O1014" s="249"/>
      <c r="P1014" s="249"/>
      <c r="Q1014" s="249"/>
      <c r="R1014" s="249"/>
      <c r="S1014" s="249"/>
      <c r="T1014" s="249"/>
      <c r="U1014" s="249"/>
      <c r="V1014" s="249"/>
      <c r="W1014" s="249"/>
      <c r="X1014" s="249"/>
      <c r="Y1014" s="249"/>
      <c r="Z1014" s="249"/>
      <c r="AA1014" s="249"/>
      <c r="AB1014" s="249"/>
      <c r="AC1014" s="249"/>
      <c r="AD1014" s="249"/>
    </row>
    <row r="1015" spans="1:30" ht="12.9">
      <c r="A1015" s="249"/>
      <c r="B1015" s="249"/>
      <c r="C1015" s="249"/>
      <c r="D1015" s="249"/>
      <c r="E1015" s="249"/>
      <c r="F1015" s="249"/>
      <c r="G1015" s="249"/>
      <c r="H1015" s="249"/>
      <c r="I1015" s="249"/>
      <c r="J1015" s="249"/>
      <c r="K1015" s="249"/>
      <c r="L1015" s="249"/>
      <c r="M1015" s="249"/>
      <c r="N1015" s="249"/>
      <c r="O1015" s="249"/>
      <c r="P1015" s="249"/>
      <c r="Q1015" s="249"/>
      <c r="R1015" s="249"/>
      <c r="S1015" s="249"/>
      <c r="T1015" s="249"/>
      <c r="U1015" s="249"/>
      <c r="V1015" s="249"/>
      <c r="W1015" s="249"/>
      <c r="X1015" s="249"/>
      <c r="Y1015" s="249"/>
      <c r="Z1015" s="249"/>
      <c r="AA1015" s="249"/>
      <c r="AB1015" s="249"/>
      <c r="AC1015" s="249"/>
      <c r="AD1015" s="249"/>
    </row>
    <row r="1016" spans="1:30" ht="12.9">
      <c r="A1016" s="249"/>
      <c r="B1016" s="249"/>
      <c r="C1016" s="249"/>
      <c r="D1016" s="249"/>
      <c r="E1016" s="249"/>
      <c r="F1016" s="249"/>
      <c r="G1016" s="249"/>
      <c r="H1016" s="249"/>
      <c r="I1016" s="249"/>
      <c r="J1016" s="249"/>
      <c r="K1016" s="249"/>
      <c r="L1016" s="249"/>
      <c r="M1016" s="249"/>
      <c r="N1016" s="249"/>
      <c r="O1016" s="249"/>
      <c r="P1016" s="249"/>
      <c r="Q1016" s="249"/>
      <c r="R1016" s="249"/>
      <c r="S1016" s="249"/>
      <c r="T1016" s="249"/>
      <c r="U1016" s="249"/>
      <c r="V1016" s="249"/>
      <c r="W1016" s="249"/>
      <c r="X1016" s="249"/>
      <c r="Y1016" s="249"/>
      <c r="Z1016" s="249"/>
      <c r="AA1016" s="249"/>
      <c r="AB1016" s="249"/>
      <c r="AC1016" s="249"/>
      <c r="AD1016" s="249"/>
    </row>
    <row r="1017" spans="1:30" ht="12.9">
      <c r="A1017" s="249"/>
      <c r="B1017" s="249"/>
      <c r="C1017" s="249"/>
      <c r="D1017" s="249"/>
      <c r="E1017" s="249"/>
      <c r="F1017" s="249"/>
      <c r="G1017" s="249"/>
      <c r="H1017" s="249"/>
      <c r="I1017" s="249"/>
      <c r="J1017" s="249"/>
      <c r="K1017" s="249"/>
      <c r="L1017" s="249"/>
      <c r="M1017" s="249"/>
      <c r="N1017" s="249"/>
      <c r="O1017" s="249"/>
      <c r="P1017" s="249"/>
      <c r="Q1017" s="249"/>
      <c r="R1017" s="249"/>
      <c r="S1017" s="249"/>
      <c r="T1017" s="249"/>
      <c r="U1017" s="249"/>
      <c r="V1017" s="249"/>
      <c r="W1017" s="249"/>
      <c r="X1017" s="249"/>
      <c r="Y1017" s="249"/>
      <c r="Z1017" s="249"/>
      <c r="AA1017" s="249"/>
      <c r="AB1017" s="249"/>
      <c r="AC1017" s="249"/>
      <c r="AD1017" s="249"/>
    </row>
    <row r="1018" spans="1:30" ht="12.9">
      <c r="A1018" s="249"/>
      <c r="B1018" s="249"/>
      <c r="C1018" s="249"/>
      <c r="D1018" s="249"/>
      <c r="E1018" s="249"/>
      <c r="F1018" s="249"/>
      <c r="G1018" s="249"/>
      <c r="H1018" s="249"/>
      <c r="I1018" s="249"/>
      <c r="J1018" s="249"/>
      <c r="K1018" s="249"/>
      <c r="L1018" s="249"/>
      <c r="M1018" s="249"/>
      <c r="N1018" s="249"/>
      <c r="O1018" s="249"/>
      <c r="P1018" s="249"/>
      <c r="Q1018" s="249"/>
      <c r="R1018" s="249"/>
      <c r="S1018" s="249"/>
      <c r="T1018" s="249"/>
      <c r="U1018" s="249"/>
      <c r="V1018" s="249"/>
      <c r="W1018" s="249"/>
      <c r="X1018" s="249"/>
      <c r="Y1018" s="249"/>
      <c r="Z1018" s="249"/>
      <c r="AA1018" s="249"/>
      <c r="AB1018" s="249"/>
      <c r="AC1018" s="249"/>
      <c r="AD1018" s="249"/>
    </row>
    <row r="1019" spans="1:30" ht="12.9">
      <c r="A1019" s="249"/>
      <c r="B1019" s="249"/>
      <c r="C1019" s="249"/>
      <c r="D1019" s="249"/>
      <c r="E1019" s="249"/>
      <c r="F1019" s="249"/>
      <c r="G1019" s="249"/>
      <c r="H1019" s="249"/>
      <c r="I1019" s="249"/>
      <c r="J1019" s="249"/>
      <c r="K1019" s="249"/>
      <c r="L1019" s="249"/>
      <c r="M1019" s="249"/>
      <c r="N1019" s="249"/>
      <c r="O1019" s="249"/>
      <c r="P1019" s="249"/>
      <c r="Q1019" s="249"/>
      <c r="R1019" s="249"/>
      <c r="S1019" s="249"/>
      <c r="T1019" s="249"/>
      <c r="U1019" s="249"/>
      <c r="V1019" s="249"/>
      <c r="W1019" s="249"/>
      <c r="X1019" s="249"/>
      <c r="Y1019" s="249"/>
      <c r="Z1019" s="249"/>
      <c r="AA1019" s="249"/>
      <c r="AB1019" s="249"/>
      <c r="AC1019" s="249"/>
      <c r="AD1019" s="249"/>
    </row>
    <row r="1020" spans="1:30" ht="12.9">
      <c r="A1020" s="249"/>
      <c r="B1020" s="249"/>
      <c r="C1020" s="249"/>
      <c r="D1020" s="249"/>
      <c r="E1020" s="249"/>
      <c r="F1020" s="249"/>
      <c r="G1020" s="249"/>
      <c r="H1020" s="249"/>
      <c r="I1020" s="249"/>
      <c r="J1020" s="249"/>
      <c r="K1020" s="249"/>
      <c r="L1020" s="249"/>
      <c r="M1020" s="249"/>
      <c r="N1020" s="249"/>
      <c r="O1020" s="249"/>
      <c r="P1020" s="249"/>
      <c r="Q1020" s="249"/>
      <c r="R1020" s="249"/>
      <c r="S1020" s="249"/>
      <c r="T1020" s="249"/>
      <c r="U1020" s="249"/>
      <c r="V1020" s="249"/>
      <c r="W1020" s="249"/>
      <c r="X1020" s="249"/>
      <c r="Y1020" s="249"/>
      <c r="Z1020" s="249"/>
      <c r="AA1020" s="249"/>
      <c r="AB1020" s="249"/>
      <c r="AC1020" s="249"/>
      <c r="AD1020" s="249"/>
    </row>
    <row r="1021" spans="1:30" ht="12.9">
      <c r="A1021" s="249"/>
      <c r="B1021" s="249"/>
      <c r="C1021" s="249"/>
      <c r="D1021" s="249"/>
      <c r="E1021" s="249"/>
      <c r="F1021" s="249"/>
      <c r="G1021" s="249"/>
      <c r="H1021" s="249"/>
      <c r="I1021" s="249"/>
      <c r="J1021" s="249"/>
      <c r="K1021" s="249"/>
      <c r="L1021" s="249"/>
      <c r="M1021" s="249"/>
      <c r="N1021" s="249"/>
      <c r="O1021" s="249"/>
      <c r="P1021" s="249"/>
      <c r="Q1021" s="249"/>
      <c r="R1021" s="249"/>
      <c r="S1021" s="249"/>
      <c r="T1021" s="249"/>
      <c r="U1021" s="249"/>
      <c r="V1021" s="249"/>
      <c r="W1021" s="249"/>
      <c r="X1021" s="249"/>
      <c r="Y1021" s="249"/>
      <c r="Z1021" s="249"/>
      <c r="AA1021" s="249"/>
      <c r="AB1021" s="249"/>
      <c r="AC1021" s="249"/>
      <c r="AD1021" s="249"/>
    </row>
    <row r="1022" spans="1:30" ht="12.9">
      <c r="A1022" s="249"/>
      <c r="B1022" s="249"/>
      <c r="C1022" s="249"/>
      <c r="D1022" s="249"/>
      <c r="E1022" s="249"/>
      <c r="F1022" s="249"/>
      <c r="G1022" s="249"/>
      <c r="H1022" s="249"/>
      <c r="I1022" s="249"/>
      <c r="J1022" s="249"/>
      <c r="K1022" s="249"/>
      <c r="L1022" s="249"/>
      <c r="M1022" s="249"/>
      <c r="N1022" s="249"/>
      <c r="O1022" s="249"/>
      <c r="P1022" s="249"/>
      <c r="Q1022" s="249"/>
      <c r="R1022" s="249"/>
      <c r="S1022" s="249"/>
      <c r="T1022" s="249"/>
      <c r="U1022" s="249"/>
      <c r="V1022" s="249"/>
      <c r="W1022" s="249"/>
      <c r="X1022" s="249"/>
      <c r="Y1022" s="249"/>
      <c r="Z1022" s="249"/>
      <c r="AA1022" s="249"/>
      <c r="AB1022" s="249"/>
      <c r="AC1022" s="249"/>
      <c r="AD1022" s="249"/>
    </row>
    <row r="1023" spans="1:30" ht="12.9">
      <c r="A1023" s="249"/>
      <c r="B1023" s="249"/>
      <c r="C1023" s="249"/>
      <c r="D1023" s="249"/>
      <c r="E1023" s="249"/>
      <c r="F1023" s="249"/>
      <c r="G1023" s="249"/>
      <c r="H1023" s="249"/>
      <c r="I1023" s="249"/>
      <c r="J1023" s="249"/>
      <c r="K1023" s="249"/>
      <c r="L1023" s="249"/>
      <c r="M1023" s="249"/>
      <c r="N1023" s="249"/>
      <c r="O1023" s="249"/>
      <c r="P1023" s="249"/>
      <c r="Q1023" s="249"/>
      <c r="R1023" s="249"/>
      <c r="S1023" s="249"/>
      <c r="T1023" s="249"/>
      <c r="U1023" s="249"/>
      <c r="V1023" s="249"/>
      <c r="W1023" s="249"/>
      <c r="X1023" s="249"/>
      <c r="Y1023" s="249"/>
      <c r="Z1023" s="249"/>
      <c r="AA1023" s="249"/>
      <c r="AB1023" s="249"/>
      <c r="AC1023" s="249"/>
      <c r="AD1023" s="249"/>
    </row>
    <row r="1024" spans="1:30" ht="12.9">
      <c r="A1024" s="249"/>
      <c r="B1024" s="249"/>
      <c r="C1024" s="249"/>
      <c r="D1024" s="249"/>
      <c r="E1024" s="249"/>
      <c r="F1024" s="249"/>
      <c r="G1024" s="249"/>
      <c r="H1024" s="249"/>
      <c r="I1024" s="249"/>
      <c r="J1024" s="249"/>
      <c r="K1024" s="249"/>
      <c r="L1024" s="249"/>
      <c r="M1024" s="249"/>
      <c r="N1024" s="249"/>
      <c r="O1024" s="249"/>
      <c r="P1024" s="249"/>
      <c r="Q1024" s="249"/>
      <c r="R1024" s="249"/>
      <c r="S1024" s="249"/>
      <c r="T1024" s="249"/>
      <c r="U1024" s="249"/>
      <c r="V1024" s="249"/>
      <c r="W1024" s="249"/>
      <c r="X1024" s="249"/>
      <c r="Y1024" s="249"/>
      <c r="Z1024" s="249"/>
      <c r="AA1024" s="249"/>
      <c r="AB1024" s="249"/>
      <c r="AC1024" s="249"/>
      <c r="AD1024" s="249"/>
    </row>
    <row r="1025" spans="1:30" ht="12.9">
      <c r="A1025" s="249"/>
      <c r="B1025" s="249"/>
      <c r="C1025" s="249"/>
      <c r="D1025" s="249"/>
      <c r="E1025" s="249"/>
      <c r="F1025" s="249"/>
      <c r="G1025" s="249"/>
      <c r="H1025" s="249"/>
      <c r="I1025" s="249"/>
      <c r="J1025" s="249"/>
      <c r="K1025" s="249"/>
      <c r="L1025" s="249"/>
      <c r="M1025" s="249"/>
      <c r="N1025" s="249"/>
      <c r="O1025" s="249"/>
      <c r="P1025" s="249"/>
      <c r="Q1025" s="249"/>
      <c r="R1025" s="249"/>
      <c r="S1025" s="249"/>
      <c r="T1025" s="249"/>
      <c r="U1025" s="249"/>
      <c r="V1025" s="249"/>
      <c r="W1025" s="249"/>
      <c r="X1025" s="249"/>
      <c r="Y1025" s="249"/>
      <c r="Z1025" s="249"/>
      <c r="AA1025" s="249"/>
      <c r="AB1025" s="249"/>
      <c r="AC1025" s="249"/>
      <c r="AD1025" s="249"/>
    </row>
    <row r="1026" spans="1:30" ht="12.9">
      <c r="A1026" s="249"/>
      <c r="B1026" s="249"/>
      <c r="C1026" s="249"/>
      <c r="D1026" s="249"/>
      <c r="E1026" s="249"/>
      <c r="F1026" s="249"/>
      <c r="G1026" s="249"/>
      <c r="H1026" s="249"/>
      <c r="I1026" s="249"/>
      <c r="J1026" s="249"/>
      <c r="K1026" s="249"/>
      <c r="L1026" s="249"/>
      <c r="M1026" s="249"/>
      <c r="N1026" s="249"/>
      <c r="O1026" s="249"/>
      <c r="P1026" s="249"/>
      <c r="Q1026" s="249"/>
      <c r="R1026" s="249"/>
      <c r="S1026" s="249"/>
      <c r="T1026" s="249"/>
      <c r="U1026" s="249"/>
      <c r="V1026" s="249"/>
      <c r="W1026" s="249"/>
      <c r="X1026" s="249"/>
      <c r="Y1026" s="249"/>
      <c r="Z1026" s="249"/>
      <c r="AA1026" s="249"/>
      <c r="AB1026" s="249"/>
      <c r="AC1026" s="249"/>
      <c r="AD1026" s="249"/>
    </row>
    <row r="1027" spans="1:30" ht="12.9">
      <c r="A1027" s="249"/>
      <c r="B1027" s="249"/>
      <c r="C1027" s="249"/>
      <c r="D1027" s="249"/>
      <c r="E1027" s="249"/>
      <c r="F1027" s="249"/>
      <c r="G1027" s="249"/>
      <c r="H1027" s="249"/>
      <c r="I1027" s="249"/>
      <c r="J1027" s="249"/>
      <c r="K1027" s="249"/>
      <c r="L1027" s="249"/>
      <c r="M1027" s="249"/>
      <c r="N1027" s="249"/>
      <c r="O1027" s="249"/>
      <c r="P1027" s="249"/>
      <c r="Q1027" s="249"/>
      <c r="R1027" s="249"/>
      <c r="S1027" s="249"/>
      <c r="T1027" s="249"/>
      <c r="U1027" s="249"/>
      <c r="V1027" s="249"/>
      <c r="W1027" s="249"/>
      <c r="X1027" s="249"/>
      <c r="Y1027" s="249"/>
      <c r="Z1027" s="249"/>
      <c r="AA1027" s="249"/>
      <c r="AB1027" s="249"/>
      <c r="AC1027" s="249"/>
      <c r="AD1027" s="249"/>
    </row>
    <row r="1028" spans="1:30" ht="12.9">
      <c r="A1028" s="249"/>
      <c r="B1028" s="249"/>
      <c r="C1028" s="249"/>
      <c r="D1028" s="249"/>
      <c r="E1028" s="249"/>
      <c r="F1028" s="249"/>
      <c r="G1028" s="249"/>
      <c r="H1028" s="249"/>
      <c r="I1028" s="249"/>
      <c r="J1028" s="249"/>
      <c r="K1028" s="249"/>
      <c r="L1028" s="249"/>
      <c r="M1028" s="249"/>
      <c r="N1028" s="249"/>
      <c r="O1028" s="249"/>
      <c r="P1028" s="249"/>
      <c r="Q1028" s="249"/>
      <c r="R1028" s="249"/>
      <c r="S1028" s="249"/>
      <c r="T1028" s="249"/>
      <c r="U1028" s="249"/>
      <c r="V1028" s="249"/>
      <c r="W1028" s="249"/>
      <c r="X1028" s="249"/>
      <c r="Y1028" s="249"/>
      <c r="Z1028" s="249"/>
      <c r="AA1028" s="249"/>
      <c r="AB1028" s="249"/>
      <c r="AC1028" s="249"/>
      <c r="AD1028" s="249"/>
    </row>
    <row r="1029" spans="1:30" ht="12.9">
      <c r="A1029" s="249"/>
      <c r="B1029" s="249"/>
      <c r="C1029" s="249"/>
      <c r="D1029" s="249"/>
      <c r="E1029" s="249"/>
      <c r="F1029" s="249"/>
      <c r="G1029" s="249"/>
      <c r="H1029" s="249"/>
      <c r="I1029" s="249"/>
      <c r="J1029" s="249"/>
      <c r="K1029" s="249"/>
      <c r="L1029" s="249"/>
      <c r="M1029" s="249"/>
      <c r="N1029" s="249"/>
      <c r="O1029" s="249"/>
      <c r="P1029" s="249"/>
      <c r="Q1029" s="249"/>
      <c r="R1029" s="249"/>
      <c r="S1029" s="249"/>
      <c r="T1029" s="249"/>
      <c r="U1029" s="249"/>
      <c r="V1029" s="249"/>
      <c r="W1029" s="249"/>
      <c r="X1029" s="249"/>
      <c r="Y1029" s="249"/>
      <c r="Z1029" s="249"/>
      <c r="AA1029" s="249"/>
      <c r="AB1029" s="249"/>
      <c r="AC1029" s="249"/>
      <c r="AD1029" s="249"/>
    </row>
    <row r="1030" spans="1:30" ht="12.9">
      <c r="A1030" s="249"/>
      <c r="B1030" s="249"/>
      <c r="C1030" s="249"/>
      <c r="D1030" s="249"/>
      <c r="E1030" s="249"/>
      <c r="F1030" s="249"/>
      <c r="G1030" s="249"/>
      <c r="H1030" s="249"/>
      <c r="I1030" s="249"/>
      <c r="J1030" s="249"/>
      <c r="K1030" s="249"/>
      <c r="L1030" s="249"/>
      <c r="M1030" s="249"/>
      <c r="N1030" s="249"/>
      <c r="O1030" s="249"/>
      <c r="P1030" s="249"/>
      <c r="Q1030" s="249"/>
      <c r="R1030" s="249"/>
      <c r="S1030" s="249"/>
      <c r="T1030" s="249"/>
      <c r="U1030" s="249"/>
      <c r="V1030" s="249"/>
      <c r="W1030" s="249"/>
      <c r="X1030" s="249"/>
      <c r="Y1030" s="249"/>
      <c r="Z1030" s="249"/>
      <c r="AA1030" s="249"/>
      <c r="AB1030" s="249"/>
      <c r="AC1030" s="249"/>
      <c r="AD1030" s="249"/>
    </row>
    <row r="1031" spans="1:30" ht="12.9">
      <c r="A1031" s="249"/>
      <c r="B1031" s="249"/>
      <c r="C1031" s="249"/>
      <c r="D1031" s="249"/>
      <c r="E1031" s="249"/>
      <c r="F1031" s="249"/>
      <c r="G1031" s="249"/>
      <c r="H1031" s="249"/>
      <c r="I1031" s="249"/>
      <c r="J1031" s="249"/>
      <c r="K1031" s="249"/>
      <c r="L1031" s="249"/>
      <c r="M1031" s="249"/>
      <c r="N1031" s="249"/>
      <c r="O1031" s="249"/>
      <c r="P1031" s="249"/>
      <c r="Q1031" s="249"/>
      <c r="R1031" s="249"/>
      <c r="S1031" s="249"/>
      <c r="T1031" s="249"/>
      <c r="U1031" s="249"/>
      <c r="V1031" s="249"/>
      <c r="W1031" s="249"/>
      <c r="X1031" s="249"/>
      <c r="Y1031" s="249"/>
      <c r="Z1031" s="249"/>
      <c r="AA1031" s="249"/>
      <c r="AB1031" s="249"/>
      <c r="AC1031" s="249"/>
      <c r="AD1031" s="249"/>
    </row>
    <row r="1032" spans="1:30" ht="12.9">
      <c r="A1032" s="249"/>
      <c r="B1032" s="249"/>
      <c r="C1032" s="249"/>
      <c r="D1032" s="249"/>
      <c r="E1032" s="249"/>
      <c r="F1032" s="249"/>
      <c r="G1032" s="249"/>
      <c r="H1032" s="249"/>
      <c r="I1032" s="249"/>
      <c r="J1032" s="249"/>
      <c r="K1032" s="249"/>
      <c r="L1032" s="249"/>
      <c r="M1032" s="249"/>
      <c r="N1032" s="249"/>
      <c r="O1032" s="249"/>
      <c r="P1032" s="249"/>
      <c r="Q1032" s="249"/>
      <c r="R1032" s="249"/>
      <c r="S1032" s="249"/>
      <c r="T1032" s="249"/>
      <c r="U1032" s="249"/>
      <c r="V1032" s="249"/>
      <c r="W1032" s="249"/>
      <c r="X1032" s="249"/>
      <c r="Y1032" s="249"/>
      <c r="Z1032" s="249"/>
      <c r="AA1032" s="249"/>
      <c r="AB1032" s="249"/>
      <c r="AC1032" s="249"/>
      <c r="AD1032" s="249"/>
    </row>
    <row r="1033" spans="1:30" ht="12.9">
      <c r="A1033" s="249"/>
      <c r="B1033" s="249"/>
      <c r="C1033" s="249"/>
      <c r="D1033" s="249"/>
      <c r="E1033" s="249"/>
      <c r="F1033" s="249"/>
      <c r="G1033" s="249"/>
      <c r="H1033" s="249"/>
      <c r="I1033" s="249"/>
      <c r="J1033" s="249"/>
      <c r="K1033" s="249"/>
      <c r="L1033" s="249"/>
      <c r="M1033" s="249"/>
      <c r="N1033" s="249"/>
      <c r="O1033" s="249"/>
      <c r="P1033" s="249"/>
      <c r="Q1033" s="249"/>
      <c r="R1033" s="249"/>
      <c r="S1033" s="249"/>
      <c r="T1033" s="249"/>
      <c r="U1033" s="249"/>
      <c r="V1033" s="249"/>
      <c r="W1033" s="249"/>
      <c r="X1033" s="249"/>
      <c r="Y1033" s="249"/>
      <c r="Z1033" s="249"/>
      <c r="AA1033" s="249"/>
      <c r="AB1033" s="249"/>
      <c r="AC1033" s="249"/>
      <c r="AD1033" s="249"/>
    </row>
    <row r="1034" spans="1:30" ht="12.9">
      <c r="A1034" s="249"/>
      <c r="B1034" s="249"/>
      <c r="C1034" s="249"/>
      <c r="D1034" s="249"/>
      <c r="E1034" s="249"/>
      <c r="F1034" s="249"/>
      <c r="G1034" s="249"/>
      <c r="H1034" s="249"/>
      <c r="I1034" s="249"/>
      <c r="J1034" s="249"/>
      <c r="K1034" s="249"/>
      <c r="L1034" s="249"/>
      <c r="M1034" s="249"/>
      <c r="N1034" s="249"/>
      <c r="O1034" s="249"/>
      <c r="P1034" s="249"/>
      <c r="Q1034" s="249"/>
      <c r="R1034" s="249"/>
      <c r="S1034" s="249"/>
      <c r="T1034" s="249"/>
      <c r="U1034" s="249"/>
      <c r="V1034" s="249"/>
      <c r="W1034" s="249"/>
      <c r="X1034" s="249"/>
      <c r="Y1034" s="249"/>
      <c r="Z1034" s="249"/>
      <c r="AA1034" s="249"/>
      <c r="AB1034" s="249"/>
      <c r="AC1034" s="249"/>
      <c r="AD1034" s="249"/>
    </row>
    <row r="1035" spans="1:30" ht="12.9">
      <c r="A1035" s="249"/>
      <c r="B1035" s="249"/>
      <c r="C1035" s="249"/>
      <c r="D1035" s="249"/>
      <c r="E1035" s="249"/>
      <c r="F1035" s="249"/>
      <c r="G1035" s="249"/>
      <c r="H1035" s="249"/>
      <c r="I1035" s="249"/>
      <c r="J1035" s="249"/>
      <c r="K1035" s="249"/>
      <c r="L1035" s="249"/>
      <c r="M1035" s="249"/>
      <c r="N1035" s="249"/>
      <c r="O1035" s="249"/>
      <c r="P1035" s="249"/>
      <c r="Q1035" s="249"/>
      <c r="R1035" s="249"/>
      <c r="S1035" s="249"/>
      <c r="T1035" s="249"/>
      <c r="U1035" s="249"/>
      <c r="V1035" s="249"/>
      <c r="W1035" s="249"/>
      <c r="X1035" s="249"/>
      <c r="Y1035" s="249"/>
      <c r="Z1035" s="249"/>
      <c r="AA1035" s="249"/>
      <c r="AB1035" s="249"/>
      <c r="AC1035" s="249"/>
      <c r="AD1035" s="249"/>
    </row>
    <row r="1036" spans="1:30" ht="12.9">
      <c r="A1036" s="249"/>
      <c r="B1036" s="249"/>
      <c r="C1036" s="249"/>
      <c r="D1036" s="249"/>
      <c r="E1036" s="249"/>
      <c r="F1036" s="249"/>
      <c r="G1036" s="249"/>
      <c r="H1036" s="249"/>
      <c r="I1036" s="249"/>
      <c r="J1036" s="249"/>
      <c r="K1036" s="249"/>
      <c r="L1036" s="249"/>
      <c r="M1036" s="249"/>
      <c r="N1036" s="249"/>
      <c r="O1036" s="249"/>
      <c r="P1036" s="249"/>
      <c r="Q1036" s="249"/>
      <c r="R1036" s="249"/>
      <c r="S1036" s="249"/>
      <c r="T1036" s="249"/>
      <c r="U1036" s="249"/>
      <c r="V1036" s="249"/>
      <c r="W1036" s="249"/>
      <c r="X1036" s="249"/>
      <c r="Y1036" s="249"/>
      <c r="Z1036" s="249"/>
      <c r="AA1036" s="249"/>
      <c r="AB1036" s="249"/>
      <c r="AC1036" s="249"/>
      <c r="AD1036" s="249"/>
    </row>
    <row r="1037" spans="1:30" ht="12.9">
      <c r="A1037" s="249"/>
      <c r="B1037" s="249"/>
      <c r="C1037" s="249"/>
      <c r="D1037" s="249"/>
      <c r="E1037" s="249"/>
      <c r="F1037" s="249"/>
      <c r="G1037" s="249"/>
      <c r="H1037" s="249"/>
      <c r="I1037" s="249"/>
      <c r="J1037" s="249"/>
      <c r="K1037" s="249"/>
      <c r="L1037" s="249"/>
      <c r="M1037" s="249"/>
      <c r="N1037" s="249"/>
      <c r="O1037" s="249"/>
      <c r="P1037" s="249"/>
      <c r="Q1037" s="249"/>
      <c r="R1037" s="249"/>
      <c r="S1037" s="249"/>
      <c r="T1037" s="249"/>
      <c r="U1037" s="249"/>
      <c r="V1037" s="249"/>
      <c r="W1037" s="249"/>
      <c r="X1037" s="249"/>
      <c r="Y1037" s="249"/>
      <c r="Z1037" s="249"/>
      <c r="AA1037" s="249"/>
      <c r="AB1037" s="249"/>
      <c r="AC1037" s="249"/>
      <c r="AD1037" s="249"/>
    </row>
    <row r="1038" spans="1:30" ht="12.9">
      <c r="A1038" s="249"/>
      <c r="B1038" s="249"/>
      <c r="C1038" s="249"/>
      <c r="D1038" s="249"/>
      <c r="E1038" s="249"/>
      <c r="F1038" s="249"/>
      <c r="G1038" s="249"/>
      <c r="H1038" s="249"/>
      <c r="I1038" s="249"/>
      <c r="J1038" s="249"/>
      <c r="K1038" s="249"/>
      <c r="L1038" s="249"/>
      <c r="M1038" s="249"/>
      <c r="N1038" s="249"/>
      <c r="O1038" s="249"/>
      <c r="P1038" s="249"/>
      <c r="Q1038" s="249"/>
      <c r="R1038" s="249"/>
      <c r="S1038" s="249"/>
      <c r="T1038" s="249"/>
      <c r="U1038" s="249"/>
      <c r="V1038" s="249"/>
      <c r="W1038" s="249"/>
      <c r="X1038" s="249"/>
      <c r="Y1038" s="249"/>
      <c r="Z1038" s="249"/>
      <c r="AA1038" s="249"/>
      <c r="AB1038" s="249"/>
      <c r="AC1038" s="249"/>
      <c r="AD1038" s="249"/>
    </row>
    <row r="1039" spans="1:30" ht="12.9">
      <c r="A1039" s="249"/>
      <c r="B1039" s="249"/>
      <c r="C1039" s="249"/>
      <c r="D1039" s="249"/>
      <c r="E1039" s="249"/>
      <c r="F1039" s="249"/>
      <c r="G1039" s="249"/>
      <c r="H1039" s="249"/>
      <c r="I1039" s="249"/>
      <c r="J1039" s="249"/>
      <c r="K1039" s="249"/>
      <c r="L1039" s="249"/>
      <c r="M1039" s="249"/>
      <c r="N1039" s="249"/>
      <c r="O1039" s="249"/>
      <c r="P1039" s="249"/>
      <c r="Q1039" s="249"/>
      <c r="R1039" s="249"/>
      <c r="S1039" s="249"/>
      <c r="T1039" s="249"/>
      <c r="U1039" s="249"/>
      <c r="V1039" s="249"/>
      <c r="W1039" s="249"/>
      <c r="X1039" s="249"/>
      <c r="Y1039" s="249"/>
      <c r="Z1039" s="249"/>
      <c r="AA1039" s="249"/>
      <c r="AB1039" s="249"/>
      <c r="AC1039" s="249"/>
      <c r="AD1039" s="249"/>
    </row>
    <row r="1040" spans="1:30" ht="12.9">
      <c r="A1040" s="249"/>
      <c r="B1040" s="249"/>
      <c r="C1040" s="249"/>
      <c r="D1040" s="249"/>
      <c r="E1040" s="249"/>
      <c r="F1040" s="249"/>
      <c r="G1040" s="249"/>
      <c r="H1040" s="249"/>
      <c r="I1040" s="249"/>
      <c r="J1040" s="249"/>
      <c r="K1040" s="249"/>
      <c r="L1040" s="249"/>
      <c r="M1040" s="249"/>
      <c r="N1040" s="249"/>
      <c r="O1040" s="249"/>
      <c r="P1040" s="249"/>
      <c r="Q1040" s="249"/>
      <c r="R1040" s="249"/>
      <c r="S1040" s="249"/>
      <c r="T1040" s="249"/>
      <c r="U1040" s="249"/>
      <c r="V1040" s="249"/>
      <c r="W1040" s="249"/>
      <c r="X1040" s="249"/>
      <c r="Y1040" s="249"/>
      <c r="Z1040" s="249"/>
      <c r="AA1040" s="249"/>
      <c r="AB1040" s="249"/>
      <c r="AC1040" s="249"/>
      <c r="AD1040" s="249"/>
    </row>
    <row r="1041" spans="1:30" ht="12.9">
      <c r="A1041" s="249"/>
      <c r="B1041" s="249"/>
      <c r="C1041" s="249"/>
      <c r="D1041" s="249"/>
      <c r="E1041" s="249"/>
      <c r="F1041" s="249"/>
      <c r="G1041" s="249"/>
      <c r="H1041" s="249"/>
      <c r="I1041" s="249"/>
      <c r="J1041" s="249"/>
      <c r="K1041" s="249"/>
      <c r="L1041" s="249"/>
      <c r="M1041" s="249"/>
      <c r="N1041" s="249"/>
      <c r="O1041" s="249"/>
      <c r="P1041" s="249"/>
      <c r="Q1041" s="249"/>
      <c r="R1041" s="249"/>
      <c r="S1041" s="249"/>
      <c r="T1041" s="249"/>
      <c r="U1041" s="249"/>
      <c r="V1041" s="249"/>
      <c r="W1041" s="249"/>
      <c r="X1041" s="249"/>
      <c r="Y1041" s="249"/>
      <c r="Z1041" s="249"/>
      <c r="AA1041" s="249"/>
      <c r="AB1041" s="249"/>
      <c r="AC1041" s="249"/>
      <c r="AD1041" s="249"/>
    </row>
    <row r="1042" spans="1:30" ht="12.9">
      <c r="A1042" s="249"/>
      <c r="B1042" s="249"/>
      <c r="C1042" s="249"/>
      <c r="D1042" s="249"/>
      <c r="E1042" s="249"/>
      <c r="F1042" s="249"/>
      <c r="G1042" s="249"/>
      <c r="H1042" s="249"/>
      <c r="I1042" s="249"/>
      <c r="J1042" s="249"/>
      <c r="K1042" s="249"/>
      <c r="L1042" s="249"/>
      <c r="M1042" s="249"/>
      <c r="N1042" s="249"/>
      <c r="O1042" s="249"/>
      <c r="P1042" s="249"/>
      <c r="Q1042" s="249"/>
      <c r="R1042" s="249"/>
      <c r="S1042" s="249"/>
      <c r="T1042" s="249"/>
      <c r="U1042" s="249"/>
      <c r="V1042" s="249"/>
      <c r="W1042" s="249"/>
      <c r="X1042" s="249"/>
      <c r="Y1042" s="249"/>
      <c r="Z1042" s="249"/>
      <c r="AA1042" s="249"/>
      <c r="AB1042" s="249"/>
      <c r="AC1042" s="249"/>
      <c r="AD1042" s="249"/>
    </row>
    <row r="1043" spans="1:30" ht="12.9">
      <c r="A1043" s="249"/>
      <c r="B1043" s="249"/>
      <c r="C1043" s="249"/>
      <c r="D1043" s="249"/>
      <c r="E1043" s="249"/>
      <c r="F1043" s="249"/>
      <c r="G1043" s="249"/>
      <c r="H1043" s="249"/>
      <c r="I1043" s="249"/>
      <c r="J1043" s="249"/>
      <c r="K1043" s="249"/>
      <c r="L1043" s="249"/>
      <c r="M1043" s="249"/>
      <c r="N1043" s="249"/>
      <c r="O1043" s="249"/>
      <c r="P1043" s="249"/>
      <c r="Q1043" s="249"/>
      <c r="R1043" s="249"/>
      <c r="S1043" s="249"/>
      <c r="T1043" s="249"/>
      <c r="U1043" s="249"/>
      <c r="V1043" s="249"/>
      <c r="W1043" s="249"/>
      <c r="X1043" s="249"/>
      <c r="Y1043" s="249"/>
      <c r="Z1043" s="249"/>
      <c r="AA1043" s="249"/>
      <c r="AB1043" s="249"/>
      <c r="AC1043" s="249"/>
      <c r="AD1043" s="249"/>
    </row>
    <row r="1044" spans="1:30" ht="12.9">
      <c r="A1044" s="249"/>
      <c r="B1044" s="249"/>
      <c r="C1044" s="249"/>
      <c r="D1044" s="249"/>
      <c r="E1044" s="249"/>
      <c r="F1044" s="249"/>
      <c r="G1044" s="249"/>
      <c r="H1044" s="249"/>
      <c r="I1044" s="249"/>
      <c r="J1044" s="249"/>
      <c r="K1044" s="249"/>
      <c r="L1044" s="249"/>
      <c r="M1044" s="249"/>
      <c r="N1044" s="249"/>
      <c r="O1044" s="249"/>
      <c r="P1044" s="249"/>
      <c r="Q1044" s="249"/>
      <c r="R1044" s="249"/>
      <c r="S1044" s="249"/>
      <c r="T1044" s="249"/>
      <c r="U1044" s="249"/>
      <c r="V1044" s="249"/>
      <c r="W1044" s="249"/>
      <c r="X1044" s="249"/>
      <c r="Y1044" s="249"/>
      <c r="Z1044" s="249"/>
      <c r="AA1044" s="249"/>
      <c r="AB1044" s="249"/>
      <c r="AC1044" s="249"/>
      <c r="AD1044" s="249"/>
    </row>
    <row r="1045" spans="1:30" ht="12.9">
      <c r="A1045" s="249"/>
      <c r="B1045" s="249"/>
      <c r="C1045" s="249"/>
      <c r="D1045" s="249"/>
      <c r="E1045" s="249"/>
      <c r="F1045" s="249"/>
      <c r="G1045" s="249"/>
      <c r="H1045" s="249"/>
      <c r="I1045" s="249"/>
      <c r="J1045" s="249"/>
      <c r="K1045" s="249"/>
      <c r="L1045" s="249"/>
      <c r="M1045" s="249"/>
      <c r="N1045" s="249"/>
      <c r="O1045" s="249"/>
      <c r="P1045" s="249"/>
      <c r="Q1045" s="249"/>
      <c r="R1045" s="249"/>
      <c r="S1045" s="249"/>
      <c r="T1045" s="249"/>
      <c r="U1045" s="249"/>
      <c r="V1045" s="249"/>
      <c r="W1045" s="249"/>
      <c r="X1045" s="249"/>
      <c r="Y1045" s="249"/>
      <c r="Z1045" s="249"/>
      <c r="AA1045" s="249"/>
      <c r="AB1045" s="249"/>
      <c r="AC1045" s="249"/>
      <c r="AD1045" s="249"/>
    </row>
    <row r="1046" spans="1:30" ht="12.9">
      <c r="A1046" s="249"/>
      <c r="B1046" s="249"/>
      <c r="C1046" s="249"/>
      <c r="D1046" s="249"/>
      <c r="E1046" s="249"/>
      <c r="F1046" s="249"/>
      <c r="G1046" s="249"/>
      <c r="H1046" s="249"/>
      <c r="I1046" s="249"/>
      <c r="J1046" s="249"/>
      <c r="K1046" s="249"/>
      <c r="L1046" s="249"/>
      <c r="M1046" s="249"/>
      <c r="N1046" s="249"/>
      <c r="O1046" s="249"/>
      <c r="P1046" s="249"/>
      <c r="Q1046" s="249"/>
      <c r="R1046" s="249"/>
      <c r="S1046" s="249"/>
      <c r="T1046" s="249"/>
      <c r="U1046" s="249"/>
      <c r="V1046" s="249"/>
      <c r="W1046" s="249"/>
      <c r="X1046" s="249"/>
      <c r="Y1046" s="249"/>
      <c r="Z1046" s="249"/>
      <c r="AA1046" s="249"/>
      <c r="AB1046" s="249"/>
      <c r="AC1046" s="249"/>
      <c r="AD1046" s="249"/>
    </row>
    <row r="1047" spans="1:30" ht="12.9">
      <c r="A1047" s="249"/>
      <c r="B1047" s="249"/>
      <c r="C1047" s="249"/>
      <c r="D1047" s="249"/>
      <c r="E1047" s="249"/>
      <c r="F1047" s="249"/>
      <c r="G1047" s="249"/>
      <c r="H1047" s="249"/>
      <c r="I1047" s="249"/>
      <c r="J1047" s="249"/>
      <c r="K1047" s="249"/>
      <c r="L1047" s="249"/>
      <c r="M1047" s="249"/>
      <c r="N1047" s="249"/>
      <c r="O1047" s="249"/>
      <c r="P1047" s="249"/>
      <c r="Q1047" s="249"/>
      <c r="R1047" s="249"/>
      <c r="S1047" s="249"/>
      <c r="T1047" s="249"/>
      <c r="U1047" s="249"/>
      <c r="V1047" s="249"/>
      <c r="W1047" s="249"/>
      <c r="X1047" s="249"/>
      <c r="Y1047" s="249"/>
      <c r="Z1047" s="249"/>
      <c r="AA1047" s="249"/>
      <c r="AB1047" s="249"/>
      <c r="AC1047" s="249"/>
      <c r="AD1047" s="249"/>
    </row>
    <row r="1048" spans="1:30" ht="12.9">
      <c r="A1048" s="249"/>
      <c r="B1048" s="249"/>
      <c r="C1048" s="249"/>
      <c r="D1048" s="249"/>
      <c r="E1048" s="249"/>
      <c r="F1048" s="249"/>
      <c r="G1048" s="249"/>
      <c r="H1048" s="249"/>
      <c r="I1048" s="249"/>
      <c r="J1048" s="249"/>
      <c r="K1048" s="249"/>
      <c r="L1048" s="249"/>
      <c r="M1048" s="249"/>
      <c r="N1048" s="249"/>
      <c r="O1048" s="249"/>
      <c r="P1048" s="249"/>
      <c r="Q1048" s="249"/>
      <c r="R1048" s="249"/>
      <c r="S1048" s="249"/>
      <c r="T1048" s="249"/>
      <c r="U1048" s="249"/>
      <c r="V1048" s="249"/>
      <c r="W1048" s="249"/>
      <c r="X1048" s="249"/>
      <c r="Y1048" s="249"/>
      <c r="Z1048" s="249"/>
      <c r="AA1048" s="249"/>
      <c r="AB1048" s="249"/>
      <c r="AC1048" s="249"/>
      <c r="AD1048" s="249"/>
    </row>
    <row r="1049" spans="1:30" ht="12.9">
      <c r="A1049" s="249"/>
      <c r="B1049" s="249"/>
      <c r="C1049" s="249"/>
      <c r="D1049" s="249"/>
      <c r="E1049" s="249"/>
      <c r="F1049" s="249"/>
      <c r="G1049" s="249"/>
      <c r="H1049" s="249"/>
      <c r="I1049" s="249"/>
      <c r="J1049" s="249"/>
      <c r="K1049" s="249"/>
      <c r="L1049" s="249"/>
      <c r="M1049" s="249"/>
      <c r="N1049" s="249"/>
      <c r="O1049" s="249"/>
      <c r="P1049" s="249"/>
      <c r="Q1049" s="249"/>
      <c r="R1049" s="249"/>
      <c r="S1049" s="249"/>
      <c r="T1049" s="249"/>
      <c r="U1049" s="249"/>
      <c r="V1049" s="249"/>
      <c r="W1049" s="249"/>
      <c r="X1049" s="249"/>
      <c r="Y1049" s="249"/>
      <c r="Z1049" s="249"/>
      <c r="AA1049" s="249"/>
      <c r="AB1049" s="249"/>
      <c r="AC1049" s="249"/>
      <c r="AD1049" s="249"/>
    </row>
    <row r="1050" spans="1:30" ht="12.9">
      <c r="A1050" s="249"/>
      <c r="B1050" s="249"/>
      <c r="C1050" s="249"/>
      <c r="D1050" s="249"/>
      <c r="E1050" s="249"/>
      <c r="F1050" s="249"/>
      <c r="G1050" s="249"/>
      <c r="H1050" s="249"/>
      <c r="I1050" s="249"/>
      <c r="J1050" s="249"/>
      <c r="K1050" s="249"/>
      <c r="L1050" s="249"/>
      <c r="M1050" s="249"/>
      <c r="N1050" s="249"/>
      <c r="O1050" s="249"/>
      <c r="P1050" s="249"/>
      <c r="Q1050" s="249"/>
      <c r="R1050" s="249"/>
      <c r="S1050" s="249"/>
      <c r="T1050" s="249"/>
      <c r="U1050" s="249"/>
      <c r="V1050" s="249"/>
      <c r="W1050" s="249"/>
      <c r="X1050" s="249"/>
      <c r="Y1050" s="249"/>
      <c r="Z1050" s="249"/>
      <c r="AA1050" s="249"/>
      <c r="AB1050" s="249"/>
      <c r="AC1050" s="249"/>
      <c r="AD1050" s="249"/>
    </row>
    <row r="1051" spans="1:30" ht="12.9">
      <c r="A1051" s="249"/>
      <c r="B1051" s="249"/>
      <c r="C1051" s="249"/>
      <c r="D1051" s="249"/>
      <c r="E1051" s="249"/>
      <c r="F1051" s="249"/>
      <c r="G1051" s="249"/>
      <c r="H1051" s="249"/>
      <c r="I1051" s="249"/>
      <c r="J1051" s="249"/>
      <c r="K1051" s="249"/>
      <c r="L1051" s="249"/>
      <c r="M1051" s="249"/>
      <c r="N1051" s="249"/>
      <c r="O1051" s="249"/>
      <c r="P1051" s="249"/>
      <c r="Q1051" s="249"/>
      <c r="R1051" s="249"/>
      <c r="S1051" s="249"/>
      <c r="T1051" s="249"/>
      <c r="U1051" s="249"/>
      <c r="V1051" s="249"/>
      <c r="W1051" s="249"/>
      <c r="X1051" s="249"/>
      <c r="Y1051" s="249"/>
      <c r="Z1051" s="249"/>
      <c r="AA1051" s="249"/>
      <c r="AB1051" s="249"/>
      <c r="AC1051" s="249"/>
      <c r="AD1051" s="249"/>
    </row>
    <row r="1052" spans="1:30" ht="12.9">
      <c r="A1052" s="249"/>
      <c r="B1052" s="249"/>
      <c r="C1052" s="249"/>
      <c r="D1052" s="249"/>
      <c r="E1052" s="249"/>
      <c r="F1052" s="249"/>
      <c r="G1052" s="249"/>
      <c r="H1052" s="249"/>
      <c r="I1052" s="249"/>
      <c r="J1052" s="249"/>
      <c r="K1052" s="249"/>
      <c r="L1052" s="249"/>
      <c r="M1052" s="249"/>
      <c r="N1052" s="249"/>
      <c r="O1052" s="249"/>
      <c r="P1052" s="249"/>
      <c r="Q1052" s="249"/>
      <c r="R1052" s="249"/>
      <c r="S1052" s="249"/>
      <c r="T1052" s="249"/>
      <c r="U1052" s="249"/>
      <c r="V1052" s="249"/>
      <c r="W1052" s="249"/>
      <c r="X1052" s="249"/>
      <c r="Y1052" s="249"/>
      <c r="Z1052" s="249"/>
      <c r="AA1052" s="249"/>
      <c r="AB1052" s="249"/>
      <c r="AC1052" s="249"/>
      <c r="AD1052" s="249"/>
    </row>
    <row r="1053" spans="1:30" ht="12.9">
      <c r="A1053" s="249"/>
      <c r="B1053" s="249"/>
      <c r="C1053" s="249"/>
      <c r="D1053" s="249"/>
      <c r="E1053" s="249"/>
      <c r="F1053" s="249"/>
      <c r="G1053" s="249"/>
      <c r="H1053" s="249"/>
      <c r="I1053" s="249"/>
      <c r="J1053" s="249"/>
      <c r="K1053" s="249"/>
      <c r="L1053" s="249"/>
      <c r="M1053" s="249"/>
      <c r="N1053" s="249"/>
      <c r="O1053" s="249"/>
      <c r="P1053" s="249"/>
      <c r="Q1053" s="249"/>
      <c r="R1053" s="249"/>
      <c r="S1053" s="249"/>
      <c r="T1053" s="249"/>
      <c r="U1053" s="249"/>
      <c r="V1053" s="249"/>
      <c r="W1053" s="249"/>
      <c r="X1053" s="249"/>
      <c r="Y1053" s="249"/>
      <c r="Z1053" s="249"/>
      <c r="AA1053" s="249"/>
      <c r="AB1053" s="249"/>
      <c r="AC1053" s="249"/>
      <c r="AD1053" s="249"/>
    </row>
    <row r="1054" spans="1:30" ht="12.9">
      <c r="A1054" s="249"/>
      <c r="B1054" s="249"/>
      <c r="C1054" s="249"/>
      <c r="D1054" s="249"/>
      <c r="E1054" s="249"/>
      <c r="F1054" s="249"/>
      <c r="G1054" s="249"/>
      <c r="H1054" s="249"/>
      <c r="I1054" s="249"/>
      <c r="J1054" s="249"/>
      <c r="K1054" s="249"/>
      <c r="L1054" s="249"/>
      <c r="M1054" s="249"/>
      <c r="N1054" s="249"/>
      <c r="O1054" s="249"/>
      <c r="P1054" s="249"/>
      <c r="Q1054" s="249"/>
      <c r="R1054" s="249"/>
      <c r="S1054" s="249"/>
      <c r="T1054" s="249"/>
      <c r="U1054" s="249"/>
      <c r="V1054" s="249"/>
      <c r="W1054" s="249"/>
      <c r="X1054" s="249"/>
      <c r="Y1054" s="249"/>
      <c r="Z1054" s="249"/>
      <c r="AA1054" s="249"/>
      <c r="AB1054" s="249"/>
      <c r="AC1054" s="249"/>
      <c r="AD1054" s="249"/>
    </row>
    <row r="1055" spans="1:30" ht="12.9">
      <c r="A1055" s="249"/>
      <c r="B1055" s="249"/>
      <c r="C1055" s="249"/>
      <c r="D1055" s="249"/>
      <c r="E1055" s="249"/>
      <c r="F1055" s="249"/>
      <c r="G1055" s="249"/>
      <c r="H1055" s="249"/>
      <c r="I1055" s="249"/>
      <c r="J1055" s="249"/>
      <c r="K1055" s="249"/>
      <c r="L1055" s="249"/>
      <c r="M1055" s="249"/>
      <c r="N1055" s="249"/>
      <c r="O1055" s="249"/>
      <c r="P1055" s="249"/>
      <c r="Q1055" s="249"/>
      <c r="R1055" s="249"/>
      <c r="S1055" s="249"/>
      <c r="T1055" s="249"/>
      <c r="U1055" s="249"/>
      <c r="V1055" s="249"/>
      <c r="W1055" s="249"/>
      <c r="X1055" s="249"/>
      <c r="Y1055" s="249"/>
      <c r="Z1055" s="249"/>
      <c r="AA1055" s="249"/>
      <c r="AB1055" s="249"/>
      <c r="AC1055" s="249"/>
      <c r="AD1055" s="249"/>
    </row>
    <row r="1056" spans="1:30" ht="12.9">
      <c r="A1056" s="249"/>
      <c r="B1056" s="249"/>
      <c r="C1056" s="249"/>
      <c r="D1056" s="249"/>
      <c r="E1056" s="249"/>
      <c r="F1056" s="249"/>
      <c r="G1056" s="249"/>
      <c r="H1056" s="249"/>
      <c r="I1056" s="249"/>
      <c r="J1056" s="249"/>
      <c r="K1056" s="249"/>
      <c r="L1056" s="249"/>
      <c r="M1056" s="249"/>
      <c r="N1056" s="249"/>
      <c r="O1056" s="249"/>
      <c r="P1056" s="249"/>
      <c r="Q1056" s="249"/>
      <c r="R1056" s="249"/>
      <c r="S1056" s="249"/>
      <c r="T1056" s="249"/>
      <c r="U1056" s="249"/>
      <c r="V1056" s="249"/>
      <c r="W1056" s="249"/>
      <c r="X1056" s="249"/>
      <c r="Y1056" s="249"/>
      <c r="Z1056" s="249"/>
      <c r="AA1056" s="249"/>
      <c r="AB1056" s="249"/>
      <c r="AC1056" s="249"/>
      <c r="AD1056" s="249"/>
    </row>
    <row r="1057" spans="1:30" ht="12.9">
      <c r="A1057" s="249"/>
      <c r="B1057" s="249"/>
      <c r="C1057" s="249"/>
      <c r="D1057" s="249"/>
      <c r="E1057" s="249"/>
      <c r="F1057" s="249"/>
      <c r="G1057" s="249"/>
      <c r="H1057" s="249"/>
      <c r="I1057" s="249"/>
      <c r="J1057" s="249"/>
      <c r="K1057" s="249"/>
      <c r="L1057" s="249"/>
      <c r="M1057" s="249"/>
      <c r="N1057" s="249"/>
      <c r="O1057" s="249"/>
      <c r="P1057" s="249"/>
      <c r="Q1057" s="249"/>
      <c r="R1057" s="249"/>
      <c r="S1057" s="249"/>
      <c r="T1057" s="249"/>
      <c r="U1057" s="249"/>
      <c r="V1057" s="249"/>
      <c r="W1057" s="249"/>
      <c r="X1057" s="249"/>
      <c r="Y1057" s="249"/>
      <c r="Z1057" s="249"/>
      <c r="AA1057" s="249"/>
      <c r="AB1057" s="249"/>
      <c r="AC1057" s="249"/>
      <c r="AD1057" s="249"/>
    </row>
    <row r="1058" spans="1:30" ht="12.9">
      <c r="A1058" s="249"/>
      <c r="B1058" s="249"/>
      <c r="C1058" s="249"/>
      <c r="D1058" s="249"/>
      <c r="E1058" s="249"/>
      <c r="F1058" s="249"/>
      <c r="G1058" s="249"/>
      <c r="H1058" s="249"/>
      <c r="I1058" s="249"/>
      <c r="J1058" s="249"/>
      <c r="K1058" s="249"/>
      <c r="L1058" s="249"/>
      <c r="M1058" s="249"/>
      <c r="N1058" s="249"/>
      <c r="O1058" s="249"/>
      <c r="P1058" s="249"/>
      <c r="Q1058" s="249"/>
      <c r="R1058" s="249"/>
      <c r="S1058" s="249"/>
      <c r="T1058" s="249"/>
      <c r="U1058" s="249"/>
      <c r="V1058" s="249"/>
      <c r="W1058" s="249"/>
      <c r="X1058" s="249"/>
      <c r="Y1058" s="249"/>
      <c r="Z1058" s="249"/>
      <c r="AA1058" s="249"/>
      <c r="AB1058" s="249"/>
      <c r="AC1058" s="249"/>
      <c r="AD1058" s="249"/>
    </row>
    <row r="1059" spans="1:30" ht="12.9">
      <c r="A1059" s="249"/>
      <c r="B1059" s="249"/>
      <c r="C1059" s="249"/>
      <c r="D1059" s="249"/>
      <c r="E1059" s="249"/>
      <c r="F1059" s="249"/>
      <c r="G1059" s="249"/>
      <c r="H1059" s="249"/>
      <c r="I1059" s="249"/>
      <c r="J1059" s="249"/>
      <c r="K1059" s="249"/>
      <c r="L1059" s="249"/>
      <c r="M1059" s="249"/>
      <c r="N1059" s="249"/>
      <c r="O1059" s="249"/>
      <c r="P1059" s="249"/>
      <c r="Q1059" s="249"/>
      <c r="R1059" s="249"/>
      <c r="S1059" s="249"/>
      <c r="T1059" s="249"/>
      <c r="U1059" s="249"/>
      <c r="V1059" s="249"/>
      <c r="W1059" s="249"/>
      <c r="X1059" s="249"/>
      <c r="Y1059" s="249"/>
      <c r="Z1059" s="249"/>
      <c r="AA1059" s="249"/>
      <c r="AB1059" s="249"/>
      <c r="AC1059" s="249"/>
      <c r="AD1059" s="249"/>
    </row>
    <row r="1060" spans="1:30" ht="12.9">
      <c r="A1060" s="249"/>
      <c r="B1060" s="249"/>
      <c r="C1060" s="249"/>
      <c r="D1060" s="249"/>
      <c r="E1060" s="249"/>
      <c r="F1060" s="249"/>
      <c r="G1060" s="249"/>
      <c r="H1060" s="249"/>
      <c r="I1060" s="249"/>
      <c r="J1060" s="249"/>
      <c r="K1060" s="249"/>
      <c r="L1060" s="249"/>
      <c r="M1060" s="249"/>
      <c r="N1060" s="249"/>
      <c r="O1060" s="249"/>
      <c r="P1060" s="249"/>
      <c r="Q1060" s="249"/>
      <c r="R1060" s="249"/>
      <c r="S1060" s="249"/>
      <c r="T1060" s="249"/>
      <c r="U1060" s="249"/>
      <c r="V1060" s="249"/>
      <c r="W1060" s="249"/>
      <c r="X1060" s="249"/>
      <c r="Y1060" s="249"/>
      <c r="Z1060" s="249"/>
      <c r="AA1060" s="249"/>
      <c r="AB1060" s="249"/>
      <c r="AC1060" s="249"/>
      <c r="AD1060" s="249"/>
    </row>
    <row r="1061" spans="1:30" ht="12.9">
      <c r="A1061" s="249"/>
      <c r="B1061" s="249"/>
      <c r="C1061" s="249"/>
      <c r="D1061" s="249"/>
      <c r="E1061" s="249"/>
      <c r="F1061" s="249"/>
      <c r="G1061" s="249"/>
      <c r="H1061" s="249"/>
      <c r="I1061" s="249"/>
      <c r="J1061" s="249"/>
      <c r="K1061" s="249"/>
      <c r="L1061" s="249"/>
      <c r="M1061" s="249"/>
      <c r="N1061" s="249"/>
      <c r="O1061" s="249"/>
      <c r="P1061" s="249"/>
      <c r="Q1061" s="249"/>
      <c r="R1061" s="249"/>
      <c r="S1061" s="249"/>
      <c r="T1061" s="249"/>
      <c r="U1061" s="249"/>
      <c r="V1061" s="249"/>
      <c r="W1061" s="249"/>
      <c r="X1061" s="249"/>
      <c r="Y1061" s="249"/>
      <c r="Z1061" s="249"/>
      <c r="AA1061" s="249"/>
      <c r="AB1061" s="249"/>
      <c r="AC1061" s="249"/>
      <c r="AD1061" s="249"/>
    </row>
    <row r="1062" spans="1:30" ht="12.9">
      <c r="A1062" s="249"/>
      <c r="B1062" s="249"/>
      <c r="C1062" s="249"/>
      <c r="D1062" s="249"/>
      <c r="E1062" s="249"/>
      <c r="F1062" s="249"/>
      <c r="G1062" s="249"/>
      <c r="H1062" s="249"/>
      <c r="I1062" s="249"/>
      <c r="J1062" s="249"/>
      <c r="K1062" s="249"/>
      <c r="L1062" s="249"/>
      <c r="M1062" s="249"/>
      <c r="N1062" s="249"/>
      <c r="O1062" s="249"/>
      <c r="P1062" s="249"/>
      <c r="Q1062" s="249"/>
      <c r="R1062" s="249"/>
      <c r="S1062" s="249"/>
      <c r="T1062" s="249"/>
      <c r="U1062" s="249"/>
      <c r="V1062" s="249"/>
      <c r="W1062" s="249"/>
      <c r="X1062" s="249"/>
      <c r="Y1062" s="249"/>
      <c r="Z1062" s="249"/>
      <c r="AA1062" s="249"/>
      <c r="AB1062" s="249"/>
      <c r="AC1062" s="249"/>
      <c r="AD1062" s="249"/>
    </row>
    <row r="1063" spans="1:30" ht="12.9">
      <c r="A1063" s="249"/>
      <c r="B1063" s="249"/>
      <c r="C1063" s="249"/>
      <c r="D1063" s="249"/>
      <c r="E1063" s="249"/>
      <c r="F1063" s="249"/>
      <c r="G1063" s="249"/>
      <c r="H1063" s="249"/>
      <c r="I1063" s="249"/>
      <c r="J1063" s="249"/>
      <c r="K1063" s="249"/>
      <c r="L1063" s="249"/>
      <c r="M1063" s="249"/>
      <c r="N1063" s="249"/>
      <c r="O1063" s="249"/>
      <c r="P1063" s="249"/>
      <c r="Q1063" s="249"/>
      <c r="R1063" s="249"/>
      <c r="S1063" s="249"/>
      <c r="T1063" s="249"/>
      <c r="U1063" s="249"/>
      <c r="V1063" s="249"/>
      <c r="W1063" s="249"/>
      <c r="X1063" s="249"/>
      <c r="Y1063" s="249"/>
      <c r="Z1063" s="249"/>
      <c r="AA1063" s="249"/>
      <c r="AB1063" s="249"/>
      <c r="AC1063" s="249"/>
      <c r="AD1063" s="249"/>
    </row>
    <row r="1064" spans="1:30" ht="12.9">
      <c r="A1064" s="249"/>
      <c r="B1064" s="249"/>
      <c r="C1064" s="249"/>
      <c r="D1064" s="249"/>
      <c r="E1064" s="249"/>
      <c r="F1064" s="249"/>
      <c r="G1064" s="249"/>
      <c r="H1064" s="249"/>
      <c r="I1064" s="249"/>
      <c r="J1064" s="249"/>
      <c r="K1064" s="249"/>
      <c r="L1064" s="249"/>
      <c r="M1064" s="249"/>
      <c r="N1064" s="249"/>
      <c r="O1064" s="249"/>
      <c r="P1064" s="249"/>
      <c r="Q1064" s="249"/>
      <c r="R1064" s="249"/>
      <c r="S1064" s="249"/>
      <c r="T1064" s="249"/>
      <c r="U1064" s="249"/>
      <c r="V1064" s="249"/>
      <c r="W1064" s="249"/>
      <c r="X1064" s="249"/>
      <c r="Y1064" s="249"/>
      <c r="Z1064" s="249"/>
      <c r="AA1064" s="249"/>
      <c r="AB1064" s="249"/>
      <c r="AC1064" s="249"/>
      <c r="AD1064" s="249"/>
    </row>
    <row r="1065" spans="1:30" ht="12.9">
      <c r="A1065" s="249"/>
      <c r="B1065" s="249"/>
      <c r="C1065" s="249"/>
      <c r="D1065" s="249"/>
      <c r="E1065" s="249"/>
      <c r="F1065" s="249"/>
      <c r="G1065" s="249"/>
      <c r="H1065" s="249"/>
      <c r="I1065" s="249"/>
      <c r="J1065" s="249"/>
      <c r="K1065" s="249"/>
      <c r="L1065" s="249"/>
      <c r="M1065" s="249"/>
      <c r="N1065" s="249"/>
      <c r="O1065" s="249"/>
      <c r="P1065" s="249"/>
      <c r="Q1065" s="249"/>
      <c r="R1065" s="249"/>
      <c r="S1065" s="249"/>
      <c r="T1065" s="249"/>
      <c r="U1065" s="249"/>
      <c r="V1065" s="249"/>
      <c r="W1065" s="249"/>
      <c r="X1065" s="249"/>
      <c r="Y1065" s="249"/>
      <c r="Z1065" s="249"/>
      <c r="AA1065" s="249"/>
      <c r="AB1065" s="249"/>
      <c r="AC1065" s="249"/>
      <c r="AD1065" s="249"/>
    </row>
    <row r="1066" spans="1:30" ht="12.9">
      <c r="A1066" s="249"/>
      <c r="B1066" s="249"/>
      <c r="C1066" s="249"/>
      <c r="D1066" s="249"/>
      <c r="E1066" s="249"/>
      <c r="F1066" s="249"/>
      <c r="G1066" s="249"/>
      <c r="H1066" s="249"/>
      <c r="I1066" s="249"/>
      <c r="J1066" s="249"/>
      <c r="K1066" s="249"/>
      <c r="L1066" s="249"/>
      <c r="M1066" s="249"/>
      <c r="N1066" s="249"/>
      <c r="O1066" s="249"/>
      <c r="P1066" s="249"/>
      <c r="Q1066" s="249"/>
      <c r="R1066" s="249"/>
      <c r="S1066" s="249"/>
      <c r="T1066" s="249"/>
      <c r="U1066" s="249"/>
      <c r="V1066" s="249"/>
      <c r="W1066" s="249"/>
      <c r="X1066" s="249"/>
      <c r="Y1066" s="249"/>
      <c r="Z1066" s="249"/>
      <c r="AA1066" s="249"/>
      <c r="AB1066" s="249"/>
      <c r="AC1066" s="249"/>
      <c r="AD1066" s="249"/>
    </row>
    <row r="1067" spans="1:30" ht="12.9">
      <c r="A1067" s="249"/>
      <c r="B1067" s="249"/>
      <c r="C1067" s="249"/>
      <c r="D1067" s="249"/>
      <c r="E1067" s="249"/>
      <c r="F1067" s="249"/>
      <c r="G1067" s="249"/>
      <c r="H1067" s="249"/>
      <c r="I1067" s="249"/>
      <c r="J1067" s="249"/>
      <c r="K1067" s="249"/>
      <c r="L1067" s="249"/>
      <c r="M1067" s="249"/>
      <c r="N1067" s="249"/>
      <c r="O1067" s="249"/>
      <c r="P1067" s="249"/>
      <c r="Q1067" s="249"/>
      <c r="R1067" s="249"/>
      <c r="S1067" s="249"/>
      <c r="T1067" s="249"/>
      <c r="U1067" s="249"/>
      <c r="V1067" s="249"/>
      <c r="W1067" s="249"/>
      <c r="X1067" s="249"/>
      <c r="Y1067" s="249"/>
      <c r="Z1067" s="249"/>
      <c r="AA1067" s="249"/>
      <c r="AB1067" s="249"/>
      <c r="AC1067" s="249"/>
      <c r="AD1067" s="249"/>
    </row>
    <row r="1068" spans="1:30" ht="12.9">
      <c r="A1068" s="249"/>
      <c r="B1068" s="249"/>
      <c r="C1068" s="249"/>
      <c r="D1068" s="249"/>
      <c r="E1068" s="249"/>
      <c r="F1068" s="249"/>
      <c r="G1068" s="249"/>
      <c r="H1068" s="249"/>
      <c r="I1068" s="249"/>
      <c r="J1068" s="249"/>
      <c r="K1068" s="249"/>
      <c r="L1068" s="249"/>
      <c r="M1068" s="249"/>
      <c r="N1068" s="249"/>
      <c r="O1068" s="249"/>
      <c r="P1068" s="249"/>
      <c r="Q1068" s="249"/>
      <c r="R1068" s="249"/>
      <c r="S1068" s="249"/>
      <c r="T1068" s="249"/>
      <c r="U1068" s="249"/>
      <c r="V1068" s="249"/>
      <c r="W1068" s="249"/>
      <c r="X1068" s="249"/>
      <c r="Y1068" s="249"/>
      <c r="Z1068" s="249"/>
      <c r="AA1068" s="249"/>
      <c r="AB1068" s="249"/>
      <c r="AC1068" s="249"/>
      <c r="AD1068" s="249"/>
    </row>
    <row r="1069" spans="1:30" ht="12.9">
      <c r="A1069" s="249"/>
      <c r="B1069" s="249"/>
      <c r="C1069" s="249"/>
      <c r="D1069" s="249"/>
      <c r="E1069" s="249"/>
      <c r="F1069" s="249"/>
      <c r="G1069" s="249"/>
      <c r="H1069" s="249"/>
      <c r="I1069" s="249"/>
      <c r="J1069" s="249"/>
      <c r="K1069" s="249"/>
      <c r="L1069" s="249"/>
      <c r="M1069" s="249"/>
      <c r="N1069" s="249"/>
      <c r="O1069" s="249"/>
      <c r="P1069" s="249"/>
      <c r="Q1069" s="249"/>
      <c r="R1069" s="249"/>
      <c r="S1069" s="249"/>
      <c r="T1069" s="249"/>
      <c r="U1069" s="249"/>
      <c r="V1069" s="249"/>
      <c r="W1069" s="249"/>
      <c r="X1069" s="249"/>
      <c r="Y1069" s="249"/>
      <c r="Z1069" s="249"/>
      <c r="AA1069" s="249"/>
      <c r="AB1069" s="249"/>
      <c r="AC1069" s="249"/>
      <c r="AD1069" s="249"/>
    </row>
    <row r="1070" spans="1:30" ht="12.9">
      <c r="A1070" s="249"/>
      <c r="B1070" s="249"/>
      <c r="C1070" s="249"/>
      <c r="D1070" s="249"/>
      <c r="E1070" s="249"/>
      <c r="F1070" s="249"/>
      <c r="G1070" s="249"/>
      <c r="H1070" s="249"/>
      <c r="I1070" s="249"/>
      <c r="J1070" s="249"/>
      <c r="K1070" s="249"/>
      <c r="L1070" s="249"/>
      <c r="M1070" s="249"/>
      <c r="N1070" s="249"/>
      <c r="O1070" s="249"/>
      <c r="P1070" s="249"/>
      <c r="Q1070" s="249"/>
      <c r="R1070" s="249"/>
      <c r="S1070" s="249"/>
      <c r="T1070" s="249"/>
      <c r="U1070" s="249"/>
      <c r="V1070" s="249"/>
      <c r="W1070" s="249"/>
      <c r="X1070" s="249"/>
      <c r="Y1070" s="249"/>
      <c r="Z1070" s="249"/>
      <c r="AA1070" s="249"/>
      <c r="AB1070" s="249"/>
      <c r="AC1070" s="249"/>
      <c r="AD1070" s="249"/>
    </row>
    <row r="1071" spans="1:30" ht="12.9">
      <c r="A1071" s="249"/>
      <c r="B1071" s="249"/>
      <c r="C1071" s="249"/>
      <c r="D1071" s="249"/>
      <c r="E1071" s="249"/>
      <c r="F1071" s="249"/>
      <c r="G1071" s="249"/>
      <c r="H1071" s="249"/>
      <c r="I1071" s="249"/>
      <c r="J1071" s="249"/>
      <c r="K1071" s="249"/>
      <c r="L1071" s="249"/>
      <c r="M1071" s="249"/>
      <c r="N1071" s="249"/>
      <c r="O1071" s="249"/>
      <c r="P1071" s="249"/>
      <c r="Q1071" s="249"/>
      <c r="R1071" s="249"/>
      <c r="S1071" s="249"/>
      <c r="T1071" s="249"/>
      <c r="U1071" s="249"/>
      <c r="V1071" s="249"/>
      <c r="W1071" s="249"/>
      <c r="X1071" s="249"/>
      <c r="Y1071" s="249"/>
      <c r="Z1071" s="249"/>
      <c r="AA1071" s="249"/>
      <c r="AB1071" s="249"/>
      <c r="AC1071" s="249"/>
      <c r="AD1071" s="249"/>
    </row>
    <row r="1072" spans="1:30" ht="12.9">
      <c r="A1072" s="249"/>
      <c r="B1072" s="249"/>
      <c r="C1072" s="249"/>
      <c r="D1072" s="249"/>
      <c r="E1072" s="249"/>
      <c r="F1072" s="249"/>
      <c r="G1072" s="249"/>
      <c r="H1072" s="249"/>
      <c r="I1072" s="249"/>
      <c r="J1072" s="249"/>
      <c r="K1072" s="249"/>
      <c r="L1072" s="249"/>
      <c r="M1072" s="249"/>
      <c r="N1072" s="249"/>
      <c r="O1072" s="249"/>
      <c r="P1072" s="249"/>
      <c r="Q1072" s="249"/>
      <c r="R1072" s="249"/>
      <c r="S1072" s="249"/>
      <c r="T1072" s="249"/>
      <c r="U1072" s="249"/>
      <c r="V1072" s="249"/>
      <c r="W1072" s="249"/>
      <c r="X1072" s="249"/>
      <c r="Y1072" s="249"/>
      <c r="Z1072" s="249"/>
      <c r="AA1072" s="249"/>
      <c r="AB1072" s="249"/>
      <c r="AC1072" s="249"/>
      <c r="AD1072" s="249"/>
    </row>
    <row r="1073" spans="1:30" ht="12.9">
      <c r="A1073" s="249"/>
      <c r="B1073" s="249"/>
      <c r="C1073" s="249"/>
      <c r="D1073" s="249"/>
      <c r="E1073" s="249"/>
      <c r="F1073" s="249"/>
      <c r="G1073" s="249"/>
      <c r="H1073" s="249"/>
      <c r="I1073" s="249"/>
      <c r="J1073" s="249"/>
      <c r="K1073" s="249"/>
      <c r="L1073" s="249"/>
      <c r="M1073" s="249"/>
      <c r="N1073" s="249"/>
      <c r="O1073" s="249"/>
      <c r="P1073" s="249"/>
      <c r="Q1073" s="249"/>
      <c r="R1073" s="249"/>
      <c r="S1073" s="249"/>
      <c r="T1073" s="249"/>
      <c r="U1073" s="249"/>
      <c r="V1073" s="249"/>
      <c r="W1073" s="249"/>
      <c r="X1073" s="249"/>
      <c r="Y1073" s="249"/>
      <c r="Z1073" s="249"/>
      <c r="AA1073" s="249"/>
      <c r="AB1073" s="249"/>
      <c r="AC1073" s="249"/>
      <c r="AD1073" s="249"/>
    </row>
    <row r="1074" spans="1:30" ht="12.9">
      <c r="A1074" s="249"/>
      <c r="B1074" s="249"/>
      <c r="C1074" s="249"/>
      <c r="D1074" s="249"/>
      <c r="E1074" s="249"/>
      <c r="F1074" s="249"/>
      <c r="G1074" s="249"/>
      <c r="H1074" s="249"/>
      <c r="I1074" s="249"/>
      <c r="J1074" s="249"/>
      <c r="K1074" s="249"/>
      <c r="L1074" s="249"/>
      <c r="M1074" s="249"/>
      <c r="N1074" s="249"/>
      <c r="O1074" s="249"/>
      <c r="P1074" s="249"/>
      <c r="Q1074" s="249"/>
      <c r="R1074" s="249"/>
      <c r="S1074" s="249"/>
      <c r="T1074" s="249"/>
      <c r="U1074" s="249"/>
      <c r="V1074" s="249"/>
      <c r="W1074" s="249"/>
      <c r="X1074" s="249"/>
      <c r="Y1074" s="249"/>
      <c r="Z1074" s="249"/>
      <c r="AA1074" s="249"/>
      <c r="AB1074" s="249"/>
      <c r="AC1074" s="249"/>
      <c r="AD1074" s="249"/>
    </row>
    <row r="1075" spans="1:30" ht="12.9">
      <c r="A1075" s="249"/>
      <c r="B1075" s="249"/>
      <c r="C1075" s="249"/>
      <c r="D1075" s="249"/>
      <c r="E1075" s="249"/>
      <c r="F1075" s="249"/>
      <c r="G1075" s="249"/>
      <c r="H1075" s="249"/>
      <c r="I1075" s="249"/>
      <c r="J1075" s="249"/>
      <c r="K1075" s="249"/>
      <c r="L1075" s="249"/>
      <c r="M1075" s="249"/>
      <c r="N1075" s="249"/>
      <c r="O1075" s="249"/>
      <c r="P1075" s="249"/>
      <c r="Q1075" s="249"/>
      <c r="R1075" s="249"/>
      <c r="S1075" s="249"/>
      <c r="T1075" s="249"/>
      <c r="U1075" s="249"/>
      <c r="V1075" s="249"/>
      <c r="W1075" s="249"/>
      <c r="X1075" s="249"/>
      <c r="Y1075" s="249"/>
      <c r="Z1075" s="249"/>
      <c r="AA1075" s="249"/>
      <c r="AB1075" s="249"/>
      <c r="AC1075" s="249"/>
      <c r="AD1075" s="249"/>
    </row>
    <row r="1076" spans="1:30" ht="12.9">
      <c r="A1076" s="249"/>
      <c r="B1076" s="249"/>
      <c r="C1076" s="249"/>
      <c r="D1076" s="249"/>
      <c r="E1076" s="249"/>
      <c r="F1076" s="249"/>
      <c r="G1076" s="249"/>
      <c r="H1076" s="249"/>
      <c r="I1076" s="249"/>
      <c r="J1076" s="249"/>
      <c r="K1076" s="249"/>
      <c r="L1076" s="249"/>
      <c r="M1076" s="249"/>
      <c r="N1076" s="249"/>
      <c r="O1076" s="249"/>
      <c r="P1076" s="249"/>
      <c r="Q1076" s="249"/>
      <c r="R1076" s="249"/>
      <c r="S1076" s="249"/>
      <c r="T1076" s="249"/>
      <c r="U1076" s="249"/>
      <c r="V1076" s="249"/>
      <c r="W1076" s="249"/>
      <c r="X1076" s="249"/>
      <c r="Y1076" s="249"/>
      <c r="Z1076" s="249"/>
      <c r="AA1076" s="249"/>
      <c r="AB1076" s="249"/>
      <c r="AC1076" s="249"/>
      <c r="AD1076" s="249"/>
    </row>
    <row r="1077" spans="1:30" ht="12.9">
      <c r="A1077" s="249"/>
      <c r="B1077" s="249"/>
      <c r="C1077" s="249"/>
      <c r="D1077" s="249"/>
      <c r="E1077" s="249"/>
      <c r="F1077" s="249"/>
      <c r="G1077" s="249"/>
      <c r="H1077" s="249"/>
      <c r="I1077" s="249"/>
      <c r="J1077" s="249"/>
      <c r="K1077" s="249"/>
      <c r="L1077" s="249"/>
      <c r="M1077" s="249"/>
      <c r="N1077" s="249"/>
      <c r="O1077" s="249"/>
      <c r="P1077" s="249"/>
      <c r="Q1077" s="249"/>
      <c r="R1077" s="249"/>
      <c r="S1077" s="249"/>
      <c r="T1077" s="249"/>
      <c r="U1077" s="249"/>
      <c r="V1077" s="249"/>
      <c r="W1077" s="249"/>
      <c r="X1077" s="249"/>
      <c r="Y1077" s="249"/>
      <c r="Z1077" s="249"/>
      <c r="AA1077" s="249"/>
      <c r="AB1077" s="249"/>
      <c r="AC1077" s="249"/>
      <c r="AD1077" s="249"/>
    </row>
    <row r="1078" spans="1:30" ht="12.9">
      <c r="A1078" s="249"/>
      <c r="B1078" s="249"/>
      <c r="C1078" s="249"/>
      <c r="D1078" s="249"/>
      <c r="E1078" s="249"/>
      <c r="F1078" s="249"/>
      <c r="G1078" s="249"/>
      <c r="H1078" s="249"/>
      <c r="I1078" s="249"/>
      <c r="J1078" s="249"/>
      <c r="K1078" s="249"/>
      <c r="L1078" s="249"/>
      <c r="M1078" s="249"/>
      <c r="N1078" s="249"/>
      <c r="O1078" s="249"/>
      <c r="P1078" s="249"/>
      <c r="Q1078" s="249"/>
      <c r="R1078" s="249"/>
      <c r="S1078" s="249"/>
      <c r="T1078" s="249"/>
      <c r="U1078" s="249"/>
      <c r="V1078" s="249"/>
      <c r="W1078" s="249"/>
      <c r="X1078" s="249"/>
      <c r="Y1078" s="249"/>
      <c r="Z1078" s="249"/>
      <c r="AA1078" s="249"/>
      <c r="AB1078" s="249"/>
      <c r="AC1078" s="249"/>
      <c r="AD1078" s="249"/>
    </row>
    <row r="1079" spans="1:30" ht="12.9">
      <c r="A1079" s="249"/>
      <c r="B1079" s="249"/>
      <c r="C1079" s="249"/>
      <c r="D1079" s="249"/>
      <c r="E1079" s="249"/>
      <c r="F1079" s="249"/>
      <c r="G1079" s="249"/>
      <c r="H1079" s="249"/>
      <c r="I1079" s="249"/>
      <c r="J1079" s="249"/>
      <c r="K1079" s="249"/>
      <c r="L1079" s="249"/>
      <c r="M1079" s="249"/>
      <c r="N1079" s="249"/>
      <c r="O1079" s="249"/>
      <c r="P1079" s="249"/>
      <c r="Q1079" s="249"/>
      <c r="R1079" s="249"/>
      <c r="S1079" s="249"/>
      <c r="T1079" s="249"/>
      <c r="U1079" s="249"/>
      <c r="V1079" s="249"/>
      <c r="W1079" s="249"/>
      <c r="X1079" s="249"/>
      <c r="Y1079" s="249"/>
      <c r="Z1079" s="249"/>
      <c r="AA1079" s="249"/>
      <c r="AB1079" s="249"/>
      <c r="AC1079" s="249"/>
      <c r="AD1079" s="249"/>
    </row>
    <row r="1080" spans="1:30" ht="12.9">
      <c r="A1080" s="249"/>
      <c r="B1080" s="249"/>
      <c r="C1080" s="249"/>
      <c r="D1080" s="249"/>
      <c r="E1080" s="249"/>
      <c r="F1080" s="249"/>
      <c r="G1080" s="249"/>
      <c r="H1080" s="249"/>
      <c r="I1080" s="249"/>
      <c r="J1080" s="249"/>
      <c r="K1080" s="249"/>
      <c r="L1080" s="249"/>
      <c r="M1080" s="249"/>
      <c r="N1080" s="249"/>
      <c r="O1080" s="249"/>
      <c r="P1080" s="249"/>
      <c r="Q1080" s="249"/>
      <c r="R1080" s="249"/>
      <c r="S1080" s="249"/>
      <c r="T1080" s="249"/>
      <c r="U1080" s="249"/>
      <c r="V1080" s="249"/>
      <c r="W1080" s="249"/>
      <c r="X1080" s="249"/>
      <c r="Y1080" s="249"/>
      <c r="Z1080" s="249"/>
      <c r="AA1080" s="249"/>
      <c r="AB1080" s="249"/>
      <c r="AC1080" s="249"/>
      <c r="AD1080" s="249"/>
    </row>
    <row r="1081" spans="1:30" ht="12.9">
      <c r="A1081" s="249"/>
      <c r="B1081" s="249"/>
      <c r="C1081" s="249"/>
      <c r="D1081" s="249"/>
      <c r="E1081" s="249"/>
      <c r="F1081" s="249"/>
      <c r="G1081" s="249"/>
      <c r="H1081" s="249"/>
      <c r="I1081" s="249"/>
      <c r="J1081" s="249"/>
      <c r="K1081" s="249"/>
      <c r="L1081" s="249"/>
      <c r="M1081" s="249"/>
      <c r="N1081" s="249"/>
      <c r="O1081" s="249"/>
      <c r="P1081" s="249"/>
      <c r="Q1081" s="249"/>
      <c r="R1081" s="249"/>
      <c r="S1081" s="249"/>
      <c r="T1081" s="249"/>
      <c r="U1081" s="249"/>
      <c r="V1081" s="249"/>
      <c r="W1081" s="249"/>
      <c r="X1081" s="249"/>
      <c r="Y1081" s="249"/>
      <c r="Z1081" s="249"/>
      <c r="AA1081" s="249"/>
      <c r="AB1081" s="249"/>
      <c r="AC1081" s="249"/>
      <c r="AD1081" s="249"/>
    </row>
    <row r="1082" spans="1:30" ht="12.9">
      <c r="A1082" s="249"/>
      <c r="B1082" s="249"/>
      <c r="C1082" s="249"/>
      <c r="D1082" s="249"/>
      <c r="E1082" s="249"/>
      <c r="F1082" s="249"/>
      <c r="G1082" s="249"/>
      <c r="H1082" s="249"/>
      <c r="I1082" s="249"/>
      <c r="J1082" s="249"/>
      <c r="K1082" s="249"/>
      <c r="L1082" s="249"/>
      <c r="M1082" s="249"/>
      <c r="N1082" s="249"/>
      <c r="O1082" s="249"/>
      <c r="P1082" s="249"/>
      <c r="Q1082" s="249"/>
      <c r="R1082" s="249"/>
      <c r="S1082" s="249"/>
      <c r="T1082" s="249"/>
      <c r="U1082" s="249"/>
      <c r="V1082" s="249"/>
      <c r="W1082" s="249"/>
      <c r="X1082" s="249"/>
      <c r="Y1082" s="249"/>
      <c r="Z1082" s="249"/>
      <c r="AA1082" s="249"/>
      <c r="AB1082" s="249"/>
      <c r="AC1082" s="249"/>
      <c r="AD1082" s="249"/>
    </row>
    <row r="1083" spans="1:30" ht="12.9">
      <c r="A1083" s="249"/>
      <c r="B1083" s="249"/>
      <c r="C1083" s="249"/>
      <c r="D1083" s="249"/>
      <c r="E1083" s="249"/>
      <c r="F1083" s="249"/>
      <c r="G1083" s="249"/>
      <c r="H1083" s="249"/>
      <c r="I1083" s="249"/>
      <c r="J1083" s="249"/>
      <c r="K1083" s="249"/>
      <c r="L1083" s="249"/>
      <c r="M1083" s="249"/>
      <c r="N1083" s="249"/>
      <c r="O1083" s="249"/>
      <c r="P1083" s="249"/>
      <c r="Q1083" s="249"/>
      <c r="R1083" s="249"/>
      <c r="S1083" s="249"/>
      <c r="T1083" s="249"/>
      <c r="U1083" s="249"/>
      <c r="V1083" s="249"/>
      <c r="W1083" s="249"/>
      <c r="X1083" s="249"/>
      <c r="Y1083" s="249"/>
      <c r="Z1083" s="249"/>
      <c r="AA1083" s="249"/>
      <c r="AB1083" s="249"/>
      <c r="AC1083" s="249"/>
      <c r="AD1083" s="249"/>
    </row>
    <row r="1084" spans="1:30" ht="12.9">
      <c r="A1084" s="249"/>
      <c r="B1084" s="249"/>
      <c r="C1084" s="249"/>
      <c r="D1084" s="249"/>
      <c r="E1084" s="249"/>
      <c r="F1084" s="249"/>
      <c r="G1084" s="249"/>
      <c r="H1084" s="249"/>
      <c r="I1084" s="249"/>
      <c r="J1084" s="249"/>
      <c r="K1084" s="249"/>
      <c r="L1084" s="249"/>
      <c r="M1084" s="249"/>
      <c r="N1084" s="249"/>
      <c r="O1084" s="249"/>
      <c r="P1084" s="249"/>
      <c r="Q1084" s="249"/>
      <c r="R1084" s="249"/>
      <c r="S1084" s="249"/>
      <c r="T1084" s="249"/>
      <c r="U1084" s="249"/>
      <c r="V1084" s="249"/>
      <c r="W1084" s="249"/>
      <c r="X1084" s="249"/>
      <c r="Y1084" s="249"/>
      <c r="Z1084" s="249"/>
      <c r="AA1084" s="249"/>
      <c r="AB1084" s="249"/>
      <c r="AC1084" s="249"/>
      <c r="AD1084" s="249"/>
    </row>
    <row r="1085" spans="1:30" ht="12.9">
      <c r="A1085" s="249"/>
      <c r="B1085" s="249"/>
      <c r="C1085" s="249"/>
      <c r="D1085" s="249"/>
      <c r="E1085" s="249"/>
      <c r="F1085" s="249"/>
      <c r="G1085" s="249"/>
      <c r="H1085" s="249"/>
      <c r="I1085" s="249"/>
      <c r="J1085" s="249"/>
      <c r="K1085" s="249"/>
      <c r="L1085" s="249"/>
      <c r="M1085" s="249"/>
      <c r="N1085" s="249"/>
      <c r="O1085" s="249"/>
      <c r="P1085" s="249"/>
      <c r="Q1085" s="249"/>
      <c r="R1085" s="249"/>
      <c r="S1085" s="249"/>
      <c r="T1085" s="249"/>
      <c r="U1085" s="249"/>
      <c r="V1085" s="249"/>
      <c r="W1085" s="249"/>
      <c r="X1085" s="249"/>
      <c r="Y1085" s="249"/>
      <c r="Z1085" s="249"/>
      <c r="AA1085" s="249"/>
      <c r="AB1085" s="249"/>
      <c r="AC1085" s="249"/>
      <c r="AD1085" s="249"/>
    </row>
    <row r="1086" spans="1:30" ht="12.9">
      <c r="A1086" s="249"/>
      <c r="B1086" s="249"/>
      <c r="C1086" s="249"/>
      <c r="D1086" s="249"/>
      <c r="E1086" s="249"/>
      <c r="F1086" s="249"/>
      <c r="G1086" s="249"/>
      <c r="H1086" s="249"/>
      <c r="I1086" s="249"/>
      <c r="J1086" s="249"/>
      <c r="K1086" s="249"/>
      <c r="L1086" s="249"/>
      <c r="M1086" s="249"/>
      <c r="N1086" s="249"/>
      <c r="O1086" s="249"/>
      <c r="P1086" s="249"/>
      <c r="Q1086" s="249"/>
      <c r="R1086" s="249"/>
      <c r="S1086" s="249"/>
      <c r="T1086" s="249"/>
      <c r="U1086" s="249"/>
      <c r="V1086" s="249"/>
      <c r="W1086" s="249"/>
      <c r="X1086" s="249"/>
      <c r="Y1086" s="249"/>
      <c r="Z1086" s="249"/>
      <c r="AA1086" s="249"/>
      <c r="AB1086" s="249"/>
      <c r="AC1086" s="249"/>
      <c r="AD1086" s="249"/>
    </row>
    <row r="1087" spans="1:30" ht="12.9">
      <c r="A1087" s="249"/>
      <c r="B1087" s="249"/>
      <c r="C1087" s="249"/>
      <c r="D1087" s="249"/>
      <c r="E1087" s="249"/>
      <c r="F1087" s="249"/>
      <c r="G1087" s="249"/>
      <c r="H1087" s="249"/>
      <c r="I1087" s="249"/>
      <c r="J1087" s="249"/>
      <c r="K1087" s="249"/>
      <c r="L1087" s="249"/>
      <c r="M1087" s="249"/>
      <c r="N1087" s="249"/>
      <c r="O1087" s="249"/>
      <c r="P1087" s="249"/>
      <c r="Q1087" s="249"/>
      <c r="R1087" s="249"/>
      <c r="S1087" s="249"/>
      <c r="T1087" s="249"/>
      <c r="U1087" s="249"/>
      <c r="V1087" s="249"/>
      <c r="W1087" s="249"/>
      <c r="X1087" s="249"/>
      <c r="Y1087" s="249"/>
      <c r="Z1087" s="249"/>
      <c r="AA1087" s="249"/>
      <c r="AB1087" s="249"/>
      <c r="AC1087" s="249"/>
      <c r="AD1087" s="249"/>
    </row>
    <row r="1088" spans="1:30" ht="12.9">
      <c r="A1088" s="249"/>
      <c r="B1088" s="249"/>
      <c r="C1088" s="249"/>
      <c r="D1088" s="249"/>
      <c r="E1088" s="249"/>
      <c r="F1088" s="249"/>
      <c r="G1088" s="249"/>
      <c r="H1088" s="249"/>
      <c r="I1088" s="249"/>
      <c r="J1088" s="249"/>
      <c r="K1088" s="249"/>
      <c r="L1088" s="249"/>
      <c r="M1088" s="249"/>
      <c r="N1088" s="249"/>
      <c r="O1088" s="249"/>
      <c r="P1088" s="249"/>
      <c r="Q1088" s="249"/>
      <c r="R1088" s="249"/>
      <c r="S1088" s="249"/>
      <c r="T1088" s="249"/>
      <c r="U1088" s="249"/>
      <c r="V1088" s="249"/>
      <c r="W1088" s="249"/>
      <c r="X1088" s="249"/>
      <c r="Y1088" s="249"/>
      <c r="Z1088" s="249"/>
      <c r="AA1088" s="249"/>
      <c r="AB1088" s="249"/>
      <c r="AC1088" s="249"/>
      <c r="AD1088" s="249"/>
    </row>
    <row r="1089" spans="1:30" ht="12.9">
      <c r="A1089" s="249"/>
      <c r="B1089" s="249"/>
      <c r="C1089" s="249"/>
      <c r="D1089" s="249"/>
      <c r="E1089" s="249"/>
      <c r="F1089" s="249"/>
      <c r="G1089" s="249"/>
      <c r="H1089" s="249"/>
      <c r="I1089" s="249"/>
      <c r="J1089" s="249"/>
      <c r="K1089" s="249"/>
      <c r="L1089" s="249"/>
      <c r="M1089" s="249"/>
      <c r="N1089" s="249"/>
      <c r="O1089" s="249"/>
      <c r="P1089" s="249"/>
      <c r="Q1089" s="249"/>
      <c r="R1089" s="249"/>
      <c r="S1089" s="249"/>
      <c r="T1089" s="249"/>
      <c r="U1089" s="249"/>
      <c r="V1089" s="249"/>
      <c r="W1089" s="249"/>
      <c r="X1089" s="249"/>
      <c r="Y1089" s="249"/>
      <c r="Z1089" s="249"/>
      <c r="AA1089" s="249"/>
      <c r="AB1089" s="249"/>
      <c r="AC1089" s="249"/>
      <c r="AD1089" s="249"/>
    </row>
    <row r="1090" spans="1:30" ht="12.9">
      <c r="A1090" s="249"/>
      <c r="B1090" s="249"/>
      <c r="C1090" s="249"/>
      <c r="D1090" s="249"/>
      <c r="E1090" s="249"/>
      <c r="F1090" s="249"/>
      <c r="G1090" s="249"/>
      <c r="H1090" s="249"/>
      <c r="I1090" s="249"/>
      <c r="J1090" s="249"/>
      <c r="K1090" s="249"/>
      <c r="L1090" s="249"/>
      <c r="M1090" s="249"/>
      <c r="N1090" s="249"/>
      <c r="O1090" s="249"/>
      <c r="P1090" s="249"/>
      <c r="Q1090" s="249"/>
      <c r="R1090" s="249"/>
      <c r="S1090" s="249"/>
      <c r="T1090" s="249"/>
      <c r="U1090" s="249"/>
      <c r="V1090" s="249"/>
      <c r="W1090" s="249"/>
      <c r="X1090" s="249"/>
      <c r="Y1090" s="249"/>
      <c r="Z1090" s="249"/>
      <c r="AA1090" s="249"/>
      <c r="AB1090" s="249"/>
      <c r="AC1090" s="249"/>
      <c r="AD1090" s="249"/>
    </row>
    <row r="1091" spans="1:30" ht="12.9">
      <c r="A1091" s="249"/>
      <c r="B1091" s="249"/>
      <c r="C1091" s="249"/>
      <c r="D1091" s="249"/>
      <c r="E1091" s="249"/>
      <c r="F1091" s="249"/>
      <c r="G1091" s="249"/>
      <c r="H1091" s="249"/>
      <c r="I1091" s="249"/>
      <c r="J1091" s="249"/>
      <c r="K1091" s="249"/>
      <c r="L1091" s="249"/>
      <c r="M1091" s="249"/>
      <c r="N1091" s="249"/>
      <c r="O1091" s="249"/>
      <c r="P1091" s="249"/>
      <c r="Q1091" s="249"/>
      <c r="R1091" s="249"/>
      <c r="S1091" s="249"/>
      <c r="T1091" s="249"/>
      <c r="U1091" s="249"/>
      <c r="V1091" s="249"/>
      <c r="W1091" s="249"/>
      <c r="X1091" s="249"/>
      <c r="Y1091" s="249"/>
      <c r="Z1091" s="249"/>
      <c r="AA1091" s="249"/>
      <c r="AB1091" s="249"/>
      <c r="AC1091" s="249"/>
      <c r="AD1091" s="249"/>
    </row>
    <row r="1092" spans="1:30" ht="12.9">
      <c r="A1092" s="249"/>
      <c r="B1092" s="249"/>
      <c r="C1092" s="249"/>
      <c r="D1092" s="249"/>
      <c r="E1092" s="249"/>
      <c r="F1092" s="249"/>
      <c r="G1092" s="249"/>
      <c r="H1092" s="249"/>
      <c r="I1092" s="249"/>
      <c r="J1092" s="249"/>
      <c r="K1092" s="249"/>
      <c r="L1092" s="249"/>
      <c r="M1092" s="249"/>
      <c r="N1092" s="249"/>
      <c r="O1092" s="249"/>
      <c r="P1092" s="249"/>
      <c r="Q1092" s="249"/>
      <c r="R1092" s="249"/>
      <c r="S1092" s="249"/>
      <c r="T1092" s="249"/>
      <c r="U1092" s="249"/>
      <c r="V1092" s="249"/>
      <c r="W1092" s="249"/>
      <c r="X1092" s="249"/>
      <c r="Y1092" s="249"/>
      <c r="Z1092" s="249"/>
      <c r="AA1092" s="249"/>
      <c r="AB1092" s="249"/>
      <c r="AC1092" s="249"/>
      <c r="AD1092" s="249"/>
    </row>
    <row r="1093" spans="1:30" ht="12.9">
      <c r="A1093" s="249"/>
      <c r="B1093" s="249"/>
      <c r="C1093" s="249"/>
      <c r="D1093" s="249"/>
      <c r="E1093" s="249"/>
      <c r="F1093" s="249"/>
      <c r="G1093" s="249"/>
      <c r="H1093" s="249"/>
      <c r="I1093" s="249"/>
      <c r="J1093" s="249"/>
      <c r="K1093" s="249"/>
      <c r="L1093" s="249"/>
      <c r="M1093" s="249"/>
      <c r="N1093" s="249"/>
      <c r="O1093" s="249"/>
      <c r="P1093" s="249"/>
      <c r="Q1093" s="249"/>
      <c r="R1093" s="249"/>
      <c r="S1093" s="249"/>
      <c r="T1093" s="249"/>
      <c r="U1093" s="249"/>
      <c r="V1093" s="249"/>
      <c r="W1093" s="249"/>
      <c r="X1093" s="249"/>
      <c r="Y1093" s="249"/>
      <c r="Z1093" s="249"/>
      <c r="AA1093" s="249"/>
      <c r="AB1093" s="249"/>
      <c r="AC1093" s="249"/>
      <c r="AD1093" s="249"/>
    </row>
    <row r="1094" spans="1:30" ht="12.9">
      <c r="A1094" s="249"/>
      <c r="B1094" s="249"/>
      <c r="C1094" s="249"/>
      <c r="D1094" s="249"/>
      <c r="E1094" s="249"/>
      <c r="F1094" s="249"/>
      <c r="G1094" s="249"/>
      <c r="H1094" s="249"/>
      <c r="I1094" s="249"/>
      <c r="J1094" s="249"/>
      <c r="K1094" s="249"/>
      <c r="L1094" s="249"/>
      <c r="M1094" s="249"/>
      <c r="N1094" s="249"/>
      <c r="O1094" s="249"/>
      <c r="P1094" s="249"/>
      <c r="Q1094" s="249"/>
      <c r="R1094" s="249"/>
      <c r="S1094" s="249"/>
      <c r="T1094" s="249"/>
      <c r="U1094" s="249"/>
      <c r="V1094" s="249"/>
      <c r="W1094" s="249"/>
      <c r="X1094" s="249"/>
      <c r="Y1094" s="249"/>
      <c r="Z1094" s="249"/>
      <c r="AA1094" s="249"/>
      <c r="AB1094" s="249"/>
      <c r="AC1094" s="249"/>
      <c r="AD1094" s="249"/>
    </row>
    <row r="1095" spans="1:30" ht="12.9">
      <c r="A1095" s="249"/>
      <c r="B1095" s="249"/>
      <c r="C1095" s="249"/>
      <c r="D1095" s="249"/>
      <c r="E1095" s="249"/>
      <c r="F1095" s="249"/>
      <c r="G1095" s="249"/>
      <c r="H1095" s="249"/>
      <c r="I1095" s="249"/>
      <c r="J1095" s="249"/>
      <c r="K1095" s="249"/>
      <c r="L1095" s="249"/>
      <c r="M1095" s="249"/>
      <c r="N1095" s="249"/>
      <c r="O1095" s="249"/>
      <c r="P1095" s="249"/>
      <c r="Q1095" s="249"/>
      <c r="R1095" s="249"/>
      <c r="S1095" s="249"/>
      <c r="T1095" s="249"/>
      <c r="U1095" s="249"/>
      <c r="V1095" s="249"/>
      <c r="W1095" s="249"/>
      <c r="X1095" s="249"/>
      <c r="Y1095" s="249"/>
      <c r="Z1095" s="249"/>
      <c r="AA1095" s="249"/>
      <c r="AB1095" s="249"/>
      <c r="AC1095" s="249"/>
      <c r="AD1095" s="249"/>
    </row>
    <row r="1096" spans="1:30" ht="12.9">
      <c r="A1096" s="249"/>
      <c r="B1096" s="249"/>
      <c r="C1096" s="249"/>
      <c r="D1096" s="249"/>
      <c r="E1096" s="249"/>
      <c r="F1096" s="249"/>
      <c r="G1096" s="249"/>
      <c r="H1096" s="249"/>
      <c r="I1096" s="249"/>
      <c r="J1096" s="249"/>
      <c r="K1096" s="249"/>
      <c r="L1096" s="249"/>
      <c r="M1096" s="249"/>
      <c r="N1096" s="249"/>
      <c r="O1096" s="249"/>
      <c r="P1096" s="249"/>
      <c r="Q1096" s="249"/>
      <c r="R1096" s="249"/>
      <c r="S1096" s="249"/>
      <c r="T1096" s="249"/>
      <c r="U1096" s="249"/>
      <c r="V1096" s="249"/>
      <c r="W1096" s="249"/>
      <c r="X1096" s="249"/>
      <c r="Y1096" s="249"/>
      <c r="Z1096" s="249"/>
      <c r="AA1096" s="249"/>
      <c r="AB1096" s="249"/>
      <c r="AC1096" s="249"/>
      <c r="AD1096" s="249"/>
    </row>
    <row r="1097" spans="1:30" ht="12.9">
      <c r="A1097" s="249"/>
      <c r="B1097" s="249"/>
      <c r="C1097" s="249"/>
      <c r="D1097" s="249"/>
      <c r="E1097" s="249"/>
      <c r="F1097" s="249"/>
      <c r="G1097" s="249"/>
      <c r="H1097" s="249"/>
      <c r="I1097" s="249"/>
      <c r="J1097" s="249"/>
      <c r="K1097" s="249"/>
      <c r="L1097" s="249"/>
      <c r="M1097" s="249"/>
      <c r="N1097" s="249"/>
      <c r="O1097" s="249"/>
      <c r="P1097" s="249"/>
      <c r="Q1097" s="249"/>
      <c r="R1097" s="249"/>
      <c r="S1097" s="249"/>
      <c r="T1097" s="249"/>
      <c r="U1097" s="249"/>
      <c r="V1097" s="249"/>
      <c r="W1097" s="249"/>
      <c r="X1097" s="249"/>
      <c r="Y1097" s="249"/>
      <c r="Z1097" s="249"/>
      <c r="AA1097" s="249"/>
      <c r="AB1097" s="249"/>
      <c r="AC1097" s="249"/>
      <c r="AD1097" s="249"/>
    </row>
    <row r="1098" spans="1:30" ht="12.9">
      <c r="A1098" s="249"/>
      <c r="B1098" s="249"/>
      <c r="C1098" s="249"/>
      <c r="D1098" s="249"/>
      <c r="E1098" s="249"/>
      <c r="F1098" s="249"/>
      <c r="G1098" s="249"/>
      <c r="H1098" s="249"/>
      <c r="I1098" s="249"/>
      <c r="J1098" s="249"/>
      <c r="K1098" s="249"/>
      <c r="L1098" s="249"/>
      <c r="M1098" s="249"/>
      <c r="N1098" s="249"/>
      <c r="O1098" s="249"/>
      <c r="P1098" s="249"/>
      <c r="Q1098" s="249"/>
      <c r="R1098" s="249"/>
      <c r="S1098" s="249"/>
      <c r="T1098" s="249"/>
      <c r="U1098" s="249"/>
      <c r="V1098" s="249"/>
      <c r="W1098" s="249"/>
      <c r="X1098" s="249"/>
      <c r="Y1098" s="249"/>
      <c r="Z1098" s="249"/>
      <c r="AA1098" s="249"/>
      <c r="AB1098" s="249"/>
      <c r="AC1098" s="249"/>
      <c r="AD1098" s="249"/>
    </row>
    <row r="1099" spans="1:30" ht="12.9">
      <c r="A1099" s="249"/>
      <c r="B1099" s="249"/>
      <c r="C1099" s="249"/>
      <c r="D1099" s="249"/>
      <c r="E1099" s="249"/>
      <c r="F1099" s="249"/>
      <c r="G1099" s="249"/>
      <c r="H1099" s="249"/>
      <c r="I1099" s="249"/>
      <c r="J1099" s="249"/>
      <c r="K1099" s="249"/>
      <c r="L1099" s="249"/>
      <c r="M1099" s="249"/>
      <c r="N1099" s="249"/>
      <c r="O1099" s="249"/>
      <c r="P1099" s="249"/>
      <c r="Q1099" s="249"/>
      <c r="R1099" s="249"/>
      <c r="S1099" s="249"/>
      <c r="T1099" s="249"/>
      <c r="U1099" s="249"/>
      <c r="V1099" s="249"/>
      <c r="W1099" s="249"/>
      <c r="X1099" s="249"/>
      <c r="Y1099" s="249"/>
      <c r="Z1099" s="249"/>
      <c r="AA1099" s="249"/>
      <c r="AB1099" s="249"/>
      <c r="AC1099" s="249"/>
      <c r="AD1099" s="249"/>
    </row>
    <row r="1100" spans="1:30" ht="12.9">
      <c r="A1100" s="249"/>
      <c r="B1100" s="249"/>
      <c r="C1100" s="249"/>
      <c r="D1100" s="249"/>
      <c r="E1100" s="249"/>
      <c r="F1100" s="249"/>
      <c r="G1100" s="249"/>
      <c r="H1100" s="249"/>
      <c r="I1100" s="249"/>
      <c r="J1100" s="249"/>
      <c r="K1100" s="249"/>
      <c r="L1100" s="249"/>
      <c r="M1100" s="249"/>
      <c r="N1100" s="249"/>
      <c r="O1100" s="249"/>
      <c r="P1100" s="249"/>
      <c r="Q1100" s="249"/>
      <c r="R1100" s="249"/>
      <c r="S1100" s="249"/>
      <c r="T1100" s="249"/>
      <c r="U1100" s="249"/>
      <c r="V1100" s="249"/>
      <c r="W1100" s="249"/>
      <c r="X1100" s="249"/>
      <c r="Y1100" s="249"/>
      <c r="Z1100" s="249"/>
      <c r="AA1100" s="249"/>
      <c r="AB1100" s="249"/>
      <c r="AC1100" s="249"/>
      <c r="AD1100" s="249"/>
    </row>
    <row r="1101" spans="1:30" ht="12.9">
      <c r="A1101" s="249"/>
      <c r="B1101" s="249"/>
      <c r="C1101" s="249"/>
      <c r="D1101" s="249"/>
      <c r="E1101" s="249"/>
      <c r="F1101" s="249"/>
      <c r="G1101" s="249"/>
      <c r="H1101" s="249"/>
      <c r="I1101" s="249"/>
      <c r="J1101" s="249"/>
      <c r="K1101" s="249"/>
      <c r="L1101" s="249"/>
      <c r="M1101" s="249"/>
      <c r="N1101" s="249"/>
      <c r="O1101" s="249"/>
      <c r="P1101" s="249"/>
      <c r="Q1101" s="249"/>
      <c r="R1101" s="249"/>
      <c r="S1101" s="249"/>
      <c r="T1101" s="249"/>
      <c r="U1101" s="249"/>
      <c r="V1101" s="249"/>
      <c r="W1101" s="249"/>
      <c r="X1101" s="249"/>
      <c r="Y1101" s="249"/>
      <c r="Z1101" s="249"/>
      <c r="AA1101" s="249"/>
      <c r="AB1101" s="249"/>
      <c r="AC1101" s="249"/>
      <c r="AD1101" s="249"/>
    </row>
    <row r="1102" spans="1:30" ht="12.9">
      <c r="A1102" s="249"/>
      <c r="B1102" s="249"/>
      <c r="C1102" s="249"/>
      <c r="D1102" s="249"/>
      <c r="E1102" s="249"/>
      <c r="F1102" s="249"/>
      <c r="G1102" s="249"/>
      <c r="H1102" s="249"/>
      <c r="I1102" s="249"/>
      <c r="J1102" s="249"/>
      <c r="K1102" s="249"/>
      <c r="L1102" s="249"/>
      <c r="M1102" s="249"/>
      <c r="N1102" s="249"/>
      <c r="O1102" s="249"/>
      <c r="P1102" s="249"/>
      <c r="Q1102" s="249"/>
      <c r="R1102" s="249"/>
      <c r="S1102" s="249"/>
      <c r="T1102" s="249"/>
      <c r="U1102" s="249"/>
      <c r="V1102" s="249"/>
      <c r="W1102" s="249"/>
      <c r="X1102" s="249"/>
      <c r="Y1102" s="249"/>
      <c r="Z1102" s="249"/>
      <c r="AA1102" s="249"/>
      <c r="AB1102" s="249"/>
      <c r="AC1102" s="249"/>
      <c r="AD1102" s="249"/>
    </row>
    <row r="1103" spans="1:30" ht="12.9">
      <c r="A1103" s="249"/>
      <c r="B1103" s="249"/>
      <c r="C1103" s="249"/>
      <c r="D1103" s="249"/>
      <c r="E1103" s="249"/>
      <c r="F1103" s="249"/>
      <c r="G1103" s="249"/>
      <c r="H1103" s="249"/>
      <c r="I1103" s="249"/>
      <c r="J1103" s="249"/>
      <c r="K1103" s="249"/>
      <c r="L1103" s="249"/>
      <c r="M1103" s="249"/>
      <c r="N1103" s="249"/>
      <c r="O1103" s="249"/>
      <c r="P1103" s="249"/>
      <c r="Q1103" s="249"/>
      <c r="R1103" s="249"/>
      <c r="S1103" s="249"/>
      <c r="T1103" s="249"/>
      <c r="U1103" s="249"/>
      <c r="V1103" s="249"/>
      <c r="W1103" s="249"/>
      <c r="X1103" s="249"/>
      <c r="Y1103" s="249"/>
      <c r="Z1103" s="249"/>
      <c r="AA1103" s="249"/>
      <c r="AB1103" s="249"/>
      <c r="AC1103" s="249"/>
      <c r="AD1103" s="249"/>
    </row>
    <row r="1104" spans="1:30" ht="12.9">
      <c r="A1104" s="249"/>
      <c r="B1104" s="249"/>
      <c r="C1104" s="249"/>
      <c r="D1104" s="249"/>
      <c r="E1104" s="249"/>
      <c r="F1104" s="249"/>
      <c r="G1104" s="249"/>
      <c r="H1104" s="249"/>
      <c r="I1104" s="249"/>
      <c r="J1104" s="249"/>
      <c r="K1104" s="249"/>
      <c r="L1104" s="249"/>
      <c r="M1104" s="249"/>
      <c r="N1104" s="249"/>
      <c r="O1104" s="249"/>
      <c r="P1104" s="249"/>
      <c r="Q1104" s="249"/>
      <c r="R1104" s="249"/>
      <c r="S1104" s="249"/>
      <c r="T1104" s="249"/>
      <c r="U1104" s="249"/>
      <c r="V1104" s="249"/>
      <c r="W1104" s="249"/>
      <c r="X1104" s="249"/>
      <c r="Y1104" s="249"/>
      <c r="Z1104" s="249"/>
      <c r="AA1104" s="249"/>
      <c r="AB1104" s="249"/>
      <c r="AC1104" s="249"/>
      <c r="AD1104" s="249"/>
    </row>
    <row r="1105" spans="1:30" ht="12.9">
      <c r="A1105" s="249"/>
      <c r="B1105" s="249"/>
      <c r="C1105" s="249"/>
      <c r="D1105" s="249"/>
      <c r="E1105" s="249"/>
      <c r="F1105" s="249"/>
      <c r="G1105" s="249"/>
      <c r="H1105" s="249"/>
      <c r="I1105" s="249"/>
      <c r="J1105" s="249"/>
      <c r="K1105" s="249"/>
      <c r="L1105" s="249"/>
      <c r="M1105" s="249"/>
      <c r="N1105" s="249"/>
      <c r="O1105" s="249"/>
      <c r="P1105" s="249"/>
      <c r="Q1105" s="249"/>
      <c r="R1105" s="249"/>
      <c r="S1105" s="249"/>
      <c r="T1105" s="249"/>
      <c r="U1105" s="249"/>
      <c r="V1105" s="249"/>
      <c r="W1105" s="249"/>
      <c r="X1105" s="249"/>
      <c r="Y1105" s="249"/>
      <c r="Z1105" s="249"/>
      <c r="AA1105" s="249"/>
      <c r="AB1105" s="249"/>
      <c r="AC1105" s="249"/>
      <c r="AD1105" s="249"/>
    </row>
    <row r="1106" spans="1:30" ht="12.9">
      <c r="A1106" s="249"/>
      <c r="B1106" s="249"/>
      <c r="C1106" s="249"/>
      <c r="D1106" s="249"/>
      <c r="E1106" s="249"/>
      <c r="F1106" s="249"/>
      <c r="G1106" s="249"/>
      <c r="H1106" s="249"/>
      <c r="I1106" s="249"/>
      <c r="J1106" s="249"/>
      <c r="K1106" s="249"/>
      <c r="L1106" s="249"/>
      <c r="M1106" s="249"/>
      <c r="N1106" s="249"/>
      <c r="O1106" s="249"/>
      <c r="P1106" s="249"/>
      <c r="Q1106" s="249"/>
      <c r="R1106" s="249"/>
      <c r="S1106" s="249"/>
      <c r="T1106" s="249"/>
      <c r="U1106" s="249"/>
      <c r="V1106" s="249"/>
      <c r="W1106" s="249"/>
      <c r="X1106" s="249"/>
      <c r="Y1106" s="249"/>
      <c r="Z1106" s="249"/>
      <c r="AA1106" s="249"/>
      <c r="AB1106" s="249"/>
      <c r="AC1106" s="249"/>
      <c r="AD1106" s="249"/>
    </row>
    <row r="1107" spans="1:30" ht="12.9">
      <c r="A1107" s="249"/>
      <c r="B1107" s="249"/>
      <c r="C1107" s="249"/>
      <c r="D1107" s="249"/>
      <c r="E1107" s="249"/>
      <c r="F1107" s="249"/>
      <c r="G1107" s="249"/>
      <c r="H1107" s="249"/>
      <c r="I1107" s="249"/>
      <c r="J1107" s="249"/>
      <c r="K1107" s="249"/>
      <c r="L1107" s="249"/>
      <c r="M1107" s="249"/>
      <c r="N1107" s="249"/>
      <c r="O1107" s="249"/>
      <c r="P1107" s="249"/>
      <c r="Q1107" s="249"/>
      <c r="R1107" s="249"/>
      <c r="S1107" s="249"/>
      <c r="T1107" s="249"/>
      <c r="U1107" s="249"/>
      <c r="V1107" s="249"/>
      <c r="W1107" s="249"/>
      <c r="X1107" s="249"/>
      <c r="Y1107" s="249"/>
      <c r="Z1107" s="249"/>
      <c r="AA1107" s="249"/>
      <c r="AB1107" s="249"/>
      <c r="AC1107" s="249"/>
      <c r="AD1107" s="249"/>
    </row>
    <row r="1108" spans="1:30" ht="12.9">
      <c r="A1108" s="249"/>
      <c r="B1108" s="249"/>
      <c r="C1108" s="249"/>
      <c r="D1108" s="249"/>
      <c r="E1108" s="249"/>
      <c r="F1108" s="249"/>
      <c r="G1108" s="249"/>
      <c r="H1108" s="249"/>
      <c r="I1108" s="249"/>
      <c r="J1108" s="249"/>
      <c r="K1108" s="249"/>
      <c r="L1108" s="249"/>
      <c r="M1108" s="249"/>
      <c r="N1108" s="249"/>
      <c r="O1108" s="249"/>
      <c r="P1108" s="249"/>
      <c r="Q1108" s="249"/>
      <c r="R1108" s="249"/>
      <c r="S1108" s="249"/>
      <c r="T1108" s="249"/>
      <c r="U1108" s="249"/>
      <c r="V1108" s="249"/>
      <c r="W1108" s="249"/>
      <c r="X1108" s="249"/>
      <c r="Y1108" s="249"/>
      <c r="Z1108" s="249"/>
      <c r="AA1108" s="249"/>
      <c r="AB1108" s="249"/>
      <c r="AC1108" s="249"/>
      <c r="AD1108" s="249"/>
    </row>
    <row r="1109" spans="1:30" ht="12.9">
      <c r="A1109" s="249"/>
      <c r="B1109" s="249"/>
      <c r="C1109" s="249"/>
      <c r="D1109" s="249"/>
      <c r="E1109" s="249"/>
      <c r="F1109" s="249"/>
      <c r="G1109" s="249"/>
      <c r="H1109" s="249"/>
      <c r="I1109" s="249"/>
      <c r="J1109" s="249"/>
      <c r="K1109" s="249"/>
      <c r="L1109" s="249"/>
      <c r="M1109" s="249"/>
      <c r="N1109" s="249"/>
      <c r="O1109" s="249"/>
      <c r="P1109" s="249"/>
      <c r="Q1109" s="249"/>
      <c r="R1109" s="249"/>
      <c r="S1109" s="249"/>
      <c r="T1109" s="249"/>
      <c r="U1109" s="249"/>
      <c r="V1109" s="249"/>
      <c r="W1109" s="249"/>
      <c r="X1109" s="249"/>
      <c r="Y1109" s="249"/>
      <c r="Z1109" s="249"/>
      <c r="AA1109" s="249"/>
      <c r="AB1109" s="249"/>
      <c r="AC1109" s="249"/>
      <c r="AD1109" s="249"/>
    </row>
    <row r="1110" spans="1:30" ht="12.9">
      <c r="A1110" s="249"/>
      <c r="B1110" s="249"/>
      <c r="C1110" s="249"/>
      <c r="D1110" s="249"/>
      <c r="E1110" s="249"/>
      <c r="F1110" s="249"/>
      <c r="G1110" s="249"/>
      <c r="H1110" s="249"/>
      <c r="I1110" s="249"/>
      <c r="J1110" s="249"/>
      <c r="K1110" s="249"/>
      <c r="L1110" s="249"/>
      <c r="M1110" s="249"/>
      <c r="N1110" s="249"/>
      <c r="O1110" s="249"/>
      <c r="P1110" s="249"/>
      <c r="Q1110" s="249"/>
      <c r="R1110" s="249"/>
      <c r="S1110" s="249"/>
      <c r="T1110" s="249"/>
      <c r="U1110" s="249"/>
      <c r="V1110" s="249"/>
      <c r="W1110" s="249"/>
      <c r="X1110" s="249"/>
      <c r="Y1110" s="249"/>
      <c r="Z1110" s="249"/>
      <c r="AA1110" s="249"/>
      <c r="AB1110" s="249"/>
      <c r="AC1110" s="249"/>
      <c r="AD1110" s="249"/>
    </row>
    <row r="1111" spans="1:30" ht="12.9">
      <c r="A1111" s="249"/>
      <c r="B1111" s="249"/>
      <c r="C1111" s="249"/>
      <c r="D1111" s="249"/>
      <c r="E1111" s="249"/>
      <c r="F1111" s="249"/>
      <c r="G1111" s="249"/>
      <c r="H1111" s="249"/>
      <c r="I1111" s="249"/>
      <c r="J1111" s="249"/>
      <c r="K1111" s="249"/>
      <c r="L1111" s="249"/>
      <c r="M1111" s="249"/>
      <c r="N1111" s="249"/>
      <c r="O1111" s="249"/>
      <c r="P1111" s="249"/>
      <c r="Q1111" s="249"/>
      <c r="R1111" s="249"/>
      <c r="S1111" s="249"/>
      <c r="T1111" s="249"/>
      <c r="U1111" s="249"/>
      <c r="V1111" s="249"/>
      <c r="W1111" s="249"/>
      <c r="X1111" s="249"/>
      <c r="Y1111" s="249"/>
      <c r="Z1111" s="249"/>
      <c r="AA1111" s="249"/>
      <c r="AB1111" s="249"/>
      <c r="AC1111" s="249"/>
      <c r="AD1111" s="249"/>
    </row>
    <row r="1112" spans="1:30" ht="12.9">
      <c r="A1112" s="249"/>
      <c r="B1112" s="249"/>
      <c r="C1112" s="249"/>
      <c r="D1112" s="249"/>
      <c r="E1112" s="249"/>
      <c r="F1112" s="249"/>
      <c r="G1112" s="249"/>
      <c r="H1112" s="249"/>
      <c r="I1112" s="249"/>
      <c r="J1112" s="249"/>
      <c r="K1112" s="249"/>
      <c r="L1112" s="249"/>
      <c r="M1112" s="249"/>
      <c r="N1112" s="249"/>
      <c r="O1112" s="249"/>
      <c r="P1112" s="249"/>
      <c r="Q1112" s="249"/>
      <c r="R1112" s="249"/>
      <c r="S1112" s="249"/>
      <c r="T1112" s="249"/>
      <c r="U1112" s="249"/>
      <c r="V1112" s="249"/>
      <c r="W1112" s="249"/>
      <c r="X1112" s="249"/>
      <c r="Y1112" s="249"/>
      <c r="Z1112" s="249"/>
      <c r="AA1112" s="249"/>
      <c r="AB1112" s="249"/>
      <c r="AC1112" s="249"/>
      <c r="AD1112" s="249"/>
    </row>
    <row r="1113" spans="1:30" ht="12.9">
      <c r="A1113" s="249"/>
      <c r="B1113" s="249"/>
      <c r="C1113" s="249"/>
      <c r="D1113" s="249"/>
      <c r="E1113" s="249"/>
      <c r="F1113" s="249"/>
      <c r="G1113" s="249"/>
      <c r="H1113" s="249"/>
      <c r="I1113" s="249"/>
      <c r="J1113" s="249"/>
      <c r="K1113" s="249"/>
      <c r="L1113" s="249"/>
      <c r="M1113" s="249"/>
      <c r="N1113" s="249"/>
      <c r="O1113" s="249"/>
      <c r="P1113" s="249"/>
      <c r="Q1113" s="249"/>
      <c r="R1113" s="249"/>
      <c r="S1113" s="249"/>
      <c r="T1113" s="249"/>
      <c r="U1113" s="249"/>
      <c r="V1113" s="249"/>
      <c r="W1113" s="249"/>
      <c r="X1113" s="249"/>
      <c r="Y1113" s="249"/>
      <c r="Z1113" s="249"/>
      <c r="AA1113" s="249"/>
      <c r="AB1113" s="249"/>
      <c r="AC1113" s="249"/>
      <c r="AD1113" s="249"/>
    </row>
    <row r="1114" spans="1:30" ht="12.9">
      <c r="A1114" s="249"/>
      <c r="B1114" s="249"/>
      <c r="C1114" s="249"/>
      <c r="D1114" s="249"/>
      <c r="E1114" s="249"/>
      <c r="F1114" s="249"/>
      <c r="G1114" s="249"/>
      <c r="H1114" s="249"/>
      <c r="I1114" s="249"/>
      <c r="J1114" s="249"/>
      <c r="K1114" s="249"/>
      <c r="L1114" s="249"/>
      <c r="M1114" s="249"/>
      <c r="N1114" s="249"/>
      <c r="O1114" s="249"/>
      <c r="P1114" s="249"/>
      <c r="Q1114" s="249"/>
      <c r="R1114" s="249"/>
      <c r="S1114" s="249"/>
      <c r="T1114" s="249"/>
      <c r="U1114" s="249"/>
      <c r="V1114" s="249"/>
      <c r="W1114" s="249"/>
      <c r="X1114" s="249"/>
      <c r="Y1114" s="249"/>
      <c r="Z1114" s="249"/>
      <c r="AA1114" s="249"/>
      <c r="AB1114" s="249"/>
      <c r="AC1114" s="249"/>
      <c r="AD1114" s="249"/>
    </row>
    <row r="1115" spans="1:30" ht="12.9">
      <c r="A1115" s="249"/>
      <c r="B1115" s="249"/>
      <c r="C1115" s="249"/>
      <c r="D1115" s="249"/>
      <c r="E1115" s="249"/>
      <c r="F1115" s="249"/>
      <c r="G1115" s="249"/>
      <c r="H1115" s="249"/>
      <c r="I1115" s="249"/>
      <c r="J1115" s="249"/>
      <c r="K1115" s="249"/>
      <c r="L1115" s="249"/>
      <c r="M1115" s="249"/>
      <c r="N1115" s="249"/>
      <c r="O1115" s="249"/>
      <c r="P1115" s="249"/>
      <c r="Q1115" s="249"/>
      <c r="R1115" s="249"/>
      <c r="S1115" s="249"/>
      <c r="T1115" s="249"/>
      <c r="U1115" s="249"/>
      <c r="V1115" s="249"/>
      <c r="W1115" s="249"/>
      <c r="X1115" s="249"/>
      <c r="Y1115" s="249"/>
      <c r="Z1115" s="249"/>
      <c r="AA1115" s="249"/>
      <c r="AB1115" s="249"/>
      <c r="AC1115" s="249"/>
      <c r="AD1115" s="249"/>
    </row>
    <row r="1116" spans="1:30" ht="12.9">
      <c r="A1116" s="249"/>
      <c r="B1116" s="249"/>
      <c r="C1116" s="249"/>
      <c r="D1116" s="249"/>
      <c r="E1116" s="249"/>
      <c r="F1116" s="249"/>
      <c r="G1116" s="249"/>
      <c r="H1116" s="249"/>
      <c r="I1116" s="249"/>
      <c r="J1116" s="249"/>
      <c r="K1116" s="249"/>
      <c r="L1116" s="249"/>
      <c r="M1116" s="249"/>
      <c r="N1116" s="249"/>
      <c r="O1116" s="249"/>
      <c r="P1116" s="249"/>
      <c r="Q1116" s="249"/>
      <c r="R1116" s="249"/>
      <c r="S1116" s="249"/>
      <c r="T1116" s="249"/>
      <c r="U1116" s="249"/>
      <c r="V1116" s="249"/>
      <c r="W1116" s="249"/>
      <c r="X1116" s="249"/>
      <c r="Y1116" s="249"/>
      <c r="Z1116" s="249"/>
      <c r="AA1116" s="249"/>
      <c r="AB1116" s="249"/>
      <c r="AC1116" s="249"/>
      <c r="AD1116" s="249"/>
    </row>
    <row r="1117" spans="1:30" ht="12.9">
      <c r="A1117" s="249"/>
      <c r="B1117" s="249"/>
      <c r="C1117" s="249"/>
      <c r="D1117" s="249"/>
      <c r="E1117" s="249"/>
      <c r="F1117" s="249"/>
      <c r="G1117" s="249"/>
      <c r="H1117" s="249"/>
      <c r="I1117" s="249"/>
      <c r="J1117" s="249"/>
      <c r="K1117" s="249"/>
      <c r="L1117" s="249"/>
      <c r="M1117" s="249"/>
      <c r="N1117" s="249"/>
      <c r="O1117" s="249"/>
      <c r="P1117" s="249"/>
      <c r="Q1117" s="249"/>
      <c r="R1117" s="249"/>
      <c r="S1117" s="249"/>
      <c r="T1117" s="249"/>
      <c r="U1117" s="249"/>
      <c r="V1117" s="249"/>
      <c r="W1117" s="249"/>
      <c r="X1117" s="249"/>
      <c r="Y1117" s="249"/>
      <c r="Z1117" s="249"/>
      <c r="AA1117" s="249"/>
      <c r="AB1117" s="249"/>
      <c r="AC1117" s="249"/>
      <c r="AD1117" s="249"/>
    </row>
    <row r="1118" spans="1:30" ht="12.9">
      <c r="A1118" s="249"/>
      <c r="B1118" s="249"/>
      <c r="C1118" s="249"/>
      <c r="D1118" s="249"/>
      <c r="E1118" s="249"/>
      <c r="F1118" s="249"/>
      <c r="G1118" s="249"/>
      <c r="H1118" s="249"/>
      <c r="I1118" s="249"/>
      <c r="J1118" s="249"/>
      <c r="K1118" s="249"/>
      <c r="L1118" s="249"/>
      <c r="M1118" s="249"/>
      <c r="N1118" s="249"/>
      <c r="O1118" s="249"/>
      <c r="P1118" s="249"/>
      <c r="Q1118" s="249"/>
      <c r="R1118" s="249"/>
      <c r="S1118" s="249"/>
      <c r="T1118" s="249"/>
      <c r="U1118" s="249"/>
      <c r="V1118" s="249"/>
      <c r="W1118" s="249"/>
      <c r="X1118" s="249"/>
      <c r="Y1118" s="249"/>
      <c r="Z1118" s="249"/>
      <c r="AA1118" s="249"/>
      <c r="AB1118" s="249"/>
      <c r="AC1118" s="249"/>
      <c r="AD1118" s="249"/>
    </row>
    <row r="1119" spans="1:30" ht="12.9">
      <c r="A1119" s="249"/>
      <c r="B1119" s="249"/>
      <c r="C1119" s="249"/>
      <c r="D1119" s="249"/>
      <c r="E1119" s="249"/>
      <c r="F1119" s="249"/>
      <c r="G1119" s="249"/>
      <c r="H1119" s="249"/>
      <c r="I1119" s="249"/>
      <c r="J1119" s="249"/>
      <c r="K1119" s="249"/>
      <c r="L1119" s="249"/>
      <c r="M1119" s="249"/>
      <c r="N1119" s="249"/>
      <c r="O1119" s="249"/>
      <c r="P1119" s="249"/>
      <c r="Q1119" s="249"/>
      <c r="R1119" s="249"/>
      <c r="S1119" s="249"/>
      <c r="T1119" s="249"/>
      <c r="U1119" s="249"/>
      <c r="V1119" s="249"/>
      <c r="W1119" s="249"/>
      <c r="X1119" s="249"/>
      <c r="Y1119" s="249"/>
      <c r="Z1119" s="249"/>
      <c r="AA1119" s="249"/>
      <c r="AB1119" s="249"/>
      <c r="AC1119" s="249"/>
      <c r="AD1119" s="249"/>
    </row>
    <row r="1120" spans="1:30" ht="12.9">
      <c r="A1120" s="249"/>
      <c r="B1120" s="249"/>
      <c r="C1120" s="249"/>
      <c r="D1120" s="249"/>
      <c r="E1120" s="249"/>
      <c r="F1120" s="249"/>
      <c r="G1120" s="249"/>
      <c r="H1120" s="249"/>
      <c r="I1120" s="249"/>
      <c r="J1120" s="249"/>
      <c r="K1120" s="249"/>
      <c r="L1120" s="249"/>
      <c r="M1120" s="249"/>
      <c r="N1120" s="249"/>
      <c r="O1120" s="249"/>
      <c r="P1120" s="249"/>
      <c r="Q1120" s="249"/>
      <c r="R1120" s="249"/>
      <c r="S1120" s="249"/>
      <c r="T1120" s="249"/>
      <c r="U1120" s="249"/>
      <c r="V1120" s="249"/>
      <c r="W1120" s="249"/>
      <c r="X1120" s="249"/>
      <c r="Y1120" s="249"/>
      <c r="Z1120" s="249"/>
      <c r="AA1120" s="249"/>
      <c r="AB1120" s="249"/>
      <c r="AC1120" s="249"/>
      <c r="AD1120" s="249"/>
    </row>
    <row r="1121" spans="1:30" ht="12.9">
      <c r="A1121" s="249"/>
      <c r="B1121" s="249"/>
      <c r="C1121" s="249"/>
      <c r="D1121" s="249"/>
      <c r="E1121" s="249"/>
      <c r="F1121" s="249"/>
      <c r="G1121" s="249"/>
      <c r="H1121" s="249"/>
      <c r="I1121" s="249"/>
      <c r="J1121" s="249"/>
      <c r="K1121" s="249"/>
      <c r="L1121" s="249"/>
      <c r="M1121" s="249"/>
      <c r="N1121" s="249"/>
      <c r="O1121" s="249"/>
      <c r="P1121" s="249"/>
      <c r="Q1121" s="249"/>
      <c r="R1121" s="249"/>
      <c r="S1121" s="249"/>
      <c r="T1121" s="249"/>
      <c r="U1121" s="249"/>
      <c r="V1121" s="249"/>
      <c r="W1121" s="249"/>
      <c r="X1121" s="249"/>
      <c r="Y1121" s="249"/>
      <c r="Z1121" s="249"/>
      <c r="AA1121" s="249"/>
      <c r="AB1121" s="249"/>
      <c r="AC1121" s="249"/>
      <c r="AD1121" s="249"/>
    </row>
    <row r="1122" spans="1:30" ht="12.9">
      <c r="A1122" s="249"/>
      <c r="B1122" s="249"/>
      <c r="C1122" s="249"/>
      <c r="D1122" s="249"/>
      <c r="E1122" s="249"/>
      <c r="F1122" s="249"/>
      <c r="G1122" s="249"/>
      <c r="H1122" s="249"/>
      <c r="I1122" s="249"/>
      <c r="J1122" s="249"/>
      <c r="K1122" s="249"/>
      <c r="L1122" s="249"/>
      <c r="M1122" s="249"/>
      <c r="N1122" s="249"/>
      <c r="O1122" s="249"/>
      <c r="P1122" s="249"/>
      <c r="Q1122" s="249"/>
      <c r="R1122" s="249"/>
      <c r="S1122" s="249"/>
      <c r="T1122" s="249"/>
      <c r="U1122" s="249"/>
      <c r="V1122" s="249"/>
      <c r="W1122" s="249"/>
      <c r="X1122" s="249"/>
      <c r="Y1122" s="249"/>
      <c r="Z1122" s="249"/>
      <c r="AA1122" s="249"/>
      <c r="AB1122" s="249"/>
      <c r="AC1122" s="249"/>
      <c r="AD1122" s="249"/>
    </row>
    <row r="1123" spans="1:30" ht="12.9">
      <c r="A1123" s="249"/>
      <c r="B1123" s="249"/>
      <c r="C1123" s="249"/>
      <c r="D1123" s="249"/>
      <c r="E1123" s="249"/>
      <c r="F1123" s="249"/>
      <c r="G1123" s="249"/>
      <c r="H1123" s="249"/>
      <c r="I1123" s="249"/>
      <c r="J1123" s="249"/>
      <c r="K1123" s="249"/>
      <c r="L1123" s="249"/>
      <c r="M1123" s="249"/>
      <c r="N1123" s="249"/>
      <c r="O1123" s="249"/>
      <c r="P1123" s="249"/>
      <c r="Q1123" s="249"/>
      <c r="R1123" s="249"/>
      <c r="S1123" s="249"/>
      <c r="T1123" s="249"/>
      <c r="U1123" s="249"/>
      <c r="V1123" s="249"/>
      <c r="W1123" s="249"/>
      <c r="X1123" s="249"/>
      <c r="Y1123" s="249"/>
      <c r="Z1123" s="249"/>
      <c r="AA1123" s="249"/>
      <c r="AB1123" s="249"/>
      <c r="AC1123" s="249"/>
      <c r="AD1123" s="249"/>
    </row>
    <row r="1124" spans="1:30" ht="12.9">
      <c r="A1124" s="249"/>
      <c r="B1124" s="249"/>
      <c r="C1124" s="249"/>
      <c r="D1124" s="249"/>
      <c r="E1124" s="249"/>
      <c r="F1124" s="249"/>
      <c r="G1124" s="249"/>
      <c r="H1124" s="249"/>
      <c r="I1124" s="249"/>
      <c r="J1124" s="249"/>
      <c r="K1124" s="249"/>
      <c r="L1124" s="249"/>
      <c r="M1124" s="249"/>
      <c r="N1124" s="249"/>
      <c r="O1124" s="249"/>
      <c r="P1124" s="249"/>
      <c r="Q1124" s="249"/>
      <c r="R1124" s="249"/>
      <c r="S1124" s="249"/>
      <c r="T1124" s="249"/>
      <c r="U1124" s="249"/>
      <c r="V1124" s="249"/>
      <c r="W1124" s="249"/>
      <c r="X1124" s="249"/>
      <c r="Y1124" s="249"/>
      <c r="Z1124" s="249"/>
      <c r="AA1124" s="249"/>
      <c r="AB1124" s="249"/>
      <c r="AC1124" s="249"/>
      <c r="AD1124" s="249"/>
    </row>
    <row r="1125" spans="1:30" ht="12.9">
      <c r="A1125" s="249"/>
      <c r="B1125" s="249"/>
      <c r="C1125" s="249"/>
      <c r="D1125" s="249"/>
      <c r="E1125" s="249"/>
      <c r="F1125" s="249"/>
      <c r="G1125" s="249"/>
      <c r="H1125" s="249"/>
      <c r="I1125" s="249"/>
      <c r="J1125" s="249"/>
      <c r="K1125" s="249"/>
      <c r="L1125" s="249"/>
      <c r="M1125" s="249"/>
      <c r="N1125" s="249"/>
      <c r="O1125" s="249"/>
      <c r="P1125" s="249"/>
      <c r="Q1125" s="249"/>
      <c r="R1125" s="249"/>
      <c r="S1125" s="249"/>
      <c r="T1125" s="249"/>
      <c r="U1125" s="249"/>
      <c r="V1125" s="249"/>
      <c r="W1125" s="249"/>
      <c r="X1125" s="249"/>
      <c r="Y1125" s="249"/>
      <c r="Z1125" s="249"/>
      <c r="AA1125" s="249"/>
      <c r="AB1125" s="249"/>
      <c r="AC1125" s="249"/>
      <c r="AD1125" s="249"/>
    </row>
    <row r="1126" spans="1:30" ht="12.9">
      <c r="A1126" s="249"/>
      <c r="B1126" s="249"/>
      <c r="C1126" s="249"/>
      <c r="D1126" s="249"/>
      <c r="E1126" s="249"/>
      <c r="F1126" s="249"/>
      <c r="G1126" s="249"/>
      <c r="H1126" s="249"/>
      <c r="I1126" s="249"/>
      <c r="J1126" s="249"/>
      <c r="K1126" s="249"/>
      <c r="L1126" s="249"/>
      <c r="M1126" s="249"/>
      <c r="N1126" s="249"/>
      <c r="O1126" s="249"/>
      <c r="P1126" s="249"/>
      <c r="Q1126" s="249"/>
      <c r="R1126" s="249"/>
      <c r="S1126" s="249"/>
      <c r="T1126" s="249"/>
      <c r="U1126" s="249"/>
      <c r="V1126" s="249"/>
      <c r="W1126" s="249"/>
      <c r="X1126" s="249"/>
      <c r="Y1126" s="249"/>
      <c r="Z1126" s="249"/>
      <c r="AA1126" s="249"/>
      <c r="AB1126" s="249"/>
      <c r="AC1126" s="249"/>
      <c r="AD1126" s="249"/>
    </row>
    <row r="1127" spans="1:30" ht="12.9">
      <c r="A1127" s="249"/>
      <c r="B1127" s="249"/>
      <c r="C1127" s="249"/>
      <c r="D1127" s="249"/>
      <c r="E1127" s="249"/>
      <c r="F1127" s="249"/>
      <c r="G1127" s="249"/>
      <c r="H1127" s="249"/>
      <c r="I1127" s="249"/>
      <c r="J1127" s="249"/>
      <c r="K1127" s="249"/>
      <c r="L1127" s="249"/>
      <c r="M1127" s="249"/>
      <c r="N1127" s="249"/>
      <c r="O1127" s="249"/>
      <c r="P1127" s="249"/>
      <c r="Q1127" s="249"/>
      <c r="R1127" s="249"/>
      <c r="S1127" s="249"/>
      <c r="T1127" s="249"/>
      <c r="U1127" s="249"/>
      <c r="V1127" s="249"/>
      <c r="W1127" s="249"/>
      <c r="X1127" s="249"/>
      <c r="Y1127" s="249"/>
      <c r="Z1127" s="249"/>
      <c r="AA1127" s="249"/>
      <c r="AB1127" s="249"/>
      <c r="AC1127" s="249"/>
      <c r="AD1127" s="249"/>
    </row>
    <row r="1128" spans="1:30" ht="12.9">
      <c r="A1128" s="249"/>
      <c r="B1128" s="249"/>
      <c r="C1128" s="249"/>
      <c r="D1128" s="249"/>
      <c r="E1128" s="249"/>
      <c r="F1128" s="249"/>
      <c r="G1128" s="249"/>
      <c r="H1128" s="249"/>
      <c r="I1128" s="249"/>
      <c r="J1128" s="249"/>
      <c r="K1128" s="249"/>
      <c r="L1128" s="249"/>
      <c r="M1128" s="249"/>
      <c r="N1128" s="249"/>
      <c r="O1128" s="249"/>
      <c r="P1128" s="249"/>
      <c r="Q1128" s="249"/>
      <c r="R1128" s="249"/>
      <c r="S1128" s="249"/>
      <c r="T1128" s="249"/>
      <c r="U1128" s="249"/>
      <c r="V1128" s="249"/>
      <c r="W1128" s="249"/>
      <c r="X1128" s="249"/>
      <c r="Y1128" s="249"/>
      <c r="Z1128" s="249"/>
      <c r="AA1128" s="249"/>
      <c r="AB1128" s="249"/>
      <c r="AC1128" s="249"/>
      <c r="AD1128" s="249"/>
    </row>
    <row r="1129" spans="1:30" ht="12.9">
      <c r="A1129" s="249"/>
      <c r="B1129" s="249"/>
      <c r="C1129" s="249"/>
      <c r="D1129" s="249"/>
      <c r="E1129" s="249"/>
      <c r="F1129" s="249"/>
      <c r="G1129" s="249"/>
      <c r="H1129" s="249"/>
      <c r="I1129" s="249"/>
      <c r="J1129" s="249"/>
      <c r="K1129" s="249"/>
      <c r="L1129" s="249"/>
      <c r="M1129" s="249"/>
      <c r="N1129" s="249"/>
      <c r="O1129" s="249"/>
      <c r="P1129" s="249"/>
      <c r="Q1129" s="249"/>
      <c r="R1129" s="249"/>
      <c r="S1129" s="249"/>
      <c r="T1129" s="249"/>
      <c r="U1129" s="249"/>
      <c r="V1129" s="249"/>
      <c r="W1129" s="249"/>
      <c r="X1129" s="249"/>
      <c r="Y1129" s="249"/>
      <c r="Z1129" s="249"/>
      <c r="AA1129" s="249"/>
      <c r="AB1129" s="249"/>
      <c r="AC1129" s="249"/>
      <c r="AD1129" s="249"/>
    </row>
    <row r="1130" spans="1:30" ht="12.9">
      <c r="A1130" s="249"/>
      <c r="B1130" s="249"/>
      <c r="C1130" s="249"/>
      <c r="D1130" s="249"/>
      <c r="E1130" s="249"/>
      <c r="F1130" s="249"/>
      <c r="G1130" s="249"/>
      <c r="H1130" s="249"/>
      <c r="I1130" s="249"/>
      <c r="J1130" s="249"/>
      <c r="K1130" s="249"/>
      <c r="L1130" s="249"/>
      <c r="M1130" s="249"/>
      <c r="N1130" s="249"/>
      <c r="O1130" s="249"/>
      <c r="P1130" s="249"/>
      <c r="Q1130" s="249"/>
      <c r="R1130" s="249"/>
      <c r="S1130" s="249"/>
      <c r="T1130" s="249"/>
      <c r="U1130" s="249"/>
      <c r="V1130" s="249"/>
      <c r="W1130" s="249"/>
      <c r="X1130" s="249"/>
      <c r="Y1130" s="249"/>
      <c r="Z1130" s="249"/>
      <c r="AA1130" s="249"/>
      <c r="AB1130" s="249"/>
      <c r="AC1130" s="249"/>
      <c r="AD1130" s="249"/>
    </row>
    <row r="1131" spans="1:30" ht="12.9">
      <c r="A1131" s="249"/>
      <c r="B1131" s="249"/>
      <c r="C1131" s="249"/>
      <c r="D1131" s="249"/>
      <c r="E1131" s="249"/>
      <c r="F1131" s="249"/>
      <c r="G1131" s="249"/>
      <c r="H1131" s="249"/>
      <c r="I1131" s="249"/>
      <c r="J1131" s="249"/>
      <c r="K1131" s="249"/>
      <c r="L1131" s="249"/>
      <c r="M1131" s="249"/>
      <c r="N1131" s="249"/>
      <c r="O1131" s="249"/>
      <c r="P1131" s="249"/>
      <c r="Q1131" s="249"/>
      <c r="R1131" s="249"/>
      <c r="S1131" s="249"/>
      <c r="T1131" s="249"/>
      <c r="U1131" s="249"/>
      <c r="V1131" s="249"/>
      <c r="W1131" s="249"/>
      <c r="X1131" s="249"/>
      <c r="Y1131" s="249"/>
      <c r="Z1131" s="249"/>
      <c r="AA1131" s="249"/>
      <c r="AB1131" s="249"/>
      <c r="AC1131" s="249"/>
      <c r="AD1131" s="249"/>
    </row>
    <row r="1132" spans="1:30" ht="12.9">
      <c r="A1132" s="249"/>
      <c r="B1132" s="249"/>
      <c r="C1132" s="249"/>
      <c r="D1132" s="249"/>
      <c r="E1132" s="249"/>
      <c r="F1132" s="249"/>
      <c r="G1132" s="249"/>
      <c r="H1132" s="249"/>
      <c r="I1132" s="249"/>
      <c r="J1132" s="249"/>
      <c r="K1132" s="249"/>
      <c r="L1132" s="249"/>
      <c r="M1132" s="249"/>
      <c r="N1132" s="249"/>
      <c r="O1132" s="249"/>
      <c r="P1132" s="249"/>
      <c r="Q1132" s="249"/>
      <c r="R1132" s="249"/>
      <c r="S1132" s="249"/>
      <c r="T1132" s="249"/>
      <c r="U1132" s="249"/>
      <c r="V1132" s="249"/>
      <c r="W1132" s="249"/>
      <c r="X1132" s="249"/>
      <c r="Y1132" s="249"/>
      <c r="Z1132" s="249"/>
      <c r="AA1132" s="249"/>
      <c r="AB1132" s="249"/>
      <c r="AC1132" s="249"/>
      <c r="AD1132" s="249"/>
    </row>
    <row r="1133" spans="1:30" ht="12.9">
      <c r="A1133" s="249"/>
      <c r="B1133" s="249"/>
      <c r="C1133" s="249"/>
      <c r="D1133" s="249"/>
      <c r="E1133" s="249"/>
      <c r="F1133" s="249"/>
      <c r="G1133" s="249"/>
      <c r="H1133" s="249"/>
      <c r="I1133" s="249"/>
      <c r="J1133" s="249"/>
      <c r="K1133" s="249"/>
      <c r="L1133" s="249"/>
      <c r="M1133" s="249"/>
      <c r="N1133" s="249"/>
      <c r="O1133" s="249"/>
      <c r="P1133" s="249"/>
      <c r="Q1133" s="249"/>
      <c r="R1133" s="249"/>
      <c r="S1133" s="249"/>
      <c r="T1133" s="249"/>
      <c r="U1133" s="249"/>
      <c r="V1133" s="249"/>
      <c r="W1133" s="249"/>
      <c r="X1133" s="249"/>
      <c r="Y1133" s="249"/>
      <c r="Z1133" s="249"/>
      <c r="AA1133" s="249"/>
      <c r="AB1133" s="249"/>
      <c r="AC1133" s="249"/>
      <c r="AD1133" s="249"/>
    </row>
    <row r="1134" spans="1:30" ht="12.9">
      <c r="A1134" s="249"/>
      <c r="B1134" s="249"/>
      <c r="C1134" s="249"/>
      <c r="D1134" s="249"/>
      <c r="E1134" s="249"/>
      <c r="F1134" s="249"/>
      <c r="G1134" s="249"/>
      <c r="H1134" s="249"/>
      <c r="I1134" s="249"/>
      <c r="J1134" s="249"/>
      <c r="K1134" s="249"/>
      <c r="L1134" s="249"/>
      <c r="M1134" s="249"/>
      <c r="N1134" s="249"/>
      <c r="O1134" s="249"/>
      <c r="P1134" s="249"/>
      <c r="Q1134" s="249"/>
      <c r="R1134" s="249"/>
      <c r="S1134" s="249"/>
      <c r="T1134" s="249"/>
      <c r="U1134" s="249"/>
      <c r="V1134" s="249"/>
      <c r="W1134" s="249"/>
      <c r="X1134" s="249"/>
      <c r="Y1134" s="249"/>
      <c r="Z1134" s="249"/>
      <c r="AA1134" s="249"/>
      <c r="AB1134" s="249"/>
      <c r="AC1134" s="249"/>
      <c r="AD1134" s="249"/>
    </row>
    <row r="1135" spans="1:30" ht="12.9">
      <c r="A1135" s="249"/>
      <c r="B1135" s="249"/>
      <c r="C1135" s="249"/>
      <c r="D1135" s="249"/>
      <c r="E1135" s="249"/>
      <c r="F1135" s="249"/>
      <c r="G1135" s="249"/>
      <c r="H1135" s="249"/>
      <c r="I1135" s="249"/>
      <c r="J1135" s="249"/>
      <c r="K1135" s="249"/>
      <c r="L1135" s="249"/>
      <c r="M1135" s="249"/>
      <c r="N1135" s="249"/>
      <c r="O1135" s="249"/>
      <c r="P1135" s="249"/>
      <c r="Q1135" s="249"/>
      <c r="R1135" s="249"/>
      <c r="S1135" s="249"/>
      <c r="T1135" s="249"/>
      <c r="U1135" s="249"/>
      <c r="V1135" s="249"/>
      <c r="W1135" s="249"/>
      <c r="X1135" s="249"/>
      <c r="Y1135" s="249"/>
      <c r="Z1135" s="249"/>
      <c r="AA1135" s="249"/>
      <c r="AB1135" s="249"/>
      <c r="AC1135" s="249"/>
      <c r="AD1135" s="249"/>
    </row>
    <row r="1136" spans="1:30" ht="12.9">
      <c r="A1136" s="249"/>
      <c r="B1136" s="249"/>
      <c r="C1136" s="249"/>
      <c r="D1136" s="249"/>
      <c r="E1136" s="249"/>
      <c r="F1136" s="249"/>
      <c r="G1136" s="249"/>
      <c r="H1136" s="249"/>
      <c r="I1136" s="249"/>
      <c r="J1136" s="249"/>
      <c r="K1136" s="249"/>
      <c r="L1136" s="249"/>
      <c r="M1136" s="249"/>
      <c r="N1136" s="249"/>
      <c r="O1136" s="249"/>
      <c r="P1136" s="249"/>
      <c r="Q1136" s="249"/>
      <c r="R1136" s="249"/>
      <c r="S1136" s="249"/>
      <c r="T1136" s="249"/>
      <c r="U1136" s="249"/>
      <c r="V1136" s="249"/>
      <c r="W1136" s="249"/>
      <c r="X1136" s="249"/>
      <c r="Y1136" s="249"/>
      <c r="Z1136" s="249"/>
      <c r="AA1136" s="249"/>
      <c r="AB1136" s="249"/>
      <c r="AC1136" s="249"/>
      <c r="AD1136" s="249"/>
    </row>
    <row r="1137" spans="1:30" ht="12.9">
      <c r="A1137" s="249"/>
      <c r="B1137" s="249"/>
      <c r="C1137" s="249"/>
      <c r="D1137" s="249"/>
      <c r="E1137" s="249"/>
      <c r="F1137" s="249"/>
      <c r="G1137" s="249"/>
      <c r="H1137" s="249"/>
      <c r="I1137" s="249"/>
      <c r="J1137" s="249"/>
      <c r="K1137" s="249"/>
      <c r="L1137" s="249"/>
      <c r="M1137" s="249"/>
      <c r="N1137" s="249"/>
      <c r="O1137" s="249"/>
      <c r="P1137" s="249"/>
      <c r="Q1137" s="249"/>
      <c r="R1137" s="249"/>
      <c r="S1137" s="249"/>
      <c r="T1137" s="249"/>
      <c r="U1137" s="249"/>
      <c r="V1137" s="249"/>
      <c r="W1137" s="249"/>
      <c r="X1137" s="249"/>
      <c r="Y1137" s="249"/>
      <c r="Z1137" s="249"/>
      <c r="AA1137" s="249"/>
      <c r="AB1137" s="249"/>
      <c r="AC1137" s="249"/>
      <c r="AD1137" s="249"/>
    </row>
    <row r="1138" spans="1:30" ht="12.9">
      <c r="A1138" s="249"/>
      <c r="B1138" s="249"/>
      <c r="C1138" s="249"/>
      <c r="D1138" s="249"/>
      <c r="E1138" s="249"/>
      <c r="F1138" s="249"/>
      <c r="G1138" s="249"/>
      <c r="H1138" s="249"/>
      <c r="I1138" s="249"/>
      <c r="J1138" s="249"/>
      <c r="K1138" s="249"/>
      <c r="L1138" s="249"/>
      <c r="M1138" s="249"/>
      <c r="N1138" s="249"/>
      <c r="O1138" s="249"/>
      <c r="P1138" s="249"/>
      <c r="Q1138" s="249"/>
      <c r="R1138" s="249"/>
      <c r="S1138" s="249"/>
      <c r="T1138" s="249"/>
      <c r="U1138" s="249"/>
      <c r="V1138" s="249"/>
      <c r="W1138" s="249"/>
      <c r="X1138" s="249"/>
      <c r="Y1138" s="249"/>
      <c r="Z1138" s="249"/>
      <c r="AA1138" s="249"/>
      <c r="AB1138" s="249"/>
      <c r="AC1138" s="249"/>
      <c r="AD1138" s="249"/>
    </row>
    <row r="1139" spans="1:30" ht="12.9">
      <c r="A1139" s="249"/>
      <c r="B1139" s="249"/>
      <c r="C1139" s="249"/>
      <c r="D1139" s="249"/>
      <c r="E1139" s="249"/>
      <c r="F1139" s="249"/>
      <c r="G1139" s="249"/>
      <c r="H1139" s="249"/>
      <c r="I1139" s="249"/>
      <c r="J1139" s="249"/>
      <c r="K1139" s="249"/>
      <c r="L1139" s="249"/>
      <c r="M1139" s="249"/>
      <c r="N1139" s="249"/>
      <c r="O1139" s="249"/>
      <c r="P1139" s="249"/>
      <c r="Q1139" s="249"/>
      <c r="R1139" s="249"/>
      <c r="S1139" s="249"/>
      <c r="T1139" s="249"/>
      <c r="U1139" s="249"/>
      <c r="V1139" s="249"/>
      <c r="W1139" s="249"/>
      <c r="X1139" s="249"/>
      <c r="Y1139" s="249"/>
      <c r="Z1139" s="249"/>
      <c r="AA1139" s="249"/>
      <c r="AB1139" s="249"/>
      <c r="AC1139" s="249"/>
      <c r="AD1139" s="249"/>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x14:formula1>
            <xm:f>'Self Assessment Total Score'!$C$18:$C$21</xm:f>
          </x14:formula1>
          <xm:sqref>I2:I76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349"/>
  <sheetViews>
    <sheetView workbookViewId="0">
      <selection activeCell="H17" sqref="H17"/>
    </sheetView>
  </sheetViews>
  <sheetFormatPr defaultColWidth="14.375" defaultRowHeight="15.8" customHeight="1"/>
  <cols>
    <col min="2" max="2" width="12.25" customWidth="1"/>
    <col min="3" max="3" width="40.75" customWidth="1"/>
    <col min="4" max="4" width="47.625" customWidth="1"/>
    <col min="5" max="5" width="108.25" hidden="1" customWidth="1"/>
    <col min="6" max="6" width="33.75" customWidth="1"/>
    <col min="7" max="7" width="16.25" customWidth="1"/>
  </cols>
  <sheetData>
    <row r="1" spans="1:29" ht="13.6">
      <c r="A1" s="310" t="s">
        <v>8401</v>
      </c>
      <c r="B1" s="262" t="s">
        <v>8402</v>
      </c>
      <c r="C1" s="310" t="s">
        <v>8403</v>
      </c>
      <c r="D1" s="311" t="s">
        <v>8404</v>
      </c>
      <c r="E1" s="311" t="s">
        <v>8405</v>
      </c>
      <c r="F1" s="300" t="s">
        <v>44</v>
      </c>
      <c r="G1" s="300" t="s">
        <v>46</v>
      </c>
      <c r="H1" s="24"/>
      <c r="I1" s="24"/>
      <c r="J1" s="24"/>
      <c r="K1" s="24"/>
      <c r="L1" s="24"/>
      <c r="M1" s="24"/>
      <c r="N1" s="24"/>
      <c r="O1" s="24"/>
      <c r="P1" s="24"/>
      <c r="Q1" s="24"/>
      <c r="R1" s="24"/>
      <c r="S1" s="24"/>
      <c r="T1" s="24"/>
      <c r="U1" s="24"/>
      <c r="V1" s="24"/>
      <c r="W1" s="24"/>
      <c r="X1" s="24"/>
      <c r="Y1" s="24"/>
      <c r="Z1" s="24"/>
      <c r="AA1" s="24"/>
      <c r="AB1" s="24"/>
      <c r="AC1" s="24"/>
    </row>
    <row r="2" spans="1:29" ht="13.6">
      <c r="A2" s="298"/>
      <c r="B2" s="262" t="s">
        <v>8406</v>
      </c>
      <c r="C2" s="298"/>
      <c r="D2" s="298"/>
      <c r="E2" s="298"/>
      <c r="F2" s="298"/>
      <c r="G2" s="298"/>
      <c r="H2" s="24"/>
      <c r="I2" s="24"/>
      <c r="J2" s="24"/>
      <c r="K2" s="24"/>
      <c r="L2" s="24"/>
      <c r="M2" s="24"/>
      <c r="N2" s="24"/>
      <c r="O2" s="24"/>
      <c r="P2" s="24"/>
      <c r="Q2" s="24"/>
      <c r="R2" s="24"/>
      <c r="S2" s="24"/>
      <c r="T2" s="24"/>
      <c r="U2" s="24"/>
      <c r="V2" s="24"/>
      <c r="W2" s="24"/>
      <c r="X2" s="24"/>
      <c r="Y2" s="24"/>
      <c r="Z2" s="24"/>
      <c r="AA2" s="24"/>
      <c r="AB2" s="24"/>
      <c r="AC2" s="24"/>
    </row>
    <row r="3" spans="1:29" ht="16.3">
      <c r="A3" s="263" t="s">
        <v>8407</v>
      </c>
      <c r="B3" s="264"/>
      <c r="C3" s="264"/>
      <c r="D3" s="265" t="s">
        <v>8407</v>
      </c>
      <c r="E3" s="266"/>
      <c r="F3" s="149"/>
      <c r="G3" s="267"/>
      <c r="H3" s="24"/>
      <c r="I3" s="24"/>
      <c r="J3" s="24"/>
      <c r="K3" s="24"/>
      <c r="L3" s="24"/>
      <c r="M3" s="24"/>
      <c r="N3" s="24"/>
      <c r="O3" s="24"/>
      <c r="P3" s="24"/>
      <c r="Q3" s="24"/>
      <c r="R3" s="24"/>
      <c r="S3" s="24"/>
      <c r="T3" s="24"/>
      <c r="U3" s="24"/>
      <c r="V3" s="24"/>
      <c r="W3" s="24"/>
      <c r="X3" s="24"/>
      <c r="Y3" s="24"/>
      <c r="Z3" s="24"/>
      <c r="AA3" s="24"/>
      <c r="AB3" s="24"/>
      <c r="AC3" s="24"/>
    </row>
    <row r="4" spans="1:29" ht="12.9">
      <c r="A4" s="308">
        <v>1</v>
      </c>
      <c r="B4" s="308"/>
      <c r="C4" s="308" t="s">
        <v>8408</v>
      </c>
      <c r="D4" s="312" t="s">
        <v>8409</v>
      </c>
      <c r="E4" s="268" t="str">
        <f>HYPERLINK("https://www.acquisition.gov/content/part-32-contract-financing#i1081624","FAR 32.7")</f>
        <v>FAR 32.7</v>
      </c>
      <c r="F4" s="314"/>
      <c r="G4" s="315" t="b">
        <f>IF(AND(F4="Meet the requirements traceability “out of the box”"), 10, IF(AND(F4="Can meet the requirements traceability with configuration or through the use of another commercial product “out of the box” or other arrangement as part of the service offering quoted (i.e. at no additional cost)"), 8, IF(AND(F4="Can meet the requirements traceability with customization at additional cost"), 3, IF(AND(F4="Cannot meet the requirements traceability requirement"), 0))))</f>
        <v>0</v>
      </c>
      <c r="H4" s="24"/>
      <c r="I4" s="24"/>
      <c r="J4" s="24"/>
      <c r="K4" s="24"/>
      <c r="L4" s="24"/>
      <c r="M4" s="24"/>
      <c r="N4" s="24"/>
      <c r="O4" s="24"/>
      <c r="P4" s="24"/>
      <c r="Q4" s="24"/>
      <c r="R4" s="24"/>
      <c r="S4" s="24"/>
      <c r="T4" s="24"/>
      <c r="U4" s="24"/>
      <c r="V4" s="24"/>
      <c r="W4" s="24"/>
      <c r="X4" s="24"/>
      <c r="Y4" s="24"/>
      <c r="Z4" s="24"/>
      <c r="AA4" s="24"/>
      <c r="AB4" s="24"/>
      <c r="AC4" s="24"/>
    </row>
    <row r="5" spans="1:29" ht="12.9">
      <c r="A5" s="309"/>
      <c r="B5" s="309"/>
      <c r="C5" s="309"/>
      <c r="D5" s="309"/>
      <c r="E5" s="268" t="str">
        <f>HYPERLINK("https://www.acquisition.gov/content/part-37-service-contracting#i1077887","FAR 37.106")</f>
        <v>FAR 37.106</v>
      </c>
      <c r="F5" s="309"/>
      <c r="G5" s="309"/>
      <c r="H5" s="24"/>
      <c r="I5" s="24"/>
      <c r="J5" s="24"/>
      <c r="K5" s="24"/>
      <c r="L5" s="24"/>
      <c r="M5" s="24"/>
      <c r="N5" s="24"/>
      <c r="O5" s="24"/>
      <c r="P5" s="24"/>
      <c r="Q5" s="24"/>
      <c r="R5" s="24"/>
      <c r="S5" s="24"/>
      <c r="T5" s="24"/>
      <c r="U5" s="24"/>
      <c r="V5" s="24"/>
      <c r="W5" s="24"/>
      <c r="X5" s="24"/>
      <c r="Y5" s="24"/>
      <c r="Z5" s="24"/>
      <c r="AA5" s="24"/>
      <c r="AB5" s="24"/>
      <c r="AC5" s="24"/>
    </row>
    <row r="6" spans="1:29" ht="12.9">
      <c r="A6" s="309"/>
      <c r="B6" s="309"/>
      <c r="C6" s="309"/>
      <c r="D6" s="309"/>
      <c r="E6" s="268" t="str">
        <f>HYPERLINK("https://www.acquisition.gov/content/part-501-general-services-administration-acquisition-regulation-system#i1897028","GSAM 501.602-2")</f>
        <v>GSAM 501.602-2</v>
      </c>
      <c r="F6" s="309"/>
      <c r="G6" s="309"/>
      <c r="H6" s="24"/>
      <c r="I6" s="24"/>
      <c r="J6" s="24"/>
      <c r="K6" s="24"/>
      <c r="L6" s="24"/>
      <c r="M6" s="24"/>
      <c r="N6" s="24"/>
      <c r="O6" s="24"/>
      <c r="P6" s="24"/>
      <c r="Q6" s="24"/>
      <c r="R6" s="24"/>
      <c r="S6" s="24"/>
      <c r="T6" s="24"/>
      <c r="U6" s="24"/>
      <c r="V6" s="24"/>
      <c r="W6" s="24"/>
      <c r="X6" s="24"/>
      <c r="Y6" s="24"/>
      <c r="Z6" s="24"/>
      <c r="AA6" s="24"/>
      <c r="AB6" s="24"/>
      <c r="AC6" s="24"/>
    </row>
    <row r="7" spans="1:29" ht="12.9">
      <c r="A7" s="309"/>
      <c r="B7" s="309"/>
      <c r="C7" s="309"/>
      <c r="D7" s="309"/>
      <c r="E7" s="268" t="str">
        <f>HYPERLINK("https://www.acquisition.gov/content/part-532-contract-financing#IQXFLQWD","GSAM 532.700")</f>
        <v>GSAM 532.700</v>
      </c>
      <c r="F7" s="309"/>
      <c r="G7" s="309"/>
      <c r="H7" s="24"/>
      <c r="I7" s="24"/>
      <c r="J7" s="24"/>
      <c r="K7" s="24"/>
      <c r="L7" s="24"/>
      <c r="M7" s="24"/>
      <c r="N7" s="24"/>
      <c r="O7" s="24"/>
      <c r="P7" s="24"/>
      <c r="Q7" s="24"/>
      <c r="R7" s="24"/>
      <c r="S7" s="24"/>
      <c r="T7" s="24"/>
      <c r="U7" s="24"/>
      <c r="V7" s="24"/>
      <c r="W7" s="24"/>
      <c r="X7" s="24"/>
      <c r="Y7" s="24"/>
      <c r="Z7" s="24"/>
      <c r="AA7" s="24"/>
      <c r="AB7" s="24"/>
      <c r="AC7" s="24"/>
    </row>
    <row r="8" spans="1:29" ht="12.9">
      <c r="A8" s="309"/>
      <c r="B8" s="309"/>
      <c r="C8" s="309"/>
      <c r="D8" s="309"/>
      <c r="E8" s="268" t="str">
        <f>HYPERLINK("https://www.acquisition.gov/content/part-537-service-contracting#SXMMRAMH","GSAM 537.106")</f>
        <v>GSAM 537.106</v>
      </c>
      <c r="F8" s="309"/>
      <c r="G8" s="309"/>
      <c r="H8" s="24"/>
      <c r="I8" s="24"/>
      <c r="J8" s="24"/>
      <c r="K8" s="24"/>
      <c r="L8" s="24"/>
      <c r="M8" s="24"/>
      <c r="N8" s="24"/>
      <c r="O8" s="24"/>
      <c r="P8" s="24"/>
      <c r="Q8" s="24"/>
      <c r="R8" s="24"/>
      <c r="S8" s="24"/>
      <c r="T8" s="24"/>
      <c r="U8" s="24"/>
      <c r="V8" s="24"/>
      <c r="W8" s="24"/>
      <c r="X8" s="24"/>
      <c r="Y8" s="24"/>
      <c r="Z8" s="24"/>
      <c r="AA8" s="24"/>
      <c r="AB8" s="24"/>
      <c r="AC8" s="24"/>
    </row>
    <row r="9" spans="1:29" ht="12.9">
      <c r="A9" s="309"/>
      <c r="B9" s="309"/>
      <c r="C9" s="309"/>
      <c r="D9" s="309"/>
      <c r="E9" s="268" t="str">
        <f>HYPERLINK("https://insite.gsa.gov/directives-library/budget-administration-handbook-42514b-cfo?term=4251.4B","CFO 4251.4B")</f>
        <v>CFO 4251.4B</v>
      </c>
      <c r="F9" s="309"/>
      <c r="G9" s="309"/>
      <c r="H9" s="24"/>
      <c r="I9" s="24"/>
      <c r="J9" s="24"/>
      <c r="K9" s="24"/>
      <c r="L9" s="24"/>
      <c r="M9" s="24"/>
      <c r="N9" s="24"/>
      <c r="O9" s="24"/>
      <c r="P9" s="24"/>
      <c r="Q9" s="24"/>
      <c r="R9" s="24"/>
      <c r="S9" s="24"/>
      <c r="T9" s="24"/>
      <c r="U9" s="24"/>
      <c r="V9" s="24"/>
      <c r="W9" s="24"/>
      <c r="X9" s="24"/>
      <c r="Y9" s="24"/>
      <c r="Z9" s="24"/>
      <c r="AA9" s="24"/>
      <c r="AB9" s="24"/>
      <c r="AC9" s="24"/>
    </row>
    <row r="10" spans="1:29" ht="12.9">
      <c r="A10" s="309"/>
      <c r="B10" s="309"/>
      <c r="C10" s="309"/>
      <c r="D10" s="309"/>
      <c r="E10" s="268" t="str">
        <f>HYPERLINK("https://insite.gsa.gov/employee-resources/financial-management/ocfo-accounting-classification-codes","Accounting Classification Codes")</f>
        <v>Accounting Classification Codes</v>
      </c>
      <c r="F10" s="309"/>
      <c r="G10" s="309"/>
      <c r="H10" s="24"/>
      <c r="I10" s="24"/>
      <c r="J10" s="24"/>
      <c r="K10" s="24"/>
      <c r="L10" s="24"/>
      <c r="M10" s="24"/>
      <c r="N10" s="24"/>
      <c r="O10" s="24"/>
      <c r="P10" s="24"/>
      <c r="Q10" s="24"/>
      <c r="R10" s="24"/>
      <c r="S10" s="24"/>
      <c r="T10" s="24"/>
      <c r="U10" s="24"/>
      <c r="V10" s="24"/>
      <c r="W10" s="24"/>
      <c r="X10" s="24"/>
      <c r="Y10" s="24"/>
      <c r="Z10" s="24"/>
      <c r="AA10" s="24"/>
      <c r="AB10" s="24"/>
      <c r="AC10" s="24"/>
    </row>
    <row r="11" spans="1:29" ht="12.9">
      <c r="A11" s="309"/>
      <c r="B11" s="309"/>
      <c r="C11" s="309"/>
      <c r="D11" s="309"/>
      <c r="E11" s="268" t="str">
        <f>HYPERLINK("https://insite.gsa.gov/directives-library/accounts-payable-policy-manual-42521c-cfo","CFO P 4252.1C")</f>
        <v>CFO P 4252.1C</v>
      </c>
      <c r="F11" s="309"/>
      <c r="G11" s="309"/>
      <c r="H11" s="24"/>
      <c r="I11" s="24"/>
      <c r="J11" s="24"/>
      <c r="K11" s="24"/>
      <c r="L11" s="24"/>
      <c r="M11" s="24"/>
      <c r="N11" s="24"/>
      <c r="O11" s="24"/>
      <c r="P11" s="24"/>
      <c r="Q11" s="24"/>
      <c r="R11" s="24"/>
      <c r="S11" s="24"/>
      <c r="T11" s="24"/>
      <c r="U11" s="24"/>
      <c r="V11" s="24"/>
      <c r="W11" s="24"/>
      <c r="X11" s="24"/>
      <c r="Y11" s="24"/>
      <c r="Z11" s="24"/>
      <c r="AA11" s="24"/>
      <c r="AB11" s="24"/>
      <c r="AC11" s="24"/>
    </row>
    <row r="12" spans="1:29" ht="12.9">
      <c r="A12" s="309"/>
      <c r="B12" s="309"/>
      <c r="C12" s="309"/>
      <c r="D12" s="309"/>
      <c r="E12" s="268" t="str">
        <f>HYPERLINK("https://insite.gsa.gov/employee-resources/acquisition-purchases-and-payments/acquisition-portal/policy-and-regulations/oap-acquisition-policy-library#DeviationsJustifications","SPE 2015-03-06")</f>
        <v>SPE 2015-03-06</v>
      </c>
      <c r="F12" s="309"/>
      <c r="G12" s="309"/>
      <c r="H12" s="24"/>
      <c r="I12" s="24"/>
      <c r="J12" s="24"/>
      <c r="K12" s="24"/>
      <c r="L12" s="24"/>
      <c r="M12" s="24"/>
      <c r="N12" s="24"/>
      <c r="O12" s="24"/>
      <c r="P12" s="24"/>
      <c r="Q12" s="24"/>
      <c r="R12" s="24"/>
      <c r="S12" s="24"/>
      <c r="T12" s="24"/>
      <c r="U12" s="24"/>
      <c r="V12" s="24"/>
      <c r="W12" s="24"/>
      <c r="X12" s="24"/>
      <c r="Y12" s="24"/>
      <c r="Z12" s="24"/>
      <c r="AA12" s="24"/>
      <c r="AB12" s="24"/>
      <c r="AC12" s="24"/>
    </row>
    <row r="13" spans="1:29" ht="12.9">
      <c r="A13" s="309"/>
      <c r="B13" s="309"/>
      <c r="C13" s="309"/>
      <c r="D13" s="309"/>
      <c r="E13" s="268" t="str">
        <f>HYPERLINK("https://insite.gsa.gov/employee-resources/acquisition-purchases-and-payments/acquisition-portal/policy-and-regulations/oap-acquisition-policy-library#DeviationsJustifications","SPE 2015-05-22A")</f>
        <v>SPE 2015-05-22A</v>
      </c>
      <c r="F13" s="309"/>
      <c r="G13" s="309"/>
      <c r="H13" s="24"/>
      <c r="I13" s="24"/>
      <c r="J13" s="24"/>
      <c r="K13" s="24"/>
      <c r="L13" s="24"/>
      <c r="M13" s="24"/>
      <c r="N13" s="24"/>
      <c r="O13" s="24"/>
      <c r="P13" s="24"/>
      <c r="Q13" s="24"/>
      <c r="R13" s="24"/>
      <c r="S13" s="24"/>
      <c r="T13" s="24"/>
      <c r="U13" s="24"/>
      <c r="V13" s="24"/>
      <c r="W13" s="24"/>
      <c r="X13" s="24"/>
      <c r="Y13" s="24"/>
      <c r="Z13" s="24"/>
      <c r="AA13" s="24"/>
      <c r="AB13" s="24"/>
      <c r="AC13" s="24"/>
    </row>
    <row r="14" spans="1:29" ht="12.9">
      <c r="A14" s="309"/>
      <c r="B14" s="309"/>
      <c r="C14" s="309"/>
      <c r="D14" s="309"/>
      <c r="E14" s="268" t="str">
        <f>HYPERLINK("https://insite.gsa.gov/employee-resources/acquisition-purchases-and-payments/acquisition-portal/policy-and-regulations/oap-acquisition-policy-library#SPEMemos","SPE 2005-06-27")</f>
        <v>SPE 2005-06-27</v>
      </c>
      <c r="F14" s="309"/>
      <c r="G14" s="309"/>
      <c r="H14" s="24"/>
      <c r="I14" s="24"/>
      <c r="J14" s="24"/>
      <c r="K14" s="24"/>
      <c r="L14" s="24"/>
      <c r="M14" s="24"/>
      <c r="N14" s="24"/>
      <c r="O14" s="24"/>
      <c r="P14" s="24"/>
      <c r="Q14" s="24"/>
      <c r="R14" s="24"/>
      <c r="S14" s="24"/>
      <c r="T14" s="24"/>
      <c r="U14" s="24"/>
      <c r="V14" s="24"/>
      <c r="W14" s="24"/>
      <c r="X14" s="24"/>
      <c r="Y14" s="24"/>
      <c r="Z14" s="24"/>
      <c r="AA14" s="24"/>
      <c r="AB14" s="24"/>
      <c r="AC14" s="24"/>
    </row>
    <row r="15" spans="1:29" ht="12.9">
      <c r="A15" s="309"/>
      <c r="B15" s="309"/>
      <c r="C15" s="309"/>
      <c r="D15" s="309"/>
      <c r="E15" s="313" t="str">
        <f>HYPERLINK("https://hallways.cap.gsa.gov/app/#/gateway/fas-acquisition-policy-library/17854/pin-2008-04-improving-the-management-and-use-of-interagency-acquisitions","PIN 2008-04")</f>
        <v>PIN 2008-04</v>
      </c>
      <c r="F15" s="309"/>
      <c r="G15" s="309"/>
      <c r="H15" s="24"/>
      <c r="I15" s="24"/>
      <c r="J15" s="24"/>
      <c r="K15" s="24"/>
      <c r="L15" s="24"/>
      <c r="M15" s="24"/>
      <c r="N15" s="24"/>
      <c r="O15" s="24"/>
      <c r="P15" s="24"/>
      <c r="Q15" s="24"/>
      <c r="R15" s="24"/>
      <c r="S15" s="24"/>
      <c r="T15" s="24"/>
      <c r="U15" s="24"/>
      <c r="V15" s="24"/>
      <c r="W15" s="24"/>
      <c r="X15" s="24"/>
      <c r="Y15" s="24"/>
      <c r="Z15" s="24"/>
      <c r="AA15" s="24"/>
      <c r="AB15" s="24"/>
      <c r="AC15" s="24"/>
    </row>
    <row r="16" spans="1:29" ht="21.75" customHeight="1">
      <c r="A16" s="298"/>
      <c r="B16" s="298"/>
      <c r="C16" s="298"/>
      <c r="D16" s="298"/>
      <c r="E16" s="298"/>
      <c r="F16" s="298"/>
      <c r="G16" s="298"/>
      <c r="H16" s="24"/>
      <c r="I16" s="24"/>
      <c r="J16" s="24"/>
      <c r="K16" s="24"/>
      <c r="L16" s="24"/>
      <c r="M16" s="24"/>
      <c r="N16" s="24"/>
      <c r="O16" s="24"/>
      <c r="P16" s="24"/>
      <c r="Q16" s="24"/>
      <c r="R16" s="24"/>
      <c r="S16" s="24"/>
      <c r="T16" s="24"/>
      <c r="U16" s="24"/>
      <c r="V16" s="24"/>
      <c r="W16" s="24"/>
      <c r="X16" s="24"/>
      <c r="Y16" s="24"/>
      <c r="Z16" s="24"/>
      <c r="AA16" s="24"/>
      <c r="AB16" s="24"/>
      <c r="AC16" s="24"/>
    </row>
    <row r="17" spans="1:29" ht="135.85">
      <c r="A17" s="263">
        <v>2</v>
      </c>
      <c r="B17" s="264"/>
      <c r="C17" s="263" t="s">
        <v>8477</v>
      </c>
      <c r="D17" s="265" t="s">
        <v>8480</v>
      </c>
      <c r="E17" s="265" t="s">
        <v>8481</v>
      </c>
      <c r="F17" s="43"/>
      <c r="G17" s="45" t="b">
        <f>IF(AND(F17="Meet the requirements traceability “out of the box”"), 10, IF(AND(F17="Can meet the requirements traceability with configuration or through the use of another commercial product “out of the box” or other arrangement as part of the service offering quoted (i.e. at no additional cost)"), 8, IF(AND(F17="Can meet the requirements traceability with customization at additional cost"), 3, IF(AND(F17="Cannot meet the requirements traceability requirement"), 0))))</f>
        <v>0</v>
      </c>
      <c r="H17" s="24"/>
      <c r="I17" s="24"/>
      <c r="J17" s="24"/>
      <c r="K17" s="24"/>
      <c r="L17" s="24"/>
      <c r="M17" s="24"/>
      <c r="N17" s="24"/>
      <c r="O17" s="24"/>
      <c r="P17" s="24"/>
      <c r="Q17" s="24"/>
      <c r="R17" s="24"/>
      <c r="S17" s="24"/>
      <c r="T17" s="24"/>
      <c r="U17" s="24"/>
      <c r="V17" s="24"/>
      <c r="W17" s="24"/>
      <c r="X17" s="24"/>
      <c r="Y17" s="24"/>
      <c r="Z17" s="24"/>
      <c r="AA17" s="24"/>
      <c r="AB17" s="24"/>
      <c r="AC17" s="24"/>
    </row>
    <row r="18" spans="1:29" ht="16.3">
      <c r="A18" s="263"/>
      <c r="B18" s="264"/>
      <c r="C18" s="263"/>
      <c r="D18" s="265"/>
      <c r="E18" s="278" t="str">
        <f>HYPERLINK("https://www.acquisition.gov/content/part-11-describing-agency-needs#id1617MA020LB","FAR 11.1")</f>
        <v>FAR 11.1</v>
      </c>
      <c r="F18" s="25"/>
      <c r="G18" s="279"/>
      <c r="H18" s="24"/>
      <c r="I18" s="24"/>
      <c r="J18" s="24"/>
      <c r="K18" s="24"/>
      <c r="L18" s="24"/>
      <c r="M18" s="24"/>
      <c r="N18" s="24"/>
      <c r="O18" s="24"/>
      <c r="P18" s="24"/>
      <c r="Q18" s="24"/>
      <c r="R18" s="24"/>
      <c r="S18" s="24"/>
      <c r="T18" s="24"/>
      <c r="U18" s="24"/>
      <c r="V18" s="24"/>
      <c r="W18" s="24"/>
      <c r="X18" s="24"/>
      <c r="Y18" s="24"/>
      <c r="Z18" s="24"/>
      <c r="AA18" s="24"/>
      <c r="AB18" s="24"/>
      <c r="AC18" s="24"/>
    </row>
    <row r="19" spans="1:29" ht="16.3">
      <c r="A19" s="263"/>
      <c r="B19" s="264"/>
      <c r="C19" s="263"/>
      <c r="D19" s="265"/>
      <c r="E19" s="278" t="str">
        <f>HYPERLINK("https://www.acquisition.gov/content/part-11-describing-agency-needs#i1114257","FAR 11.2")</f>
        <v>FAR 11.2</v>
      </c>
      <c r="F19" s="25"/>
      <c r="G19" s="279"/>
      <c r="H19" s="24"/>
      <c r="I19" s="24"/>
      <c r="J19" s="24"/>
      <c r="K19" s="24"/>
      <c r="L19" s="24"/>
      <c r="M19" s="24"/>
      <c r="N19" s="24"/>
      <c r="O19" s="24"/>
      <c r="P19" s="24"/>
      <c r="Q19" s="24"/>
      <c r="R19" s="24"/>
      <c r="S19" s="24"/>
      <c r="T19" s="24"/>
      <c r="U19" s="24"/>
      <c r="V19" s="24"/>
      <c r="W19" s="24"/>
      <c r="X19" s="24"/>
      <c r="Y19" s="24"/>
      <c r="Z19" s="24"/>
      <c r="AA19" s="24"/>
      <c r="AB19" s="24"/>
      <c r="AC19" s="24"/>
    </row>
    <row r="20" spans="1:29" ht="16.3">
      <c r="A20" s="263"/>
      <c r="B20" s="264"/>
      <c r="C20" s="263"/>
      <c r="D20" s="265"/>
      <c r="E20" s="278" t="str">
        <f>HYPERLINK("https://www.acquisition.gov/content/part-12-acquisition-commercial-items#id1617MD00S3E","FAR 12.202")</f>
        <v>FAR 12.202</v>
      </c>
      <c r="F20" s="25"/>
      <c r="G20" s="279"/>
      <c r="H20" s="24"/>
      <c r="I20" s="24"/>
      <c r="J20" s="24"/>
      <c r="K20" s="24"/>
      <c r="L20" s="24"/>
      <c r="M20" s="24"/>
      <c r="N20" s="24"/>
      <c r="O20" s="24"/>
      <c r="P20" s="24"/>
      <c r="Q20" s="24"/>
      <c r="R20" s="24"/>
      <c r="S20" s="24"/>
      <c r="T20" s="24"/>
      <c r="U20" s="24"/>
      <c r="V20" s="24"/>
      <c r="W20" s="24"/>
      <c r="X20" s="24"/>
      <c r="Y20" s="24"/>
      <c r="Z20" s="24"/>
      <c r="AA20" s="24"/>
      <c r="AB20" s="24"/>
      <c r="AC20" s="24"/>
    </row>
    <row r="21" spans="1:29" ht="16.3">
      <c r="A21" s="263"/>
      <c r="B21" s="264"/>
      <c r="C21" s="263"/>
      <c r="D21" s="265"/>
      <c r="E21" s="278" t="str">
        <f>HYPERLINK("https://www.acquisition.gov/content/part-511-describing-agency-needs#NKTCYRCA","GSAM 511.1")</f>
        <v>GSAM 511.1</v>
      </c>
      <c r="F21" s="25"/>
      <c r="G21" s="279"/>
      <c r="H21" s="24"/>
      <c r="I21" s="24"/>
      <c r="J21" s="24"/>
      <c r="K21" s="24"/>
      <c r="L21" s="24"/>
      <c r="M21" s="24"/>
      <c r="N21" s="24"/>
      <c r="O21" s="24"/>
      <c r="P21" s="24"/>
      <c r="Q21" s="24"/>
      <c r="R21" s="24"/>
      <c r="S21" s="24"/>
      <c r="T21" s="24"/>
      <c r="U21" s="24"/>
      <c r="V21" s="24"/>
      <c r="W21" s="24"/>
      <c r="X21" s="24"/>
      <c r="Y21" s="24"/>
      <c r="Z21" s="24"/>
      <c r="AA21" s="24"/>
      <c r="AB21" s="24"/>
      <c r="AC21" s="24"/>
    </row>
    <row r="22" spans="1:29" ht="16.3">
      <c r="A22" s="263"/>
      <c r="B22" s="264"/>
      <c r="C22" s="263"/>
      <c r="D22" s="265"/>
      <c r="E22" s="278" t="str">
        <f>HYPERLINK("https://www.acquisition.gov/content/part-511-describing-agency-needs#LOHCAIIM","GSAM 511.2")</f>
        <v>GSAM 511.2</v>
      </c>
      <c r="F22" s="25"/>
      <c r="G22" s="279"/>
      <c r="H22" s="24"/>
      <c r="I22" s="24"/>
      <c r="J22" s="24"/>
      <c r="K22" s="24"/>
      <c r="L22" s="24"/>
      <c r="M22" s="24"/>
      <c r="N22" s="24"/>
      <c r="O22" s="24"/>
      <c r="P22" s="24"/>
      <c r="Q22" s="24"/>
      <c r="R22" s="24"/>
      <c r="S22" s="24"/>
      <c r="T22" s="24"/>
      <c r="U22" s="24"/>
      <c r="V22" s="24"/>
      <c r="W22" s="24"/>
      <c r="X22" s="24"/>
      <c r="Y22" s="24"/>
      <c r="Z22" s="24"/>
      <c r="AA22" s="24"/>
      <c r="AB22" s="24"/>
      <c r="AC22" s="24"/>
    </row>
    <row r="23" spans="1:29" ht="16.3">
      <c r="A23" s="263"/>
      <c r="B23" s="264"/>
      <c r="C23" s="263"/>
      <c r="D23" s="265"/>
      <c r="E23" s="278" t="str">
        <f>HYPERLINK("https://hallways.cap.gsa.gov/app/#/gateway/fas-acquisition-policy-library/18503/il-2011-08-submission-of-change-request-for-a-federal-supply-schedule-fss-the-1649-process","FAS IL 2011-08")</f>
        <v>FAS IL 2011-08</v>
      </c>
      <c r="F23" s="25"/>
      <c r="G23" s="279"/>
      <c r="H23" s="24"/>
      <c r="I23" s="24"/>
      <c r="J23" s="24"/>
      <c r="K23" s="24"/>
      <c r="L23" s="24"/>
      <c r="M23" s="24"/>
      <c r="N23" s="24"/>
      <c r="O23" s="24"/>
      <c r="P23" s="24"/>
      <c r="Q23" s="24"/>
      <c r="R23" s="24"/>
      <c r="S23" s="24"/>
      <c r="T23" s="24"/>
      <c r="U23" s="24"/>
      <c r="V23" s="24"/>
      <c r="W23" s="24"/>
      <c r="X23" s="24"/>
      <c r="Y23" s="24"/>
      <c r="Z23" s="24"/>
      <c r="AA23" s="24"/>
      <c r="AB23" s="24"/>
      <c r="AC23" s="24"/>
    </row>
    <row r="24" spans="1:29" ht="16.3">
      <c r="A24" s="263"/>
      <c r="B24" s="264"/>
      <c r="C24" s="263"/>
      <c r="D24" s="265"/>
      <c r="E24" s="265"/>
      <c r="F24" s="25"/>
      <c r="G24" s="279"/>
      <c r="H24" s="24"/>
      <c r="I24" s="24"/>
      <c r="J24" s="24"/>
      <c r="K24" s="24"/>
      <c r="L24" s="24"/>
      <c r="M24" s="24"/>
      <c r="N24" s="24"/>
      <c r="O24" s="24"/>
      <c r="P24" s="24"/>
      <c r="Q24" s="24"/>
      <c r="R24" s="24"/>
      <c r="S24" s="24"/>
      <c r="T24" s="24"/>
      <c r="U24" s="24"/>
      <c r="V24" s="24"/>
      <c r="W24" s="24"/>
      <c r="X24" s="24"/>
      <c r="Y24" s="24"/>
      <c r="Z24" s="24"/>
      <c r="AA24" s="24"/>
      <c r="AB24" s="24"/>
      <c r="AC24" s="24"/>
    </row>
    <row r="25" spans="1:29" ht="271.7">
      <c r="A25" s="263">
        <v>3</v>
      </c>
      <c r="B25" s="264"/>
      <c r="C25" s="263" t="s">
        <v>8530</v>
      </c>
      <c r="D25" s="265" t="s">
        <v>8531</v>
      </c>
      <c r="E25" s="265" t="s">
        <v>8532</v>
      </c>
      <c r="F25" s="43"/>
      <c r="G25" s="45" t="b">
        <f>IF(AND(F25="Meet the requirements traceability “out of the box”"), 10, IF(AND(F25="Can meet the requirements traceability with configuration or through the use of another commercial product “out of the box” or other arrangement as part of the service offering quoted (i.e. at no additional cost)"), 8, IF(AND(F25="Can meet the requirements traceability with customization at additional cost"), 3, IF(AND(F25="Cannot meet the requirements traceability requirement"), 0))))</f>
        <v>0</v>
      </c>
      <c r="H25" s="24"/>
      <c r="I25" s="24"/>
      <c r="J25" s="24"/>
      <c r="K25" s="24"/>
      <c r="L25" s="24"/>
      <c r="M25" s="24"/>
      <c r="N25" s="24"/>
      <c r="O25" s="24"/>
      <c r="P25" s="24"/>
      <c r="Q25" s="24"/>
      <c r="R25" s="24"/>
      <c r="S25" s="24"/>
      <c r="T25" s="24"/>
      <c r="U25" s="24"/>
      <c r="V25" s="24"/>
      <c r="W25" s="24"/>
      <c r="X25" s="24"/>
      <c r="Y25" s="24"/>
      <c r="Z25" s="24"/>
      <c r="AA25" s="24"/>
      <c r="AB25" s="24"/>
      <c r="AC25" s="24"/>
    </row>
    <row r="26" spans="1:29" ht="16.3">
      <c r="A26" s="263"/>
      <c r="B26" s="264"/>
      <c r="C26" s="263"/>
      <c r="D26" s="265"/>
      <c r="E26" s="281" t="s">
        <v>8533</v>
      </c>
      <c r="F26" s="25"/>
      <c r="G26" s="279"/>
      <c r="H26" s="24"/>
      <c r="I26" s="24"/>
      <c r="J26" s="24"/>
      <c r="K26" s="24"/>
      <c r="L26" s="24"/>
      <c r="M26" s="24"/>
      <c r="N26" s="24"/>
      <c r="O26" s="24"/>
      <c r="P26" s="24"/>
      <c r="Q26" s="24"/>
      <c r="R26" s="24"/>
      <c r="S26" s="24"/>
      <c r="T26" s="24"/>
      <c r="U26" s="24"/>
      <c r="V26" s="24"/>
      <c r="W26" s="24"/>
      <c r="X26" s="24"/>
      <c r="Y26" s="24"/>
      <c r="Z26" s="24"/>
      <c r="AA26" s="24"/>
      <c r="AB26" s="24"/>
      <c r="AC26" s="24"/>
    </row>
    <row r="27" spans="1:29" ht="16.3">
      <c r="A27" s="263"/>
      <c r="B27" s="264"/>
      <c r="C27" s="263"/>
      <c r="D27" s="265"/>
      <c r="E27" s="281" t="s">
        <v>8534</v>
      </c>
      <c r="F27" s="25"/>
      <c r="G27" s="279"/>
      <c r="H27" s="24"/>
      <c r="I27" s="24"/>
      <c r="J27" s="24"/>
      <c r="K27" s="24"/>
      <c r="L27" s="24"/>
      <c r="M27" s="24"/>
      <c r="N27" s="24"/>
      <c r="O27" s="24"/>
      <c r="P27" s="24"/>
      <c r="Q27" s="24"/>
      <c r="R27" s="24"/>
      <c r="S27" s="24"/>
      <c r="T27" s="24"/>
      <c r="U27" s="24"/>
      <c r="V27" s="24"/>
      <c r="W27" s="24"/>
      <c r="X27" s="24"/>
      <c r="Y27" s="24"/>
      <c r="Z27" s="24"/>
      <c r="AA27" s="24"/>
      <c r="AB27" s="24"/>
      <c r="AC27" s="24"/>
    </row>
    <row r="28" spans="1:29" ht="16.3">
      <c r="A28" s="263"/>
      <c r="B28" s="264"/>
      <c r="C28" s="263"/>
      <c r="D28" s="265"/>
      <c r="E28" s="281" t="s">
        <v>8535</v>
      </c>
      <c r="F28" s="25"/>
      <c r="G28" s="279"/>
      <c r="H28" s="24"/>
      <c r="I28" s="24"/>
      <c r="J28" s="24"/>
      <c r="K28" s="24"/>
      <c r="L28" s="24"/>
      <c r="M28" s="24"/>
      <c r="N28" s="24"/>
      <c r="O28" s="24"/>
      <c r="P28" s="24"/>
      <c r="Q28" s="24"/>
      <c r="R28" s="24"/>
      <c r="S28" s="24"/>
      <c r="T28" s="24"/>
      <c r="U28" s="24"/>
      <c r="V28" s="24"/>
      <c r="W28" s="24"/>
      <c r="X28" s="24"/>
      <c r="Y28" s="24"/>
      <c r="Z28" s="24"/>
      <c r="AA28" s="24"/>
      <c r="AB28" s="24"/>
      <c r="AC28" s="24"/>
    </row>
    <row r="29" spans="1:29" ht="16.3">
      <c r="A29" s="263"/>
      <c r="B29" s="264"/>
      <c r="C29" s="263"/>
      <c r="D29" s="265"/>
      <c r="E29" s="282" t="s">
        <v>8536</v>
      </c>
      <c r="F29" s="25"/>
      <c r="G29" s="279"/>
      <c r="H29" s="24"/>
      <c r="I29" s="24"/>
      <c r="J29" s="24"/>
      <c r="K29" s="24"/>
      <c r="L29" s="24"/>
      <c r="M29" s="24"/>
      <c r="N29" s="24"/>
      <c r="O29" s="24"/>
      <c r="P29" s="24"/>
      <c r="Q29" s="24"/>
      <c r="R29" s="24"/>
      <c r="S29" s="24"/>
      <c r="T29" s="24"/>
      <c r="U29" s="24"/>
      <c r="V29" s="24"/>
      <c r="W29" s="24"/>
      <c r="X29" s="24"/>
      <c r="Y29" s="24"/>
      <c r="Z29" s="24"/>
      <c r="AA29" s="24"/>
      <c r="AB29" s="24"/>
      <c r="AC29" s="24"/>
    </row>
    <row r="30" spans="1:29" ht="16.3">
      <c r="A30" s="263"/>
      <c r="B30" s="264"/>
      <c r="C30" s="263"/>
      <c r="D30" s="265"/>
      <c r="E30" s="281" t="s">
        <v>8537</v>
      </c>
      <c r="F30" s="25"/>
      <c r="G30" s="279"/>
      <c r="H30" s="24"/>
      <c r="I30" s="24"/>
      <c r="J30" s="24"/>
      <c r="K30" s="24"/>
      <c r="L30" s="24"/>
      <c r="M30" s="24"/>
      <c r="N30" s="24"/>
      <c r="O30" s="24"/>
      <c r="P30" s="24"/>
      <c r="Q30" s="24"/>
      <c r="R30" s="24"/>
      <c r="S30" s="24"/>
      <c r="T30" s="24"/>
      <c r="U30" s="24"/>
      <c r="V30" s="24"/>
      <c r="W30" s="24"/>
      <c r="X30" s="24"/>
      <c r="Y30" s="24"/>
      <c r="Z30" s="24"/>
      <c r="AA30" s="24"/>
      <c r="AB30" s="24"/>
      <c r="AC30" s="24"/>
    </row>
    <row r="31" spans="1:29" ht="16.3">
      <c r="A31" s="263"/>
      <c r="B31" s="264"/>
      <c r="C31" s="263"/>
      <c r="D31" s="265"/>
      <c r="E31" s="281" t="s">
        <v>8538</v>
      </c>
      <c r="F31" s="25"/>
      <c r="G31" s="279"/>
      <c r="H31" s="24"/>
      <c r="I31" s="24"/>
      <c r="J31" s="24"/>
      <c r="K31" s="24"/>
      <c r="L31" s="24"/>
      <c r="M31" s="24"/>
      <c r="N31" s="24"/>
      <c r="O31" s="24"/>
      <c r="P31" s="24"/>
      <c r="Q31" s="24"/>
      <c r="R31" s="24"/>
      <c r="S31" s="24"/>
      <c r="T31" s="24"/>
      <c r="U31" s="24"/>
      <c r="V31" s="24"/>
      <c r="W31" s="24"/>
      <c r="X31" s="24"/>
      <c r="Y31" s="24"/>
      <c r="Z31" s="24"/>
      <c r="AA31" s="24"/>
      <c r="AB31" s="24"/>
      <c r="AC31" s="24"/>
    </row>
    <row r="32" spans="1:29" ht="176.6">
      <c r="A32" s="263">
        <v>4</v>
      </c>
      <c r="B32" s="264"/>
      <c r="C32" s="263" t="s">
        <v>8539</v>
      </c>
      <c r="D32" s="265" t="s">
        <v>8540</v>
      </c>
      <c r="E32" s="265" t="s">
        <v>8541</v>
      </c>
      <c r="F32" s="43"/>
      <c r="G32" s="45" t="b">
        <f>IF(AND(F32="Meet the requirements traceability “out of the box”"), 10, IF(AND(F32="Can meet the requirements traceability with configuration or through the use of another commercial product “out of the box” or other arrangement as part of the service offering quoted (i.e. at no additional cost)"), 8, IF(AND(F32="Can meet the requirements traceability with customization at additional cost"), 3, IF(AND(F32="Cannot meet the requirements traceability requirement"), 0))))</f>
        <v>0</v>
      </c>
      <c r="H32" s="24"/>
      <c r="I32" s="24"/>
      <c r="J32" s="24"/>
      <c r="K32" s="24"/>
      <c r="L32" s="24"/>
      <c r="M32" s="24"/>
      <c r="N32" s="24"/>
      <c r="O32" s="24"/>
      <c r="P32" s="24"/>
      <c r="Q32" s="24"/>
      <c r="R32" s="24"/>
      <c r="S32" s="24"/>
      <c r="T32" s="24"/>
      <c r="U32" s="24"/>
      <c r="V32" s="24"/>
      <c r="W32" s="24"/>
      <c r="X32" s="24"/>
      <c r="Y32" s="24"/>
      <c r="Z32" s="24"/>
      <c r="AA32" s="24"/>
      <c r="AB32" s="24"/>
      <c r="AC32" s="24"/>
    </row>
    <row r="33" spans="1:29" ht="16.3">
      <c r="A33" s="263"/>
      <c r="B33" s="264"/>
      <c r="C33" s="263"/>
      <c r="D33" s="265"/>
      <c r="E33" s="282" t="s">
        <v>8542</v>
      </c>
      <c r="F33" s="25"/>
      <c r="G33" s="279"/>
      <c r="H33" s="24"/>
      <c r="I33" s="24"/>
      <c r="J33" s="24"/>
      <c r="K33" s="24"/>
      <c r="L33" s="24"/>
      <c r="M33" s="24"/>
      <c r="N33" s="24"/>
      <c r="O33" s="24"/>
      <c r="P33" s="24"/>
      <c r="Q33" s="24"/>
      <c r="R33" s="24"/>
      <c r="S33" s="24"/>
      <c r="T33" s="24"/>
      <c r="U33" s="24"/>
      <c r="V33" s="24"/>
      <c r="W33" s="24"/>
      <c r="X33" s="24"/>
      <c r="Y33" s="24"/>
      <c r="Z33" s="24"/>
      <c r="AA33" s="24"/>
      <c r="AB33" s="24"/>
      <c r="AC33" s="24"/>
    </row>
    <row r="34" spans="1:29" ht="16.3">
      <c r="A34" s="263"/>
      <c r="B34" s="264"/>
      <c r="C34" s="263"/>
      <c r="D34" s="265"/>
      <c r="E34" s="282" t="s">
        <v>8543</v>
      </c>
      <c r="F34" s="25"/>
      <c r="G34" s="279"/>
      <c r="H34" s="24"/>
      <c r="I34" s="24"/>
      <c r="J34" s="24"/>
      <c r="K34" s="24"/>
      <c r="L34" s="24"/>
      <c r="M34" s="24"/>
      <c r="N34" s="24"/>
      <c r="O34" s="24"/>
      <c r="P34" s="24"/>
      <c r="Q34" s="24"/>
      <c r="R34" s="24"/>
      <c r="S34" s="24"/>
      <c r="T34" s="24"/>
      <c r="U34" s="24"/>
      <c r="V34" s="24"/>
      <c r="W34" s="24"/>
      <c r="X34" s="24"/>
      <c r="Y34" s="24"/>
      <c r="Z34" s="24"/>
      <c r="AA34" s="24"/>
      <c r="AB34" s="24"/>
      <c r="AC34" s="24"/>
    </row>
    <row r="35" spans="1:29" ht="16.3">
      <c r="A35" s="263"/>
      <c r="B35" s="264"/>
      <c r="C35" s="263"/>
      <c r="D35" s="265"/>
      <c r="E35" s="282" t="s">
        <v>8544</v>
      </c>
      <c r="F35" s="25"/>
      <c r="G35" s="279"/>
      <c r="H35" s="24"/>
      <c r="I35" s="24"/>
      <c r="J35" s="24"/>
      <c r="K35" s="24"/>
      <c r="L35" s="24"/>
      <c r="M35" s="24"/>
      <c r="N35" s="24"/>
      <c r="O35" s="24"/>
      <c r="P35" s="24"/>
      <c r="Q35" s="24"/>
      <c r="R35" s="24"/>
      <c r="S35" s="24"/>
      <c r="T35" s="24"/>
      <c r="U35" s="24"/>
      <c r="V35" s="24"/>
      <c r="W35" s="24"/>
      <c r="X35" s="24"/>
      <c r="Y35" s="24"/>
      <c r="Z35" s="24"/>
      <c r="AA35" s="24"/>
      <c r="AB35" s="24"/>
      <c r="AC35" s="24"/>
    </row>
    <row r="36" spans="1:29" ht="16.3">
      <c r="A36" s="263"/>
      <c r="B36" s="264"/>
      <c r="C36" s="263"/>
      <c r="D36" s="265"/>
      <c r="E36" s="282" t="s">
        <v>8545</v>
      </c>
      <c r="F36" s="25"/>
      <c r="G36" s="279"/>
      <c r="H36" s="24"/>
      <c r="I36" s="24"/>
      <c r="J36" s="24"/>
      <c r="K36" s="24"/>
      <c r="L36" s="24"/>
      <c r="M36" s="24"/>
      <c r="N36" s="24"/>
      <c r="O36" s="24"/>
      <c r="P36" s="24"/>
      <c r="Q36" s="24"/>
      <c r="R36" s="24"/>
      <c r="S36" s="24"/>
      <c r="T36" s="24"/>
      <c r="U36" s="24"/>
      <c r="V36" s="24"/>
      <c r="W36" s="24"/>
      <c r="X36" s="24"/>
      <c r="Y36" s="24"/>
      <c r="Z36" s="24"/>
      <c r="AA36" s="24"/>
      <c r="AB36" s="24"/>
      <c r="AC36" s="24"/>
    </row>
    <row r="37" spans="1:29" ht="16.3">
      <c r="A37" s="263"/>
      <c r="B37" s="264"/>
      <c r="C37" s="263"/>
      <c r="D37" s="265"/>
      <c r="E37" s="282" t="s">
        <v>8546</v>
      </c>
      <c r="F37" s="25"/>
      <c r="G37" s="279"/>
      <c r="H37" s="24"/>
      <c r="I37" s="24"/>
      <c r="J37" s="24"/>
      <c r="K37" s="24"/>
      <c r="L37" s="24"/>
      <c r="M37" s="24"/>
      <c r="N37" s="24"/>
      <c r="O37" s="24"/>
      <c r="P37" s="24"/>
      <c r="Q37" s="24"/>
      <c r="R37" s="24"/>
      <c r="S37" s="24"/>
      <c r="T37" s="24"/>
      <c r="U37" s="24"/>
      <c r="V37" s="24"/>
      <c r="W37" s="24"/>
      <c r="X37" s="24"/>
      <c r="Y37" s="24"/>
      <c r="Z37" s="24"/>
      <c r="AA37" s="24"/>
      <c r="AB37" s="24"/>
      <c r="AC37" s="24"/>
    </row>
    <row r="38" spans="1:29" ht="16.3">
      <c r="A38" s="263"/>
      <c r="B38" s="264"/>
      <c r="C38" s="263"/>
      <c r="D38" s="265"/>
      <c r="E38" s="282" t="s">
        <v>8547</v>
      </c>
      <c r="F38" s="25"/>
      <c r="G38" s="279"/>
      <c r="H38" s="24"/>
      <c r="I38" s="24"/>
      <c r="J38" s="24"/>
      <c r="K38" s="24"/>
      <c r="L38" s="24"/>
      <c r="M38" s="24"/>
      <c r="N38" s="24"/>
      <c r="O38" s="24"/>
      <c r="P38" s="24"/>
      <c r="Q38" s="24"/>
      <c r="R38" s="24"/>
      <c r="S38" s="24"/>
      <c r="T38" s="24"/>
      <c r="U38" s="24"/>
      <c r="V38" s="24"/>
      <c r="W38" s="24"/>
      <c r="X38" s="24"/>
      <c r="Y38" s="24"/>
      <c r="Z38" s="24"/>
      <c r="AA38" s="24"/>
      <c r="AB38" s="24"/>
      <c r="AC38" s="24"/>
    </row>
    <row r="39" spans="1:29" ht="16.3">
      <c r="A39" s="263"/>
      <c r="B39" s="264"/>
      <c r="C39" s="263"/>
      <c r="D39" s="265"/>
      <c r="E39" s="282" t="s">
        <v>8548</v>
      </c>
      <c r="F39" s="25"/>
      <c r="G39" s="279"/>
      <c r="H39" s="24"/>
      <c r="I39" s="24"/>
      <c r="J39" s="24"/>
      <c r="K39" s="24"/>
      <c r="L39" s="24"/>
      <c r="M39" s="24"/>
      <c r="N39" s="24"/>
      <c r="O39" s="24"/>
      <c r="P39" s="24"/>
      <c r="Q39" s="24"/>
      <c r="R39" s="24"/>
      <c r="S39" s="24"/>
      <c r="T39" s="24"/>
      <c r="U39" s="24"/>
      <c r="V39" s="24"/>
      <c r="W39" s="24"/>
      <c r="X39" s="24"/>
      <c r="Y39" s="24"/>
      <c r="Z39" s="24"/>
      <c r="AA39" s="24"/>
      <c r="AB39" s="24"/>
      <c r="AC39" s="24"/>
    </row>
    <row r="40" spans="1:29" ht="16.3">
      <c r="A40" s="263"/>
      <c r="B40" s="264"/>
      <c r="C40" s="263"/>
      <c r="D40" s="265"/>
      <c r="E40" s="282" t="s">
        <v>8549</v>
      </c>
      <c r="F40" s="25"/>
      <c r="G40" s="279"/>
      <c r="H40" s="24"/>
      <c r="I40" s="24"/>
      <c r="J40" s="24"/>
      <c r="K40" s="24"/>
      <c r="L40" s="24"/>
      <c r="M40" s="24"/>
      <c r="N40" s="24"/>
      <c r="O40" s="24"/>
      <c r="P40" s="24"/>
      <c r="Q40" s="24"/>
      <c r="R40" s="24"/>
      <c r="S40" s="24"/>
      <c r="T40" s="24"/>
      <c r="U40" s="24"/>
      <c r="V40" s="24"/>
      <c r="W40" s="24"/>
      <c r="X40" s="24"/>
      <c r="Y40" s="24"/>
      <c r="Z40" s="24"/>
      <c r="AA40" s="24"/>
      <c r="AB40" s="24"/>
      <c r="AC40" s="24"/>
    </row>
    <row r="41" spans="1:29" ht="16.3">
      <c r="A41" s="263"/>
      <c r="B41" s="264"/>
      <c r="C41" s="263"/>
      <c r="D41" s="265"/>
      <c r="E41" s="282" t="s">
        <v>8550</v>
      </c>
      <c r="F41" s="25"/>
      <c r="G41" s="279"/>
      <c r="H41" s="24"/>
      <c r="I41" s="24"/>
      <c r="J41" s="24"/>
      <c r="K41" s="24"/>
      <c r="L41" s="24"/>
      <c r="M41" s="24"/>
      <c r="N41" s="24"/>
      <c r="O41" s="24"/>
      <c r="P41" s="24"/>
      <c r="Q41" s="24"/>
      <c r="R41" s="24"/>
      <c r="S41" s="24"/>
      <c r="T41" s="24"/>
      <c r="U41" s="24"/>
      <c r="V41" s="24"/>
      <c r="W41" s="24"/>
      <c r="X41" s="24"/>
      <c r="Y41" s="24"/>
      <c r="Z41" s="24"/>
      <c r="AA41" s="24"/>
      <c r="AB41" s="24"/>
      <c r="AC41" s="24"/>
    </row>
    <row r="42" spans="1:29" ht="16.3">
      <c r="A42" s="263"/>
      <c r="B42" s="264"/>
      <c r="C42" s="263"/>
      <c r="D42" s="265"/>
      <c r="E42" s="282" t="s">
        <v>8551</v>
      </c>
      <c r="F42" s="25"/>
      <c r="G42" s="279"/>
      <c r="H42" s="24"/>
      <c r="I42" s="24"/>
      <c r="J42" s="24"/>
      <c r="K42" s="24"/>
      <c r="L42" s="24"/>
      <c r="M42" s="24"/>
      <c r="N42" s="24"/>
      <c r="O42" s="24"/>
      <c r="P42" s="24"/>
      <c r="Q42" s="24"/>
      <c r="R42" s="24"/>
      <c r="S42" s="24"/>
      <c r="T42" s="24"/>
      <c r="U42" s="24"/>
      <c r="V42" s="24"/>
      <c r="W42" s="24"/>
      <c r="X42" s="24"/>
      <c r="Y42" s="24"/>
      <c r="Z42" s="24"/>
      <c r="AA42" s="24"/>
      <c r="AB42" s="24"/>
      <c r="AC42" s="24"/>
    </row>
    <row r="43" spans="1:29" ht="16.3">
      <c r="A43" s="263"/>
      <c r="B43" s="264"/>
      <c r="C43" s="263"/>
      <c r="D43" s="265"/>
      <c r="E43" s="282" t="s">
        <v>8552</v>
      </c>
      <c r="F43" s="25"/>
      <c r="G43" s="279"/>
      <c r="H43" s="24"/>
      <c r="I43" s="24"/>
      <c r="J43" s="24"/>
      <c r="K43" s="24"/>
      <c r="L43" s="24"/>
      <c r="M43" s="24"/>
      <c r="N43" s="24"/>
      <c r="O43" s="24"/>
      <c r="P43" s="24"/>
      <c r="Q43" s="24"/>
      <c r="R43" s="24"/>
      <c r="S43" s="24"/>
      <c r="T43" s="24"/>
      <c r="U43" s="24"/>
      <c r="V43" s="24"/>
      <c r="W43" s="24"/>
      <c r="X43" s="24"/>
      <c r="Y43" s="24"/>
      <c r="Z43" s="24"/>
      <c r="AA43" s="24"/>
      <c r="AB43" s="24"/>
      <c r="AC43" s="24"/>
    </row>
    <row r="44" spans="1:29" ht="95.1">
      <c r="A44" s="263">
        <v>5</v>
      </c>
      <c r="B44" s="264"/>
      <c r="C44" s="263" t="s">
        <v>8553</v>
      </c>
      <c r="D44" s="265" t="s">
        <v>8554</v>
      </c>
      <c r="E44" s="265" t="s">
        <v>8555</v>
      </c>
      <c r="F44" s="43"/>
      <c r="G44" s="45" t="b">
        <f>IF(AND(F44="Meet the requirements traceability “out of the box”"), 10, IF(AND(F44="Can meet the requirements traceability with configuration or through the use of another commercial product “out of the box” or other arrangement as part of the service offering quoted (i.e. at no additional cost)"), 8, IF(AND(F44="Can meet the requirements traceability with customization at additional cost"), 3, IF(AND(F44="Cannot meet the requirements traceability requirement"), 0))))</f>
        <v>0</v>
      </c>
      <c r="H44" s="24"/>
      <c r="I44" s="24"/>
      <c r="J44" s="24"/>
      <c r="K44" s="24"/>
      <c r="L44" s="24"/>
      <c r="M44" s="24"/>
      <c r="N44" s="24"/>
      <c r="O44" s="24"/>
      <c r="P44" s="24"/>
      <c r="Q44" s="24"/>
      <c r="R44" s="24"/>
      <c r="S44" s="24"/>
      <c r="T44" s="24"/>
      <c r="U44" s="24"/>
      <c r="V44" s="24"/>
      <c r="W44" s="24"/>
      <c r="X44" s="24"/>
      <c r="Y44" s="24"/>
      <c r="Z44" s="24"/>
      <c r="AA44" s="24"/>
      <c r="AB44" s="24"/>
      <c r="AC44" s="24"/>
    </row>
    <row r="45" spans="1:29" ht="16.3">
      <c r="A45" s="263"/>
      <c r="B45" s="264"/>
      <c r="C45" s="263"/>
      <c r="D45" s="265"/>
      <c r="E45" s="281" t="s">
        <v>8556</v>
      </c>
      <c r="F45" s="25"/>
      <c r="G45" s="279"/>
      <c r="H45" s="24"/>
      <c r="I45" s="24"/>
      <c r="J45" s="24"/>
      <c r="K45" s="24"/>
      <c r="L45" s="24"/>
      <c r="M45" s="24"/>
      <c r="N45" s="24"/>
      <c r="O45" s="24"/>
      <c r="P45" s="24"/>
      <c r="Q45" s="24"/>
      <c r="R45" s="24"/>
      <c r="S45" s="24"/>
      <c r="T45" s="24"/>
      <c r="U45" s="24"/>
      <c r="V45" s="24"/>
      <c r="W45" s="24"/>
      <c r="X45" s="24"/>
      <c r="Y45" s="24"/>
      <c r="Z45" s="24"/>
      <c r="AA45" s="24"/>
      <c r="AB45" s="24"/>
      <c r="AC45" s="24"/>
    </row>
    <row r="46" spans="1:29" ht="16.3">
      <c r="A46" s="263"/>
      <c r="B46" s="264"/>
      <c r="C46" s="263"/>
      <c r="D46" s="265"/>
      <c r="E46" s="281" t="s">
        <v>8557</v>
      </c>
      <c r="F46" s="25"/>
      <c r="G46" s="279"/>
      <c r="H46" s="24"/>
      <c r="I46" s="24"/>
      <c r="J46" s="24"/>
      <c r="K46" s="24"/>
      <c r="L46" s="24"/>
      <c r="M46" s="24"/>
      <c r="N46" s="24"/>
      <c r="O46" s="24"/>
      <c r="P46" s="24"/>
      <c r="Q46" s="24"/>
      <c r="R46" s="24"/>
      <c r="S46" s="24"/>
      <c r="T46" s="24"/>
      <c r="U46" s="24"/>
      <c r="V46" s="24"/>
      <c r="W46" s="24"/>
      <c r="X46" s="24"/>
      <c r="Y46" s="24"/>
      <c r="Z46" s="24"/>
      <c r="AA46" s="24"/>
      <c r="AB46" s="24"/>
      <c r="AC46" s="24"/>
    </row>
    <row r="47" spans="1:29" ht="16.3">
      <c r="A47" s="263"/>
      <c r="B47" s="264"/>
      <c r="C47" s="263"/>
      <c r="D47" s="265"/>
      <c r="E47" s="281" t="s">
        <v>8558</v>
      </c>
      <c r="F47" s="25"/>
      <c r="G47" s="279"/>
      <c r="H47" s="24"/>
      <c r="I47" s="24"/>
      <c r="J47" s="24"/>
      <c r="K47" s="24"/>
      <c r="L47" s="24"/>
      <c r="M47" s="24"/>
      <c r="N47" s="24"/>
      <c r="O47" s="24"/>
      <c r="P47" s="24"/>
      <c r="Q47" s="24"/>
      <c r="R47" s="24"/>
      <c r="S47" s="24"/>
      <c r="T47" s="24"/>
      <c r="U47" s="24"/>
      <c r="V47" s="24"/>
      <c r="W47" s="24"/>
      <c r="X47" s="24"/>
      <c r="Y47" s="24"/>
      <c r="Z47" s="24"/>
      <c r="AA47" s="24"/>
      <c r="AB47" s="24"/>
      <c r="AC47" s="24"/>
    </row>
    <row r="48" spans="1:29" ht="16.3">
      <c r="A48" s="263"/>
      <c r="B48" s="264"/>
      <c r="C48" s="263"/>
      <c r="D48" s="265"/>
      <c r="E48" s="281" t="s">
        <v>8559</v>
      </c>
      <c r="F48" s="25"/>
      <c r="G48" s="279"/>
      <c r="H48" s="24"/>
      <c r="I48" s="24"/>
      <c r="J48" s="24"/>
      <c r="K48" s="24"/>
      <c r="L48" s="24"/>
      <c r="M48" s="24"/>
      <c r="N48" s="24"/>
      <c r="O48" s="24"/>
      <c r="P48" s="24"/>
      <c r="Q48" s="24"/>
      <c r="R48" s="24"/>
      <c r="S48" s="24"/>
      <c r="T48" s="24"/>
      <c r="U48" s="24"/>
      <c r="V48" s="24"/>
      <c r="W48" s="24"/>
      <c r="X48" s="24"/>
      <c r="Y48" s="24"/>
      <c r="Z48" s="24"/>
      <c r="AA48" s="24"/>
      <c r="AB48" s="24"/>
      <c r="AC48" s="24"/>
    </row>
    <row r="49" spans="1:29" ht="81.55">
      <c r="A49" s="263">
        <v>6</v>
      </c>
      <c r="B49" s="264"/>
      <c r="C49" s="263" t="s">
        <v>8560</v>
      </c>
      <c r="D49" s="265" t="s">
        <v>8561</v>
      </c>
      <c r="E49" s="265" t="s">
        <v>8562</v>
      </c>
      <c r="F49" s="43"/>
      <c r="G49" s="45" t="b">
        <f>IF(AND(F49="Meet the requirements traceability “out of the box”"), 10, IF(AND(F49="Can meet the requirements traceability with configuration or through the use of another commercial product “out of the box” or other arrangement as part of the service offering quoted (i.e. at no additional cost)"), 8, IF(AND(F49="Can meet the requirements traceability with customization at additional cost"), 3, IF(AND(F49="Cannot meet the requirements traceability requirement"), 0))))</f>
        <v>0</v>
      </c>
      <c r="H49" s="24"/>
      <c r="I49" s="24"/>
      <c r="J49" s="24"/>
      <c r="K49" s="24"/>
      <c r="L49" s="24"/>
      <c r="M49" s="24"/>
      <c r="N49" s="24"/>
      <c r="O49" s="24"/>
      <c r="P49" s="24"/>
      <c r="Q49" s="24"/>
      <c r="R49" s="24"/>
      <c r="S49" s="24"/>
      <c r="T49" s="24"/>
      <c r="U49" s="24"/>
      <c r="V49" s="24"/>
      <c r="W49" s="24"/>
      <c r="X49" s="24"/>
      <c r="Y49" s="24"/>
      <c r="Z49" s="24"/>
      <c r="AA49" s="24"/>
      <c r="AB49" s="24"/>
      <c r="AC49" s="24"/>
    </row>
    <row r="50" spans="1:29" ht="13.6">
      <c r="A50" s="263"/>
      <c r="B50" s="264"/>
      <c r="C50" s="263"/>
      <c r="D50" s="265"/>
      <c r="E50" s="281" t="s">
        <v>8563</v>
      </c>
      <c r="F50" s="79"/>
      <c r="G50" s="79"/>
      <c r="H50" s="24"/>
      <c r="I50" s="24"/>
      <c r="J50" s="24"/>
      <c r="K50" s="24"/>
      <c r="L50" s="24"/>
      <c r="M50" s="24"/>
      <c r="N50" s="24"/>
      <c r="O50" s="24"/>
      <c r="P50" s="24"/>
      <c r="Q50" s="24"/>
      <c r="R50" s="24"/>
      <c r="S50" s="24"/>
      <c r="T50" s="24"/>
      <c r="U50" s="24"/>
      <c r="V50" s="24"/>
      <c r="W50" s="24"/>
      <c r="X50" s="24"/>
      <c r="Y50" s="24"/>
      <c r="Z50" s="24"/>
      <c r="AA50" s="24"/>
      <c r="AB50" s="24"/>
      <c r="AC50" s="24"/>
    </row>
    <row r="51" spans="1:29" ht="13.6">
      <c r="A51" s="263"/>
      <c r="B51" s="264"/>
      <c r="C51" s="263"/>
      <c r="D51" s="265"/>
      <c r="E51" s="281" t="s">
        <v>8564</v>
      </c>
      <c r="F51" s="79"/>
      <c r="G51" s="79"/>
      <c r="H51" s="24"/>
      <c r="I51" s="24"/>
      <c r="J51" s="24"/>
      <c r="K51" s="24"/>
      <c r="L51" s="24"/>
      <c r="M51" s="24"/>
      <c r="N51" s="24"/>
      <c r="O51" s="24"/>
      <c r="P51" s="24"/>
      <c r="Q51" s="24"/>
      <c r="R51" s="24"/>
      <c r="S51" s="24"/>
      <c r="T51" s="24"/>
      <c r="U51" s="24"/>
      <c r="V51" s="24"/>
      <c r="W51" s="24"/>
      <c r="X51" s="24"/>
      <c r="Y51" s="24"/>
      <c r="Z51" s="24"/>
      <c r="AA51" s="24"/>
      <c r="AB51" s="24"/>
      <c r="AC51" s="24"/>
    </row>
    <row r="52" spans="1:29" ht="13.6">
      <c r="A52" s="263"/>
      <c r="B52" s="264"/>
      <c r="C52" s="263"/>
      <c r="D52" s="265"/>
      <c r="E52" s="281" t="s">
        <v>8565</v>
      </c>
      <c r="F52" s="79"/>
      <c r="G52" s="79"/>
      <c r="H52" s="24"/>
      <c r="I52" s="24"/>
      <c r="J52" s="24"/>
      <c r="K52" s="24"/>
      <c r="L52" s="24"/>
      <c r="M52" s="24"/>
      <c r="N52" s="24"/>
      <c r="O52" s="24"/>
      <c r="P52" s="24"/>
      <c r="Q52" s="24"/>
      <c r="R52" s="24"/>
      <c r="S52" s="24"/>
      <c r="T52" s="24"/>
      <c r="U52" s="24"/>
      <c r="V52" s="24"/>
      <c r="W52" s="24"/>
      <c r="X52" s="24"/>
      <c r="Y52" s="24"/>
      <c r="Z52" s="24"/>
      <c r="AA52" s="24"/>
      <c r="AB52" s="24"/>
      <c r="AC52" s="24"/>
    </row>
    <row r="53" spans="1:29" ht="13.6">
      <c r="A53" s="263"/>
      <c r="B53" s="264"/>
      <c r="C53" s="263"/>
      <c r="D53" s="265"/>
      <c r="E53" s="281" t="s">
        <v>8566</v>
      </c>
      <c r="F53" s="79"/>
      <c r="G53" s="79"/>
      <c r="H53" s="24"/>
      <c r="I53" s="24"/>
      <c r="J53" s="24"/>
      <c r="K53" s="24"/>
      <c r="L53" s="24"/>
      <c r="M53" s="24"/>
      <c r="N53" s="24"/>
      <c r="O53" s="24"/>
      <c r="P53" s="24"/>
      <c r="Q53" s="24"/>
      <c r="R53" s="24"/>
      <c r="S53" s="24"/>
      <c r="T53" s="24"/>
      <c r="U53" s="24"/>
      <c r="V53" s="24"/>
      <c r="W53" s="24"/>
      <c r="X53" s="24"/>
      <c r="Y53" s="24"/>
      <c r="Z53" s="24"/>
      <c r="AA53" s="24"/>
      <c r="AB53" s="24"/>
      <c r="AC53" s="24"/>
    </row>
    <row r="54" spans="1:29" ht="54.35">
      <c r="A54" s="263">
        <v>7</v>
      </c>
      <c r="B54" s="264"/>
      <c r="C54" s="263" t="s">
        <v>8567</v>
      </c>
      <c r="D54" s="265" t="s">
        <v>8568</v>
      </c>
      <c r="E54" s="265" t="s">
        <v>8569</v>
      </c>
      <c r="F54" s="43"/>
      <c r="G54" s="45" t="b">
        <f>IF(AND(F54="Meet the requirements traceability “out of the box”"), 10, IF(AND(F54="Can meet the requirements traceability with configuration or through the use of another commercial product “out of the box” or other arrangement as part of the service offering quoted (i.e. at no additional cost)"), 8, IF(AND(F54="Can meet the requirements traceability with customization at additional cost"), 3, IF(AND(F54="Cannot meet the requirements traceability requirement"), 0))))</f>
        <v>0</v>
      </c>
      <c r="H54" s="24"/>
      <c r="I54" s="24"/>
      <c r="J54" s="24"/>
      <c r="K54" s="24"/>
      <c r="L54" s="24"/>
      <c r="M54" s="24"/>
      <c r="N54" s="24"/>
      <c r="O54" s="24"/>
      <c r="P54" s="24"/>
      <c r="Q54" s="24"/>
      <c r="R54" s="24"/>
      <c r="S54" s="24"/>
      <c r="T54" s="24"/>
      <c r="U54" s="24"/>
      <c r="V54" s="24"/>
      <c r="W54" s="24"/>
      <c r="X54" s="24"/>
      <c r="Y54" s="24"/>
      <c r="Z54" s="24"/>
      <c r="AA54" s="24"/>
      <c r="AB54" s="24"/>
      <c r="AC54" s="24"/>
    </row>
    <row r="55" spans="1:29" ht="13.6">
      <c r="A55" s="263"/>
      <c r="B55" s="264"/>
      <c r="C55" s="263"/>
      <c r="D55" s="265"/>
      <c r="E55" s="281" t="s">
        <v>8570</v>
      </c>
      <c r="F55" s="79"/>
      <c r="G55" s="79"/>
      <c r="H55" s="24"/>
      <c r="I55" s="24"/>
      <c r="J55" s="24"/>
      <c r="K55" s="24"/>
      <c r="L55" s="24"/>
      <c r="M55" s="24"/>
      <c r="N55" s="24"/>
      <c r="O55" s="24"/>
      <c r="P55" s="24"/>
      <c r="Q55" s="24"/>
      <c r="R55" s="24"/>
      <c r="S55" s="24"/>
      <c r="T55" s="24"/>
      <c r="U55" s="24"/>
      <c r="V55" s="24"/>
      <c r="W55" s="24"/>
      <c r="X55" s="24"/>
      <c r="Y55" s="24"/>
      <c r="Z55" s="24"/>
      <c r="AA55" s="24"/>
      <c r="AB55" s="24"/>
      <c r="AC55" s="24"/>
    </row>
    <row r="56" spans="1:29" ht="13.6">
      <c r="A56" s="263"/>
      <c r="B56" s="264"/>
      <c r="C56" s="263"/>
      <c r="D56" s="265"/>
      <c r="E56" s="281" t="s">
        <v>8571</v>
      </c>
      <c r="F56" s="79"/>
      <c r="G56" s="79"/>
      <c r="H56" s="24"/>
      <c r="I56" s="24"/>
      <c r="J56" s="24"/>
      <c r="K56" s="24"/>
      <c r="L56" s="24"/>
      <c r="M56" s="24"/>
      <c r="N56" s="24"/>
      <c r="O56" s="24"/>
      <c r="P56" s="24"/>
      <c r="Q56" s="24"/>
      <c r="R56" s="24"/>
      <c r="S56" s="24"/>
      <c r="T56" s="24"/>
      <c r="U56" s="24"/>
      <c r="V56" s="24"/>
      <c r="W56" s="24"/>
      <c r="X56" s="24"/>
      <c r="Y56" s="24"/>
      <c r="Z56" s="24"/>
      <c r="AA56" s="24"/>
      <c r="AB56" s="24"/>
      <c r="AC56" s="24"/>
    </row>
    <row r="57" spans="1:29" ht="13.6">
      <c r="A57" s="263"/>
      <c r="B57" s="264"/>
      <c r="C57" s="263"/>
      <c r="D57" s="265"/>
      <c r="E57" s="281" t="s">
        <v>8572</v>
      </c>
      <c r="F57" s="79"/>
      <c r="G57" s="79"/>
      <c r="H57" s="24"/>
      <c r="I57" s="24"/>
      <c r="J57" s="24"/>
      <c r="K57" s="24"/>
      <c r="L57" s="24"/>
      <c r="M57" s="24"/>
      <c r="N57" s="24"/>
      <c r="O57" s="24"/>
      <c r="P57" s="24"/>
      <c r="Q57" s="24"/>
      <c r="R57" s="24"/>
      <c r="S57" s="24"/>
      <c r="T57" s="24"/>
      <c r="U57" s="24"/>
      <c r="V57" s="24"/>
      <c r="W57" s="24"/>
      <c r="X57" s="24"/>
      <c r="Y57" s="24"/>
      <c r="Z57" s="24"/>
      <c r="AA57" s="24"/>
      <c r="AB57" s="24"/>
      <c r="AC57" s="24"/>
    </row>
    <row r="58" spans="1:29" ht="13.6">
      <c r="A58" s="263"/>
      <c r="B58" s="264"/>
      <c r="C58" s="263"/>
      <c r="D58" s="265"/>
      <c r="E58" s="281" t="s">
        <v>8573</v>
      </c>
      <c r="F58" s="79"/>
      <c r="G58" s="79"/>
      <c r="H58" s="24"/>
      <c r="I58" s="24"/>
      <c r="J58" s="24"/>
      <c r="K58" s="24"/>
      <c r="L58" s="24"/>
      <c r="M58" s="24"/>
      <c r="N58" s="24"/>
      <c r="O58" s="24"/>
      <c r="P58" s="24"/>
      <c r="Q58" s="24"/>
      <c r="R58" s="24"/>
      <c r="S58" s="24"/>
      <c r="T58" s="24"/>
      <c r="U58" s="24"/>
      <c r="V58" s="24"/>
      <c r="W58" s="24"/>
      <c r="X58" s="24"/>
      <c r="Y58" s="24"/>
      <c r="Z58" s="24"/>
      <c r="AA58" s="24"/>
      <c r="AB58" s="24"/>
      <c r="AC58" s="24"/>
    </row>
    <row r="59" spans="1:29" ht="40.75">
      <c r="A59" s="263">
        <v>8</v>
      </c>
      <c r="B59" s="264"/>
      <c r="C59" s="263" t="s">
        <v>8574</v>
      </c>
      <c r="D59" s="265" t="s">
        <v>8575</v>
      </c>
      <c r="E59" s="265" t="s">
        <v>8576</v>
      </c>
      <c r="F59" s="43"/>
      <c r="G59" s="45" t="b">
        <f>IF(AND(F59="Meet the requirements traceability “out of the box”"), 10, IF(AND(F59="Can meet the requirements traceability with configuration or through the use of another commercial product “out of the box” or other arrangement as part of the service offering quoted (i.e. at no additional cost)"), 8, IF(AND(F59="Can meet the requirements traceability with customization at additional cost"), 3, IF(AND(F59="Cannot meet the requirements traceability requirement"), 0))))</f>
        <v>0</v>
      </c>
      <c r="H59" s="24"/>
      <c r="I59" s="24"/>
      <c r="J59" s="24"/>
      <c r="K59" s="24"/>
      <c r="L59" s="24"/>
      <c r="M59" s="24"/>
      <c r="N59" s="24"/>
      <c r="O59" s="24"/>
      <c r="P59" s="24"/>
      <c r="Q59" s="24"/>
      <c r="R59" s="24"/>
      <c r="S59" s="24"/>
      <c r="T59" s="24"/>
      <c r="U59" s="24"/>
      <c r="V59" s="24"/>
      <c r="W59" s="24"/>
      <c r="X59" s="24"/>
      <c r="Y59" s="24"/>
      <c r="Z59" s="24"/>
      <c r="AA59" s="24"/>
      <c r="AB59" s="24"/>
      <c r="AC59" s="24"/>
    </row>
    <row r="60" spans="1:29" ht="13.6">
      <c r="A60" s="263"/>
      <c r="B60" s="264"/>
      <c r="C60" s="263"/>
      <c r="D60" s="265"/>
      <c r="E60" s="281" t="s">
        <v>8577</v>
      </c>
      <c r="F60" s="79"/>
      <c r="G60" s="79"/>
      <c r="H60" s="24"/>
      <c r="I60" s="24"/>
      <c r="J60" s="24"/>
      <c r="K60" s="24"/>
      <c r="L60" s="24"/>
      <c r="M60" s="24"/>
      <c r="N60" s="24"/>
      <c r="O60" s="24"/>
      <c r="P60" s="24"/>
      <c r="Q60" s="24"/>
      <c r="R60" s="24"/>
      <c r="S60" s="24"/>
      <c r="T60" s="24"/>
      <c r="U60" s="24"/>
      <c r="V60" s="24"/>
      <c r="W60" s="24"/>
      <c r="X60" s="24"/>
      <c r="Y60" s="24"/>
      <c r="Z60" s="24"/>
      <c r="AA60" s="24"/>
      <c r="AB60" s="24"/>
      <c r="AC60" s="24"/>
    </row>
    <row r="61" spans="1:29" ht="13.6">
      <c r="A61" s="263"/>
      <c r="B61" s="264"/>
      <c r="C61" s="263"/>
      <c r="D61" s="265"/>
      <c r="E61" s="281" t="s">
        <v>8578</v>
      </c>
      <c r="F61" s="79"/>
      <c r="G61" s="79"/>
      <c r="H61" s="24"/>
      <c r="I61" s="24"/>
      <c r="J61" s="24"/>
      <c r="K61" s="24"/>
      <c r="L61" s="24"/>
      <c r="M61" s="24"/>
      <c r="N61" s="24"/>
      <c r="O61" s="24"/>
      <c r="P61" s="24"/>
      <c r="Q61" s="24"/>
      <c r="R61" s="24"/>
      <c r="S61" s="24"/>
      <c r="T61" s="24"/>
      <c r="U61" s="24"/>
      <c r="V61" s="24"/>
      <c r="W61" s="24"/>
      <c r="X61" s="24"/>
      <c r="Y61" s="24"/>
      <c r="Z61" s="24"/>
      <c r="AA61" s="24"/>
      <c r="AB61" s="24"/>
      <c r="AC61" s="24"/>
    </row>
    <row r="62" spans="1:29" ht="81.55">
      <c r="A62" s="263">
        <v>9</v>
      </c>
      <c r="B62" s="264"/>
      <c r="C62" s="263" t="s">
        <v>8579</v>
      </c>
      <c r="D62" s="265" t="s">
        <v>8580</v>
      </c>
      <c r="E62" s="265" t="s">
        <v>8581</v>
      </c>
      <c r="F62" s="43"/>
      <c r="G62" s="45" t="b">
        <f>IF(AND(F62="Meet the requirements traceability “out of the box”"), 10, IF(AND(F62="Can meet the requirements traceability with configuration or through the use of another commercial product “out of the box” or other arrangement as part of the service offering quoted (i.e. at no additional cost)"), 8, IF(AND(F62="Can meet the requirements traceability with customization at additional cost"), 3, IF(AND(F62="Cannot meet the requirements traceability requirement"), 0))))</f>
        <v>0</v>
      </c>
      <c r="H62" s="24"/>
      <c r="I62" s="24"/>
      <c r="J62" s="24"/>
      <c r="K62" s="24"/>
      <c r="L62" s="24"/>
      <c r="M62" s="24"/>
      <c r="N62" s="24"/>
      <c r="O62" s="24"/>
      <c r="P62" s="24"/>
      <c r="Q62" s="24"/>
      <c r="R62" s="24"/>
      <c r="S62" s="24"/>
      <c r="T62" s="24"/>
      <c r="U62" s="24"/>
      <c r="V62" s="24"/>
      <c r="W62" s="24"/>
      <c r="X62" s="24"/>
      <c r="Y62" s="24"/>
      <c r="Z62" s="24"/>
      <c r="AA62" s="24"/>
      <c r="AB62" s="24"/>
      <c r="AC62" s="24"/>
    </row>
    <row r="63" spans="1:29" ht="13.6">
      <c r="A63" s="263"/>
      <c r="B63" s="264"/>
      <c r="C63" s="263"/>
      <c r="D63" s="265"/>
      <c r="E63" s="281" t="s">
        <v>8582</v>
      </c>
      <c r="F63" s="79"/>
      <c r="G63" s="79"/>
      <c r="H63" s="24"/>
      <c r="I63" s="24"/>
      <c r="J63" s="24"/>
      <c r="K63" s="24"/>
      <c r="L63" s="24"/>
      <c r="M63" s="24"/>
      <c r="N63" s="24"/>
      <c r="O63" s="24"/>
      <c r="P63" s="24"/>
      <c r="Q63" s="24"/>
      <c r="R63" s="24"/>
      <c r="S63" s="24"/>
      <c r="T63" s="24"/>
      <c r="U63" s="24"/>
      <c r="V63" s="24"/>
      <c r="W63" s="24"/>
      <c r="X63" s="24"/>
      <c r="Y63" s="24"/>
      <c r="Z63" s="24"/>
      <c r="AA63" s="24"/>
      <c r="AB63" s="24"/>
      <c r="AC63" s="24"/>
    </row>
    <row r="64" spans="1:29" ht="13.6">
      <c r="A64" s="263"/>
      <c r="B64" s="264"/>
      <c r="C64" s="263"/>
      <c r="D64" s="265"/>
      <c r="E64" s="281" t="s">
        <v>8571</v>
      </c>
      <c r="F64" s="79"/>
      <c r="G64" s="79"/>
      <c r="H64" s="24"/>
      <c r="I64" s="24"/>
      <c r="J64" s="24"/>
      <c r="K64" s="24"/>
      <c r="L64" s="24"/>
      <c r="M64" s="24"/>
      <c r="N64" s="24"/>
      <c r="O64" s="24"/>
      <c r="P64" s="24"/>
      <c r="Q64" s="24"/>
      <c r="R64" s="24"/>
      <c r="S64" s="24"/>
      <c r="T64" s="24"/>
      <c r="U64" s="24"/>
      <c r="V64" s="24"/>
      <c r="W64" s="24"/>
      <c r="X64" s="24"/>
      <c r="Y64" s="24"/>
      <c r="Z64" s="24"/>
      <c r="AA64" s="24"/>
      <c r="AB64" s="24"/>
      <c r="AC64" s="24"/>
    </row>
    <row r="65" spans="1:29" ht="13.6">
      <c r="A65" s="263"/>
      <c r="B65" s="264"/>
      <c r="C65" s="263"/>
      <c r="D65" s="265"/>
      <c r="E65" s="281" t="s">
        <v>8583</v>
      </c>
      <c r="F65" s="79"/>
      <c r="G65" s="79"/>
      <c r="H65" s="24"/>
      <c r="I65" s="24"/>
      <c r="J65" s="24"/>
      <c r="K65" s="24"/>
      <c r="L65" s="24"/>
      <c r="M65" s="24"/>
      <c r="N65" s="24"/>
      <c r="O65" s="24"/>
      <c r="P65" s="24"/>
      <c r="Q65" s="24"/>
      <c r="R65" s="24"/>
      <c r="S65" s="24"/>
      <c r="T65" s="24"/>
      <c r="U65" s="24"/>
      <c r="V65" s="24"/>
      <c r="W65" s="24"/>
      <c r="X65" s="24"/>
      <c r="Y65" s="24"/>
      <c r="Z65" s="24"/>
      <c r="AA65" s="24"/>
      <c r="AB65" s="24"/>
      <c r="AC65" s="24"/>
    </row>
    <row r="66" spans="1:29" ht="13.6">
      <c r="A66" s="263"/>
      <c r="B66" s="264"/>
      <c r="C66" s="263"/>
      <c r="D66" s="265"/>
      <c r="E66" s="281" t="s">
        <v>8584</v>
      </c>
      <c r="F66" s="79"/>
      <c r="G66" s="79"/>
      <c r="H66" s="24"/>
      <c r="I66" s="24"/>
      <c r="J66" s="24"/>
      <c r="K66" s="24"/>
      <c r="L66" s="24"/>
      <c r="M66" s="24"/>
      <c r="N66" s="24"/>
      <c r="O66" s="24"/>
      <c r="P66" s="24"/>
      <c r="Q66" s="24"/>
      <c r="R66" s="24"/>
      <c r="S66" s="24"/>
      <c r="T66" s="24"/>
      <c r="U66" s="24"/>
      <c r="V66" s="24"/>
      <c r="W66" s="24"/>
      <c r="X66" s="24"/>
      <c r="Y66" s="24"/>
      <c r="Z66" s="24"/>
      <c r="AA66" s="24"/>
      <c r="AB66" s="24"/>
      <c r="AC66" s="24"/>
    </row>
    <row r="67" spans="1:29" ht="13.6">
      <c r="A67" s="263"/>
      <c r="B67" s="264"/>
      <c r="C67" s="263"/>
      <c r="D67" s="265"/>
      <c r="E67" s="281" t="s">
        <v>8585</v>
      </c>
      <c r="F67" s="79"/>
      <c r="G67" s="79"/>
      <c r="H67" s="24"/>
      <c r="I67" s="24"/>
      <c r="J67" s="24"/>
      <c r="K67" s="24"/>
      <c r="L67" s="24"/>
      <c r="M67" s="24"/>
      <c r="N67" s="24"/>
      <c r="O67" s="24"/>
      <c r="P67" s="24"/>
      <c r="Q67" s="24"/>
      <c r="R67" s="24"/>
      <c r="S67" s="24"/>
      <c r="T67" s="24"/>
      <c r="U67" s="24"/>
      <c r="V67" s="24"/>
      <c r="W67" s="24"/>
      <c r="X67" s="24"/>
      <c r="Y67" s="24"/>
      <c r="Z67" s="24"/>
      <c r="AA67" s="24"/>
      <c r="AB67" s="24"/>
      <c r="AC67" s="24"/>
    </row>
    <row r="68" spans="1:29" ht="203.8">
      <c r="A68" s="263">
        <v>10</v>
      </c>
      <c r="B68" s="264"/>
      <c r="C68" s="263" t="s">
        <v>8586</v>
      </c>
      <c r="D68" s="265" t="s">
        <v>8587</v>
      </c>
      <c r="E68" s="265" t="s">
        <v>8588</v>
      </c>
      <c r="F68" s="43"/>
      <c r="G68" s="45" t="b">
        <f>IF(AND(F68="Meet the requirements traceability “out of the box”"), 10, IF(AND(F68="Can meet the requirements traceability with configuration or through the use of another commercial product “out of the box” or other arrangement as part of the service offering quoted (i.e. at no additional cost)"), 8, IF(AND(F68="Can meet the requirements traceability with customization at additional cost"), 3, IF(AND(F68="Cannot meet the requirements traceability requirement"), 0))))</f>
        <v>0</v>
      </c>
      <c r="H68" s="24"/>
      <c r="I68" s="24"/>
      <c r="J68" s="24"/>
      <c r="K68" s="24"/>
      <c r="L68" s="24"/>
      <c r="M68" s="24"/>
      <c r="N68" s="24"/>
      <c r="O68" s="24"/>
      <c r="P68" s="24"/>
      <c r="Q68" s="24"/>
      <c r="R68" s="24"/>
      <c r="S68" s="24"/>
      <c r="T68" s="24"/>
      <c r="U68" s="24"/>
      <c r="V68" s="24"/>
      <c r="W68" s="24"/>
      <c r="X68" s="24"/>
      <c r="Y68" s="24"/>
      <c r="Z68" s="24"/>
      <c r="AA68" s="24"/>
      <c r="AB68" s="24"/>
      <c r="AC68" s="24"/>
    </row>
    <row r="69" spans="1:29" ht="13.6">
      <c r="A69" s="263"/>
      <c r="B69" s="264"/>
      <c r="C69" s="263"/>
      <c r="D69" s="265"/>
      <c r="E69" s="281" t="s">
        <v>8589</v>
      </c>
      <c r="F69" s="79"/>
      <c r="G69" s="79"/>
      <c r="H69" s="24"/>
      <c r="I69" s="24"/>
      <c r="J69" s="24"/>
      <c r="K69" s="24"/>
      <c r="L69" s="24"/>
      <c r="M69" s="24"/>
      <c r="N69" s="24"/>
      <c r="O69" s="24"/>
      <c r="P69" s="24"/>
      <c r="Q69" s="24"/>
      <c r="R69" s="24"/>
      <c r="S69" s="24"/>
      <c r="T69" s="24"/>
      <c r="U69" s="24"/>
      <c r="V69" s="24"/>
      <c r="W69" s="24"/>
      <c r="X69" s="24"/>
      <c r="Y69" s="24"/>
      <c r="Z69" s="24"/>
      <c r="AA69" s="24"/>
      <c r="AB69" s="24"/>
      <c r="AC69" s="24"/>
    </row>
    <row r="70" spans="1:29" ht="13.6">
      <c r="A70" s="263"/>
      <c r="B70" s="264"/>
      <c r="C70" s="263"/>
      <c r="D70" s="265"/>
      <c r="E70" s="281" t="s">
        <v>8590</v>
      </c>
      <c r="F70" s="79"/>
      <c r="G70" s="79"/>
      <c r="H70" s="24"/>
      <c r="I70" s="24"/>
      <c r="J70" s="24"/>
      <c r="K70" s="24"/>
      <c r="L70" s="24"/>
      <c r="M70" s="24"/>
      <c r="N70" s="24"/>
      <c r="O70" s="24"/>
      <c r="P70" s="24"/>
      <c r="Q70" s="24"/>
      <c r="R70" s="24"/>
      <c r="S70" s="24"/>
      <c r="T70" s="24"/>
      <c r="U70" s="24"/>
      <c r="V70" s="24"/>
      <c r="W70" s="24"/>
      <c r="X70" s="24"/>
      <c r="Y70" s="24"/>
      <c r="Z70" s="24"/>
      <c r="AA70" s="24"/>
      <c r="AB70" s="24"/>
      <c r="AC70" s="24"/>
    </row>
    <row r="71" spans="1:29" ht="13.6">
      <c r="A71" s="263"/>
      <c r="B71" s="264"/>
      <c r="C71" s="263"/>
      <c r="D71" s="265"/>
      <c r="E71" s="281" t="s">
        <v>8591</v>
      </c>
      <c r="F71" s="79"/>
      <c r="G71" s="79"/>
      <c r="H71" s="24"/>
      <c r="I71" s="24"/>
      <c r="J71" s="24"/>
      <c r="K71" s="24"/>
      <c r="L71" s="24"/>
      <c r="M71" s="24"/>
      <c r="N71" s="24"/>
      <c r="O71" s="24"/>
      <c r="P71" s="24"/>
      <c r="Q71" s="24"/>
      <c r="R71" s="24"/>
      <c r="S71" s="24"/>
      <c r="T71" s="24"/>
      <c r="U71" s="24"/>
      <c r="V71" s="24"/>
      <c r="W71" s="24"/>
      <c r="X71" s="24"/>
      <c r="Y71" s="24"/>
      <c r="Z71" s="24"/>
      <c r="AA71" s="24"/>
      <c r="AB71" s="24"/>
      <c r="AC71" s="24"/>
    </row>
    <row r="72" spans="1:29" ht="13.6">
      <c r="A72" s="263"/>
      <c r="B72" s="264"/>
      <c r="C72" s="263"/>
      <c r="D72" s="265"/>
      <c r="E72" s="281" t="s">
        <v>8592</v>
      </c>
      <c r="F72" s="79"/>
      <c r="G72" s="79"/>
      <c r="H72" s="24"/>
      <c r="I72" s="24"/>
      <c r="J72" s="24"/>
      <c r="K72" s="24"/>
      <c r="L72" s="24"/>
      <c r="M72" s="24"/>
      <c r="N72" s="24"/>
      <c r="O72" s="24"/>
      <c r="P72" s="24"/>
      <c r="Q72" s="24"/>
      <c r="R72" s="24"/>
      <c r="S72" s="24"/>
      <c r="T72" s="24"/>
      <c r="U72" s="24"/>
      <c r="V72" s="24"/>
      <c r="W72" s="24"/>
      <c r="X72" s="24"/>
      <c r="Y72" s="24"/>
      <c r="Z72" s="24"/>
      <c r="AA72" s="24"/>
      <c r="AB72" s="24"/>
      <c r="AC72" s="24"/>
    </row>
    <row r="73" spans="1:29" ht="13.6">
      <c r="A73" s="263"/>
      <c r="B73" s="264"/>
      <c r="C73" s="263"/>
      <c r="D73" s="265"/>
      <c r="E73" s="281" t="s">
        <v>8593</v>
      </c>
      <c r="F73" s="79"/>
      <c r="G73" s="79"/>
      <c r="H73" s="24"/>
      <c r="I73" s="24"/>
      <c r="J73" s="24"/>
      <c r="K73" s="24"/>
      <c r="L73" s="24"/>
      <c r="M73" s="24"/>
      <c r="N73" s="24"/>
      <c r="O73" s="24"/>
      <c r="P73" s="24"/>
      <c r="Q73" s="24"/>
      <c r="R73" s="24"/>
      <c r="S73" s="24"/>
      <c r="T73" s="24"/>
      <c r="U73" s="24"/>
      <c r="V73" s="24"/>
      <c r="W73" s="24"/>
      <c r="X73" s="24"/>
      <c r="Y73" s="24"/>
      <c r="Z73" s="24"/>
      <c r="AA73" s="24"/>
      <c r="AB73" s="24"/>
      <c r="AC73" s="24"/>
    </row>
    <row r="74" spans="1:29" ht="13.6">
      <c r="A74" s="263"/>
      <c r="B74" s="264"/>
      <c r="C74" s="263"/>
      <c r="D74" s="265"/>
      <c r="E74" s="281" t="s">
        <v>8594</v>
      </c>
      <c r="F74" s="79"/>
      <c r="G74" s="79"/>
      <c r="H74" s="24"/>
      <c r="I74" s="24"/>
      <c r="J74" s="24"/>
      <c r="K74" s="24"/>
      <c r="L74" s="24"/>
      <c r="M74" s="24"/>
      <c r="N74" s="24"/>
      <c r="O74" s="24"/>
      <c r="P74" s="24"/>
      <c r="Q74" s="24"/>
      <c r="R74" s="24"/>
      <c r="S74" s="24"/>
      <c r="T74" s="24"/>
      <c r="U74" s="24"/>
      <c r="V74" s="24"/>
      <c r="W74" s="24"/>
      <c r="X74" s="24"/>
      <c r="Y74" s="24"/>
      <c r="Z74" s="24"/>
      <c r="AA74" s="24"/>
      <c r="AB74" s="24"/>
      <c r="AC74" s="24"/>
    </row>
    <row r="75" spans="1:29" ht="13.6">
      <c r="A75" s="263"/>
      <c r="B75" s="264"/>
      <c r="C75" s="263"/>
      <c r="D75" s="265"/>
      <c r="E75" s="281" t="s">
        <v>8595</v>
      </c>
      <c r="F75" s="79"/>
      <c r="G75" s="79"/>
      <c r="H75" s="24"/>
      <c r="I75" s="24"/>
      <c r="J75" s="24"/>
      <c r="K75" s="24"/>
      <c r="L75" s="24"/>
      <c r="M75" s="24"/>
      <c r="N75" s="24"/>
      <c r="O75" s="24"/>
      <c r="P75" s="24"/>
      <c r="Q75" s="24"/>
      <c r="R75" s="24"/>
      <c r="S75" s="24"/>
      <c r="T75" s="24"/>
      <c r="U75" s="24"/>
      <c r="V75" s="24"/>
      <c r="W75" s="24"/>
      <c r="X75" s="24"/>
      <c r="Y75" s="24"/>
      <c r="Z75" s="24"/>
      <c r="AA75" s="24"/>
      <c r="AB75" s="24"/>
      <c r="AC75" s="24"/>
    </row>
    <row r="76" spans="1:29" ht="13.6">
      <c r="A76" s="263"/>
      <c r="B76" s="264"/>
      <c r="C76" s="263"/>
      <c r="D76" s="265"/>
      <c r="E76" s="281" t="s">
        <v>8596</v>
      </c>
      <c r="F76" s="79"/>
      <c r="G76" s="79"/>
      <c r="H76" s="24"/>
      <c r="I76" s="24"/>
      <c r="J76" s="24"/>
      <c r="K76" s="24"/>
      <c r="L76" s="24"/>
      <c r="M76" s="24"/>
      <c r="N76" s="24"/>
      <c r="O76" s="24"/>
      <c r="P76" s="24"/>
      <c r="Q76" s="24"/>
      <c r="R76" s="24"/>
      <c r="S76" s="24"/>
      <c r="T76" s="24"/>
      <c r="U76" s="24"/>
      <c r="V76" s="24"/>
      <c r="W76" s="24"/>
      <c r="X76" s="24"/>
      <c r="Y76" s="24"/>
      <c r="Z76" s="24"/>
      <c r="AA76" s="24"/>
      <c r="AB76" s="24"/>
      <c r="AC76" s="24"/>
    </row>
    <row r="77" spans="1:29" ht="13.6">
      <c r="A77" s="263"/>
      <c r="B77" s="264"/>
      <c r="C77" s="263"/>
      <c r="D77" s="265"/>
      <c r="E77" s="281" t="s">
        <v>8597</v>
      </c>
      <c r="F77" s="79"/>
      <c r="G77" s="79"/>
      <c r="H77" s="24"/>
      <c r="I77" s="24"/>
      <c r="J77" s="24"/>
      <c r="K77" s="24"/>
      <c r="L77" s="24"/>
      <c r="M77" s="24"/>
      <c r="N77" s="24"/>
      <c r="O77" s="24"/>
      <c r="P77" s="24"/>
      <c r="Q77" s="24"/>
      <c r="R77" s="24"/>
      <c r="S77" s="24"/>
      <c r="T77" s="24"/>
      <c r="U77" s="24"/>
      <c r="V77" s="24"/>
      <c r="W77" s="24"/>
      <c r="X77" s="24"/>
      <c r="Y77" s="24"/>
      <c r="Z77" s="24"/>
      <c r="AA77" s="24"/>
      <c r="AB77" s="24"/>
      <c r="AC77" s="24"/>
    </row>
    <row r="78" spans="1:29" ht="13.6">
      <c r="A78" s="263"/>
      <c r="B78" s="264"/>
      <c r="C78" s="263"/>
      <c r="D78" s="265"/>
      <c r="E78" s="281" t="s">
        <v>8598</v>
      </c>
      <c r="F78" s="79"/>
      <c r="G78" s="79"/>
      <c r="H78" s="24"/>
      <c r="I78" s="24"/>
      <c r="J78" s="24"/>
      <c r="K78" s="24"/>
      <c r="L78" s="24"/>
      <c r="M78" s="24"/>
      <c r="N78" s="24"/>
      <c r="O78" s="24"/>
      <c r="P78" s="24"/>
      <c r="Q78" s="24"/>
      <c r="R78" s="24"/>
      <c r="S78" s="24"/>
      <c r="T78" s="24"/>
      <c r="U78" s="24"/>
      <c r="V78" s="24"/>
      <c r="W78" s="24"/>
      <c r="X78" s="24"/>
      <c r="Y78" s="24"/>
      <c r="Z78" s="24"/>
      <c r="AA78" s="24"/>
      <c r="AB78" s="24"/>
      <c r="AC78" s="24"/>
    </row>
    <row r="79" spans="1:29" ht="13.6">
      <c r="A79" s="263"/>
      <c r="B79" s="264"/>
      <c r="C79" s="263"/>
      <c r="D79" s="265"/>
      <c r="E79" s="281" t="s">
        <v>8599</v>
      </c>
      <c r="F79" s="79"/>
      <c r="G79" s="79"/>
      <c r="H79" s="24"/>
      <c r="I79" s="24"/>
      <c r="J79" s="24"/>
      <c r="K79" s="24"/>
      <c r="L79" s="24"/>
      <c r="M79" s="24"/>
      <c r="N79" s="24"/>
      <c r="O79" s="24"/>
      <c r="P79" s="24"/>
      <c r="Q79" s="24"/>
      <c r="R79" s="24"/>
      <c r="S79" s="24"/>
      <c r="T79" s="24"/>
      <c r="U79" s="24"/>
      <c r="V79" s="24"/>
      <c r="W79" s="24"/>
      <c r="X79" s="24"/>
      <c r="Y79" s="24"/>
      <c r="Z79" s="24"/>
      <c r="AA79" s="24"/>
      <c r="AB79" s="24"/>
      <c r="AC79" s="24"/>
    </row>
    <row r="80" spans="1:29" ht="13.6">
      <c r="A80" s="263"/>
      <c r="B80" s="264"/>
      <c r="C80" s="263"/>
      <c r="D80" s="265"/>
      <c r="E80" s="281" t="s">
        <v>8600</v>
      </c>
      <c r="F80" s="79"/>
      <c r="G80" s="79"/>
      <c r="H80" s="24"/>
      <c r="I80" s="24"/>
      <c r="J80" s="24"/>
      <c r="K80" s="24"/>
      <c r="L80" s="24"/>
      <c r="M80" s="24"/>
      <c r="N80" s="24"/>
      <c r="O80" s="24"/>
      <c r="P80" s="24"/>
      <c r="Q80" s="24"/>
      <c r="R80" s="24"/>
      <c r="S80" s="24"/>
      <c r="T80" s="24"/>
      <c r="U80" s="24"/>
      <c r="V80" s="24"/>
      <c r="W80" s="24"/>
      <c r="X80" s="24"/>
      <c r="Y80" s="24"/>
      <c r="Z80" s="24"/>
      <c r="AA80" s="24"/>
      <c r="AB80" s="24"/>
      <c r="AC80" s="24"/>
    </row>
    <row r="81" spans="1:29" ht="13.6">
      <c r="A81" s="263"/>
      <c r="B81" s="264"/>
      <c r="C81" s="263"/>
      <c r="D81" s="265"/>
      <c r="E81" s="281" t="s">
        <v>8601</v>
      </c>
      <c r="F81" s="79"/>
      <c r="G81" s="79"/>
      <c r="H81" s="24"/>
      <c r="I81" s="24"/>
      <c r="J81" s="24"/>
      <c r="K81" s="24"/>
      <c r="L81" s="24"/>
      <c r="M81" s="24"/>
      <c r="N81" s="24"/>
      <c r="O81" s="24"/>
      <c r="P81" s="24"/>
      <c r="Q81" s="24"/>
      <c r="R81" s="24"/>
      <c r="S81" s="24"/>
      <c r="T81" s="24"/>
      <c r="U81" s="24"/>
      <c r="V81" s="24"/>
      <c r="W81" s="24"/>
      <c r="X81" s="24"/>
      <c r="Y81" s="24"/>
      <c r="Z81" s="24"/>
      <c r="AA81" s="24"/>
      <c r="AB81" s="24"/>
      <c r="AC81" s="24"/>
    </row>
    <row r="82" spans="1:29" ht="13.6">
      <c r="A82" s="263"/>
      <c r="B82" s="264"/>
      <c r="C82" s="263"/>
      <c r="D82" s="265"/>
      <c r="E82" s="281" t="s">
        <v>8602</v>
      </c>
      <c r="F82" s="79"/>
      <c r="G82" s="79"/>
      <c r="H82" s="24"/>
      <c r="I82" s="24"/>
      <c r="J82" s="24"/>
      <c r="K82" s="24"/>
      <c r="L82" s="24"/>
      <c r="M82" s="24"/>
      <c r="N82" s="24"/>
      <c r="O82" s="24"/>
      <c r="P82" s="24"/>
      <c r="Q82" s="24"/>
      <c r="R82" s="24"/>
      <c r="S82" s="24"/>
      <c r="T82" s="24"/>
      <c r="U82" s="24"/>
      <c r="V82" s="24"/>
      <c r="W82" s="24"/>
      <c r="X82" s="24"/>
      <c r="Y82" s="24"/>
      <c r="Z82" s="24"/>
      <c r="AA82" s="24"/>
      <c r="AB82" s="24"/>
      <c r="AC82" s="24"/>
    </row>
    <row r="83" spans="1:29" ht="54.35">
      <c r="A83" s="263">
        <v>11</v>
      </c>
      <c r="B83" s="264"/>
      <c r="C83" s="263" t="s">
        <v>8603</v>
      </c>
      <c r="D83" s="265" t="s">
        <v>8604</v>
      </c>
      <c r="E83" s="265" t="s">
        <v>8605</v>
      </c>
      <c r="F83" s="43"/>
      <c r="G83" s="45" t="b">
        <f>IF(AND(F83="Meet the requirements traceability “out of the box”"), 10, IF(AND(F83="Can meet the requirements traceability with configuration or through the use of another commercial product “out of the box” or other arrangement as part of the service offering quoted (i.e. at no additional cost)"), 8, IF(AND(F83="Can meet the requirements traceability with customization at additional cost"), 3, IF(AND(F83="Cannot meet the requirements traceability requirement"), 0))))</f>
        <v>0</v>
      </c>
      <c r="H83" s="24"/>
      <c r="I83" s="24"/>
      <c r="J83" s="24"/>
      <c r="K83" s="24"/>
      <c r="L83" s="24"/>
      <c r="M83" s="24"/>
      <c r="N83" s="24"/>
      <c r="O83" s="24"/>
      <c r="P83" s="24"/>
      <c r="Q83" s="24"/>
      <c r="R83" s="24"/>
      <c r="S83" s="24"/>
      <c r="T83" s="24"/>
      <c r="U83" s="24"/>
      <c r="V83" s="24"/>
      <c r="W83" s="24"/>
      <c r="X83" s="24"/>
      <c r="Y83" s="24"/>
      <c r="Z83" s="24"/>
      <c r="AA83" s="24"/>
      <c r="AB83" s="24"/>
      <c r="AC83" s="24"/>
    </row>
    <row r="84" spans="1:29" ht="13.6">
      <c r="A84" s="263"/>
      <c r="B84" s="264"/>
      <c r="C84" s="263"/>
      <c r="D84" s="265"/>
      <c r="E84" s="281" t="s">
        <v>8606</v>
      </c>
      <c r="F84" s="79"/>
      <c r="G84" s="79"/>
      <c r="H84" s="24"/>
      <c r="I84" s="24"/>
      <c r="J84" s="24"/>
      <c r="K84" s="24"/>
      <c r="L84" s="24"/>
      <c r="M84" s="24"/>
      <c r="N84" s="24"/>
      <c r="O84" s="24"/>
      <c r="P84" s="24"/>
      <c r="Q84" s="24"/>
      <c r="R84" s="24"/>
      <c r="S84" s="24"/>
      <c r="T84" s="24"/>
      <c r="U84" s="24"/>
      <c r="V84" s="24"/>
      <c r="W84" s="24"/>
      <c r="X84" s="24"/>
      <c r="Y84" s="24"/>
      <c r="Z84" s="24"/>
      <c r="AA84" s="24"/>
      <c r="AB84" s="24"/>
      <c r="AC84" s="24"/>
    </row>
    <row r="85" spans="1:29" ht="13.6">
      <c r="A85" s="263"/>
      <c r="B85" s="264"/>
      <c r="C85" s="263"/>
      <c r="D85" s="265"/>
      <c r="E85" s="281" t="s">
        <v>8607</v>
      </c>
      <c r="F85" s="79"/>
      <c r="G85" s="79"/>
      <c r="H85" s="24"/>
      <c r="I85" s="24"/>
      <c r="J85" s="24"/>
      <c r="K85" s="24"/>
      <c r="L85" s="24"/>
      <c r="M85" s="24"/>
      <c r="N85" s="24"/>
      <c r="O85" s="24"/>
      <c r="P85" s="24"/>
      <c r="Q85" s="24"/>
      <c r="R85" s="24"/>
      <c r="S85" s="24"/>
      <c r="T85" s="24"/>
      <c r="U85" s="24"/>
      <c r="V85" s="24"/>
      <c r="W85" s="24"/>
      <c r="X85" s="24"/>
      <c r="Y85" s="24"/>
      <c r="Z85" s="24"/>
      <c r="AA85" s="24"/>
      <c r="AB85" s="24"/>
      <c r="AC85" s="24"/>
    </row>
    <row r="86" spans="1:29" ht="122.3">
      <c r="A86" s="263">
        <v>12</v>
      </c>
      <c r="B86" s="264"/>
      <c r="C86" s="263" t="s">
        <v>8608</v>
      </c>
      <c r="D86" s="265" t="s">
        <v>8609</v>
      </c>
      <c r="E86" s="265" t="s">
        <v>8610</v>
      </c>
      <c r="F86" s="43"/>
      <c r="G86" s="45" t="b">
        <f>IF(AND(F86="Meet the requirements traceability “out of the box”"), 10, IF(AND(F86="Can meet the requirements traceability with configuration or through the use of another commercial product “out of the box” or other arrangement as part of the service offering quoted (i.e. at no additional cost)"), 8, IF(AND(F86="Can meet the requirements traceability with customization at additional cost"), 3, IF(AND(F86="Cannot meet the requirements traceability requirement"), 0))))</f>
        <v>0</v>
      </c>
      <c r="H86" s="24"/>
      <c r="I86" s="24"/>
      <c r="J86" s="24"/>
      <c r="K86" s="24"/>
      <c r="L86" s="24"/>
      <c r="M86" s="24"/>
      <c r="N86" s="24"/>
      <c r="O86" s="24"/>
      <c r="P86" s="24"/>
      <c r="Q86" s="24"/>
      <c r="R86" s="24"/>
      <c r="S86" s="24"/>
      <c r="T86" s="24"/>
      <c r="U86" s="24"/>
      <c r="V86" s="24"/>
      <c r="W86" s="24"/>
      <c r="X86" s="24"/>
      <c r="Y86" s="24"/>
      <c r="Z86" s="24"/>
      <c r="AA86" s="24"/>
      <c r="AB86" s="24"/>
      <c r="AC86" s="24"/>
    </row>
    <row r="87" spans="1:29" ht="13.6">
      <c r="A87" s="263"/>
      <c r="B87" s="264"/>
      <c r="C87" s="263"/>
      <c r="D87" s="265"/>
      <c r="E87" s="281" t="s">
        <v>8611</v>
      </c>
      <c r="F87" s="79"/>
      <c r="G87" s="79"/>
      <c r="H87" s="24"/>
      <c r="I87" s="24"/>
      <c r="J87" s="24"/>
      <c r="K87" s="24"/>
      <c r="L87" s="24"/>
      <c r="M87" s="24"/>
      <c r="N87" s="24"/>
      <c r="O87" s="24"/>
      <c r="P87" s="24"/>
      <c r="Q87" s="24"/>
      <c r="R87" s="24"/>
      <c r="S87" s="24"/>
      <c r="T87" s="24"/>
      <c r="U87" s="24"/>
      <c r="V87" s="24"/>
      <c r="W87" s="24"/>
      <c r="X87" s="24"/>
      <c r="Y87" s="24"/>
      <c r="Z87" s="24"/>
      <c r="AA87" s="24"/>
      <c r="AB87" s="24"/>
      <c r="AC87" s="24"/>
    </row>
    <row r="88" spans="1:29" ht="13.6">
      <c r="A88" s="263"/>
      <c r="B88" s="264"/>
      <c r="C88" s="263"/>
      <c r="D88" s="265"/>
      <c r="E88" s="281" t="s">
        <v>8612</v>
      </c>
      <c r="F88" s="79"/>
      <c r="G88" s="79"/>
      <c r="H88" s="24"/>
      <c r="I88" s="24"/>
      <c r="J88" s="24"/>
      <c r="K88" s="24"/>
      <c r="L88" s="24"/>
      <c r="M88" s="24"/>
      <c r="N88" s="24"/>
      <c r="O88" s="24"/>
      <c r="P88" s="24"/>
      <c r="Q88" s="24"/>
      <c r="R88" s="24"/>
      <c r="S88" s="24"/>
      <c r="T88" s="24"/>
      <c r="U88" s="24"/>
      <c r="V88" s="24"/>
      <c r="W88" s="24"/>
      <c r="X88" s="24"/>
      <c r="Y88" s="24"/>
      <c r="Z88" s="24"/>
      <c r="AA88" s="24"/>
      <c r="AB88" s="24"/>
      <c r="AC88" s="24"/>
    </row>
    <row r="89" spans="1:29" ht="108.7">
      <c r="A89" s="263">
        <v>13</v>
      </c>
      <c r="B89" s="264"/>
      <c r="C89" s="263" t="s">
        <v>8613</v>
      </c>
      <c r="D89" s="265" t="s">
        <v>8614</v>
      </c>
      <c r="E89" s="265" t="s">
        <v>8615</v>
      </c>
      <c r="F89" s="43"/>
      <c r="G89" s="45" t="b">
        <f>IF(AND(F89="Meet the requirements traceability “out of the box”"), 10, IF(AND(F89="Can meet the requirements traceability with configuration or through the use of another commercial product “out of the box” or other arrangement as part of the service offering quoted (i.e. at no additional cost)"), 8, IF(AND(F89="Can meet the requirements traceability with customization at additional cost"), 3, IF(AND(F89="Cannot meet the requirements traceability requirement"), 0))))</f>
        <v>0</v>
      </c>
      <c r="H89" s="24"/>
      <c r="I89" s="24"/>
      <c r="J89" s="24"/>
      <c r="K89" s="24"/>
      <c r="L89" s="24"/>
      <c r="M89" s="24"/>
      <c r="N89" s="24"/>
      <c r="O89" s="24"/>
      <c r="P89" s="24"/>
      <c r="Q89" s="24"/>
      <c r="R89" s="24"/>
      <c r="S89" s="24"/>
      <c r="T89" s="24"/>
      <c r="U89" s="24"/>
      <c r="V89" s="24"/>
      <c r="W89" s="24"/>
      <c r="X89" s="24"/>
      <c r="Y89" s="24"/>
      <c r="Z89" s="24"/>
      <c r="AA89" s="24"/>
      <c r="AB89" s="24"/>
      <c r="AC89" s="24"/>
    </row>
    <row r="90" spans="1:29" ht="13.6">
      <c r="A90" s="263"/>
      <c r="B90" s="264"/>
      <c r="C90" s="263"/>
      <c r="D90" s="265"/>
      <c r="E90" s="281" t="s">
        <v>8616</v>
      </c>
      <c r="F90" s="79"/>
      <c r="G90" s="79"/>
      <c r="H90" s="24"/>
      <c r="I90" s="24"/>
      <c r="J90" s="24"/>
      <c r="K90" s="24"/>
      <c r="L90" s="24"/>
      <c r="M90" s="24"/>
      <c r="N90" s="24"/>
      <c r="O90" s="24"/>
      <c r="P90" s="24"/>
      <c r="Q90" s="24"/>
      <c r="R90" s="24"/>
      <c r="S90" s="24"/>
      <c r="T90" s="24"/>
      <c r="U90" s="24"/>
      <c r="V90" s="24"/>
      <c r="W90" s="24"/>
      <c r="X90" s="24"/>
      <c r="Y90" s="24"/>
      <c r="Z90" s="24"/>
      <c r="AA90" s="24"/>
      <c r="AB90" s="24"/>
      <c r="AC90" s="24"/>
    </row>
    <row r="91" spans="1:29" ht="13.6">
      <c r="A91" s="263"/>
      <c r="B91" s="264"/>
      <c r="C91" s="263"/>
      <c r="D91" s="265"/>
      <c r="E91" s="281" t="s">
        <v>8617</v>
      </c>
      <c r="F91" s="79"/>
      <c r="G91" s="79"/>
      <c r="H91" s="24"/>
      <c r="I91" s="24"/>
      <c r="J91" s="24"/>
      <c r="K91" s="24"/>
      <c r="L91" s="24"/>
      <c r="M91" s="24"/>
      <c r="N91" s="24"/>
      <c r="O91" s="24"/>
      <c r="P91" s="24"/>
      <c r="Q91" s="24"/>
      <c r="R91" s="24"/>
      <c r="S91" s="24"/>
      <c r="T91" s="24"/>
      <c r="U91" s="24"/>
      <c r="V91" s="24"/>
      <c r="W91" s="24"/>
      <c r="X91" s="24"/>
      <c r="Y91" s="24"/>
      <c r="Z91" s="24"/>
      <c r="AA91" s="24"/>
      <c r="AB91" s="24"/>
      <c r="AC91" s="24"/>
    </row>
    <row r="92" spans="1:29" ht="13.6">
      <c r="A92" s="263"/>
      <c r="B92" s="264"/>
      <c r="C92" s="263"/>
      <c r="D92" s="265"/>
      <c r="E92" s="281" t="s">
        <v>8618</v>
      </c>
      <c r="F92" s="79"/>
      <c r="G92" s="79"/>
      <c r="H92" s="24"/>
      <c r="I92" s="24"/>
      <c r="J92" s="24"/>
      <c r="K92" s="24"/>
      <c r="L92" s="24"/>
      <c r="M92" s="24"/>
      <c r="N92" s="24"/>
      <c r="O92" s="24"/>
      <c r="P92" s="24"/>
      <c r="Q92" s="24"/>
      <c r="R92" s="24"/>
      <c r="S92" s="24"/>
      <c r="T92" s="24"/>
      <c r="U92" s="24"/>
      <c r="V92" s="24"/>
      <c r="W92" s="24"/>
      <c r="X92" s="24"/>
      <c r="Y92" s="24"/>
      <c r="Z92" s="24"/>
      <c r="AA92" s="24"/>
      <c r="AB92" s="24"/>
      <c r="AC92" s="24"/>
    </row>
    <row r="93" spans="1:29" ht="13.6">
      <c r="A93" s="263"/>
      <c r="B93" s="264"/>
      <c r="C93" s="263"/>
      <c r="D93" s="265"/>
      <c r="E93" s="282" t="s">
        <v>8619</v>
      </c>
      <c r="F93" s="79"/>
      <c r="G93" s="79"/>
      <c r="H93" s="24"/>
      <c r="I93" s="24"/>
      <c r="J93" s="24"/>
      <c r="K93" s="24"/>
      <c r="L93" s="24"/>
      <c r="M93" s="24"/>
      <c r="N93" s="24"/>
      <c r="O93" s="24"/>
      <c r="P93" s="24"/>
      <c r="Q93" s="24"/>
      <c r="R93" s="24"/>
      <c r="S93" s="24"/>
      <c r="T93" s="24"/>
      <c r="U93" s="24"/>
      <c r="V93" s="24"/>
      <c r="W93" s="24"/>
      <c r="X93" s="24"/>
      <c r="Y93" s="24"/>
      <c r="Z93" s="24"/>
      <c r="AA93" s="24"/>
      <c r="AB93" s="24"/>
      <c r="AC93" s="24"/>
    </row>
    <row r="94" spans="1:29" ht="13.6">
      <c r="A94" s="263"/>
      <c r="B94" s="264"/>
      <c r="C94" s="263"/>
      <c r="D94" s="265"/>
      <c r="E94" s="281" t="s">
        <v>8620</v>
      </c>
      <c r="F94" s="79"/>
      <c r="G94" s="79"/>
      <c r="H94" s="24"/>
      <c r="I94" s="24"/>
      <c r="J94" s="24"/>
      <c r="K94" s="24"/>
      <c r="L94" s="24"/>
      <c r="M94" s="24"/>
      <c r="N94" s="24"/>
      <c r="O94" s="24"/>
      <c r="P94" s="24"/>
      <c r="Q94" s="24"/>
      <c r="R94" s="24"/>
      <c r="S94" s="24"/>
      <c r="T94" s="24"/>
      <c r="U94" s="24"/>
      <c r="V94" s="24"/>
      <c r="W94" s="24"/>
      <c r="X94" s="24"/>
      <c r="Y94" s="24"/>
      <c r="Z94" s="24"/>
      <c r="AA94" s="24"/>
      <c r="AB94" s="24"/>
      <c r="AC94" s="24"/>
    </row>
    <row r="95" spans="1:29" ht="13.6">
      <c r="A95" s="263"/>
      <c r="B95" s="264"/>
      <c r="C95" s="263"/>
      <c r="D95" s="265"/>
      <c r="E95" s="282" t="s">
        <v>8621</v>
      </c>
      <c r="F95" s="79"/>
      <c r="G95" s="79"/>
      <c r="H95" s="24"/>
      <c r="I95" s="24"/>
      <c r="J95" s="24"/>
      <c r="K95" s="24"/>
      <c r="L95" s="24"/>
      <c r="M95" s="24"/>
      <c r="N95" s="24"/>
      <c r="O95" s="24"/>
      <c r="P95" s="24"/>
      <c r="Q95" s="24"/>
      <c r="R95" s="24"/>
      <c r="S95" s="24"/>
      <c r="T95" s="24"/>
      <c r="U95" s="24"/>
      <c r="V95" s="24"/>
      <c r="W95" s="24"/>
      <c r="X95" s="24"/>
      <c r="Y95" s="24"/>
      <c r="Z95" s="24"/>
      <c r="AA95" s="24"/>
      <c r="AB95" s="24"/>
      <c r="AC95" s="24"/>
    </row>
    <row r="96" spans="1:29" ht="230.95">
      <c r="A96" s="263">
        <v>14</v>
      </c>
      <c r="B96" s="264"/>
      <c r="C96" s="263" t="s">
        <v>8622</v>
      </c>
      <c r="D96" s="265" t="s">
        <v>8623</v>
      </c>
      <c r="E96" s="265" t="s">
        <v>8624</v>
      </c>
      <c r="F96" s="43"/>
      <c r="G96" s="45" t="b">
        <f>IF(AND(F96="Meet the requirements traceability “out of the box”"), 10, IF(AND(F96="Can meet the requirements traceability with configuration or through the use of another commercial product “out of the box” or other arrangement as part of the service offering quoted (i.e. at no additional cost)"), 8, IF(AND(F96="Can meet the requirements traceability with customization at additional cost"), 3, IF(AND(F96="Cannot meet the requirements traceability requirement"), 0))))</f>
        <v>0</v>
      </c>
      <c r="H96" s="24"/>
      <c r="I96" s="24"/>
      <c r="J96" s="24"/>
      <c r="K96" s="24"/>
      <c r="L96" s="24"/>
      <c r="M96" s="24"/>
      <c r="N96" s="24"/>
      <c r="O96" s="24"/>
      <c r="P96" s="24"/>
      <c r="Q96" s="24"/>
      <c r="R96" s="24"/>
      <c r="S96" s="24"/>
      <c r="T96" s="24"/>
      <c r="U96" s="24"/>
      <c r="V96" s="24"/>
      <c r="W96" s="24"/>
      <c r="X96" s="24"/>
      <c r="Y96" s="24"/>
      <c r="Z96" s="24"/>
      <c r="AA96" s="24"/>
      <c r="AB96" s="24"/>
      <c r="AC96" s="24"/>
    </row>
    <row r="97" spans="1:29" ht="13.6">
      <c r="A97" s="263"/>
      <c r="B97" s="264"/>
      <c r="C97" s="263"/>
      <c r="D97" s="265"/>
      <c r="E97" s="281" t="s">
        <v>8625</v>
      </c>
      <c r="F97" s="79"/>
      <c r="G97" s="79"/>
      <c r="H97" s="24"/>
      <c r="I97" s="24"/>
      <c r="J97" s="24"/>
      <c r="K97" s="24"/>
      <c r="L97" s="24"/>
      <c r="M97" s="24"/>
      <c r="N97" s="24"/>
      <c r="O97" s="24"/>
      <c r="P97" s="24"/>
      <c r="Q97" s="24"/>
      <c r="R97" s="24"/>
      <c r="S97" s="24"/>
      <c r="T97" s="24"/>
      <c r="U97" s="24"/>
      <c r="V97" s="24"/>
      <c r="W97" s="24"/>
      <c r="X97" s="24"/>
      <c r="Y97" s="24"/>
      <c r="Z97" s="24"/>
      <c r="AA97" s="24"/>
      <c r="AB97" s="24"/>
      <c r="AC97" s="24"/>
    </row>
    <row r="98" spans="1:29" ht="13.6">
      <c r="A98" s="263"/>
      <c r="B98" s="264"/>
      <c r="C98" s="263"/>
      <c r="D98" s="265"/>
      <c r="E98" s="281" t="s">
        <v>8626</v>
      </c>
      <c r="F98" s="79"/>
      <c r="G98" s="79"/>
      <c r="H98" s="24"/>
      <c r="I98" s="24"/>
      <c r="J98" s="24"/>
      <c r="K98" s="24"/>
      <c r="L98" s="24"/>
      <c r="M98" s="24"/>
      <c r="N98" s="24"/>
      <c r="O98" s="24"/>
      <c r="P98" s="24"/>
      <c r="Q98" s="24"/>
      <c r="R98" s="24"/>
      <c r="S98" s="24"/>
      <c r="T98" s="24"/>
      <c r="U98" s="24"/>
      <c r="V98" s="24"/>
      <c r="W98" s="24"/>
      <c r="X98" s="24"/>
      <c r="Y98" s="24"/>
      <c r="Z98" s="24"/>
      <c r="AA98" s="24"/>
      <c r="AB98" s="24"/>
      <c r="AC98" s="24"/>
    </row>
    <row r="99" spans="1:29" ht="13.6">
      <c r="A99" s="263"/>
      <c r="B99" s="264"/>
      <c r="C99" s="263"/>
      <c r="D99" s="265"/>
      <c r="E99" s="281" t="s">
        <v>8611</v>
      </c>
      <c r="F99" s="79"/>
      <c r="G99" s="79"/>
      <c r="H99" s="24"/>
      <c r="I99" s="24"/>
      <c r="J99" s="24"/>
      <c r="K99" s="24"/>
      <c r="L99" s="24"/>
      <c r="M99" s="24"/>
      <c r="N99" s="24"/>
      <c r="O99" s="24"/>
      <c r="P99" s="24"/>
      <c r="Q99" s="24"/>
      <c r="R99" s="24"/>
      <c r="S99" s="24"/>
      <c r="T99" s="24"/>
      <c r="U99" s="24"/>
      <c r="V99" s="24"/>
      <c r="W99" s="24"/>
      <c r="X99" s="24"/>
      <c r="Y99" s="24"/>
      <c r="Z99" s="24"/>
      <c r="AA99" s="24"/>
      <c r="AB99" s="24"/>
      <c r="AC99" s="24"/>
    </row>
    <row r="100" spans="1:29" ht="13.6">
      <c r="A100" s="263"/>
      <c r="B100" s="264"/>
      <c r="C100" s="263"/>
      <c r="D100" s="265"/>
      <c r="E100" s="281" t="s">
        <v>8627</v>
      </c>
      <c r="F100" s="79"/>
      <c r="G100" s="79"/>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3.6">
      <c r="A101" s="263"/>
      <c r="B101" s="264"/>
      <c r="C101" s="263"/>
      <c r="D101" s="265"/>
      <c r="E101" s="281" t="s">
        <v>8628</v>
      </c>
      <c r="F101" s="79"/>
      <c r="G101" s="79"/>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3.6">
      <c r="A102" s="263"/>
      <c r="B102" s="264"/>
      <c r="C102" s="263"/>
      <c r="D102" s="265"/>
      <c r="E102" s="281" t="s">
        <v>8629</v>
      </c>
      <c r="F102" s="79"/>
      <c r="G102" s="79"/>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22.3">
      <c r="A103" s="263">
        <v>15</v>
      </c>
      <c r="B103" s="264"/>
      <c r="C103" s="263" t="s">
        <v>8630</v>
      </c>
      <c r="D103" s="265" t="s">
        <v>8631</v>
      </c>
      <c r="E103" s="265" t="s">
        <v>8632</v>
      </c>
      <c r="F103" s="43"/>
      <c r="G103" s="45" t="b">
        <f>IF(AND(F103="Meet the requirements traceability “out of the box”"), 10, IF(AND(F103="Can meet the requirements traceability with configuration or through the use of another commercial product “out of the box” or other arrangement as part of the service offering quoted (i.e. at no additional cost)"), 8, IF(AND(F103="Can meet the requirements traceability with customization at additional cost"), 3, IF(AND(F103="Cannot meet the requirements traceability requirement"), 0))))</f>
        <v>0</v>
      </c>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3.6">
      <c r="A104" s="263"/>
      <c r="B104" s="264"/>
      <c r="C104" s="263"/>
      <c r="D104" s="265"/>
      <c r="E104" s="281" t="s">
        <v>8626</v>
      </c>
      <c r="F104" s="79"/>
      <c r="G104" s="79"/>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3.6">
      <c r="A105" s="263"/>
      <c r="B105" s="264"/>
      <c r="C105" s="263"/>
      <c r="D105" s="265"/>
      <c r="E105" s="281" t="s">
        <v>8633</v>
      </c>
      <c r="F105" s="79"/>
      <c r="G105" s="79"/>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3.6">
      <c r="A106" s="263"/>
      <c r="B106" s="264"/>
      <c r="C106" s="263"/>
      <c r="D106" s="265"/>
      <c r="E106" s="281" t="s">
        <v>8634</v>
      </c>
      <c r="F106" s="79"/>
      <c r="G106" s="79"/>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3.6">
      <c r="A107" s="263"/>
      <c r="B107" s="264"/>
      <c r="C107" s="263"/>
      <c r="D107" s="265"/>
      <c r="E107" s="281" t="s">
        <v>8635</v>
      </c>
      <c r="F107" s="79"/>
      <c r="G107" s="79"/>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3.6">
      <c r="A108" s="263"/>
      <c r="B108" s="264"/>
      <c r="C108" s="263"/>
      <c r="D108" s="265"/>
      <c r="E108" s="281" t="s">
        <v>8636</v>
      </c>
      <c r="F108" s="79"/>
      <c r="G108" s="79"/>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3.6">
      <c r="A109" s="263"/>
      <c r="B109" s="264"/>
      <c r="C109" s="263"/>
      <c r="D109" s="265"/>
      <c r="E109" s="281" t="s">
        <v>8629</v>
      </c>
      <c r="F109" s="79"/>
      <c r="G109" s="79"/>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67.95">
      <c r="A110" s="263">
        <v>16</v>
      </c>
      <c r="B110" s="264"/>
      <c r="C110" s="263" t="s">
        <v>2322</v>
      </c>
      <c r="D110" s="265" t="s">
        <v>8637</v>
      </c>
      <c r="E110" s="265" t="s">
        <v>8638</v>
      </c>
      <c r="F110" s="43"/>
      <c r="G110" s="45" t="b">
        <f>IF(AND(F110="Meet the requirements traceability “out of the box”"), 10, IF(AND(F110="Can meet the requirements traceability with configuration or through the use of another commercial product “out of the box” or other arrangement as part of the service offering quoted (i.e. at no additional cost)"), 8, IF(AND(F110="Can meet the requirements traceability with customization at additional cost"), 3, IF(AND(F110="Cannot meet the requirements traceability requirement"), 0))))</f>
        <v>0</v>
      </c>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3.6">
      <c r="A111" s="263"/>
      <c r="B111" s="264"/>
      <c r="C111" s="263"/>
      <c r="D111" s="265"/>
      <c r="E111" s="281" t="s">
        <v>8639</v>
      </c>
      <c r="F111" s="79"/>
      <c r="G111" s="79"/>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3.6">
      <c r="A112" s="263"/>
      <c r="B112" s="264"/>
      <c r="C112" s="263"/>
      <c r="D112" s="265"/>
      <c r="E112" s="281" t="s">
        <v>8640</v>
      </c>
      <c r="F112" s="79"/>
      <c r="G112" s="79"/>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3.6">
      <c r="A113" s="263"/>
      <c r="B113" s="264"/>
      <c r="C113" s="263"/>
      <c r="D113" s="265"/>
      <c r="E113" s="281" t="s">
        <v>8641</v>
      </c>
      <c r="F113" s="79"/>
      <c r="G113" s="79"/>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49.44999999999999">
      <c r="A114" s="263">
        <v>17</v>
      </c>
      <c r="B114" s="264"/>
      <c r="C114" s="263" t="s">
        <v>8642</v>
      </c>
      <c r="D114" s="265" t="s">
        <v>8643</v>
      </c>
      <c r="E114" s="265" t="s">
        <v>8644</v>
      </c>
      <c r="F114" s="43"/>
      <c r="G114" s="45" t="b">
        <f>IF(AND(F114="Meet the requirements traceability “out of the box”"), 10, IF(AND(F114="Can meet the requirements traceability with configuration or through the use of another commercial product “out of the box” or other arrangement as part of the service offering quoted (i.e. at no additional cost)"), 8, IF(AND(F114="Can meet the requirements traceability with customization at additional cost"), 3, IF(AND(F114="Cannot meet the requirements traceability requirement"), 0))))</f>
        <v>0</v>
      </c>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3.6">
      <c r="A115" s="263"/>
      <c r="B115" s="264"/>
      <c r="C115" s="263"/>
      <c r="D115" s="265"/>
      <c r="E115" s="281" t="s">
        <v>8645</v>
      </c>
      <c r="F115" s="79"/>
      <c r="G115" s="79"/>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3.6">
      <c r="A116" s="263"/>
      <c r="B116" s="264"/>
      <c r="C116" s="263"/>
      <c r="D116" s="265"/>
      <c r="E116" s="281" t="s">
        <v>8646</v>
      </c>
      <c r="F116" s="79"/>
      <c r="G116" s="79"/>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3.6">
      <c r="A117" s="263"/>
      <c r="B117" s="264"/>
      <c r="C117" s="263"/>
      <c r="D117" s="265"/>
      <c r="E117" s="281" t="s">
        <v>8647</v>
      </c>
      <c r="F117" s="79"/>
      <c r="G117" s="79"/>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3.6">
      <c r="A118" s="263"/>
      <c r="B118" s="264"/>
      <c r="C118" s="263"/>
      <c r="D118" s="265"/>
      <c r="E118" s="281" t="s">
        <v>8648</v>
      </c>
      <c r="F118" s="79"/>
      <c r="G118" s="79"/>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3.6">
      <c r="A119" s="263"/>
      <c r="B119" s="264"/>
      <c r="C119" s="263"/>
      <c r="D119" s="265"/>
      <c r="E119" s="281" t="s">
        <v>8649</v>
      </c>
      <c r="F119" s="79"/>
      <c r="G119" s="79"/>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3.6">
      <c r="A120" s="263"/>
      <c r="B120" s="264"/>
      <c r="C120" s="263"/>
      <c r="D120" s="265"/>
      <c r="E120" s="281" t="s">
        <v>8650</v>
      </c>
      <c r="F120" s="79"/>
      <c r="G120" s="79"/>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3.6">
      <c r="A121" s="263"/>
      <c r="B121" s="264"/>
      <c r="C121" s="263"/>
      <c r="D121" s="265"/>
      <c r="E121" s="281" t="s">
        <v>8651</v>
      </c>
      <c r="F121" s="79"/>
      <c r="G121" s="79"/>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3.6">
      <c r="A122" s="263"/>
      <c r="B122" s="264"/>
      <c r="C122" s="263"/>
      <c r="D122" s="265"/>
      <c r="E122" s="281" t="s">
        <v>8652</v>
      </c>
      <c r="F122" s="79"/>
      <c r="G122" s="79"/>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3.6">
      <c r="A123" s="263"/>
      <c r="B123" s="264"/>
      <c r="C123" s="263"/>
      <c r="D123" s="265"/>
      <c r="E123" s="281" t="s">
        <v>8653</v>
      </c>
      <c r="F123" s="79"/>
      <c r="G123" s="79"/>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3.6">
      <c r="A124" s="263"/>
      <c r="B124" s="264"/>
      <c r="C124" s="263"/>
      <c r="D124" s="265"/>
      <c r="E124" s="281" t="s">
        <v>8654</v>
      </c>
      <c r="F124" s="79"/>
      <c r="G124" s="79"/>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40.75">
      <c r="A125" s="263">
        <v>18</v>
      </c>
      <c r="B125" s="264"/>
      <c r="C125" s="263" t="s">
        <v>8655</v>
      </c>
      <c r="D125" s="265" t="s">
        <v>8656</v>
      </c>
      <c r="E125" s="265" t="s">
        <v>8657</v>
      </c>
      <c r="F125" s="43"/>
      <c r="G125" s="45" t="b">
        <f>IF(AND(F125="Meet the requirements traceability “out of the box”"), 10, IF(AND(F125="Can meet the requirements traceability with configuration or through the use of another commercial product “out of the box” or other arrangement as part of the service offering quoted (i.e. at no additional cost)"), 8, IF(AND(F125="Can meet the requirements traceability with customization at additional cost"), 3, IF(AND(F125="Cannot meet the requirements traceability requirement"), 0))))</f>
        <v>0</v>
      </c>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3.6">
      <c r="A126" s="263"/>
      <c r="B126" s="264"/>
      <c r="C126" s="263"/>
      <c r="D126" s="265"/>
      <c r="E126" s="281" t="s">
        <v>8658</v>
      </c>
      <c r="F126" s="79"/>
      <c r="G126" s="79"/>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3.6">
      <c r="A127" s="263"/>
      <c r="B127" s="264"/>
      <c r="C127" s="263"/>
      <c r="D127" s="265"/>
      <c r="E127" s="281" t="s">
        <v>8659</v>
      </c>
      <c r="F127" s="79"/>
      <c r="G127" s="79"/>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67.95">
      <c r="A128" s="263">
        <v>19</v>
      </c>
      <c r="B128" s="264"/>
      <c r="C128" s="263" t="s">
        <v>8660</v>
      </c>
      <c r="D128" s="265" t="s">
        <v>8661</v>
      </c>
      <c r="E128" s="265" t="s">
        <v>8662</v>
      </c>
      <c r="F128" s="43"/>
      <c r="G128" s="45" t="b">
        <f>IF(AND(F128="Meet the requirements traceability “out of the box”"), 10, IF(AND(F128="Can meet the requirements traceability with configuration or through the use of another commercial product “out of the box” or other arrangement as part of the service offering quoted (i.e. at no additional cost)"), 8, IF(AND(F128="Can meet the requirements traceability with customization at additional cost"), 3, IF(AND(F128="Cannot meet the requirements traceability requirement"), 0))))</f>
        <v>0</v>
      </c>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3.6">
      <c r="A129" s="263"/>
      <c r="B129" s="264"/>
      <c r="C129" s="263"/>
      <c r="D129" s="265"/>
      <c r="E129" s="281" t="s">
        <v>8571</v>
      </c>
      <c r="F129" s="79"/>
      <c r="G129" s="79"/>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3.6">
      <c r="A130" s="263"/>
      <c r="B130" s="264"/>
      <c r="C130" s="263"/>
      <c r="D130" s="265"/>
      <c r="E130" s="281" t="s">
        <v>8663</v>
      </c>
      <c r="F130" s="79"/>
      <c r="G130" s="79"/>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08.7">
      <c r="A131" s="263">
        <v>20</v>
      </c>
      <c r="B131" s="264"/>
      <c r="C131" s="263" t="s">
        <v>8664</v>
      </c>
      <c r="D131" s="265" t="s">
        <v>8665</v>
      </c>
      <c r="E131" s="265" t="s">
        <v>8666</v>
      </c>
      <c r="F131" s="43"/>
      <c r="G131" s="45" t="b">
        <f>IF(AND(F131="Meet the requirements traceability “out of the box”"), 10, IF(AND(F131="Can meet the requirements traceability with configuration or through the use of another commercial product “out of the box” or other arrangement as part of the service offering quoted (i.e. at no additional cost)"), 8, IF(AND(F131="Can meet the requirements traceability with customization at additional cost"), 3, IF(AND(F131="Cannot meet the requirements traceability requirement"), 0))))</f>
        <v>0</v>
      </c>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3.6">
      <c r="A132" s="263"/>
      <c r="B132" s="264"/>
      <c r="C132" s="263"/>
      <c r="D132" s="265"/>
      <c r="E132" s="281" t="s">
        <v>8667</v>
      </c>
      <c r="F132" s="79"/>
      <c r="G132" s="79"/>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3.6">
      <c r="A133" s="263"/>
      <c r="B133" s="264"/>
      <c r="C133" s="263"/>
      <c r="D133" s="265"/>
      <c r="E133" s="281" t="s">
        <v>8668</v>
      </c>
      <c r="F133" s="79"/>
      <c r="G133" s="79"/>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3.6">
      <c r="A134" s="263"/>
      <c r="B134" s="264"/>
      <c r="C134" s="263"/>
      <c r="D134" s="265"/>
      <c r="E134" s="281" t="s">
        <v>8625</v>
      </c>
      <c r="F134" s="79"/>
      <c r="G134" s="79"/>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3.6">
      <c r="A135" s="263"/>
      <c r="B135" s="264"/>
      <c r="C135" s="263"/>
      <c r="D135" s="265"/>
      <c r="E135" s="281" t="s">
        <v>8669</v>
      </c>
      <c r="F135" s="79"/>
      <c r="G135" s="79"/>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3.6">
      <c r="A136" s="263"/>
      <c r="B136" s="264"/>
      <c r="C136" s="263"/>
      <c r="D136" s="265"/>
      <c r="E136" s="281" t="s">
        <v>8670</v>
      </c>
      <c r="F136" s="79"/>
      <c r="G136" s="79"/>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3.6">
      <c r="A137" s="263"/>
      <c r="B137" s="264"/>
      <c r="C137" s="263"/>
      <c r="D137" s="265"/>
      <c r="E137" s="281" t="s">
        <v>8671</v>
      </c>
      <c r="F137" s="79"/>
      <c r="G137" s="79"/>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3.6">
      <c r="A138" s="263"/>
      <c r="B138" s="264"/>
      <c r="C138" s="263"/>
      <c r="D138" s="265"/>
      <c r="E138" s="281" t="s">
        <v>8672</v>
      </c>
      <c r="F138" s="79"/>
      <c r="G138" s="79"/>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3.6">
      <c r="A139" s="263"/>
      <c r="B139" s="264"/>
      <c r="C139" s="263"/>
      <c r="D139" s="265"/>
      <c r="E139" s="281" t="s">
        <v>8673</v>
      </c>
      <c r="F139" s="79"/>
      <c r="G139" s="79"/>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67.95">
      <c r="A140" s="263">
        <v>21</v>
      </c>
      <c r="B140" s="264"/>
      <c r="C140" s="263" t="s">
        <v>8674</v>
      </c>
      <c r="D140" s="265" t="s">
        <v>8675</v>
      </c>
      <c r="E140" s="265" t="s">
        <v>8676</v>
      </c>
      <c r="F140" s="43"/>
      <c r="G140" s="45" t="b">
        <f>IF(AND(F140="Meet the requirements traceability “out of the box”"), 10, IF(AND(F140="Can meet the requirements traceability with configuration or through the use of another commercial product “out of the box” or other arrangement as part of the service offering quoted (i.e. at no additional cost)"), 8, IF(AND(F140="Can meet the requirements traceability with customization at additional cost"), 3, IF(AND(F140="Cannot meet the requirements traceability requirement"), 0))))</f>
        <v>0</v>
      </c>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3.6">
      <c r="A141" s="263"/>
      <c r="B141" s="264"/>
      <c r="C141" s="263"/>
      <c r="D141" s="265"/>
      <c r="E141" s="281" t="s">
        <v>8677</v>
      </c>
      <c r="F141" s="79"/>
      <c r="G141" s="79"/>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3.6">
      <c r="A142" s="263"/>
      <c r="B142" s="264"/>
      <c r="C142" s="263"/>
      <c r="D142" s="265"/>
      <c r="E142" s="281" t="s">
        <v>8678</v>
      </c>
      <c r="F142" s="79"/>
      <c r="G142" s="79"/>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3.6">
      <c r="A143" s="263"/>
      <c r="B143" s="264"/>
      <c r="C143" s="263"/>
      <c r="D143" s="265"/>
      <c r="E143" s="281" t="s">
        <v>8679</v>
      </c>
      <c r="F143" s="79"/>
      <c r="G143" s="79"/>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3.6">
      <c r="A144" s="263"/>
      <c r="B144" s="264"/>
      <c r="C144" s="263"/>
      <c r="D144" s="265"/>
      <c r="E144" s="281" t="s">
        <v>8680</v>
      </c>
      <c r="F144" s="79"/>
      <c r="G144" s="79"/>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3.6">
      <c r="A145" s="263"/>
      <c r="B145" s="264"/>
      <c r="C145" s="263"/>
      <c r="D145" s="265"/>
      <c r="E145" s="281" t="s">
        <v>8681</v>
      </c>
      <c r="F145" s="79"/>
      <c r="G145" s="79"/>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54.35">
      <c r="A146" s="263">
        <v>22</v>
      </c>
      <c r="B146" s="264"/>
      <c r="C146" s="263" t="s">
        <v>8682</v>
      </c>
      <c r="D146" s="265" t="s">
        <v>8683</v>
      </c>
      <c r="E146" s="265" t="s">
        <v>8684</v>
      </c>
      <c r="F146" s="43"/>
      <c r="G146" s="45" t="b">
        <f>IF(AND(F146="Meet the requirements traceability “out of the box”"), 10, IF(AND(F146="Can meet the requirements traceability with configuration or through the use of another commercial product “out of the box” or other arrangement as part of the service offering quoted (i.e. at no additional cost)"), 8, IF(AND(F146="Can meet the requirements traceability with customization at additional cost"), 3, IF(AND(F146="Cannot meet the requirements traceability requirement"), 0))))</f>
        <v>0</v>
      </c>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3.6">
      <c r="A147" s="263"/>
      <c r="B147" s="264"/>
      <c r="C147" s="263"/>
      <c r="D147" s="265"/>
      <c r="E147" s="281" t="s">
        <v>8685</v>
      </c>
      <c r="F147" s="79"/>
      <c r="G147" s="79"/>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3.6">
      <c r="A148" s="263"/>
      <c r="B148" s="264"/>
      <c r="C148" s="263"/>
      <c r="D148" s="265"/>
      <c r="E148" s="281" t="s">
        <v>8686</v>
      </c>
      <c r="F148" s="79"/>
      <c r="G148" s="79"/>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3.6">
      <c r="A149" s="263"/>
      <c r="B149" s="264"/>
      <c r="C149" s="263"/>
      <c r="D149" s="265"/>
      <c r="E149" s="281" t="s">
        <v>8687</v>
      </c>
      <c r="F149" s="79"/>
      <c r="G149" s="79"/>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3.6">
      <c r="A150" s="263"/>
      <c r="B150" s="264"/>
      <c r="C150" s="263"/>
      <c r="D150" s="265"/>
      <c r="E150" s="281" t="s">
        <v>8688</v>
      </c>
      <c r="F150" s="79"/>
      <c r="G150" s="79"/>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90.2">
      <c r="A151" s="263">
        <v>23</v>
      </c>
      <c r="B151" s="264"/>
      <c r="C151" s="263" t="s">
        <v>8689</v>
      </c>
      <c r="D151" s="265" t="s">
        <v>8690</v>
      </c>
      <c r="E151" s="265" t="s">
        <v>8691</v>
      </c>
      <c r="F151" s="43"/>
      <c r="G151" s="45" t="b">
        <f>IF(AND(F151="Meet the requirements traceability “out of the box”"), 10, IF(AND(F151="Can meet the requirements traceability with configuration or through the use of another commercial product “out of the box” or other arrangement as part of the service offering quoted (i.e. at no additional cost)"), 8, IF(AND(F151="Can meet the requirements traceability with customization at additional cost"), 3, IF(AND(F151="Cannot meet the requirements traceability requirement"), 0))))</f>
        <v>0</v>
      </c>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3.6">
      <c r="A152" s="264"/>
      <c r="B152" s="263"/>
      <c r="C152" s="263"/>
      <c r="D152" s="266"/>
      <c r="E152" s="281" t="s">
        <v>8692</v>
      </c>
      <c r="F152" s="79"/>
      <c r="G152" s="79"/>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3.6">
      <c r="A153" s="264"/>
      <c r="B153" s="263"/>
      <c r="C153" s="263"/>
      <c r="D153" s="266"/>
      <c r="E153" s="281" t="s">
        <v>8693</v>
      </c>
      <c r="F153" s="79"/>
      <c r="G153" s="79"/>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3.6">
      <c r="A154" s="264"/>
      <c r="B154" s="263"/>
      <c r="C154" s="263"/>
      <c r="D154" s="266"/>
      <c r="E154" s="281" t="s">
        <v>8694</v>
      </c>
      <c r="F154" s="79"/>
      <c r="G154" s="79"/>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3.6">
      <c r="A155" s="264"/>
      <c r="B155" s="263"/>
      <c r="C155" s="263"/>
      <c r="D155" s="266"/>
      <c r="E155" s="281" t="s">
        <v>8695</v>
      </c>
      <c r="F155" s="79"/>
      <c r="G155" s="79"/>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3.6">
      <c r="A156" s="264"/>
      <c r="B156" s="263" t="s">
        <v>8696</v>
      </c>
      <c r="C156" s="263" t="s">
        <v>8689</v>
      </c>
      <c r="D156" s="266"/>
      <c r="E156" s="266"/>
      <c r="F156" s="79"/>
      <c r="G156" s="79"/>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95.1">
      <c r="A157" s="264"/>
      <c r="B157" s="263" t="s">
        <v>8697</v>
      </c>
      <c r="C157" s="263" t="s">
        <v>8698</v>
      </c>
      <c r="D157" s="265" t="s">
        <v>8699</v>
      </c>
      <c r="E157" s="265" t="s">
        <v>8700</v>
      </c>
      <c r="F157" s="79"/>
      <c r="G157" s="79"/>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3.6">
      <c r="A158" s="283"/>
      <c r="B158" s="284"/>
      <c r="C158" s="284"/>
      <c r="D158" s="285"/>
      <c r="E158" s="281" t="s">
        <v>8701</v>
      </c>
      <c r="F158" s="79"/>
      <c r="G158" s="79"/>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3.6">
      <c r="A159" s="283"/>
      <c r="B159" s="284"/>
      <c r="C159" s="284"/>
      <c r="D159" s="285"/>
      <c r="E159" s="281" t="s">
        <v>8702</v>
      </c>
      <c r="F159" s="79"/>
      <c r="G159" s="79"/>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3.6">
      <c r="A160" s="283"/>
      <c r="B160" s="284" t="s">
        <v>8703</v>
      </c>
      <c r="C160" s="284" t="s">
        <v>8704</v>
      </c>
      <c r="D160" s="285" t="s">
        <v>8705</v>
      </c>
      <c r="E160" s="266"/>
      <c r="F160" s="79"/>
      <c r="G160" s="79"/>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49.44999999999999">
      <c r="A161" s="263">
        <v>24</v>
      </c>
      <c r="B161" s="264"/>
      <c r="C161" s="263" t="s">
        <v>8706</v>
      </c>
      <c r="D161" s="265" t="s">
        <v>8707</v>
      </c>
      <c r="E161" s="265" t="s">
        <v>8708</v>
      </c>
      <c r="F161" s="43"/>
      <c r="G161" s="45" t="b">
        <f>IF(AND(F161="Meet the requirements traceability “out of the box”"), 10, IF(AND(F161="Can meet the requirements traceability with configuration or through the use of another commercial product “out of the box” or other arrangement as part of the service offering quoted (i.e. at no additional cost)"), 8, IF(AND(F161="Can meet the requirements traceability with customization at additional cost"), 3, IF(AND(F161="Cannot meet the requirements traceability requirement"), 0))))</f>
        <v>0</v>
      </c>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3.6">
      <c r="A162" s="263"/>
      <c r="B162" s="264"/>
      <c r="C162" s="263"/>
      <c r="D162" s="265"/>
      <c r="E162" s="282" t="s">
        <v>8709</v>
      </c>
      <c r="F162" s="79"/>
      <c r="G162" s="79"/>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40.75">
      <c r="A163" s="263">
        <v>25</v>
      </c>
      <c r="B163" s="264"/>
      <c r="C163" s="263" t="s">
        <v>8710</v>
      </c>
      <c r="D163" s="265" t="s">
        <v>8711</v>
      </c>
      <c r="E163" s="265" t="s">
        <v>8712</v>
      </c>
      <c r="F163" s="43"/>
      <c r="G163" s="45" t="b">
        <f>IF(AND(F163="Meet the requirements traceability “out of the box”"), 10, IF(AND(F163="Can meet the requirements traceability with configuration or through the use of another commercial product “out of the box” or other arrangement as part of the service offering quoted (i.e. at no additional cost)"), 8, IF(AND(F163="Can meet the requirements traceability with customization at additional cost"), 3, IF(AND(F163="Cannot meet the requirements traceability requirement"), 0))))</f>
        <v>0</v>
      </c>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3.6">
      <c r="A164" s="263"/>
      <c r="B164" s="264"/>
      <c r="C164" s="263"/>
      <c r="D164" s="265"/>
      <c r="E164" s="282" t="s">
        <v>8713</v>
      </c>
      <c r="F164" s="79"/>
      <c r="G164" s="79"/>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3.6">
      <c r="A165" s="263"/>
      <c r="B165" s="264"/>
      <c r="C165" s="263"/>
      <c r="D165" s="265"/>
      <c r="E165" s="281" t="s">
        <v>8714</v>
      </c>
      <c r="F165" s="79"/>
      <c r="G165" s="79"/>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54.35">
      <c r="A166" s="263">
        <v>26</v>
      </c>
      <c r="B166" s="264"/>
      <c r="C166" s="263" t="s">
        <v>8715</v>
      </c>
      <c r="D166" s="265" t="s">
        <v>8716</v>
      </c>
      <c r="E166" s="265" t="s">
        <v>8717</v>
      </c>
      <c r="F166" s="43"/>
      <c r="G166" s="45" t="b">
        <f>IF(AND(F166="Meet the requirements traceability “out of the box”"), 10, IF(AND(F166="Can meet the requirements traceability with configuration or through the use of another commercial product “out of the box” or other arrangement as part of the service offering quoted (i.e. at no additional cost)"), 8, IF(AND(F166="Can meet the requirements traceability with customization at additional cost"), 3, IF(AND(F166="Cannot meet the requirements traceability requirement"), 0))))</f>
        <v>0</v>
      </c>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3.6">
      <c r="A167" s="263"/>
      <c r="B167" s="264"/>
      <c r="C167" s="263"/>
      <c r="D167" s="265"/>
      <c r="E167" s="281" t="s">
        <v>8718</v>
      </c>
      <c r="F167" s="79"/>
      <c r="G167" s="79"/>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3.6">
      <c r="A168" s="263"/>
      <c r="B168" s="264"/>
      <c r="C168" s="263"/>
      <c r="D168" s="265"/>
      <c r="E168" s="281" t="s">
        <v>8719</v>
      </c>
      <c r="F168" s="79"/>
      <c r="G168" s="79"/>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81.55">
      <c r="A169" s="263">
        <v>27</v>
      </c>
      <c r="B169" s="264"/>
      <c r="C169" s="263" t="s">
        <v>8720</v>
      </c>
      <c r="D169" s="265" t="s">
        <v>8721</v>
      </c>
      <c r="E169" s="265" t="s">
        <v>8722</v>
      </c>
      <c r="F169" s="43"/>
      <c r="G169" s="45" t="b">
        <f>IF(AND(F169="Meet the requirements traceability “out of the box”"), 10, IF(AND(F169="Can meet the requirements traceability with configuration or through the use of another commercial product “out of the box” or other arrangement as part of the service offering quoted (i.e. at no additional cost)"), 8, IF(AND(F169="Can meet the requirements traceability with customization at additional cost"), 3, IF(AND(F169="Cannot meet the requirements traceability requirement"), 0))))</f>
        <v>0</v>
      </c>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3.6">
      <c r="A170" s="263"/>
      <c r="B170" s="264"/>
      <c r="C170" s="263"/>
      <c r="D170" s="265"/>
      <c r="E170" s="282" t="s">
        <v>8723</v>
      </c>
      <c r="F170" s="79"/>
      <c r="G170" s="79"/>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3.6">
      <c r="A171" s="263"/>
      <c r="B171" s="264"/>
      <c r="C171" s="263"/>
      <c r="D171" s="265"/>
      <c r="E171" s="282" t="s">
        <v>8724</v>
      </c>
      <c r="F171" s="79"/>
      <c r="G171" s="79"/>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3.6">
      <c r="A172" s="263"/>
      <c r="B172" s="264"/>
      <c r="C172" s="263"/>
      <c r="D172" s="265"/>
      <c r="E172" s="282" t="s">
        <v>8725</v>
      </c>
      <c r="F172" s="79"/>
      <c r="G172" s="79"/>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54.35">
      <c r="A173" s="263">
        <v>28</v>
      </c>
      <c r="B173" s="264"/>
      <c r="C173" s="263" t="s">
        <v>8726</v>
      </c>
      <c r="D173" s="265" t="s">
        <v>8727</v>
      </c>
      <c r="E173" s="265" t="s">
        <v>8728</v>
      </c>
      <c r="F173" s="43"/>
      <c r="G173" s="45" t="b">
        <f>IF(AND(F173="Meet the requirements traceability “out of the box”"), 10, IF(AND(F173="Can meet the requirements traceability with configuration or through the use of another commercial product “out of the box” or other arrangement as part of the service offering quoted (i.e. at no additional cost)"), 8, IF(AND(F173="Can meet the requirements traceability with customization at additional cost"), 3, IF(AND(F173="Cannot meet the requirements traceability requirement"), 0))))</f>
        <v>0</v>
      </c>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3.6">
      <c r="A174" s="263"/>
      <c r="B174" s="264"/>
      <c r="C174" s="263"/>
      <c r="D174" s="265"/>
      <c r="E174" s="281" t="s">
        <v>8729</v>
      </c>
      <c r="F174" s="79"/>
      <c r="G174" s="79"/>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3.6">
      <c r="A175" s="263"/>
      <c r="B175" s="264"/>
      <c r="C175" s="263"/>
      <c r="D175" s="265"/>
      <c r="E175" s="286" t="s">
        <v>8730</v>
      </c>
      <c r="F175" s="79"/>
      <c r="G175" s="79"/>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81.55">
      <c r="A176" s="263">
        <v>29</v>
      </c>
      <c r="B176" s="264"/>
      <c r="C176" s="263" t="s">
        <v>8731</v>
      </c>
      <c r="D176" s="265" t="s">
        <v>8732</v>
      </c>
      <c r="E176" s="265" t="s">
        <v>8733</v>
      </c>
      <c r="F176" s="43"/>
      <c r="G176" s="45" t="b">
        <f>IF(AND(F176="Meet the requirements traceability “out of the box”"), 10, IF(AND(F176="Can meet the requirements traceability with configuration or through the use of another commercial product “out of the box” or other arrangement as part of the service offering quoted (i.e. at no additional cost)"), 8, IF(AND(F176="Can meet the requirements traceability with customization at additional cost"), 3, IF(AND(F176="Cannot meet the requirements traceability requirement"), 0))))</f>
        <v>0</v>
      </c>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1:29" ht="13.6">
      <c r="A177" s="263"/>
      <c r="B177" s="264"/>
      <c r="C177" s="263"/>
      <c r="D177" s="265"/>
      <c r="E177" s="282" t="s">
        <v>8734</v>
      </c>
      <c r="F177" s="79"/>
      <c r="G177" s="79"/>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spans="1:29" ht="13.6">
      <c r="A178" s="263"/>
      <c r="B178" s="264"/>
      <c r="C178" s="263"/>
      <c r="D178" s="265"/>
      <c r="E178" s="282" t="s">
        <v>8735</v>
      </c>
      <c r="F178" s="79"/>
      <c r="G178" s="79"/>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spans="1:29" ht="13.6">
      <c r="A179" s="263"/>
      <c r="B179" s="264"/>
      <c r="C179" s="263"/>
      <c r="D179" s="265"/>
      <c r="E179" s="282" t="s">
        <v>8736</v>
      </c>
      <c r="F179" s="79"/>
      <c r="G179" s="79"/>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spans="1:29" ht="13.6">
      <c r="A180" s="263"/>
      <c r="B180" s="264"/>
      <c r="C180" s="263"/>
      <c r="D180" s="265"/>
      <c r="E180" s="282" t="s">
        <v>8737</v>
      </c>
      <c r="F180" s="79"/>
      <c r="G180" s="79"/>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spans="1:29" ht="95.1">
      <c r="A181" s="263">
        <v>30</v>
      </c>
      <c r="B181" s="264"/>
      <c r="C181" s="263" t="s">
        <v>8738</v>
      </c>
      <c r="D181" s="265" t="s">
        <v>8739</v>
      </c>
      <c r="E181" s="265" t="s">
        <v>8740</v>
      </c>
      <c r="F181" s="43"/>
      <c r="G181" s="45" t="b">
        <f>IF(AND(F181="Meet the requirements traceability “out of the box”"), 10, IF(AND(F181="Can meet the requirements traceability with configuration or through the use of another commercial product “out of the box” or other arrangement as part of the service offering quoted (i.e. at no additional cost)"), 8, IF(AND(F181="Can meet the requirements traceability with customization at additional cost"), 3, IF(AND(F181="Cannot meet the requirements traceability requirement"), 0))))</f>
        <v>0</v>
      </c>
      <c r="H181" s="24"/>
      <c r="I181" s="24"/>
      <c r="J181" s="24"/>
      <c r="K181" s="24"/>
      <c r="L181" s="24"/>
      <c r="M181" s="24"/>
      <c r="N181" s="24"/>
      <c r="O181" s="24"/>
      <c r="P181" s="24"/>
      <c r="Q181" s="24"/>
      <c r="R181" s="24"/>
      <c r="S181" s="24"/>
      <c r="T181" s="24"/>
      <c r="U181" s="24"/>
      <c r="V181" s="24"/>
      <c r="W181" s="24"/>
      <c r="X181" s="24"/>
      <c r="Y181" s="24"/>
      <c r="Z181" s="24"/>
      <c r="AA181" s="24"/>
      <c r="AB181" s="24"/>
      <c r="AC181" s="24"/>
    </row>
    <row r="182" spans="1:29" ht="13.6">
      <c r="A182" s="263"/>
      <c r="B182" s="264"/>
      <c r="C182" s="263"/>
      <c r="D182" s="265"/>
      <c r="E182" s="281" t="s">
        <v>8741</v>
      </c>
      <c r="F182" s="79"/>
      <c r="G182" s="79"/>
      <c r="H182" s="24"/>
      <c r="I182" s="24"/>
      <c r="J182" s="24"/>
      <c r="K182" s="24"/>
      <c r="L182" s="24"/>
      <c r="M182" s="24"/>
      <c r="N182" s="24"/>
      <c r="O182" s="24"/>
      <c r="P182" s="24"/>
      <c r="Q182" s="24"/>
      <c r="R182" s="24"/>
      <c r="S182" s="24"/>
      <c r="T182" s="24"/>
      <c r="U182" s="24"/>
      <c r="V182" s="24"/>
      <c r="W182" s="24"/>
      <c r="X182" s="24"/>
      <c r="Y182" s="24"/>
      <c r="Z182" s="24"/>
      <c r="AA182" s="24"/>
      <c r="AB182" s="24"/>
      <c r="AC182" s="24"/>
    </row>
    <row r="183" spans="1:29" ht="13.6">
      <c r="A183" s="263"/>
      <c r="B183" s="264"/>
      <c r="C183" s="263"/>
      <c r="D183" s="265"/>
      <c r="E183" s="281" t="s">
        <v>8742</v>
      </c>
      <c r="F183" s="79"/>
      <c r="G183" s="79"/>
      <c r="H183" s="24"/>
      <c r="I183" s="24"/>
      <c r="J183" s="24"/>
      <c r="K183" s="24"/>
      <c r="L183" s="24"/>
      <c r="M183" s="24"/>
      <c r="N183" s="24"/>
      <c r="O183" s="24"/>
      <c r="P183" s="24"/>
      <c r="Q183" s="24"/>
      <c r="R183" s="24"/>
      <c r="S183" s="24"/>
      <c r="T183" s="24"/>
      <c r="U183" s="24"/>
      <c r="V183" s="24"/>
      <c r="W183" s="24"/>
      <c r="X183" s="24"/>
      <c r="Y183" s="24"/>
      <c r="Z183" s="24"/>
      <c r="AA183" s="24"/>
      <c r="AB183" s="24"/>
      <c r="AC183" s="24"/>
    </row>
    <row r="184" spans="1:29" ht="13.6">
      <c r="A184" s="263"/>
      <c r="B184" s="264"/>
      <c r="C184" s="263"/>
      <c r="D184" s="265"/>
      <c r="E184" s="281" t="s">
        <v>8743</v>
      </c>
      <c r="F184" s="79"/>
      <c r="G184" s="79"/>
      <c r="H184" s="24"/>
      <c r="I184" s="24"/>
      <c r="J184" s="24"/>
      <c r="K184" s="24"/>
      <c r="L184" s="24"/>
      <c r="M184" s="24"/>
      <c r="N184" s="24"/>
      <c r="O184" s="24"/>
      <c r="P184" s="24"/>
      <c r="Q184" s="24"/>
      <c r="R184" s="24"/>
      <c r="S184" s="24"/>
      <c r="T184" s="24"/>
      <c r="U184" s="24"/>
      <c r="V184" s="24"/>
      <c r="W184" s="24"/>
      <c r="X184" s="24"/>
      <c r="Y184" s="24"/>
      <c r="Z184" s="24"/>
      <c r="AA184" s="24"/>
      <c r="AB184" s="24"/>
      <c r="AC184" s="24"/>
    </row>
    <row r="185" spans="1:29" ht="13.6">
      <c r="A185" s="263"/>
      <c r="B185" s="264"/>
      <c r="C185" s="263"/>
      <c r="D185" s="265"/>
      <c r="E185" s="281" t="s">
        <v>8744</v>
      </c>
      <c r="F185" s="79"/>
      <c r="G185" s="79"/>
      <c r="H185" s="24"/>
      <c r="I185" s="24"/>
      <c r="J185" s="24"/>
      <c r="K185" s="24"/>
      <c r="L185" s="24"/>
      <c r="M185" s="24"/>
      <c r="N185" s="24"/>
      <c r="O185" s="24"/>
      <c r="P185" s="24"/>
      <c r="Q185" s="24"/>
      <c r="R185" s="24"/>
      <c r="S185" s="24"/>
      <c r="T185" s="24"/>
      <c r="U185" s="24"/>
      <c r="V185" s="24"/>
      <c r="W185" s="24"/>
      <c r="X185" s="24"/>
      <c r="Y185" s="24"/>
      <c r="Z185" s="24"/>
      <c r="AA185" s="24"/>
      <c r="AB185" s="24"/>
      <c r="AC185" s="24"/>
    </row>
    <row r="186" spans="1:29" ht="13.6">
      <c r="A186" s="263"/>
      <c r="B186" s="264"/>
      <c r="C186" s="263"/>
      <c r="D186" s="265"/>
      <c r="E186" s="281" t="s">
        <v>8745</v>
      </c>
      <c r="F186" s="79"/>
      <c r="G186" s="79"/>
      <c r="H186" s="24"/>
      <c r="I186" s="24"/>
      <c r="J186" s="24"/>
      <c r="K186" s="24"/>
      <c r="L186" s="24"/>
      <c r="M186" s="24"/>
      <c r="N186" s="24"/>
      <c r="O186" s="24"/>
      <c r="P186" s="24"/>
      <c r="Q186" s="24"/>
      <c r="R186" s="24"/>
      <c r="S186" s="24"/>
      <c r="T186" s="24"/>
      <c r="U186" s="24"/>
      <c r="V186" s="24"/>
      <c r="W186" s="24"/>
      <c r="X186" s="24"/>
      <c r="Y186" s="24"/>
      <c r="Z186" s="24"/>
      <c r="AA186" s="24"/>
      <c r="AB186" s="24"/>
      <c r="AC186" s="24"/>
    </row>
    <row r="187" spans="1:29" ht="13.6">
      <c r="A187" s="263"/>
      <c r="B187" s="264"/>
      <c r="C187" s="263"/>
      <c r="D187" s="265"/>
      <c r="E187" s="281" t="s">
        <v>8746</v>
      </c>
      <c r="F187" s="79"/>
      <c r="G187" s="79"/>
      <c r="H187" s="24"/>
      <c r="I187" s="24"/>
      <c r="J187" s="24"/>
      <c r="K187" s="24"/>
      <c r="L187" s="24"/>
      <c r="M187" s="24"/>
      <c r="N187" s="24"/>
      <c r="O187" s="24"/>
      <c r="P187" s="24"/>
      <c r="Q187" s="24"/>
      <c r="R187" s="24"/>
      <c r="S187" s="24"/>
      <c r="T187" s="24"/>
      <c r="U187" s="24"/>
      <c r="V187" s="24"/>
      <c r="W187" s="24"/>
      <c r="X187" s="24"/>
      <c r="Y187" s="24"/>
      <c r="Z187" s="24"/>
      <c r="AA187" s="24"/>
      <c r="AB187" s="24"/>
      <c r="AC187" s="24"/>
    </row>
    <row r="188" spans="1:29" ht="54.35">
      <c r="A188" s="263">
        <v>31</v>
      </c>
      <c r="B188" s="264"/>
      <c r="C188" s="263" t="s">
        <v>8747</v>
      </c>
      <c r="D188" s="265" t="s">
        <v>8748</v>
      </c>
      <c r="E188" s="265" t="s">
        <v>8749</v>
      </c>
      <c r="F188" s="43"/>
      <c r="G188" s="45" t="b">
        <f>IF(AND(F188="Meet the requirements traceability “out of the box”"), 10, IF(AND(F188="Can meet the requirements traceability with configuration or through the use of another commercial product “out of the box” or other arrangement as part of the service offering quoted (i.e. at no additional cost)"), 8, IF(AND(F188="Can meet the requirements traceability with customization at additional cost"), 3, IF(AND(F188="Cannot meet the requirements traceability requirement"), 0))))</f>
        <v>0</v>
      </c>
      <c r="H188" s="24"/>
      <c r="I188" s="24"/>
      <c r="J188" s="24"/>
      <c r="K188" s="24"/>
      <c r="L188" s="24"/>
      <c r="M188" s="24"/>
      <c r="N188" s="24"/>
      <c r="O188" s="24"/>
      <c r="P188" s="24"/>
      <c r="Q188" s="24"/>
      <c r="R188" s="24"/>
      <c r="S188" s="24"/>
      <c r="T188" s="24"/>
      <c r="U188" s="24"/>
      <c r="V188" s="24"/>
      <c r="W188" s="24"/>
      <c r="X188" s="24"/>
      <c r="Y188" s="24"/>
      <c r="Z188" s="24"/>
      <c r="AA188" s="24"/>
      <c r="AB188" s="24"/>
      <c r="AC188" s="24"/>
    </row>
    <row r="189" spans="1:29" ht="13.6">
      <c r="A189" s="263"/>
      <c r="B189" s="264"/>
      <c r="C189" s="263"/>
      <c r="D189" s="265"/>
      <c r="E189" s="282" t="s">
        <v>8750</v>
      </c>
      <c r="F189" s="79"/>
      <c r="G189" s="79"/>
      <c r="H189" s="24"/>
      <c r="I189" s="24"/>
      <c r="J189" s="24"/>
      <c r="K189" s="24"/>
      <c r="L189" s="24"/>
      <c r="M189" s="24"/>
      <c r="N189" s="24"/>
      <c r="O189" s="24"/>
      <c r="P189" s="24"/>
      <c r="Q189" s="24"/>
      <c r="R189" s="24"/>
      <c r="S189" s="24"/>
      <c r="T189" s="24"/>
      <c r="U189" s="24"/>
      <c r="V189" s="24"/>
      <c r="W189" s="24"/>
      <c r="X189" s="24"/>
      <c r="Y189" s="24"/>
      <c r="Z189" s="24"/>
      <c r="AA189" s="24"/>
      <c r="AB189" s="24"/>
      <c r="AC189" s="24"/>
    </row>
    <row r="190" spans="1:29" ht="13.6">
      <c r="A190" s="263"/>
      <c r="B190" s="264"/>
      <c r="C190" s="263"/>
      <c r="D190" s="265"/>
      <c r="E190" s="282" t="s">
        <v>8751</v>
      </c>
      <c r="F190" s="79"/>
      <c r="G190" s="79"/>
      <c r="H190" s="24"/>
      <c r="I190" s="24"/>
      <c r="J190" s="24"/>
      <c r="K190" s="24"/>
      <c r="L190" s="24"/>
      <c r="M190" s="24"/>
      <c r="N190" s="24"/>
      <c r="O190" s="24"/>
      <c r="P190" s="24"/>
      <c r="Q190" s="24"/>
      <c r="R190" s="24"/>
      <c r="S190" s="24"/>
      <c r="T190" s="24"/>
      <c r="U190" s="24"/>
      <c r="V190" s="24"/>
      <c r="W190" s="24"/>
      <c r="X190" s="24"/>
      <c r="Y190" s="24"/>
      <c r="Z190" s="24"/>
      <c r="AA190" s="24"/>
      <c r="AB190" s="24"/>
      <c r="AC190" s="24"/>
    </row>
    <row r="191" spans="1:29" ht="13.6">
      <c r="A191" s="263"/>
      <c r="B191" s="264"/>
      <c r="C191" s="263"/>
      <c r="D191" s="265"/>
      <c r="E191" s="282" t="s">
        <v>8752</v>
      </c>
      <c r="F191" s="79"/>
      <c r="G191" s="79"/>
      <c r="H191" s="24"/>
      <c r="I191" s="24"/>
      <c r="J191" s="24"/>
      <c r="K191" s="24"/>
      <c r="L191" s="24"/>
      <c r="M191" s="24"/>
      <c r="N191" s="24"/>
      <c r="O191" s="24"/>
      <c r="P191" s="24"/>
      <c r="Q191" s="24"/>
      <c r="R191" s="24"/>
      <c r="S191" s="24"/>
      <c r="T191" s="24"/>
      <c r="U191" s="24"/>
      <c r="V191" s="24"/>
      <c r="W191" s="24"/>
      <c r="X191" s="24"/>
      <c r="Y191" s="24"/>
      <c r="Z191" s="24"/>
      <c r="AA191" s="24"/>
      <c r="AB191" s="24"/>
      <c r="AC191" s="24"/>
    </row>
    <row r="192" spans="1:29" ht="13.6">
      <c r="A192" s="263"/>
      <c r="B192" s="264"/>
      <c r="C192" s="263"/>
      <c r="D192" s="265"/>
      <c r="E192" s="282" t="s">
        <v>8753</v>
      </c>
      <c r="F192" s="79"/>
      <c r="G192" s="79"/>
      <c r="H192" s="24"/>
      <c r="I192" s="24"/>
      <c r="J192" s="24"/>
      <c r="K192" s="24"/>
      <c r="L192" s="24"/>
      <c r="M192" s="24"/>
      <c r="N192" s="24"/>
      <c r="O192" s="24"/>
      <c r="P192" s="24"/>
      <c r="Q192" s="24"/>
      <c r="R192" s="24"/>
      <c r="S192" s="24"/>
      <c r="T192" s="24"/>
      <c r="U192" s="24"/>
      <c r="V192" s="24"/>
      <c r="W192" s="24"/>
      <c r="X192" s="24"/>
      <c r="Y192" s="24"/>
      <c r="Z192" s="24"/>
      <c r="AA192" s="24"/>
      <c r="AB192" s="24"/>
      <c r="AC192" s="24"/>
    </row>
    <row r="193" spans="1:29" ht="122.3">
      <c r="A193" s="263">
        <v>32</v>
      </c>
      <c r="B193" s="264"/>
      <c r="C193" s="263" t="s">
        <v>8754</v>
      </c>
      <c r="D193" s="265" t="s">
        <v>8755</v>
      </c>
      <c r="E193" s="287" t="s">
        <v>8756</v>
      </c>
      <c r="F193" s="43"/>
      <c r="G193" s="45" t="b">
        <f>IF(AND(F193="Meet the requirements traceability “out of the box”"), 10, IF(AND(F193="Can meet the requirements traceability with configuration or through the use of another commercial product “out of the box” or other arrangement as part of the service offering quoted (i.e. at no additional cost)"), 8, IF(AND(F193="Can meet the requirements traceability with customization at additional cost"), 3, IF(AND(F193="Cannot meet the requirements traceability requirement"), 0))))</f>
        <v>0</v>
      </c>
      <c r="H193" s="24"/>
      <c r="I193" s="24"/>
      <c r="J193" s="24"/>
      <c r="K193" s="24"/>
      <c r="L193" s="24"/>
      <c r="M193" s="24"/>
      <c r="N193" s="24"/>
      <c r="O193" s="24"/>
      <c r="P193" s="24"/>
      <c r="Q193" s="24"/>
      <c r="R193" s="24"/>
      <c r="S193" s="24"/>
      <c r="T193" s="24"/>
      <c r="U193" s="24"/>
      <c r="V193" s="24"/>
      <c r="W193" s="24"/>
      <c r="X193" s="24"/>
      <c r="Y193" s="24"/>
      <c r="Z193" s="24"/>
      <c r="AA193" s="24"/>
      <c r="AB193" s="24"/>
      <c r="AC193" s="24"/>
    </row>
    <row r="194" spans="1:29" ht="13.6">
      <c r="A194" s="263"/>
      <c r="B194" s="263"/>
      <c r="C194" s="263"/>
      <c r="D194" s="265"/>
      <c r="E194" s="281" t="s">
        <v>8757</v>
      </c>
      <c r="F194" s="79"/>
      <c r="G194" s="79"/>
      <c r="H194" s="24"/>
      <c r="I194" s="24"/>
      <c r="J194" s="24"/>
      <c r="K194" s="24"/>
      <c r="L194" s="24"/>
      <c r="M194" s="24"/>
      <c r="N194" s="24"/>
      <c r="O194" s="24"/>
      <c r="P194" s="24"/>
      <c r="Q194" s="24"/>
      <c r="R194" s="24"/>
      <c r="S194" s="24"/>
      <c r="T194" s="24"/>
      <c r="U194" s="24"/>
      <c r="V194" s="24"/>
      <c r="W194" s="24"/>
      <c r="X194" s="24"/>
      <c r="Y194" s="24"/>
      <c r="Z194" s="24"/>
      <c r="AA194" s="24"/>
      <c r="AB194" s="24"/>
      <c r="AC194" s="24"/>
    </row>
    <row r="195" spans="1:29" ht="13.6">
      <c r="A195" s="263"/>
      <c r="B195" s="263"/>
      <c r="C195" s="263"/>
      <c r="D195" s="265"/>
      <c r="E195" s="281" t="s">
        <v>8758</v>
      </c>
      <c r="F195" s="79"/>
      <c r="G195" s="79"/>
      <c r="H195" s="24"/>
      <c r="I195" s="24"/>
      <c r="J195" s="24"/>
      <c r="K195" s="24"/>
      <c r="L195" s="24"/>
      <c r="M195" s="24"/>
      <c r="N195" s="24"/>
      <c r="O195" s="24"/>
      <c r="P195" s="24"/>
      <c r="Q195" s="24"/>
      <c r="R195" s="24"/>
      <c r="S195" s="24"/>
      <c r="T195" s="24"/>
      <c r="U195" s="24"/>
      <c r="V195" s="24"/>
      <c r="W195" s="24"/>
      <c r="X195" s="24"/>
      <c r="Y195" s="24"/>
      <c r="Z195" s="24"/>
      <c r="AA195" s="24"/>
      <c r="AB195" s="24"/>
      <c r="AC195" s="24"/>
    </row>
    <row r="196" spans="1:29" ht="13.6">
      <c r="A196" s="263"/>
      <c r="B196" s="263"/>
      <c r="C196" s="263"/>
      <c r="D196" s="265"/>
      <c r="E196" s="281" t="s">
        <v>8759</v>
      </c>
      <c r="F196" s="79"/>
      <c r="G196" s="79"/>
      <c r="H196" s="24"/>
      <c r="I196" s="24"/>
      <c r="J196" s="24"/>
      <c r="K196" s="24"/>
      <c r="L196" s="24"/>
      <c r="M196" s="24"/>
      <c r="N196" s="24"/>
      <c r="O196" s="24"/>
      <c r="P196" s="24"/>
      <c r="Q196" s="24"/>
      <c r="R196" s="24"/>
      <c r="S196" s="24"/>
      <c r="T196" s="24"/>
      <c r="U196" s="24"/>
      <c r="V196" s="24"/>
      <c r="W196" s="24"/>
      <c r="X196" s="24"/>
      <c r="Y196" s="24"/>
      <c r="Z196" s="24"/>
      <c r="AA196" s="24"/>
      <c r="AB196" s="24"/>
      <c r="AC196" s="24"/>
    </row>
    <row r="197" spans="1:29" ht="13.6">
      <c r="A197" s="263"/>
      <c r="B197" s="263"/>
      <c r="C197" s="263"/>
      <c r="D197" s="265"/>
      <c r="E197" s="281" t="s">
        <v>8760</v>
      </c>
      <c r="F197" s="79"/>
      <c r="G197" s="79"/>
      <c r="H197" s="24"/>
      <c r="I197" s="24"/>
      <c r="J197" s="24"/>
      <c r="K197" s="24"/>
      <c r="L197" s="24"/>
      <c r="M197" s="24"/>
      <c r="N197" s="24"/>
      <c r="O197" s="24"/>
      <c r="P197" s="24"/>
      <c r="Q197" s="24"/>
      <c r="R197" s="24"/>
      <c r="S197" s="24"/>
      <c r="T197" s="24"/>
      <c r="U197" s="24"/>
      <c r="V197" s="24"/>
      <c r="W197" s="24"/>
      <c r="X197" s="24"/>
      <c r="Y197" s="24"/>
      <c r="Z197" s="24"/>
      <c r="AA197" s="24"/>
      <c r="AB197" s="24"/>
      <c r="AC197" s="24"/>
    </row>
    <row r="198" spans="1:29" ht="13.6">
      <c r="A198" s="263"/>
      <c r="B198" s="263"/>
      <c r="C198" s="263"/>
      <c r="D198" s="265"/>
      <c r="E198" s="281" t="s">
        <v>8761</v>
      </c>
      <c r="F198" s="79"/>
      <c r="G198" s="79"/>
      <c r="H198" s="24"/>
      <c r="I198" s="24"/>
      <c r="J198" s="24"/>
      <c r="K198" s="24"/>
      <c r="L198" s="24"/>
      <c r="M198" s="24"/>
      <c r="N198" s="24"/>
      <c r="O198" s="24"/>
      <c r="P198" s="24"/>
      <c r="Q198" s="24"/>
      <c r="R198" s="24"/>
      <c r="S198" s="24"/>
      <c r="T198" s="24"/>
      <c r="U198" s="24"/>
      <c r="V198" s="24"/>
      <c r="W198" s="24"/>
      <c r="X198" s="24"/>
      <c r="Y198" s="24"/>
      <c r="Z198" s="24"/>
      <c r="AA198" s="24"/>
      <c r="AB198" s="24"/>
      <c r="AC198" s="24"/>
    </row>
    <row r="199" spans="1:29" ht="13.6">
      <c r="A199" s="263"/>
      <c r="B199" s="263"/>
      <c r="C199" s="263"/>
      <c r="D199" s="265"/>
      <c r="E199" s="281" t="s">
        <v>8762</v>
      </c>
      <c r="F199" s="79"/>
      <c r="G199" s="79"/>
      <c r="H199" s="24"/>
      <c r="I199" s="24"/>
      <c r="J199" s="24"/>
      <c r="K199" s="24"/>
      <c r="L199" s="24"/>
      <c r="M199" s="24"/>
      <c r="N199" s="24"/>
      <c r="O199" s="24"/>
      <c r="P199" s="24"/>
      <c r="Q199" s="24"/>
      <c r="R199" s="24"/>
      <c r="S199" s="24"/>
      <c r="T199" s="24"/>
      <c r="U199" s="24"/>
      <c r="V199" s="24"/>
      <c r="W199" s="24"/>
      <c r="X199" s="24"/>
      <c r="Y199" s="24"/>
      <c r="Z199" s="24"/>
      <c r="AA199" s="24"/>
      <c r="AB199" s="24"/>
      <c r="AC199" s="24"/>
    </row>
    <row r="200" spans="1:29" ht="13.6">
      <c r="A200" s="263"/>
      <c r="B200" s="263"/>
      <c r="C200" s="263"/>
      <c r="D200" s="265"/>
      <c r="E200" s="282" t="s">
        <v>8736</v>
      </c>
      <c r="F200" s="79"/>
      <c r="G200" s="79"/>
      <c r="H200" s="24"/>
      <c r="I200" s="24"/>
      <c r="J200" s="24"/>
      <c r="K200" s="24"/>
      <c r="L200" s="24"/>
      <c r="M200" s="24"/>
      <c r="N200" s="24"/>
      <c r="O200" s="24"/>
      <c r="P200" s="24"/>
      <c r="Q200" s="24"/>
      <c r="R200" s="24"/>
      <c r="S200" s="24"/>
      <c r="T200" s="24"/>
      <c r="U200" s="24"/>
      <c r="V200" s="24"/>
      <c r="W200" s="24"/>
      <c r="X200" s="24"/>
      <c r="Y200" s="24"/>
      <c r="Z200" s="24"/>
      <c r="AA200" s="24"/>
      <c r="AB200" s="24"/>
      <c r="AC200" s="24"/>
    </row>
    <row r="201" spans="1:29" ht="13.6">
      <c r="A201" s="263"/>
      <c r="B201" s="263"/>
      <c r="C201" s="263"/>
      <c r="D201" s="265"/>
      <c r="E201" s="282" t="s">
        <v>8737</v>
      </c>
      <c r="F201" s="79"/>
      <c r="G201" s="79"/>
      <c r="H201" s="24"/>
      <c r="I201" s="24"/>
      <c r="J201" s="24"/>
      <c r="K201" s="24"/>
      <c r="L201" s="24"/>
      <c r="M201" s="24"/>
      <c r="N201" s="24"/>
      <c r="O201" s="24"/>
      <c r="P201" s="24"/>
      <c r="Q201" s="24"/>
      <c r="R201" s="24"/>
      <c r="S201" s="24"/>
      <c r="T201" s="24"/>
      <c r="U201" s="24"/>
      <c r="V201" s="24"/>
      <c r="W201" s="24"/>
      <c r="X201" s="24"/>
      <c r="Y201" s="24"/>
      <c r="Z201" s="24"/>
      <c r="AA201" s="24"/>
      <c r="AB201" s="24"/>
      <c r="AC201" s="24"/>
    </row>
    <row r="202" spans="1:29" ht="67.95">
      <c r="A202" s="263" t="s">
        <v>8763</v>
      </c>
      <c r="B202" s="263" t="s">
        <v>8763</v>
      </c>
      <c r="C202" s="263" t="s">
        <v>8764</v>
      </c>
      <c r="D202" s="265" t="s">
        <v>8765</v>
      </c>
      <c r="E202" s="265" t="s">
        <v>8766</v>
      </c>
      <c r="F202" s="79"/>
      <c r="G202" s="79"/>
      <c r="H202" s="24"/>
      <c r="I202" s="24"/>
      <c r="J202" s="24"/>
      <c r="K202" s="24"/>
      <c r="L202" s="24"/>
      <c r="M202" s="24"/>
      <c r="N202" s="24"/>
      <c r="O202" s="24"/>
      <c r="P202" s="24"/>
      <c r="Q202" s="24"/>
      <c r="R202" s="24"/>
      <c r="S202" s="24"/>
      <c r="T202" s="24"/>
      <c r="U202" s="24"/>
      <c r="V202" s="24"/>
      <c r="W202" s="24"/>
      <c r="X202" s="24"/>
      <c r="Y202" s="24"/>
      <c r="Z202" s="24"/>
      <c r="AA202" s="24"/>
      <c r="AB202" s="24"/>
      <c r="AC202" s="24"/>
    </row>
    <row r="203" spans="1:29" ht="13.6">
      <c r="A203" s="263"/>
      <c r="B203" s="263"/>
      <c r="C203" s="263"/>
      <c r="D203" s="265"/>
      <c r="E203" s="282" t="s">
        <v>8736</v>
      </c>
      <c r="F203" s="79"/>
      <c r="G203" s="79"/>
      <c r="H203" s="24"/>
      <c r="I203" s="24"/>
      <c r="J203" s="24"/>
      <c r="K203" s="24"/>
      <c r="L203" s="24"/>
      <c r="M203" s="24"/>
      <c r="N203" s="24"/>
      <c r="O203" s="24"/>
      <c r="P203" s="24"/>
      <c r="Q203" s="24"/>
      <c r="R203" s="24"/>
      <c r="S203" s="24"/>
      <c r="T203" s="24"/>
      <c r="U203" s="24"/>
      <c r="V203" s="24"/>
      <c r="W203" s="24"/>
      <c r="X203" s="24"/>
      <c r="Y203" s="24"/>
      <c r="Z203" s="24"/>
      <c r="AA203" s="24"/>
      <c r="AB203" s="24"/>
      <c r="AC203" s="24"/>
    </row>
    <row r="204" spans="1:29" ht="13.6">
      <c r="A204" s="263"/>
      <c r="B204" s="263"/>
      <c r="C204" s="263"/>
      <c r="D204" s="265"/>
      <c r="E204" s="282" t="s">
        <v>8737</v>
      </c>
      <c r="F204" s="79"/>
      <c r="G204" s="79"/>
      <c r="H204" s="24"/>
      <c r="I204" s="24"/>
      <c r="J204" s="24"/>
      <c r="K204" s="24"/>
      <c r="L204" s="24"/>
      <c r="M204" s="24"/>
      <c r="N204" s="24"/>
      <c r="O204" s="24"/>
      <c r="P204" s="24"/>
      <c r="Q204" s="24"/>
      <c r="R204" s="24"/>
      <c r="S204" s="24"/>
      <c r="T204" s="24"/>
      <c r="U204" s="24"/>
      <c r="V204" s="24"/>
      <c r="W204" s="24"/>
      <c r="X204" s="24"/>
      <c r="Y204" s="24"/>
      <c r="Z204" s="24"/>
      <c r="AA204" s="24"/>
      <c r="AB204" s="24"/>
      <c r="AC204" s="24"/>
    </row>
    <row r="205" spans="1:29" ht="81.55">
      <c r="A205" s="263" t="s">
        <v>8767</v>
      </c>
      <c r="B205" s="263" t="s">
        <v>8767</v>
      </c>
      <c r="C205" s="263" t="s">
        <v>8768</v>
      </c>
      <c r="D205" s="265" t="s">
        <v>8769</v>
      </c>
      <c r="E205" s="265" t="s">
        <v>8766</v>
      </c>
      <c r="F205" s="79"/>
      <c r="G205" s="79"/>
      <c r="H205" s="24"/>
      <c r="I205" s="24"/>
      <c r="J205" s="24"/>
      <c r="K205" s="24"/>
      <c r="L205" s="24"/>
      <c r="M205" s="24"/>
      <c r="N205" s="24"/>
      <c r="O205" s="24"/>
      <c r="P205" s="24"/>
      <c r="Q205" s="24"/>
      <c r="R205" s="24"/>
      <c r="S205" s="24"/>
      <c r="T205" s="24"/>
      <c r="U205" s="24"/>
      <c r="V205" s="24"/>
      <c r="W205" s="24"/>
      <c r="X205" s="24"/>
      <c r="Y205" s="24"/>
      <c r="Z205" s="24"/>
      <c r="AA205" s="24"/>
      <c r="AB205" s="24"/>
      <c r="AC205" s="24"/>
    </row>
    <row r="206" spans="1:29" ht="13.6">
      <c r="A206" s="263"/>
      <c r="B206" s="264"/>
      <c r="C206" s="263"/>
      <c r="D206" s="265"/>
      <c r="E206" s="282" t="s">
        <v>8736</v>
      </c>
      <c r="F206" s="79"/>
      <c r="G206" s="79"/>
      <c r="H206" s="24"/>
      <c r="I206" s="24"/>
      <c r="J206" s="24"/>
      <c r="K206" s="24"/>
      <c r="L206" s="24"/>
      <c r="M206" s="24"/>
      <c r="N206" s="24"/>
      <c r="O206" s="24"/>
      <c r="P206" s="24"/>
      <c r="Q206" s="24"/>
      <c r="R206" s="24"/>
      <c r="S206" s="24"/>
      <c r="T206" s="24"/>
      <c r="U206" s="24"/>
      <c r="V206" s="24"/>
      <c r="W206" s="24"/>
      <c r="X206" s="24"/>
      <c r="Y206" s="24"/>
      <c r="Z206" s="24"/>
      <c r="AA206" s="24"/>
      <c r="AB206" s="24"/>
      <c r="AC206" s="24"/>
    </row>
    <row r="207" spans="1:29" ht="13.6">
      <c r="A207" s="263"/>
      <c r="B207" s="264"/>
      <c r="C207" s="263"/>
      <c r="D207" s="265"/>
      <c r="E207" s="282" t="s">
        <v>8737</v>
      </c>
      <c r="F207" s="79"/>
      <c r="G207" s="79"/>
      <c r="H207" s="24"/>
      <c r="I207" s="24"/>
      <c r="J207" s="24"/>
      <c r="K207" s="24"/>
      <c r="L207" s="24"/>
      <c r="M207" s="24"/>
      <c r="N207" s="24"/>
      <c r="O207" s="24"/>
      <c r="P207" s="24"/>
      <c r="Q207" s="24"/>
      <c r="R207" s="24"/>
      <c r="S207" s="24"/>
      <c r="T207" s="24"/>
      <c r="U207" s="24"/>
      <c r="V207" s="24"/>
      <c r="W207" s="24"/>
      <c r="X207" s="24"/>
      <c r="Y207" s="24"/>
      <c r="Z207" s="24"/>
      <c r="AA207" s="24"/>
      <c r="AB207" s="24"/>
      <c r="AC207" s="24"/>
    </row>
    <row r="208" spans="1:29" ht="54.35">
      <c r="A208" s="263">
        <v>33</v>
      </c>
      <c r="B208" s="264"/>
      <c r="C208" s="263" t="s">
        <v>8770</v>
      </c>
      <c r="D208" s="265" t="s">
        <v>8771</v>
      </c>
      <c r="E208" s="265" t="s">
        <v>8772</v>
      </c>
      <c r="F208" s="43"/>
      <c r="G208" s="45" t="b">
        <f>IF(AND(F208="Meet the requirements traceability “out of the box”"), 10, IF(AND(F208="Can meet the requirements traceability with configuration or through the use of another commercial product “out of the box” or other arrangement as part of the service offering quoted (i.e. at no additional cost)"), 8, IF(AND(F208="Can meet the requirements traceability with customization at additional cost"), 3, IF(AND(F208="Cannot meet the requirements traceability requirement"), 0))))</f>
        <v>0</v>
      </c>
      <c r="H208" s="24"/>
      <c r="I208" s="24"/>
      <c r="J208" s="24"/>
      <c r="K208" s="24"/>
      <c r="L208" s="24"/>
      <c r="M208" s="24"/>
      <c r="N208" s="24"/>
      <c r="O208" s="24"/>
      <c r="P208" s="24"/>
      <c r="Q208" s="24"/>
      <c r="R208" s="24"/>
      <c r="S208" s="24"/>
      <c r="T208" s="24"/>
      <c r="U208" s="24"/>
      <c r="V208" s="24"/>
      <c r="W208" s="24"/>
      <c r="X208" s="24"/>
      <c r="Y208" s="24"/>
      <c r="Z208" s="24"/>
      <c r="AA208" s="24"/>
      <c r="AB208" s="24"/>
      <c r="AC208" s="24"/>
    </row>
    <row r="209" spans="1:29" ht="13.6">
      <c r="A209" s="263"/>
      <c r="B209" s="264"/>
      <c r="C209" s="263"/>
      <c r="D209" s="265"/>
      <c r="E209" s="281" t="s">
        <v>8758</v>
      </c>
      <c r="F209" s="79"/>
      <c r="G209" s="79"/>
      <c r="H209" s="24"/>
      <c r="I209" s="24"/>
      <c r="J209" s="24"/>
      <c r="K209" s="24"/>
      <c r="L209" s="24"/>
      <c r="M209" s="24"/>
      <c r="N209" s="24"/>
      <c r="O209" s="24"/>
      <c r="P209" s="24"/>
      <c r="Q209" s="24"/>
      <c r="R209" s="24"/>
      <c r="S209" s="24"/>
      <c r="T209" s="24"/>
      <c r="U209" s="24"/>
      <c r="V209" s="24"/>
      <c r="W209" s="24"/>
      <c r="X209" s="24"/>
      <c r="Y209" s="24"/>
      <c r="Z209" s="24"/>
      <c r="AA209" s="24"/>
      <c r="AB209" s="24"/>
      <c r="AC209" s="24"/>
    </row>
    <row r="210" spans="1:29" ht="13.6">
      <c r="A210" s="263"/>
      <c r="B210" s="264"/>
      <c r="C210" s="263"/>
      <c r="D210" s="265"/>
      <c r="E210" s="281" t="s">
        <v>8773</v>
      </c>
      <c r="F210" s="79"/>
      <c r="G210" s="79"/>
      <c r="H210" s="24"/>
      <c r="I210" s="24"/>
      <c r="J210" s="24"/>
      <c r="K210" s="24"/>
      <c r="L210" s="24"/>
      <c r="M210" s="24"/>
      <c r="N210" s="24"/>
      <c r="O210" s="24"/>
      <c r="P210" s="24"/>
      <c r="Q210" s="24"/>
      <c r="R210" s="24"/>
      <c r="S210" s="24"/>
      <c r="T210" s="24"/>
      <c r="U210" s="24"/>
      <c r="V210" s="24"/>
      <c r="W210" s="24"/>
      <c r="X210" s="24"/>
      <c r="Y210" s="24"/>
      <c r="Z210" s="24"/>
      <c r="AA210" s="24"/>
      <c r="AB210" s="24"/>
      <c r="AC210" s="24"/>
    </row>
    <row r="211" spans="1:29" ht="13.6">
      <c r="A211" s="263"/>
      <c r="B211" s="264"/>
      <c r="C211" s="263"/>
      <c r="D211" s="265"/>
      <c r="E211" s="281" t="s">
        <v>8774</v>
      </c>
      <c r="F211" s="79"/>
      <c r="G211" s="79"/>
      <c r="H211" s="24"/>
      <c r="I211" s="24"/>
      <c r="J211" s="24"/>
      <c r="K211" s="24"/>
      <c r="L211" s="24"/>
      <c r="M211" s="24"/>
      <c r="N211" s="24"/>
      <c r="O211" s="24"/>
      <c r="P211" s="24"/>
      <c r="Q211" s="24"/>
      <c r="R211" s="24"/>
      <c r="S211" s="24"/>
      <c r="T211" s="24"/>
      <c r="U211" s="24"/>
      <c r="V211" s="24"/>
      <c r="W211" s="24"/>
      <c r="X211" s="24"/>
      <c r="Y211" s="24"/>
      <c r="Z211" s="24"/>
      <c r="AA211" s="24"/>
      <c r="AB211" s="24"/>
      <c r="AC211" s="24"/>
    </row>
    <row r="212" spans="1:29" ht="67.95">
      <c r="A212" s="263">
        <v>34</v>
      </c>
      <c r="B212" s="264"/>
      <c r="C212" s="263" t="s">
        <v>8775</v>
      </c>
      <c r="D212" s="265" t="s">
        <v>8776</v>
      </c>
      <c r="E212" s="265" t="s">
        <v>8777</v>
      </c>
      <c r="F212" s="43"/>
      <c r="G212" s="45" t="b">
        <f>IF(AND(F212="Meet the requirements traceability “out of the box”"), 10, IF(AND(F212="Can meet the requirements traceability with configuration or through the use of another commercial product “out of the box” or other arrangement as part of the service offering quoted (i.e. at no additional cost)"), 8, IF(AND(F212="Can meet the requirements traceability with customization at additional cost"), 3, IF(AND(F212="Cannot meet the requirements traceability requirement"), 0))))</f>
        <v>0</v>
      </c>
      <c r="H212" s="24"/>
      <c r="I212" s="24"/>
      <c r="J212" s="24"/>
      <c r="K212" s="24"/>
      <c r="L212" s="24"/>
      <c r="M212" s="24"/>
      <c r="N212" s="24"/>
      <c r="O212" s="24"/>
      <c r="P212" s="24"/>
      <c r="Q212" s="24"/>
      <c r="R212" s="24"/>
      <c r="S212" s="24"/>
      <c r="T212" s="24"/>
      <c r="U212" s="24"/>
      <c r="V212" s="24"/>
      <c r="W212" s="24"/>
      <c r="X212" s="24"/>
      <c r="Y212" s="24"/>
      <c r="Z212" s="24"/>
      <c r="AA212" s="24"/>
      <c r="AB212" s="24"/>
      <c r="AC212" s="24"/>
    </row>
    <row r="213" spans="1:29" ht="13.6">
      <c r="A213" s="263"/>
      <c r="B213" s="264"/>
      <c r="C213" s="263"/>
      <c r="D213" s="265"/>
      <c r="E213" s="281" t="s">
        <v>8778</v>
      </c>
      <c r="F213" s="79"/>
      <c r="G213" s="79"/>
      <c r="H213" s="24"/>
      <c r="I213" s="24"/>
      <c r="J213" s="24"/>
      <c r="K213" s="24"/>
      <c r="L213" s="24"/>
      <c r="M213" s="24"/>
      <c r="N213" s="24"/>
      <c r="O213" s="24"/>
      <c r="P213" s="24"/>
      <c r="Q213" s="24"/>
      <c r="R213" s="24"/>
      <c r="S213" s="24"/>
      <c r="T213" s="24"/>
      <c r="U213" s="24"/>
      <c r="V213" s="24"/>
      <c r="W213" s="24"/>
      <c r="X213" s="24"/>
      <c r="Y213" s="24"/>
      <c r="Z213" s="24"/>
      <c r="AA213" s="24"/>
      <c r="AB213" s="24"/>
      <c r="AC213" s="24"/>
    </row>
    <row r="214" spans="1:29" ht="13.6">
      <c r="A214" s="263"/>
      <c r="B214" s="264"/>
      <c r="C214" s="263"/>
      <c r="D214" s="265"/>
      <c r="E214" s="281" t="s">
        <v>8779</v>
      </c>
      <c r="F214" s="79"/>
      <c r="G214" s="79"/>
      <c r="H214" s="24"/>
      <c r="I214" s="24"/>
      <c r="J214" s="24"/>
      <c r="K214" s="24"/>
      <c r="L214" s="24"/>
      <c r="M214" s="24"/>
      <c r="N214" s="24"/>
      <c r="O214" s="24"/>
      <c r="P214" s="24"/>
      <c r="Q214" s="24"/>
      <c r="R214" s="24"/>
      <c r="S214" s="24"/>
      <c r="T214" s="24"/>
      <c r="U214" s="24"/>
      <c r="V214" s="24"/>
      <c r="W214" s="24"/>
      <c r="X214" s="24"/>
      <c r="Y214" s="24"/>
      <c r="Z214" s="24"/>
      <c r="AA214" s="24"/>
      <c r="AB214" s="24"/>
      <c r="AC214" s="24"/>
    </row>
    <row r="215" spans="1:29" ht="13.6">
      <c r="A215" s="263"/>
      <c r="B215" s="264"/>
      <c r="C215" s="263"/>
      <c r="D215" s="265"/>
      <c r="E215" s="281" t="s">
        <v>8762</v>
      </c>
      <c r="F215" s="79"/>
      <c r="G215" s="79"/>
      <c r="H215" s="24"/>
      <c r="I215" s="24"/>
      <c r="J215" s="24"/>
      <c r="K215" s="24"/>
      <c r="L215" s="24"/>
      <c r="M215" s="24"/>
      <c r="N215" s="24"/>
      <c r="O215" s="24"/>
      <c r="P215" s="24"/>
      <c r="Q215" s="24"/>
      <c r="R215" s="24"/>
      <c r="S215" s="24"/>
      <c r="T215" s="24"/>
      <c r="U215" s="24"/>
      <c r="V215" s="24"/>
      <c r="W215" s="24"/>
      <c r="X215" s="24"/>
      <c r="Y215" s="24"/>
      <c r="Z215" s="24"/>
      <c r="AA215" s="24"/>
      <c r="AB215" s="24"/>
      <c r="AC215" s="24"/>
    </row>
    <row r="216" spans="1:29" ht="122.3">
      <c r="A216" s="263">
        <v>35</v>
      </c>
      <c r="B216" s="264"/>
      <c r="C216" s="263" t="s">
        <v>8780</v>
      </c>
      <c r="D216" s="265" t="s">
        <v>8781</v>
      </c>
      <c r="E216" s="265" t="s">
        <v>8782</v>
      </c>
      <c r="F216" s="43"/>
      <c r="G216" s="45" t="b">
        <f>IF(AND(F216="Meet the requirements traceability “out of the box”"), 10, IF(AND(F216="Can meet the requirements traceability with configuration or through the use of another commercial product “out of the box” or other arrangement as part of the service offering quoted (i.e. at no additional cost)"), 8, IF(AND(F216="Can meet the requirements traceability with customization at additional cost"), 3, IF(AND(F216="Cannot meet the requirements traceability requirement"), 0))))</f>
        <v>0</v>
      </c>
      <c r="H216" s="24"/>
      <c r="I216" s="24"/>
      <c r="J216" s="24"/>
      <c r="K216" s="24"/>
      <c r="L216" s="24"/>
      <c r="M216" s="24"/>
      <c r="N216" s="24"/>
      <c r="O216" s="24"/>
      <c r="P216" s="24"/>
      <c r="Q216" s="24"/>
      <c r="R216" s="24"/>
      <c r="S216" s="24"/>
      <c r="T216" s="24"/>
      <c r="U216" s="24"/>
      <c r="V216" s="24"/>
      <c r="W216" s="24"/>
      <c r="X216" s="24"/>
      <c r="Y216" s="24"/>
      <c r="Z216" s="24"/>
      <c r="AA216" s="24"/>
      <c r="AB216" s="24"/>
      <c r="AC216" s="24"/>
    </row>
    <row r="217" spans="1:29" ht="13.6">
      <c r="A217" s="263"/>
      <c r="B217" s="264"/>
      <c r="C217" s="263"/>
      <c r="D217" s="265"/>
      <c r="E217" s="281" t="s">
        <v>8783</v>
      </c>
      <c r="F217" s="79"/>
      <c r="G217" s="79"/>
      <c r="H217" s="24"/>
      <c r="I217" s="24"/>
      <c r="J217" s="24"/>
      <c r="K217" s="24"/>
      <c r="L217" s="24"/>
      <c r="M217" s="24"/>
      <c r="N217" s="24"/>
      <c r="O217" s="24"/>
      <c r="P217" s="24"/>
      <c r="Q217" s="24"/>
      <c r="R217" s="24"/>
      <c r="S217" s="24"/>
      <c r="T217" s="24"/>
      <c r="U217" s="24"/>
      <c r="V217" s="24"/>
      <c r="W217" s="24"/>
      <c r="X217" s="24"/>
      <c r="Y217" s="24"/>
      <c r="Z217" s="24"/>
      <c r="AA217" s="24"/>
      <c r="AB217" s="24"/>
      <c r="AC217" s="24"/>
    </row>
    <row r="218" spans="1:29" ht="13.6">
      <c r="A218" s="263"/>
      <c r="B218" s="264"/>
      <c r="C218" s="263"/>
      <c r="D218" s="265"/>
      <c r="E218" s="281" t="s">
        <v>8784</v>
      </c>
      <c r="F218" s="79"/>
      <c r="G218" s="79"/>
      <c r="H218" s="24"/>
      <c r="I218" s="24"/>
      <c r="J218" s="24"/>
      <c r="K218" s="24"/>
      <c r="L218" s="24"/>
      <c r="M218" s="24"/>
      <c r="N218" s="24"/>
      <c r="O218" s="24"/>
      <c r="P218" s="24"/>
      <c r="Q218" s="24"/>
      <c r="R218" s="24"/>
      <c r="S218" s="24"/>
      <c r="T218" s="24"/>
      <c r="U218" s="24"/>
      <c r="V218" s="24"/>
      <c r="W218" s="24"/>
      <c r="X218" s="24"/>
      <c r="Y218" s="24"/>
      <c r="Z218" s="24"/>
      <c r="AA218" s="24"/>
      <c r="AB218" s="24"/>
      <c r="AC218" s="24"/>
    </row>
    <row r="219" spans="1:29" ht="13.6">
      <c r="A219" s="263"/>
      <c r="B219" s="264"/>
      <c r="C219" s="263"/>
      <c r="D219" s="265"/>
      <c r="E219" s="281" t="s">
        <v>8785</v>
      </c>
      <c r="F219" s="79"/>
      <c r="G219" s="79"/>
      <c r="H219" s="24"/>
      <c r="I219" s="24"/>
      <c r="J219" s="24"/>
      <c r="K219" s="24"/>
      <c r="L219" s="24"/>
      <c r="M219" s="24"/>
      <c r="N219" s="24"/>
      <c r="O219" s="24"/>
      <c r="P219" s="24"/>
      <c r="Q219" s="24"/>
      <c r="R219" s="24"/>
      <c r="S219" s="24"/>
      <c r="T219" s="24"/>
      <c r="U219" s="24"/>
      <c r="V219" s="24"/>
      <c r="W219" s="24"/>
      <c r="X219" s="24"/>
      <c r="Y219" s="24"/>
      <c r="Z219" s="24"/>
      <c r="AA219" s="24"/>
      <c r="AB219" s="24"/>
      <c r="AC219" s="24"/>
    </row>
    <row r="220" spans="1:29" ht="13.6">
      <c r="A220" s="263"/>
      <c r="B220" s="264"/>
      <c r="C220" s="263"/>
      <c r="D220" s="265"/>
      <c r="E220" s="281" t="s">
        <v>8786</v>
      </c>
      <c r="F220" s="79"/>
      <c r="G220" s="79"/>
      <c r="H220" s="24"/>
      <c r="I220" s="24"/>
      <c r="J220" s="24"/>
      <c r="K220" s="24"/>
      <c r="L220" s="24"/>
      <c r="M220" s="24"/>
      <c r="N220" s="24"/>
      <c r="O220" s="24"/>
      <c r="P220" s="24"/>
      <c r="Q220" s="24"/>
      <c r="R220" s="24"/>
      <c r="S220" s="24"/>
      <c r="T220" s="24"/>
      <c r="U220" s="24"/>
      <c r="V220" s="24"/>
      <c r="W220" s="24"/>
      <c r="X220" s="24"/>
      <c r="Y220" s="24"/>
      <c r="Z220" s="24"/>
      <c r="AA220" s="24"/>
      <c r="AB220" s="24"/>
      <c r="AC220" s="24"/>
    </row>
    <row r="221" spans="1:29" ht="13.6">
      <c r="A221" s="263"/>
      <c r="B221" s="264"/>
      <c r="C221" s="263"/>
      <c r="D221" s="265"/>
      <c r="E221" s="281" t="s">
        <v>8787</v>
      </c>
      <c r="F221" s="79"/>
      <c r="G221" s="79"/>
      <c r="H221" s="24"/>
      <c r="I221" s="24"/>
      <c r="J221" s="24"/>
      <c r="K221" s="24"/>
      <c r="L221" s="24"/>
      <c r="M221" s="24"/>
      <c r="N221" s="24"/>
      <c r="O221" s="24"/>
      <c r="P221" s="24"/>
      <c r="Q221" s="24"/>
      <c r="R221" s="24"/>
      <c r="S221" s="24"/>
      <c r="T221" s="24"/>
      <c r="U221" s="24"/>
      <c r="V221" s="24"/>
      <c r="W221" s="24"/>
      <c r="X221" s="24"/>
      <c r="Y221" s="24"/>
      <c r="Z221" s="24"/>
      <c r="AA221" s="24"/>
      <c r="AB221" s="24"/>
      <c r="AC221" s="24"/>
    </row>
    <row r="222" spans="1:29" ht="54.35">
      <c r="A222" s="263">
        <v>36</v>
      </c>
      <c r="B222" s="264"/>
      <c r="C222" s="263" t="s">
        <v>8788</v>
      </c>
      <c r="D222" s="265" t="s">
        <v>8789</v>
      </c>
      <c r="E222" s="265" t="s">
        <v>8790</v>
      </c>
      <c r="F222" s="43"/>
      <c r="G222" s="45" t="b">
        <f>IF(AND(F222="Meet the requirements traceability “out of the box”"), 10, IF(AND(F222="Can meet the requirements traceability with configuration or through the use of another commercial product “out of the box” or other arrangement as part of the service offering quoted (i.e. at no additional cost)"), 8, IF(AND(F222="Can meet the requirements traceability with customization at additional cost"), 3, IF(AND(F222="Cannot meet the requirements traceability requirement"), 0))))</f>
        <v>0</v>
      </c>
      <c r="H222" s="24"/>
      <c r="I222" s="24"/>
      <c r="J222" s="24"/>
      <c r="K222" s="24"/>
      <c r="L222" s="24"/>
      <c r="M222" s="24"/>
      <c r="N222" s="24"/>
      <c r="O222" s="24"/>
      <c r="P222" s="24"/>
      <c r="Q222" s="24"/>
      <c r="R222" s="24"/>
      <c r="S222" s="24"/>
      <c r="T222" s="24"/>
      <c r="U222" s="24"/>
      <c r="V222" s="24"/>
      <c r="W222" s="24"/>
      <c r="X222" s="24"/>
      <c r="Y222" s="24"/>
      <c r="Z222" s="24"/>
      <c r="AA222" s="24"/>
      <c r="AB222" s="24"/>
      <c r="AC222" s="24"/>
    </row>
    <row r="223" spans="1:29" ht="13.6">
      <c r="A223" s="263"/>
      <c r="B223" s="264"/>
      <c r="C223" s="263"/>
      <c r="D223" s="265"/>
      <c r="E223" s="281" t="s">
        <v>8791</v>
      </c>
      <c r="F223" s="79"/>
      <c r="G223" s="79"/>
      <c r="H223" s="24"/>
      <c r="I223" s="24"/>
      <c r="J223" s="24"/>
      <c r="K223" s="24"/>
      <c r="L223" s="24"/>
      <c r="M223" s="24"/>
      <c r="N223" s="24"/>
      <c r="O223" s="24"/>
      <c r="P223" s="24"/>
      <c r="Q223" s="24"/>
      <c r="R223" s="24"/>
      <c r="S223" s="24"/>
      <c r="T223" s="24"/>
      <c r="U223" s="24"/>
      <c r="V223" s="24"/>
      <c r="W223" s="24"/>
      <c r="X223" s="24"/>
      <c r="Y223" s="24"/>
      <c r="Z223" s="24"/>
      <c r="AA223" s="24"/>
      <c r="AB223" s="24"/>
      <c r="AC223" s="24"/>
    </row>
    <row r="224" spans="1:29" ht="13.6">
      <c r="A224" s="263"/>
      <c r="B224" s="264"/>
      <c r="C224" s="263"/>
      <c r="D224" s="265"/>
      <c r="E224" s="281" t="s">
        <v>8792</v>
      </c>
      <c r="F224" s="79"/>
      <c r="G224" s="79"/>
      <c r="H224" s="24"/>
      <c r="I224" s="24"/>
      <c r="J224" s="24"/>
      <c r="K224" s="24"/>
      <c r="L224" s="24"/>
      <c r="M224" s="24"/>
      <c r="N224" s="24"/>
      <c r="O224" s="24"/>
      <c r="P224" s="24"/>
      <c r="Q224" s="24"/>
      <c r="R224" s="24"/>
      <c r="S224" s="24"/>
      <c r="T224" s="24"/>
      <c r="U224" s="24"/>
      <c r="V224" s="24"/>
      <c r="W224" s="24"/>
      <c r="X224" s="24"/>
      <c r="Y224" s="24"/>
      <c r="Z224" s="24"/>
      <c r="AA224" s="24"/>
      <c r="AB224" s="24"/>
      <c r="AC224" s="24"/>
    </row>
    <row r="225" spans="1:29" ht="67.95">
      <c r="A225" s="263">
        <v>37</v>
      </c>
      <c r="B225" s="264"/>
      <c r="C225" s="263" t="s">
        <v>8793</v>
      </c>
      <c r="D225" s="265" t="s">
        <v>8794</v>
      </c>
      <c r="E225" s="265" t="s">
        <v>8795</v>
      </c>
      <c r="F225" s="43"/>
      <c r="G225" s="45" t="b">
        <f>IF(AND(F225="Meet the requirements traceability “out of the box”"), 10, IF(AND(F225="Can meet the requirements traceability with configuration or through the use of another commercial product “out of the box” or other arrangement as part of the service offering quoted (i.e. at no additional cost)"), 8, IF(AND(F225="Can meet the requirements traceability with customization at additional cost"), 3, IF(AND(F225="Cannot meet the requirements traceability requirement"), 0))))</f>
        <v>0</v>
      </c>
      <c r="H225" s="24"/>
      <c r="I225" s="24"/>
      <c r="J225" s="24"/>
      <c r="K225" s="24"/>
      <c r="L225" s="24"/>
      <c r="M225" s="24"/>
      <c r="N225" s="24"/>
      <c r="O225" s="24"/>
      <c r="P225" s="24"/>
      <c r="Q225" s="24"/>
      <c r="R225" s="24"/>
      <c r="S225" s="24"/>
      <c r="T225" s="24"/>
      <c r="U225" s="24"/>
      <c r="V225" s="24"/>
      <c r="W225" s="24"/>
      <c r="X225" s="24"/>
      <c r="Y225" s="24"/>
      <c r="Z225" s="24"/>
      <c r="AA225" s="24"/>
      <c r="AB225" s="24"/>
      <c r="AC225" s="24"/>
    </row>
    <row r="226" spans="1:29" ht="13.6">
      <c r="A226" s="263"/>
      <c r="B226" s="263"/>
      <c r="C226" s="263"/>
      <c r="D226" s="266"/>
      <c r="E226" s="281" t="s">
        <v>8778</v>
      </c>
      <c r="F226" s="79"/>
      <c r="G226" s="79"/>
      <c r="H226" s="24"/>
      <c r="I226" s="24"/>
      <c r="J226" s="24"/>
      <c r="K226" s="24"/>
      <c r="L226" s="24"/>
      <c r="M226" s="24"/>
      <c r="N226" s="24"/>
      <c r="O226" s="24"/>
      <c r="P226" s="24"/>
      <c r="Q226" s="24"/>
      <c r="R226" s="24"/>
      <c r="S226" s="24"/>
      <c r="T226" s="24"/>
      <c r="U226" s="24"/>
      <c r="V226" s="24"/>
      <c r="W226" s="24"/>
      <c r="X226" s="24"/>
      <c r="Y226" s="24"/>
      <c r="Z226" s="24"/>
      <c r="AA226" s="24"/>
      <c r="AB226" s="24"/>
      <c r="AC226" s="24"/>
    </row>
    <row r="227" spans="1:29" ht="13.6">
      <c r="A227" s="263"/>
      <c r="B227" s="263"/>
      <c r="C227" s="263"/>
      <c r="D227" s="266"/>
      <c r="E227" s="281" t="s">
        <v>8779</v>
      </c>
      <c r="F227" s="79"/>
      <c r="G227" s="79"/>
      <c r="H227" s="24"/>
      <c r="I227" s="24"/>
      <c r="J227" s="24"/>
      <c r="K227" s="24"/>
      <c r="L227" s="24"/>
      <c r="M227" s="24"/>
      <c r="N227" s="24"/>
      <c r="O227" s="24"/>
      <c r="P227" s="24"/>
      <c r="Q227" s="24"/>
      <c r="R227" s="24"/>
      <c r="S227" s="24"/>
      <c r="T227" s="24"/>
      <c r="U227" s="24"/>
      <c r="V227" s="24"/>
      <c r="W227" s="24"/>
      <c r="X227" s="24"/>
      <c r="Y227" s="24"/>
      <c r="Z227" s="24"/>
      <c r="AA227" s="24"/>
      <c r="AB227" s="24"/>
      <c r="AC227" s="24"/>
    </row>
    <row r="228" spans="1:29" ht="13.6">
      <c r="A228" s="263" t="s">
        <v>8796</v>
      </c>
      <c r="B228" s="263" t="s">
        <v>8796</v>
      </c>
      <c r="C228" s="263" t="s">
        <v>8797</v>
      </c>
      <c r="D228" s="266"/>
      <c r="E228" s="266"/>
      <c r="F228" s="79"/>
      <c r="G228" s="79"/>
      <c r="H228" s="24"/>
      <c r="I228" s="24"/>
      <c r="J228" s="24"/>
      <c r="K228" s="24"/>
      <c r="L228" s="24"/>
      <c r="M228" s="24"/>
      <c r="N228" s="24"/>
      <c r="O228" s="24"/>
      <c r="P228" s="24"/>
      <c r="Q228" s="24"/>
      <c r="R228" s="24"/>
      <c r="S228" s="24"/>
      <c r="T228" s="24"/>
      <c r="U228" s="24"/>
      <c r="V228" s="24"/>
      <c r="W228" s="24"/>
      <c r="X228" s="24"/>
      <c r="Y228" s="24"/>
      <c r="Z228" s="24"/>
      <c r="AA228" s="24"/>
      <c r="AB228" s="24"/>
      <c r="AC228" s="24"/>
    </row>
    <row r="229" spans="1:29" ht="13.6">
      <c r="A229" s="263" t="s">
        <v>8798</v>
      </c>
      <c r="B229" s="263" t="s">
        <v>8798</v>
      </c>
      <c r="C229" s="263" t="s">
        <v>8799</v>
      </c>
      <c r="D229" s="266"/>
      <c r="E229" s="266"/>
      <c r="F229" s="79"/>
      <c r="G229" s="79"/>
      <c r="H229" s="24"/>
      <c r="I229" s="24"/>
      <c r="J229" s="24"/>
      <c r="K229" s="24"/>
      <c r="L229" s="24"/>
      <c r="M229" s="24"/>
      <c r="N229" s="24"/>
      <c r="O229" s="24"/>
      <c r="P229" s="24"/>
      <c r="Q229" s="24"/>
      <c r="R229" s="24"/>
      <c r="S229" s="24"/>
      <c r="T229" s="24"/>
      <c r="U229" s="24"/>
      <c r="V229" s="24"/>
      <c r="W229" s="24"/>
      <c r="X229" s="24"/>
      <c r="Y229" s="24"/>
      <c r="Z229" s="24"/>
      <c r="AA229" s="24"/>
      <c r="AB229" s="24"/>
      <c r="AC229" s="24"/>
    </row>
    <row r="230" spans="1:29" ht="67.95">
      <c r="A230" s="263">
        <v>38</v>
      </c>
      <c r="B230" s="264"/>
      <c r="C230" s="263" t="s">
        <v>8800</v>
      </c>
      <c r="D230" s="265" t="s">
        <v>8801</v>
      </c>
      <c r="E230" s="265" t="s">
        <v>8802</v>
      </c>
      <c r="F230" s="43"/>
      <c r="G230" s="45" t="b">
        <f>IF(AND(F230="Meet the requirements traceability “out of the box”"), 10, IF(AND(F230="Can meet the requirements traceability with configuration or through the use of another commercial product “out of the box” or other arrangement as part of the service offering quoted (i.e. at no additional cost)"), 8, IF(AND(F230="Can meet the requirements traceability with customization at additional cost"), 3, IF(AND(F230="Cannot meet the requirements traceability requirement"), 0))))</f>
        <v>0</v>
      </c>
      <c r="H230" s="24"/>
      <c r="I230" s="24"/>
      <c r="J230" s="24"/>
      <c r="K230" s="24"/>
      <c r="L230" s="24"/>
      <c r="M230" s="24"/>
      <c r="N230" s="24"/>
      <c r="O230" s="24"/>
      <c r="P230" s="24"/>
      <c r="Q230" s="24"/>
      <c r="R230" s="24"/>
      <c r="S230" s="24"/>
      <c r="T230" s="24"/>
      <c r="U230" s="24"/>
      <c r="V230" s="24"/>
      <c r="W230" s="24"/>
      <c r="X230" s="24"/>
      <c r="Y230" s="24"/>
      <c r="Z230" s="24"/>
      <c r="AA230" s="24"/>
      <c r="AB230" s="24"/>
      <c r="AC230" s="24"/>
    </row>
    <row r="231" spans="1:29" ht="13.6">
      <c r="A231" s="263"/>
      <c r="B231" s="264"/>
      <c r="C231" s="263"/>
      <c r="D231" s="265"/>
      <c r="E231" s="281" t="s">
        <v>8803</v>
      </c>
      <c r="F231" s="79"/>
      <c r="G231" s="79"/>
      <c r="H231" s="24"/>
      <c r="I231" s="24"/>
      <c r="J231" s="24"/>
      <c r="K231" s="24"/>
      <c r="L231" s="24"/>
      <c r="M231" s="24"/>
      <c r="N231" s="24"/>
      <c r="O231" s="24"/>
      <c r="P231" s="24"/>
      <c r="Q231" s="24"/>
      <c r="R231" s="24"/>
      <c r="S231" s="24"/>
      <c r="T231" s="24"/>
      <c r="U231" s="24"/>
      <c r="V231" s="24"/>
      <c r="W231" s="24"/>
      <c r="X231" s="24"/>
      <c r="Y231" s="24"/>
      <c r="Z231" s="24"/>
      <c r="AA231" s="24"/>
      <c r="AB231" s="24"/>
      <c r="AC231" s="24"/>
    </row>
    <row r="232" spans="1:29" ht="13.6">
      <c r="A232" s="263"/>
      <c r="B232" s="264"/>
      <c r="C232" s="263"/>
      <c r="D232" s="265"/>
      <c r="E232" s="282" t="s">
        <v>8621</v>
      </c>
      <c r="F232" s="79"/>
      <c r="G232" s="79"/>
      <c r="H232" s="24"/>
      <c r="I232" s="24"/>
      <c r="J232" s="24"/>
      <c r="K232" s="24"/>
      <c r="L232" s="24"/>
      <c r="M232" s="24"/>
      <c r="N232" s="24"/>
      <c r="O232" s="24"/>
      <c r="P232" s="24"/>
      <c r="Q232" s="24"/>
      <c r="R232" s="24"/>
      <c r="S232" s="24"/>
      <c r="T232" s="24"/>
      <c r="U232" s="24"/>
      <c r="V232" s="24"/>
      <c r="W232" s="24"/>
      <c r="X232" s="24"/>
      <c r="Y232" s="24"/>
      <c r="Z232" s="24"/>
      <c r="AA232" s="24"/>
      <c r="AB232" s="24"/>
      <c r="AC232" s="24"/>
    </row>
    <row r="233" spans="1:29" ht="13.6">
      <c r="A233" s="263"/>
      <c r="B233" s="264"/>
      <c r="C233" s="263"/>
      <c r="D233" s="265"/>
      <c r="E233" s="282" t="s">
        <v>8619</v>
      </c>
      <c r="F233" s="79"/>
      <c r="G233" s="79"/>
      <c r="H233" s="24"/>
      <c r="I233" s="24"/>
      <c r="J233" s="24"/>
      <c r="K233" s="24"/>
      <c r="L233" s="24"/>
      <c r="M233" s="24"/>
      <c r="N233" s="24"/>
      <c r="O233" s="24"/>
      <c r="P233" s="24"/>
      <c r="Q233" s="24"/>
      <c r="R233" s="24"/>
      <c r="S233" s="24"/>
      <c r="T233" s="24"/>
      <c r="U233" s="24"/>
      <c r="V233" s="24"/>
      <c r="W233" s="24"/>
      <c r="X233" s="24"/>
      <c r="Y233" s="24"/>
      <c r="Z233" s="24"/>
      <c r="AA233" s="24"/>
      <c r="AB233" s="24"/>
      <c r="AC233" s="24"/>
    </row>
    <row r="234" spans="1:29" ht="339.65">
      <c r="A234" s="263">
        <v>39</v>
      </c>
      <c r="B234" s="264"/>
      <c r="C234" s="263" t="s">
        <v>8804</v>
      </c>
      <c r="D234" s="265" t="s">
        <v>8805</v>
      </c>
      <c r="E234" s="265" t="s">
        <v>8806</v>
      </c>
      <c r="F234" s="43"/>
      <c r="G234" s="45" t="b">
        <f>IF(AND(F234="Meet the requirements traceability “out of the box”"), 10, IF(AND(F234="Can meet the requirements traceability with configuration or through the use of another commercial product “out of the box” or other arrangement as part of the service offering quoted (i.e. at no additional cost)"), 8, IF(AND(F234="Can meet the requirements traceability with customization at additional cost"), 3, IF(AND(F234="Cannot meet the requirements traceability requirement"), 0))))</f>
        <v>0</v>
      </c>
      <c r="H234" s="24"/>
      <c r="I234" s="24"/>
      <c r="J234" s="24"/>
      <c r="K234" s="24"/>
      <c r="L234" s="24"/>
      <c r="M234" s="24"/>
      <c r="N234" s="24"/>
      <c r="O234" s="24"/>
      <c r="P234" s="24"/>
      <c r="Q234" s="24"/>
      <c r="R234" s="24"/>
      <c r="S234" s="24"/>
      <c r="T234" s="24"/>
      <c r="U234" s="24"/>
      <c r="V234" s="24"/>
      <c r="W234" s="24"/>
      <c r="X234" s="24"/>
      <c r="Y234" s="24"/>
      <c r="Z234" s="24"/>
      <c r="AA234" s="24"/>
      <c r="AB234" s="24"/>
      <c r="AC234" s="24"/>
    </row>
    <row r="235" spans="1:29" ht="13.6">
      <c r="A235" s="284"/>
      <c r="B235" s="284"/>
      <c r="C235" s="284"/>
      <c r="D235" s="266"/>
      <c r="E235" s="282" t="s">
        <v>8807</v>
      </c>
      <c r="F235" s="79"/>
      <c r="G235" s="79"/>
      <c r="H235" s="24"/>
      <c r="I235" s="24"/>
      <c r="J235" s="24"/>
      <c r="K235" s="24"/>
      <c r="L235" s="24"/>
      <c r="M235" s="24"/>
      <c r="N235" s="24"/>
      <c r="O235" s="24"/>
      <c r="P235" s="24"/>
      <c r="Q235" s="24"/>
      <c r="R235" s="24"/>
      <c r="S235" s="24"/>
      <c r="T235" s="24"/>
      <c r="U235" s="24"/>
      <c r="V235" s="24"/>
      <c r="W235" s="24"/>
      <c r="X235" s="24"/>
      <c r="Y235" s="24"/>
      <c r="Z235" s="24"/>
      <c r="AA235" s="24"/>
      <c r="AB235" s="24"/>
      <c r="AC235" s="24"/>
    </row>
    <row r="236" spans="1:29" ht="13.6">
      <c r="A236" s="284"/>
      <c r="B236" s="284"/>
      <c r="C236" s="284"/>
      <c r="D236" s="266"/>
      <c r="E236" s="282" t="s">
        <v>8808</v>
      </c>
      <c r="F236" s="79"/>
      <c r="G236" s="79"/>
      <c r="H236" s="24"/>
      <c r="I236" s="24"/>
      <c r="J236" s="24"/>
      <c r="K236" s="24"/>
      <c r="L236" s="24"/>
      <c r="M236" s="24"/>
      <c r="N236" s="24"/>
      <c r="O236" s="24"/>
      <c r="P236" s="24"/>
      <c r="Q236" s="24"/>
      <c r="R236" s="24"/>
      <c r="S236" s="24"/>
      <c r="T236" s="24"/>
      <c r="U236" s="24"/>
      <c r="V236" s="24"/>
      <c r="W236" s="24"/>
      <c r="X236" s="24"/>
      <c r="Y236" s="24"/>
      <c r="Z236" s="24"/>
      <c r="AA236" s="24"/>
      <c r="AB236" s="24"/>
      <c r="AC236" s="24"/>
    </row>
    <row r="237" spans="1:29" ht="13.6">
      <c r="A237" s="284"/>
      <c r="B237" s="284"/>
      <c r="C237" s="284"/>
      <c r="D237" s="266"/>
      <c r="E237" s="282" t="s">
        <v>8809</v>
      </c>
      <c r="F237" s="79"/>
      <c r="G237" s="79"/>
      <c r="H237" s="24"/>
      <c r="I237" s="24"/>
      <c r="J237" s="24"/>
      <c r="K237" s="24"/>
      <c r="L237" s="24"/>
      <c r="M237" s="24"/>
      <c r="N237" s="24"/>
      <c r="O237" s="24"/>
      <c r="P237" s="24"/>
      <c r="Q237" s="24"/>
      <c r="R237" s="24"/>
      <c r="S237" s="24"/>
      <c r="T237" s="24"/>
      <c r="U237" s="24"/>
      <c r="V237" s="24"/>
      <c r="W237" s="24"/>
      <c r="X237" s="24"/>
      <c r="Y237" s="24"/>
      <c r="Z237" s="24"/>
      <c r="AA237" s="24"/>
      <c r="AB237" s="24"/>
      <c r="AC237" s="24"/>
    </row>
    <row r="238" spans="1:29" ht="13.6">
      <c r="A238" s="284"/>
      <c r="B238" s="284"/>
      <c r="C238" s="284"/>
      <c r="D238" s="266"/>
      <c r="E238" s="282" t="s">
        <v>8736</v>
      </c>
      <c r="F238" s="79"/>
      <c r="G238" s="79"/>
      <c r="H238" s="24"/>
      <c r="I238" s="24"/>
      <c r="J238" s="24"/>
      <c r="K238" s="24"/>
      <c r="L238" s="24"/>
      <c r="M238" s="24"/>
      <c r="N238" s="24"/>
      <c r="O238" s="24"/>
      <c r="P238" s="24"/>
      <c r="Q238" s="24"/>
      <c r="R238" s="24"/>
      <c r="S238" s="24"/>
      <c r="T238" s="24"/>
      <c r="U238" s="24"/>
      <c r="V238" s="24"/>
      <c r="W238" s="24"/>
      <c r="X238" s="24"/>
      <c r="Y238" s="24"/>
      <c r="Z238" s="24"/>
      <c r="AA238" s="24"/>
      <c r="AB238" s="24"/>
      <c r="AC238" s="24"/>
    </row>
    <row r="239" spans="1:29" ht="13.6">
      <c r="A239" s="284"/>
      <c r="B239" s="284"/>
      <c r="C239" s="284"/>
      <c r="D239" s="266"/>
      <c r="E239" s="282" t="s">
        <v>8737</v>
      </c>
      <c r="F239" s="79"/>
      <c r="G239" s="79"/>
      <c r="H239" s="24"/>
      <c r="I239" s="24"/>
      <c r="J239" s="24"/>
      <c r="K239" s="24"/>
      <c r="L239" s="24"/>
      <c r="M239" s="24"/>
      <c r="N239" s="24"/>
      <c r="O239" s="24"/>
      <c r="P239" s="24"/>
      <c r="Q239" s="24"/>
      <c r="R239" s="24"/>
      <c r="S239" s="24"/>
      <c r="T239" s="24"/>
      <c r="U239" s="24"/>
      <c r="V239" s="24"/>
      <c r="W239" s="24"/>
      <c r="X239" s="24"/>
      <c r="Y239" s="24"/>
      <c r="Z239" s="24"/>
      <c r="AA239" s="24"/>
      <c r="AB239" s="24"/>
      <c r="AC239" s="24"/>
    </row>
    <row r="240" spans="1:29" ht="13.6">
      <c r="A240" s="284" t="s">
        <v>8810</v>
      </c>
      <c r="B240" s="284" t="s">
        <v>8810</v>
      </c>
      <c r="C240" s="284" t="s">
        <v>8811</v>
      </c>
      <c r="D240" s="266"/>
      <c r="E240" s="266"/>
      <c r="F240" s="79"/>
      <c r="G240" s="79"/>
      <c r="H240" s="24"/>
      <c r="I240" s="24"/>
      <c r="J240" s="24"/>
      <c r="K240" s="24"/>
      <c r="L240" s="24"/>
      <c r="M240" s="24"/>
      <c r="N240" s="24"/>
      <c r="O240" s="24"/>
      <c r="P240" s="24"/>
      <c r="Q240" s="24"/>
      <c r="R240" s="24"/>
      <c r="S240" s="24"/>
      <c r="T240" s="24"/>
      <c r="U240" s="24"/>
      <c r="V240" s="24"/>
      <c r="W240" s="24"/>
      <c r="X240" s="24"/>
      <c r="Y240" s="24"/>
      <c r="Z240" s="24"/>
      <c r="AA240" s="24"/>
      <c r="AB240" s="24"/>
      <c r="AC240" s="24"/>
    </row>
    <row r="241" spans="1:29" ht="217.4">
      <c r="A241" s="263">
        <v>40</v>
      </c>
      <c r="B241" s="264"/>
      <c r="C241" s="263" t="s">
        <v>8812</v>
      </c>
      <c r="D241" s="265" t="s">
        <v>8813</v>
      </c>
      <c r="E241" s="265" t="s">
        <v>8814</v>
      </c>
      <c r="F241" s="43"/>
      <c r="G241" s="45" t="b">
        <f>IF(AND(F241="Meet the requirements traceability “out of the box”"), 10, IF(AND(F241="Can meet the requirements traceability with configuration or through the use of another commercial product “out of the box” or other arrangement as part of the service offering quoted (i.e. at no additional cost)"), 8, IF(AND(F241="Can meet the requirements traceability with customization at additional cost"), 3, IF(AND(F241="Cannot meet the requirements traceability requirement"), 0))))</f>
        <v>0</v>
      </c>
      <c r="H241" s="24"/>
      <c r="I241" s="24"/>
      <c r="J241" s="24"/>
      <c r="K241" s="24"/>
      <c r="L241" s="24"/>
      <c r="M241" s="24"/>
      <c r="N241" s="24"/>
      <c r="O241" s="24"/>
      <c r="P241" s="24"/>
      <c r="Q241" s="24"/>
      <c r="R241" s="24"/>
      <c r="S241" s="24"/>
      <c r="T241" s="24"/>
      <c r="U241" s="24"/>
      <c r="V241" s="24"/>
      <c r="W241" s="24"/>
      <c r="X241" s="24"/>
      <c r="Y241" s="24"/>
      <c r="Z241" s="24"/>
      <c r="AA241" s="24"/>
      <c r="AB241" s="24"/>
      <c r="AC241" s="24"/>
    </row>
    <row r="242" spans="1:29" ht="13.6">
      <c r="A242" s="263"/>
      <c r="B242" s="263"/>
      <c r="C242" s="263"/>
      <c r="D242" s="266"/>
      <c r="E242" s="281" t="s">
        <v>8815</v>
      </c>
      <c r="F242" s="79"/>
      <c r="G242" s="79"/>
      <c r="H242" s="24"/>
      <c r="I242" s="24"/>
      <c r="J242" s="24"/>
      <c r="K242" s="24"/>
      <c r="L242" s="24"/>
      <c r="M242" s="24"/>
      <c r="N242" s="24"/>
      <c r="O242" s="24"/>
      <c r="P242" s="24"/>
      <c r="Q242" s="24"/>
      <c r="R242" s="24"/>
      <c r="S242" s="24"/>
      <c r="T242" s="24"/>
      <c r="U242" s="24"/>
      <c r="V242" s="24"/>
      <c r="W242" s="24"/>
      <c r="X242" s="24"/>
      <c r="Y242" s="24"/>
      <c r="Z242" s="24"/>
      <c r="AA242" s="24"/>
      <c r="AB242" s="24"/>
      <c r="AC242" s="24"/>
    </row>
    <row r="243" spans="1:29" ht="13.6">
      <c r="A243" s="263"/>
      <c r="B243" s="263"/>
      <c r="C243" s="263"/>
      <c r="D243" s="266"/>
      <c r="E243" s="281" t="s">
        <v>8816</v>
      </c>
      <c r="F243" s="79"/>
      <c r="G243" s="79"/>
      <c r="H243" s="24"/>
      <c r="I243" s="24"/>
      <c r="J243" s="24"/>
      <c r="K243" s="24"/>
      <c r="L243" s="24"/>
      <c r="M243" s="24"/>
      <c r="N243" s="24"/>
      <c r="O243" s="24"/>
      <c r="P243" s="24"/>
      <c r="Q243" s="24"/>
      <c r="R243" s="24"/>
      <c r="S243" s="24"/>
      <c r="T243" s="24"/>
      <c r="U243" s="24"/>
      <c r="V243" s="24"/>
      <c r="W243" s="24"/>
      <c r="X243" s="24"/>
      <c r="Y243" s="24"/>
      <c r="Z243" s="24"/>
      <c r="AA243" s="24"/>
      <c r="AB243" s="24"/>
      <c r="AC243" s="24"/>
    </row>
    <row r="244" spans="1:29" ht="13.6">
      <c r="A244" s="263"/>
      <c r="B244" s="263"/>
      <c r="C244" s="263"/>
      <c r="D244" s="266"/>
      <c r="E244" s="281" t="s">
        <v>8817</v>
      </c>
      <c r="F244" s="79"/>
      <c r="G244" s="79"/>
      <c r="H244" s="24"/>
      <c r="I244" s="24"/>
      <c r="J244" s="24"/>
      <c r="K244" s="24"/>
      <c r="L244" s="24"/>
      <c r="M244" s="24"/>
      <c r="N244" s="24"/>
      <c r="O244" s="24"/>
      <c r="P244" s="24"/>
      <c r="Q244" s="24"/>
      <c r="R244" s="24"/>
      <c r="S244" s="24"/>
      <c r="T244" s="24"/>
      <c r="U244" s="24"/>
      <c r="V244" s="24"/>
      <c r="W244" s="24"/>
      <c r="X244" s="24"/>
      <c r="Y244" s="24"/>
      <c r="Z244" s="24"/>
      <c r="AA244" s="24"/>
      <c r="AB244" s="24"/>
      <c r="AC244" s="24"/>
    </row>
    <row r="245" spans="1:29" ht="13.6">
      <c r="A245" s="263"/>
      <c r="B245" s="263"/>
      <c r="C245" s="263"/>
      <c r="D245" s="266"/>
      <c r="E245" s="281" t="s">
        <v>8552</v>
      </c>
      <c r="F245" s="79"/>
      <c r="G245" s="79"/>
      <c r="H245" s="24"/>
      <c r="I245" s="24"/>
      <c r="J245" s="24"/>
      <c r="K245" s="24"/>
      <c r="L245" s="24"/>
      <c r="M245" s="24"/>
      <c r="N245" s="24"/>
      <c r="O245" s="24"/>
      <c r="P245" s="24"/>
      <c r="Q245" s="24"/>
      <c r="R245" s="24"/>
      <c r="S245" s="24"/>
      <c r="T245" s="24"/>
      <c r="U245" s="24"/>
      <c r="V245" s="24"/>
      <c r="W245" s="24"/>
      <c r="X245" s="24"/>
      <c r="Y245" s="24"/>
      <c r="Z245" s="24"/>
      <c r="AA245" s="24"/>
      <c r="AB245" s="24"/>
      <c r="AC245" s="24"/>
    </row>
    <row r="246" spans="1:29" ht="13.6">
      <c r="A246" s="263"/>
      <c r="B246" s="263"/>
      <c r="C246" s="263"/>
      <c r="D246" s="266"/>
      <c r="E246" s="281" t="s">
        <v>8818</v>
      </c>
      <c r="F246" s="79"/>
      <c r="G246" s="79"/>
      <c r="H246" s="24"/>
      <c r="I246" s="24"/>
      <c r="J246" s="24"/>
      <c r="K246" s="24"/>
      <c r="L246" s="24"/>
      <c r="M246" s="24"/>
      <c r="N246" s="24"/>
      <c r="O246" s="24"/>
      <c r="P246" s="24"/>
      <c r="Q246" s="24"/>
      <c r="R246" s="24"/>
      <c r="S246" s="24"/>
      <c r="T246" s="24"/>
      <c r="U246" s="24"/>
      <c r="V246" s="24"/>
      <c r="W246" s="24"/>
      <c r="X246" s="24"/>
      <c r="Y246" s="24"/>
      <c r="Z246" s="24"/>
      <c r="AA246" s="24"/>
      <c r="AB246" s="24"/>
      <c r="AC246" s="24"/>
    </row>
    <row r="247" spans="1:29" ht="13.6">
      <c r="A247" s="263"/>
      <c r="B247" s="263"/>
      <c r="C247" s="263"/>
      <c r="D247" s="266"/>
      <c r="E247" s="281" t="s">
        <v>8819</v>
      </c>
      <c r="F247" s="79"/>
      <c r="G247" s="79"/>
      <c r="H247" s="24"/>
      <c r="I247" s="24"/>
      <c r="J247" s="24"/>
      <c r="K247" s="24"/>
      <c r="L247" s="24"/>
      <c r="M247" s="24"/>
      <c r="N247" s="24"/>
      <c r="O247" s="24"/>
      <c r="P247" s="24"/>
      <c r="Q247" s="24"/>
      <c r="R247" s="24"/>
      <c r="S247" s="24"/>
      <c r="T247" s="24"/>
      <c r="U247" s="24"/>
      <c r="V247" s="24"/>
      <c r="W247" s="24"/>
      <c r="X247" s="24"/>
      <c r="Y247" s="24"/>
      <c r="Z247" s="24"/>
      <c r="AA247" s="24"/>
      <c r="AB247" s="24"/>
      <c r="AC247" s="24"/>
    </row>
    <row r="248" spans="1:29" ht="13.6">
      <c r="A248" s="263" t="s">
        <v>8820</v>
      </c>
      <c r="B248" s="263" t="s">
        <v>8820</v>
      </c>
      <c r="C248" s="263" t="s">
        <v>5281</v>
      </c>
      <c r="D248" s="266"/>
      <c r="E248" s="266"/>
      <c r="F248" s="79"/>
      <c r="G248" s="79"/>
      <c r="H248" s="24"/>
      <c r="I248" s="24"/>
      <c r="J248" s="24"/>
      <c r="K248" s="24"/>
      <c r="L248" s="24"/>
      <c r="M248" s="24"/>
      <c r="N248" s="24"/>
      <c r="O248" s="24"/>
      <c r="P248" s="24"/>
      <c r="Q248" s="24"/>
      <c r="R248" s="24"/>
      <c r="S248" s="24"/>
      <c r="T248" s="24"/>
      <c r="U248" s="24"/>
      <c r="V248" s="24"/>
      <c r="W248" s="24"/>
      <c r="X248" s="24"/>
      <c r="Y248" s="24"/>
      <c r="Z248" s="24"/>
      <c r="AA248" s="24"/>
      <c r="AB248" s="24"/>
      <c r="AC248" s="24"/>
    </row>
    <row r="249" spans="1:29" ht="13.6">
      <c r="A249" s="263" t="s">
        <v>8821</v>
      </c>
      <c r="B249" s="263" t="s">
        <v>8821</v>
      </c>
      <c r="C249" s="263" t="s">
        <v>8822</v>
      </c>
      <c r="D249" s="266"/>
      <c r="E249" s="266"/>
      <c r="F249" s="79"/>
      <c r="G249" s="79"/>
      <c r="H249" s="24"/>
      <c r="I249" s="24"/>
      <c r="J249" s="24"/>
      <c r="K249" s="24"/>
      <c r="L249" s="24"/>
      <c r="M249" s="24"/>
      <c r="N249" s="24"/>
      <c r="O249" s="24"/>
      <c r="P249" s="24"/>
      <c r="Q249" s="24"/>
      <c r="R249" s="24"/>
      <c r="S249" s="24"/>
      <c r="T249" s="24"/>
      <c r="U249" s="24"/>
      <c r="V249" s="24"/>
      <c r="W249" s="24"/>
      <c r="X249" s="24"/>
      <c r="Y249" s="24"/>
      <c r="Z249" s="24"/>
      <c r="AA249" s="24"/>
      <c r="AB249" s="24"/>
      <c r="AC249" s="24"/>
    </row>
    <row r="250" spans="1:29" ht="13.6">
      <c r="A250" s="263" t="s">
        <v>8823</v>
      </c>
      <c r="B250" s="263" t="s">
        <v>8823</v>
      </c>
      <c r="C250" s="263" t="s">
        <v>8705</v>
      </c>
      <c r="D250" s="266"/>
      <c r="E250" s="266"/>
      <c r="F250" s="79"/>
      <c r="G250" s="79"/>
      <c r="H250" s="24"/>
      <c r="I250" s="24"/>
      <c r="J250" s="24"/>
      <c r="K250" s="24"/>
      <c r="L250" s="24"/>
      <c r="M250" s="24"/>
      <c r="N250" s="24"/>
      <c r="O250" s="24"/>
      <c r="P250" s="24"/>
      <c r="Q250" s="24"/>
      <c r="R250" s="24"/>
      <c r="S250" s="24"/>
      <c r="T250" s="24"/>
      <c r="U250" s="24"/>
      <c r="V250" s="24"/>
      <c r="W250" s="24"/>
      <c r="X250" s="24"/>
      <c r="Y250" s="24"/>
      <c r="Z250" s="24"/>
      <c r="AA250" s="24"/>
      <c r="AB250" s="24"/>
      <c r="AC250" s="24"/>
    </row>
    <row r="251" spans="1:29" ht="190.2">
      <c r="A251" s="263">
        <v>41</v>
      </c>
      <c r="B251" s="264"/>
      <c r="C251" s="263" t="s">
        <v>8824</v>
      </c>
      <c r="D251" s="265" t="s">
        <v>8825</v>
      </c>
      <c r="E251" s="265" t="s">
        <v>8826</v>
      </c>
      <c r="F251" s="43"/>
      <c r="G251" s="45" t="b">
        <f>IF(AND(F251="Meet the requirements traceability “out of the box”"), 10, IF(AND(F251="Can meet the requirements traceability with configuration or through the use of another commercial product “out of the box” or other arrangement as part of the service offering quoted (i.e. at no additional cost)"), 8, IF(AND(F251="Can meet the requirements traceability with customization at additional cost"), 3, IF(AND(F251="Cannot meet the requirements traceability requirement"), 0))))</f>
        <v>0</v>
      </c>
      <c r="H251" s="24"/>
      <c r="I251" s="24"/>
      <c r="J251" s="24"/>
      <c r="K251" s="24"/>
      <c r="L251" s="24"/>
      <c r="M251" s="24"/>
      <c r="N251" s="24"/>
      <c r="O251" s="24"/>
      <c r="P251" s="24"/>
      <c r="Q251" s="24"/>
      <c r="R251" s="24"/>
      <c r="S251" s="24"/>
      <c r="T251" s="24"/>
      <c r="U251" s="24"/>
      <c r="V251" s="24"/>
      <c r="W251" s="24"/>
      <c r="X251" s="24"/>
      <c r="Y251" s="24"/>
      <c r="Z251" s="24"/>
      <c r="AA251" s="24"/>
      <c r="AB251" s="24"/>
      <c r="AC251" s="24"/>
    </row>
    <row r="252" spans="1:29" ht="13.6">
      <c r="A252" s="263"/>
      <c r="B252" s="264"/>
      <c r="C252" s="263"/>
      <c r="D252" s="265"/>
      <c r="E252" s="282" t="s">
        <v>8827</v>
      </c>
      <c r="F252" s="79"/>
      <c r="G252" s="79"/>
      <c r="H252" s="24"/>
      <c r="I252" s="24"/>
      <c r="J252" s="24"/>
      <c r="K252" s="24"/>
      <c r="L252" s="24"/>
      <c r="M252" s="24"/>
      <c r="N252" s="24"/>
      <c r="O252" s="24"/>
      <c r="P252" s="24"/>
      <c r="Q252" s="24"/>
      <c r="R252" s="24"/>
      <c r="S252" s="24"/>
      <c r="T252" s="24"/>
      <c r="U252" s="24"/>
      <c r="V252" s="24"/>
      <c r="W252" s="24"/>
      <c r="X252" s="24"/>
      <c r="Y252" s="24"/>
      <c r="Z252" s="24"/>
      <c r="AA252" s="24"/>
      <c r="AB252" s="24"/>
      <c r="AC252" s="24"/>
    </row>
    <row r="253" spans="1:29" ht="13.6">
      <c r="A253" s="263"/>
      <c r="B253" s="264"/>
      <c r="C253" s="263"/>
      <c r="D253" s="265"/>
      <c r="E253" s="282" t="s">
        <v>8828</v>
      </c>
      <c r="F253" s="79"/>
      <c r="G253" s="79"/>
      <c r="H253" s="24"/>
      <c r="I253" s="24"/>
      <c r="J253" s="24"/>
      <c r="K253" s="24"/>
      <c r="L253" s="24"/>
      <c r="M253" s="24"/>
      <c r="N253" s="24"/>
      <c r="O253" s="24"/>
      <c r="P253" s="24"/>
      <c r="Q253" s="24"/>
      <c r="R253" s="24"/>
      <c r="S253" s="24"/>
      <c r="T253" s="24"/>
      <c r="U253" s="24"/>
      <c r="V253" s="24"/>
      <c r="W253" s="24"/>
      <c r="X253" s="24"/>
      <c r="Y253" s="24"/>
      <c r="Z253" s="24"/>
      <c r="AA253" s="24"/>
      <c r="AB253" s="24"/>
      <c r="AC253" s="24"/>
    </row>
    <row r="254" spans="1:29" ht="13.6">
      <c r="A254" s="263"/>
      <c r="B254" s="264"/>
      <c r="C254" s="263"/>
      <c r="D254" s="265"/>
      <c r="E254" s="282" t="s">
        <v>8829</v>
      </c>
      <c r="F254" s="79"/>
      <c r="G254" s="79"/>
      <c r="H254" s="24"/>
      <c r="I254" s="24"/>
      <c r="J254" s="24"/>
      <c r="K254" s="24"/>
      <c r="L254" s="24"/>
      <c r="M254" s="24"/>
      <c r="N254" s="24"/>
      <c r="O254" s="24"/>
      <c r="P254" s="24"/>
      <c r="Q254" s="24"/>
      <c r="R254" s="24"/>
      <c r="S254" s="24"/>
      <c r="T254" s="24"/>
      <c r="U254" s="24"/>
      <c r="V254" s="24"/>
      <c r="W254" s="24"/>
      <c r="X254" s="24"/>
      <c r="Y254" s="24"/>
      <c r="Z254" s="24"/>
      <c r="AA254" s="24"/>
      <c r="AB254" s="24"/>
      <c r="AC254" s="24"/>
    </row>
    <row r="255" spans="1:29" ht="13.6">
      <c r="A255" s="263"/>
      <c r="B255" s="264"/>
      <c r="C255" s="263"/>
      <c r="D255" s="265"/>
      <c r="E255" s="282" t="s">
        <v>8830</v>
      </c>
      <c r="F255" s="79"/>
      <c r="G255" s="79"/>
      <c r="H255" s="24"/>
      <c r="I255" s="24"/>
      <c r="J255" s="24"/>
      <c r="K255" s="24"/>
      <c r="L255" s="24"/>
      <c r="M255" s="24"/>
      <c r="N255" s="24"/>
      <c r="O255" s="24"/>
      <c r="P255" s="24"/>
      <c r="Q255" s="24"/>
      <c r="R255" s="24"/>
      <c r="S255" s="24"/>
      <c r="T255" s="24"/>
      <c r="U255" s="24"/>
      <c r="V255" s="24"/>
      <c r="W255" s="24"/>
      <c r="X255" s="24"/>
      <c r="Y255" s="24"/>
      <c r="Z255" s="24"/>
      <c r="AA255" s="24"/>
      <c r="AB255" s="24"/>
      <c r="AC255" s="24"/>
    </row>
    <row r="256" spans="1:29" ht="13.6">
      <c r="A256" s="263"/>
      <c r="B256" s="264"/>
      <c r="C256" s="263"/>
      <c r="D256" s="265"/>
      <c r="E256" s="282" t="s">
        <v>8831</v>
      </c>
      <c r="F256" s="79"/>
      <c r="G256" s="79"/>
      <c r="H256" s="24"/>
      <c r="I256" s="24"/>
      <c r="J256" s="24"/>
      <c r="K256" s="24"/>
      <c r="L256" s="24"/>
      <c r="M256" s="24"/>
      <c r="N256" s="24"/>
      <c r="O256" s="24"/>
      <c r="P256" s="24"/>
      <c r="Q256" s="24"/>
      <c r="R256" s="24"/>
      <c r="S256" s="24"/>
      <c r="T256" s="24"/>
      <c r="U256" s="24"/>
      <c r="V256" s="24"/>
      <c r="W256" s="24"/>
      <c r="X256" s="24"/>
      <c r="Y256" s="24"/>
      <c r="Z256" s="24"/>
      <c r="AA256" s="24"/>
      <c r="AB256" s="24"/>
      <c r="AC256" s="24"/>
    </row>
    <row r="257" spans="1:29" ht="13.6">
      <c r="A257" s="263"/>
      <c r="B257" s="264"/>
      <c r="C257" s="263"/>
      <c r="D257" s="265"/>
      <c r="E257" s="282" t="s">
        <v>8832</v>
      </c>
      <c r="F257" s="79"/>
      <c r="G257" s="79"/>
      <c r="H257" s="24"/>
      <c r="I257" s="24"/>
      <c r="J257" s="24"/>
      <c r="K257" s="24"/>
      <c r="L257" s="24"/>
      <c r="M257" s="24"/>
      <c r="N257" s="24"/>
      <c r="O257" s="24"/>
      <c r="P257" s="24"/>
      <c r="Q257" s="24"/>
      <c r="R257" s="24"/>
      <c r="S257" s="24"/>
      <c r="T257" s="24"/>
      <c r="U257" s="24"/>
      <c r="V257" s="24"/>
      <c r="W257" s="24"/>
      <c r="X257" s="24"/>
      <c r="Y257" s="24"/>
      <c r="Z257" s="24"/>
      <c r="AA257" s="24"/>
      <c r="AB257" s="24"/>
      <c r="AC257" s="24"/>
    </row>
    <row r="258" spans="1:29" ht="13.6">
      <c r="A258" s="263"/>
      <c r="B258" s="264"/>
      <c r="C258" s="263"/>
      <c r="D258" s="265"/>
      <c r="E258" s="282" t="s">
        <v>8736</v>
      </c>
      <c r="F258" s="79"/>
      <c r="G258" s="79"/>
      <c r="H258" s="24"/>
      <c r="I258" s="24"/>
      <c r="J258" s="24"/>
      <c r="K258" s="24"/>
      <c r="L258" s="24"/>
      <c r="M258" s="24"/>
      <c r="N258" s="24"/>
      <c r="O258" s="24"/>
      <c r="P258" s="24"/>
      <c r="Q258" s="24"/>
      <c r="R258" s="24"/>
      <c r="S258" s="24"/>
      <c r="T258" s="24"/>
      <c r="U258" s="24"/>
      <c r="V258" s="24"/>
      <c r="W258" s="24"/>
      <c r="X258" s="24"/>
      <c r="Y258" s="24"/>
      <c r="Z258" s="24"/>
      <c r="AA258" s="24"/>
      <c r="AB258" s="24"/>
      <c r="AC258" s="24"/>
    </row>
    <row r="259" spans="1:29" ht="149.44999999999999">
      <c r="A259" s="263">
        <v>42</v>
      </c>
      <c r="B259" s="264"/>
      <c r="C259" s="263" t="s">
        <v>8833</v>
      </c>
      <c r="D259" s="265" t="s">
        <v>8834</v>
      </c>
      <c r="E259" s="265" t="s">
        <v>8835</v>
      </c>
      <c r="F259" s="43"/>
      <c r="G259" s="45" t="b">
        <f>IF(AND(F259="Meet the requirements traceability “out of the box”"), 10, IF(AND(F259="Can meet the requirements traceability with configuration or through the use of another commercial product “out of the box” or other arrangement as part of the service offering quoted (i.e. at no additional cost)"), 8, IF(AND(F259="Can meet the requirements traceability with customization at additional cost"), 3, IF(AND(F259="Cannot meet the requirements traceability requirement"), 0))))</f>
        <v>0</v>
      </c>
      <c r="H259" s="24"/>
      <c r="I259" s="24"/>
      <c r="J259" s="24"/>
      <c r="K259" s="24"/>
      <c r="L259" s="24"/>
      <c r="M259" s="24"/>
      <c r="N259" s="24"/>
      <c r="O259" s="24"/>
      <c r="P259" s="24"/>
      <c r="Q259" s="24"/>
      <c r="R259" s="24"/>
      <c r="S259" s="24"/>
      <c r="T259" s="24"/>
      <c r="U259" s="24"/>
      <c r="V259" s="24"/>
      <c r="W259" s="24"/>
      <c r="X259" s="24"/>
      <c r="Y259" s="24"/>
      <c r="Z259" s="24"/>
      <c r="AA259" s="24"/>
      <c r="AB259" s="24"/>
      <c r="AC259" s="24"/>
    </row>
    <row r="260" spans="1:29" ht="13.6">
      <c r="A260" s="284"/>
      <c r="B260" s="283"/>
      <c r="C260" s="283"/>
      <c r="D260" s="288"/>
      <c r="E260" s="282" t="s">
        <v>8836</v>
      </c>
      <c r="F260" s="79"/>
      <c r="G260" s="79"/>
      <c r="H260" s="289"/>
      <c r="I260" s="289"/>
      <c r="J260" s="289"/>
      <c r="K260" s="289"/>
      <c r="L260" s="289"/>
      <c r="M260" s="289"/>
      <c r="N260" s="289"/>
      <c r="O260" s="289"/>
      <c r="P260" s="289"/>
      <c r="Q260" s="289"/>
      <c r="R260" s="289"/>
      <c r="S260" s="289"/>
      <c r="T260" s="289"/>
      <c r="U260" s="289"/>
      <c r="V260" s="289"/>
      <c r="W260" s="289"/>
      <c r="X260" s="289"/>
      <c r="Y260" s="289"/>
      <c r="Z260" s="289"/>
      <c r="AA260" s="289"/>
      <c r="AB260" s="289"/>
      <c r="AC260" s="289"/>
    </row>
    <row r="261" spans="1:29" ht="13.6">
      <c r="A261" s="284"/>
      <c r="B261" s="283"/>
      <c r="C261" s="283"/>
      <c r="D261" s="288"/>
      <c r="E261" s="282" t="s">
        <v>8837</v>
      </c>
      <c r="F261" s="79"/>
      <c r="G261" s="79"/>
      <c r="H261" s="289"/>
      <c r="I261" s="289"/>
      <c r="J261" s="289"/>
      <c r="K261" s="289"/>
      <c r="L261" s="289"/>
      <c r="M261" s="289"/>
      <c r="N261" s="289"/>
      <c r="O261" s="289"/>
      <c r="P261" s="289"/>
      <c r="Q261" s="289"/>
      <c r="R261" s="289"/>
      <c r="S261" s="289"/>
      <c r="T261" s="289"/>
      <c r="U261" s="289"/>
      <c r="V261" s="289"/>
      <c r="W261" s="289"/>
      <c r="X261" s="289"/>
      <c r="Y261" s="289"/>
      <c r="Z261" s="289"/>
      <c r="AA261" s="289"/>
      <c r="AB261" s="289"/>
      <c r="AC261" s="289"/>
    </row>
    <row r="262" spans="1:29" ht="13.6">
      <c r="A262" s="284"/>
      <c r="B262" s="283"/>
      <c r="C262" s="283"/>
      <c r="D262" s="288"/>
      <c r="E262" s="282" t="s">
        <v>8838</v>
      </c>
      <c r="F262" s="79"/>
      <c r="G262" s="7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row>
    <row r="263" spans="1:29" ht="13.6">
      <c r="A263" s="284"/>
      <c r="B263" s="283"/>
      <c r="C263" s="283"/>
      <c r="D263" s="288"/>
      <c r="E263" s="282" t="s">
        <v>8839</v>
      </c>
      <c r="F263" s="79"/>
      <c r="G263" s="79"/>
      <c r="H263" s="289"/>
      <c r="I263" s="289"/>
      <c r="J263" s="289"/>
      <c r="K263" s="289"/>
      <c r="L263" s="289"/>
      <c r="M263" s="289"/>
      <c r="N263" s="289"/>
      <c r="O263" s="289"/>
      <c r="P263" s="289"/>
      <c r="Q263" s="289"/>
      <c r="R263" s="289"/>
      <c r="S263" s="289"/>
      <c r="T263" s="289"/>
      <c r="U263" s="289"/>
      <c r="V263" s="289"/>
      <c r="W263" s="289"/>
      <c r="X263" s="289"/>
      <c r="Y263" s="289"/>
      <c r="Z263" s="289"/>
      <c r="AA263" s="289"/>
      <c r="AB263" s="289"/>
      <c r="AC263" s="289"/>
    </row>
    <row r="264" spans="1:29" ht="13.6">
      <c r="A264" s="284"/>
      <c r="B264" s="283"/>
      <c r="C264" s="283"/>
      <c r="D264" s="288"/>
      <c r="E264" s="282" t="s">
        <v>8760</v>
      </c>
      <c r="F264" s="79"/>
      <c r="G264" s="79"/>
      <c r="H264" s="289"/>
      <c r="I264" s="289"/>
      <c r="J264" s="289"/>
      <c r="K264" s="289"/>
      <c r="L264" s="289"/>
      <c r="M264" s="289"/>
      <c r="N264" s="289"/>
      <c r="O264" s="289"/>
      <c r="P264" s="289"/>
      <c r="Q264" s="289"/>
      <c r="R264" s="289"/>
      <c r="S264" s="289"/>
      <c r="T264" s="289"/>
      <c r="U264" s="289"/>
      <c r="V264" s="289"/>
      <c r="W264" s="289"/>
      <c r="X264" s="289"/>
      <c r="Y264" s="289"/>
      <c r="Z264" s="289"/>
      <c r="AA264" s="289"/>
      <c r="AB264" s="289"/>
      <c r="AC264" s="289"/>
    </row>
    <row r="265" spans="1:29" ht="13.6">
      <c r="A265" s="284"/>
      <c r="B265" s="283"/>
      <c r="C265" s="283"/>
      <c r="D265" s="288"/>
      <c r="E265" s="282" t="s">
        <v>8736</v>
      </c>
      <c r="F265" s="79"/>
      <c r="G265" s="7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row>
    <row r="266" spans="1:29" ht="13.6">
      <c r="A266" s="290" t="s">
        <v>8840</v>
      </c>
      <c r="B266" s="291"/>
      <c r="C266" s="291"/>
      <c r="D266" s="292"/>
      <c r="E266" s="292"/>
      <c r="F266" s="79"/>
      <c r="G266" s="79"/>
      <c r="H266" s="24"/>
      <c r="I266" s="24"/>
      <c r="J266" s="24"/>
      <c r="K266" s="24"/>
      <c r="L266" s="24"/>
      <c r="M266" s="24"/>
      <c r="N266" s="24"/>
      <c r="O266" s="24"/>
      <c r="P266" s="24"/>
      <c r="Q266" s="24"/>
      <c r="R266" s="24"/>
      <c r="S266" s="24"/>
      <c r="T266" s="24"/>
      <c r="U266" s="24"/>
      <c r="V266" s="24"/>
      <c r="W266" s="24"/>
      <c r="X266" s="24"/>
      <c r="Y266" s="24"/>
      <c r="Z266" s="24"/>
      <c r="AA266" s="24"/>
      <c r="AB266" s="24"/>
      <c r="AC266" s="24"/>
    </row>
    <row r="267" spans="1:29" ht="203.8">
      <c r="A267" s="263">
        <v>43</v>
      </c>
      <c r="B267" s="264"/>
      <c r="C267" s="263" t="s">
        <v>1008</v>
      </c>
      <c r="D267" s="265" t="s">
        <v>8841</v>
      </c>
      <c r="E267" s="266"/>
      <c r="F267" s="43"/>
      <c r="G267" s="45" t="b">
        <f t="shared" ref="G267:G271" si="0">IF(AND(F267="Meet the requirements traceability “out of the box”"), 10, IF(AND(F267="Can meet the requirements traceability with configuration or through the use of another commercial product “out of the box” or other arrangement as part of the service offering quoted (i.e. at no additional cost)"), 8, IF(AND(F267="Can meet the requirements traceability with customization at additional cost"), 3, IF(AND(F267="Cannot meet the requirements traceability requirement"), 0))))</f>
        <v>0</v>
      </c>
      <c r="H267" s="24"/>
      <c r="I267" s="24"/>
      <c r="J267" s="24"/>
      <c r="K267" s="24"/>
      <c r="L267" s="24"/>
      <c r="M267" s="24"/>
      <c r="N267" s="24"/>
      <c r="O267" s="24"/>
      <c r="P267" s="24"/>
      <c r="Q267" s="24"/>
      <c r="R267" s="24"/>
      <c r="S267" s="24"/>
      <c r="T267" s="24"/>
      <c r="U267" s="24"/>
      <c r="V267" s="24"/>
      <c r="W267" s="24"/>
      <c r="X267" s="24"/>
      <c r="Y267" s="24"/>
      <c r="Z267" s="24"/>
      <c r="AA267" s="24"/>
      <c r="AB267" s="24"/>
      <c r="AC267" s="24"/>
    </row>
    <row r="268" spans="1:29" ht="108.7">
      <c r="A268" s="263">
        <v>44</v>
      </c>
      <c r="B268" s="264"/>
      <c r="C268" s="263" t="s">
        <v>8842</v>
      </c>
      <c r="D268" s="265" t="s">
        <v>8843</v>
      </c>
      <c r="E268" s="266"/>
      <c r="F268" s="43"/>
      <c r="G268" s="45" t="b">
        <f t="shared" si="0"/>
        <v>0</v>
      </c>
      <c r="H268" s="24"/>
      <c r="I268" s="24"/>
      <c r="J268" s="24"/>
      <c r="K268" s="24"/>
      <c r="L268" s="24"/>
      <c r="M268" s="24"/>
      <c r="N268" s="24"/>
      <c r="O268" s="24"/>
      <c r="P268" s="24"/>
      <c r="Q268" s="24"/>
      <c r="R268" s="24"/>
      <c r="S268" s="24"/>
      <c r="T268" s="24"/>
      <c r="U268" s="24"/>
      <c r="V268" s="24"/>
      <c r="W268" s="24"/>
      <c r="X268" s="24"/>
      <c r="Y268" s="24"/>
      <c r="Z268" s="24"/>
      <c r="AA268" s="24"/>
      <c r="AB268" s="24"/>
      <c r="AC268" s="24"/>
    </row>
    <row r="269" spans="1:29" ht="67.95">
      <c r="A269" s="263">
        <v>45</v>
      </c>
      <c r="B269" s="264"/>
      <c r="C269" s="263" t="s">
        <v>8844</v>
      </c>
      <c r="D269" s="265" t="s">
        <v>8845</v>
      </c>
      <c r="E269" s="266"/>
      <c r="F269" s="43"/>
      <c r="G269" s="45" t="b">
        <f t="shared" si="0"/>
        <v>0</v>
      </c>
      <c r="H269" s="24"/>
      <c r="I269" s="24"/>
      <c r="J269" s="24"/>
      <c r="K269" s="24"/>
      <c r="L269" s="24"/>
      <c r="M269" s="24"/>
      <c r="N269" s="24"/>
      <c r="O269" s="24"/>
      <c r="P269" s="24"/>
      <c r="Q269" s="24"/>
      <c r="R269" s="24"/>
      <c r="S269" s="24"/>
      <c r="T269" s="24"/>
      <c r="U269" s="24"/>
      <c r="V269" s="24"/>
      <c r="W269" s="24"/>
      <c r="X269" s="24"/>
      <c r="Y269" s="24"/>
      <c r="Z269" s="24"/>
      <c r="AA269" s="24"/>
      <c r="AB269" s="24"/>
      <c r="AC269" s="24"/>
    </row>
    <row r="270" spans="1:29" ht="27.2">
      <c r="A270" s="263">
        <v>46</v>
      </c>
      <c r="B270" s="264"/>
      <c r="C270" s="263" t="s">
        <v>8846</v>
      </c>
      <c r="D270" s="265" t="s">
        <v>8847</v>
      </c>
      <c r="E270" s="266"/>
      <c r="F270" s="43"/>
      <c r="G270" s="45" t="b">
        <f t="shared" si="0"/>
        <v>0</v>
      </c>
      <c r="H270" s="24"/>
      <c r="I270" s="24"/>
      <c r="J270" s="24"/>
      <c r="K270" s="24"/>
      <c r="L270" s="24"/>
      <c r="M270" s="24"/>
      <c r="N270" s="24"/>
      <c r="O270" s="24"/>
      <c r="P270" s="24"/>
      <c r="Q270" s="24"/>
      <c r="R270" s="24"/>
      <c r="S270" s="24"/>
      <c r="T270" s="24"/>
      <c r="U270" s="24"/>
      <c r="V270" s="24"/>
      <c r="W270" s="24"/>
      <c r="X270" s="24"/>
      <c r="Y270" s="24"/>
      <c r="Z270" s="24"/>
      <c r="AA270" s="24"/>
      <c r="AB270" s="24"/>
      <c r="AC270" s="24"/>
    </row>
    <row r="271" spans="1:29" ht="108.7">
      <c r="A271" s="263">
        <v>47</v>
      </c>
      <c r="B271" s="264"/>
      <c r="C271" s="263" t="s">
        <v>8848</v>
      </c>
      <c r="D271" s="265" t="s">
        <v>8849</v>
      </c>
      <c r="E271" s="266"/>
      <c r="F271" s="43"/>
      <c r="G271" s="45" t="b">
        <f t="shared" si="0"/>
        <v>0</v>
      </c>
      <c r="H271" s="24"/>
      <c r="I271" s="24"/>
      <c r="J271" s="24"/>
      <c r="K271" s="24"/>
      <c r="L271" s="24"/>
      <c r="M271" s="24"/>
      <c r="N271" s="24"/>
      <c r="O271" s="24"/>
      <c r="P271" s="24"/>
      <c r="Q271" s="24"/>
      <c r="R271" s="24"/>
      <c r="S271" s="24"/>
      <c r="T271" s="24"/>
      <c r="U271" s="24"/>
      <c r="V271" s="24"/>
      <c r="W271" s="24"/>
      <c r="X271" s="24"/>
      <c r="Y271" s="24"/>
      <c r="Z271" s="24"/>
      <c r="AA271" s="24"/>
      <c r="AB271" s="24"/>
      <c r="AC271" s="24"/>
    </row>
    <row r="272" spans="1:29" ht="16.3">
      <c r="A272" s="121"/>
      <c r="B272" s="25"/>
      <c r="C272" s="25"/>
      <c r="D272" s="79"/>
      <c r="E272" s="92"/>
      <c r="F272" s="79"/>
      <c r="G272" s="279"/>
      <c r="H272" s="24"/>
      <c r="I272" s="24"/>
      <c r="J272" s="24"/>
      <c r="K272" s="24"/>
      <c r="L272" s="24"/>
      <c r="M272" s="24"/>
      <c r="N272" s="24"/>
      <c r="O272" s="24"/>
      <c r="P272" s="24"/>
      <c r="Q272" s="24"/>
      <c r="R272" s="24"/>
      <c r="S272" s="24"/>
      <c r="T272" s="24"/>
      <c r="U272" s="24"/>
      <c r="V272" s="24"/>
      <c r="W272" s="24"/>
      <c r="X272" s="24"/>
      <c r="Y272" s="24"/>
      <c r="Z272" s="24"/>
      <c r="AA272" s="24"/>
      <c r="AB272" s="24"/>
      <c r="AC272" s="24"/>
    </row>
    <row r="273" spans="1:29" ht="16.3">
      <c r="A273" s="121"/>
      <c r="B273" s="25"/>
      <c r="C273" s="25"/>
      <c r="D273" s="41"/>
      <c r="E273" s="92"/>
      <c r="F273" s="79"/>
      <c r="G273" s="114">
        <f>SUM(G3:G271)</f>
        <v>0</v>
      </c>
      <c r="H273" s="24"/>
      <c r="I273" s="24"/>
      <c r="J273" s="24"/>
      <c r="K273" s="24"/>
      <c r="L273" s="24"/>
      <c r="M273" s="24"/>
      <c r="N273" s="24"/>
      <c r="O273" s="24"/>
      <c r="P273" s="24"/>
      <c r="Q273" s="24"/>
      <c r="R273" s="24"/>
      <c r="S273" s="24"/>
      <c r="T273" s="24"/>
      <c r="U273" s="24"/>
      <c r="V273" s="24"/>
      <c r="W273" s="24"/>
      <c r="X273" s="24"/>
      <c r="Y273" s="24"/>
      <c r="Z273" s="24"/>
      <c r="AA273" s="24"/>
      <c r="AB273" s="24"/>
      <c r="AC273" s="24"/>
    </row>
    <row r="274" spans="1:29" ht="12.9">
      <c r="A274" s="121"/>
      <c r="B274" s="25"/>
      <c r="C274" s="25"/>
      <c r="D274" s="94"/>
      <c r="E274" s="293"/>
      <c r="F274" s="74"/>
      <c r="G274" s="235"/>
      <c r="H274" s="24"/>
      <c r="I274" s="24"/>
      <c r="J274" s="24"/>
      <c r="K274" s="24"/>
      <c r="L274" s="24"/>
      <c r="M274" s="24"/>
      <c r="N274" s="24"/>
      <c r="O274" s="24"/>
      <c r="P274" s="24"/>
      <c r="Q274" s="24"/>
      <c r="R274" s="24"/>
      <c r="S274" s="24"/>
      <c r="T274" s="24"/>
      <c r="U274" s="24"/>
      <c r="V274" s="24"/>
      <c r="W274" s="24"/>
      <c r="X274" s="24"/>
      <c r="Y274" s="24"/>
      <c r="Z274" s="24"/>
      <c r="AA274" s="24"/>
      <c r="AB274" s="24"/>
      <c r="AC274" s="24"/>
    </row>
    <row r="275" spans="1:29" ht="12.9">
      <c r="A275" s="121"/>
      <c r="B275" s="25"/>
      <c r="C275" s="25"/>
      <c r="D275" s="41"/>
      <c r="E275" s="92"/>
      <c r="F275" s="294"/>
      <c r="H275" s="24"/>
      <c r="I275" s="24"/>
      <c r="J275" s="24"/>
      <c r="K275" s="24"/>
      <c r="L275" s="24"/>
      <c r="M275" s="24"/>
      <c r="N275" s="24"/>
      <c r="O275" s="24"/>
      <c r="P275" s="24"/>
      <c r="Q275" s="24"/>
      <c r="R275" s="24"/>
      <c r="S275" s="24"/>
      <c r="T275" s="24"/>
      <c r="U275" s="24"/>
      <c r="V275" s="24"/>
      <c r="W275" s="24"/>
      <c r="X275" s="24"/>
      <c r="Y275" s="24"/>
      <c r="Z275" s="24"/>
      <c r="AA275" s="24"/>
      <c r="AB275" s="24"/>
      <c r="AC275" s="24"/>
    </row>
    <row r="276" spans="1:29" ht="12.9">
      <c r="A276" s="121"/>
      <c r="B276" s="25"/>
      <c r="C276" s="25"/>
      <c r="D276" s="137"/>
      <c r="E276" s="293"/>
      <c r="F276" s="74"/>
      <c r="G276" s="235"/>
      <c r="H276" s="24"/>
      <c r="I276" s="24"/>
      <c r="J276" s="24"/>
      <c r="K276" s="24"/>
      <c r="L276" s="24"/>
      <c r="M276" s="24"/>
      <c r="N276" s="24"/>
      <c r="O276" s="24"/>
      <c r="P276" s="24"/>
      <c r="Q276" s="24"/>
      <c r="R276" s="24"/>
      <c r="S276" s="24"/>
      <c r="T276" s="24"/>
      <c r="U276" s="24"/>
      <c r="V276" s="24"/>
      <c r="W276" s="24"/>
      <c r="X276" s="24"/>
      <c r="Y276" s="24"/>
      <c r="Z276" s="24"/>
      <c r="AA276" s="24"/>
      <c r="AB276" s="24"/>
      <c r="AC276" s="24"/>
    </row>
    <row r="277" spans="1:29" ht="12.9">
      <c r="A277" s="121"/>
      <c r="B277" s="25"/>
      <c r="C277" s="25"/>
      <c r="D277" s="41"/>
      <c r="E277" s="92"/>
      <c r="F277" s="294"/>
      <c r="G277" s="235"/>
      <c r="H277" s="24"/>
      <c r="I277" s="24"/>
      <c r="J277" s="24"/>
      <c r="K277" s="24"/>
      <c r="L277" s="24"/>
      <c r="M277" s="24"/>
      <c r="N277" s="24"/>
      <c r="O277" s="24"/>
      <c r="P277" s="24"/>
      <c r="Q277" s="24"/>
      <c r="R277" s="24"/>
      <c r="S277" s="24"/>
      <c r="T277" s="24"/>
      <c r="U277" s="24"/>
      <c r="V277" s="24"/>
      <c r="W277" s="24"/>
      <c r="X277" s="24"/>
      <c r="Y277" s="24"/>
      <c r="Z277" s="24"/>
      <c r="AA277" s="24"/>
      <c r="AB277" s="24"/>
      <c r="AC277" s="24"/>
    </row>
    <row r="278" spans="1:29" ht="12.9">
      <c r="A278" s="121"/>
      <c r="B278" s="25"/>
      <c r="C278" s="25"/>
      <c r="D278" s="41"/>
      <c r="E278" s="92"/>
      <c r="F278" s="294"/>
      <c r="G278" s="235"/>
      <c r="H278" s="24"/>
      <c r="I278" s="24"/>
      <c r="J278" s="24"/>
      <c r="K278" s="24"/>
      <c r="L278" s="24"/>
      <c r="M278" s="24"/>
      <c r="N278" s="24"/>
      <c r="O278" s="24"/>
      <c r="P278" s="24"/>
      <c r="Q278" s="24"/>
      <c r="R278" s="24"/>
      <c r="S278" s="24"/>
      <c r="T278" s="24"/>
      <c r="U278" s="24"/>
      <c r="V278" s="24"/>
      <c r="W278" s="24"/>
      <c r="X278" s="24"/>
      <c r="Y278" s="24"/>
      <c r="Z278" s="24"/>
      <c r="AA278" s="24"/>
      <c r="AB278" s="24"/>
      <c r="AC278" s="24"/>
    </row>
    <row r="279" spans="1:29" ht="12.9">
      <c r="A279" s="121"/>
      <c r="B279" s="25"/>
      <c r="C279" s="25"/>
      <c r="D279" s="137"/>
      <c r="E279" s="293"/>
      <c r="F279" s="74"/>
      <c r="G279" s="235"/>
      <c r="H279" s="24"/>
      <c r="I279" s="24"/>
      <c r="J279" s="24"/>
      <c r="K279" s="24"/>
      <c r="L279" s="24"/>
      <c r="M279" s="24"/>
      <c r="N279" s="24"/>
      <c r="O279" s="24"/>
      <c r="P279" s="24"/>
      <c r="Q279" s="24"/>
      <c r="R279" s="24"/>
      <c r="S279" s="24"/>
      <c r="T279" s="24"/>
      <c r="U279" s="24"/>
      <c r="V279" s="24"/>
      <c r="W279" s="24"/>
      <c r="X279" s="24"/>
      <c r="Y279" s="24"/>
      <c r="Z279" s="24"/>
      <c r="AA279" s="24"/>
      <c r="AB279" s="24"/>
      <c r="AC279" s="24"/>
    </row>
    <row r="280" spans="1:29" ht="12.9">
      <c r="A280" s="121"/>
      <c r="B280" s="25"/>
      <c r="C280" s="25"/>
      <c r="D280" s="41"/>
      <c r="E280" s="92"/>
      <c r="F280" s="294"/>
      <c r="G280" s="235"/>
      <c r="H280" s="24"/>
      <c r="I280" s="24"/>
      <c r="J280" s="24"/>
      <c r="K280" s="24"/>
      <c r="L280" s="24"/>
      <c r="M280" s="24"/>
      <c r="N280" s="24"/>
      <c r="O280" s="24"/>
      <c r="P280" s="24"/>
      <c r="Q280" s="24"/>
      <c r="R280" s="24"/>
      <c r="S280" s="24"/>
      <c r="T280" s="24"/>
      <c r="U280" s="24"/>
      <c r="V280" s="24"/>
      <c r="W280" s="24"/>
      <c r="X280" s="24"/>
      <c r="Y280" s="24"/>
      <c r="Z280" s="24"/>
      <c r="AA280" s="24"/>
      <c r="AB280" s="24"/>
      <c r="AC280" s="24"/>
    </row>
    <row r="281" spans="1:29" ht="12.9">
      <c r="A281" s="121"/>
      <c r="B281" s="25"/>
      <c r="C281" s="25"/>
      <c r="D281" s="142"/>
      <c r="E281" s="293"/>
      <c r="F281" s="74"/>
      <c r="G281" s="235"/>
      <c r="H281" s="24"/>
      <c r="I281" s="24"/>
      <c r="J281" s="24"/>
      <c r="K281" s="24"/>
      <c r="L281" s="24"/>
      <c r="M281" s="24"/>
      <c r="N281" s="24"/>
      <c r="O281" s="24"/>
      <c r="P281" s="24"/>
      <c r="Q281" s="24"/>
      <c r="R281" s="24"/>
      <c r="S281" s="24"/>
      <c r="T281" s="24"/>
      <c r="U281" s="24"/>
      <c r="V281" s="24"/>
      <c r="W281" s="24"/>
      <c r="X281" s="24"/>
      <c r="Y281" s="24"/>
      <c r="Z281" s="24"/>
      <c r="AA281" s="24"/>
      <c r="AB281" s="24"/>
      <c r="AC281" s="24"/>
    </row>
    <row r="282" spans="1:29" ht="12.9">
      <c r="A282" s="121"/>
      <c r="B282" s="25"/>
      <c r="C282" s="25"/>
      <c r="D282" s="41"/>
      <c r="E282" s="92"/>
      <c r="F282" s="294"/>
      <c r="G282" s="235"/>
      <c r="H282" s="24"/>
      <c r="I282" s="24"/>
      <c r="J282" s="24"/>
      <c r="K282" s="24"/>
      <c r="L282" s="24"/>
      <c r="M282" s="24"/>
      <c r="N282" s="24"/>
      <c r="O282" s="24"/>
      <c r="P282" s="24"/>
      <c r="Q282" s="24"/>
      <c r="R282" s="24"/>
      <c r="S282" s="24"/>
      <c r="T282" s="24"/>
      <c r="U282" s="24"/>
      <c r="V282" s="24"/>
      <c r="W282" s="24"/>
      <c r="X282" s="24"/>
      <c r="Y282" s="24"/>
      <c r="Z282" s="24"/>
      <c r="AA282" s="24"/>
      <c r="AB282" s="24"/>
      <c r="AC282" s="24"/>
    </row>
    <row r="283" spans="1:29" ht="12.9">
      <c r="A283" s="121"/>
      <c r="B283" s="25"/>
      <c r="C283" s="25"/>
      <c r="D283" s="137"/>
      <c r="E283" s="293"/>
      <c r="F283" s="74"/>
      <c r="G283" s="235"/>
      <c r="H283" s="24"/>
      <c r="I283" s="24"/>
      <c r="J283" s="24"/>
      <c r="K283" s="24"/>
      <c r="L283" s="24"/>
      <c r="M283" s="24"/>
      <c r="N283" s="24"/>
      <c r="O283" s="24"/>
      <c r="P283" s="24"/>
      <c r="Q283" s="24"/>
      <c r="R283" s="24"/>
      <c r="S283" s="24"/>
      <c r="T283" s="24"/>
      <c r="U283" s="24"/>
      <c r="V283" s="24"/>
      <c r="W283" s="24"/>
      <c r="X283" s="24"/>
      <c r="Y283" s="24"/>
      <c r="Z283" s="24"/>
      <c r="AA283" s="24"/>
      <c r="AB283" s="24"/>
      <c r="AC283" s="24"/>
    </row>
    <row r="284" spans="1:29" ht="12.9">
      <c r="A284" s="121"/>
      <c r="B284" s="25"/>
      <c r="C284" s="25"/>
      <c r="D284" s="25"/>
      <c r="E284" s="92"/>
      <c r="F284" s="294"/>
      <c r="G284" s="235"/>
      <c r="H284" s="24"/>
      <c r="I284" s="24"/>
      <c r="J284" s="24"/>
      <c r="K284" s="24"/>
      <c r="L284" s="24"/>
      <c r="M284" s="24"/>
      <c r="N284" s="24"/>
      <c r="O284" s="24"/>
      <c r="P284" s="24"/>
      <c r="Q284" s="24"/>
      <c r="R284" s="24"/>
      <c r="S284" s="24"/>
      <c r="T284" s="24"/>
      <c r="U284" s="24"/>
      <c r="V284" s="24"/>
      <c r="W284" s="24"/>
      <c r="X284" s="24"/>
      <c r="Y284" s="24"/>
      <c r="Z284" s="24"/>
      <c r="AA284" s="24"/>
      <c r="AB284" s="24"/>
      <c r="AC284" s="24"/>
    </row>
    <row r="285" spans="1:29" ht="12.9">
      <c r="A285" s="121"/>
      <c r="B285" s="25"/>
      <c r="C285" s="25"/>
      <c r="D285" s="142"/>
      <c r="E285" s="293"/>
      <c r="F285" s="74"/>
      <c r="G285" s="235"/>
      <c r="H285" s="24"/>
      <c r="I285" s="24"/>
      <c r="J285" s="24"/>
      <c r="K285" s="24"/>
      <c r="L285" s="24"/>
      <c r="M285" s="24"/>
      <c r="N285" s="24"/>
      <c r="O285" s="24"/>
      <c r="P285" s="24"/>
      <c r="Q285" s="24"/>
      <c r="R285" s="24"/>
      <c r="S285" s="24"/>
      <c r="T285" s="24"/>
      <c r="U285" s="24"/>
      <c r="V285" s="24"/>
      <c r="W285" s="24"/>
      <c r="X285" s="24"/>
      <c r="Y285" s="24"/>
      <c r="Z285" s="24"/>
      <c r="AA285" s="24"/>
      <c r="AB285" s="24"/>
      <c r="AC285" s="24"/>
    </row>
    <row r="286" spans="1:29" ht="12.9">
      <c r="A286" s="121"/>
      <c r="B286" s="25"/>
      <c r="C286" s="25"/>
      <c r="D286" s="79"/>
      <c r="E286" s="92"/>
      <c r="F286" s="294"/>
      <c r="G286" s="235"/>
      <c r="H286" s="24"/>
      <c r="I286" s="24"/>
      <c r="J286" s="24"/>
      <c r="K286" s="24"/>
      <c r="L286" s="24"/>
      <c r="M286" s="24"/>
      <c r="N286" s="24"/>
      <c r="O286" s="24"/>
      <c r="P286" s="24"/>
      <c r="Q286" s="24"/>
      <c r="R286" s="24"/>
      <c r="S286" s="24"/>
      <c r="T286" s="24"/>
      <c r="U286" s="24"/>
      <c r="V286" s="24"/>
      <c r="W286" s="24"/>
      <c r="X286" s="24"/>
      <c r="Y286" s="24"/>
      <c r="Z286" s="24"/>
      <c r="AA286" s="24"/>
      <c r="AB286" s="24"/>
      <c r="AC286" s="24"/>
    </row>
    <row r="287" spans="1:29" ht="12.9">
      <c r="A287" s="24"/>
      <c r="B287" s="70"/>
      <c r="C287" s="70"/>
      <c r="D287" s="24"/>
      <c r="E287" s="24"/>
      <c r="F287" s="117"/>
      <c r="G287" s="117"/>
      <c r="H287" s="24"/>
      <c r="I287" s="24"/>
      <c r="J287" s="24"/>
      <c r="K287" s="24"/>
      <c r="L287" s="24"/>
      <c r="M287" s="24"/>
      <c r="N287" s="24"/>
      <c r="O287" s="24"/>
      <c r="P287" s="24"/>
      <c r="Q287" s="24"/>
      <c r="R287" s="24"/>
      <c r="S287" s="24"/>
      <c r="T287" s="24"/>
      <c r="U287" s="24"/>
      <c r="V287" s="24"/>
      <c r="W287" s="24"/>
      <c r="X287" s="24"/>
      <c r="Y287" s="24"/>
      <c r="Z287" s="24"/>
      <c r="AA287" s="24"/>
      <c r="AB287" s="24"/>
      <c r="AC287" s="24"/>
    </row>
    <row r="288" spans="1:29" ht="12.9">
      <c r="A288" s="24"/>
      <c r="B288" s="70"/>
      <c r="C288" s="24"/>
      <c r="D288" s="24"/>
      <c r="E288" s="24"/>
      <c r="F288" s="117"/>
      <c r="G288" s="117"/>
      <c r="H288" s="24"/>
      <c r="I288" s="24"/>
      <c r="J288" s="24"/>
      <c r="K288" s="24"/>
      <c r="L288" s="24"/>
      <c r="M288" s="24"/>
      <c r="N288" s="24"/>
      <c r="O288" s="24"/>
      <c r="P288" s="24"/>
      <c r="Q288" s="24"/>
      <c r="R288" s="24"/>
      <c r="S288" s="24"/>
      <c r="T288" s="24"/>
      <c r="U288" s="24"/>
      <c r="V288" s="24"/>
      <c r="W288" s="24"/>
      <c r="X288" s="24"/>
      <c r="Y288" s="24"/>
      <c r="Z288" s="24"/>
      <c r="AA288" s="24"/>
      <c r="AB288" s="24"/>
      <c r="AC288" s="24"/>
    </row>
    <row r="289" spans="1:29" ht="12.9">
      <c r="A289" s="24"/>
      <c r="B289" s="70"/>
      <c r="C289" s="24"/>
      <c r="D289" s="24"/>
      <c r="E289" s="24"/>
      <c r="F289" s="117"/>
      <c r="G289" s="117"/>
      <c r="H289" s="24"/>
      <c r="I289" s="24"/>
      <c r="J289" s="24"/>
      <c r="K289" s="24"/>
      <c r="L289" s="24"/>
      <c r="M289" s="24"/>
      <c r="N289" s="24"/>
      <c r="O289" s="24"/>
      <c r="P289" s="24"/>
      <c r="Q289" s="24"/>
      <c r="R289" s="24"/>
      <c r="S289" s="24"/>
      <c r="T289" s="24"/>
      <c r="U289" s="24"/>
      <c r="V289" s="24"/>
      <c r="W289" s="24"/>
      <c r="X289" s="24"/>
      <c r="Y289" s="24"/>
      <c r="Z289" s="24"/>
      <c r="AA289" s="24"/>
      <c r="AB289" s="24"/>
      <c r="AC289" s="24"/>
    </row>
    <row r="290" spans="1:29" ht="12.9">
      <c r="A290" s="24"/>
      <c r="B290" s="70"/>
      <c r="C290" s="24"/>
      <c r="D290" s="24"/>
      <c r="E290" s="24"/>
      <c r="F290" s="117"/>
      <c r="G290" s="117"/>
      <c r="H290" s="24"/>
      <c r="I290" s="24"/>
      <c r="J290" s="24"/>
      <c r="K290" s="24"/>
      <c r="L290" s="24"/>
      <c r="M290" s="24"/>
      <c r="N290" s="24"/>
      <c r="O290" s="24"/>
      <c r="P290" s="24"/>
      <c r="Q290" s="24"/>
      <c r="R290" s="24"/>
      <c r="S290" s="24"/>
      <c r="T290" s="24"/>
      <c r="U290" s="24"/>
      <c r="V290" s="24"/>
      <c r="W290" s="24"/>
      <c r="X290" s="24"/>
      <c r="Y290" s="24"/>
      <c r="Z290" s="24"/>
      <c r="AA290" s="24"/>
      <c r="AB290" s="24"/>
      <c r="AC290" s="24"/>
    </row>
    <row r="291" spans="1:29" ht="12.9">
      <c r="A291" s="24"/>
      <c r="B291" s="70"/>
      <c r="C291" s="24"/>
      <c r="D291" s="24"/>
      <c r="E291" s="24"/>
      <c r="F291" s="117"/>
      <c r="G291" s="117"/>
      <c r="H291" s="24"/>
      <c r="I291" s="24"/>
      <c r="J291" s="24"/>
      <c r="K291" s="24"/>
      <c r="L291" s="24"/>
      <c r="M291" s="24"/>
      <c r="N291" s="24"/>
      <c r="O291" s="24"/>
      <c r="P291" s="24"/>
      <c r="Q291" s="24"/>
      <c r="R291" s="24"/>
      <c r="S291" s="24"/>
      <c r="T291" s="24"/>
      <c r="U291" s="24"/>
      <c r="V291" s="24"/>
      <c r="W291" s="24"/>
      <c r="X291" s="24"/>
      <c r="Y291" s="24"/>
      <c r="Z291" s="24"/>
      <c r="AA291" s="24"/>
      <c r="AB291" s="24"/>
      <c r="AC291" s="24"/>
    </row>
    <row r="292" spans="1:29" ht="12.9">
      <c r="A292" s="24"/>
      <c r="B292" s="70"/>
      <c r="C292" s="24"/>
      <c r="D292" s="24"/>
      <c r="E292" s="24"/>
      <c r="F292" s="117"/>
      <c r="G292" s="117"/>
      <c r="H292" s="24"/>
      <c r="I292" s="24"/>
      <c r="J292" s="24"/>
      <c r="K292" s="24"/>
      <c r="L292" s="24"/>
      <c r="M292" s="24"/>
      <c r="N292" s="24"/>
      <c r="O292" s="24"/>
      <c r="P292" s="24"/>
      <c r="Q292" s="24"/>
      <c r="R292" s="24"/>
      <c r="S292" s="24"/>
      <c r="T292" s="24"/>
      <c r="U292" s="24"/>
      <c r="V292" s="24"/>
      <c r="W292" s="24"/>
      <c r="X292" s="24"/>
      <c r="Y292" s="24"/>
      <c r="Z292" s="24"/>
      <c r="AA292" s="24"/>
      <c r="AB292" s="24"/>
      <c r="AC292" s="24"/>
    </row>
    <row r="293" spans="1:29" ht="12.9">
      <c r="A293" s="24"/>
      <c r="B293" s="70"/>
      <c r="C293" s="24"/>
      <c r="D293" s="24"/>
      <c r="E293" s="24"/>
      <c r="F293" s="117"/>
      <c r="G293" s="117"/>
      <c r="H293" s="24"/>
      <c r="I293" s="24"/>
      <c r="J293" s="24"/>
      <c r="K293" s="24"/>
      <c r="L293" s="24"/>
      <c r="M293" s="24"/>
      <c r="N293" s="24"/>
      <c r="O293" s="24"/>
      <c r="P293" s="24"/>
      <c r="Q293" s="24"/>
      <c r="R293" s="24"/>
      <c r="S293" s="24"/>
      <c r="T293" s="24"/>
      <c r="U293" s="24"/>
      <c r="V293" s="24"/>
      <c r="W293" s="24"/>
      <c r="X293" s="24"/>
      <c r="Y293" s="24"/>
      <c r="Z293" s="24"/>
      <c r="AA293" s="24"/>
      <c r="AB293" s="24"/>
      <c r="AC293" s="24"/>
    </row>
    <row r="294" spans="1:29" ht="12.9">
      <c r="A294" s="24"/>
      <c r="B294" s="70"/>
      <c r="C294" s="24"/>
      <c r="D294" s="24"/>
      <c r="E294" s="24"/>
      <c r="F294" s="117"/>
      <c r="G294" s="117"/>
      <c r="H294" s="24"/>
      <c r="I294" s="24"/>
      <c r="J294" s="24"/>
      <c r="K294" s="24"/>
      <c r="L294" s="24"/>
      <c r="M294" s="24"/>
      <c r="N294" s="24"/>
      <c r="O294" s="24"/>
      <c r="P294" s="24"/>
      <c r="Q294" s="24"/>
      <c r="R294" s="24"/>
      <c r="S294" s="24"/>
      <c r="T294" s="24"/>
      <c r="U294" s="24"/>
      <c r="V294" s="24"/>
      <c r="W294" s="24"/>
      <c r="X294" s="24"/>
      <c r="Y294" s="24"/>
      <c r="Z294" s="24"/>
      <c r="AA294" s="24"/>
      <c r="AB294" s="24"/>
      <c r="AC294" s="24"/>
    </row>
    <row r="295" spans="1:29" ht="12.9">
      <c r="A295" s="24"/>
      <c r="B295" s="70"/>
      <c r="C295" s="24"/>
      <c r="D295" s="24"/>
      <c r="E295" s="24"/>
      <c r="F295" s="117"/>
      <c r="G295" s="117"/>
      <c r="H295" s="24"/>
      <c r="I295" s="24"/>
      <c r="J295" s="24"/>
      <c r="K295" s="24"/>
      <c r="L295" s="24"/>
      <c r="M295" s="24"/>
      <c r="N295" s="24"/>
      <c r="O295" s="24"/>
      <c r="P295" s="24"/>
      <c r="Q295" s="24"/>
      <c r="R295" s="24"/>
      <c r="S295" s="24"/>
      <c r="T295" s="24"/>
      <c r="U295" s="24"/>
      <c r="V295" s="24"/>
      <c r="W295" s="24"/>
      <c r="X295" s="24"/>
      <c r="Y295" s="24"/>
      <c r="Z295" s="24"/>
      <c r="AA295" s="24"/>
      <c r="AB295" s="24"/>
      <c r="AC295" s="24"/>
    </row>
    <row r="296" spans="1:29" ht="12.9">
      <c r="A296" s="24"/>
      <c r="B296" s="70"/>
      <c r="C296" s="24"/>
      <c r="D296" s="24"/>
      <c r="E296" s="24"/>
      <c r="F296" s="117"/>
      <c r="G296" s="117"/>
      <c r="H296" s="24"/>
      <c r="I296" s="24"/>
      <c r="J296" s="24"/>
      <c r="K296" s="24"/>
      <c r="L296" s="24"/>
      <c r="M296" s="24"/>
      <c r="N296" s="24"/>
      <c r="O296" s="24"/>
      <c r="P296" s="24"/>
      <c r="Q296" s="24"/>
      <c r="R296" s="24"/>
      <c r="S296" s="24"/>
      <c r="T296" s="24"/>
      <c r="U296" s="24"/>
      <c r="V296" s="24"/>
      <c r="W296" s="24"/>
      <c r="X296" s="24"/>
      <c r="Y296" s="24"/>
      <c r="Z296" s="24"/>
      <c r="AA296" s="24"/>
      <c r="AB296" s="24"/>
      <c r="AC296" s="24"/>
    </row>
    <row r="297" spans="1:29" ht="12.9">
      <c r="A297" s="24"/>
      <c r="B297" s="70"/>
      <c r="C297" s="24"/>
      <c r="D297" s="24"/>
      <c r="E297" s="24"/>
      <c r="F297" s="117"/>
      <c r="G297" s="117"/>
      <c r="H297" s="24"/>
      <c r="I297" s="24"/>
      <c r="J297" s="24"/>
      <c r="K297" s="24"/>
      <c r="L297" s="24"/>
      <c r="M297" s="24"/>
      <c r="N297" s="24"/>
      <c r="O297" s="24"/>
      <c r="P297" s="24"/>
      <c r="Q297" s="24"/>
      <c r="R297" s="24"/>
      <c r="S297" s="24"/>
      <c r="T297" s="24"/>
      <c r="U297" s="24"/>
      <c r="V297" s="24"/>
      <c r="W297" s="24"/>
      <c r="X297" s="24"/>
      <c r="Y297" s="24"/>
      <c r="Z297" s="24"/>
      <c r="AA297" s="24"/>
      <c r="AB297" s="24"/>
      <c r="AC297" s="24"/>
    </row>
    <row r="298" spans="1:29" ht="12.9">
      <c r="A298" s="24"/>
      <c r="B298" s="70"/>
      <c r="C298" s="24"/>
      <c r="D298" s="24"/>
      <c r="E298" s="24"/>
      <c r="F298" s="117"/>
      <c r="G298" s="117"/>
      <c r="H298" s="24"/>
      <c r="I298" s="24"/>
      <c r="J298" s="24"/>
      <c r="K298" s="24"/>
      <c r="L298" s="24"/>
      <c r="M298" s="24"/>
      <c r="N298" s="24"/>
      <c r="O298" s="24"/>
      <c r="P298" s="24"/>
      <c r="Q298" s="24"/>
      <c r="R298" s="24"/>
      <c r="S298" s="24"/>
      <c r="T298" s="24"/>
      <c r="U298" s="24"/>
      <c r="V298" s="24"/>
      <c r="W298" s="24"/>
      <c r="X298" s="24"/>
      <c r="Y298" s="24"/>
      <c r="Z298" s="24"/>
      <c r="AA298" s="24"/>
      <c r="AB298" s="24"/>
      <c r="AC298" s="24"/>
    </row>
    <row r="299" spans="1:29" ht="12.9">
      <c r="A299" s="24"/>
      <c r="B299" s="70"/>
      <c r="C299" s="24"/>
      <c r="D299" s="24"/>
      <c r="E299" s="24"/>
      <c r="F299" s="117"/>
      <c r="G299" s="117"/>
      <c r="H299" s="24"/>
      <c r="I299" s="24"/>
      <c r="J299" s="24"/>
      <c r="K299" s="24"/>
      <c r="L299" s="24"/>
      <c r="M299" s="24"/>
      <c r="N299" s="24"/>
      <c r="O299" s="24"/>
      <c r="P299" s="24"/>
      <c r="Q299" s="24"/>
      <c r="R299" s="24"/>
      <c r="S299" s="24"/>
      <c r="T299" s="24"/>
      <c r="U299" s="24"/>
      <c r="V299" s="24"/>
      <c r="W299" s="24"/>
      <c r="X299" s="24"/>
      <c r="Y299" s="24"/>
      <c r="Z299" s="24"/>
      <c r="AA299" s="24"/>
      <c r="AB299" s="24"/>
      <c r="AC299" s="24"/>
    </row>
    <row r="300" spans="1:29" ht="12.9">
      <c r="A300" s="24"/>
      <c r="B300" s="70"/>
      <c r="C300" s="24"/>
      <c r="D300" s="24"/>
      <c r="E300" s="24"/>
      <c r="F300" s="117"/>
      <c r="G300" s="117"/>
      <c r="H300" s="24"/>
      <c r="I300" s="24"/>
      <c r="J300" s="24"/>
      <c r="K300" s="24"/>
      <c r="L300" s="24"/>
      <c r="M300" s="24"/>
      <c r="N300" s="24"/>
      <c r="O300" s="24"/>
      <c r="P300" s="24"/>
      <c r="Q300" s="24"/>
      <c r="R300" s="24"/>
      <c r="S300" s="24"/>
      <c r="T300" s="24"/>
      <c r="U300" s="24"/>
      <c r="V300" s="24"/>
      <c r="W300" s="24"/>
      <c r="X300" s="24"/>
      <c r="Y300" s="24"/>
      <c r="Z300" s="24"/>
      <c r="AA300" s="24"/>
      <c r="AB300" s="24"/>
      <c r="AC300" s="24"/>
    </row>
    <row r="301" spans="1:29" ht="12.9">
      <c r="A301" s="24"/>
      <c r="B301" s="70"/>
      <c r="C301" s="24"/>
      <c r="D301" s="24"/>
      <c r="E301" s="24"/>
      <c r="F301" s="117"/>
      <c r="G301" s="117"/>
      <c r="H301" s="24"/>
      <c r="I301" s="24"/>
      <c r="J301" s="24"/>
      <c r="K301" s="24"/>
      <c r="L301" s="24"/>
      <c r="M301" s="24"/>
      <c r="N301" s="24"/>
      <c r="O301" s="24"/>
      <c r="P301" s="24"/>
      <c r="Q301" s="24"/>
      <c r="R301" s="24"/>
      <c r="S301" s="24"/>
      <c r="T301" s="24"/>
      <c r="U301" s="24"/>
      <c r="V301" s="24"/>
      <c r="W301" s="24"/>
      <c r="X301" s="24"/>
      <c r="Y301" s="24"/>
      <c r="Z301" s="24"/>
      <c r="AA301" s="24"/>
      <c r="AB301" s="24"/>
      <c r="AC301" s="24"/>
    </row>
    <row r="302" spans="1:29" ht="12.9">
      <c r="A302" s="24"/>
      <c r="B302" s="70"/>
      <c r="C302" s="24"/>
      <c r="D302" s="24"/>
      <c r="E302" s="24"/>
      <c r="F302" s="117"/>
      <c r="G302" s="117"/>
      <c r="H302" s="24"/>
      <c r="I302" s="24"/>
      <c r="J302" s="24"/>
      <c r="K302" s="24"/>
      <c r="L302" s="24"/>
      <c r="M302" s="24"/>
      <c r="N302" s="24"/>
      <c r="O302" s="24"/>
      <c r="P302" s="24"/>
      <c r="Q302" s="24"/>
      <c r="R302" s="24"/>
      <c r="S302" s="24"/>
      <c r="T302" s="24"/>
      <c r="U302" s="24"/>
      <c r="V302" s="24"/>
      <c r="W302" s="24"/>
      <c r="X302" s="24"/>
      <c r="Y302" s="24"/>
      <c r="Z302" s="24"/>
      <c r="AA302" s="24"/>
      <c r="AB302" s="24"/>
      <c r="AC302" s="24"/>
    </row>
    <row r="303" spans="1:29" ht="12.9">
      <c r="A303" s="24"/>
      <c r="B303" s="70"/>
      <c r="C303" s="24"/>
      <c r="D303" s="24"/>
      <c r="E303" s="24"/>
      <c r="F303" s="117"/>
      <c r="G303" s="117"/>
      <c r="H303" s="24"/>
      <c r="I303" s="24"/>
      <c r="J303" s="24"/>
      <c r="K303" s="24"/>
      <c r="L303" s="24"/>
      <c r="M303" s="24"/>
      <c r="N303" s="24"/>
      <c r="O303" s="24"/>
      <c r="P303" s="24"/>
      <c r="Q303" s="24"/>
      <c r="R303" s="24"/>
      <c r="S303" s="24"/>
      <c r="T303" s="24"/>
      <c r="U303" s="24"/>
      <c r="V303" s="24"/>
      <c r="W303" s="24"/>
      <c r="X303" s="24"/>
      <c r="Y303" s="24"/>
      <c r="Z303" s="24"/>
      <c r="AA303" s="24"/>
      <c r="AB303" s="24"/>
      <c r="AC303" s="24"/>
    </row>
    <row r="304" spans="1:29" ht="12.9">
      <c r="A304" s="24"/>
      <c r="B304" s="70"/>
      <c r="C304" s="24"/>
      <c r="D304" s="24"/>
      <c r="E304" s="24"/>
      <c r="F304" s="117"/>
      <c r="G304" s="117"/>
      <c r="H304" s="24"/>
      <c r="I304" s="24"/>
      <c r="J304" s="24"/>
      <c r="K304" s="24"/>
      <c r="L304" s="24"/>
      <c r="M304" s="24"/>
      <c r="N304" s="24"/>
      <c r="O304" s="24"/>
      <c r="P304" s="24"/>
      <c r="Q304" s="24"/>
      <c r="R304" s="24"/>
      <c r="S304" s="24"/>
      <c r="T304" s="24"/>
      <c r="U304" s="24"/>
      <c r="V304" s="24"/>
      <c r="W304" s="24"/>
      <c r="X304" s="24"/>
      <c r="Y304" s="24"/>
      <c r="Z304" s="24"/>
      <c r="AA304" s="24"/>
      <c r="AB304" s="24"/>
      <c r="AC304" s="24"/>
    </row>
    <row r="305" spans="1:29" ht="12.9">
      <c r="A305" s="24"/>
      <c r="B305" s="70"/>
      <c r="C305" s="24"/>
      <c r="D305" s="24"/>
      <c r="E305" s="24"/>
      <c r="F305" s="117"/>
      <c r="G305" s="117"/>
      <c r="H305" s="24"/>
      <c r="I305" s="24"/>
      <c r="J305" s="24"/>
      <c r="K305" s="24"/>
      <c r="L305" s="24"/>
      <c r="M305" s="24"/>
      <c r="N305" s="24"/>
      <c r="O305" s="24"/>
      <c r="P305" s="24"/>
      <c r="Q305" s="24"/>
      <c r="R305" s="24"/>
      <c r="S305" s="24"/>
      <c r="T305" s="24"/>
      <c r="U305" s="24"/>
      <c r="V305" s="24"/>
      <c r="W305" s="24"/>
      <c r="X305" s="24"/>
      <c r="Y305" s="24"/>
      <c r="Z305" s="24"/>
      <c r="AA305" s="24"/>
      <c r="AB305" s="24"/>
      <c r="AC305" s="24"/>
    </row>
    <row r="306" spans="1:29" ht="12.9">
      <c r="A306" s="24"/>
      <c r="B306" s="70"/>
      <c r="C306" s="24"/>
      <c r="D306" s="24"/>
      <c r="E306" s="24"/>
      <c r="F306" s="117"/>
      <c r="G306" s="117"/>
      <c r="H306" s="24"/>
      <c r="I306" s="24"/>
      <c r="J306" s="24"/>
      <c r="K306" s="24"/>
      <c r="L306" s="24"/>
      <c r="M306" s="24"/>
      <c r="N306" s="24"/>
      <c r="O306" s="24"/>
      <c r="P306" s="24"/>
      <c r="Q306" s="24"/>
      <c r="R306" s="24"/>
      <c r="S306" s="24"/>
      <c r="T306" s="24"/>
      <c r="U306" s="24"/>
      <c r="V306" s="24"/>
      <c r="W306" s="24"/>
      <c r="X306" s="24"/>
      <c r="Y306" s="24"/>
      <c r="Z306" s="24"/>
      <c r="AA306" s="24"/>
      <c r="AB306" s="24"/>
      <c r="AC306" s="24"/>
    </row>
    <row r="307" spans="1:29" ht="12.9">
      <c r="A307" s="24"/>
      <c r="B307" s="70"/>
      <c r="C307" s="24"/>
      <c r="D307" s="24"/>
      <c r="E307" s="24"/>
      <c r="F307" s="117"/>
      <c r="G307" s="117"/>
      <c r="H307" s="24"/>
      <c r="I307" s="24"/>
      <c r="J307" s="24"/>
      <c r="K307" s="24"/>
      <c r="L307" s="24"/>
      <c r="M307" s="24"/>
      <c r="N307" s="24"/>
      <c r="O307" s="24"/>
      <c r="P307" s="24"/>
      <c r="Q307" s="24"/>
      <c r="R307" s="24"/>
      <c r="S307" s="24"/>
      <c r="T307" s="24"/>
      <c r="U307" s="24"/>
      <c r="V307" s="24"/>
      <c r="W307" s="24"/>
      <c r="X307" s="24"/>
      <c r="Y307" s="24"/>
      <c r="Z307" s="24"/>
      <c r="AA307" s="24"/>
      <c r="AB307" s="24"/>
      <c r="AC307" s="24"/>
    </row>
    <row r="308" spans="1:29" ht="12.9">
      <c r="A308" s="24"/>
      <c r="B308" s="70"/>
      <c r="C308" s="24"/>
      <c r="D308" s="24"/>
      <c r="E308" s="24"/>
      <c r="F308" s="117"/>
      <c r="G308" s="117"/>
      <c r="H308" s="24"/>
      <c r="I308" s="24"/>
      <c r="J308" s="24"/>
      <c r="K308" s="24"/>
      <c r="L308" s="24"/>
      <c r="M308" s="24"/>
      <c r="N308" s="24"/>
      <c r="O308" s="24"/>
      <c r="P308" s="24"/>
      <c r="Q308" s="24"/>
      <c r="R308" s="24"/>
      <c r="S308" s="24"/>
      <c r="T308" s="24"/>
      <c r="U308" s="24"/>
      <c r="V308" s="24"/>
      <c r="W308" s="24"/>
      <c r="X308" s="24"/>
      <c r="Y308" s="24"/>
      <c r="Z308" s="24"/>
      <c r="AA308" s="24"/>
      <c r="AB308" s="24"/>
      <c r="AC308" s="24"/>
    </row>
    <row r="309" spans="1:29" ht="12.9">
      <c r="A309" s="24"/>
      <c r="B309" s="70"/>
      <c r="C309" s="24"/>
      <c r="D309" s="24"/>
      <c r="E309" s="24"/>
      <c r="F309" s="117"/>
      <c r="G309" s="117"/>
      <c r="H309" s="24"/>
      <c r="I309" s="24"/>
      <c r="J309" s="24"/>
      <c r="K309" s="24"/>
      <c r="L309" s="24"/>
      <c r="M309" s="24"/>
      <c r="N309" s="24"/>
      <c r="O309" s="24"/>
      <c r="P309" s="24"/>
      <c r="Q309" s="24"/>
      <c r="R309" s="24"/>
      <c r="S309" s="24"/>
      <c r="T309" s="24"/>
      <c r="U309" s="24"/>
      <c r="V309" s="24"/>
      <c r="W309" s="24"/>
      <c r="X309" s="24"/>
      <c r="Y309" s="24"/>
      <c r="Z309" s="24"/>
      <c r="AA309" s="24"/>
      <c r="AB309" s="24"/>
      <c r="AC309" s="24"/>
    </row>
    <row r="310" spans="1:29" ht="12.9">
      <c r="A310" s="24"/>
      <c r="B310" s="70"/>
      <c r="C310" s="24"/>
      <c r="D310" s="24"/>
      <c r="E310" s="24"/>
      <c r="F310" s="117"/>
      <c r="G310" s="117"/>
      <c r="H310" s="24"/>
      <c r="I310" s="24"/>
      <c r="J310" s="24"/>
      <c r="K310" s="24"/>
      <c r="L310" s="24"/>
      <c r="M310" s="24"/>
      <c r="N310" s="24"/>
      <c r="O310" s="24"/>
      <c r="P310" s="24"/>
      <c r="Q310" s="24"/>
      <c r="R310" s="24"/>
      <c r="S310" s="24"/>
      <c r="T310" s="24"/>
      <c r="U310" s="24"/>
      <c r="V310" s="24"/>
      <c r="W310" s="24"/>
      <c r="X310" s="24"/>
      <c r="Y310" s="24"/>
      <c r="Z310" s="24"/>
      <c r="AA310" s="24"/>
      <c r="AB310" s="24"/>
      <c r="AC310" s="24"/>
    </row>
    <row r="311" spans="1:29" ht="12.9">
      <c r="A311" s="24"/>
      <c r="B311" s="70"/>
      <c r="C311" s="24"/>
      <c r="D311" s="24"/>
      <c r="E311" s="24"/>
      <c r="F311" s="117"/>
      <c r="G311" s="117"/>
      <c r="H311" s="24"/>
      <c r="I311" s="24"/>
      <c r="J311" s="24"/>
      <c r="K311" s="24"/>
      <c r="L311" s="24"/>
      <c r="M311" s="24"/>
      <c r="N311" s="24"/>
      <c r="O311" s="24"/>
      <c r="P311" s="24"/>
      <c r="Q311" s="24"/>
      <c r="R311" s="24"/>
      <c r="S311" s="24"/>
      <c r="T311" s="24"/>
      <c r="U311" s="24"/>
      <c r="V311" s="24"/>
      <c r="W311" s="24"/>
      <c r="X311" s="24"/>
      <c r="Y311" s="24"/>
      <c r="Z311" s="24"/>
      <c r="AA311" s="24"/>
      <c r="AB311" s="24"/>
      <c r="AC311" s="24"/>
    </row>
    <row r="312" spans="1:29" ht="12.9">
      <c r="A312" s="24"/>
      <c r="B312" s="70"/>
      <c r="C312" s="24"/>
      <c r="D312" s="24"/>
      <c r="E312" s="24"/>
      <c r="F312" s="117"/>
      <c r="G312" s="117"/>
      <c r="H312" s="24"/>
      <c r="I312" s="24"/>
      <c r="J312" s="24"/>
      <c r="K312" s="24"/>
      <c r="L312" s="24"/>
      <c r="M312" s="24"/>
      <c r="N312" s="24"/>
      <c r="O312" s="24"/>
      <c r="P312" s="24"/>
      <c r="Q312" s="24"/>
      <c r="R312" s="24"/>
      <c r="S312" s="24"/>
      <c r="T312" s="24"/>
      <c r="U312" s="24"/>
      <c r="V312" s="24"/>
      <c r="W312" s="24"/>
      <c r="X312" s="24"/>
      <c r="Y312" s="24"/>
      <c r="Z312" s="24"/>
      <c r="AA312" s="24"/>
      <c r="AB312" s="24"/>
      <c r="AC312" s="24"/>
    </row>
    <row r="313" spans="1:29" ht="12.9">
      <c r="A313" s="24"/>
      <c r="B313" s="70"/>
      <c r="C313" s="24"/>
      <c r="D313" s="24"/>
      <c r="E313" s="24"/>
      <c r="F313" s="117"/>
      <c r="G313" s="117"/>
      <c r="H313" s="24"/>
      <c r="I313" s="24"/>
      <c r="J313" s="24"/>
      <c r="K313" s="24"/>
      <c r="L313" s="24"/>
      <c r="M313" s="24"/>
      <c r="N313" s="24"/>
      <c r="O313" s="24"/>
      <c r="P313" s="24"/>
      <c r="Q313" s="24"/>
      <c r="R313" s="24"/>
      <c r="S313" s="24"/>
      <c r="T313" s="24"/>
      <c r="U313" s="24"/>
      <c r="V313" s="24"/>
      <c r="W313" s="24"/>
      <c r="X313" s="24"/>
      <c r="Y313" s="24"/>
      <c r="Z313" s="24"/>
      <c r="AA313" s="24"/>
      <c r="AB313" s="24"/>
      <c r="AC313" s="24"/>
    </row>
    <row r="314" spans="1:29" ht="12.9">
      <c r="A314" s="24"/>
      <c r="B314" s="70"/>
      <c r="C314" s="24"/>
      <c r="D314" s="24"/>
      <c r="E314" s="24"/>
      <c r="F314" s="117"/>
      <c r="G314" s="117"/>
      <c r="H314" s="24"/>
      <c r="I314" s="24"/>
      <c r="J314" s="24"/>
      <c r="K314" s="24"/>
      <c r="L314" s="24"/>
      <c r="M314" s="24"/>
      <c r="N314" s="24"/>
      <c r="O314" s="24"/>
      <c r="P314" s="24"/>
      <c r="Q314" s="24"/>
      <c r="R314" s="24"/>
      <c r="S314" s="24"/>
      <c r="T314" s="24"/>
      <c r="U314" s="24"/>
      <c r="V314" s="24"/>
      <c r="W314" s="24"/>
      <c r="X314" s="24"/>
      <c r="Y314" s="24"/>
      <c r="Z314" s="24"/>
      <c r="AA314" s="24"/>
      <c r="AB314" s="24"/>
      <c r="AC314" s="24"/>
    </row>
    <row r="315" spans="1:29" ht="12.9">
      <c r="A315" s="24"/>
      <c r="B315" s="70"/>
      <c r="C315" s="24"/>
      <c r="D315" s="24"/>
      <c r="E315" s="24"/>
      <c r="F315" s="117"/>
      <c r="G315" s="117"/>
      <c r="H315" s="24"/>
      <c r="I315" s="24"/>
      <c r="J315" s="24"/>
      <c r="K315" s="24"/>
      <c r="L315" s="24"/>
      <c r="M315" s="24"/>
      <c r="N315" s="24"/>
      <c r="O315" s="24"/>
      <c r="P315" s="24"/>
      <c r="Q315" s="24"/>
      <c r="R315" s="24"/>
      <c r="S315" s="24"/>
      <c r="T315" s="24"/>
      <c r="U315" s="24"/>
      <c r="V315" s="24"/>
      <c r="W315" s="24"/>
      <c r="X315" s="24"/>
      <c r="Y315" s="24"/>
      <c r="Z315" s="24"/>
      <c r="AA315" s="24"/>
      <c r="AB315" s="24"/>
      <c r="AC315" s="24"/>
    </row>
    <row r="316" spans="1:29" ht="12.9">
      <c r="A316" s="24"/>
      <c r="B316" s="70"/>
      <c r="C316" s="24"/>
      <c r="D316" s="24"/>
      <c r="E316" s="24"/>
      <c r="F316" s="117"/>
      <c r="G316" s="117"/>
      <c r="H316" s="24"/>
      <c r="I316" s="24"/>
      <c r="J316" s="24"/>
      <c r="K316" s="24"/>
      <c r="L316" s="24"/>
      <c r="M316" s="24"/>
      <c r="N316" s="24"/>
      <c r="O316" s="24"/>
      <c r="P316" s="24"/>
      <c r="Q316" s="24"/>
      <c r="R316" s="24"/>
      <c r="S316" s="24"/>
      <c r="T316" s="24"/>
      <c r="U316" s="24"/>
      <c r="V316" s="24"/>
      <c r="W316" s="24"/>
      <c r="X316" s="24"/>
      <c r="Y316" s="24"/>
      <c r="Z316" s="24"/>
      <c r="AA316" s="24"/>
      <c r="AB316" s="24"/>
      <c r="AC316" s="24"/>
    </row>
    <row r="317" spans="1:29" ht="12.9">
      <c r="A317" s="24"/>
      <c r="B317" s="70"/>
      <c r="C317" s="24"/>
      <c r="D317" s="24"/>
      <c r="E317" s="24"/>
      <c r="F317" s="117"/>
      <c r="G317" s="117"/>
      <c r="H317" s="24"/>
      <c r="I317" s="24"/>
      <c r="J317" s="24"/>
      <c r="K317" s="24"/>
      <c r="L317" s="24"/>
      <c r="M317" s="24"/>
      <c r="N317" s="24"/>
      <c r="O317" s="24"/>
      <c r="P317" s="24"/>
      <c r="Q317" s="24"/>
      <c r="R317" s="24"/>
      <c r="S317" s="24"/>
      <c r="T317" s="24"/>
      <c r="U317" s="24"/>
      <c r="V317" s="24"/>
      <c r="W317" s="24"/>
      <c r="X317" s="24"/>
      <c r="Y317" s="24"/>
      <c r="Z317" s="24"/>
      <c r="AA317" s="24"/>
      <c r="AB317" s="24"/>
      <c r="AC317" s="24"/>
    </row>
    <row r="318" spans="1:29" ht="12.9">
      <c r="A318" s="24"/>
      <c r="B318" s="70"/>
      <c r="C318" s="24"/>
      <c r="D318" s="24"/>
      <c r="E318" s="24"/>
      <c r="F318" s="117"/>
      <c r="G318" s="117"/>
      <c r="H318" s="24"/>
      <c r="I318" s="24"/>
      <c r="J318" s="24"/>
      <c r="K318" s="24"/>
      <c r="L318" s="24"/>
      <c r="M318" s="24"/>
      <c r="N318" s="24"/>
      <c r="O318" s="24"/>
      <c r="P318" s="24"/>
      <c r="Q318" s="24"/>
      <c r="R318" s="24"/>
      <c r="S318" s="24"/>
      <c r="T318" s="24"/>
      <c r="U318" s="24"/>
      <c r="V318" s="24"/>
      <c r="W318" s="24"/>
      <c r="X318" s="24"/>
      <c r="Y318" s="24"/>
      <c r="Z318" s="24"/>
      <c r="AA318" s="24"/>
      <c r="AB318" s="24"/>
      <c r="AC318" s="24"/>
    </row>
    <row r="319" spans="1:29" ht="12.9">
      <c r="A319" s="24"/>
      <c r="B319" s="70"/>
      <c r="C319" s="24"/>
      <c r="D319" s="24"/>
      <c r="E319" s="24"/>
      <c r="F319" s="117"/>
      <c r="G319" s="117"/>
      <c r="H319" s="24"/>
      <c r="I319" s="24"/>
      <c r="J319" s="24"/>
      <c r="K319" s="24"/>
      <c r="L319" s="24"/>
      <c r="M319" s="24"/>
      <c r="N319" s="24"/>
      <c r="O319" s="24"/>
      <c r="P319" s="24"/>
      <c r="Q319" s="24"/>
      <c r="R319" s="24"/>
      <c r="S319" s="24"/>
      <c r="T319" s="24"/>
      <c r="U319" s="24"/>
      <c r="V319" s="24"/>
      <c r="W319" s="24"/>
      <c r="X319" s="24"/>
      <c r="Y319" s="24"/>
      <c r="Z319" s="24"/>
      <c r="AA319" s="24"/>
      <c r="AB319" s="24"/>
      <c r="AC319" s="24"/>
    </row>
    <row r="320" spans="1:29" ht="12.9">
      <c r="A320" s="24"/>
      <c r="B320" s="70"/>
      <c r="C320" s="24"/>
      <c r="D320" s="24"/>
      <c r="E320" s="24"/>
      <c r="F320" s="117"/>
      <c r="G320" s="117"/>
      <c r="H320" s="24"/>
      <c r="I320" s="24"/>
      <c r="J320" s="24"/>
      <c r="K320" s="24"/>
      <c r="L320" s="24"/>
      <c r="M320" s="24"/>
      <c r="N320" s="24"/>
      <c r="O320" s="24"/>
      <c r="P320" s="24"/>
      <c r="Q320" s="24"/>
      <c r="R320" s="24"/>
      <c r="S320" s="24"/>
      <c r="T320" s="24"/>
      <c r="U320" s="24"/>
      <c r="V320" s="24"/>
      <c r="W320" s="24"/>
      <c r="X320" s="24"/>
      <c r="Y320" s="24"/>
      <c r="Z320" s="24"/>
      <c r="AA320" s="24"/>
      <c r="AB320" s="24"/>
      <c r="AC320" s="24"/>
    </row>
    <row r="321" spans="1:29" ht="12.9">
      <c r="A321" s="24"/>
      <c r="B321" s="70"/>
      <c r="C321" s="24"/>
      <c r="D321" s="24"/>
      <c r="E321" s="24"/>
      <c r="F321" s="117"/>
      <c r="G321" s="117"/>
      <c r="H321" s="24"/>
      <c r="I321" s="24"/>
      <c r="J321" s="24"/>
      <c r="K321" s="24"/>
      <c r="L321" s="24"/>
      <c r="M321" s="24"/>
      <c r="N321" s="24"/>
      <c r="O321" s="24"/>
      <c r="P321" s="24"/>
      <c r="Q321" s="24"/>
      <c r="R321" s="24"/>
      <c r="S321" s="24"/>
      <c r="T321" s="24"/>
      <c r="U321" s="24"/>
      <c r="V321" s="24"/>
      <c r="W321" s="24"/>
      <c r="X321" s="24"/>
      <c r="Y321" s="24"/>
      <c r="Z321" s="24"/>
      <c r="AA321" s="24"/>
      <c r="AB321" s="24"/>
      <c r="AC321" s="24"/>
    </row>
    <row r="322" spans="1:29" ht="12.9">
      <c r="A322" s="24"/>
      <c r="B322" s="70"/>
      <c r="C322" s="24"/>
      <c r="D322" s="24"/>
      <c r="E322" s="24"/>
      <c r="F322" s="117"/>
      <c r="G322" s="117"/>
      <c r="H322" s="24"/>
      <c r="I322" s="24"/>
      <c r="J322" s="24"/>
      <c r="K322" s="24"/>
      <c r="L322" s="24"/>
      <c r="M322" s="24"/>
      <c r="N322" s="24"/>
      <c r="O322" s="24"/>
      <c r="P322" s="24"/>
      <c r="Q322" s="24"/>
      <c r="R322" s="24"/>
      <c r="S322" s="24"/>
      <c r="T322" s="24"/>
      <c r="U322" s="24"/>
      <c r="V322" s="24"/>
      <c r="W322" s="24"/>
      <c r="X322" s="24"/>
      <c r="Y322" s="24"/>
      <c r="Z322" s="24"/>
      <c r="AA322" s="24"/>
      <c r="AB322" s="24"/>
      <c r="AC322" s="24"/>
    </row>
    <row r="323" spans="1:29" ht="12.9">
      <c r="A323" s="24"/>
      <c r="B323" s="70"/>
      <c r="C323" s="24"/>
      <c r="D323" s="24"/>
      <c r="E323" s="24"/>
      <c r="F323" s="117"/>
      <c r="G323" s="117"/>
      <c r="H323" s="24"/>
      <c r="I323" s="24"/>
      <c r="J323" s="24"/>
      <c r="K323" s="24"/>
      <c r="L323" s="24"/>
      <c r="M323" s="24"/>
      <c r="N323" s="24"/>
      <c r="O323" s="24"/>
      <c r="P323" s="24"/>
      <c r="Q323" s="24"/>
      <c r="R323" s="24"/>
      <c r="S323" s="24"/>
      <c r="T323" s="24"/>
      <c r="U323" s="24"/>
      <c r="V323" s="24"/>
      <c r="W323" s="24"/>
      <c r="X323" s="24"/>
      <c r="Y323" s="24"/>
      <c r="Z323" s="24"/>
      <c r="AA323" s="24"/>
      <c r="AB323" s="24"/>
      <c r="AC323" s="24"/>
    </row>
    <row r="324" spans="1:29" ht="12.9">
      <c r="A324" s="24"/>
      <c r="B324" s="70"/>
      <c r="C324" s="24"/>
      <c r="D324" s="24"/>
      <c r="E324" s="24"/>
      <c r="F324" s="117"/>
      <c r="G324" s="117"/>
      <c r="H324" s="24"/>
      <c r="I324" s="24"/>
      <c r="J324" s="24"/>
      <c r="K324" s="24"/>
      <c r="L324" s="24"/>
      <c r="M324" s="24"/>
      <c r="N324" s="24"/>
      <c r="O324" s="24"/>
      <c r="P324" s="24"/>
      <c r="Q324" s="24"/>
      <c r="R324" s="24"/>
      <c r="S324" s="24"/>
      <c r="T324" s="24"/>
      <c r="U324" s="24"/>
      <c r="V324" s="24"/>
      <c r="W324" s="24"/>
      <c r="X324" s="24"/>
      <c r="Y324" s="24"/>
      <c r="Z324" s="24"/>
      <c r="AA324" s="24"/>
      <c r="AB324" s="24"/>
      <c r="AC324" s="24"/>
    </row>
    <row r="325" spans="1:29" ht="12.9">
      <c r="A325" s="24"/>
      <c r="B325" s="70"/>
      <c r="C325" s="24"/>
      <c r="D325" s="24"/>
      <c r="E325" s="24"/>
      <c r="F325" s="117"/>
      <c r="G325" s="117"/>
      <c r="H325" s="24"/>
      <c r="I325" s="24"/>
      <c r="J325" s="24"/>
      <c r="K325" s="24"/>
      <c r="L325" s="24"/>
      <c r="M325" s="24"/>
      <c r="N325" s="24"/>
      <c r="O325" s="24"/>
      <c r="P325" s="24"/>
      <c r="Q325" s="24"/>
      <c r="R325" s="24"/>
      <c r="S325" s="24"/>
      <c r="T325" s="24"/>
      <c r="U325" s="24"/>
      <c r="V325" s="24"/>
      <c r="W325" s="24"/>
      <c r="X325" s="24"/>
      <c r="Y325" s="24"/>
      <c r="Z325" s="24"/>
      <c r="AA325" s="24"/>
      <c r="AB325" s="24"/>
      <c r="AC325" s="24"/>
    </row>
    <row r="326" spans="1:29" ht="12.9">
      <c r="A326" s="24"/>
      <c r="B326" s="70"/>
      <c r="C326" s="24"/>
      <c r="D326" s="24"/>
      <c r="E326" s="24"/>
      <c r="F326" s="117"/>
      <c r="G326" s="117"/>
      <c r="H326" s="24"/>
      <c r="I326" s="24"/>
      <c r="J326" s="24"/>
      <c r="K326" s="24"/>
      <c r="L326" s="24"/>
      <c r="M326" s="24"/>
      <c r="N326" s="24"/>
      <c r="O326" s="24"/>
      <c r="P326" s="24"/>
      <c r="Q326" s="24"/>
      <c r="R326" s="24"/>
      <c r="S326" s="24"/>
      <c r="T326" s="24"/>
      <c r="U326" s="24"/>
      <c r="V326" s="24"/>
      <c r="W326" s="24"/>
      <c r="X326" s="24"/>
      <c r="Y326" s="24"/>
      <c r="Z326" s="24"/>
      <c r="AA326" s="24"/>
      <c r="AB326" s="24"/>
      <c r="AC326" s="24"/>
    </row>
    <row r="327" spans="1:29" ht="12.9">
      <c r="A327" s="24"/>
      <c r="B327" s="70"/>
      <c r="C327" s="24"/>
      <c r="D327" s="24"/>
      <c r="E327" s="24"/>
      <c r="F327" s="117"/>
      <c r="G327" s="117"/>
      <c r="H327" s="24"/>
      <c r="I327" s="24"/>
      <c r="J327" s="24"/>
      <c r="K327" s="24"/>
      <c r="L327" s="24"/>
      <c r="M327" s="24"/>
      <c r="N327" s="24"/>
      <c r="O327" s="24"/>
      <c r="P327" s="24"/>
      <c r="Q327" s="24"/>
      <c r="R327" s="24"/>
      <c r="S327" s="24"/>
      <c r="T327" s="24"/>
      <c r="U327" s="24"/>
      <c r="V327" s="24"/>
      <c r="W327" s="24"/>
      <c r="X327" s="24"/>
      <c r="Y327" s="24"/>
      <c r="Z327" s="24"/>
      <c r="AA327" s="24"/>
      <c r="AB327" s="24"/>
      <c r="AC327" s="24"/>
    </row>
    <row r="328" spans="1:29" ht="12.9">
      <c r="A328" s="24"/>
      <c r="B328" s="70"/>
      <c r="C328" s="24"/>
      <c r="D328" s="24"/>
      <c r="E328" s="24"/>
      <c r="F328" s="117"/>
      <c r="G328" s="117"/>
      <c r="H328" s="24"/>
      <c r="I328" s="24"/>
      <c r="J328" s="24"/>
      <c r="K328" s="24"/>
      <c r="L328" s="24"/>
      <c r="M328" s="24"/>
      <c r="N328" s="24"/>
      <c r="O328" s="24"/>
      <c r="P328" s="24"/>
      <c r="Q328" s="24"/>
      <c r="R328" s="24"/>
      <c r="S328" s="24"/>
      <c r="T328" s="24"/>
      <c r="U328" s="24"/>
      <c r="V328" s="24"/>
      <c r="W328" s="24"/>
      <c r="X328" s="24"/>
      <c r="Y328" s="24"/>
      <c r="Z328" s="24"/>
      <c r="AA328" s="24"/>
      <c r="AB328" s="24"/>
      <c r="AC328" s="24"/>
    </row>
    <row r="329" spans="1:29" ht="12.9">
      <c r="A329" s="24"/>
      <c r="B329" s="70"/>
      <c r="C329" s="24"/>
      <c r="D329" s="24"/>
      <c r="E329" s="24"/>
      <c r="F329" s="117"/>
      <c r="G329" s="117"/>
      <c r="H329" s="24"/>
      <c r="I329" s="24"/>
      <c r="J329" s="24"/>
      <c r="K329" s="24"/>
      <c r="L329" s="24"/>
      <c r="M329" s="24"/>
      <c r="N329" s="24"/>
      <c r="O329" s="24"/>
      <c r="P329" s="24"/>
      <c r="Q329" s="24"/>
      <c r="R329" s="24"/>
      <c r="S329" s="24"/>
      <c r="T329" s="24"/>
      <c r="U329" s="24"/>
      <c r="V329" s="24"/>
      <c r="W329" s="24"/>
      <c r="X329" s="24"/>
      <c r="Y329" s="24"/>
      <c r="Z329" s="24"/>
      <c r="AA329" s="24"/>
      <c r="AB329" s="24"/>
      <c r="AC329" s="24"/>
    </row>
    <row r="330" spans="1:29" ht="12.9">
      <c r="A330" s="24"/>
      <c r="B330" s="70"/>
      <c r="C330" s="24"/>
      <c r="D330" s="24"/>
      <c r="E330" s="24"/>
      <c r="F330" s="117"/>
      <c r="G330" s="117"/>
      <c r="H330" s="24"/>
      <c r="I330" s="24"/>
      <c r="J330" s="24"/>
      <c r="K330" s="24"/>
      <c r="L330" s="24"/>
      <c r="M330" s="24"/>
      <c r="N330" s="24"/>
      <c r="O330" s="24"/>
      <c r="P330" s="24"/>
      <c r="Q330" s="24"/>
      <c r="R330" s="24"/>
      <c r="S330" s="24"/>
      <c r="T330" s="24"/>
      <c r="U330" s="24"/>
      <c r="V330" s="24"/>
      <c r="W330" s="24"/>
      <c r="X330" s="24"/>
      <c r="Y330" s="24"/>
      <c r="Z330" s="24"/>
      <c r="AA330" s="24"/>
      <c r="AB330" s="24"/>
      <c r="AC330" s="24"/>
    </row>
    <row r="331" spans="1:29" ht="12.9">
      <c r="A331" s="24"/>
      <c r="B331" s="70"/>
      <c r="C331" s="24"/>
      <c r="D331" s="24"/>
      <c r="E331" s="24"/>
      <c r="F331" s="117"/>
      <c r="G331" s="117"/>
      <c r="H331" s="24"/>
      <c r="I331" s="24"/>
      <c r="J331" s="24"/>
      <c r="K331" s="24"/>
      <c r="L331" s="24"/>
      <c r="M331" s="24"/>
      <c r="N331" s="24"/>
      <c r="O331" s="24"/>
      <c r="P331" s="24"/>
      <c r="Q331" s="24"/>
      <c r="R331" s="24"/>
      <c r="S331" s="24"/>
      <c r="T331" s="24"/>
      <c r="U331" s="24"/>
      <c r="V331" s="24"/>
      <c r="W331" s="24"/>
      <c r="X331" s="24"/>
      <c r="Y331" s="24"/>
      <c r="Z331" s="24"/>
      <c r="AA331" s="24"/>
      <c r="AB331" s="24"/>
      <c r="AC331" s="24"/>
    </row>
    <row r="332" spans="1:29" ht="12.9">
      <c r="A332" s="24"/>
      <c r="B332" s="70"/>
      <c r="C332" s="24"/>
      <c r="D332" s="24"/>
      <c r="E332" s="24"/>
      <c r="F332" s="117"/>
      <c r="G332" s="117"/>
      <c r="H332" s="24"/>
      <c r="I332" s="24"/>
      <c r="J332" s="24"/>
      <c r="K332" s="24"/>
      <c r="L332" s="24"/>
      <c r="M332" s="24"/>
      <c r="N332" s="24"/>
      <c r="O332" s="24"/>
      <c r="P332" s="24"/>
      <c r="Q332" s="24"/>
      <c r="R332" s="24"/>
      <c r="S332" s="24"/>
      <c r="T332" s="24"/>
      <c r="U332" s="24"/>
      <c r="V332" s="24"/>
      <c r="W332" s="24"/>
      <c r="X332" s="24"/>
      <c r="Y332" s="24"/>
      <c r="Z332" s="24"/>
      <c r="AA332" s="24"/>
      <c r="AB332" s="24"/>
      <c r="AC332" s="24"/>
    </row>
    <row r="333" spans="1:29" ht="12.9">
      <c r="A333" s="24"/>
      <c r="B333" s="70"/>
      <c r="C333" s="24"/>
      <c r="D333" s="24"/>
      <c r="E333" s="24"/>
      <c r="F333" s="117"/>
      <c r="G333" s="117"/>
      <c r="H333" s="24"/>
      <c r="I333" s="24"/>
      <c r="J333" s="24"/>
      <c r="K333" s="24"/>
      <c r="L333" s="24"/>
      <c r="M333" s="24"/>
      <c r="N333" s="24"/>
      <c r="O333" s="24"/>
      <c r="P333" s="24"/>
      <c r="Q333" s="24"/>
      <c r="R333" s="24"/>
      <c r="S333" s="24"/>
      <c r="T333" s="24"/>
      <c r="U333" s="24"/>
      <c r="V333" s="24"/>
      <c r="W333" s="24"/>
      <c r="X333" s="24"/>
      <c r="Y333" s="24"/>
      <c r="Z333" s="24"/>
      <c r="AA333" s="24"/>
      <c r="AB333" s="24"/>
      <c r="AC333" s="24"/>
    </row>
    <row r="334" spans="1:29" ht="12.9">
      <c r="A334" s="24"/>
      <c r="B334" s="70"/>
      <c r="C334" s="24"/>
      <c r="D334" s="24"/>
      <c r="E334" s="24"/>
      <c r="F334" s="117"/>
      <c r="G334" s="117"/>
      <c r="H334" s="24"/>
      <c r="I334" s="24"/>
      <c r="J334" s="24"/>
      <c r="K334" s="24"/>
      <c r="L334" s="24"/>
      <c r="M334" s="24"/>
      <c r="N334" s="24"/>
      <c r="O334" s="24"/>
      <c r="P334" s="24"/>
      <c r="Q334" s="24"/>
      <c r="R334" s="24"/>
      <c r="S334" s="24"/>
      <c r="T334" s="24"/>
      <c r="U334" s="24"/>
      <c r="V334" s="24"/>
      <c r="W334" s="24"/>
      <c r="X334" s="24"/>
      <c r="Y334" s="24"/>
      <c r="Z334" s="24"/>
      <c r="AA334" s="24"/>
      <c r="AB334" s="24"/>
      <c r="AC334" s="24"/>
    </row>
    <row r="335" spans="1:29" ht="12.9">
      <c r="A335" s="24"/>
      <c r="B335" s="70"/>
      <c r="C335" s="24"/>
      <c r="D335" s="24"/>
      <c r="E335" s="24"/>
      <c r="F335" s="117"/>
      <c r="G335" s="117"/>
      <c r="H335" s="24"/>
      <c r="I335" s="24"/>
      <c r="J335" s="24"/>
      <c r="K335" s="24"/>
      <c r="L335" s="24"/>
      <c r="M335" s="24"/>
      <c r="N335" s="24"/>
      <c r="O335" s="24"/>
      <c r="P335" s="24"/>
      <c r="Q335" s="24"/>
      <c r="R335" s="24"/>
      <c r="S335" s="24"/>
      <c r="T335" s="24"/>
      <c r="U335" s="24"/>
      <c r="V335" s="24"/>
      <c r="W335" s="24"/>
      <c r="X335" s="24"/>
      <c r="Y335" s="24"/>
      <c r="Z335" s="24"/>
      <c r="AA335" s="24"/>
      <c r="AB335" s="24"/>
      <c r="AC335" s="24"/>
    </row>
    <row r="336" spans="1:29" ht="12.9">
      <c r="A336" s="24"/>
      <c r="B336" s="70"/>
      <c r="C336" s="24"/>
      <c r="D336" s="24"/>
      <c r="E336" s="24"/>
      <c r="F336" s="117"/>
      <c r="G336" s="117"/>
      <c r="H336" s="24"/>
      <c r="I336" s="24"/>
      <c r="J336" s="24"/>
      <c r="K336" s="24"/>
      <c r="L336" s="24"/>
      <c r="M336" s="24"/>
      <c r="N336" s="24"/>
      <c r="O336" s="24"/>
      <c r="P336" s="24"/>
      <c r="Q336" s="24"/>
      <c r="R336" s="24"/>
      <c r="S336" s="24"/>
      <c r="T336" s="24"/>
      <c r="U336" s="24"/>
      <c r="V336" s="24"/>
      <c r="W336" s="24"/>
      <c r="X336" s="24"/>
      <c r="Y336" s="24"/>
      <c r="Z336" s="24"/>
      <c r="AA336" s="24"/>
      <c r="AB336" s="24"/>
      <c r="AC336" s="24"/>
    </row>
    <row r="337" spans="1:29" ht="12.9">
      <c r="A337" s="24"/>
      <c r="B337" s="70"/>
      <c r="C337" s="24"/>
      <c r="D337" s="24"/>
      <c r="E337" s="24"/>
      <c r="F337" s="117"/>
      <c r="G337" s="117"/>
      <c r="H337" s="24"/>
      <c r="I337" s="24"/>
      <c r="J337" s="24"/>
      <c r="K337" s="24"/>
      <c r="L337" s="24"/>
      <c r="M337" s="24"/>
      <c r="N337" s="24"/>
      <c r="O337" s="24"/>
      <c r="P337" s="24"/>
      <c r="Q337" s="24"/>
      <c r="R337" s="24"/>
      <c r="S337" s="24"/>
      <c r="T337" s="24"/>
      <c r="U337" s="24"/>
      <c r="V337" s="24"/>
      <c r="W337" s="24"/>
      <c r="X337" s="24"/>
      <c r="Y337" s="24"/>
      <c r="Z337" s="24"/>
      <c r="AA337" s="24"/>
      <c r="AB337" s="24"/>
      <c r="AC337" s="24"/>
    </row>
    <row r="338" spans="1:29" ht="12.9">
      <c r="A338" s="24"/>
      <c r="B338" s="70"/>
      <c r="C338" s="24"/>
      <c r="D338" s="24"/>
      <c r="E338" s="24"/>
      <c r="F338" s="117"/>
      <c r="G338" s="117"/>
      <c r="H338" s="24"/>
      <c r="I338" s="24"/>
      <c r="J338" s="24"/>
      <c r="K338" s="24"/>
      <c r="L338" s="24"/>
      <c r="M338" s="24"/>
      <c r="N338" s="24"/>
      <c r="O338" s="24"/>
      <c r="P338" s="24"/>
      <c r="Q338" s="24"/>
      <c r="R338" s="24"/>
      <c r="S338" s="24"/>
      <c r="T338" s="24"/>
      <c r="U338" s="24"/>
      <c r="V338" s="24"/>
      <c r="W338" s="24"/>
      <c r="X338" s="24"/>
      <c r="Y338" s="24"/>
      <c r="Z338" s="24"/>
      <c r="AA338" s="24"/>
      <c r="AB338" s="24"/>
      <c r="AC338" s="24"/>
    </row>
    <row r="339" spans="1:29" ht="12.9">
      <c r="A339" s="24"/>
      <c r="B339" s="70"/>
      <c r="C339" s="24"/>
      <c r="D339" s="24"/>
      <c r="E339" s="24"/>
      <c r="F339" s="117"/>
      <c r="G339" s="117"/>
      <c r="H339" s="24"/>
      <c r="I339" s="24"/>
      <c r="J339" s="24"/>
      <c r="K339" s="24"/>
      <c r="L339" s="24"/>
      <c r="M339" s="24"/>
      <c r="N339" s="24"/>
      <c r="O339" s="24"/>
      <c r="P339" s="24"/>
      <c r="Q339" s="24"/>
      <c r="R339" s="24"/>
      <c r="S339" s="24"/>
      <c r="T339" s="24"/>
      <c r="U339" s="24"/>
      <c r="V339" s="24"/>
      <c r="W339" s="24"/>
      <c r="X339" s="24"/>
      <c r="Y339" s="24"/>
      <c r="Z339" s="24"/>
      <c r="AA339" s="24"/>
      <c r="AB339" s="24"/>
      <c r="AC339" s="24"/>
    </row>
    <row r="340" spans="1:29" ht="12.9">
      <c r="A340" s="24"/>
      <c r="B340" s="70"/>
      <c r="C340" s="24"/>
      <c r="D340" s="24"/>
      <c r="E340" s="24"/>
      <c r="F340" s="117"/>
      <c r="G340" s="117"/>
      <c r="H340" s="24"/>
      <c r="I340" s="24"/>
      <c r="J340" s="24"/>
      <c r="K340" s="24"/>
      <c r="L340" s="24"/>
      <c r="M340" s="24"/>
      <c r="N340" s="24"/>
      <c r="O340" s="24"/>
      <c r="P340" s="24"/>
      <c r="Q340" s="24"/>
      <c r="R340" s="24"/>
      <c r="S340" s="24"/>
      <c r="T340" s="24"/>
      <c r="U340" s="24"/>
      <c r="V340" s="24"/>
      <c r="W340" s="24"/>
      <c r="X340" s="24"/>
      <c r="Y340" s="24"/>
      <c r="Z340" s="24"/>
      <c r="AA340" s="24"/>
      <c r="AB340" s="24"/>
      <c r="AC340" s="24"/>
    </row>
    <row r="341" spans="1:29" ht="12.9">
      <c r="A341" s="24"/>
      <c r="B341" s="70"/>
      <c r="C341" s="24"/>
      <c r="D341" s="24"/>
      <c r="E341" s="24"/>
      <c r="F341" s="117"/>
      <c r="G341" s="117"/>
      <c r="H341" s="24"/>
      <c r="I341" s="24"/>
      <c r="J341" s="24"/>
      <c r="K341" s="24"/>
      <c r="L341" s="24"/>
      <c r="M341" s="24"/>
      <c r="N341" s="24"/>
      <c r="O341" s="24"/>
      <c r="P341" s="24"/>
      <c r="Q341" s="24"/>
      <c r="R341" s="24"/>
      <c r="S341" s="24"/>
      <c r="T341" s="24"/>
      <c r="U341" s="24"/>
      <c r="V341" s="24"/>
      <c r="W341" s="24"/>
      <c r="X341" s="24"/>
      <c r="Y341" s="24"/>
      <c r="Z341" s="24"/>
      <c r="AA341" s="24"/>
      <c r="AB341" s="24"/>
      <c r="AC341" s="24"/>
    </row>
    <row r="342" spans="1:29" ht="12.9">
      <c r="A342" s="24"/>
      <c r="B342" s="70"/>
      <c r="C342" s="24"/>
      <c r="D342" s="24"/>
      <c r="E342" s="24"/>
      <c r="F342" s="117"/>
      <c r="G342" s="117"/>
      <c r="H342" s="24"/>
      <c r="I342" s="24"/>
      <c r="J342" s="24"/>
      <c r="K342" s="24"/>
      <c r="L342" s="24"/>
      <c r="M342" s="24"/>
      <c r="N342" s="24"/>
      <c r="O342" s="24"/>
      <c r="P342" s="24"/>
      <c r="Q342" s="24"/>
      <c r="R342" s="24"/>
      <c r="S342" s="24"/>
      <c r="T342" s="24"/>
      <c r="U342" s="24"/>
      <c r="V342" s="24"/>
      <c r="W342" s="24"/>
      <c r="X342" s="24"/>
      <c r="Y342" s="24"/>
      <c r="Z342" s="24"/>
      <c r="AA342" s="24"/>
      <c r="AB342" s="24"/>
      <c r="AC342" s="24"/>
    </row>
    <row r="343" spans="1:29" ht="12.9">
      <c r="A343" s="24"/>
      <c r="B343" s="70"/>
      <c r="C343" s="24"/>
      <c r="D343" s="24"/>
      <c r="E343" s="24"/>
      <c r="F343" s="117"/>
      <c r="G343" s="117"/>
      <c r="H343" s="24"/>
      <c r="I343" s="24"/>
      <c r="J343" s="24"/>
      <c r="K343" s="24"/>
      <c r="L343" s="24"/>
      <c r="M343" s="24"/>
      <c r="N343" s="24"/>
      <c r="O343" s="24"/>
      <c r="P343" s="24"/>
      <c r="Q343" s="24"/>
      <c r="R343" s="24"/>
      <c r="S343" s="24"/>
      <c r="T343" s="24"/>
      <c r="U343" s="24"/>
      <c r="V343" s="24"/>
      <c r="W343" s="24"/>
      <c r="X343" s="24"/>
      <c r="Y343" s="24"/>
      <c r="Z343" s="24"/>
      <c r="AA343" s="24"/>
      <c r="AB343" s="24"/>
      <c r="AC343" s="24"/>
    </row>
    <row r="344" spans="1:29" ht="12.9">
      <c r="A344" s="24"/>
      <c r="B344" s="70"/>
      <c r="C344" s="24"/>
      <c r="D344" s="24"/>
      <c r="E344" s="24"/>
      <c r="F344" s="117"/>
      <c r="G344" s="117"/>
      <c r="H344" s="24"/>
      <c r="I344" s="24"/>
      <c r="J344" s="24"/>
      <c r="K344" s="24"/>
      <c r="L344" s="24"/>
      <c r="M344" s="24"/>
      <c r="N344" s="24"/>
      <c r="O344" s="24"/>
      <c r="P344" s="24"/>
      <c r="Q344" s="24"/>
      <c r="R344" s="24"/>
      <c r="S344" s="24"/>
      <c r="T344" s="24"/>
      <c r="U344" s="24"/>
      <c r="V344" s="24"/>
      <c r="W344" s="24"/>
      <c r="X344" s="24"/>
      <c r="Y344" s="24"/>
      <c r="Z344" s="24"/>
      <c r="AA344" s="24"/>
      <c r="AB344" s="24"/>
      <c r="AC344" s="24"/>
    </row>
    <row r="345" spans="1:29" ht="12.9">
      <c r="A345" s="24"/>
      <c r="B345" s="70"/>
      <c r="C345" s="24"/>
      <c r="D345" s="24"/>
      <c r="E345" s="24"/>
      <c r="F345" s="117"/>
      <c r="G345" s="117"/>
      <c r="H345" s="24"/>
      <c r="I345" s="24"/>
      <c r="J345" s="24"/>
      <c r="K345" s="24"/>
      <c r="L345" s="24"/>
      <c r="M345" s="24"/>
      <c r="N345" s="24"/>
      <c r="O345" s="24"/>
      <c r="P345" s="24"/>
      <c r="Q345" s="24"/>
      <c r="R345" s="24"/>
      <c r="S345" s="24"/>
      <c r="T345" s="24"/>
      <c r="U345" s="24"/>
      <c r="V345" s="24"/>
      <c r="W345" s="24"/>
      <c r="X345" s="24"/>
      <c r="Y345" s="24"/>
      <c r="Z345" s="24"/>
      <c r="AA345" s="24"/>
      <c r="AB345" s="24"/>
      <c r="AC345" s="24"/>
    </row>
    <row r="346" spans="1:29" ht="12.9">
      <c r="A346" s="24"/>
      <c r="B346" s="70"/>
      <c r="C346" s="24"/>
      <c r="D346" s="24"/>
      <c r="E346" s="24"/>
      <c r="F346" s="117"/>
      <c r="G346" s="117"/>
      <c r="H346" s="24"/>
      <c r="I346" s="24"/>
      <c r="J346" s="24"/>
      <c r="K346" s="24"/>
      <c r="L346" s="24"/>
      <c r="M346" s="24"/>
      <c r="N346" s="24"/>
      <c r="O346" s="24"/>
      <c r="P346" s="24"/>
      <c r="Q346" s="24"/>
      <c r="R346" s="24"/>
      <c r="S346" s="24"/>
      <c r="T346" s="24"/>
      <c r="U346" s="24"/>
      <c r="V346" s="24"/>
      <c r="W346" s="24"/>
      <c r="X346" s="24"/>
      <c r="Y346" s="24"/>
      <c r="Z346" s="24"/>
      <c r="AA346" s="24"/>
      <c r="AB346" s="24"/>
      <c r="AC346" s="24"/>
    </row>
    <row r="347" spans="1:29" ht="12.9">
      <c r="A347" s="24"/>
      <c r="B347" s="70"/>
      <c r="C347" s="24"/>
      <c r="D347" s="24"/>
      <c r="E347" s="24"/>
      <c r="F347" s="117"/>
      <c r="G347" s="117"/>
      <c r="H347" s="24"/>
      <c r="I347" s="24"/>
      <c r="J347" s="24"/>
      <c r="K347" s="24"/>
      <c r="L347" s="24"/>
      <c r="M347" s="24"/>
      <c r="N347" s="24"/>
      <c r="O347" s="24"/>
      <c r="P347" s="24"/>
      <c r="Q347" s="24"/>
      <c r="R347" s="24"/>
      <c r="S347" s="24"/>
      <c r="T347" s="24"/>
      <c r="U347" s="24"/>
      <c r="V347" s="24"/>
      <c r="W347" s="24"/>
      <c r="X347" s="24"/>
      <c r="Y347" s="24"/>
      <c r="Z347" s="24"/>
      <c r="AA347" s="24"/>
      <c r="AB347" s="24"/>
      <c r="AC347" s="24"/>
    </row>
    <row r="348" spans="1:29" ht="12.9">
      <c r="A348" s="24"/>
      <c r="B348" s="70"/>
      <c r="C348" s="24"/>
      <c r="D348" s="24"/>
      <c r="E348" s="24"/>
      <c r="F348" s="117"/>
      <c r="G348" s="117"/>
      <c r="H348" s="24"/>
      <c r="I348" s="24"/>
      <c r="J348" s="24"/>
      <c r="K348" s="24"/>
      <c r="L348" s="24"/>
      <c r="M348" s="24"/>
      <c r="N348" s="24"/>
      <c r="O348" s="24"/>
      <c r="P348" s="24"/>
      <c r="Q348" s="24"/>
      <c r="R348" s="24"/>
      <c r="S348" s="24"/>
      <c r="T348" s="24"/>
      <c r="U348" s="24"/>
      <c r="V348" s="24"/>
      <c r="W348" s="24"/>
      <c r="X348" s="24"/>
      <c r="Y348" s="24"/>
      <c r="Z348" s="24"/>
      <c r="AA348" s="24"/>
      <c r="AB348" s="24"/>
      <c r="AC348" s="24"/>
    </row>
    <row r="349" spans="1:29" ht="12.9">
      <c r="A349" s="24"/>
      <c r="B349" s="70"/>
      <c r="C349" s="24"/>
      <c r="D349" s="24"/>
      <c r="E349" s="24"/>
      <c r="F349" s="117"/>
      <c r="G349" s="117"/>
      <c r="H349" s="24"/>
      <c r="I349" s="24"/>
      <c r="J349" s="24"/>
      <c r="K349" s="24"/>
      <c r="L349" s="24"/>
      <c r="M349" s="24"/>
      <c r="N349" s="24"/>
      <c r="O349" s="24"/>
      <c r="P349" s="24"/>
      <c r="Q349" s="24"/>
      <c r="R349" s="24"/>
      <c r="S349" s="24"/>
      <c r="T349" s="24"/>
      <c r="U349" s="24"/>
      <c r="V349" s="24"/>
      <c r="W349" s="24"/>
      <c r="X349" s="24"/>
      <c r="Y349" s="24"/>
      <c r="Z349" s="24"/>
      <c r="AA349" s="24"/>
      <c r="AB349" s="24"/>
      <c r="AC349" s="24"/>
    </row>
    <row r="350" spans="1:29" ht="12.9">
      <c r="A350" s="24"/>
      <c r="B350" s="70"/>
      <c r="C350" s="24"/>
      <c r="D350" s="24"/>
      <c r="E350" s="24"/>
      <c r="F350" s="117"/>
      <c r="G350" s="117"/>
      <c r="H350" s="24"/>
      <c r="I350" s="24"/>
      <c r="J350" s="24"/>
      <c r="K350" s="24"/>
      <c r="L350" s="24"/>
      <c r="M350" s="24"/>
      <c r="N350" s="24"/>
      <c r="O350" s="24"/>
      <c r="P350" s="24"/>
      <c r="Q350" s="24"/>
      <c r="R350" s="24"/>
      <c r="S350" s="24"/>
      <c r="T350" s="24"/>
      <c r="U350" s="24"/>
      <c r="V350" s="24"/>
      <c r="W350" s="24"/>
      <c r="X350" s="24"/>
      <c r="Y350" s="24"/>
      <c r="Z350" s="24"/>
      <c r="AA350" s="24"/>
      <c r="AB350" s="24"/>
      <c r="AC350" s="24"/>
    </row>
    <row r="351" spans="1:29" ht="12.9">
      <c r="A351" s="24"/>
      <c r="B351" s="70"/>
      <c r="C351" s="24"/>
      <c r="D351" s="24"/>
      <c r="E351" s="24"/>
      <c r="F351" s="117"/>
      <c r="G351" s="117"/>
      <c r="H351" s="24"/>
      <c r="I351" s="24"/>
      <c r="J351" s="24"/>
      <c r="K351" s="24"/>
      <c r="L351" s="24"/>
      <c r="M351" s="24"/>
      <c r="N351" s="24"/>
      <c r="O351" s="24"/>
      <c r="P351" s="24"/>
      <c r="Q351" s="24"/>
      <c r="R351" s="24"/>
      <c r="S351" s="24"/>
      <c r="T351" s="24"/>
      <c r="U351" s="24"/>
      <c r="V351" s="24"/>
      <c r="W351" s="24"/>
      <c r="X351" s="24"/>
      <c r="Y351" s="24"/>
      <c r="Z351" s="24"/>
      <c r="AA351" s="24"/>
      <c r="AB351" s="24"/>
      <c r="AC351" s="24"/>
    </row>
    <row r="352" spans="1:29" ht="12.9">
      <c r="A352" s="24"/>
      <c r="B352" s="70"/>
      <c r="C352" s="24"/>
      <c r="D352" s="24"/>
      <c r="E352" s="24"/>
      <c r="F352" s="117"/>
      <c r="G352" s="117"/>
      <c r="H352" s="24"/>
      <c r="I352" s="24"/>
      <c r="J352" s="24"/>
      <c r="K352" s="24"/>
      <c r="L352" s="24"/>
      <c r="M352" s="24"/>
      <c r="N352" s="24"/>
      <c r="O352" s="24"/>
      <c r="P352" s="24"/>
      <c r="Q352" s="24"/>
      <c r="R352" s="24"/>
      <c r="S352" s="24"/>
      <c r="T352" s="24"/>
      <c r="U352" s="24"/>
      <c r="V352" s="24"/>
      <c r="W352" s="24"/>
      <c r="X352" s="24"/>
      <c r="Y352" s="24"/>
      <c r="Z352" s="24"/>
      <c r="AA352" s="24"/>
      <c r="AB352" s="24"/>
      <c r="AC352" s="24"/>
    </row>
    <row r="353" spans="1:29" ht="12.9">
      <c r="A353" s="24"/>
      <c r="B353" s="70"/>
      <c r="C353" s="24"/>
      <c r="D353" s="24"/>
      <c r="E353" s="24"/>
      <c r="F353" s="117"/>
      <c r="G353" s="117"/>
      <c r="H353" s="24"/>
      <c r="I353" s="24"/>
      <c r="J353" s="24"/>
      <c r="K353" s="24"/>
      <c r="L353" s="24"/>
      <c r="M353" s="24"/>
      <c r="N353" s="24"/>
      <c r="O353" s="24"/>
      <c r="P353" s="24"/>
      <c r="Q353" s="24"/>
      <c r="R353" s="24"/>
      <c r="S353" s="24"/>
      <c r="T353" s="24"/>
      <c r="U353" s="24"/>
      <c r="V353" s="24"/>
      <c r="W353" s="24"/>
      <c r="X353" s="24"/>
      <c r="Y353" s="24"/>
      <c r="Z353" s="24"/>
      <c r="AA353" s="24"/>
      <c r="AB353" s="24"/>
      <c r="AC353" s="24"/>
    </row>
    <row r="354" spans="1:29" ht="12.9">
      <c r="A354" s="24"/>
      <c r="B354" s="70"/>
      <c r="C354" s="24"/>
      <c r="D354" s="24"/>
      <c r="E354" s="24"/>
      <c r="F354" s="117"/>
      <c r="G354" s="117"/>
      <c r="H354" s="24"/>
      <c r="I354" s="24"/>
      <c r="J354" s="24"/>
      <c r="K354" s="24"/>
      <c r="L354" s="24"/>
      <c r="M354" s="24"/>
      <c r="N354" s="24"/>
      <c r="O354" s="24"/>
      <c r="P354" s="24"/>
      <c r="Q354" s="24"/>
      <c r="R354" s="24"/>
      <c r="S354" s="24"/>
      <c r="T354" s="24"/>
      <c r="U354" s="24"/>
      <c r="V354" s="24"/>
      <c r="W354" s="24"/>
      <c r="X354" s="24"/>
      <c r="Y354" s="24"/>
      <c r="Z354" s="24"/>
      <c r="AA354" s="24"/>
      <c r="AB354" s="24"/>
      <c r="AC354" s="24"/>
    </row>
    <row r="355" spans="1:29" ht="12.9">
      <c r="A355" s="24"/>
      <c r="B355" s="70"/>
      <c r="C355" s="24"/>
      <c r="D355" s="24"/>
      <c r="E355" s="24"/>
      <c r="F355" s="117"/>
      <c r="G355" s="117"/>
      <c r="H355" s="24"/>
      <c r="I355" s="24"/>
      <c r="J355" s="24"/>
      <c r="K355" s="24"/>
      <c r="L355" s="24"/>
      <c r="M355" s="24"/>
      <c r="N355" s="24"/>
      <c r="O355" s="24"/>
      <c r="P355" s="24"/>
      <c r="Q355" s="24"/>
      <c r="R355" s="24"/>
      <c r="S355" s="24"/>
      <c r="T355" s="24"/>
      <c r="U355" s="24"/>
      <c r="V355" s="24"/>
      <c r="W355" s="24"/>
      <c r="X355" s="24"/>
      <c r="Y355" s="24"/>
      <c r="Z355" s="24"/>
      <c r="AA355" s="24"/>
      <c r="AB355" s="24"/>
      <c r="AC355" s="24"/>
    </row>
    <row r="356" spans="1:29" ht="12.9">
      <c r="A356" s="24"/>
      <c r="B356" s="70"/>
      <c r="C356" s="24"/>
      <c r="D356" s="24"/>
      <c r="E356" s="24"/>
      <c r="F356" s="117"/>
      <c r="G356" s="117"/>
      <c r="H356" s="24"/>
      <c r="I356" s="24"/>
      <c r="J356" s="24"/>
      <c r="K356" s="24"/>
      <c r="L356" s="24"/>
      <c r="M356" s="24"/>
      <c r="N356" s="24"/>
      <c r="O356" s="24"/>
      <c r="P356" s="24"/>
      <c r="Q356" s="24"/>
      <c r="R356" s="24"/>
      <c r="S356" s="24"/>
      <c r="T356" s="24"/>
      <c r="U356" s="24"/>
      <c r="V356" s="24"/>
      <c r="W356" s="24"/>
      <c r="X356" s="24"/>
      <c r="Y356" s="24"/>
      <c r="Z356" s="24"/>
      <c r="AA356" s="24"/>
      <c r="AB356" s="24"/>
      <c r="AC356" s="24"/>
    </row>
    <row r="357" spans="1:29" ht="12.9">
      <c r="A357" s="24"/>
      <c r="B357" s="24"/>
      <c r="C357" s="24"/>
      <c r="D357" s="24"/>
      <c r="E357" s="24"/>
      <c r="F357" s="117"/>
      <c r="G357" s="117"/>
      <c r="H357" s="24"/>
      <c r="I357" s="24"/>
      <c r="J357" s="24"/>
      <c r="K357" s="24"/>
      <c r="L357" s="24"/>
      <c r="M357" s="24"/>
      <c r="N357" s="24"/>
      <c r="O357" s="24"/>
      <c r="P357" s="24"/>
      <c r="Q357" s="24"/>
      <c r="R357" s="24"/>
      <c r="S357" s="24"/>
      <c r="T357" s="24"/>
      <c r="U357" s="24"/>
      <c r="V357" s="24"/>
      <c r="W357" s="24"/>
      <c r="X357" s="24"/>
      <c r="Y357" s="24"/>
      <c r="Z357" s="24"/>
      <c r="AA357" s="24"/>
      <c r="AB357" s="24"/>
      <c r="AC357" s="24"/>
    </row>
    <row r="358" spans="1:29" ht="12.9">
      <c r="A358" s="24"/>
      <c r="B358" s="24"/>
      <c r="C358" s="24"/>
      <c r="D358" s="24"/>
      <c r="E358" s="24"/>
      <c r="F358" s="117"/>
      <c r="G358" s="117"/>
      <c r="H358" s="24"/>
      <c r="I358" s="24"/>
      <c r="J358" s="24"/>
      <c r="K358" s="24"/>
      <c r="L358" s="24"/>
      <c r="M358" s="24"/>
      <c r="N358" s="24"/>
      <c r="O358" s="24"/>
      <c r="P358" s="24"/>
      <c r="Q358" s="24"/>
      <c r="R358" s="24"/>
      <c r="S358" s="24"/>
      <c r="T358" s="24"/>
      <c r="U358" s="24"/>
      <c r="V358" s="24"/>
      <c r="W358" s="24"/>
      <c r="X358" s="24"/>
      <c r="Y358" s="24"/>
      <c r="Z358" s="24"/>
      <c r="AA358" s="24"/>
      <c r="AB358" s="24"/>
      <c r="AC358" s="24"/>
    </row>
    <row r="359" spans="1:29" ht="12.9">
      <c r="A359" s="24"/>
      <c r="B359" s="24"/>
      <c r="C359" s="24"/>
      <c r="D359" s="24"/>
      <c r="E359" s="24"/>
      <c r="F359" s="117"/>
      <c r="G359" s="117"/>
      <c r="H359" s="24"/>
      <c r="I359" s="24"/>
      <c r="J359" s="24"/>
      <c r="K359" s="24"/>
      <c r="L359" s="24"/>
      <c r="M359" s="24"/>
      <c r="N359" s="24"/>
      <c r="O359" s="24"/>
      <c r="P359" s="24"/>
      <c r="Q359" s="24"/>
      <c r="R359" s="24"/>
      <c r="S359" s="24"/>
      <c r="T359" s="24"/>
      <c r="U359" s="24"/>
      <c r="V359" s="24"/>
      <c r="W359" s="24"/>
      <c r="X359" s="24"/>
      <c r="Y359" s="24"/>
      <c r="Z359" s="24"/>
      <c r="AA359" s="24"/>
      <c r="AB359" s="24"/>
      <c r="AC359" s="24"/>
    </row>
    <row r="360" spans="1:29" ht="12.9">
      <c r="A360" s="24"/>
      <c r="B360" s="24"/>
      <c r="C360" s="24"/>
      <c r="D360" s="24"/>
      <c r="E360" s="24"/>
      <c r="F360" s="117"/>
      <c r="G360" s="117"/>
      <c r="H360" s="24"/>
      <c r="I360" s="24"/>
      <c r="J360" s="24"/>
      <c r="K360" s="24"/>
      <c r="L360" s="24"/>
      <c r="M360" s="24"/>
      <c r="N360" s="24"/>
      <c r="O360" s="24"/>
      <c r="P360" s="24"/>
      <c r="Q360" s="24"/>
      <c r="R360" s="24"/>
      <c r="S360" s="24"/>
      <c r="T360" s="24"/>
      <c r="U360" s="24"/>
      <c r="V360" s="24"/>
      <c r="W360" s="24"/>
      <c r="X360" s="24"/>
      <c r="Y360" s="24"/>
      <c r="Z360" s="24"/>
      <c r="AA360" s="24"/>
      <c r="AB360" s="24"/>
      <c r="AC360" s="24"/>
    </row>
    <row r="361" spans="1:29" ht="12.9">
      <c r="A361" s="24"/>
      <c r="B361" s="24"/>
      <c r="C361" s="24"/>
      <c r="D361" s="24"/>
      <c r="E361" s="24"/>
      <c r="F361" s="117"/>
      <c r="G361" s="117"/>
      <c r="H361" s="24"/>
      <c r="I361" s="24"/>
      <c r="J361" s="24"/>
      <c r="K361" s="24"/>
      <c r="L361" s="24"/>
      <c r="M361" s="24"/>
      <c r="N361" s="24"/>
      <c r="O361" s="24"/>
      <c r="P361" s="24"/>
      <c r="Q361" s="24"/>
      <c r="R361" s="24"/>
      <c r="S361" s="24"/>
      <c r="T361" s="24"/>
      <c r="U361" s="24"/>
      <c r="V361" s="24"/>
      <c r="W361" s="24"/>
      <c r="X361" s="24"/>
      <c r="Y361" s="24"/>
      <c r="Z361" s="24"/>
      <c r="AA361" s="24"/>
      <c r="AB361" s="24"/>
      <c r="AC361" s="24"/>
    </row>
    <row r="362" spans="1:29" ht="12.9">
      <c r="A362" s="24"/>
      <c r="B362" s="24"/>
      <c r="C362" s="24"/>
      <c r="D362" s="24"/>
      <c r="E362" s="24"/>
      <c r="F362" s="117"/>
      <c r="G362" s="117"/>
      <c r="H362" s="24"/>
      <c r="I362" s="24"/>
      <c r="J362" s="24"/>
      <c r="K362" s="24"/>
      <c r="L362" s="24"/>
      <c r="M362" s="24"/>
      <c r="N362" s="24"/>
      <c r="O362" s="24"/>
      <c r="P362" s="24"/>
      <c r="Q362" s="24"/>
      <c r="R362" s="24"/>
      <c r="S362" s="24"/>
      <c r="T362" s="24"/>
      <c r="U362" s="24"/>
      <c r="V362" s="24"/>
      <c r="W362" s="24"/>
      <c r="X362" s="24"/>
      <c r="Y362" s="24"/>
      <c r="Z362" s="24"/>
      <c r="AA362" s="24"/>
      <c r="AB362" s="24"/>
      <c r="AC362" s="24"/>
    </row>
    <row r="363" spans="1:29" ht="12.9">
      <c r="A363" s="24"/>
      <c r="B363" s="24"/>
      <c r="C363" s="24"/>
      <c r="D363" s="24"/>
      <c r="E363" s="24"/>
      <c r="F363" s="117"/>
      <c r="G363" s="117"/>
      <c r="H363" s="24"/>
      <c r="I363" s="24"/>
      <c r="J363" s="24"/>
      <c r="K363" s="24"/>
      <c r="L363" s="24"/>
      <c r="M363" s="24"/>
      <c r="N363" s="24"/>
      <c r="O363" s="24"/>
      <c r="P363" s="24"/>
      <c r="Q363" s="24"/>
      <c r="R363" s="24"/>
      <c r="S363" s="24"/>
      <c r="T363" s="24"/>
      <c r="U363" s="24"/>
      <c r="V363" s="24"/>
      <c r="W363" s="24"/>
      <c r="X363" s="24"/>
      <c r="Y363" s="24"/>
      <c r="Z363" s="24"/>
      <c r="AA363" s="24"/>
      <c r="AB363" s="24"/>
      <c r="AC363" s="24"/>
    </row>
    <row r="364" spans="1:29" ht="12.9">
      <c r="A364" s="24"/>
      <c r="B364" s="24"/>
      <c r="C364" s="24"/>
      <c r="D364" s="24"/>
      <c r="E364" s="24"/>
      <c r="F364" s="117"/>
      <c r="G364" s="117"/>
      <c r="H364" s="24"/>
      <c r="I364" s="24"/>
      <c r="J364" s="24"/>
      <c r="K364" s="24"/>
      <c r="L364" s="24"/>
      <c r="M364" s="24"/>
      <c r="N364" s="24"/>
      <c r="O364" s="24"/>
      <c r="P364" s="24"/>
      <c r="Q364" s="24"/>
      <c r="R364" s="24"/>
      <c r="S364" s="24"/>
      <c r="T364" s="24"/>
      <c r="U364" s="24"/>
      <c r="V364" s="24"/>
      <c r="W364" s="24"/>
      <c r="X364" s="24"/>
      <c r="Y364" s="24"/>
      <c r="Z364" s="24"/>
      <c r="AA364" s="24"/>
      <c r="AB364" s="24"/>
      <c r="AC364" s="24"/>
    </row>
    <row r="365" spans="1:29" ht="12.9">
      <c r="A365" s="24"/>
      <c r="B365" s="24"/>
      <c r="C365" s="24"/>
      <c r="D365" s="24"/>
      <c r="E365" s="24"/>
      <c r="F365" s="117"/>
      <c r="G365" s="117"/>
      <c r="H365" s="24"/>
      <c r="I365" s="24"/>
      <c r="J365" s="24"/>
      <c r="K365" s="24"/>
      <c r="L365" s="24"/>
      <c r="M365" s="24"/>
      <c r="N365" s="24"/>
      <c r="O365" s="24"/>
      <c r="P365" s="24"/>
      <c r="Q365" s="24"/>
      <c r="R365" s="24"/>
      <c r="S365" s="24"/>
      <c r="T365" s="24"/>
      <c r="U365" s="24"/>
      <c r="V365" s="24"/>
      <c r="W365" s="24"/>
      <c r="X365" s="24"/>
      <c r="Y365" s="24"/>
      <c r="Z365" s="24"/>
      <c r="AA365" s="24"/>
      <c r="AB365" s="24"/>
      <c r="AC365" s="24"/>
    </row>
    <row r="366" spans="1:29" ht="12.9">
      <c r="A366" s="24"/>
      <c r="B366" s="24"/>
      <c r="C366" s="24"/>
      <c r="D366" s="24"/>
      <c r="E366" s="24"/>
      <c r="F366" s="117"/>
      <c r="G366" s="117"/>
      <c r="H366" s="24"/>
      <c r="I366" s="24"/>
      <c r="J366" s="24"/>
      <c r="K366" s="24"/>
      <c r="L366" s="24"/>
      <c r="M366" s="24"/>
      <c r="N366" s="24"/>
      <c r="O366" s="24"/>
      <c r="P366" s="24"/>
      <c r="Q366" s="24"/>
      <c r="R366" s="24"/>
      <c r="S366" s="24"/>
      <c r="T366" s="24"/>
      <c r="U366" s="24"/>
      <c r="V366" s="24"/>
      <c r="W366" s="24"/>
      <c r="X366" s="24"/>
      <c r="Y366" s="24"/>
      <c r="Z366" s="24"/>
      <c r="AA366" s="24"/>
      <c r="AB366" s="24"/>
      <c r="AC366" s="24"/>
    </row>
    <row r="367" spans="1:29" ht="12.9">
      <c r="A367" s="24"/>
      <c r="B367" s="24"/>
      <c r="C367" s="24"/>
      <c r="D367" s="24"/>
      <c r="E367" s="24"/>
      <c r="F367" s="117"/>
      <c r="G367" s="117"/>
      <c r="H367" s="24"/>
      <c r="I367" s="24"/>
      <c r="J367" s="24"/>
      <c r="K367" s="24"/>
      <c r="L367" s="24"/>
      <c r="M367" s="24"/>
      <c r="N367" s="24"/>
      <c r="O367" s="24"/>
      <c r="P367" s="24"/>
      <c r="Q367" s="24"/>
      <c r="R367" s="24"/>
      <c r="S367" s="24"/>
      <c r="T367" s="24"/>
      <c r="U367" s="24"/>
      <c r="V367" s="24"/>
      <c r="W367" s="24"/>
      <c r="X367" s="24"/>
      <c r="Y367" s="24"/>
      <c r="Z367" s="24"/>
      <c r="AA367" s="24"/>
      <c r="AB367" s="24"/>
      <c r="AC367" s="24"/>
    </row>
    <row r="368" spans="1:29" ht="12.9">
      <c r="A368" s="24"/>
      <c r="B368" s="24"/>
      <c r="C368" s="24"/>
      <c r="D368" s="24"/>
      <c r="E368" s="24"/>
      <c r="F368" s="117"/>
      <c r="G368" s="117"/>
      <c r="H368" s="24"/>
      <c r="I368" s="24"/>
      <c r="J368" s="24"/>
      <c r="K368" s="24"/>
      <c r="L368" s="24"/>
      <c r="M368" s="24"/>
      <c r="N368" s="24"/>
      <c r="O368" s="24"/>
      <c r="P368" s="24"/>
      <c r="Q368" s="24"/>
      <c r="R368" s="24"/>
      <c r="S368" s="24"/>
      <c r="T368" s="24"/>
      <c r="U368" s="24"/>
      <c r="V368" s="24"/>
      <c r="W368" s="24"/>
      <c r="X368" s="24"/>
      <c r="Y368" s="24"/>
      <c r="Z368" s="24"/>
      <c r="AA368" s="24"/>
      <c r="AB368" s="24"/>
      <c r="AC368" s="24"/>
    </row>
    <row r="369" spans="1:29" ht="12.9">
      <c r="A369" s="24"/>
      <c r="B369" s="24"/>
      <c r="C369" s="24"/>
      <c r="D369" s="24"/>
      <c r="E369" s="24"/>
      <c r="F369" s="117"/>
      <c r="G369" s="117"/>
      <c r="H369" s="24"/>
      <c r="I369" s="24"/>
      <c r="J369" s="24"/>
      <c r="K369" s="24"/>
      <c r="L369" s="24"/>
      <c r="M369" s="24"/>
      <c r="N369" s="24"/>
      <c r="O369" s="24"/>
      <c r="P369" s="24"/>
      <c r="Q369" s="24"/>
      <c r="R369" s="24"/>
      <c r="S369" s="24"/>
      <c r="T369" s="24"/>
      <c r="U369" s="24"/>
      <c r="V369" s="24"/>
      <c r="W369" s="24"/>
      <c r="X369" s="24"/>
      <c r="Y369" s="24"/>
      <c r="Z369" s="24"/>
      <c r="AA369" s="24"/>
      <c r="AB369" s="24"/>
      <c r="AC369" s="24"/>
    </row>
    <row r="370" spans="1:29" ht="12.9">
      <c r="A370" s="24"/>
      <c r="B370" s="24"/>
      <c r="C370" s="24"/>
      <c r="D370" s="24"/>
      <c r="E370" s="24"/>
      <c r="F370" s="117"/>
      <c r="G370" s="117"/>
      <c r="H370" s="24"/>
      <c r="I370" s="24"/>
      <c r="J370" s="24"/>
      <c r="K370" s="24"/>
      <c r="L370" s="24"/>
      <c r="M370" s="24"/>
      <c r="N370" s="24"/>
      <c r="O370" s="24"/>
      <c r="P370" s="24"/>
      <c r="Q370" s="24"/>
      <c r="R370" s="24"/>
      <c r="S370" s="24"/>
      <c r="T370" s="24"/>
      <c r="U370" s="24"/>
      <c r="V370" s="24"/>
      <c r="W370" s="24"/>
      <c r="X370" s="24"/>
      <c r="Y370" s="24"/>
      <c r="Z370" s="24"/>
      <c r="AA370" s="24"/>
      <c r="AB370" s="24"/>
      <c r="AC370" s="24"/>
    </row>
    <row r="371" spans="1:29" ht="12.9">
      <c r="A371" s="24"/>
      <c r="B371" s="24"/>
      <c r="C371" s="24"/>
      <c r="D371" s="24"/>
      <c r="E371" s="24"/>
      <c r="F371" s="117"/>
      <c r="G371" s="117"/>
      <c r="H371" s="24"/>
      <c r="I371" s="24"/>
      <c r="J371" s="24"/>
      <c r="K371" s="24"/>
      <c r="L371" s="24"/>
      <c r="M371" s="24"/>
      <c r="N371" s="24"/>
      <c r="O371" s="24"/>
      <c r="P371" s="24"/>
      <c r="Q371" s="24"/>
      <c r="R371" s="24"/>
      <c r="S371" s="24"/>
      <c r="T371" s="24"/>
      <c r="U371" s="24"/>
      <c r="V371" s="24"/>
      <c r="W371" s="24"/>
      <c r="X371" s="24"/>
      <c r="Y371" s="24"/>
      <c r="Z371" s="24"/>
      <c r="AA371" s="24"/>
      <c r="AB371" s="24"/>
      <c r="AC371" s="24"/>
    </row>
    <row r="372" spans="1:29" ht="12.9">
      <c r="A372" s="24"/>
      <c r="B372" s="24"/>
      <c r="C372" s="24"/>
      <c r="D372" s="24"/>
      <c r="E372" s="24"/>
      <c r="F372" s="117"/>
      <c r="G372" s="117"/>
      <c r="H372" s="24"/>
      <c r="I372" s="24"/>
      <c r="J372" s="24"/>
      <c r="K372" s="24"/>
      <c r="L372" s="24"/>
      <c r="M372" s="24"/>
      <c r="N372" s="24"/>
      <c r="O372" s="24"/>
      <c r="P372" s="24"/>
      <c r="Q372" s="24"/>
      <c r="R372" s="24"/>
      <c r="S372" s="24"/>
      <c r="T372" s="24"/>
      <c r="U372" s="24"/>
      <c r="V372" s="24"/>
      <c r="W372" s="24"/>
      <c r="X372" s="24"/>
      <c r="Y372" s="24"/>
      <c r="Z372" s="24"/>
      <c r="AA372" s="24"/>
      <c r="AB372" s="24"/>
      <c r="AC372" s="24"/>
    </row>
    <row r="373" spans="1:29" ht="12.9">
      <c r="A373" s="24"/>
      <c r="B373" s="24"/>
      <c r="C373" s="24"/>
      <c r="D373" s="24"/>
      <c r="E373" s="24"/>
      <c r="F373" s="117"/>
      <c r="G373" s="117"/>
      <c r="H373" s="24"/>
      <c r="I373" s="24"/>
      <c r="J373" s="24"/>
      <c r="K373" s="24"/>
      <c r="L373" s="24"/>
      <c r="M373" s="24"/>
      <c r="N373" s="24"/>
      <c r="O373" s="24"/>
      <c r="P373" s="24"/>
      <c r="Q373" s="24"/>
      <c r="R373" s="24"/>
      <c r="S373" s="24"/>
      <c r="T373" s="24"/>
      <c r="U373" s="24"/>
      <c r="V373" s="24"/>
      <c r="W373" s="24"/>
      <c r="X373" s="24"/>
      <c r="Y373" s="24"/>
      <c r="Z373" s="24"/>
      <c r="AA373" s="24"/>
      <c r="AB373" s="24"/>
      <c r="AC373" s="24"/>
    </row>
    <row r="374" spans="1:29" ht="12.9">
      <c r="A374" s="24"/>
      <c r="B374" s="24"/>
      <c r="C374" s="24"/>
      <c r="D374" s="24"/>
      <c r="E374" s="24"/>
      <c r="F374" s="117"/>
      <c r="G374" s="117"/>
      <c r="H374" s="24"/>
      <c r="I374" s="24"/>
      <c r="J374" s="24"/>
      <c r="K374" s="24"/>
      <c r="L374" s="24"/>
      <c r="M374" s="24"/>
      <c r="N374" s="24"/>
      <c r="O374" s="24"/>
      <c r="P374" s="24"/>
      <c r="Q374" s="24"/>
      <c r="R374" s="24"/>
      <c r="S374" s="24"/>
      <c r="T374" s="24"/>
      <c r="U374" s="24"/>
      <c r="V374" s="24"/>
      <c r="W374" s="24"/>
      <c r="X374" s="24"/>
      <c r="Y374" s="24"/>
      <c r="Z374" s="24"/>
      <c r="AA374" s="24"/>
      <c r="AB374" s="24"/>
      <c r="AC374" s="24"/>
    </row>
    <row r="375" spans="1:29" ht="12.9">
      <c r="A375" s="24"/>
      <c r="B375" s="24"/>
      <c r="C375" s="24"/>
      <c r="D375" s="24"/>
      <c r="E375" s="24"/>
      <c r="F375" s="117"/>
      <c r="G375" s="117"/>
      <c r="H375" s="24"/>
      <c r="I375" s="24"/>
      <c r="J375" s="24"/>
      <c r="K375" s="24"/>
      <c r="L375" s="24"/>
      <c r="M375" s="24"/>
      <c r="N375" s="24"/>
      <c r="O375" s="24"/>
      <c r="P375" s="24"/>
      <c r="Q375" s="24"/>
      <c r="R375" s="24"/>
      <c r="S375" s="24"/>
      <c r="T375" s="24"/>
      <c r="U375" s="24"/>
      <c r="V375" s="24"/>
      <c r="W375" s="24"/>
      <c r="X375" s="24"/>
      <c r="Y375" s="24"/>
      <c r="Z375" s="24"/>
      <c r="AA375" s="24"/>
      <c r="AB375" s="24"/>
      <c r="AC375" s="24"/>
    </row>
    <row r="376" spans="1:29" ht="12.9">
      <c r="A376" s="24"/>
      <c r="B376" s="24"/>
      <c r="C376" s="24"/>
      <c r="D376" s="24"/>
      <c r="E376" s="24"/>
      <c r="F376" s="117"/>
      <c r="G376" s="117"/>
      <c r="H376" s="24"/>
      <c r="I376" s="24"/>
      <c r="J376" s="24"/>
      <c r="K376" s="24"/>
      <c r="L376" s="24"/>
      <c r="M376" s="24"/>
      <c r="N376" s="24"/>
      <c r="O376" s="24"/>
      <c r="P376" s="24"/>
      <c r="Q376" s="24"/>
      <c r="R376" s="24"/>
      <c r="S376" s="24"/>
      <c r="T376" s="24"/>
      <c r="U376" s="24"/>
      <c r="V376" s="24"/>
      <c r="W376" s="24"/>
      <c r="X376" s="24"/>
      <c r="Y376" s="24"/>
      <c r="Z376" s="24"/>
      <c r="AA376" s="24"/>
      <c r="AB376" s="24"/>
      <c r="AC376" s="24"/>
    </row>
    <row r="377" spans="1:29" ht="12.9">
      <c r="A377" s="24"/>
      <c r="B377" s="24"/>
      <c r="C377" s="24"/>
      <c r="D377" s="24"/>
      <c r="E377" s="24"/>
      <c r="F377" s="117"/>
      <c r="G377" s="117"/>
      <c r="H377" s="24"/>
      <c r="I377" s="24"/>
      <c r="J377" s="24"/>
      <c r="K377" s="24"/>
      <c r="L377" s="24"/>
      <c r="M377" s="24"/>
      <c r="N377" s="24"/>
      <c r="O377" s="24"/>
      <c r="P377" s="24"/>
      <c r="Q377" s="24"/>
      <c r="R377" s="24"/>
      <c r="S377" s="24"/>
      <c r="T377" s="24"/>
      <c r="U377" s="24"/>
      <c r="V377" s="24"/>
      <c r="W377" s="24"/>
      <c r="X377" s="24"/>
      <c r="Y377" s="24"/>
      <c r="Z377" s="24"/>
      <c r="AA377" s="24"/>
      <c r="AB377" s="24"/>
      <c r="AC377" s="24"/>
    </row>
    <row r="378" spans="1:29" ht="12.9">
      <c r="A378" s="24"/>
      <c r="B378" s="24"/>
      <c r="C378" s="24"/>
      <c r="D378" s="24"/>
      <c r="E378" s="24"/>
      <c r="F378" s="117"/>
      <c r="G378" s="117"/>
      <c r="H378" s="24"/>
      <c r="I378" s="24"/>
      <c r="J378" s="24"/>
      <c r="K378" s="24"/>
      <c r="L378" s="24"/>
      <c r="M378" s="24"/>
      <c r="N378" s="24"/>
      <c r="O378" s="24"/>
      <c r="P378" s="24"/>
      <c r="Q378" s="24"/>
      <c r="R378" s="24"/>
      <c r="S378" s="24"/>
      <c r="T378" s="24"/>
      <c r="U378" s="24"/>
      <c r="V378" s="24"/>
      <c r="W378" s="24"/>
      <c r="X378" s="24"/>
      <c r="Y378" s="24"/>
      <c r="Z378" s="24"/>
      <c r="AA378" s="24"/>
      <c r="AB378" s="24"/>
      <c r="AC378" s="24"/>
    </row>
    <row r="379" spans="1:29" ht="12.9">
      <c r="A379" s="24"/>
      <c r="B379" s="24"/>
      <c r="C379" s="24"/>
      <c r="D379" s="24"/>
      <c r="E379" s="24"/>
      <c r="F379" s="117"/>
      <c r="G379" s="117"/>
      <c r="H379" s="24"/>
      <c r="I379" s="24"/>
      <c r="J379" s="24"/>
      <c r="K379" s="24"/>
      <c r="L379" s="24"/>
      <c r="M379" s="24"/>
      <c r="N379" s="24"/>
      <c r="O379" s="24"/>
      <c r="P379" s="24"/>
      <c r="Q379" s="24"/>
      <c r="R379" s="24"/>
      <c r="S379" s="24"/>
      <c r="T379" s="24"/>
      <c r="U379" s="24"/>
      <c r="V379" s="24"/>
      <c r="W379" s="24"/>
      <c r="X379" s="24"/>
      <c r="Y379" s="24"/>
      <c r="Z379" s="24"/>
      <c r="AA379" s="24"/>
      <c r="AB379" s="24"/>
      <c r="AC379" s="24"/>
    </row>
    <row r="380" spans="1:29" ht="12.9">
      <c r="A380" s="24"/>
      <c r="B380" s="24"/>
      <c r="C380" s="24"/>
      <c r="D380" s="24"/>
      <c r="E380" s="24"/>
      <c r="F380" s="117"/>
      <c r="G380" s="117"/>
      <c r="H380" s="24"/>
      <c r="I380" s="24"/>
      <c r="J380" s="24"/>
      <c r="K380" s="24"/>
      <c r="L380" s="24"/>
      <c r="M380" s="24"/>
      <c r="N380" s="24"/>
      <c r="O380" s="24"/>
      <c r="P380" s="24"/>
      <c r="Q380" s="24"/>
      <c r="R380" s="24"/>
      <c r="S380" s="24"/>
      <c r="T380" s="24"/>
      <c r="U380" s="24"/>
      <c r="V380" s="24"/>
      <c r="W380" s="24"/>
      <c r="X380" s="24"/>
      <c r="Y380" s="24"/>
      <c r="Z380" s="24"/>
      <c r="AA380" s="24"/>
      <c r="AB380" s="24"/>
      <c r="AC380" s="24"/>
    </row>
    <row r="381" spans="1:29" ht="12.9">
      <c r="A381" s="24"/>
      <c r="B381" s="24"/>
      <c r="C381" s="24"/>
      <c r="D381" s="24"/>
      <c r="E381" s="24"/>
      <c r="F381" s="117"/>
      <c r="G381" s="117"/>
      <c r="H381" s="24"/>
      <c r="I381" s="24"/>
      <c r="J381" s="24"/>
      <c r="K381" s="24"/>
      <c r="L381" s="24"/>
      <c r="M381" s="24"/>
      <c r="N381" s="24"/>
      <c r="O381" s="24"/>
      <c r="P381" s="24"/>
      <c r="Q381" s="24"/>
      <c r="R381" s="24"/>
      <c r="S381" s="24"/>
      <c r="T381" s="24"/>
      <c r="U381" s="24"/>
      <c r="V381" s="24"/>
      <c r="W381" s="24"/>
      <c r="X381" s="24"/>
      <c r="Y381" s="24"/>
      <c r="Z381" s="24"/>
      <c r="AA381" s="24"/>
      <c r="AB381" s="24"/>
      <c r="AC381" s="24"/>
    </row>
    <row r="382" spans="1:29" ht="12.9">
      <c r="A382" s="24"/>
      <c r="B382" s="24"/>
      <c r="C382" s="24"/>
      <c r="D382" s="24"/>
      <c r="E382" s="24"/>
      <c r="F382" s="117"/>
      <c r="G382" s="117"/>
      <c r="H382" s="24"/>
      <c r="I382" s="24"/>
      <c r="J382" s="24"/>
      <c r="K382" s="24"/>
      <c r="L382" s="24"/>
      <c r="M382" s="24"/>
      <c r="N382" s="24"/>
      <c r="O382" s="24"/>
      <c r="P382" s="24"/>
      <c r="Q382" s="24"/>
      <c r="R382" s="24"/>
      <c r="S382" s="24"/>
      <c r="T382" s="24"/>
      <c r="U382" s="24"/>
      <c r="V382" s="24"/>
      <c r="W382" s="24"/>
      <c r="X382" s="24"/>
      <c r="Y382" s="24"/>
      <c r="Z382" s="24"/>
      <c r="AA382" s="24"/>
      <c r="AB382" s="24"/>
      <c r="AC382" s="24"/>
    </row>
    <row r="383" spans="1:29" ht="12.9">
      <c r="A383" s="24"/>
      <c r="B383" s="24"/>
      <c r="C383" s="24"/>
      <c r="D383" s="24"/>
      <c r="E383" s="24"/>
      <c r="F383" s="117"/>
      <c r="G383" s="117"/>
      <c r="H383" s="24"/>
      <c r="I383" s="24"/>
      <c r="J383" s="24"/>
      <c r="K383" s="24"/>
      <c r="L383" s="24"/>
      <c r="M383" s="24"/>
      <c r="N383" s="24"/>
      <c r="O383" s="24"/>
      <c r="P383" s="24"/>
      <c r="Q383" s="24"/>
      <c r="R383" s="24"/>
      <c r="S383" s="24"/>
      <c r="T383" s="24"/>
      <c r="U383" s="24"/>
      <c r="V383" s="24"/>
      <c r="W383" s="24"/>
      <c r="X383" s="24"/>
      <c r="Y383" s="24"/>
      <c r="Z383" s="24"/>
      <c r="AA383" s="24"/>
      <c r="AB383" s="24"/>
      <c r="AC383" s="24"/>
    </row>
    <row r="384" spans="1:29" ht="12.9">
      <c r="A384" s="24"/>
      <c r="B384" s="24"/>
      <c r="C384" s="24"/>
      <c r="D384" s="24"/>
      <c r="E384" s="24"/>
      <c r="F384" s="117"/>
      <c r="G384" s="117"/>
      <c r="H384" s="24"/>
      <c r="I384" s="24"/>
      <c r="J384" s="24"/>
      <c r="K384" s="24"/>
      <c r="L384" s="24"/>
      <c r="M384" s="24"/>
      <c r="N384" s="24"/>
      <c r="O384" s="24"/>
      <c r="P384" s="24"/>
      <c r="Q384" s="24"/>
      <c r="R384" s="24"/>
      <c r="S384" s="24"/>
      <c r="T384" s="24"/>
      <c r="U384" s="24"/>
      <c r="V384" s="24"/>
      <c r="W384" s="24"/>
      <c r="X384" s="24"/>
      <c r="Y384" s="24"/>
      <c r="Z384" s="24"/>
      <c r="AA384" s="24"/>
      <c r="AB384" s="24"/>
      <c r="AC384" s="24"/>
    </row>
    <row r="385" spans="1:29" ht="12.9">
      <c r="A385" s="24"/>
      <c r="B385" s="24"/>
      <c r="C385" s="24"/>
      <c r="D385" s="24"/>
      <c r="E385" s="24"/>
      <c r="F385" s="117"/>
      <c r="G385" s="117"/>
      <c r="H385" s="24"/>
      <c r="I385" s="24"/>
      <c r="J385" s="24"/>
      <c r="K385" s="24"/>
      <c r="L385" s="24"/>
      <c r="M385" s="24"/>
      <c r="N385" s="24"/>
      <c r="O385" s="24"/>
      <c r="P385" s="24"/>
      <c r="Q385" s="24"/>
      <c r="R385" s="24"/>
      <c r="S385" s="24"/>
      <c r="T385" s="24"/>
      <c r="U385" s="24"/>
      <c r="V385" s="24"/>
      <c r="W385" s="24"/>
      <c r="X385" s="24"/>
      <c r="Y385" s="24"/>
      <c r="Z385" s="24"/>
      <c r="AA385" s="24"/>
      <c r="AB385" s="24"/>
      <c r="AC385" s="24"/>
    </row>
    <row r="386" spans="1:29" ht="12.9">
      <c r="A386" s="24"/>
      <c r="B386" s="24"/>
      <c r="C386" s="24"/>
      <c r="D386" s="24"/>
      <c r="E386" s="24"/>
      <c r="F386" s="117"/>
      <c r="G386" s="117"/>
      <c r="H386" s="24"/>
      <c r="I386" s="24"/>
      <c r="J386" s="24"/>
      <c r="K386" s="24"/>
      <c r="L386" s="24"/>
      <c r="M386" s="24"/>
      <c r="N386" s="24"/>
      <c r="O386" s="24"/>
      <c r="P386" s="24"/>
      <c r="Q386" s="24"/>
      <c r="R386" s="24"/>
      <c r="S386" s="24"/>
      <c r="T386" s="24"/>
      <c r="U386" s="24"/>
      <c r="V386" s="24"/>
      <c r="W386" s="24"/>
      <c r="X386" s="24"/>
      <c r="Y386" s="24"/>
      <c r="Z386" s="24"/>
      <c r="AA386" s="24"/>
      <c r="AB386" s="24"/>
      <c r="AC386" s="24"/>
    </row>
    <row r="387" spans="1:29" ht="12.9">
      <c r="A387" s="24"/>
      <c r="B387" s="24"/>
      <c r="C387" s="24"/>
      <c r="D387" s="24"/>
      <c r="E387" s="24"/>
      <c r="F387" s="117"/>
      <c r="G387" s="117"/>
      <c r="H387" s="24"/>
      <c r="I387" s="24"/>
      <c r="J387" s="24"/>
      <c r="K387" s="24"/>
      <c r="L387" s="24"/>
      <c r="M387" s="24"/>
      <c r="N387" s="24"/>
      <c r="O387" s="24"/>
      <c r="P387" s="24"/>
      <c r="Q387" s="24"/>
      <c r="R387" s="24"/>
      <c r="S387" s="24"/>
      <c r="T387" s="24"/>
      <c r="U387" s="24"/>
      <c r="V387" s="24"/>
      <c r="W387" s="24"/>
      <c r="X387" s="24"/>
      <c r="Y387" s="24"/>
      <c r="Z387" s="24"/>
      <c r="AA387" s="24"/>
      <c r="AB387" s="24"/>
      <c r="AC387" s="24"/>
    </row>
    <row r="388" spans="1:29" ht="12.9">
      <c r="A388" s="24"/>
      <c r="B388" s="24"/>
      <c r="C388" s="24"/>
      <c r="D388" s="24"/>
      <c r="E388" s="24"/>
      <c r="F388" s="117"/>
      <c r="G388" s="117"/>
      <c r="H388" s="24"/>
      <c r="I388" s="24"/>
      <c r="J388" s="24"/>
      <c r="K388" s="24"/>
      <c r="L388" s="24"/>
      <c r="M388" s="24"/>
      <c r="N388" s="24"/>
      <c r="O388" s="24"/>
      <c r="P388" s="24"/>
      <c r="Q388" s="24"/>
      <c r="R388" s="24"/>
      <c r="S388" s="24"/>
      <c r="T388" s="24"/>
      <c r="U388" s="24"/>
      <c r="V388" s="24"/>
      <c r="W388" s="24"/>
      <c r="X388" s="24"/>
      <c r="Y388" s="24"/>
      <c r="Z388" s="24"/>
      <c r="AA388" s="24"/>
      <c r="AB388" s="24"/>
      <c r="AC388" s="24"/>
    </row>
    <row r="389" spans="1:29" ht="12.9">
      <c r="A389" s="24"/>
      <c r="B389" s="24"/>
      <c r="C389" s="24"/>
      <c r="D389" s="24"/>
      <c r="E389" s="24"/>
      <c r="F389" s="117"/>
      <c r="G389" s="117"/>
      <c r="H389" s="24"/>
      <c r="I389" s="24"/>
      <c r="J389" s="24"/>
      <c r="K389" s="24"/>
      <c r="L389" s="24"/>
      <c r="M389" s="24"/>
      <c r="N389" s="24"/>
      <c r="O389" s="24"/>
      <c r="P389" s="24"/>
      <c r="Q389" s="24"/>
      <c r="R389" s="24"/>
      <c r="S389" s="24"/>
      <c r="T389" s="24"/>
      <c r="U389" s="24"/>
      <c r="V389" s="24"/>
      <c r="W389" s="24"/>
      <c r="X389" s="24"/>
      <c r="Y389" s="24"/>
      <c r="Z389" s="24"/>
      <c r="AA389" s="24"/>
      <c r="AB389" s="24"/>
      <c r="AC389" s="24"/>
    </row>
    <row r="390" spans="1:29" ht="12.9">
      <c r="A390" s="24"/>
      <c r="B390" s="24"/>
      <c r="C390" s="24"/>
      <c r="D390" s="24"/>
      <c r="E390" s="24"/>
      <c r="F390" s="117"/>
      <c r="G390" s="117"/>
      <c r="H390" s="24"/>
      <c r="I390" s="24"/>
      <c r="J390" s="24"/>
      <c r="K390" s="24"/>
      <c r="L390" s="24"/>
      <c r="M390" s="24"/>
      <c r="N390" s="24"/>
      <c r="O390" s="24"/>
      <c r="P390" s="24"/>
      <c r="Q390" s="24"/>
      <c r="R390" s="24"/>
      <c r="S390" s="24"/>
      <c r="T390" s="24"/>
      <c r="U390" s="24"/>
      <c r="V390" s="24"/>
      <c r="W390" s="24"/>
      <c r="X390" s="24"/>
      <c r="Y390" s="24"/>
      <c r="Z390" s="24"/>
      <c r="AA390" s="24"/>
      <c r="AB390" s="24"/>
      <c r="AC390" s="24"/>
    </row>
    <row r="391" spans="1:29" ht="12.9">
      <c r="A391" s="24"/>
      <c r="B391" s="24"/>
      <c r="C391" s="24"/>
      <c r="D391" s="24"/>
      <c r="E391" s="24"/>
      <c r="F391" s="117"/>
      <c r="G391" s="117"/>
      <c r="H391" s="24"/>
      <c r="I391" s="24"/>
      <c r="J391" s="24"/>
      <c r="K391" s="24"/>
      <c r="L391" s="24"/>
      <c r="M391" s="24"/>
      <c r="N391" s="24"/>
      <c r="O391" s="24"/>
      <c r="P391" s="24"/>
      <c r="Q391" s="24"/>
      <c r="R391" s="24"/>
      <c r="S391" s="24"/>
      <c r="T391" s="24"/>
      <c r="U391" s="24"/>
      <c r="V391" s="24"/>
      <c r="W391" s="24"/>
      <c r="X391" s="24"/>
      <c r="Y391" s="24"/>
      <c r="Z391" s="24"/>
      <c r="AA391" s="24"/>
      <c r="AB391" s="24"/>
      <c r="AC391" s="24"/>
    </row>
    <row r="392" spans="1:29" ht="12.9">
      <c r="A392" s="24"/>
      <c r="B392" s="24"/>
      <c r="C392" s="24"/>
      <c r="D392" s="24"/>
      <c r="E392" s="24"/>
      <c r="F392" s="117"/>
      <c r="G392" s="117"/>
      <c r="H392" s="24"/>
      <c r="I392" s="24"/>
      <c r="J392" s="24"/>
      <c r="K392" s="24"/>
      <c r="L392" s="24"/>
      <c r="M392" s="24"/>
      <c r="N392" s="24"/>
      <c r="O392" s="24"/>
      <c r="P392" s="24"/>
      <c r="Q392" s="24"/>
      <c r="R392" s="24"/>
      <c r="S392" s="24"/>
      <c r="T392" s="24"/>
      <c r="U392" s="24"/>
      <c r="V392" s="24"/>
      <c r="W392" s="24"/>
      <c r="X392" s="24"/>
      <c r="Y392" s="24"/>
      <c r="Z392" s="24"/>
      <c r="AA392" s="24"/>
      <c r="AB392" s="24"/>
      <c r="AC392" s="24"/>
    </row>
    <row r="393" spans="1:29" ht="12.9">
      <c r="A393" s="24"/>
      <c r="B393" s="24"/>
      <c r="C393" s="24"/>
      <c r="D393" s="24"/>
      <c r="E393" s="24"/>
      <c r="F393" s="117"/>
      <c r="G393" s="117"/>
      <c r="H393" s="24"/>
      <c r="I393" s="24"/>
      <c r="J393" s="24"/>
      <c r="K393" s="24"/>
      <c r="L393" s="24"/>
      <c r="M393" s="24"/>
      <c r="N393" s="24"/>
      <c r="O393" s="24"/>
      <c r="P393" s="24"/>
      <c r="Q393" s="24"/>
      <c r="R393" s="24"/>
      <c r="S393" s="24"/>
      <c r="T393" s="24"/>
      <c r="U393" s="24"/>
      <c r="V393" s="24"/>
      <c r="W393" s="24"/>
      <c r="X393" s="24"/>
      <c r="Y393" s="24"/>
      <c r="Z393" s="24"/>
      <c r="AA393" s="24"/>
      <c r="AB393" s="24"/>
      <c r="AC393" s="24"/>
    </row>
    <row r="394" spans="1:29" ht="12.9">
      <c r="A394" s="24"/>
      <c r="B394" s="24"/>
      <c r="C394" s="24"/>
      <c r="D394" s="24"/>
      <c r="E394" s="24"/>
      <c r="F394" s="117"/>
      <c r="G394" s="117"/>
      <c r="H394" s="24"/>
      <c r="I394" s="24"/>
      <c r="J394" s="24"/>
      <c r="K394" s="24"/>
      <c r="L394" s="24"/>
      <c r="M394" s="24"/>
      <c r="N394" s="24"/>
      <c r="O394" s="24"/>
      <c r="P394" s="24"/>
      <c r="Q394" s="24"/>
      <c r="R394" s="24"/>
      <c r="S394" s="24"/>
      <c r="T394" s="24"/>
      <c r="U394" s="24"/>
      <c r="V394" s="24"/>
      <c r="W394" s="24"/>
      <c r="X394" s="24"/>
      <c r="Y394" s="24"/>
      <c r="Z394" s="24"/>
      <c r="AA394" s="24"/>
      <c r="AB394" s="24"/>
      <c r="AC394" s="24"/>
    </row>
    <row r="395" spans="1:29" ht="12.9">
      <c r="A395" s="24"/>
      <c r="B395" s="24"/>
      <c r="C395" s="24"/>
      <c r="D395" s="24"/>
      <c r="E395" s="24"/>
      <c r="F395" s="117"/>
      <c r="G395" s="117"/>
      <c r="H395" s="24"/>
      <c r="I395" s="24"/>
      <c r="J395" s="24"/>
      <c r="K395" s="24"/>
      <c r="L395" s="24"/>
      <c r="M395" s="24"/>
      <c r="N395" s="24"/>
      <c r="O395" s="24"/>
      <c r="P395" s="24"/>
      <c r="Q395" s="24"/>
      <c r="R395" s="24"/>
      <c r="S395" s="24"/>
      <c r="T395" s="24"/>
      <c r="U395" s="24"/>
      <c r="V395" s="24"/>
      <c r="W395" s="24"/>
      <c r="X395" s="24"/>
      <c r="Y395" s="24"/>
      <c r="Z395" s="24"/>
      <c r="AA395" s="24"/>
      <c r="AB395" s="24"/>
      <c r="AC395" s="24"/>
    </row>
    <row r="396" spans="1:29" ht="12.9">
      <c r="A396" s="24"/>
      <c r="B396" s="24"/>
      <c r="C396" s="24"/>
      <c r="D396" s="24"/>
      <c r="E396" s="24"/>
      <c r="F396" s="117"/>
      <c r="G396" s="117"/>
      <c r="H396" s="24"/>
      <c r="I396" s="24"/>
      <c r="J396" s="24"/>
      <c r="K396" s="24"/>
      <c r="L396" s="24"/>
      <c r="M396" s="24"/>
      <c r="N396" s="24"/>
      <c r="O396" s="24"/>
      <c r="P396" s="24"/>
      <c r="Q396" s="24"/>
      <c r="R396" s="24"/>
      <c r="S396" s="24"/>
      <c r="T396" s="24"/>
      <c r="U396" s="24"/>
      <c r="V396" s="24"/>
      <c r="W396" s="24"/>
      <c r="X396" s="24"/>
      <c r="Y396" s="24"/>
      <c r="Z396" s="24"/>
      <c r="AA396" s="24"/>
      <c r="AB396" s="24"/>
      <c r="AC396" s="24"/>
    </row>
    <row r="397" spans="1:29" ht="12.9">
      <c r="A397" s="24"/>
      <c r="B397" s="24"/>
      <c r="C397" s="24"/>
      <c r="D397" s="24"/>
      <c r="E397" s="24"/>
      <c r="F397" s="117"/>
      <c r="G397" s="117"/>
      <c r="H397" s="24"/>
      <c r="I397" s="24"/>
      <c r="J397" s="24"/>
      <c r="K397" s="24"/>
      <c r="L397" s="24"/>
      <c r="M397" s="24"/>
      <c r="N397" s="24"/>
      <c r="O397" s="24"/>
      <c r="P397" s="24"/>
      <c r="Q397" s="24"/>
      <c r="R397" s="24"/>
      <c r="S397" s="24"/>
      <c r="T397" s="24"/>
      <c r="U397" s="24"/>
      <c r="V397" s="24"/>
      <c r="W397" s="24"/>
      <c r="X397" s="24"/>
      <c r="Y397" s="24"/>
      <c r="Z397" s="24"/>
      <c r="AA397" s="24"/>
      <c r="AB397" s="24"/>
      <c r="AC397" s="24"/>
    </row>
    <row r="398" spans="1:29" ht="12.9">
      <c r="A398" s="24"/>
      <c r="B398" s="24"/>
      <c r="C398" s="24"/>
      <c r="D398" s="24"/>
      <c r="E398" s="24"/>
      <c r="F398" s="117"/>
      <c r="G398" s="117"/>
      <c r="H398" s="24"/>
      <c r="I398" s="24"/>
      <c r="J398" s="24"/>
      <c r="K398" s="24"/>
      <c r="L398" s="24"/>
      <c r="M398" s="24"/>
      <c r="N398" s="24"/>
      <c r="O398" s="24"/>
      <c r="P398" s="24"/>
      <c r="Q398" s="24"/>
      <c r="R398" s="24"/>
      <c r="S398" s="24"/>
      <c r="T398" s="24"/>
      <c r="U398" s="24"/>
      <c r="V398" s="24"/>
      <c r="W398" s="24"/>
      <c r="X398" s="24"/>
      <c r="Y398" s="24"/>
      <c r="Z398" s="24"/>
      <c r="AA398" s="24"/>
      <c r="AB398" s="24"/>
      <c r="AC398" s="24"/>
    </row>
    <row r="399" spans="1:29" ht="12.9">
      <c r="A399" s="24"/>
      <c r="B399" s="24"/>
      <c r="C399" s="24"/>
      <c r="D399" s="24"/>
      <c r="E399" s="24"/>
      <c r="F399" s="117"/>
      <c r="G399" s="117"/>
      <c r="H399" s="24"/>
      <c r="I399" s="24"/>
      <c r="J399" s="24"/>
      <c r="K399" s="24"/>
      <c r="L399" s="24"/>
      <c r="M399" s="24"/>
      <c r="N399" s="24"/>
      <c r="O399" s="24"/>
      <c r="P399" s="24"/>
      <c r="Q399" s="24"/>
      <c r="R399" s="24"/>
      <c r="S399" s="24"/>
      <c r="T399" s="24"/>
      <c r="U399" s="24"/>
      <c r="V399" s="24"/>
      <c r="W399" s="24"/>
      <c r="X399" s="24"/>
      <c r="Y399" s="24"/>
      <c r="Z399" s="24"/>
      <c r="AA399" s="24"/>
      <c r="AB399" s="24"/>
      <c r="AC399" s="24"/>
    </row>
    <row r="400" spans="1:29" ht="12.9">
      <c r="A400" s="24"/>
      <c r="B400" s="24"/>
      <c r="C400" s="24"/>
      <c r="D400" s="24"/>
      <c r="E400" s="24"/>
      <c r="F400" s="117"/>
      <c r="G400" s="117"/>
      <c r="H400" s="24"/>
      <c r="I400" s="24"/>
      <c r="J400" s="24"/>
      <c r="K400" s="24"/>
      <c r="L400" s="24"/>
      <c r="M400" s="24"/>
      <c r="N400" s="24"/>
      <c r="O400" s="24"/>
      <c r="P400" s="24"/>
      <c r="Q400" s="24"/>
      <c r="R400" s="24"/>
      <c r="S400" s="24"/>
      <c r="T400" s="24"/>
      <c r="U400" s="24"/>
      <c r="V400" s="24"/>
      <c r="W400" s="24"/>
      <c r="X400" s="24"/>
      <c r="Y400" s="24"/>
      <c r="Z400" s="24"/>
      <c r="AA400" s="24"/>
      <c r="AB400" s="24"/>
      <c r="AC400" s="24"/>
    </row>
    <row r="401" spans="1:29" ht="12.9">
      <c r="A401" s="24"/>
      <c r="B401" s="24"/>
      <c r="C401" s="24"/>
      <c r="D401" s="24"/>
      <c r="E401" s="24"/>
      <c r="F401" s="117"/>
      <c r="G401" s="117"/>
      <c r="H401" s="24"/>
      <c r="I401" s="24"/>
      <c r="J401" s="24"/>
      <c r="K401" s="24"/>
      <c r="L401" s="24"/>
      <c r="M401" s="24"/>
      <c r="N401" s="24"/>
      <c r="O401" s="24"/>
      <c r="P401" s="24"/>
      <c r="Q401" s="24"/>
      <c r="R401" s="24"/>
      <c r="S401" s="24"/>
      <c r="T401" s="24"/>
      <c r="U401" s="24"/>
      <c r="V401" s="24"/>
      <c r="W401" s="24"/>
      <c r="X401" s="24"/>
      <c r="Y401" s="24"/>
      <c r="Z401" s="24"/>
      <c r="AA401" s="24"/>
      <c r="AB401" s="24"/>
      <c r="AC401" s="24"/>
    </row>
    <row r="402" spans="1:29" ht="12.9">
      <c r="A402" s="24"/>
      <c r="B402" s="24"/>
      <c r="C402" s="24"/>
      <c r="D402" s="24"/>
      <c r="E402" s="24"/>
      <c r="F402" s="117"/>
      <c r="G402" s="117"/>
      <c r="H402" s="24"/>
      <c r="I402" s="24"/>
      <c r="J402" s="24"/>
      <c r="K402" s="24"/>
      <c r="L402" s="24"/>
      <c r="M402" s="24"/>
      <c r="N402" s="24"/>
      <c r="O402" s="24"/>
      <c r="P402" s="24"/>
      <c r="Q402" s="24"/>
      <c r="R402" s="24"/>
      <c r="S402" s="24"/>
      <c r="T402" s="24"/>
      <c r="U402" s="24"/>
      <c r="V402" s="24"/>
      <c r="W402" s="24"/>
      <c r="X402" s="24"/>
      <c r="Y402" s="24"/>
      <c r="Z402" s="24"/>
      <c r="AA402" s="24"/>
      <c r="AB402" s="24"/>
      <c r="AC402" s="24"/>
    </row>
    <row r="403" spans="1:29" ht="12.9">
      <c r="A403" s="24"/>
      <c r="B403" s="24"/>
      <c r="C403" s="24"/>
      <c r="D403" s="24"/>
      <c r="E403" s="24"/>
      <c r="F403" s="117"/>
      <c r="G403" s="117"/>
      <c r="H403" s="24"/>
      <c r="I403" s="24"/>
      <c r="J403" s="24"/>
      <c r="K403" s="24"/>
      <c r="L403" s="24"/>
      <c r="M403" s="24"/>
      <c r="N403" s="24"/>
      <c r="O403" s="24"/>
      <c r="P403" s="24"/>
      <c r="Q403" s="24"/>
      <c r="R403" s="24"/>
      <c r="S403" s="24"/>
      <c r="T403" s="24"/>
      <c r="U403" s="24"/>
      <c r="V403" s="24"/>
      <c r="W403" s="24"/>
      <c r="X403" s="24"/>
      <c r="Y403" s="24"/>
      <c r="Z403" s="24"/>
      <c r="AA403" s="24"/>
      <c r="AB403" s="24"/>
      <c r="AC403" s="24"/>
    </row>
    <row r="404" spans="1:29" ht="12.9">
      <c r="A404" s="24"/>
      <c r="B404" s="24"/>
      <c r="C404" s="24"/>
      <c r="D404" s="24"/>
      <c r="E404" s="24"/>
      <c r="F404" s="117"/>
      <c r="G404" s="117"/>
      <c r="H404" s="24"/>
      <c r="I404" s="24"/>
      <c r="J404" s="24"/>
      <c r="K404" s="24"/>
      <c r="L404" s="24"/>
      <c r="M404" s="24"/>
      <c r="N404" s="24"/>
      <c r="O404" s="24"/>
      <c r="P404" s="24"/>
      <c r="Q404" s="24"/>
      <c r="R404" s="24"/>
      <c r="S404" s="24"/>
      <c r="T404" s="24"/>
      <c r="U404" s="24"/>
      <c r="V404" s="24"/>
      <c r="W404" s="24"/>
      <c r="X404" s="24"/>
      <c r="Y404" s="24"/>
      <c r="Z404" s="24"/>
      <c r="AA404" s="24"/>
      <c r="AB404" s="24"/>
      <c r="AC404" s="24"/>
    </row>
    <row r="405" spans="1:29" ht="12.9">
      <c r="A405" s="24"/>
      <c r="B405" s="24"/>
      <c r="C405" s="24"/>
      <c r="D405" s="24"/>
      <c r="E405" s="24"/>
      <c r="F405" s="117"/>
      <c r="G405" s="117"/>
      <c r="H405" s="24"/>
      <c r="I405" s="24"/>
      <c r="J405" s="24"/>
      <c r="K405" s="24"/>
      <c r="L405" s="24"/>
      <c r="M405" s="24"/>
      <c r="N405" s="24"/>
      <c r="O405" s="24"/>
      <c r="P405" s="24"/>
      <c r="Q405" s="24"/>
      <c r="R405" s="24"/>
      <c r="S405" s="24"/>
      <c r="T405" s="24"/>
      <c r="U405" s="24"/>
      <c r="V405" s="24"/>
      <c r="W405" s="24"/>
      <c r="X405" s="24"/>
      <c r="Y405" s="24"/>
      <c r="Z405" s="24"/>
      <c r="AA405" s="24"/>
      <c r="AB405" s="24"/>
      <c r="AC405" s="24"/>
    </row>
    <row r="406" spans="1:29" ht="12.9">
      <c r="A406" s="24"/>
      <c r="B406" s="24"/>
      <c r="C406" s="24"/>
      <c r="D406" s="24"/>
      <c r="E406" s="24"/>
      <c r="F406" s="117"/>
      <c r="G406" s="117"/>
      <c r="H406" s="24"/>
      <c r="I406" s="24"/>
      <c r="J406" s="24"/>
      <c r="K406" s="24"/>
      <c r="L406" s="24"/>
      <c r="M406" s="24"/>
      <c r="N406" s="24"/>
      <c r="O406" s="24"/>
      <c r="P406" s="24"/>
      <c r="Q406" s="24"/>
      <c r="R406" s="24"/>
      <c r="S406" s="24"/>
      <c r="T406" s="24"/>
      <c r="U406" s="24"/>
      <c r="V406" s="24"/>
      <c r="W406" s="24"/>
      <c r="X406" s="24"/>
      <c r="Y406" s="24"/>
      <c r="Z406" s="24"/>
      <c r="AA406" s="24"/>
      <c r="AB406" s="24"/>
      <c r="AC406" s="24"/>
    </row>
    <row r="407" spans="1:29" ht="12.9">
      <c r="A407" s="24"/>
      <c r="B407" s="24"/>
      <c r="C407" s="24"/>
      <c r="D407" s="24"/>
      <c r="E407" s="24"/>
      <c r="F407" s="117"/>
      <c r="G407" s="117"/>
      <c r="H407" s="24"/>
      <c r="I407" s="24"/>
      <c r="J407" s="24"/>
      <c r="K407" s="24"/>
      <c r="L407" s="24"/>
      <c r="M407" s="24"/>
      <c r="N407" s="24"/>
      <c r="O407" s="24"/>
      <c r="P407" s="24"/>
      <c r="Q407" s="24"/>
      <c r="R407" s="24"/>
      <c r="S407" s="24"/>
      <c r="T407" s="24"/>
      <c r="U407" s="24"/>
      <c r="V407" s="24"/>
      <c r="W407" s="24"/>
      <c r="X407" s="24"/>
      <c r="Y407" s="24"/>
      <c r="Z407" s="24"/>
      <c r="AA407" s="24"/>
      <c r="AB407" s="24"/>
      <c r="AC407" s="24"/>
    </row>
    <row r="408" spans="1:29" ht="12.9">
      <c r="A408" s="24"/>
      <c r="B408" s="24"/>
      <c r="C408" s="24"/>
      <c r="D408" s="24"/>
      <c r="E408" s="24"/>
      <c r="F408" s="117"/>
      <c r="G408" s="117"/>
      <c r="H408" s="24"/>
      <c r="I408" s="24"/>
      <c r="J408" s="24"/>
      <c r="K408" s="24"/>
      <c r="L408" s="24"/>
      <c r="M408" s="24"/>
      <c r="N408" s="24"/>
      <c r="O408" s="24"/>
      <c r="P408" s="24"/>
      <c r="Q408" s="24"/>
      <c r="R408" s="24"/>
      <c r="S408" s="24"/>
      <c r="T408" s="24"/>
      <c r="U408" s="24"/>
      <c r="V408" s="24"/>
      <c r="W408" s="24"/>
      <c r="X408" s="24"/>
      <c r="Y408" s="24"/>
      <c r="Z408" s="24"/>
      <c r="AA408" s="24"/>
      <c r="AB408" s="24"/>
      <c r="AC408" s="24"/>
    </row>
    <row r="409" spans="1:29" ht="12.9">
      <c r="A409" s="24"/>
      <c r="B409" s="24"/>
      <c r="C409" s="24"/>
      <c r="D409" s="24"/>
      <c r="E409" s="24"/>
      <c r="F409" s="117"/>
      <c r="G409" s="117"/>
      <c r="H409" s="24"/>
      <c r="I409" s="24"/>
      <c r="J409" s="24"/>
      <c r="K409" s="24"/>
      <c r="L409" s="24"/>
      <c r="M409" s="24"/>
      <c r="N409" s="24"/>
      <c r="O409" s="24"/>
      <c r="P409" s="24"/>
      <c r="Q409" s="24"/>
      <c r="R409" s="24"/>
      <c r="S409" s="24"/>
      <c r="T409" s="24"/>
      <c r="U409" s="24"/>
      <c r="V409" s="24"/>
      <c r="W409" s="24"/>
      <c r="X409" s="24"/>
      <c r="Y409" s="24"/>
      <c r="Z409" s="24"/>
      <c r="AA409" s="24"/>
      <c r="AB409" s="24"/>
      <c r="AC409" s="24"/>
    </row>
    <row r="410" spans="1:29" ht="12.9">
      <c r="A410" s="24"/>
      <c r="B410" s="24"/>
      <c r="C410" s="24"/>
      <c r="D410" s="24"/>
      <c r="E410" s="24"/>
      <c r="F410" s="117"/>
      <c r="G410" s="117"/>
      <c r="H410" s="24"/>
      <c r="I410" s="24"/>
      <c r="J410" s="24"/>
      <c r="K410" s="24"/>
      <c r="L410" s="24"/>
      <c r="M410" s="24"/>
      <c r="N410" s="24"/>
      <c r="O410" s="24"/>
      <c r="P410" s="24"/>
      <c r="Q410" s="24"/>
      <c r="R410" s="24"/>
      <c r="S410" s="24"/>
      <c r="T410" s="24"/>
      <c r="U410" s="24"/>
      <c r="V410" s="24"/>
      <c r="W410" s="24"/>
      <c r="X410" s="24"/>
      <c r="Y410" s="24"/>
      <c r="Z410" s="24"/>
      <c r="AA410" s="24"/>
      <c r="AB410" s="24"/>
      <c r="AC410" s="24"/>
    </row>
    <row r="411" spans="1:29" ht="12.9">
      <c r="A411" s="24"/>
      <c r="B411" s="24"/>
      <c r="C411" s="24"/>
      <c r="D411" s="24"/>
      <c r="E411" s="24"/>
      <c r="F411" s="117"/>
      <c r="G411" s="117"/>
      <c r="H411" s="24"/>
      <c r="I411" s="24"/>
      <c r="J411" s="24"/>
      <c r="K411" s="24"/>
      <c r="L411" s="24"/>
      <c r="M411" s="24"/>
      <c r="N411" s="24"/>
      <c r="O411" s="24"/>
      <c r="P411" s="24"/>
      <c r="Q411" s="24"/>
      <c r="R411" s="24"/>
      <c r="S411" s="24"/>
      <c r="T411" s="24"/>
      <c r="U411" s="24"/>
      <c r="V411" s="24"/>
      <c r="W411" s="24"/>
      <c r="X411" s="24"/>
      <c r="Y411" s="24"/>
      <c r="Z411" s="24"/>
      <c r="AA411" s="24"/>
      <c r="AB411" s="24"/>
      <c r="AC411" s="24"/>
    </row>
    <row r="412" spans="1:29" ht="12.9">
      <c r="A412" s="24"/>
      <c r="B412" s="24"/>
      <c r="C412" s="24"/>
      <c r="D412" s="24"/>
      <c r="E412" s="24"/>
      <c r="F412" s="117"/>
      <c r="G412" s="117"/>
      <c r="H412" s="24"/>
      <c r="I412" s="24"/>
      <c r="J412" s="24"/>
      <c r="K412" s="24"/>
      <c r="L412" s="24"/>
      <c r="M412" s="24"/>
      <c r="N412" s="24"/>
      <c r="O412" s="24"/>
      <c r="P412" s="24"/>
      <c r="Q412" s="24"/>
      <c r="R412" s="24"/>
      <c r="S412" s="24"/>
      <c r="T412" s="24"/>
      <c r="U412" s="24"/>
      <c r="V412" s="24"/>
      <c r="W412" s="24"/>
      <c r="X412" s="24"/>
      <c r="Y412" s="24"/>
      <c r="Z412" s="24"/>
      <c r="AA412" s="24"/>
      <c r="AB412" s="24"/>
      <c r="AC412" s="24"/>
    </row>
    <row r="413" spans="1:29" ht="12.9">
      <c r="A413" s="24"/>
      <c r="B413" s="24"/>
      <c r="C413" s="24"/>
      <c r="D413" s="24"/>
      <c r="E413" s="24"/>
      <c r="F413" s="117"/>
      <c r="G413" s="117"/>
      <c r="H413" s="24"/>
      <c r="I413" s="24"/>
      <c r="J413" s="24"/>
      <c r="K413" s="24"/>
      <c r="L413" s="24"/>
      <c r="M413" s="24"/>
      <c r="N413" s="24"/>
      <c r="O413" s="24"/>
      <c r="P413" s="24"/>
      <c r="Q413" s="24"/>
      <c r="R413" s="24"/>
      <c r="S413" s="24"/>
      <c r="T413" s="24"/>
      <c r="U413" s="24"/>
      <c r="V413" s="24"/>
      <c r="W413" s="24"/>
      <c r="X413" s="24"/>
      <c r="Y413" s="24"/>
      <c r="Z413" s="24"/>
      <c r="AA413" s="24"/>
      <c r="AB413" s="24"/>
      <c r="AC413" s="24"/>
    </row>
    <row r="414" spans="1:29" ht="12.9">
      <c r="A414" s="24"/>
      <c r="B414" s="24"/>
      <c r="C414" s="24"/>
      <c r="D414" s="24"/>
      <c r="E414" s="24"/>
      <c r="F414" s="117"/>
      <c r="G414" s="117"/>
      <c r="H414" s="24"/>
      <c r="I414" s="24"/>
      <c r="J414" s="24"/>
      <c r="K414" s="24"/>
      <c r="L414" s="24"/>
      <c r="M414" s="24"/>
      <c r="N414" s="24"/>
      <c r="O414" s="24"/>
      <c r="P414" s="24"/>
      <c r="Q414" s="24"/>
      <c r="R414" s="24"/>
      <c r="S414" s="24"/>
      <c r="T414" s="24"/>
      <c r="U414" s="24"/>
      <c r="V414" s="24"/>
      <c r="W414" s="24"/>
      <c r="X414" s="24"/>
      <c r="Y414" s="24"/>
      <c r="Z414" s="24"/>
      <c r="AA414" s="24"/>
      <c r="AB414" s="24"/>
      <c r="AC414" s="24"/>
    </row>
    <row r="415" spans="1:29" ht="12.9">
      <c r="A415" s="24"/>
      <c r="B415" s="24"/>
      <c r="C415" s="24"/>
      <c r="D415" s="24"/>
      <c r="E415" s="24"/>
      <c r="F415" s="117"/>
      <c r="G415" s="117"/>
      <c r="H415" s="24"/>
      <c r="I415" s="24"/>
      <c r="J415" s="24"/>
      <c r="K415" s="24"/>
      <c r="L415" s="24"/>
      <c r="M415" s="24"/>
      <c r="N415" s="24"/>
      <c r="O415" s="24"/>
      <c r="P415" s="24"/>
      <c r="Q415" s="24"/>
      <c r="R415" s="24"/>
      <c r="S415" s="24"/>
      <c r="T415" s="24"/>
      <c r="U415" s="24"/>
      <c r="V415" s="24"/>
      <c r="W415" s="24"/>
      <c r="X415" s="24"/>
      <c r="Y415" s="24"/>
      <c r="Z415" s="24"/>
      <c r="AA415" s="24"/>
      <c r="AB415" s="24"/>
      <c r="AC415" s="24"/>
    </row>
    <row r="416" spans="1:29" ht="12.9">
      <c r="A416" s="24"/>
      <c r="B416" s="24"/>
      <c r="C416" s="24"/>
      <c r="D416" s="24"/>
      <c r="E416" s="24"/>
      <c r="F416" s="117"/>
      <c r="G416" s="117"/>
      <c r="H416" s="24"/>
      <c r="I416" s="24"/>
      <c r="J416" s="24"/>
      <c r="K416" s="24"/>
      <c r="L416" s="24"/>
      <c r="M416" s="24"/>
      <c r="N416" s="24"/>
      <c r="O416" s="24"/>
      <c r="P416" s="24"/>
      <c r="Q416" s="24"/>
      <c r="R416" s="24"/>
      <c r="S416" s="24"/>
      <c r="T416" s="24"/>
      <c r="U416" s="24"/>
      <c r="V416" s="24"/>
      <c r="W416" s="24"/>
      <c r="X416" s="24"/>
      <c r="Y416" s="24"/>
      <c r="Z416" s="24"/>
      <c r="AA416" s="24"/>
      <c r="AB416" s="24"/>
      <c r="AC416" s="24"/>
    </row>
    <row r="417" spans="1:29" ht="12.9">
      <c r="A417" s="24"/>
      <c r="B417" s="24"/>
      <c r="C417" s="24"/>
      <c r="D417" s="24"/>
      <c r="E417" s="24"/>
      <c r="F417" s="117"/>
      <c r="G417" s="117"/>
      <c r="H417" s="24"/>
      <c r="I417" s="24"/>
      <c r="J417" s="24"/>
      <c r="K417" s="24"/>
      <c r="L417" s="24"/>
      <c r="M417" s="24"/>
      <c r="N417" s="24"/>
      <c r="O417" s="24"/>
      <c r="P417" s="24"/>
      <c r="Q417" s="24"/>
      <c r="R417" s="24"/>
      <c r="S417" s="24"/>
      <c r="T417" s="24"/>
      <c r="U417" s="24"/>
      <c r="V417" s="24"/>
      <c r="W417" s="24"/>
      <c r="X417" s="24"/>
      <c r="Y417" s="24"/>
      <c r="Z417" s="24"/>
      <c r="AA417" s="24"/>
      <c r="AB417" s="24"/>
      <c r="AC417" s="24"/>
    </row>
    <row r="418" spans="1:29" ht="12.9">
      <c r="A418" s="24"/>
      <c r="B418" s="24"/>
      <c r="C418" s="24"/>
      <c r="D418" s="24"/>
      <c r="E418" s="24"/>
      <c r="F418" s="117"/>
      <c r="G418" s="117"/>
      <c r="H418" s="24"/>
      <c r="I418" s="24"/>
      <c r="J418" s="24"/>
      <c r="K418" s="24"/>
      <c r="L418" s="24"/>
      <c r="M418" s="24"/>
      <c r="N418" s="24"/>
      <c r="O418" s="24"/>
      <c r="P418" s="24"/>
      <c r="Q418" s="24"/>
      <c r="R418" s="24"/>
      <c r="S418" s="24"/>
      <c r="T418" s="24"/>
      <c r="U418" s="24"/>
      <c r="V418" s="24"/>
      <c r="W418" s="24"/>
      <c r="X418" s="24"/>
      <c r="Y418" s="24"/>
      <c r="Z418" s="24"/>
      <c r="AA418" s="24"/>
      <c r="AB418" s="24"/>
      <c r="AC418" s="24"/>
    </row>
    <row r="419" spans="1:29" ht="12.9">
      <c r="A419" s="24"/>
      <c r="B419" s="24"/>
      <c r="C419" s="24"/>
      <c r="D419" s="24"/>
      <c r="E419" s="24"/>
      <c r="F419" s="117"/>
      <c r="G419" s="117"/>
      <c r="H419" s="24"/>
      <c r="I419" s="24"/>
      <c r="J419" s="24"/>
      <c r="K419" s="24"/>
      <c r="L419" s="24"/>
      <c r="M419" s="24"/>
      <c r="N419" s="24"/>
      <c r="O419" s="24"/>
      <c r="P419" s="24"/>
      <c r="Q419" s="24"/>
      <c r="R419" s="24"/>
      <c r="S419" s="24"/>
      <c r="T419" s="24"/>
      <c r="U419" s="24"/>
      <c r="V419" s="24"/>
      <c r="W419" s="24"/>
      <c r="X419" s="24"/>
      <c r="Y419" s="24"/>
      <c r="Z419" s="24"/>
      <c r="AA419" s="24"/>
      <c r="AB419" s="24"/>
      <c r="AC419" s="24"/>
    </row>
    <row r="420" spans="1:29" ht="12.9">
      <c r="A420" s="24"/>
      <c r="B420" s="24"/>
      <c r="C420" s="24"/>
      <c r="D420" s="24"/>
      <c r="E420" s="24"/>
      <c r="F420" s="117"/>
      <c r="G420" s="117"/>
      <c r="H420" s="24"/>
      <c r="I420" s="24"/>
      <c r="J420" s="24"/>
      <c r="K420" s="24"/>
      <c r="L420" s="24"/>
      <c r="M420" s="24"/>
      <c r="N420" s="24"/>
      <c r="O420" s="24"/>
      <c r="P420" s="24"/>
      <c r="Q420" s="24"/>
      <c r="R420" s="24"/>
      <c r="S420" s="24"/>
      <c r="T420" s="24"/>
      <c r="U420" s="24"/>
      <c r="V420" s="24"/>
      <c r="W420" s="24"/>
      <c r="X420" s="24"/>
      <c r="Y420" s="24"/>
      <c r="Z420" s="24"/>
      <c r="AA420" s="24"/>
      <c r="AB420" s="24"/>
      <c r="AC420" s="24"/>
    </row>
    <row r="421" spans="1:29" ht="12.9">
      <c r="A421" s="24"/>
      <c r="B421" s="24"/>
      <c r="C421" s="24"/>
      <c r="D421" s="24"/>
      <c r="E421" s="24"/>
      <c r="F421" s="117"/>
      <c r="G421" s="117"/>
      <c r="H421" s="24"/>
      <c r="I421" s="24"/>
      <c r="J421" s="24"/>
      <c r="K421" s="24"/>
      <c r="L421" s="24"/>
      <c r="M421" s="24"/>
      <c r="N421" s="24"/>
      <c r="O421" s="24"/>
      <c r="P421" s="24"/>
      <c r="Q421" s="24"/>
      <c r="R421" s="24"/>
      <c r="S421" s="24"/>
      <c r="T421" s="24"/>
      <c r="U421" s="24"/>
      <c r="V421" s="24"/>
      <c r="W421" s="24"/>
      <c r="X421" s="24"/>
      <c r="Y421" s="24"/>
      <c r="Z421" s="24"/>
      <c r="AA421" s="24"/>
      <c r="AB421" s="24"/>
      <c r="AC421" s="24"/>
    </row>
    <row r="422" spans="1:29" ht="12.9">
      <c r="A422" s="24"/>
      <c r="B422" s="24"/>
      <c r="C422" s="24"/>
      <c r="D422" s="24"/>
      <c r="E422" s="24"/>
      <c r="F422" s="117"/>
      <c r="G422" s="117"/>
      <c r="H422" s="24"/>
      <c r="I422" s="24"/>
      <c r="J422" s="24"/>
      <c r="K422" s="24"/>
      <c r="L422" s="24"/>
      <c r="M422" s="24"/>
      <c r="N422" s="24"/>
      <c r="O422" s="24"/>
      <c r="P422" s="24"/>
      <c r="Q422" s="24"/>
      <c r="R422" s="24"/>
      <c r="S422" s="24"/>
      <c r="T422" s="24"/>
      <c r="U422" s="24"/>
      <c r="V422" s="24"/>
      <c r="W422" s="24"/>
      <c r="X422" s="24"/>
      <c r="Y422" s="24"/>
      <c r="Z422" s="24"/>
      <c r="AA422" s="24"/>
      <c r="AB422" s="24"/>
      <c r="AC422" s="24"/>
    </row>
    <row r="423" spans="1:29" ht="12.9">
      <c r="A423" s="24"/>
      <c r="B423" s="24"/>
      <c r="C423" s="24"/>
      <c r="D423" s="24"/>
      <c r="E423" s="24"/>
      <c r="F423" s="117"/>
      <c r="G423" s="117"/>
      <c r="H423" s="24"/>
      <c r="I423" s="24"/>
      <c r="J423" s="24"/>
      <c r="K423" s="24"/>
      <c r="L423" s="24"/>
      <c r="M423" s="24"/>
      <c r="N423" s="24"/>
      <c r="O423" s="24"/>
      <c r="P423" s="24"/>
      <c r="Q423" s="24"/>
      <c r="R423" s="24"/>
      <c r="S423" s="24"/>
      <c r="T423" s="24"/>
      <c r="U423" s="24"/>
      <c r="V423" s="24"/>
      <c r="W423" s="24"/>
      <c r="X423" s="24"/>
      <c r="Y423" s="24"/>
      <c r="Z423" s="24"/>
      <c r="AA423" s="24"/>
      <c r="AB423" s="24"/>
      <c r="AC423" s="24"/>
    </row>
    <row r="424" spans="1:29" ht="12.9">
      <c r="A424" s="24"/>
      <c r="B424" s="24"/>
      <c r="C424" s="24"/>
      <c r="D424" s="24"/>
      <c r="E424" s="24"/>
      <c r="F424" s="117"/>
      <c r="G424" s="117"/>
      <c r="H424" s="24"/>
      <c r="I424" s="24"/>
      <c r="J424" s="24"/>
      <c r="K424" s="24"/>
      <c r="L424" s="24"/>
      <c r="M424" s="24"/>
      <c r="N424" s="24"/>
      <c r="O424" s="24"/>
      <c r="P424" s="24"/>
      <c r="Q424" s="24"/>
      <c r="R424" s="24"/>
      <c r="S424" s="24"/>
      <c r="T424" s="24"/>
      <c r="U424" s="24"/>
      <c r="V424" s="24"/>
      <c r="W424" s="24"/>
      <c r="X424" s="24"/>
      <c r="Y424" s="24"/>
      <c r="Z424" s="24"/>
      <c r="AA424" s="24"/>
      <c r="AB424" s="24"/>
      <c r="AC424" s="24"/>
    </row>
    <row r="425" spans="1:29" ht="12.9">
      <c r="A425" s="24"/>
      <c r="B425" s="24"/>
      <c r="C425" s="24"/>
      <c r="D425" s="24"/>
      <c r="E425" s="24"/>
      <c r="F425" s="117"/>
      <c r="G425" s="117"/>
      <c r="H425" s="24"/>
      <c r="I425" s="24"/>
      <c r="J425" s="24"/>
      <c r="K425" s="24"/>
      <c r="L425" s="24"/>
      <c r="M425" s="24"/>
      <c r="N425" s="24"/>
      <c r="O425" s="24"/>
      <c r="P425" s="24"/>
      <c r="Q425" s="24"/>
      <c r="R425" s="24"/>
      <c r="S425" s="24"/>
      <c r="T425" s="24"/>
      <c r="U425" s="24"/>
      <c r="V425" s="24"/>
      <c r="W425" s="24"/>
      <c r="X425" s="24"/>
      <c r="Y425" s="24"/>
      <c r="Z425" s="24"/>
      <c r="AA425" s="24"/>
      <c r="AB425" s="24"/>
      <c r="AC425" s="24"/>
    </row>
    <row r="426" spans="1:29" ht="12.9">
      <c r="A426" s="24"/>
      <c r="B426" s="24"/>
      <c r="C426" s="24"/>
      <c r="D426" s="24"/>
      <c r="E426" s="24"/>
      <c r="F426" s="117"/>
      <c r="G426" s="117"/>
      <c r="H426" s="24"/>
      <c r="I426" s="24"/>
      <c r="J426" s="24"/>
      <c r="K426" s="24"/>
      <c r="L426" s="24"/>
      <c r="M426" s="24"/>
      <c r="N426" s="24"/>
      <c r="O426" s="24"/>
      <c r="P426" s="24"/>
      <c r="Q426" s="24"/>
      <c r="R426" s="24"/>
      <c r="S426" s="24"/>
      <c r="T426" s="24"/>
      <c r="U426" s="24"/>
      <c r="V426" s="24"/>
      <c r="W426" s="24"/>
      <c r="X426" s="24"/>
      <c r="Y426" s="24"/>
      <c r="Z426" s="24"/>
      <c r="AA426" s="24"/>
      <c r="AB426" s="24"/>
      <c r="AC426" s="24"/>
    </row>
    <row r="427" spans="1:29" ht="12.9">
      <c r="A427" s="24"/>
      <c r="B427" s="24"/>
      <c r="C427" s="24"/>
      <c r="D427" s="24"/>
      <c r="E427" s="24"/>
      <c r="F427" s="117"/>
      <c r="G427" s="117"/>
      <c r="H427" s="24"/>
      <c r="I427" s="24"/>
      <c r="J427" s="24"/>
      <c r="K427" s="24"/>
      <c r="L427" s="24"/>
      <c r="M427" s="24"/>
      <c r="N427" s="24"/>
      <c r="O427" s="24"/>
      <c r="P427" s="24"/>
      <c r="Q427" s="24"/>
      <c r="R427" s="24"/>
      <c r="S427" s="24"/>
      <c r="T427" s="24"/>
      <c r="U427" s="24"/>
      <c r="V427" s="24"/>
      <c r="W427" s="24"/>
      <c r="X427" s="24"/>
      <c r="Y427" s="24"/>
      <c r="Z427" s="24"/>
      <c r="AA427" s="24"/>
      <c r="AB427" s="24"/>
      <c r="AC427" s="24"/>
    </row>
    <row r="428" spans="1:29" ht="12.9">
      <c r="A428" s="24"/>
      <c r="B428" s="24"/>
      <c r="C428" s="24"/>
      <c r="D428" s="24"/>
      <c r="E428" s="24"/>
      <c r="F428" s="117"/>
      <c r="G428" s="117"/>
      <c r="H428" s="24"/>
      <c r="I428" s="24"/>
      <c r="J428" s="24"/>
      <c r="K428" s="24"/>
      <c r="L428" s="24"/>
      <c r="M428" s="24"/>
      <c r="N428" s="24"/>
      <c r="O428" s="24"/>
      <c r="P428" s="24"/>
      <c r="Q428" s="24"/>
      <c r="R428" s="24"/>
      <c r="S428" s="24"/>
      <c r="T428" s="24"/>
      <c r="U428" s="24"/>
      <c r="V428" s="24"/>
      <c r="W428" s="24"/>
      <c r="X428" s="24"/>
      <c r="Y428" s="24"/>
      <c r="Z428" s="24"/>
      <c r="AA428" s="24"/>
      <c r="AB428" s="24"/>
      <c r="AC428" s="24"/>
    </row>
    <row r="429" spans="1:29" ht="12.9">
      <c r="A429" s="24"/>
      <c r="B429" s="24"/>
      <c r="C429" s="24"/>
      <c r="D429" s="24"/>
      <c r="E429" s="24"/>
      <c r="F429" s="117"/>
      <c r="G429" s="117"/>
      <c r="H429" s="24"/>
      <c r="I429" s="24"/>
      <c r="J429" s="24"/>
      <c r="K429" s="24"/>
      <c r="L429" s="24"/>
      <c r="M429" s="24"/>
      <c r="N429" s="24"/>
      <c r="O429" s="24"/>
      <c r="P429" s="24"/>
      <c r="Q429" s="24"/>
      <c r="R429" s="24"/>
      <c r="S429" s="24"/>
      <c r="T429" s="24"/>
      <c r="U429" s="24"/>
      <c r="V429" s="24"/>
      <c r="W429" s="24"/>
      <c r="X429" s="24"/>
      <c r="Y429" s="24"/>
      <c r="Z429" s="24"/>
      <c r="AA429" s="24"/>
      <c r="AB429" s="24"/>
      <c r="AC429" s="24"/>
    </row>
    <row r="430" spans="1:29" ht="12.9">
      <c r="A430" s="24"/>
      <c r="B430" s="24"/>
      <c r="C430" s="24"/>
      <c r="D430" s="24"/>
      <c r="E430" s="24"/>
      <c r="F430" s="117"/>
      <c r="G430" s="117"/>
      <c r="H430" s="24"/>
      <c r="I430" s="24"/>
      <c r="J430" s="24"/>
      <c r="K430" s="24"/>
      <c r="L430" s="24"/>
      <c r="M430" s="24"/>
      <c r="N430" s="24"/>
      <c r="O430" s="24"/>
      <c r="P430" s="24"/>
      <c r="Q430" s="24"/>
      <c r="R430" s="24"/>
      <c r="S430" s="24"/>
      <c r="T430" s="24"/>
      <c r="U430" s="24"/>
      <c r="V430" s="24"/>
      <c r="W430" s="24"/>
      <c r="X430" s="24"/>
      <c r="Y430" s="24"/>
      <c r="Z430" s="24"/>
      <c r="AA430" s="24"/>
      <c r="AB430" s="24"/>
      <c r="AC430" s="24"/>
    </row>
    <row r="431" spans="1:29" ht="12.9">
      <c r="A431" s="24"/>
      <c r="B431" s="24"/>
      <c r="C431" s="24"/>
      <c r="D431" s="24"/>
      <c r="E431" s="24"/>
      <c r="F431" s="117"/>
      <c r="G431" s="117"/>
      <c r="H431" s="24"/>
      <c r="I431" s="24"/>
      <c r="J431" s="24"/>
      <c r="K431" s="24"/>
      <c r="L431" s="24"/>
      <c r="M431" s="24"/>
      <c r="N431" s="24"/>
      <c r="O431" s="24"/>
      <c r="P431" s="24"/>
      <c r="Q431" s="24"/>
      <c r="R431" s="24"/>
      <c r="S431" s="24"/>
      <c r="T431" s="24"/>
      <c r="U431" s="24"/>
      <c r="V431" s="24"/>
      <c r="W431" s="24"/>
      <c r="X431" s="24"/>
      <c r="Y431" s="24"/>
      <c r="Z431" s="24"/>
      <c r="AA431" s="24"/>
      <c r="AB431" s="24"/>
      <c r="AC431" s="24"/>
    </row>
    <row r="432" spans="1:29" ht="12.9">
      <c r="A432" s="24"/>
      <c r="B432" s="24"/>
      <c r="C432" s="24"/>
      <c r="D432" s="24"/>
      <c r="E432" s="24"/>
      <c r="F432" s="117"/>
      <c r="G432" s="117"/>
      <c r="H432" s="24"/>
      <c r="I432" s="24"/>
      <c r="J432" s="24"/>
      <c r="K432" s="24"/>
      <c r="L432" s="24"/>
      <c r="M432" s="24"/>
      <c r="N432" s="24"/>
      <c r="O432" s="24"/>
      <c r="P432" s="24"/>
      <c r="Q432" s="24"/>
      <c r="R432" s="24"/>
      <c r="S432" s="24"/>
      <c r="T432" s="24"/>
      <c r="U432" s="24"/>
      <c r="V432" s="24"/>
      <c r="W432" s="24"/>
      <c r="X432" s="24"/>
      <c r="Y432" s="24"/>
      <c r="Z432" s="24"/>
      <c r="AA432" s="24"/>
      <c r="AB432" s="24"/>
      <c r="AC432" s="24"/>
    </row>
    <row r="433" spans="1:29" ht="12.9">
      <c r="A433" s="24"/>
      <c r="B433" s="24"/>
      <c r="C433" s="24"/>
      <c r="D433" s="24"/>
      <c r="E433" s="24"/>
      <c r="F433" s="117"/>
      <c r="G433" s="117"/>
      <c r="H433" s="24"/>
      <c r="I433" s="24"/>
      <c r="J433" s="24"/>
      <c r="K433" s="24"/>
      <c r="L433" s="24"/>
      <c r="M433" s="24"/>
      <c r="N433" s="24"/>
      <c r="O433" s="24"/>
      <c r="P433" s="24"/>
      <c r="Q433" s="24"/>
      <c r="R433" s="24"/>
      <c r="S433" s="24"/>
      <c r="T433" s="24"/>
      <c r="U433" s="24"/>
      <c r="V433" s="24"/>
      <c r="W433" s="24"/>
      <c r="X433" s="24"/>
      <c r="Y433" s="24"/>
      <c r="Z433" s="24"/>
      <c r="AA433" s="24"/>
      <c r="AB433" s="24"/>
      <c r="AC433" s="24"/>
    </row>
    <row r="434" spans="1:29" ht="12.9">
      <c r="A434" s="24"/>
      <c r="B434" s="24"/>
      <c r="C434" s="24"/>
      <c r="D434" s="24"/>
      <c r="E434" s="24"/>
      <c r="F434" s="117"/>
      <c r="G434" s="117"/>
      <c r="H434" s="24"/>
      <c r="I434" s="24"/>
      <c r="J434" s="24"/>
      <c r="K434" s="24"/>
      <c r="L434" s="24"/>
      <c r="M434" s="24"/>
      <c r="N434" s="24"/>
      <c r="O434" s="24"/>
      <c r="P434" s="24"/>
      <c r="Q434" s="24"/>
      <c r="R434" s="24"/>
      <c r="S434" s="24"/>
      <c r="T434" s="24"/>
      <c r="U434" s="24"/>
      <c r="V434" s="24"/>
      <c r="W434" s="24"/>
      <c r="X434" s="24"/>
      <c r="Y434" s="24"/>
      <c r="Z434" s="24"/>
      <c r="AA434" s="24"/>
      <c r="AB434" s="24"/>
      <c r="AC434" s="24"/>
    </row>
    <row r="435" spans="1:29" ht="12.9">
      <c r="A435" s="24"/>
      <c r="B435" s="24"/>
      <c r="C435" s="24"/>
      <c r="D435" s="24"/>
      <c r="E435" s="24"/>
      <c r="F435" s="117"/>
      <c r="G435" s="117"/>
      <c r="H435" s="24"/>
      <c r="I435" s="24"/>
      <c r="J435" s="24"/>
      <c r="K435" s="24"/>
      <c r="L435" s="24"/>
      <c r="M435" s="24"/>
      <c r="N435" s="24"/>
      <c r="O435" s="24"/>
      <c r="P435" s="24"/>
      <c r="Q435" s="24"/>
      <c r="R435" s="24"/>
      <c r="S435" s="24"/>
      <c r="T435" s="24"/>
      <c r="U435" s="24"/>
      <c r="V435" s="24"/>
      <c r="W435" s="24"/>
      <c r="X435" s="24"/>
      <c r="Y435" s="24"/>
      <c r="Z435" s="24"/>
      <c r="AA435" s="24"/>
      <c r="AB435" s="24"/>
      <c r="AC435" s="24"/>
    </row>
    <row r="436" spans="1:29" ht="12.9">
      <c r="A436" s="24"/>
      <c r="B436" s="24"/>
      <c r="C436" s="24"/>
      <c r="D436" s="24"/>
      <c r="E436" s="24"/>
      <c r="F436" s="117"/>
      <c r="G436" s="117"/>
      <c r="H436" s="24"/>
      <c r="I436" s="24"/>
      <c r="J436" s="24"/>
      <c r="K436" s="24"/>
      <c r="L436" s="24"/>
      <c r="M436" s="24"/>
      <c r="N436" s="24"/>
      <c r="O436" s="24"/>
      <c r="P436" s="24"/>
      <c r="Q436" s="24"/>
      <c r="R436" s="24"/>
      <c r="S436" s="24"/>
      <c r="T436" s="24"/>
      <c r="U436" s="24"/>
      <c r="V436" s="24"/>
      <c r="W436" s="24"/>
      <c r="X436" s="24"/>
      <c r="Y436" s="24"/>
      <c r="Z436" s="24"/>
      <c r="AA436" s="24"/>
      <c r="AB436" s="24"/>
      <c r="AC436" s="24"/>
    </row>
    <row r="437" spans="1:29" ht="12.9">
      <c r="A437" s="24"/>
      <c r="B437" s="24"/>
      <c r="C437" s="24"/>
      <c r="D437" s="24"/>
      <c r="E437" s="24"/>
      <c r="F437" s="117"/>
      <c r="G437" s="117"/>
      <c r="H437" s="24"/>
      <c r="I437" s="24"/>
      <c r="J437" s="24"/>
      <c r="K437" s="24"/>
      <c r="L437" s="24"/>
      <c r="M437" s="24"/>
      <c r="N437" s="24"/>
      <c r="O437" s="24"/>
      <c r="P437" s="24"/>
      <c r="Q437" s="24"/>
      <c r="R437" s="24"/>
      <c r="S437" s="24"/>
      <c r="T437" s="24"/>
      <c r="U437" s="24"/>
      <c r="V437" s="24"/>
      <c r="W437" s="24"/>
      <c r="X437" s="24"/>
      <c r="Y437" s="24"/>
      <c r="Z437" s="24"/>
      <c r="AA437" s="24"/>
      <c r="AB437" s="24"/>
      <c r="AC437" s="24"/>
    </row>
    <row r="438" spans="1:29" ht="12.9">
      <c r="A438" s="24"/>
      <c r="B438" s="24"/>
      <c r="C438" s="24"/>
      <c r="D438" s="24"/>
      <c r="E438" s="24"/>
      <c r="F438" s="117"/>
      <c r="G438" s="117"/>
      <c r="H438" s="24"/>
      <c r="I438" s="24"/>
      <c r="J438" s="24"/>
      <c r="K438" s="24"/>
      <c r="L438" s="24"/>
      <c r="M438" s="24"/>
      <c r="N438" s="24"/>
      <c r="O438" s="24"/>
      <c r="P438" s="24"/>
      <c r="Q438" s="24"/>
      <c r="R438" s="24"/>
      <c r="S438" s="24"/>
      <c r="T438" s="24"/>
      <c r="U438" s="24"/>
      <c r="V438" s="24"/>
      <c r="W438" s="24"/>
      <c r="X438" s="24"/>
      <c r="Y438" s="24"/>
      <c r="Z438" s="24"/>
      <c r="AA438" s="24"/>
      <c r="AB438" s="24"/>
      <c r="AC438" s="24"/>
    </row>
    <row r="439" spans="1:29" ht="12.9">
      <c r="A439" s="24"/>
      <c r="B439" s="24"/>
      <c r="C439" s="24"/>
      <c r="D439" s="24"/>
      <c r="E439" s="24"/>
      <c r="F439" s="117"/>
      <c r="G439" s="117"/>
      <c r="H439" s="24"/>
      <c r="I439" s="24"/>
      <c r="J439" s="24"/>
      <c r="K439" s="24"/>
      <c r="L439" s="24"/>
      <c r="M439" s="24"/>
      <c r="N439" s="24"/>
      <c r="O439" s="24"/>
      <c r="P439" s="24"/>
      <c r="Q439" s="24"/>
      <c r="R439" s="24"/>
      <c r="S439" s="24"/>
      <c r="T439" s="24"/>
      <c r="U439" s="24"/>
      <c r="V439" s="24"/>
      <c r="W439" s="24"/>
      <c r="X439" s="24"/>
      <c r="Y439" s="24"/>
      <c r="Z439" s="24"/>
      <c r="AA439" s="24"/>
      <c r="AB439" s="24"/>
      <c r="AC439" s="24"/>
    </row>
    <row r="440" spans="1:29" ht="12.9">
      <c r="A440" s="24"/>
      <c r="B440" s="24"/>
      <c r="C440" s="24"/>
      <c r="D440" s="24"/>
      <c r="E440" s="24"/>
      <c r="F440" s="117"/>
      <c r="G440" s="117"/>
      <c r="H440" s="24"/>
      <c r="I440" s="24"/>
      <c r="J440" s="24"/>
      <c r="K440" s="24"/>
      <c r="L440" s="24"/>
      <c r="M440" s="24"/>
      <c r="N440" s="24"/>
      <c r="O440" s="24"/>
      <c r="P440" s="24"/>
      <c r="Q440" s="24"/>
      <c r="R440" s="24"/>
      <c r="S440" s="24"/>
      <c r="T440" s="24"/>
      <c r="U440" s="24"/>
      <c r="V440" s="24"/>
      <c r="W440" s="24"/>
      <c r="X440" s="24"/>
      <c r="Y440" s="24"/>
      <c r="Z440" s="24"/>
      <c r="AA440" s="24"/>
      <c r="AB440" s="24"/>
      <c r="AC440" s="24"/>
    </row>
    <row r="441" spans="1:29" ht="12.9">
      <c r="A441" s="24"/>
      <c r="B441" s="24"/>
      <c r="C441" s="24"/>
      <c r="D441" s="24"/>
      <c r="E441" s="24"/>
      <c r="F441" s="117"/>
      <c r="G441" s="117"/>
      <c r="H441" s="24"/>
      <c r="I441" s="24"/>
      <c r="J441" s="24"/>
      <c r="K441" s="24"/>
      <c r="L441" s="24"/>
      <c r="M441" s="24"/>
      <c r="N441" s="24"/>
      <c r="O441" s="24"/>
      <c r="P441" s="24"/>
      <c r="Q441" s="24"/>
      <c r="R441" s="24"/>
      <c r="S441" s="24"/>
      <c r="T441" s="24"/>
      <c r="U441" s="24"/>
      <c r="V441" s="24"/>
      <c r="W441" s="24"/>
      <c r="X441" s="24"/>
      <c r="Y441" s="24"/>
      <c r="Z441" s="24"/>
      <c r="AA441" s="24"/>
      <c r="AB441" s="24"/>
      <c r="AC441" s="24"/>
    </row>
    <row r="442" spans="1:29" ht="12.9">
      <c r="A442" s="24"/>
      <c r="B442" s="24"/>
      <c r="C442" s="24"/>
      <c r="D442" s="24"/>
      <c r="E442" s="24"/>
      <c r="F442" s="117"/>
      <c r="G442" s="117"/>
      <c r="H442" s="24"/>
      <c r="I442" s="24"/>
      <c r="J442" s="24"/>
      <c r="K442" s="24"/>
      <c r="L442" s="24"/>
      <c r="M442" s="24"/>
      <c r="N442" s="24"/>
      <c r="O442" s="24"/>
      <c r="P442" s="24"/>
      <c r="Q442" s="24"/>
      <c r="R442" s="24"/>
      <c r="S442" s="24"/>
      <c r="T442" s="24"/>
      <c r="U442" s="24"/>
      <c r="V442" s="24"/>
      <c r="W442" s="24"/>
      <c r="X442" s="24"/>
      <c r="Y442" s="24"/>
      <c r="Z442" s="24"/>
      <c r="AA442" s="24"/>
      <c r="AB442" s="24"/>
      <c r="AC442" s="24"/>
    </row>
    <row r="443" spans="1:29" ht="12.9">
      <c r="A443" s="24"/>
      <c r="B443" s="24"/>
      <c r="C443" s="24"/>
      <c r="D443" s="24"/>
      <c r="E443" s="24"/>
      <c r="F443" s="117"/>
      <c r="G443" s="117"/>
      <c r="H443" s="24"/>
      <c r="I443" s="24"/>
      <c r="J443" s="24"/>
      <c r="K443" s="24"/>
      <c r="L443" s="24"/>
      <c r="M443" s="24"/>
      <c r="N443" s="24"/>
      <c r="O443" s="24"/>
      <c r="P443" s="24"/>
      <c r="Q443" s="24"/>
      <c r="R443" s="24"/>
      <c r="S443" s="24"/>
      <c r="T443" s="24"/>
      <c r="U443" s="24"/>
      <c r="V443" s="24"/>
      <c r="W443" s="24"/>
      <c r="X443" s="24"/>
      <c r="Y443" s="24"/>
      <c r="Z443" s="24"/>
      <c r="AA443" s="24"/>
      <c r="AB443" s="24"/>
      <c r="AC443" s="24"/>
    </row>
    <row r="444" spans="1:29" ht="12.9">
      <c r="A444" s="24"/>
      <c r="B444" s="24"/>
      <c r="C444" s="24"/>
      <c r="D444" s="24"/>
      <c r="E444" s="24"/>
      <c r="F444" s="117"/>
      <c r="G444" s="117"/>
      <c r="H444" s="24"/>
      <c r="I444" s="24"/>
      <c r="J444" s="24"/>
      <c r="K444" s="24"/>
      <c r="L444" s="24"/>
      <c r="M444" s="24"/>
      <c r="N444" s="24"/>
      <c r="O444" s="24"/>
      <c r="P444" s="24"/>
      <c r="Q444" s="24"/>
      <c r="R444" s="24"/>
      <c r="S444" s="24"/>
      <c r="T444" s="24"/>
      <c r="U444" s="24"/>
      <c r="V444" s="24"/>
      <c r="W444" s="24"/>
      <c r="X444" s="24"/>
      <c r="Y444" s="24"/>
      <c r="Z444" s="24"/>
      <c r="AA444" s="24"/>
      <c r="AB444" s="24"/>
      <c r="AC444" s="24"/>
    </row>
    <row r="445" spans="1:29" ht="12.9">
      <c r="A445" s="24"/>
      <c r="B445" s="24"/>
      <c r="C445" s="24"/>
      <c r="D445" s="24"/>
      <c r="E445" s="24"/>
      <c r="F445" s="117"/>
      <c r="G445" s="117"/>
      <c r="H445" s="24"/>
      <c r="I445" s="24"/>
      <c r="J445" s="24"/>
      <c r="K445" s="24"/>
      <c r="L445" s="24"/>
      <c r="M445" s="24"/>
      <c r="N445" s="24"/>
      <c r="O445" s="24"/>
      <c r="P445" s="24"/>
      <c r="Q445" s="24"/>
      <c r="R445" s="24"/>
      <c r="S445" s="24"/>
      <c r="T445" s="24"/>
      <c r="U445" s="24"/>
      <c r="V445" s="24"/>
      <c r="W445" s="24"/>
      <c r="X445" s="24"/>
      <c r="Y445" s="24"/>
      <c r="Z445" s="24"/>
      <c r="AA445" s="24"/>
      <c r="AB445" s="24"/>
      <c r="AC445" s="24"/>
    </row>
    <row r="446" spans="1:29" ht="12.9">
      <c r="A446" s="24"/>
      <c r="B446" s="24"/>
      <c r="C446" s="24"/>
      <c r="D446" s="24"/>
      <c r="E446" s="24"/>
      <c r="F446" s="117"/>
      <c r="G446" s="117"/>
      <c r="H446" s="24"/>
      <c r="I446" s="24"/>
      <c r="J446" s="24"/>
      <c r="K446" s="24"/>
      <c r="L446" s="24"/>
      <c r="M446" s="24"/>
      <c r="N446" s="24"/>
      <c r="O446" s="24"/>
      <c r="P446" s="24"/>
      <c r="Q446" s="24"/>
      <c r="R446" s="24"/>
      <c r="S446" s="24"/>
      <c r="T446" s="24"/>
      <c r="U446" s="24"/>
      <c r="V446" s="24"/>
      <c r="W446" s="24"/>
      <c r="X446" s="24"/>
      <c r="Y446" s="24"/>
      <c r="Z446" s="24"/>
      <c r="AA446" s="24"/>
      <c r="AB446" s="24"/>
      <c r="AC446" s="24"/>
    </row>
    <row r="447" spans="1:29" ht="12.9">
      <c r="A447" s="24"/>
      <c r="B447" s="24"/>
      <c r="C447" s="24"/>
      <c r="D447" s="24"/>
      <c r="E447" s="24"/>
      <c r="F447" s="117"/>
      <c r="G447" s="117"/>
      <c r="H447" s="24"/>
      <c r="I447" s="24"/>
      <c r="J447" s="24"/>
      <c r="K447" s="24"/>
      <c r="L447" s="24"/>
      <c r="M447" s="24"/>
      <c r="N447" s="24"/>
      <c r="O447" s="24"/>
      <c r="P447" s="24"/>
      <c r="Q447" s="24"/>
      <c r="R447" s="24"/>
      <c r="S447" s="24"/>
      <c r="T447" s="24"/>
      <c r="U447" s="24"/>
      <c r="V447" s="24"/>
      <c r="W447" s="24"/>
      <c r="X447" s="24"/>
      <c r="Y447" s="24"/>
      <c r="Z447" s="24"/>
      <c r="AA447" s="24"/>
      <c r="AB447" s="24"/>
      <c r="AC447" s="24"/>
    </row>
    <row r="448" spans="1:29" ht="12.9">
      <c r="A448" s="24"/>
      <c r="B448" s="24"/>
      <c r="C448" s="24"/>
      <c r="D448" s="24"/>
      <c r="E448" s="24"/>
      <c r="F448" s="117"/>
      <c r="G448" s="117"/>
      <c r="H448" s="24"/>
      <c r="I448" s="24"/>
      <c r="J448" s="24"/>
      <c r="K448" s="24"/>
      <c r="L448" s="24"/>
      <c r="M448" s="24"/>
      <c r="N448" s="24"/>
      <c r="O448" s="24"/>
      <c r="P448" s="24"/>
      <c r="Q448" s="24"/>
      <c r="R448" s="24"/>
      <c r="S448" s="24"/>
      <c r="T448" s="24"/>
      <c r="U448" s="24"/>
      <c r="V448" s="24"/>
      <c r="W448" s="24"/>
      <c r="X448" s="24"/>
      <c r="Y448" s="24"/>
      <c r="Z448" s="24"/>
      <c r="AA448" s="24"/>
      <c r="AB448" s="24"/>
      <c r="AC448" s="24"/>
    </row>
    <row r="449" spans="1:29" ht="12.9">
      <c r="A449" s="24"/>
      <c r="B449" s="24"/>
      <c r="C449" s="24"/>
      <c r="D449" s="24"/>
      <c r="E449" s="24"/>
      <c r="F449" s="117"/>
      <c r="G449" s="117"/>
      <c r="H449" s="24"/>
      <c r="I449" s="24"/>
      <c r="J449" s="24"/>
      <c r="K449" s="24"/>
      <c r="L449" s="24"/>
      <c r="M449" s="24"/>
      <c r="N449" s="24"/>
      <c r="O449" s="24"/>
      <c r="P449" s="24"/>
      <c r="Q449" s="24"/>
      <c r="R449" s="24"/>
      <c r="S449" s="24"/>
      <c r="T449" s="24"/>
      <c r="U449" s="24"/>
      <c r="V449" s="24"/>
      <c r="W449" s="24"/>
      <c r="X449" s="24"/>
      <c r="Y449" s="24"/>
      <c r="Z449" s="24"/>
      <c r="AA449" s="24"/>
      <c r="AB449" s="24"/>
      <c r="AC449" s="24"/>
    </row>
    <row r="450" spans="1:29" ht="12.9">
      <c r="A450" s="24"/>
      <c r="B450" s="24"/>
      <c r="C450" s="24"/>
      <c r="D450" s="24"/>
      <c r="E450" s="24"/>
      <c r="F450" s="117"/>
      <c r="G450" s="117"/>
      <c r="H450" s="24"/>
      <c r="I450" s="24"/>
      <c r="J450" s="24"/>
      <c r="K450" s="24"/>
      <c r="L450" s="24"/>
      <c r="M450" s="24"/>
      <c r="N450" s="24"/>
      <c r="O450" s="24"/>
      <c r="P450" s="24"/>
      <c r="Q450" s="24"/>
      <c r="R450" s="24"/>
      <c r="S450" s="24"/>
      <c r="T450" s="24"/>
      <c r="U450" s="24"/>
      <c r="V450" s="24"/>
      <c r="W450" s="24"/>
      <c r="X450" s="24"/>
      <c r="Y450" s="24"/>
      <c r="Z450" s="24"/>
      <c r="AA450" s="24"/>
      <c r="AB450" s="24"/>
      <c r="AC450" s="24"/>
    </row>
    <row r="451" spans="1:29" ht="12.9">
      <c r="A451" s="24"/>
      <c r="B451" s="24"/>
      <c r="C451" s="24"/>
      <c r="D451" s="24"/>
      <c r="E451" s="24"/>
      <c r="F451" s="117"/>
      <c r="G451" s="117"/>
      <c r="H451" s="24"/>
      <c r="I451" s="24"/>
      <c r="J451" s="24"/>
      <c r="K451" s="24"/>
      <c r="L451" s="24"/>
      <c r="M451" s="24"/>
      <c r="N451" s="24"/>
      <c r="O451" s="24"/>
      <c r="P451" s="24"/>
      <c r="Q451" s="24"/>
      <c r="R451" s="24"/>
      <c r="S451" s="24"/>
      <c r="T451" s="24"/>
      <c r="U451" s="24"/>
      <c r="V451" s="24"/>
      <c r="W451" s="24"/>
      <c r="X451" s="24"/>
      <c r="Y451" s="24"/>
      <c r="Z451" s="24"/>
      <c r="AA451" s="24"/>
      <c r="AB451" s="24"/>
      <c r="AC451" s="24"/>
    </row>
    <row r="452" spans="1:29" ht="12.9">
      <c r="A452" s="24"/>
      <c r="B452" s="24"/>
      <c r="C452" s="24"/>
      <c r="D452" s="24"/>
      <c r="E452" s="24"/>
      <c r="F452" s="117"/>
      <c r="G452" s="117"/>
      <c r="H452" s="24"/>
      <c r="I452" s="24"/>
      <c r="J452" s="24"/>
      <c r="K452" s="24"/>
      <c r="L452" s="24"/>
      <c r="M452" s="24"/>
      <c r="N452" s="24"/>
      <c r="O452" s="24"/>
      <c r="P452" s="24"/>
      <c r="Q452" s="24"/>
      <c r="R452" s="24"/>
      <c r="S452" s="24"/>
      <c r="T452" s="24"/>
      <c r="U452" s="24"/>
      <c r="V452" s="24"/>
      <c r="W452" s="24"/>
      <c r="X452" s="24"/>
      <c r="Y452" s="24"/>
      <c r="Z452" s="24"/>
      <c r="AA452" s="24"/>
      <c r="AB452" s="24"/>
      <c r="AC452" s="24"/>
    </row>
    <row r="453" spans="1:29" ht="12.9">
      <c r="A453" s="24"/>
      <c r="B453" s="24"/>
      <c r="C453" s="24"/>
      <c r="D453" s="24"/>
      <c r="E453" s="24"/>
      <c r="F453" s="117"/>
      <c r="G453" s="117"/>
      <c r="H453" s="24"/>
      <c r="I453" s="24"/>
      <c r="J453" s="24"/>
      <c r="K453" s="24"/>
      <c r="L453" s="24"/>
      <c r="M453" s="24"/>
      <c r="N453" s="24"/>
      <c r="O453" s="24"/>
      <c r="P453" s="24"/>
      <c r="Q453" s="24"/>
      <c r="R453" s="24"/>
      <c r="S453" s="24"/>
      <c r="T453" s="24"/>
      <c r="U453" s="24"/>
      <c r="V453" s="24"/>
      <c r="W453" s="24"/>
      <c r="X453" s="24"/>
      <c r="Y453" s="24"/>
      <c r="Z453" s="24"/>
      <c r="AA453" s="24"/>
      <c r="AB453" s="24"/>
      <c r="AC453" s="24"/>
    </row>
    <row r="454" spans="1:29" ht="12.9">
      <c r="A454" s="24"/>
      <c r="B454" s="24"/>
      <c r="C454" s="24"/>
      <c r="D454" s="24"/>
      <c r="E454" s="24"/>
      <c r="F454" s="117"/>
      <c r="G454" s="117"/>
      <c r="H454" s="24"/>
      <c r="I454" s="24"/>
      <c r="J454" s="24"/>
      <c r="K454" s="24"/>
      <c r="L454" s="24"/>
      <c r="M454" s="24"/>
      <c r="N454" s="24"/>
      <c r="O454" s="24"/>
      <c r="P454" s="24"/>
      <c r="Q454" s="24"/>
      <c r="R454" s="24"/>
      <c r="S454" s="24"/>
      <c r="T454" s="24"/>
      <c r="U454" s="24"/>
      <c r="V454" s="24"/>
      <c r="W454" s="24"/>
      <c r="X454" s="24"/>
      <c r="Y454" s="24"/>
      <c r="Z454" s="24"/>
      <c r="AA454" s="24"/>
      <c r="AB454" s="24"/>
      <c r="AC454" s="24"/>
    </row>
    <row r="455" spans="1:29" ht="12.9">
      <c r="A455" s="24"/>
      <c r="B455" s="24"/>
      <c r="C455" s="24"/>
      <c r="D455" s="24"/>
      <c r="E455" s="24"/>
      <c r="F455" s="117"/>
      <c r="G455" s="117"/>
      <c r="H455" s="24"/>
      <c r="I455" s="24"/>
      <c r="J455" s="24"/>
      <c r="K455" s="24"/>
      <c r="L455" s="24"/>
      <c r="M455" s="24"/>
      <c r="N455" s="24"/>
      <c r="O455" s="24"/>
      <c r="P455" s="24"/>
      <c r="Q455" s="24"/>
      <c r="R455" s="24"/>
      <c r="S455" s="24"/>
      <c r="T455" s="24"/>
      <c r="U455" s="24"/>
      <c r="V455" s="24"/>
      <c r="W455" s="24"/>
      <c r="X455" s="24"/>
      <c r="Y455" s="24"/>
      <c r="Z455" s="24"/>
      <c r="AA455" s="24"/>
      <c r="AB455" s="24"/>
      <c r="AC455" s="24"/>
    </row>
    <row r="456" spans="1:29" ht="12.9">
      <c r="A456" s="24"/>
      <c r="B456" s="24"/>
      <c r="C456" s="24"/>
      <c r="D456" s="24"/>
      <c r="E456" s="24"/>
      <c r="F456" s="117"/>
      <c r="G456" s="117"/>
      <c r="H456" s="24"/>
      <c r="I456" s="24"/>
      <c r="J456" s="24"/>
      <c r="K456" s="24"/>
      <c r="L456" s="24"/>
      <c r="M456" s="24"/>
      <c r="N456" s="24"/>
      <c r="O456" s="24"/>
      <c r="P456" s="24"/>
      <c r="Q456" s="24"/>
      <c r="R456" s="24"/>
      <c r="S456" s="24"/>
      <c r="T456" s="24"/>
      <c r="U456" s="24"/>
      <c r="V456" s="24"/>
      <c r="W456" s="24"/>
      <c r="X456" s="24"/>
      <c r="Y456" s="24"/>
      <c r="Z456" s="24"/>
      <c r="AA456" s="24"/>
      <c r="AB456" s="24"/>
      <c r="AC456" s="24"/>
    </row>
    <row r="457" spans="1:29" ht="12.9">
      <c r="A457" s="24"/>
      <c r="B457" s="24"/>
      <c r="C457" s="24"/>
      <c r="D457" s="24"/>
      <c r="E457" s="24"/>
      <c r="F457" s="117"/>
      <c r="G457" s="117"/>
      <c r="H457" s="24"/>
      <c r="I457" s="24"/>
      <c r="J457" s="24"/>
      <c r="K457" s="24"/>
      <c r="L457" s="24"/>
      <c r="M457" s="24"/>
      <c r="N457" s="24"/>
      <c r="O457" s="24"/>
      <c r="P457" s="24"/>
      <c r="Q457" s="24"/>
      <c r="R457" s="24"/>
      <c r="S457" s="24"/>
      <c r="T457" s="24"/>
      <c r="U457" s="24"/>
      <c r="V457" s="24"/>
      <c r="W457" s="24"/>
      <c r="X457" s="24"/>
      <c r="Y457" s="24"/>
      <c r="Z457" s="24"/>
      <c r="AA457" s="24"/>
      <c r="AB457" s="24"/>
      <c r="AC457" s="24"/>
    </row>
    <row r="458" spans="1:29" ht="12.9">
      <c r="A458" s="24"/>
      <c r="B458" s="24"/>
      <c r="C458" s="24"/>
      <c r="D458" s="24"/>
      <c r="E458" s="24"/>
      <c r="F458" s="117"/>
      <c r="G458" s="117"/>
      <c r="H458" s="24"/>
      <c r="I458" s="24"/>
      <c r="J458" s="24"/>
      <c r="K458" s="24"/>
      <c r="L458" s="24"/>
      <c r="M458" s="24"/>
      <c r="N458" s="24"/>
      <c r="O458" s="24"/>
      <c r="P458" s="24"/>
      <c r="Q458" s="24"/>
      <c r="R458" s="24"/>
      <c r="S458" s="24"/>
      <c r="T458" s="24"/>
      <c r="U458" s="24"/>
      <c r="V458" s="24"/>
      <c r="W458" s="24"/>
      <c r="X458" s="24"/>
      <c r="Y458" s="24"/>
      <c r="Z458" s="24"/>
      <c r="AA458" s="24"/>
      <c r="AB458" s="24"/>
      <c r="AC458" s="24"/>
    </row>
    <row r="459" spans="1:29" ht="12.9">
      <c r="A459" s="24"/>
      <c r="B459" s="24"/>
      <c r="C459" s="24"/>
      <c r="D459" s="24"/>
      <c r="E459" s="24"/>
      <c r="F459" s="117"/>
      <c r="G459" s="117"/>
      <c r="H459" s="24"/>
      <c r="I459" s="24"/>
      <c r="J459" s="24"/>
      <c r="K459" s="24"/>
      <c r="L459" s="24"/>
      <c r="M459" s="24"/>
      <c r="N459" s="24"/>
      <c r="O459" s="24"/>
      <c r="P459" s="24"/>
      <c r="Q459" s="24"/>
      <c r="R459" s="24"/>
      <c r="S459" s="24"/>
      <c r="T459" s="24"/>
      <c r="U459" s="24"/>
      <c r="V459" s="24"/>
      <c r="W459" s="24"/>
      <c r="X459" s="24"/>
      <c r="Y459" s="24"/>
      <c r="Z459" s="24"/>
      <c r="AA459" s="24"/>
      <c r="AB459" s="24"/>
      <c r="AC459" s="24"/>
    </row>
    <row r="460" spans="1:29" ht="12.9">
      <c r="A460" s="24"/>
      <c r="B460" s="24"/>
      <c r="C460" s="24"/>
      <c r="D460" s="24"/>
      <c r="E460" s="24"/>
      <c r="F460" s="117"/>
      <c r="G460" s="117"/>
      <c r="H460" s="24"/>
      <c r="I460" s="24"/>
      <c r="J460" s="24"/>
      <c r="K460" s="24"/>
      <c r="L460" s="24"/>
      <c r="M460" s="24"/>
      <c r="N460" s="24"/>
      <c r="O460" s="24"/>
      <c r="P460" s="24"/>
      <c r="Q460" s="24"/>
      <c r="R460" s="24"/>
      <c r="S460" s="24"/>
      <c r="T460" s="24"/>
      <c r="U460" s="24"/>
      <c r="V460" s="24"/>
      <c r="W460" s="24"/>
      <c r="X460" s="24"/>
      <c r="Y460" s="24"/>
      <c r="Z460" s="24"/>
      <c r="AA460" s="24"/>
      <c r="AB460" s="24"/>
      <c r="AC460" s="24"/>
    </row>
    <row r="461" spans="1:29" ht="12.9">
      <c r="A461" s="24"/>
      <c r="B461" s="24"/>
      <c r="C461" s="24"/>
      <c r="D461" s="24"/>
      <c r="E461" s="24"/>
      <c r="F461" s="117"/>
      <c r="G461" s="117"/>
      <c r="H461" s="24"/>
      <c r="I461" s="24"/>
      <c r="J461" s="24"/>
      <c r="K461" s="24"/>
      <c r="L461" s="24"/>
      <c r="M461" s="24"/>
      <c r="N461" s="24"/>
      <c r="O461" s="24"/>
      <c r="P461" s="24"/>
      <c r="Q461" s="24"/>
      <c r="R461" s="24"/>
      <c r="S461" s="24"/>
      <c r="T461" s="24"/>
      <c r="U461" s="24"/>
      <c r="V461" s="24"/>
      <c r="W461" s="24"/>
      <c r="X461" s="24"/>
      <c r="Y461" s="24"/>
      <c r="Z461" s="24"/>
      <c r="AA461" s="24"/>
      <c r="AB461" s="24"/>
      <c r="AC461" s="24"/>
    </row>
    <row r="462" spans="1:29" ht="12.9">
      <c r="A462" s="24"/>
      <c r="B462" s="24"/>
      <c r="C462" s="24"/>
      <c r="D462" s="24"/>
      <c r="E462" s="24"/>
      <c r="F462" s="117"/>
      <c r="G462" s="117"/>
      <c r="H462" s="24"/>
      <c r="I462" s="24"/>
      <c r="J462" s="24"/>
      <c r="K462" s="24"/>
      <c r="L462" s="24"/>
      <c r="M462" s="24"/>
      <c r="N462" s="24"/>
      <c r="O462" s="24"/>
      <c r="P462" s="24"/>
      <c r="Q462" s="24"/>
      <c r="R462" s="24"/>
      <c r="S462" s="24"/>
      <c r="T462" s="24"/>
      <c r="U462" s="24"/>
      <c r="V462" s="24"/>
      <c r="W462" s="24"/>
      <c r="X462" s="24"/>
      <c r="Y462" s="24"/>
      <c r="Z462" s="24"/>
      <c r="AA462" s="24"/>
      <c r="AB462" s="24"/>
      <c r="AC462" s="24"/>
    </row>
    <row r="463" spans="1:29" ht="12.9">
      <c r="A463" s="24"/>
      <c r="B463" s="24"/>
      <c r="C463" s="24"/>
      <c r="D463" s="24"/>
      <c r="E463" s="24"/>
      <c r="F463" s="117"/>
      <c r="G463" s="117"/>
      <c r="H463" s="24"/>
      <c r="I463" s="24"/>
      <c r="J463" s="24"/>
      <c r="K463" s="24"/>
      <c r="L463" s="24"/>
      <c r="M463" s="24"/>
      <c r="N463" s="24"/>
      <c r="O463" s="24"/>
      <c r="P463" s="24"/>
      <c r="Q463" s="24"/>
      <c r="R463" s="24"/>
      <c r="S463" s="24"/>
      <c r="T463" s="24"/>
      <c r="U463" s="24"/>
      <c r="V463" s="24"/>
      <c r="W463" s="24"/>
      <c r="X463" s="24"/>
      <c r="Y463" s="24"/>
      <c r="Z463" s="24"/>
      <c r="AA463" s="24"/>
      <c r="AB463" s="24"/>
      <c r="AC463" s="24"/>
    </row>
    <row r="464" spans="1:29" ht="12.9">
      <c r="A464" s="24"/>
      <c r="B464" s="24"/>
      <c r="C464" s="24"/>
      <c r="D464" s="24"/>
      <c r="E464" s="24"/>
      <c r="F464" s="117"/>
      <c r="G464" s="117"/>
      <c r="H464" s="24"/>
      <c r="I464" s="24"/>
      <c r="J464" s="24"/>
      <c r="K464" s="24"/>
      <c r="L464" s="24"/>
      <c r="M464" s="24"/>
      <c r="N464" s="24"/>
      <c r="O464" s="24"/>
      <c r="P464" s="24"/>
      <c r="Q464" s="24"/>
      <c r="R464" s="24"/>
      <c r="S464" s="24"/>
      <c r="T464" s="24"/>
      <c r="U464" s="24"/>
      <c r="V464" s="24"/>
      <c r="W464" s="24"/>
      <c r="X464" s="24"/>
      <c r="Y464" s="24"/>
      <c r="Z464" s="24"/>
      <c r="AA464" s="24"/>
      <c r="AB464" s="24"/>
      <c r="AC464" s="24"/>
    </row>
    <row r="465" spans="1:29" ht="12.9">
      <c r="A465" s="24"/>
      <c r="B465" s="24"/>
      <c r="C465" s="24"/>
      <c r="D465" s="24"/>
      <c r="E465" s="24"/>
      <c r="F465" s="117"/>
      <c r="G465" s="117"/>
      <c r="H465" s="24"/>
      <c r="I465" s="24"/>
      <c r="J465" s="24"/>
      <c r="K465" s="24"/>
      <c r="L465" s="24"/>
      <c r="M465" s="24"/>
      <c r="N465" s="24"/>
      <c r="O465" s="24"/>
      <c r="P465" s="24"/>
      <c r="Q465" s="24"/>
      <c r="R465" s="24"/>
      <c r="S465" s="24"/>
      <c r="T465" s="24"/>
      <c r="U465" s="24"/>
      <c r="V465" s="24"/>
      <c r="W465" s="24"/>
      <c r="X465" s="24"/>
      <c r="Y465" s="24"/>
      <c r="Z465" s="24"/>
      <c r="AA465" s="24"/>
      <c r="AB465" s="24"/>
      <c r="AC465" s="24"/>
    </row>
    <row r="466" spans="1:29" ht="12.9">
      <c r="A466" s="24"/>
      <c r="B466" s="24"/>
      <c r="C466" s="24"/>
      <c r="D466" s="24"/>
      <c r="E466" s="24"/>
      <c r="F466" s="117"/>
      <c r="G466" s="117"/>
      <c r="H466" s="24"/>
      <c r="I466" s="24"/>
      <c r="J466" s="24"/>
      <c r="K466" s="24"/>
      <c r="L466" s="24"/>
      <c r="M466" s="24"/>
      <c r="N466" s="24"/>
      <c r="O466" s="24"/>
      <c r="P466" s="24"/>
      <c r="Q466" s="24"/>
      <c r="R466" s="24"/>
      <c r="S466" s="24"/>
      <c r="T466" s="24"/>
      <c r="U466" s="24"/>
      <c r="V466" s="24"/>
      <c r="W466" s="24"/>
      <c r="X466" s="24"/>
      <c r="Y466" s="24"/>
      <c r="Z466" s="24"/>
      <c r="AA466" s="24"/>
      <c r="AB466" s="24"/>
      <c r="AC466" s="24"/>
    </row>
    <row r="467" spans="1:29" ht="12.9">
      <c r="A467" s="24"/>
      <c r="B467" s="24"/>
      <c r="C467" s="24"/>
      <c r="D467" s="24"/>
      <c r="E467" s="24"/>
      <c r="F467" s="117"/>
      <c r="G467" s="117"/>
      <c r="H467" s="24"/>
      <c r="I467" s="24"/>
      <c r="J467" s="24"/>
      <c r="K467" s="24"/>
      <c r="L467" s="24"/>
      <c r="M467" s="24"/>
      <c r="N467" s="24"/>
      <c r="O467" s="24"/>
      <c r="P467" s="24"/>
      <c r="Q467" s="24"/>
      <c r="R467" s="24"/>
      <c r="S467" s="24"/>
      <c r="T467" s="24"/>
      <c r="U467" s="24"/>
      <c r="V467" s="24"/>
      <c r="W467" s="24"/>
      <c r="X467" s="24"/>
      <c r="Y467" s="24"/>
      <c r="Z467" s="24"/>
      <c r="AA467" s="24"/>
      <c r="AB467" s="24"/>
      <c r="AC467" s="24"/>
    </row>
    <row r="468" spans="1:29" ht="12.9">
      <c r="A468" s="24"/>
      <c r="B468" s="24"/>
      <c r="C468" s="24"/>
      <c r="D468" s="24"/>
      <c r="E468" s="24"/>
      <c r="F468" s="117"/>
      <c r="G468" s="117"/>
      <c r="H468" s="24"/>
      <c r="I468" s="24"/>
      <c r="J468" s="24"/>
      <c r="K468" s="24"/>
      <c r="L468" s="24"/>
      <c r="M468" s="24"/>
      <c r="N468" s="24"/>
      <c r="O468" s="24"/>
      <c r="P468" s="24"/>
      <c r="Q468" s="24"/>
      <c r="R468" s="24"/>
      <c r="S468" s="24"/>
      <c r="T468" s="24"/>
      <c r="U468" s="24"/>
      <c r="V468" s="24"/>
      <c r="W468" s="24"/>
      <c r="X468" s="24"/>
      <c r="Y468" s="24"/>
      <c r="Z468" s="24"/>
      <c r="AA468" s="24"/>
      <c r="AB468" s="24"/>
      <c r="AC468" s="24"/>
    </row>
    <row r="469" spans="1:29" ht="12.9">
      <c r="A469" s="24"/>
      <c r="B469" s="24"/>
      <c r="C469" s="24"/>
      <c r="D469" s="24"/>
      <c r="E469" s="24"/>
      <c r="F469" s="117"/>
      <c r="G469" s="117"/>
      <c r="H469" s="24"/>
      <c r="I469" s="24"/>
      <c r="J469" s="24"/>
      <c r="K469" s="24"/>
      <c r="L469" s="24"/>
      <c r="M469" s="24"/>
      <c r="N469" s="24"/>
      <c r="O469" s="24"/>
      <c r="P469" s="24"/>
      <c r="Q469" s="24"/>
      <c r="R469" s="24"/>
      <c r="S469" s="24"/>
      <c r="T469" s="24"/>
      <c r="U469" s="24"/>
      <c r="V469" s="24"/>
      <c r="W469" s="24"/>
      <c r="X469" s="24"/>
      <c r="Y469" s="24"/>
      <c r="Z469" s="24"/>
      <c r="AA469" s="24"/>
      <c r="AB469" s="24"/>
      <c r="AC469" s="24"/>
    </row>
    <row r="470" spans="1:29" ht="12.9">
      <c r="A470" s="24"/>
      <c r="B470" s="24"/>
      <c r="C470" s="24"/>
      <c r="D470" s="24"/>
      <c r="E470" s="24"/>
      <c r="F470" s="117"/>
      <c r="G470" s="117"/>
      <c r="H470" s="24"/>
      <c r="I470" s="24"/>
      <c r="J470" s="24"/>
      <c r="K470" s="24"/>
      <c r="L470" s="24"/>
      <c r="M470" s="24"/>
      <c r="N470" s="24"/>
      <c r="O470" s="24"/>
      <c r="P470" s="24"/>
      <c r="Q470" s="24"/>
      <c r="R470" s="24"/>
      <c r="S470" s="24"/>
      <c r="T470" s="24"/>
      <c r="U470" s="24"/>
      <c r="V470" s="24"/>
      <c r="W470" s="24"/>
      <c r="X470" s="24"/>
      <c r="Y470" s="24"/>
      <c r="Z470" s="24"/>
      <c r="AA470" s="24"/>
      <c r="AB470" s="24"/>
      <c r="AC470" s="24"/>
    </row>
    <row r="471" spans="1:29" ht="12.9">
      <c r="A471" s="24"/>
      <c r="B471" s="24"/>
      <c r="C471" s="24"/>
      <c r="D471" s="24"/>
      <c r="E471" s="24"/>
      <c r="F471" s="117"/>
      <c r="G471" s="117"/>
      <c r="H471" s="24"/>
      <c r="I471" s="24"/>
      <c r="J471" s="24"/>
      <c r="K471" s="24"/>
      <c r="L471" s="24"/>
      <c r="M471" s="24"/>
      <c r="N471" s="24"/>
      <c r="O471" s="24"/>
      <c r="P471" s="24"/>
      <c r="Q471" s="24"/>
      <c r="R471" s="24"/>
      <c r="S471" s="24"/>
      <c r="T471" s="24"/>
      <c r="U471" s="24"/>
      <c r="V471" s="24"/>
      <c r="W471" s="24"/>
      <c r="X471" s="24"/>
      <c r="Y471" s="24"/>
      <c r="Z471" s="24"/>
      <c r="AA471" s="24"/>
      <c r="AB471" s="24"/>
      <c r="AC471" s="24"/>
    </row>
    <row r="472" spans="1:29" ht="12.9">
      <c r="A472" s="24"/>
      <c r="B472" s="24"/>
      <c r="C472" s="24"/>
      <c r="D472" s="24"/>
      <c r="E472" s="24"/>
      <c r="F472" s="117"/>
      <c r="G472" s="117"/>
      <c r="H472" s="24"/>
      <c r="I472" s="24"/>
      <c r="J472" s="24"/>
      <c r="K472" s="24"/>
      <c r="L472" s="24"/>
      <c r="M472" s="24"/>
      <c r="N472" s="24"/>
      <c r="O472" s="24"/>
      <c r="P472" s="24"/>
      <c r="Q472" s="24"/>
      <c r="R472" s="24"/>
      <c r="S472" s="24"/>
      <c r="T472" s="24"/>
      <c r="U472" s="24"/>
      <c r="V472" s="24"/>
      <c r="W472" s="24"/>
      <c r="X472" s="24"/>
      <c r="Y472" s="24"/>
      <c r="Z472" s="24"/>
      <c r="AA472" s="24"/>
      <c r="AB472" s="24"/>
      <c r="AC472" s="24"/>
    </row>
    <row r="473" spans="1:29" ht="12.9">
      <c r="A473" s="24"/>
      <c r="B473" s="24"/>
      <c r="C473" s="24"/>
      <c r="D473" s="24"/>
      <c r="E473" s="24"/>
      <c r="F473" s="117"/>
      <c r="G473" s="117"/>
      <c r="H473" s="24"/>
      <c r="I473" s="24"/>
      <c r="J473" s="24"/>
      <c r="K473" s="24"/>
      <c r="L473" s="24"/>
      <c r="M473" s="24"/>
      <c r="N473" s="24"/>
      <c r="O473" s="24"/>
      <c r="P473" s="24"/>
      <c r="Q473" s="24"/>
      <c r="R473" s="24"/>
      <c r="S473" s="24"/>
      <c r="T473" s="24"/>
      <c r="U473" s="24"/>
      <c r="V473" s="24"/>
      <c r="W473" s="24"/>
      <c r="X473" s="24"/>
      <c r="Y473" s="24"/>
      <c r="Z473" s="24"/>
      <c r="AA473" s="24"/>
      <c r="AB473" s="24"/>
      <c r="AC473" s="24"/>
    </row>
    <row r="474" spans="1:29" ht="12.9">
      <c r="A474" s="24"/>
      <c r="B474" s="24"/>
      <c r="C474" s="24"/>
      <c r="D474" s="24"/>
      <c r="E474" s="24"/>
      <c r="F474" s="117"/>
      <c r="G474" s="117"/>
      <c r="H474" s="24"/>
      <c r="I474" s="24"/>
      <c r="J474" s="24"/>
      <c r="K474" s="24"/>
      <c r="L474" s="24"/>
      <c r="M474" s="24"/>
      <c r="N474" s="24"/>
      <c r="O474" s="24"/>
      <c r="P474" s="24"/>
      <c r="Q474" s="24"/>
      <c r="R474" s="24"/>
      <c r="S474" s="24"/>
      <c r="T474" s="24"/>
      <c r="U474" s="24"/>
      <c r="V474" s="24"/>
      <c r="W474" s="24"/>
      <c r="X474" s="24"/>
      <c r="Y474" s="24"/>
      <c r="Z474" s="24"/>
      <c r="AA474" s="24"/>
      <c r="AB474" s="24"/>
      <c r="AC474" s="24"/>
    </row>
    <row r="475" spans="1:29" ht="12.9">
      <c r="A475" s="24"/>
      <c r="B475" s="24"/>
      <c r="C475" s="24"/>
      <c r="D475" s="24"/>
      <c r="E475" s="24"/>
      <c r="F475" s="117"/>
      <c r="G475" s="117"/>
      <c r="H475" s="24"/>
      <c r="I475" s="24"/>
      <c r="J475" s="24"/>
      <c r="K475" s="24"/>
      <c r="L475" s="24"/>
      <c r="M475" s="24"/>
      <c r="N475" s="24"/>
      <c r="O475" s="24"/>
      <c r="P475" s="24"/>
      <c r="Q475" s="24"/>
      <c r="R475" s="24"/>
      <c r="S475" s="24"/>
      <c r="T475" s="24"/>
      <c r="U475" s="24"/>
      <c r="V475" s="24"/>
      <c r="W475" s="24"/>
      <c r="X475" s="24"/>
      <c r="Y475" s="24"/>
      <c r="Z475" s="24"/>
      <c r="AA475" s="24"/>
      <c r="AB475" s="24"/>
      <c r="AC475" s="24"/>
    </row>
    <row r="476" spans="1:29" ht="12.9">
      <c r="A476" s="24"/>
      <c r="B476" s="24"/>
      <c r="C476" s="24"/>
      <c r="D476" s="24"/>
      <c r="E476" s="24"/>
      <c r="F476" s="117"/>
      <c r="G476" s="117"/>
      <c r="H476" s="24"/>
      <c r="I476" s="24"/>
      <c r="J476" s="24"/>
      <c r="K476" s="24"/>
      <c r="L476" s="24"/>
      <c r="M476" s="24"/>
      <c r="N476" s="24"/>
      <c r="O476" s="24"/>
      <c r="P476" s="24"/>
      <c r="Q476" s="24"/>
      <c r="R476" s="24"/>
      <c r="S476" s="24"/>
      <c r="T476" s="24"/>
      <c r="U476" s="24"/>
      <c r="V476" s="24"/>
      <c r="W476" s="24"/>
      <c r="X476" s="24"/>
      <c r="Y476" s="24"/>
      <c r="Z476" s="24"/>
      <c r="AA476" s="24"/>
      <c r="AB476" s="24"/>
      <c r="AC476" s="24"/>
    </row>
    <row r="477" spans="1:29" ht="12.9">
      <c r="A477" s="24"/>
      <c r="B477" s="24"/>
      <c r="C477" s="24"/>
      <c r="D477" s="24"/>
      <c r="E477" s="24"/>
      <c r="F477" s="117"/>
      <c r="G477" s="117"/>
      <c r="H477" s="24"/>
      <c r="I477" s="24"/>
      <c r="J477" s="24"/>
      <c r="K477" s="24"/>
      <c r="L477" s="24"/>
      <c r="M477" s="24"/>
      <c r="N477" s="24"/>
      <c r="O477" s="24"/>
      <c r="P477" s="24"/>
      <c r="Q477" s="24"/>
      <c r="R477" s="24"/>
      <c r="S477" s="24"/>
      <c r="T477" s="24"/>
      <c r="U477" s="24"/>
      <c r="V477" s="24"/>
      <c r="W477" s="24"/>
      <c r="X477" s="24"/>
      <c r="Y477" s="24"/>
      <c r="Z477" s="24"/>
      <c r="AA477" s="24"/>
      <c r="AB477" s="24"/>
      <c r="AC477" s="24"/>
    </row>
    <row r="478" spans="1:29" ht="12.9">
      <c r="A478" s="24"/>
      <c r="B478" s="24"/>
      <c r="C478" s="24"/>
      <c r="D478" s="24"/>
      <c r="E478" s="24"/>
      <c r="F478" s="117"/>
      <c r="G478" s="117"/>
      <c r="H478" s="24"/>
      <c r="I478" s="24"/>
      <c r="J478" s="24"/>
      <c r="K478" s="24"/>
      <c r="L478" s="24"/>
      <c r="M478" s="24"/>
      <c r="N478" s="24"/>
      <c r="O478" s="24"/>
      <c r="P478" s="24"/>
      <c r="Q478" s="24"/>
      <c r="R478" s="24"/>
      <c r="S478" s="24"/>
      <c r="T478" s="24"/>
      <c r="U478" s="24"/>
      <c r="V478" s="24"/>
      <c r="W478" s="24"/>
      <c r="X478" s="24"/>
      <c r="Y478" s="24"/>
      <c r="Z478" s="24"/>
      <c r="AA478" s="24"/>
      <c r="AB478" s="24"/>
      <c r="AC478" s="24"/>
    </row>
    <row r="479" spans="1:29" ht="12.9">
      <c r="A479" s="24"/>
      <c r="B479" s="24"/>
      <c r="C479" s="24"/>
      <c r="D479" s="24"/>
      <c r="E479" s="24"/>
      <c r="F479" s="117"/>
      <c r="G479" s="117"/>
      <c r="H479" s="24"/>
      <c r="I479" s="24"/>
      <c r="J479" s="24"/>
      <c r="K479" s="24"/>
      <c r="L479" s="24"/>
      <c r="M479" s="24"/>
      <c r="N479" s="24"/>
      <c r="O479" s="24"/>
      <c r="P479" s="24"/>
      <c r="Q479" s="24"/>
      <c r="R479" s="24"/>
      <c r="S479" s="24"/>
      <c r="T479" s="24"/>
      <c r="U479" s="24"/>
      <c r="V479" s="24"/>
      <c r="W479" s="24"/>
      <c r="X479" s="24"/>
      <c r="Y479" s="24"/>
      <c r="Z479" s="24"/>
      <c r="AA479" s="24"/>
      <c r="AB479" s="24"/>
      <c r="AC479" s="24"/>
    </row>
    <row r="480" spans="1:29" ht="12.9">
      <c r="A480" s="24"/>
      <c r="B480" s="24"/>
      <c r="C480" s="24"/>
      <c r="D480" s="24"/>
      <c r="E480" s="24"/>
      <c r="F480" s="117"/>
      <c r="G480" s="117"/>
      <c r="H480" s="24"/>
      <c r="I480" s="24"/>
      <c r="J480" s="24"/>
      <c r="K480" s="24"/>
      <c r="L480" s="24"/>
      <c r="M480" s="24"/>
      <c r="N480" s="24"/>
      <c r="O480" s="24"/>
      <c r="P480" s="24"/>
      <c r="Q480" s="24"/>
      <c r="R480" s="24"/>
      <c r="S480" s="24"/>
      <c r="T480" s="24"/>
      <c r="U480" s="24"/>
      <c r="V480" s="24"/>
      <c r="W480" s="24"/>
      <c r="X480" s="24"/>
      <c r="Y480" s="24"/>
      <c r="Z480" s="24"/>
      <c r="AA480" s="24"/>
      <c r="AB480" s="24"/>
      <c r="AC480" s="24"/>
    </row>
    <row r="481" spans="1:29" ht="12.9">
      <c r="A481" s="24"/>
      <c r="B481" s="24"/>
      <c r="C481" s="24"/>
      <c r="D481" s="24"/>
      <c r="E481" s="24"/>
      <c r="F481" s="117"/>
      <c r="G481" s="117"/>
      <c r="H481" s="24"/>
      <c r="I481" s="24"/>
      <c r="J481" s="24"/>
      <c r="K481" s="24"/>
      <c r="L481" s="24"/>
      <c r="M481" s="24"/>
      <c r="N481" s="24"/>
      <c r="O481" s="24"/>
      <c r="P481" s="24"/>
      <c r="Q481" s="24"/>
      <c r="R481" s="24"/>
      <c r="S481" s="24"/>
      <c r="T481" s="24"/>
      <c r="U481" s="24"/>
      <c r="V481" s="24"/>
      <c r="W481" s="24"/>
      <c r="X481" s="24"/>
      <c r="Y481" s="24"/>
      <c r="Z481" s="24"/>
      <c r="AA481" s="24"/>
      <c r="AB481" s="24"/>
      <c r="AC481" s="24"/>
    </row>
    <row r="482" spans="1:29" ht="12.9">
      <c r="A482" s="24"/>
      <c r="B482" s="24"/>
      <c r="C482" s="24"/>
      <c r="D482" s="24"/>
      <c r="E482" s="24"/>
      <c r="F482" s="117"/>
      <c r="G482" s="117"/>
      <c r="H482" s="24"/>
      <c r="I482" s="24"/>
      <c r="J482" s="24"/>
      <c r="K482" s="24"/>
      <c r="L482" s="24"/>
      <c r="M482" s="24"/>
      <c r="N482" s="24"/>
      <c r="O482" s="24"/>
      <c r="P482" s="24"/>
      <c r="Q482" s="24"/>
      <c r="R482" s="24"/>
      <c r="S482" s="24"/>
      <c r="T482" s="24"/>
      <c r="U482" s="24"/>
      <c r="V482" s="24"/>
      <c r="W482" s="24"/>
      <c r="X482" s="24"/>
      <c r="Y482" s="24"/>
      <c r="Z482" s="24"/>
      <c r="AA482" s="24"/>
      <c r="AB482" s="24"/>
      <c r="AC482" s="24"/>
    </row>
    <row r="483" spans="1:29" ht="12.9">
      <c r="A483" s="24"/>
      <c r="B483" s="24"/>
      <c r="C483" s="24"/>
      <c r="D483" s="24"/>
      <c r="E483" s="24"/>
      <c r="F483" s="117"/>
      <c r="G483" s="117"/>
      <c r="H483" s="24"/>
      <c r="I483" s="24"/>
      <c r="J483" s="24"/>
      <c r="K483" s="24"/>
      <c r="L483" s="24"/>
      <c r="M483" s="24"/>
      <c r="N483" s="24"/>
      <c r="O483" s="24"/>
      <c r="P483" s="24"/>
      <c r="Q483" s="24"/>
      <c r="R483" s="24"/>
      <c r="S483" s="24"/>
      <c r="T483" s="24"/>
      <c r="U483" s="24"/>
      <c r="V483" s="24"/>
      <c r="W483" s="24"/>
      <c r="X483" s="24"/>
      <c r="Y483" s="24"/>
      <c r="Z483" s="24"/>
      <c r="AA483" s="24"/>
      <c r="AB483" s="24"/>
      <c r="AC483" s="24"/>
    </row>
    <row r="484" spans="1:29" ht="12.9">
      <c r="A484" s="24"/>
      <c r="B484" s="24"/>
      <c r="C484" s="24"/>
      <c r="D484" s="24"/>
      <c r="E484" s="24"/>
      <c r="F484" s="117"/>
      <c r="G484" s="117"/>
      <c r="H484" s="24"/>
      <c r="I484" s="24"/>
      <c r="J484" s="24"/>
      <c r="K484" s="24"/>
      <c r="L484" s="24"/>
      <c r="M484" s="24"/>
      <c r="N484" s="24"/>
      <c r="O484" s="24"/>
      <c r="P484" s="24"/>
      <c r="Q484" s="24"/>
      <c r="R484" s="24"/>
      <c r="S484" s="24"/>
      <c r="T484" s="24"/>
      <c r="U484" s="24"/>
      <c r="V484" s="24"/>
      <c r="W484" s="24"/>
      <c r="X484" s="24"/>
      <c r="Y484" s="24"/>
      <c r="Z484" s="24"/>
      <c r="AA484" s="24"/>
      <c r="AB484" s="24"/>
      <c r="AC484" s="24"/>
    </row>
    <row r="485" spans="1:29" ht="12.9">
      <c r="A485" s="24"/>
      <c r="B485" s="24"/>
      <c r="C485" s="24"/>
      <c r="D485" s="24"/>
      <c r="E485" s="24"/>
      <c r="F485" s="117"/>
      <c r="G485" s="117"/>
      <c r="H485" s="24"/>
      <c r="I485" s="24"/>
      <c r="J485" s="24"/>
      <c r="K485" s="24"/>
      <c r="L485" s="24"/>
      <c r="M485" s="24"/>
      <c r="N485" s="24"/>
      <c r="O485" s="24"/>
      <c r="P485" s="24"/>
      <c r="Q485" s="24"/>
      <c r="R485" s="24"/>
      <c r="S485" s="24"/>
      <c r="T485" s="24"/>
      <c r="U485" s="24"/>
      <c r="V485" s="24"/>
      <c r="W485" s="24"/>
      <c r="X485" s="24"/>
      <c r="Y485" s="24"/>
      <c r="Z485" s="24"/>
      <c r="AA485" s="24"/>
      <c r="AB485" s="24"/>
      <c r="AC485" s="24"/>
    </row>
    <row r="486" spans="1:29" ht="12.9">
      <c r="A486" s="24"/>
      <c r="B486" s="24"/>
      <c r="C486" s="24"/>
      <c r="D486" s="24"/>
      <c r="E486" s="24"/>
      <c r="F486" s="117"/>
      <c r="G486" s="117"/>
      <c r="H486" s="24"/>
      <c r="I486" s="24"/>
      <c r="J486" s="24"/>
      <c r="K486" s="24"/>
      <c r="L486" s="24"/>
      <c r="M486" s="24"/>
      <c r="N486" s="24"/>
      <c r="O486" s="24"/>
      <c r="P486" s="24"/>
      <c r="Q486" s="24"/>
      <c r="R486" s="24"/>
      <c r="S486" s="24"/>
      <c r="T486" s="24"/>
      <c r="U486" s="24"/>
      <c r="V486" s="24"/>
      <c r="W486" s="24"/>
      <c r="X486" s="24"/>
      <c r="Y486" s="24"/>
      <c r="Z486" s="24"/>
      <c r="AA486" s="24"/>
      <c r="AB486" s="24"/>
      <c r="AC486" s="24"/>
    </row>
    <row r="487" spans="1:29" ht="12.9">
      <c r="A487" s="24"/>
      <c r="B487" s="24"/>
      <c r="C487" s="24"/>
      <c r="D487" s="24"/>
      <c r="E487" s="24"/>
      <c r="F487" s="117"/>
      <c r="G487" s="117"/>
      <c r="H487" s="24"/>
      <c r="I487" s="24"/>
      <c r="J487" s="24"/>
      <c r="K487" s="24"/>
      <c r="L487" s="24"/>
      <c r="M487" s="24"/>
      <c r="N487" s="24"/>
      <c r="O487" s="24"/>
      <c r="P487" s="24"/>
      <c r="Q487" s="24"/>
      <c r="R487" s="24"/>
      <c r="S487" s="24"/>
      <c r="T487" s="24"/>
      <c r="U487" s="24"/>
      <c r="V487" s="24"/>
      <c r="W487" s="24"/>
      <c r="X487" s="24"/>
      <c r="Y487" s="24"/>
      <c r="Z487" s="24"/>
      <c r="AA487" s="24"/>
      <c r="AB487" s="24"/>
      <c r="AC487" s="24"/>
    </row>
    <row r="488" spans="1:29" ht="12.9">
      <c r="A488" s="24"/>
      <c r="B488" s="24"/>
      <c r="C488" s="24"/>
      <c r="D488" s="24"/>
      <c r="E488" s="24"/>
      <c r="F488" s="117"/>
      <c r="G488" s="117"/>
      <c r="H488" s="24"/>
      <c r="I488" s="24"/>
      <c r="J488" s="24"/>
      <c r="K488" s="24"/>
      <c r="L488" s="24"/>
      <c r="M488" s="24"/>
      <c r="N488" s="24"/>
      <c r="O488" s="24"/>
      <c r="P488" s="24"/>
      <c r="Q488" s="24"/>
      <c r="R488" s="24"/>
      <c r="S488" s="24"/>
      <c r="T488" s="24"/>
      <c r="U488" s="24"/>
      <c r="V488" s="24"/>
      <c r="W488" s="24"/>
      <c r="X488" s="24"/>
      <c r="Y488" s="24"/>
      <c r="Z488" s="24"/>
      <c r="AA488" s="24"/>
      <c r="AB488" s="24"/>
      <c r="AC488" s="24"/>
    </row>
    <row r="489" spans="1:29" ht="12.9">
      <c r="A489" s="24"/>
      <c r="B489" s="24"/>
      <c r="C489" s="24"/>
      <c r="D489" s="24"/>
      <c r="E489" s="24"/>
      <c r="F489" s="117"/>
      <c r="G489" s="117"/>
      <c r="H489" s="24"/>
      <c r="I489" s="24"/>
      <c r="J489" s="24"/>
      <c r="K489" s="24"/>
      <c r="L489" s="24"/>
      <c r="M489" s="24"/>
      <c r="N489" s="24"/>
      <c r="O489" s="24"/>
      <c r="P489" s="24"/>
      <c r="Q489" s="24"/>
      <c r="R489" s="24"/>
      <c r="S489" s="24"/>
      <c r="T489" s="24"/>
      <c r="U489" s="24"/>
      <c r="V489" s="24"/>
      <c r="W489" s="24"/>
      <c r="X489" s="24"/>
      <c r="Y489" s="24"/>
      <c r="Z489" s="24"/>
      <c r="AA489" s="24"/>
      <c r="AB489" s="24"/>
      <c r="AC489" s="24"/>
    </row>
    <row r="490" spans="1:29" ht="12.9">
      <c r="A490" s="24"/>
      <c r="B490" s="24"/>
      <c r="C490" s="24"/>
      <c r="D490" s="24"/>
      <c r="E490" s="24"/>
      <c r="F490" s="117"/>
      <c r="G490" s="117"/>
      <c r="H490" s="24"/>
      <c r="I490" s="24"/>
      <c r="J490" s="24"/>
      <c r="K490" s="24"/>
      <c r="L490" s="24"/>
      <c r="M490" s="24"/>
      <c r="N490" s="24"/>
      <c r="O490" s="24"/>
      <c r="P490" s="24"/>
      <c r="Q490" s="24"/>
      <c r="R490" s="24"/>
      <c r="S490" s="24"/>
      <c r="T490" s="24"/>
      <c r="U490" s="24"/>
      <c r="V490" s="24"/>
      <c r="W490" s="24"/>
      <c r="X490" s="24"/>
      <c r="Y490" s="24"/>
      <c r="Z490" s="24"/>
      <c r="AA490" s="24"/>
      <c r="AB490" s="24"/>
      <c r="AC490" s="24"/>
    </row>
    <row r="491" spans="1:29" ht="12.9">
      <c r="A491" s="24"/>
      <c r="B491" s="24"/>
      <c r="C491" s="24"/>
      <c r="D491" s="24"/>
      <c r="E491" s="24"/>
      <c r="F491" s="117"/>
      <c r="G491" s="117"/>
      <c r="H491" s="24"/>
      <c r="I491" s="24"/>
      <c r="J491" s="24"/>
      <c r="K491" s="24"/>
      <c r="L491" s="24"/>
      <c r="M491" s="24"/>
      <c r="N491" s="24"/>
      <c r="O491" s="24"/>
      <c r="P491" s="24"/>
      <c r="Q491" s="24"/>
      <c r="R491" s="24"/>
      <c r="S491" s="24"/>
      <c r="T491" s="24"/>
      <c r="U491" s="24"/>
      <c r="V491" s="24"/>
      <c r="W491" s="24"/>
      <c r="X491" s="24"/>
      <c r="Y491" s="24"/>
      <c r="Z491" s="24"/>
      <c r="AA491" s="24"/>
      <c r="AB491" s="24"/>
      <c r="AC491" s="24"/>
    </row>
    <row r="492" spans="1:29" ht="12.9">
      <c r="A492" s="24"/>
      <c r="B492" s="24"/>
      <c r="C492" s="24"/>
      <c r="D492" s="24"/>
      <c r="E492" s="24"/>
      <c r="F492" s="117"/>
      <c r="G492" s="117"/>
      <c r="H492" s="24"/>
      <c r="I492" s="24"/>
      <c r="J492" s="24"/>
      <c r="K492" s="24"/>
      <c r="L492" s="24"/>
      <c r="M492" s="24"/>
      <c r="N492" s="24"/>
      <c r="O492" s="24"/>
      <c r="P492" s="24"/>
      <c r="Q492" s="24"/>
      <c r="R492" s="24"/>
      <c r="S492" s="24"/>
      <c r="T492" s="24"/>
      <c r="U492" s="24"/>
      <c r="V492" s="24"/>
      <c r="W492" s="24"/>
      <c r="X492" s="24"/>
      <c r="Y492" s="24"/>
      <c r="Z492" s="24"/>
      <c r="AA492" s="24"/>
      <c r="AB492" s="24"/>
      <c r="AC492" s="24"/>
    </row>
    <row r="493" spans="1:29" ht="12.9">
      <c r="A493" s="24"/>
      <c r="B493" s="24"/>
      <c r="C493" s="24"/>
      <c r="D493" s="24"/>
      <c r="E493" s="24"/>
      <c r="F493" s="117"/>
      <c r="G493" s="117"/>
      <c r="H493" s="24"/>
      <c r="I493" s="24"/>
      <c r="J493" s="24"/>
      <c r="K493" s="24"/>
      <c r="L493" s="24"/>
      <c r="M493" s="24"/>
      <c r="N493" s="24"/>
      <c r="O493" s="24"/>
      <c r="P493" s="24"/>
      <c r="Q493" s="24"/>
      <c r="R493" s="24"/>
      <c r="S493" s="24"/>
      <c r="T493" s="24"/>
      <c r="U493" s="24"/>
      <c r="V493" s="24"/>
      <c r="W493" s="24"/>
      <c r="X493" s="24"/>
      <c r="Y493" s="24"/>
      <c r="Z493" s="24"/>
      <c r="AA493" s="24"/>
      <c r="AB493" s="24"/>
      <c r="AC493" s="24"/>
    </row>
    <row r="494" spans="1:29" ht="12.9">
      <c r="A494" s="24"/>
      <c r="B494" s="24"/>
      <c r="C494" s="24"/>
      <c r="D494" s="24"/>
      <c r="E494" s="24"/>
      <c r="F494" s="117"/>
      <c r="G494" s="117"/>
      <c r="H494" s="24"/>
      <c r="I494" s="24"/>
      <c r="J494" s="24"/>
      <c r="K494" s="24"/>
      <c r="L494" s="24"/>
      <c r="M494" s="24"/>
      <c r="N494" s="24"/>
      <c r="O494" s="24"/>
      <c r="P494" s="24"/>
      <c r="Q494" s="24"/>
      <c r="R494" s="24"/>
      <c r="S494" s="24"/>
      <c r="T494" s="24"/>
      <c r="U494" s="24"/>
      <c r="V494" s="24"/>
      <c r="W494" s="24"/>
      <c r="X494" s="24"/>
      <c r="Y494" s="24"/>
      <c r="Z494" s="24"/>
      <c r="AA494" s="24"/>
      <c r="AB494" s="24"/>
      <c r="AC494" s="24"/>
    </row>
    <row r="495" spans="1:29" ht="12.9">
      <c r="A495" s="24"/>
      <c r="B495" s="24"/>
      <c r="C495" s="24"/>
      <c r="D495" s="24"/>
      <c r="E495" s="24"/>
      <c r="F495" s="117"/>
      <c r="G495" s="117"/>
      <c r="H495" s="24"/>
      <c r="I495" s="24"/>
      <c r="J495" s="24"/>
      <c r="K495" s="24"/>
      <c r="L495" s="24"/>
      <c r="M495" s="24"/>
      <c r="N495" s="24"/>
      <c r="O495" s="24"/>
      <c r="P495" s="24"/>
      <c r="Q495" s="24"/>
      <c r="R495" s="24"/>
      <c r="S495" s="24"/>
      <c r="T495" s="24"/>
      <c r="U495" s="24"/>
      <c r="V495" s="24"/>
      <c r="W495" s="24"/>
      <c r="X495" s="24"/>
      <c r="Y495" s="24"/>
      <c r="Z495" s="24"/>
      <c r="AA495" s="24"/>
      <c r="AB495" s="24"/>
      <c r="AC495" s="24"/>
    </row>
    <row r="496" spans="1:29" ht="12.9">
      <c r="A496" s="24"/>
      <c r="B496" s="24"/>
      <c r="C496" s="24"/>
      <c r="D496" s="24"/>
      <c r="E496" s="24"/>
      <c r="F496" s="117"/>
      <c r="G496" s="117"/>
      <c r="H496" s="24"/>
      <c r="I496" s="24"/>
      <c r="J496" s="24"/>
      <c r="K496" s="24"/>
      <c r="L496" s="24"/>
      <c r="M496" s="24"/>
      <c r="N496" s="24"/>
      <c r="O496" s="24"/>
      <c r="P496" s="24"/>
      <c r="Q496" s="24"/>
      <c r="R496" s="24"/>
      <c r="S496" s="24"/>
      <c r="T496" s="24"/>
      <c r="U496" s="24"/>
      <c r="V496" s="24"/>
      <c r="W496" s="24"/>
      <c r="X496" s="24"/>
      <c r="Y496" s="24"/>
      <c r="Z496" s="24"/>
      <c r="AA496" s="24"/>
      <c r="AB496" s="24"/>
      <c r="AC496" s="24"/>
    </row>
    <row r="497" spans="1:29" ht="12.9">
      <c r="A497" s="24"/>
      <c r="B497" s="24"/>
      <c r="C497" s="24"/>
      <c r="D497" s="24"/>
      <c r="E497" s="24"/>
      <c r="F497" s="117"/>
      <c r="G497" s="117"/>
      <c r="H497" s="24"/>
      <c r="I497" s="24"/>
      <c r="J497" s="24"/>
      <c r="K497" s="24"/>
      <c r="L497" s="24"/>
      <c r="M497" s="24"/>
      <c r="N497" s="24"/>
      <c r="O497" s="24"/>
      <c r="P497" s="24"/>
      <c r="Q497" s="24"/>
      <c r="R497" s="24"/>
      <c r="S497" s="24"/>
      <c r="T497" s="24"/>
      <c r="U497" s="24"/>
      <c r="V497" s="24"/>
      <c r="W497" s="24"/>
      <c r="X497" s="24"/>
      <c r="Y497" s="24"/>
      <c r="Z497" s="24"/>
      <c r="AA497" s="24"/>
      <c r="AB497" s="24"/>
      <c r="AC497" s="24"/>
    </row>
    <row r="498" spans="1:29" ht="12.9">
      <c r="A498" s="24"/>
      <c r="B498" s="24"/>
      <c r="C498" s="24"/>
      <c r="D498" s="24"/>
      <c r="E498" s="24"/>
      <c r="F498" s="117"/>
      <c r="G498" s="117"/>
      <c r="H498" s="24"/>
      <c r="I498" s="24"/>
      <c r="J498" s="24"/>
      <c r="K498" s="24"/>
      <c r="L498" s="24"/>
      <c r="M498" s="24"/>
      <c r="N498" s="24"/>
      <c r="O498" s="24"/>
      <c r="P498" s="24"/>
      <c r="Q498" s="24"/>
      <c r="R498" s="24"/>
      <c r="S498" s="24"/>
      <c r="T498" s="24"/>
      <c r="U498" s="24"/>
      <c r="V498" s="24"/>
      <c r="W498" s="24"/>
      <c r="X498" s="24"/>
      <c r="Y498" s="24"/>
      <c r="Z498" s="24"/>
      <c r="AA498" s="24"/>
      <c r="AB498" s="24"/>
      <c r="AC498" s="24"/>
    </row>
    <row r="499" spans="1:29" ht="12.9">
      <c r="A499" s="24"/>
      <c r="B499" s="24"/>
      <c r="C499" s="24"/>
      <c r="D499" s="24"/>
      <c r="E499" s="24"/>
      <c r="F499" s="117"/>
      <c r="G499" s="117"/>
      <c r="H499" s="24"/>
      <c r="I499" s="24"/>
      <c r="J499" s="24"/>
      <c r="K499" s="24"/>
      <c r="L499" s="24"/>
      <c r="M499" s="24"/>
      <c r="N499" s="24"/>
      <c r="O499" s="24"/>
      <c r="P499" s="24"/>
      <c r="Q499" s="24"/>
      <c r="R499" s="24"/>
      <c r="S499" s="24"/>
      <c r="T499" s="24"/>
      <c r="U499" s="24"/>
      <c r="V499" s="24"/>
      <c r="W499" s="24"/>
      <c r="X499" s="24"/>
      <c r="Y499" s="24"/>
      <c r="Z499" s="24"/>
      <c r="AA499" s="24"/>
      <c r="AB499" s="24"/>
      <c r="AC499" s="24"/>
    </row>
    <row r="500" spans="1:29" ht="12.9">
      <c r="A500" s="24"/>
      <c r="B500" s="24"/>
      <c r="C500" s="24"/>
      <c r="D500" s="24"/>
      <c r="E500" s="24"/>
      <c r="F500" s="117"/>
      <c r="G500" s="117"/>
      <c r="H500" s="24"/>
      <c r="I500" s="24"/>
      <c r="J500" s="24"/>
      <c r="K500" s="24"/>
      <c r="L500" s="24"/>
      <c r="M500" s="24"/>
      <c r="N500" s="24"/>
      <c r="O500" s="24"/>
      <c r="P500" s="24"/>
      <c r="Q500" s="24"/>
      <c r="R500" s="24"/>
      <c r="S500" s="24"/>
      <c r="T500" s="24"/>
      <c r="U500" s="24"/>
      <c r="V500" s="24"/>
      <c r="W500" s="24"/>
      <c r="X500" s="24"/>
      <c r="Y500" s="24"/>
      <c r="Z500" s="24"/>
      <c r="AA500" s="24"/>
      <c r="AB500" s="24"/>
      <c r="AC500" s="24"/>
    </row>
    <row r="501" spans="1:29" ht="12.9">
      <c r="A501" s="24"/>
      <c r="B501" s="24"/>
      <c r="C501" s="24"/>
      <c r="D501" s="24"/>
      <c r="E501" s="24"/>
      <c r="F501" s="117"/>
      <c r="G501" s="117"/>
      <c r="H501" s="24"/>
      <c r="I501" s="24"/>
      <c r="J501" s="24"/>
      <c r="K501" s="24"/>
      <c r="L501" s="24"/>
      <c r="M501" s="24"/>
      <c r="N501" s="24"/>
      <c r="O501" s="24"/>
      <c r="P501" s="24"/>
      <c r="Q501" s="24"/>
      <c r="R501" s="24"/>
      <c r="S501" s="24"/>
      <c r="T501" s="24"/>
      <c r="U501" s="24"/>
      <c r="V501" s="24"/>
      <c r="W501" s="24"/>
      <c r="X501" s="24"/>
      <c r="Y501" s="24"/>
      <c r="Z501" s="24"/>
      <c r="AA501" s="24"/>
      <c r="AB501" s="24"/>
      <c r="AC501" s="24"/>
    </row>
    <row r="502" spans="1:29" ht="12.9">
      <c r="A502" s="24"/>
      <c r="B502" s="24"/>
      <c r="C502" s="24"/>
      <c r="D502" s="24"/>
      <c r="E502" s="24"/>
      <c r="F502" s="117"/>
      <c r="G502" s="117"/>
      <c r="H502" s="24"/>
      <c r="I502" s="24"/>
      <c r="J502" s="24"/>
      <c r="K502" s="24"/>
      <c r="L502" s="24"/>
      <c r="M502" s="24"/>
      <c r="N502" s="24"/>
      <c r="O502" s="24"/>
      <c r="P502" s="24"/>
      <c r="Q502" s="24"/>
      <c r="R502" s="24"/>
      <c r="S502" s="24"/>
      <c r="T502" s="24"/>
      <c r="U502" s="24"/>
      <c r="V502" s="24"/>
      <c r="W502" s="24"/>
      <c r="X502" s="24"/>
      <c r="Y502" s="24"/>
      <c r="Z502" s="24"/>
      <c r="AA502" s="24"/>
      <c r="AB502" s="24"/>
      <c r="AC502" s="24"/>
    </row>
    <row r="503" spans="1:29" ht="12.9">
      <c r="A503" s="24"/>
      <c r="B503" s="24"/>
      <c r="C503" s="24"/>
      <c r="D503" s="24"/>
      <c r="E503" s="24"/>
      <c r="F503" s="117"/>
      <c r="G503" s="117"/>
      <c r="H503" s="24"/>
      <c r="I503" s="24"/>
      <c r="J503" s="24"/>
      <c r="K503" s="24"/>
      <c r="L503" s="24"/>
      <c r="M503" s="24"/>
      <c r="N503" s="24"/>
      <c r="O503" s="24"/>
      <c r="P503" s="24"/>
      <c r="Q503" s="24"/>
      <c r="R503" s="24"/>
      <c r="S503" s="24"/>
      <c r="T503" s="24"/>
      <c r="U503" s="24"/>
      <c r="V503" s="24"/>
      <c r="W503" s="24"/>
      <c r="X503" s="24"/>
      <c r="Y503" s="24"/>
      <c r="Z503" s="24"/>
      <c r="AA503" s="24"/>
      <c r="AB503" s="24"/>
      <c r="AC503" s="24"/>
    </row>
    <row r="504" spans="1:29" ht="12.9">
      <c r="A504" s="24"/>
      <c r="B504" s="24"/>
      <c r="C504" s="24"/>
      <c r="D504" s="24"/>
      <c r="E504" s="24"/>
      <c r="F504" s="117"/>
      <c r="G504" s="117"/>
      <c r="H504" s="24"/>
      <c r="I504" s="24"/>
      <c r="J504" s="24"/>
      <c r="K504" s="24"/>
      <c r="L504" s="24"/>
      <c r="M504" s="24"/>
      <c r="N504" s="24"/>
      <c r="O504" s="24"/>
      <c r="P504" s="24"/>
      <c r="Q504" s="24"/>
      <c r="R504" s="24"/>
      <c r="S504" s="24"/>
      <c r="T504" s="24"/>
      <c r="U504" s="24"/>
      <c r="V504" s="24"/>
      <c r="W504" s="24"/>
      <c r="X504" s="24"/>
      <c r="Y504" s="24"/>
      <c r="Z504" s="24"/>
      <c r="AA504" s="24"/>
      <c r="AB504" s="24"/>
      <c r="AC504" s="24"/>
    </row>
    <row r="505" spans="1:29" ht="12.9">
      <c r="A505" s="24"/>
      <c r="B505" s="24"/>
      <c r="C505" s="24"/>
      <c r="D505" s="24"/>
      <c r="E505" s="24"/>
      <c r="F505" s="117"/>
      <c r="G505" s="117"/>
      <c r="H505" s="24"/>
      <c r="I505" s="24"/>
      <c r="J505" s="24"/>
      <c r="K505" s="24"/>
      <c r="L505" s="24"/>
      <c r="M505" s="24"/>
      <c r="N505" s="24"/>
      <c r="O505" s="24"/>
      <c r="P505" s="24"/>
      <c r="Q505" s="24"/>
      <c r="R505" s="24"/>
      <c r="S505" s="24"/>
      <c r="T505" s="24"/>
      <c r="U505" s="24"/>
      <c r="V505" s="24"/>
      <c r="W505" s="24"/>
      <c r="X505" s="24"/>
      <c r="Y505" s="24"/>
      <c r="Z505" s="24"/>
      <c r="AA505" s="24"/>
      <c r="AB505" s="24"/>
      <c r="AC505" s="24"/>
    </row>
    <row r="506" spans="1:29" ht="12.9">
      <c r="A506" s="24"/>
      <c r="B506" s="24"/>
      <c r="C506" s="24"/>
      <c r="D506" s="24"/>
      <c r="E506" s="24"/>
      <c r="F506" s="117"/>
      <c r="G506" s="117"/>
      <c r="H506" s="24"/>
      <c r="I506" s="24"/>
      <c r="J506" s="24"/>
      <c r="K506" s="24"/>
      <c r="L506" s="24"/>
      <c r="M506" s="24"/>
      <c r="N506" s="24"/>
      <c r="O506" s="24"/>
      <c r="P506" s="24"/>
      <c r="Q506" s="24"/>
      <c r="R506" s="24"/>
      <c r="S506" s="24"/>
      <c r="T506" s="24"/>
      <c r="U506" s="24"/>
      <c r="V506" s="24"/>
      <c r="W506" s="24"/>
      <c r="X506" s="24"/>
      <c r="Y506" s="24"/>
      <c r="Z506" s="24"/>
      <c r="AA506" s="24"/>
      <c r="AB506" s="24"/>
      <c r="AC506" s="24"/>
    </row>
    <row r="507" spans="1:29" ht="12.9">
      <c r="A507" s="24"/>
      <c r="B507" s="24"/>
      <c r="C507" s="24"/>
      <c r="D507" s="24"/>
      <c r="E507" s="24"/>
      <c r="F507" s="117"/>
      <c r="G507" s="117"/>
      <c r="H507" s="24"/>
      <c r="I507" s="24"/>
      <c r="J507" s="24"/>
      <c r="K507" s="24"/>
      <c r="L507" s="24"/>
      <c r="M507" s="24"/>
      <c r="N507" s="24"/>
      <c r="O507" s="24"/>
      <c r="P507" s="24"/>
      <c r="Q507" s="24"/>
      <c r="R507" s="24"/>
      <c r="S507" s="24"/>
      <c r="T507" s="24"/>
      <c r="U507" s="24"/>
      <c r="V507" s="24"/>
      <c r="W507" s="24"/>
      <c r="X507" s="24"/>
      <c r="Y507" s="24"/>
      <c r="Z507" s="24"/>
      <c r="AA507" s="24"/>
      <c r="AB507" s="24"/>
      <c r="AC507" s="24"/>
    </row>
    <row r="508" spans="1:29" ht="12.9">
      <c r="A508" s="24"/>
      <c r="B508" s="24"/>
      <c r="C508" s="24"/>
      <c r="D508" s="24"/>
      <c r="E508" s="24"/>
      <c r="F508" s="117"/>
      <c r="G508" s="117"/>
      <c r="H508" s="24"/>
      <c r="I508" s="24"/>
      <c r="J508" s="24"/>
      <c r="K508" s="24"/>
      <c r="L508" s="24"/>
      <c r="M508" s="24"/>
      <c r="N508" s="24"/>
      <c r="O508" s="24"/>
      <c r="P508" s="24"/>
      <c r="Q508" s="24"/>
      <c r="R508" s="24"/>
      <c r="S508" s="24"/>
      <c r="T508" s="24"/>
      <c r="U508" s="24"/>
      <c r="V508" s="24"/>
      <c r="W508" s="24"/>
      <c r="X508" s="24"/>
      <c r="Y508" s="24"/>
      <c r="Z508" s="24"/>
      <c r="AA508" s="24"/>
      <c r="AB508" s="24"/>
      <c r="AC508" s="24"/>
    </row>
    <row r="509" spans="1:29" ht="12.9">
      <c r="A509" s="24"/>
      <c r="B509" s="24"/>
      <c r="C509" s="24"/>
      <c r="D509" s="24"/>
      <c r="E509" s="24"/>
      <c r="F509" s="117"/>
      <c r="G509" s="117"/>
      <c r="H509" s="24"/>
      <c r="I509" s="24"/>
      <c r="J509" s="24"/>
      <c r="K509" s="24"/>
      <c r="L509" s="24"/>
      <c r="M509" s="24"/>
      <c r="N509" s="24"/>
      <c r="O509" s="24"/>
      <c r="P509" s="24"/>
      <c r="Q509" s="24"/>
      <c r="R509" s="24"/>
      <c r="S509" s="24"/>
      <c r="T509" s="24"/>
      <c r="U509" s="24"/>
      <c r="V509" s="24"/>
      <c r="W509" s="24"/>
      <c r="X509" s="24"/>
      <c r="Y509" s="24"/>
      <c r="Z509" s="24"/>
      <c r="AA509" s="24"/>
      <c r="AB509" s="24"/>
      <c r="AC509" s="24"/>
    </row>
    <row r="510" spans="1:29" ht="12.9">
      <c r="A510" s="24"/>
      <c r="B510" s="24"/>
      <c r="C510" s="24"/>
      <c r="D510" s="24"/>
      <c r="E510" s="24"/>
      <c r="F510" s="117"/>
      <c r="G510" s="117"/>
      <c r="H510" s="24"/>
      <c r="I510" s="24"/>
      <c r="J510" s="24"/>
      <c r="K510" s="24"/>
      <c r="L510" s="24"/>
      <c r="M510" s="24"/>
      <c r="N510" s="24"/>
      <c r="O510" s="24"/>
      <c r="P510" s="24"/>
      <c r="Q510" s="24"/>
      <c r="R510" s="24"/>
      <c r="S510" s="24"/>
      <c r="T510" s="24"/>
      <c r="U510" s="24"/>
      <c r="V510" s="24"/>
      <c r="W510" s="24"/>
      <c r="X510" s="24"/>
      <c r="Y510" s="24"/>
      <c r="Z510" s="24"/>
      <c r="AA510" s="24"/>
      <c r="AB510" s="24"/>
      <c r="AC510" s="24"/>
    </row>
    <row r="511" spans="1:29" ht="12.9">
      <c r="A511" s="24"/>
      <c r="B511" s="24"/>
      <c r="C511" s="24"/>
      <c r="D511" s="24"/>
      <c r="E511" s="24"/>
      <c r="F511" s="117"/>
      <c r="G511" s="117"/>
      <c r="H511" s="24"/>
      <c r="I511" s="24"/>
      <c r="J511" s="24"/>
      <c r="K511" s="24"/>
      <c r="L511" s="24"/>
      <c r="M511" s="24"/>
      <c r="N511" s="24"/>
      <c r="O511" s="24"/>
      <c r="P511" s="24"/>
      <c r="Q511" s="24"/>
      <c r="R511" s="24"/>
      <c r="S511" s="24"/>
      <c r="T511" s="24"/>
      <c r="U511" s="24"/>
      <c r="V511" s="24"/>
      <c r="W511" s="24"/>
      <c r="X511" s="24"/>
      <c r="Y511" s="24"/>
      <c r="Z511" s="24"/>
      <c r="AA511" s="24"/>
      <c r="AB511" s="24"/>
      <c r="AC511" s="24"/>
    </row>
    <row r="512" spans="1:29" ht="12.9">
      <c r="A512" s="24"/>
      <c r="B512" s="24"/>
      <c r="C512" s="24"/>
      <c r="D512" s="24"/>
      <c r="E512" s="24"/>
      <c r="F512" s="117"/>
      <c r="G512" s="117"/>
      <c r="H512" s="24"/>
      <c r="I512" s="24"/>
      <c r="J512" s="24"/>
      <c r="K512" s="24"/>
      <c r="L512" s="24"/>
      <c r="M512" s="24"/>
      <c r="N512" s="24"/>
      <c r="O512" s="24"/>
      <c r="P512" s="24"/>
      <c r="Q512" s="24"/>
      <c r="R512" s="24"/>
      <c r="S512" s="24"/>
      <c r="T512" s="24"/>
      <c r="U512" s="24"/>
      <c r="V512" s="24"/>
      <c r="W512" s="24"/>
      <c r="X512" s="24"/>
      <c r="Y512" s="24"/>
      <c r="Z512" s="24"/>
      <c r="AA512" s="24"/>
      <c r="AB512" s="24"/>
      <c r="AC512" s="24"/>
    </row>
    <row r="513" spans="1:29" ht="12.9">
      <c r="A513" s="24"/>
      <c r="B513" s="24"/>
      <c r="C513" s="24"/>
      <c r="D513" s="24"/>
      <c r="E513" s="24"/>
      <c r="F513" s="117"/>
      <c r="G513" s="117"/>
      <c r="H513" s="24"/>
      <c r="I513" s="24"/>
      <c r="J513" s="24"/>
      <c r="K513" s="24"/>
      <c r="L513" s="24"/>
      <c r="M513" s="24"/>
      <c r="N513" s="24"/>
      <c r="O513" s="24"/>
      <c r="P513" s="24"/>
      <c r="Q513" s="24"/>
      <c r="R513" s="24"/>
      <c r="S513" s="24"/>
      <c r="T513" s="24"/>
      <c r="U513" s="24"/>
      <c r="V513" s="24"/>
      <c r="W513" s="24"/>
      <c r="X513" s="24"/>
      <c r="Y513" s="24"/>
      <c r="Z513" s="24"/>
      <c r="AA513" s="24"/>
      <c r="AB513" s="24"/>
      <c r="AC513" s="24"/>
    </row>
    <row r="514" spans="1:29" ht="12.9">
      <c r="A514" s="24"/>
      <c r="B514" s="24"/>
      <c r="C514" s="24"/>
      <c r="D514" s="24"/>
      <c r="E514" s="24"/>
      <c r="F514" s="117"/>
      <c r="G514" s="117"/>
      <c r="H514" s="24"/>
      <c r="I514" s="24"/>
      <c r="J514" s="24"/>
      <c r="K514" s="24"/>
      <c r="L514" s="24"/>
      <c r="M514" s="24"/>
      <c r="N514" s="24"/>
      <c r="O514" s="24"/>
      <c r="P514" s="24"/>
      <c r="Q514" s="24"/>
      <c r="R514" s="24"/>
      <c r="S514" s="24"/>
      <c r="T514" s="24"/>
      <c r="U514" s="24"/>
      <c r="V514" s="24"/>
      <c r="W514" s="24"/>
      <c r="X514" s="24"/>
      <c r="Y514" s="24"/>
      <c r="Z514" s="24"/>
      <c r="AA514" s="24"/>
      <c r="AB514" s="24"/>
      <c r="AC514" s="24"/>
    </row>
    <row r="515" spans="1:29" ht="12.9">
      <c r="A515" s="24"/>
      <c r="B515" s="24"/>
      <c r="C515" s="24"/>
      <c r="D515" s="24"/>
      <c r="E515" s="24"/>
      <c r="F515" s="117"/>
      <c r="G515" s="117"/>
      <c r="H515" s="24"/>
      <c r="I515" s="24"/>
      <c r="J515" s="24"/>
      <c r="K515" s="24"/>
      <c r="L515" s="24"/>
      <c r="M515" s="24"/>
      <c r="N515" s="24"/>
      <c r="O515" s="24"/>
      <c r="P515" s="24"/>
      <c r="Q515" s="24"/>
      <c r="R515" s="24"/>
      <c r="S515" s="24"/>
      <c r="T515" s="24"/>
      <c r="U515" s="24"/>
      <c r="V515" s="24"/>
      <c r="W515" s="24"/>
      <c r="X515" s="24"/>
      <c r="Y515" s="24"/>
      <c r="Z515" s="24"/>
      <c r="AA515" s="24"/>
      <c r="AB515" s="24"/>
      <c r="AC515" s="24"/>
    </row>
    <row r="516" spans="1:29" ht="12.9">
      <c r="A516" s="24"/>
      <c r="B516" s="24"/>
      <c r="C516" s="24"/>
      <c r="D516" s="24"/>
      <c r="E516" s="24"/>
      <c r="F516" s="117"/>
      <c r="G516" s="117"/>
      <c r="H516" s="24"/>
      <c r="I516" s="24"/>
      <c r="J516" s="24"/>
      <c r="K516" s="24"/>
      <c r="L516" s="24"/>
      <c r="M516" s="24"/>
      <c r="N516" s="24"/>
      <c r="O516" s="24"/>
      <c r="P516" s="24"/>
      <c r="Q516" s="24"/>
      <c r="R516" s="24"/>
      <c r="S516" s="24"/>
      <c r="T516" s="24"/>
      <c r="U516" s="24"/>
      <c r="V516" s="24"/>
      <c r="W516" s="24"/>
      <c r="X516" s="24"/>
      <c r="Y516" s="24"/>
      <c r="Z516" s="24"/>
      <c r="AA516" s="24"/>
      <c r="AB516" s="24"/>
      <c r="AC516" s="24"/>
    </row>
    <row r="517" spans="1:29" ht="12.9">
      <c r="A517" s="24"/>
      <c r="B517" s="24"/>
      <c r="C517" s="24"/>
      <c r="D517" s="24"/>
      <c r="E517" s="24"/>
      <c r="F517" s="117"/>
      <c r="G517" s="117"/>
      <c r="H517" s="24"/>
      <c r="I517" s="24"/>
      <c r="J517" s="24"/>
      <c r="K517" s="24"/>
      <c r="L517" s="24"/>
      <c r="M517" s="24"/>
      <c r="N517" s="24"/>
      <c r="O517" s="24"/>
      <c r="P517" s="24"/>
      <c r="Q517" s="24"/>
      <c r="R517" s="24"/>
      <c r="S517" s="24"/>
      <c r="T517" s="24"/>
      <c r="U517" s="24"/>
      <c r="V517" s="24"/>
      <c r="W517" s="24"/>
      <c r="X517" s="24"/>
      <c r="Y517" s="24"/>
      <c r="Z517" s="24"/>
      <c r="AA517" s="24"/>
      <c r="AB517" s="24"/>
      <c r="AC517" s="24"/>
    </row>
    <row r="518" spans="1:29" ht="12.9">
      <c r="A518" s="24"/>
      <c r="B518" s="24"/>
      <c r="C518" s="24"/>
      <c r="D518" s="24"/>
      <c r="E518" s="24"/>
      <c r="F518" s="117"/>
      <c r="G518" s="117"/>
      <c r="H518" s="24"/>
      <c r="I518" s="24"/>
      <c r="J518" s="24"/>
      <c r="K518" s="24"/>
      <c r="L518" s="24"/>
      <c r="M518" s="24"/>
      <c r="N518" s="24"/>
      <c r="O518" s="24"/>
      <c r="P518" s="24"/>
      <c r="Q518" s="24"/>
      <c r="R518" s="24"/>
      <c r="S518" s="24"/>
      <c r="T518" s="24"/>
      <c r="U518" s="24"/>
      <c r="V518" s="24"/>
      <c r="W518" s="24"/>
      <c r="X518" s="24"/>
      <c r="Y518" s="24"/>
      <c r="Z518" s="24"/>
      <c r="AA518" s="24"/>
      <c r="AB518" s="24"/>
      <c r="AC518" s="24"/>
    </row>
    <row r="519" spans="1:29" ht="12.9">
      <c r="A519" s="24"/>
      <c r="B519" s="24"/>
      <c r="C519" s="24"/>
      <c r="D519" s="24"/>
      <c r="E519" s="24"/>
      <c r="F519" s="117"/>
      <c r="G519" s="117"/>
      <c r="H519" s="24"/>
      <c r="I519" s="24"/>
      <c r="J519" s="24"/>
      <c r="K519" s="24"/>
      <c r="L519" s="24"/>
      <c r="M519" s="24"/>
      <c r="N519" s="24"/>
      <c r="O519" s="24"/>
      <c r="P519" s="24"/>
      <c r="Q519" s="24"/>
      <c r="R519" s="24"/>
      <c r="S519" s="24"/>
      <c r="T519" s="24"/>
      <c r="U519" s="24"/>
      <c r="V519" s="24"/>
      <c r="W519" s="24"/>
      <c r="X519" s="24"/>
      <c r="Y519" s="24"/>
      <c r="Z519" s="24"/>
      <c r="AA519" s="24"/>
      <c r="AB519" s="24"/>
      <c r="AC519" s="24"/>
    </row>
    <row r="520" spans="1:29" ht="12.9">
      <c r="A520" s="24"/>
      <c r="B520" s="24"/>
      <c r="C520" s="24"/>
      <c r="D520" s="24"/>
      <c r="E520" s="24"/>
      <c r="F520" s="117"/>
      <c r="G520" s="117"/>
      <c r="H520" s="24"/>
      <c r="I520" s="24"/>
      <c r="J520" s="24"/>
      <c r="K520" s="24"/>
      <c r="L520" s="24"/>
      <c r="M520" s="24"/>
      <c r="N520" s="24"/>
      <c r="O520" s="24"/>
      <c r="P520" s="24"/>
      <c r="Q520" s="24"/>
      <c r="R520" s="24"/>
      <c r="S520" s="24"/>
      <c r="T520" s="24"/>
      <c r="U520" s="24"/>
      <c r="V520" s="24"/>
      <c r="W520" s="24"/>
      <c r="X520" s="24"/>
      <c r="Y520" s="24"/>
      <c r="Z520" s="24"/>
      <c r="AA520" s="24"/>
      <c r="AB520" s="24"/>
      <c r="AC520" s="24"/>
    </row>
    <row r="521" spans="1:29" ht="12.9">
      <c r="A521" s="24"/>
      <c r="B521" s="24"/>
      <c r="C521" s="24"/>
      <c r="D521" s="24"/>
      <c r="E521" s="24"/>
      <c r="F521" s="117"/>
      <c r="G521" s="117"/>
      <c r="H521" s="24"/>
      <c r="I521" s="24"/>
      <c r="J521" s="24"/>
      <c r="K521" s="24"/>
      <c r="L521" s="24"/>
      <c r="M521" s="24"/>
      <c r="N521" s="24"/>
      <c r="O521" s="24"/>
      <c r="P521" s="24"/>
      <c r="Q521" s="24"/>
      <c r="R521" s="24"/>
      <c r="S521" s="24"/>
      <c r="T521" s="24"/>
      <c r="U521" s="24"/>
      <c r="V521" s="24"/>
      <c r="W521" s="24"/>
      <c r="X521" s="24"/>
      <c r="Y521" s="24"/>
      <c r="Z521" s="24"/>
      <c r="AA521" s="24"/>
      <c r="AB521" s="24"/>
      <c r="AC521" s="24"/>
    </row>
    <row r="522" spans="1:29" ht="12.9">
      <c r="A522" s="24"/>
      <c r="B522" s="24"/>
      <c r="C522" s="24"/>
      <c r="D522" s="24"/>
      <c r="E522" s="24"/>
      <c r="F522" s="117"/>
      <c r="G522" s="117"/>
      <c r="H522" s="24"/>
      <c r="I522" s="24"/>
      <c r="J522" s="24"/>
      <c r="K522" s="24"/>
      <c r="L522" s="24"/>
      <c r="M522" s="24"/>
      <c r="N522" s="24"/>
      <c r="O522" s="24"/>
      <c r="P522" s="24"/>
      <c r="Q522" s="24"/>
      <c r="R522" s="24"/>
      <c r="S522" s="24"/>
      <c r="T522" s="24"/>
      <c r="U522" s="24"/>
      <c r="V522" s="24"/>
      <c r="W522" s="24"/>
      <c r="X522" s="24"/>
      <c r="Y522" s="24"/>
      <c r="Z522" s="24"/>
      <c r="AA522" s="24"/>
      <c r="AB522" s="24"/>
      <c r="AC522" s="24"/>
    </row>
    <row r="523" spans="1:29" ht="12.9">
      <c r="A523" s="24"/>
      <c r="B523" s="24"/>
      <c r="C523" s="24"/>
      <c r="D523" s="24"/>
      <c r="E523" s="24"/>
      <c r="F523" s="117"/>
      <c r="G523" s="117"/>
      <c r="H523" s="24"/>
      <c r="I523" s="24"/>
      <c r="J523" s="24"/>
      <c r="K523" s="24"/>
      <c r="L523" s="24"/>
      <c r="M523" s="24"/>
      <c r="N523" s="24"/>
      <c r="O523" s="24"/>
      <c r="P523" s="24"/>
      <c r="Q523" s="24"/>
      <c r="R523" s="24"/>
      <c r="S523" s="24"/>
      <c r="T523" s="24"/>
      <c r="U523" s="24"/>
      <c r="V523" s="24"/>
      <c r="W523" s="24"/>
      <c r="X523" s="24"/>
      <c r="Y523" s="24"/>
      <c r="Z523" s="24"/>
      <c r="AA523" s="24"/>
      <c r="AB523" s="24"/>
      <c r="AC523" s="24"/>
    </row>
    <row r="524" spans="1:29" ht="12.9">
      <c r="A524" s="24"/>
      <c r="B524" s="24"/>
      <c r="C524" s="24"/>
      <c r="D524" s="24"/>
      <c r="E524" s="24"/>
      <c r="F524" s="117"/>
      <c r="G524" s="117"/>
      <c r="H524" s="24"/>
      <c r="I524" s="24"/>
      <c r="J524" s="24"/>
      <c r="K524" s="24"/>
      <c r="L524" s="24"/>
      <c r="M524" s="24"/>
      <c r="N524" s="24"/>
      <c r="O524" s="24"/>
      <c r="P524" s="24"/>
      <c r="Q524" s="24"/>
      <c r="R524" s="24"/>
      <c r="S524" s="24"/>
      <c r="T524" s="24"/>
      <c r="U524" s="24"/>
      <c r="V524" s="24"/>
      <c r="W524" s="24"/>
      <c r="X524" s="24"/>
      <c r="Y524" s="24"/>
      <c r="Z524" s="24"/>
      <c r="AA524" s="24"/>
      <c r="AB524" s="24"/>
      <c r="AC524" s="24"/>
    </row>
    <row r="525" spans="1:29" ht="12.9">
      <c r="A525" s="24"/>
      <c r="B525" s="24"/>
      <c r="C525" s="24"/>
      <c r="D525" s="24"/>
      <c r="E525" s="24"/>
      <c r="F525" s="117"/>
      <c r="G525" s="117"/>
      <c r="H525" s="24"/>
      <c r="I525" s="24"/>
      <c r="J525" s="24"/>
      <c r="K525" s="24"/>
      <c r="L525" s="24"/>
      <c r="M525" s="24"/>
      <c r="N525" s="24"/>
      <c r="O525" s="24"/>
      <c r="P525" s="24"/>
      <c r="Q525" s="24"/>
      <c r="R525" s="24"/>
      <c r="S525" s="24"/>
      <c r="T525" s="24"/>
      <c r="U525" s="24"/>
      <c r="V525" s="24"/>
      <c r="W525" s="24"/>
      <c r="X525" s="24"/>
      <c r="Y525" s="24"/>
      <c r="Z525" s="24"/>
      <c r="AA525" s="24"/>
      <c r="AB525" s="24"/>
      <c r="AC525" s="24"/>
    </row>
    <row r="526" spans="1:29" ht="12.9">
      <c r="A526" s="24"/>
      <c r="B526" s="24"/>
      <c r="C526" s="24"/>
      <c r="D526" s="24"/>
      <c r="E526" s="24"/>
      <c r="F526" s="117"/>
      <c r="G526" s="117"/>
      <c r="H526" s="24"/>
      <c r="I526" s="24"/>
      <c r="J526" s="24"/>
      <c r="K526" s="24"/>
      <c r="L526" s="24"/>
      <c r="M526" s="24"/>
      <c r="N526" s="24"/>
      <c r="O526" s="24"/>
      <c r="P526" s="24"/>
      <c r="Q526" s="24"/>
      <c r="R526" s="24"/>
      <c r="S526" s="24"/>
      <c r="T526" s="24"/>
      <c r="U526" s="24"/>
      <c r="V526" s="24"/>
      <c r="W526" s="24"/>
      <c r="X526" s="24"/>
      <c r="Y526" s="24"/>
      <c r="Z526" s="24"/>
      <c r="AA526" s="24"/>
      <c r="AB526" s="24"/>
      <c r="AC526" s="24"/>
    </row>
    <row r="527" spans="1:29" ht="12.9">
      <c r="A527" s="24"/>
      <c r="B527" s="24"/>
      <c r="C527" s="24"/>
      <c r="D527" s="24"/>
      <c r="E527" s="24"/>
      <c r="F527" s="117"/>
      <c r="G527" s="117"/>
      <c r="H527" s="24"/>
      <c r="I527" s="24"/>
      <c r="J527" s="24"/>
      <c r="K527" s="24"/>
      <c r="L527" s="24"/>
      <c r="M527" s="24"/>
      <c r="N527" s="24"/>
      <c r="O527" s="24"/>
      <c r="P527" s="24"/>
      <c r="Q527" s="24"/>
      <c r="R527" s="24"/>
      <c r="S527" s="24"/>
      <c r="T527" s="24"/>
      <c r="U527" s="24"/>
      <c r="V527" s="24"/>
      <c r="W527" s="24"/>
      <c r="X527" s="24"/>
      <c r="Y527" s="24"/>
      <c r="Z527" s="24"/>
      <c r="AA527" s="24"/>
      <c r="AB527" s="24"/>
      <c r="AC527" s="24"/>
    </row>
    <row r="528" spans="1:29" ht="12.9">
      <c r="A528" s="24"/>
      <c r="B528" s="24"/>
      <c r="C528" s="24"/>
      <c r="D528" s="24"/>
      <c r="E528" s="24"/>
      <c r="F528" s="117"/>
      <c r="G528" s="117"/>
      <c r="H528" s="24"/>
      <c r="I528" s="24"/>
      <c r="J528" s="24"/>
      <c r="K528" s="24"/>
      <c r="L528" s="24"/>
      <c r="M528" s="24"/>
      <c r="N528" s="24"/>
      <c r="O528" s="24"/>
      <c r="P528" s="24"/>
      <c r="Q528" s="24"/>
      <c r="R528" s="24"/>
      <c r="S528" s="24"/>
      <c r="T528" s="24"/>
      <c r="U528" s="24"/>
      <c r="V528" s="24"/>
      <c r="W528" s="24"/>
      <c r="X528" s="24"/>
      <c r="Y528" s="24"/>
      <c r="Z528" s="24"/>
      <c r="AA528" s="24"/>
      <c r="AB528" s="24"/>
      <c r="AC528" s="24"/>
    </row>
    <row r="529" spans="1:29" ht="12.9">
      <c r="A529" s="24"/>
      <c r="B529" s="24"/>
      <c r="C529" s="24"/>
      <c r="D529" s="24"/>
      <c r="E529" s="24"/>
      <c r="F529" s="117"/>
      <c r="G529" s="117"/>
      <c r="H529" s="24"/>
      <c r="I529" s="24"/>
      <c r="J529" s="24"/>
      <c r="K529" s="24"/>
      <c r="L529" s="24"/>
      <c r="M529" s="24"/>
      <c r="N529" s="24"/>
      <c r="O529" s="24"/>
      <c r="P529" s="24"/>
      <c r="Q529" s="24"/>
      <c r="R529" s="24"/>
      <c r="S529" s="24"/>
      <c r="T529" s="24"/>
      <c r="U529" s="24"/>
      <c r="V529" s="24"/>
      <c r="W529" s="24"/>
      <c r="X529" s="24"/>
      <c r="Y529" s="24"/>
      <c r="Z529" s="24"/>
      <c r="AA529" s="24"/>
      <c r="AB529" s="24"/>
      <c r="AC529" s="24"/>
    </row>
    <row r="530" spans="1:29" ht="12.9">
      <c r="A530" s="24"/>
      <c r="B530" s="24"/>
      <c r="C530" s="24"/>
      <c r="D530" s="24"/>
      <c r="E530" s="24"/>
      <c r="F530" s="117"/>
      <c r="G530" s="117"/>
      <c r="H530" s="24"/>
      <c r="I530" s="24"/>
      <c r="J530" s="24"/>
      <c r="K530" s="24"/>
      <c r="L530" s="24"/>
      <c r="M530" s="24"/>
      <c r="N530" s="24"/>
      <c r="O530" s="24"/>
      <c r="P530" s="24"/>
      <c r="Q530" s="24"/>
      <c r="R530" s="24"/>
      <c r="S530" s="24"/>
      <c r="T530" s="24"/>
      <c r="U530" s="24"/>
      <c r="V530" s="24"/>
      <c r="W530" s="24"/>
      <c r="X530" s="24"/>
      <c r="Y530" s="24"/>
      <c r="Z530" s="24"/>
      <c r="AA530" s="24"/>
      <c r="AB530" s="24"/>
      <c r="AC530" s="24"/>
    </row>
    <row r="531" spans="1:29" ht="12.9">
      <c r="A531" s="24"/>
      <c r="B531" s="24"/>
      <c r="C531" s="24"/>
      <c r="D531" s="24"/>
      <c r="E531" s="24"/>
      <c r="F531" s="117"/>
      <c r="G531" s="117"/>
      <c r="H531" s="24"/>
      <c r="I531" s="24"/>
      <c r="J531" s="24"/>
      <c r="K531" s="24"/>
      <c r="L531" s="24"/>
      <c r="M531" s="24"/>
      <c r="N531" s="24"/>
      <c r="O531" s="24"/>
      <c r="P531" s="24"/>
      <c r="Q531" s="24"/>
      <c r="R531" s="24"/>
      <c r="S531" s="24"/>
      <c r="T531" s="24"/>
      <c r="U531" s="24"/>
      <c r="V531" s="24"/>
      <c r="W531" s="24"/>
      <c r="X531" s="24"/>
      <c r="Y531" s="24"/>
      <c r="Z531" s="24"/>
      <c r="AA531" s="24"/>
      <c r="AB531" s="24"/>
      <c r="AC531" s="24"/>
    </row>
    <row r="532" spans="1:29" ht="12.9">
      <c r="A532" s="24"/>
      <c r="B532" s="24"/>
      <c r="C532" s="24"/>
      <c r="D532" s="24"/>
      <c r="E532" s="24"/>
      <c r="F532" s="117"/>
      <c r="G532" s="117"/>
      <c r="H532" s="24"/>
      <c r="I532" s="24"/>
      <c r="J532" s="24"/>
      <c r="K532" s="24"/>
      <c r="L532" s="24"/>
      <c r="M532" s="24"/>
      <c r="N532" s="24"/>
      <c r="O532" s="24"/>
      <c r="P532" s="24"/>
      <c r="Q532" s="24"/>
      <c r="R532" s="24"/>
      <c r="S532" s="24"/>
      <c r="T532" s="24"/>
      <c r="U532" s="24"/>
      <c r="V532" s="24"/>
      <c r="W532" s="24"/>
      <c r="X532" s="24"/>
      <c r="Y532" s="24"/>
      <c r="Z532" s="24"/>
      <c r="AA532" s="24"/>
      <c r="AB532" s="24"/>
      <c r="AC532" s="24"/>
    </row>
    <row r="533" spans="1:29" ht="12.9">
      <c r="A533" s="24"/>
      <c r="B533" s="24"/>
      <c r="C533" s="24"/>
      <c r="D533" s="24"/>
      <c r="E533" s="24"/>
      <c r="F533" s="117"/>
      <c r="G533" s="117"/>
      <c r="H533" s="24"/>
      <c r="I533" s="24"/>
      <c r="J533" s="24"/>
      <c r="K533" s="24"/>
      <c r="L533" s="24"/>
      <c r="M533" s="24"/>
      <c r="N533" s="24"/>
      <c r="O533" s="24"/>
      <c r="P533" s="24"/>
      <c r="Q533" s="24"/>
      <c r="R533" s="24"/>
      <c r="S533" s="24"/>
      <c r="T533" s="24"/>
      <c r="U533" s="24"/>
      <c r="V533" s="24"/>
      <c r="W533" s="24"/>
      <c r="X533" s="24"/>
      <c r="Y533" s="24"/>
      <c r="Z533" s="24"/>
      <c r="AA533" s="24"/>
      <c r="AB533" s="24"/>
      <c r="AC533" s="24"/>
    </row>
    <row r="534" spans="1:29" ht="12.9">
      <c r="A534" s="24"/>
      <c r="B534" s="24"/>
      <c r="C534" s="24"/>
      <c r="D534" s="24"/>
      <c r="E534" s="24"/>
      <c r="F534" s="117"/>
      <c r="G534" s="117"/>
      <c r="H534" s="24"/>
      <c r="I534" s="24"/>
      <c r="J534" s="24"/>
      <c r="K534" s="24"/>
      <c r="L534" s="24"/>
      <c r="M534" s="24"/>
      <c r="N534" s="24"/>
      <c r="O534" s="24"/>
      <c r="P534" s="24"/>
      <c r="Q534" s="24"/>
      <c r="R534" s="24"/>
      <c r="S534" s="24"/>
      <c r="T534" s="24"/>
      <c r="U534" s="24"/>
      <c r="V534" s="24"/>
      <c r="W534" s="24"/>
      <c r="X534" s="24"/>
      <c r="Y534" s="24"/>
      <c r="Z534" s="24"/>
      <c r="AA534" s="24"/>
      <c r="AB534" s="24"/>
      <c r="AC534" s="24"/>
    </row>
    <row r="535" spans="1:29" ht="12.9">
      <c r="A535" s="24"/>
      <c r="B535" s="24"/>
      <c r="C535" s="24"/>
      <c r="D535" s="24"/>
      <c r="E535" s="24"/>
      <c r="F535" s="117"/>
      <c r="G535" s="117"/>
      <c r="H535" s="24"/>
      <c r="I535" s="24"/>
      <c r="J535" s="24"/>
      <c r="K535" s="24"/>
      <c r="L535" s="24"/>
      <c r="M535" s="24"/>
      <c r="N535" s="24"/>
      <c r="O535" s="24"/>
      <c r="P535" s="24"/>
      <c r="Q535" s="24"/>
      <c r="R535" s="24"/>
      <c r="S535" s="24"/>
      <c r="T535" s="24"/>
      <c r="U535" s="24"/>
      <c r="V535" s="24"/>
      <c r="W535" s="24"/>
      <c r="X535" s="24"/>
      <c r="Y535" s="24"/>
      <c r="Z535" s="24"/>
      <c r="AA535" s="24"/>
      <c r="AB535" s="24"/>
      <c r="AC535" s="24"/>
    </row>
    <row r="536" spans="1:29" ht="12.9">
      <c r="A536" s="24"/>
      <c r="B536" s="24"/>
      <c r="C536" s="24"/>
      <c r="D536" s="24"/>
      <c r="E536" s="24"/>
      <c r="F536" s="117"/>
      <c r="G536" s="117"/>
      <c r="H536" s="24"/>
      <c r="I536" s="24"/>
      <c r="J536" s="24"/>
      <c r="K536" s="24"/>
      <c r="L536" s="24"/>
      <c r="M536" s="24"/>
      <c r="N536" s="24"/>
      <c r="O536" s="24"/>
      <c r="P536" s="24"/>
      <c r="Q536" s="24"/>
      <c r="R536" s="24"/>
      <c r="S536" s="24"/>
      <c r="T536" s="24"/>
      <c r="U536" s="24"/>
      <c r="V536" s="24"/>
      <c r="W536" s="24"/>
      <c r="X536" s="24"/>
      <c r="Y536" s="24"/>
      <c r="Z536" s="24"/>
      <c r="AA536" s="24"/>
      <c r="AB536" s="24"/>
      <c r="AC536" s="24"/>
    </row>
    <row r="537" spans="1:29" ht="12.9">
      <c r="A537" s="24"/>
      <c r="B537" s="24"/>
      <c r="C537" s="24"/>
      <c r="D537" s="24"/>
      <c r="E537" s="24"/>
      <c r="F537" s="117"/>
      <c r="G537" s="117"/>
      <c r="H537" s="24"/>
      <c r="I537" s="24"/>
      <c r="J537" s="24"/>
      <c r="K537" s="24"/>
      <c r="L537" s="24"/>
      <c r="M537" s="24"/>
      <c r="N537" s="24"/>
      <c r="O537" s="24"/>
      <c r="P537" s="24"/>
      <c r="Q537" s="24"/>
      <c r="R537" s="24"/>
      <c r="S537" s="24"/>
      <c r="T537" s="24"/>
      <c r="U537" s="24"/>
      <c r="V537" s="24"/>
      <c r="W537" s="24"/>
      <c r="X537" s="24"/>
      <c r="Y537" s="24"/>
      <c r="Z537" s="24"/>
      <c r="AA537" s="24"/>
      <c r="AB537" s="24"/>
      <c r="AC537" s="24"/>
    </row>
    <row r="538" spans="1:29" ht="12.9">
      <c r="A538" s="24"/>
      <c r="B538" s="24"/>
      <c r="C538" s="24"/>
      <c r="D538" s="24"/>
      <c r="E538" s="24"/>
      <c r="F538" s="117"/>
      <c r="G538" s="117"/>
      <c r="H538" s="24"/>
      <c r="I538" s="24"/>
      <c r="J538" s="24"/>
      <c r="K538" s="24"/>
      <c r="L538" s="24"/>
      <c r="M538" s="24"/>
      <c r="N538" s="24"/>
      <c r="O538" s="24"/>
      <c r="P538" s="24"/>
      <c r="Q538" s="24"/>
      <c r="R538" s="24"/>
      <c r="S538" s="24"/>
      <c r="T538" s="24"/>
      <c r="U538" s="24"/>
      <c r="V538" s="24"/>
      <c r="W538" s="24"/>
      <c r="X538" s="24"/>
      <c r="Y538" s="24"/>
      <c r="Z538" s="24"/>
      <c r="AA538" s="24"/>
      <c r="AB538" s="24"/>
      <c r="AC538" s="24"/>
    </row>
    <row r="539" spans="1:29" ht="12.9">
      <c r="A539" s="24"/>
      <c r="B539" s="24"/>
      <c r="C539" s="24"/>
      <c r="D539" s="24"/>
      <c r="E539" s="24"/>
      <c r="F539" s="117"/>
      <c r="G539" s="117"/>
      <c r="H539" s="24"/>
      <c r="I539" s="24"/>
      <c r="J539" s="24"/>
      <c r="K539" s="24"/>
      <c r="L539" s="24"/>
      <c r="M539" s="24"/>
      <c r="N539" s="24"/>
      <c r="O539" s="24"/>
      <c r="P539" s="24"/>
      <c r="Q539" s="24"/>
      <c r="R539" s="24"/>
      <c r="S539" s="24"/>
      <c r="T539" s="24"/>
      <c r="U539" s="24"/>
      <c r="V539" s="24"/>
      <c r="W539" s="24"/>
      <c r="X539" s="24"/>
      <c r="Y539" s="24"/>
      <c r="Z539" s="24"/>
      <c r="AA539" s="24"/>
      <c r="AB539" s="24"/>
      <c r="AC539" s="24"/>
    </row>
    <row r="540" spans="1:29" ht="12.9">
      <c r="A540" s="24"/>
      <c r="B540" s="24"/>
      <c r="C540" s="24"/>
      <c r="D540" s="24"/>
      <c r="E540" s="24"/>
      <c r="F540" s="117"/>
      <c r="G540" s="117"/>
      <c r="H540" s="24"/>
      <c r="I540" s="24"/>
      <c r="J540" s="24"/>
      <c r="K540" s="24"/>
      <c r="L540" s="24"/>
      <c r="M540" s="24"/>
      <c r="N540" s="24"/>
      <c r="O540" s="24"/>
      <c r="P540" s="24"/>
      <c r="Q540" s="24"/>
      <c r="R540" s="24"/>
      <c r="S540" s="24"/>
      <c r="T540" s="24"/>
      <c r="U540" s="24"/>
      <c r="V540" s="24"/>
      <c r="W540" s="24"/>
      <c r="X540" s="24"/>
      <c r="Y540" s="24"/>
      <c r="Z540" s="24"/>
      <c r="AA540" s="24"/>
      <c r="AB540" s="24"/>
      <c r="AC540" s="24"/>
    </row>
    <row r="541" spans="1:29" ht="12.9">
      <c r="A541" s="24"/>
      <c r="B541" s="24"/>
      <c r="C541" s="24"/>
      <c r="D541" s="24"/>
      <c r="E541" s="24"/>
      <c r="F541" s="117"/>
      <c r="G541" s="117"/>
      <c r="H541" s="24"/>
      <c r="I541" s="24"/>
      <c r="J541" s="24"/>
      <c r="K541" s="24"/>
      <c r="L541" s="24"/>
      <c r="M541" s="24"/>
      <c r="N541" s="24"/>
      <c r="O541" s="24"/>
      <c r="P541" s="24"/>
      <c r="Q541" s="24"/>
      <c r="R541" s="24"/>
      <c r="S541" s="24"/>
      <c r="T541" s="24"/>
      <c r="U541" s="24"/>
      <c r="V541" s="24"/>
      <c r="W541" s="24"/>
      <c r="X541" s="24"/>
      <c r="Y541" s="24"/>
      <c r="Z541" s="24"/>
      <c r="AA541" s="24"/>
      <c r="AB541" s="24"/>
      <c r="AC541" s="24"/>
    </row>
    <row r="542" spans="1:29" ht="12.9">
      <c r="A542" s="24"/>
      <c r="B542" s="24"/>
      <c r="C542" s="24"/>
      <c r="D542" s="24"/>
      <c r="E542" s="24"/>
      <c r="F542" s="117"/>
      <c r="G542" s="117"/>
      <c r="H542" s="24"/>
      <c r="I542" s="24"/>
      <c r="J542" s="24"/>
      <c r="K542" s="24"/>
      <c r="L542" s="24"/>
      <c r="M542" s="24"/>
      <c r="N542" s="24"/>
      <c r="O542" s="24"/>
      <c r="P542" s="24"/>
      <c r="Q542" s="24"/>
      <c r="R542" s="24"/>
      <c r="S542" s="24"/>
      <c r="T542" s="24"/>
      <c r="U542" s="24"/>
      <c r="V542" s="24"/>
      <c r="W542" s="24"/>
      <c r="X542" s="24"/>
      <c r="Y542" s="24"/>
      <c r="Z542" s="24"/>
      <c r="AA542" s="24"/>
      <c r="AB542" s="24"/>
      <c r="AC542" s="24"/>
    </row>
    <row r="543" spans="1:29" ht="12.9">
      <c r="A543" s="24"/>
      <c r="B543" s="24"/>
      <c r="C543" s="24"/>
      <c r="D543" s="24"/>
      <c r="E543" s="24"/>
      <c r="F543" s="117"/>
      <c r="G543" s="117"/>
      <c r="H543" s="24"/>
      <c r="I543" s="24"/>
      <c r="J543" s="24"/>
      <c r="K543" s="24"/>
      <c r="L543" s="24"/>
      <c r="M543" s="24"/>
      <c r="N543" s="24"/>
      <c r="O543" s="24"/>
      <c r="P543" s="24"/>
      <c r="Q543" s="24"/>
      <c r="R543" s="24"/>
      <c r="S543" s="24"/>
      <c r="T543" s="24"/>
      <c r="U543" s="24"/>
      <c r="V543" s="24"/>
      <c r="W543" s="24"/>
      <c r="X543" s="24"/>
      <c r="Y543" s="24"/>
      <c r="Z543" s="24"/>
      <c r="AA543" s="24"/>
      <c r="AB543" s="24"/>
      <c r="AC543" s="24"/>
    </row>
    <row r="544" spans="1:29" ht="12.9">
      <c r="A544" s="24"/>
      <c r="B544" s="24"/>
      <c r="C544" s="24"/>
      <c r="D544" s="24"/>
      <c r="E544" s="24"/>
      <c r="F544" s="117"/>
      <c r="G544" s="117"/>
      <c r="H544" s="24"/>
      <c r="I544" s="24"/>
      <c r="J544" s="24"/>
      <c r="K544" s="24"/>
      <c r="L544" s="24"/>
      <c r="M544" s="24"/>
      <c r="N544" s="24"/>
      <c r="O544" s="24"/>
      <c r="P544" s="24"/>
      <c r="Q544" s="24"/>
      <c r="R544" s="24"/>
      <c r="S544" s="24"/>
      <c r="T544" s="24"/>
      <c r="U544" s="24"/>
      <c r="V544" s="24"/>
      <c r="W544" s="24"/>
      <c r="X544" s="24"/>
      <c r="Y544" s="24"/>
      <c r="Z544" s="24"/>
      <c r="AA544" s="24"/>
      <c r="AB544" s="24"/>
      <c r="AC544" s="24"/>
    </row>
    <row r="545" spans="1:29" ht="12.9">
      <c r="A545" s="24"/>
      <c r="B545" s="24"/>
      <c r="C545" s="24"/>
      <c r="D545" s="24"/>
      <c r="E545" s="24"/>
      <c r="F545" s="117"/>
      <c r="G545" s="117"/>
      <c r="H545" s="24"/>
      <c r="I545" s="24"/>
      <c r="J545" s="24"/>
      <c r="K545" s="24"/>
      <c r="L545" s="24"/>
      <c r="M545" s="24"/>
      <c r="N545" s="24"/>
      <c r="O545" s="24"/>
      <c r="P545" s="24"/>
      <c r="Q545" s="24"/>
      <c r="R545" s="24"/>
      <c r="S545" s="24"/>
      <c r="T545" s="24"/>
      <c r="U545" s="24"/>
      <c r="V545" s="24"/>
      <c r="W545" s="24"/>
      <c r="X545" s="24"/>
      <c r="Y545" s="24"/>
      <c r="Z545" s="24"/>
      <c r="AA545" s="24"/>
      <c r="AB545" s="24"/>
      <c r="AC545" s="24"/>
    </row>
    <row r="546" spans="1:29" ht="12.9">
      <c r="A546" s="24"/>
      <c r="B546" s="24"/>
      <c r="C546" s="24"/>
      <c r="D546" s="24"/>
      <c r="E546" s="24"/>
      <c r="F546" s="117"/>
      <c r="G546" s="117"/>
      <c r="H546" s="24"/>
      <c r="I546" s="24"/>
      <c r="J546" s="24"/>
      <c r="K546" s="24"/>
      <c r="L546" s="24"/>
      <c r="M546" s="24"/>
      <c r="N546" s="24"/>
      <c r="O546" s="24"/>
      <c r="P546" s="24"/>
      <c r="Q546" s="24"/>
      <c r="R546" s="24"/>
      <c r="S546" s="24"/>
      <c r="T546" s="24"/>
      <c r="U546" s="24"/>
      <c r="V546" s="24"/>
      <c r="W546" s="24"/>
      <c r="X546" s="24"/>
      <c r="Y546" s="24"/>
      <c r="Z546" s="24"/>
      <c r="AA546" s="24"/>
      <c r="AB546" s="24"/>
      <c r="AC546" s="24"/>
    </row>
    <row r="547" spans="1:29" ht="12.9">
      <c r="A547" s="24"/>
      <c r="B547" s="24"/>
      <c r="C547" s="24"/>
      <c r="D547" s="24"/>
      <c r="E547" s="24"/>
      <c r="F547" s="117"/>
      <c r="G547" s="117"/>
      <c r="H547" s="24"/>
      <c r="I547" s="24"/>
      <c r="J547" s="24"/>
      <c r="K547" s="24"/>
      <c r="L547" s="24"/>
      <c r="M547" s="24"/>
      <c r="N547" s="24"/>
      <c r="O547" s="24"/>
      <c r="P547" s="24"/>
      <c r="Q547" s="24"/>
      <c r="R547" s="24"/>
      <c r="S547" s="24"/>
      <c r="T547" s="24"/>
      <c r="U547" s="24"/>
      <c r="V547" s="24"/>
      <c r="W547" s="24"/>
      <c r="X547" s="24"/>
      <c r="Y547" s="24"/>
      <c r="Z547" s="24"/>
      <c r="AA547" s="24"/>
      <c r="AB547" s="24"/>
      <c r="AC547" s="24"/>
    </row>
    <row r="548" spans="1:29" ht="12.9">
      <c r="A548" s="24"/>
      <c r="B548" s="24"/>
      <c r="C548" s="24"/>
      <c r="D548" s="24"/>
      <c r="E548" s="24"/>
      <c r="F548" s="117"/>
      <c r="G548" s="117"/>
      <c r="H548" s="24"/>
      <c r="I548" s="24"/>
      <c r="J548" s="24"/>
      <c r="K548" s="24"/>
      <c r="L548" s="24"/>
      <c r="M548" s="24"/>
      <c r="N548" s="24"/>
      <c r="O548" s="24"/>
      <c r="P548" s="24"/>
      <c r="Q548" s="24"/>
      <c r="R548" s="24"/>
      <c r="S548" s="24"/>
      <c r="T548" s="24"/>
      <c r="U548" s="24"/>
      <c r="V548" s="24"/>
      <c r="W548" s="24"/>
      <c r="X548" s="24"/>
      <c r="Y548" s="24"/>
      <c r="Z548" s="24"/>
      <c r="AA548" s="24"/>
      <c r="AB548" s="24"/>
      <c r="AC548" s="24"/>
    </row>
    <row r="549" spans="1:29" ht="12.9">
      <c r="A549" s="24"/>
      <c r="B549" s="24"/>
      <c r="C549" s="24"/>
      <c r="D549" s="24"/>
      <c r="E549" s="24"/>
      <c r="F549" s="117"/>
      <c r="G549" s="117"/>
      <c r="H549" s="24"/>
      <c r="I549" s="24"/>
      <c r="J549" s="24"/>
      <c r="K549" s="24"/>
      <c r="L549" s="24"/>
      <c r="M549" s="24"/>
      <c r="N549" s="24"/>
      <c r="O549" s="24"/>
      <c r="P549" s="24"/>
      <c r="Q549" s="24"/>
      <c r="R549" s="24"/>
      <c r="S549" s="24"/>
      <c r="T549" s="24"/>
      <c r="U549" s="24"/>
      <c r="V549" s="24"/>
      <c r="W549" s="24"/>
      <c r="X549" s="24"/>
      <c r="Y549" s="24"/>
      <c r="Z549" s="24"/>
      <c r="AA549" s="24"/>
      <c r="AB549" s="24"/>
      <c r="AC549" s="24"/>
    </row>
    <row r="550" spans="1:29" ht="12.9">
      <c r="A550" s="24"/>
      <c r="B550" s="24"/>
      <c r="C550" s="24"/>
      <c r="D550" s="24"/>
      <c r="E550" s="24"/>
      <c r="F550" s="117"/>
      <c r="G550" s="117"/>
      <c r="H550" s="24"/>
      <c r="I550" s="24"/>
      <c r="J550" s="24"/>
      <c r="K550" s="24"/>
      <c r="L550" s="24"/>
      <c r="M550" s="24"/>
      <c r="N550" s="24"/>
      <c r="O550" s="24"/>
      <c r="P550" s="24"/>
      <c r="Q550" s="24"/>
      <c r="R550" s="24"/>
      <c r="S550" s="24"/>
      <c r="T550" s="24"/>
      <c r="U550" s="24"/>
      <c r="V550" s="24"/>
      <c r="W550" s="24"/>
      <c r="X550" s="24"/>
      <c r="Y550" s="24"/>
      <c r="Z550" s="24"/>
      <c r="AA550" s="24"/>
      <c r="AB550" s="24"/>
      <c r="AC550" s="24"/>
    </row>
    <row r="551" spans="1:29" ht="12.9">
      <c r="A551" s="24"/>
      <c r="B551" s="24"/>
      <c r="C551" s="24"/>
      <c r="D551" s="24"/>
      <c r="E551" s="24"/>
      <c r="F551" s="117"/>
      <c r="G551" s="117"/>
      <c r="H551" s="24"/>
      <c r="I551" s="24"/>
      <c r="J551" s="24"/>
      <c r="K551" s="24"/>
      <c r="L551" s="24"/>
      <c r="M551" s="24"/>
      <c r="N551" s="24"/>
      <c r="O551" s="24"/>
      <c r="P551" s="24"/>
      <c r="Q551" s="24"/>
      <c r="R551" s="24"/>
      <c r="S551" s="24"/>
      <c r="T551" s="24"/>
      <c r="U551" s="24"/>
      <c r="V551" s="24"/>
      <c r="W551" s="24"/>
      <c r="X551" s="24"/>
      <c r="Y551" s="24"/>
      <c r="Z551" s="24"/>
      <c r="AA551" s="24"/>
      <c r="AB551" s="24"/>
      <c r="AC551" s="24"/>
    </row>
    <row r="552" spans="1:29" ht="12.9">
      <c r="A552" s="24"/>
      <c r="B552" s="24"/>
      <c r="C552" s="24"/>
      <c r="D552" s="24"/>
      <c r="E552" s="24"/>
      <c r="F552" s="117"/>
      <c r="G552" s="117"/>
      <c r="H552" s="24"/>
      <c r="I552" s="24"/>
      <c r="J552" s="24"/>
      <c r="K552" s="24"/>
      <c r="L552" s="24"/>
      <c r="M552" s="24"/>
      <c r="N552" s="24"/>
      <c r="O552" s="24"/>
      <c r="P552" s="24"/>
      <c r="Q552" s="24"/>
      <c r="R552" s="24"/>
      <c r="S552" s="24"/>
      <c r="T552" s="24"/>
      <c r="U552" s="24"/>
      <c r="V552" s="24"/>
      <c r="W552" s="24"/>
      <c r="X552" s="24"/>
      <c r="Y552" s="24"/>
      <c r="Z552" s="24"/>
      <c r="AA552" s="24"/>
      <c r="AB552" s="24"/>
      <c r="AC552" s="24"/>
    </row>
    <row r="553" spans="1:29" ht="12.9">
      <c r="A553" s="24"/>
      <c r="B553" s="24"/>
      <c r="C553" s="24"/>
      <c r="D553" s="24"/>
      <c r="E553" s="24"/>
      <c r="F553" s="117"/>
      <c r="G553" s="117"/>
      <c r="H553" s="24"/>
      <c r="I553" s="24"/>
      <c r="J553" s="24"/>
      <c r="K553" s="24"/>
      <c r="L553" s="24"/>
      <c r="M553" s="24"/>
      <c r="N553" s="24"/>
      <c r="O553" s="24"/>
      <c r="P553" s="24"/>
      <c r="Q553" s="24"/>
      <c r="R553" s="24"/>
      <c r="S553" s="24"/>
      <c r="T553" s="24"/>
      <c r="U553" s="24"/>
      <c r="V553" s="24"/>
      <c r="W553" s="24"/>
      <c r="X553" s="24"/>
      <c r="Y553" s="24"/>
      <c r="Z553" s="24"/>
      <c r="AA553" s="24"/>
      <c r="AB553" s="24"/>
      <c r="AC553" s="24"/>
    </row>
    <row r="554" spans="1:29" ht="12.9">
      <c r="A554" s="24"/>
      <c r="B554" s="24"/>
      <c r="C554" s="24"/>
      <c r="D554" s="24"/>
      <c r="E554" s="24"/>
      <c r="F554" s="117"/>
      <c r="G554" s="117"/>
      <c r="H554" s="24"/>
      <c r="I554" s="24"/>
      <c r="J554" s="24"/>
      <c r="K554" s="24"/>
      <c r="L554" s="24"/>
      <c r="M554" s="24"/>
      <c r="N554" s="24"/>
      <c r="O554" s="24"/>
      <c r="P554" s="24"/>
      <c r="Q554" s="24"/>
      <c r="R554" s="24"/>
      <c r="S554" s="24"/>
      <c r="T554" s="24"/>
      <c r="U554" s="24"/>
      <c r="V554" s="24"/>
      <c r="W554" s="24"/>
      <c r="X554" s="24"/>
      <c r="Y554" s="24"/>
      <c r="Z554" s="24"/>
      <c r="AA554" s="24"/>
      <c r="AB554" s="24"/>
      <c r="AC554" s="24"/>
    </row>
    <row r="555" spans="1:29" ht="12.9">
      <c r="A555" s="24"/>
      <c r="B555" s="24"/>
      <c r="C555" s="24"/>
      <c r="D555" s="24"/>
      <c r="E555" s="24"/>
      <c r="F555" s="117"/>
      <c r="G555" s="117"/>
      <c r="H555" s="24"/>
      <c r="I555" s="24"/>
      <c r="J555" s="24"/>
      <c r="K555" s="24"/>
      <c r="L555" s="24"/>
      <c r="M555" s="24"/>
      <c r="N555" s="24"/>
      <c r="O555" s="24"/>
      <c r="P555" s="24"/>
      <c r="Q555" s="24"/>
      <c r="R555" s="24"/>
      <c r="S555" s="24"/>
      <c r="T555" s="24"/>
      <c r="U555" s="24"/>
      <c r="V555" s="24"/>
      <c r="W555" s="24"/>
      <c r="X555" s="24"/>
      <c r="Y555" s="24"/>
      <c r="Z555" s="24"/>
      <c r="AA555" s="24"/>
      <c r="AB555" s="24"/>
      <c r="AC555" s="24"/>
    </row>
    <row r="556" spans="1:29" ht="12.9">
      <c r="A556" s="24"/>
      <c r="B556" s="24"/>
      <c r="C556" s="24"/>
      <c r="D556" s="24"/>
      <c r="E556" s="24"/>
      <c r="F556" s="117"/>
      <c r="G556" s="117"/>
      <c r="H556" s="24"/>
      <c r="I556" s="24"/>
      <c r="J556" s="24"/>
      <c r="K556" s="24"/>
      <c r="L556" s="24"/>
      <c r="M556" s="24"/>
      <c r="N556" s="24"/>
      <c r="O556" s="24"/>
      <c r="P556" s="24"/>
      <c r="Q556" s="24"/>
      <c r="R556" s="24"/>
      <c r="S556" s="24"/>
      <c r="T556" s="24"/>
      <c r="U556" s="24"/>
      <c r="V556" s="24"/>
      <c r="W556" s="24"/>
      <c r="X556" s="24"/>
      <c r="Y556" s="24"/>
      <c r="Z556" s="24"/>
      <c r="AA556" s="24"/>
      <c r="AB556" s="24"/>
      <c r="AC556" s="24"/>
    </row>
    <row r="557" spans="1:29" ht="12.9">
      <c r="A557" s="24"/>
      <c r="B557" s="24"/>
      <c r="C557" s="24"/>
      <c r="D557" s="24"/>
      <c r="E557" s="24"/>
      <c r="F557" s="117"/>
      <c r="G557" s="117"/>
      <c r="H557" s="24"/>
      <c r="I557" s="24"/>
      <c r="J557" s="24"/>
      <c r="K557" s="24"/>
      <c r="L557" s="24"/>
      <c r="M557" s="24"/>
      <c r="N557" s="24"/>
      <c r="O557" s="24"/>
      <c r="P557" s="24"/>
      <c r="Q557" s="24"/>
      <c r="R557" s="24"/>
      <c r="S557" s="24"/>
      <c r="T557" s="24"/>
      <c r="U557" s="24"/>
      <c r="V557" s="24"/>
      <c r="W557" s="24"/>
      <c r="X557" s="24"/>
      <c r="Y557" s="24"/>
      <c r="Z557" s="24"/>
      <c r="AA557" s="24"/>
      <c r="AB557" s="24"/>
      <c r="AC557" s="24"/>
    </row>
    <row r="558" spans="1:29" ht="12.9">
      <c r="A558" s="24"/>
      <c r="B558" s="24"/>
      <c r="C558" s="24"/>
      <c r="D558" s="24"/>
      <c r="E558" s="24"/>
      <c r="F558" s="117"/>
      <c r="G558" s="117"/>
      <c r="H558" s="24"/>
      <c r="I558" s="24"/>
      <c r="J558" s="24"/>
      <c r="K558" s="24"/>
      <c r="L558" s="24"/>
      <c r="M558" s="24"/>
      <c r="N558" s="24"/>
      <c r="O558" s="24"/>
      <c r="P558" s="24"/>
      <c r="Q558" s="24"/>
      <c r="R558" s="24"/>
      <c r="S558" s="24"/>
      <c r="T558" s="24"/>
      <c r="U558" s="24"/>
      <c r="V558" s="24"/>
      <c r="W558" s="24"/>
      <c r="X558" s="24"/>
      <c r="Y558" s="24"/>
      <c r="Z558" s="24"/>
      <c r="AA558" s="24"/>
      <c r="AB558" s="24"/>
      <c r="AC558" s="24"/>
    </row>
    <row r="559" spans="1:29" ht="12.9">
      <c r="A559" s="24"/>
      <c r="B559" s="24"/>
      <c r="C559" s="24"/>
      <c r="D559" s="24"/>
      <c r="E559" s="24"/>
      <c r="F559" s="117"/>
      <c r="G559" s="117"/>
      <c r="H559" s="24"/>
      <c r="I559" s="24"/>
      <c r="J559" s="24"/>
      <c r="K559" s="24"/>
      <c r="L559" s="24"/>
      <c r="M559" s="24"/>
      <c r="N559" s="24"/>
      <c r="O559" s="24"/>
      <c r="P559" s="24"/>
      <c r="Q559" s="24"/>
      <c r="R559" s="24"/>
      <c r="S559" s="24"/>
      <c r="T559" s="24"/>
      <c r="U559" s="24"/>
      <c r="V559" s="24"/>
      <c r="W559" s="24"/>
      <c r="X559" s="24"/>
      <c r="Y559" s="24"/>
      <c r="Z559" s="24"/>
      <c r="AA559" s="24"/>
      <c r="AB559" s="24"/>
      <c r="AC559" s="24"/>
    </row>
    <row r="560" spans="1:29" ht="12.9">
      <c r="A560" s="24"/>
      <c r="B560" s="24"/>
      <c r="C560" s="24"/>
      <c r="D560" s="24"/>
      <c r="E560" s="24"/>
      <c r="F560" s="117"/>
      <c r="G560" s="117"/>
      <c r="H560" s="24"/>
      <c r="I560" s="24"/>
      <c r="J560" s="24"/>
      <c r="K560" s="24"/>
      <c r="L560" s="24"/>
      <c r="M560" s="24"/>
      <c r="N560" s="24"/>
      <c r="O560" s="24"/>
      <c r="P560" s="24"/>
      <c r="Q560" s="24"/>
      <c r="R560" s="24"/>
      <c r="S560" s="24"/>
      <c r="T560" s="24"/>
      <c r="U560" s="24"/>
      <c r="V560" s="24"/>
      <c r="W560" s="24"/>
      <c r="X560" s="24"/>
      <c r="Y560" s="24"/>
      <c r="Z560" s="24"/>
      <c r="AA560" s="24"/>
      <c r="AB560" s="24"/>
      <c r="AC560" s="24"/>
    </row>
    <row r="561" spans="1:29" ht="12.9">
      <c r="A561" s="24"/>
      <c r="B561" s="24"/>
      <c r="C561" s="24"/>
      <c r="D561" s="24"/>
      <c r="E561" s="24"/>
      <c r="F561" s="117"/>
      <c r="G561" s="117"/>
      <c r="H561" s="24"/>
      <c r="I561" s="24"/>
      <c r="J561" s="24"/>
      <c r="K561" s="24"/>
      <c r="L561" s="24"/>
      <c r="M561" s="24"/>
      <c r="N561" s="24"/>
      <c r="O561" s="24"/>
      <c r="P561" s="24"/>
      <c r="Q561" s="24"/>
      <c r="R561" s="24"/>
      <c r="S561" s="24"/>
      <c r="T561" s="24"/>
      <c r="U561" s="24"/>
      <c r="V561" s="24"/>
      <c r="W561" s="24"/>
      <c r="X561" s="24"/>
      <c r="Y561" s="24"/>
      <c r="Z561" s="24"/>
      <c r="AA561" s="24"/>
      <c r="AB561" s="24"/>
      <c r="AC561" s="24"/>
    </row>
    <row r="562" spans="1:29" ht="12.9">
      <c r="A562" s="24"/>
      <c r="B562" s="24"/>
      <c r="C562" s="24"/>
      <c r="D562" s="24"/>
      <c r="E562" s="24"/>
      <c r="F562" s="117"/>
      <c r="G562" s="117"/>
      <c r="H562" s="24"/>
      <c r="I562" s="24"/>
      <c r="J562" s="24"/>
      <c r="K562" s="24"/>
      <c r="L562" s="24"/>
      <c r="M562" s="24"/>
      <c r="N562" s="24"/>
      <c r="O562" s="24"/>
      <c r="P562" s="24"/>
      <c r="Q562" s="24"/>
      <c r="R562" s="24"/>
      <c r="S562" s="24"/>
      <c r="T562" s="24"/>
      <c r="U562" s="24"/>
      <c r="V562" s="24"/>
      <c r="W562" s="24"/>
      <c r="X562" s="24"/>
      <c r="Y562" s="24"/>
      <c r="Z562" s="24"/>
      <c r="AA562" s="24"/>
      <c r="AB562" s="24"/>
      <c r="AC562" s="24"/>
    </row>
    <row r="563" spans="1:29" ht="12.9">
      <c r="A563" s="24"/>
      <c r="B563" s="24"/>
      <c r="C563" s="24"/>
      <c r="D563" s="24"/>
      <c r="E563" s="24"/>
      <c r="F563" s="117"/>
      <c r="G563" s="117"/>
      <c r="H563" s="24"/>
      <c r="I563" s="24"/>
      <c r="J563" s="24"/>
      <c r="K563" s="24"/>
      <c r="L563" s="24"/>
      <c r="M563" s="24"/>
      <c r="N563" s="24"/>
      <c r="O563" s="24"/>
      <c r="P563" s="24"/>
      <c r="Q563" s="24"/>
      <c r="R563" s="24"/>
      <c r="S563" s="24"/>
      <c r="T563" s="24"/>
      <c r="U563" s="24"/>
      <c r="V563" s="24"/>
      <c r="W563" s="24"/>
      <c r="X563" s="24"/>
      <c r="Y563" s="24"/>
      <c r="Z563" s="24"/>
      <c r="AA563" s="24"/>
      <c r="AB563" s="24"/>
      <c r="AC563" s="24"/>
    </row>
    <row r="564" spans="1:29" ht="12.9">
      <c r="A564" s="24"/>
      <c r="B564" s="24"/>
      <c r="C564" s="24"/>
      <c r="D564" s="24"/>
      <c r="E564" s="24"/>
      <c r="F564" s="117"/>
      <c r="G564" s="117"/>
      <c r="H564" s="24"/>
      <c r="I564" s="24"/>
      <c r="J564" s="24"/>
      <c r="K564" s="24"/>
      <c r="L564" s="24"/>
      <c r="M564" s="24"/>
      <c r="N564" s="24"/>
      <c r="O564" s="24"/>
      <c r="P564" s="24"/>
      <c r="Q564" s="24"/>
      <c r="R564" s="24"/>
      <c r="S564" s="24"/>
      <c r="T564" s="24"/>
      <c r="U564" s="24"/>
      <c r="V564" s="24"/>
      <c r="W564" s="24"/>
      <c r="X564" s="24"/>
      <c r="Y564" s="24"/>
      <c r="Z564" s="24"/>
      <c r="AA564" s="24"/>
      <c r="AB564" s="24"/>
      <c r="AC564" s="24"/>
    </row>
    <row r="565" spans="1:29" ht="12.9">
      <c r="A565" s="24"/>
      <c r="B565" s="24"/>
      <c r="C565" s="24"/>
      <c r="D565" s="24"/>
      <c r="E565" s="24"/>
      <c r="F565" s="117"/>
      <c r="G565" s="117"/>
      <c r="H565" s="24"/>
      <c r="I565" s="24"/>
      <c r="J565" s="24"/>
      <c r="K565" s="24"/>
      <c r="L565" s="24"/>
      <c r="M565" s="24"/>
      <c r="N565" s="24"/>
      <c r="O565" s="24"/>
      <c r="P565" s="24"/>
      <c r="Q565" s="24"/>
      <c r="R565" s="24"/>
      <c r="S565" s="24"/>
      <c r="T565" s="24"/>
      <c r="U565" s="24"/>
      <c r="V565" s="24"/>
      <c r="W565" s="24"/>
      <c r="X565" s="24"/>
      <c r="Y565" s="24"/>
      <c r="Z565" s="24"/>
      <c r="AA565" s="24"/>
      <c r="AB565" s="24"/>
      <c r="AC565" s="24"/>
    </row>
    <row r="566" spans="1:29" ht="12.9">
      <c r="A566" s="24"/>
      <c r="B566" s="24"/>
      <c r="C566" s="24"/>
      <c r="D566" s="24"/>
      <c r="E566" s="24"/>
      <c r="F566" s="117"/>
      <c r="G566" s="117"/>
      <c r="H566" s="24"/>
      <c r="I566" s="24"/>
      <c r="J566" s="24"/>
      <c r="K566" s="24"/>
      <c r="L566" s="24"/>
      <c r="M566" s="24"/>
      <c r="N566" s="24"/>
      <c r="O566" s="24"/>
      <c r="P566" s="24"/>
      <c r="Q566" s="24"/>
      <c r="R566" s="24"/>
      <c r="S566" s="24"/>
      <c r="T566" s="24"/>
      <c r="U566" s="24"/>
      <c r="V566" s="24"/>
      <c r="W566" s="24"/>
      <c r="X566" s="24"/>
      <c r="Y566" s="24"/>
      <c r="Z566" s="24"/>
      <c r="AA566" s="24"/>
      <c r="AB566" s="24"/>
      <c r="AC566" s="24"/>
    </row>
    <row r="567" spans="1:29" ht="12.9">
      <c r="A567" s="24"/>
      <c r="B567" s="24"/>
      <c r="C567" s="24"/>
      <c r="D567" s="24"/>
      <c r="E567" s="24"/>
      <c r="F567" s="117"/>
      <c r="G567" s="117"/>
      <c r="H567" s="24"/>
      <c r="I567" s="24"/>
      <c r="J567" s="24"/>
      <c r="K567" s="24"/>
      <c r="L567" s="24"/>
      <c r="M567" s="24"/>
      <c r="N567" s="24"/>
      <c r="O567" s="24"/>
      <c r="P567" s="24"/>
      <c r="Q567" s="24"/>
      <c r="R567" s="24"/>
      <c r="S567" s="24"/>
      <c r="T567" s="24"/>
      <c r="U567" s="24"/>
      <c r="V567" s="24"/>
      <c r="W567" s="24"/>
      <c r="X567" s="24"/>
      <c r="Y567" s="24"/>
      <c r="Z567" s="24"/>
      <c r="AA567" s="24"/>
      <c r="AB567" s="24"/>
      <c r="AC567" s="24"/>
    </row>
    <row r="568" spans="1:29" ht="12.9">
      <c r="A568" s="24"/>
      <c r="B568" s="24"/>
      <c r="C568" s="24"/>
      <c r="D568" s="24"/>
      <c r="E568" s="24"/>
      <c r="F568" s="117"/>
      <c r="G568" s="117"/>
      <c r="H568" s="24"/>
      <c r="I568" s="24"/>
      <c r="J568" s="24"/>
      <c r="K568" s="24"/>
      <c r="L568" s="24"/>
      <c r="M568" s="24"/>
      <c r="N568" s="24"/>
      <c r="O568" s="24"/>
      <c r="P568" s="24"/>
      <c r="Q568" s="24"/>
      <c r="R568" s="24"/>
      <c r="S568" s="24"/>
      <c r="T568" s="24"/>
      <c r="U568" s="24"/>
      <c r="V568" s="24"/>
      <c r="W568" s="24"/>
      <c r="X568" s="24"/>
      <c r="Y568" s="24"/>
      <c r="Z568" s="24"/>
      <c r="AA568" s="24"/>
      <c r="AB568" s="24"/>
      <c r="AC568" s="24"/>
    </row>
    <row r="569" spans="1:29" ht="12.9">
      <c r="A569" s="24"/>
      <c r="B569" s="24"/>
      <c r="C569" s="24"/>
      <c r="D569" s="24"/>
      <c r="E569" s="24"/>
      <c r="F569" s="117"/>
      <c r="G569" s="117"/>
      <c r="H569" s="24"/>
      <c r="I569" s="24"/>
      <c r="J569" s="24"/>
      <c r="K569" s="24"/>
      <c r="L569" s="24"/>
      <c r="M569" s="24"/>
      <c r="N569" s="24"/>
      <c r="O569" s="24"/>
      <c r="P569" s="24"/>
      <c r="Q569" s="24"/>
      <c r="R569" s="24"/>
      <c r="S569" s="24"/>
      <c r="T569" s="24"/>
      <c r="U569" s="24"/>
      <c r="V569" s="24"/>
      <c r="W569" s="24"/>
      <c r="X569" s="24"/>
      <c r="Y569" s="24"/>
      <c r="Z569" s="24"/>
      <c r="AA569" s="24"/>
      <c r="AB569" s="24"/>
      <c r="AC569" s="24"/>
    </row>
    <row r="570" spans="1:29" ht="12.9">
      <c r="A570" s="24"/>
      <c r="B570" s="24"/>
      <c r="C570" s="24"/>
      <c r="D570" s="24"/>
      <c r="E570" s="24"/>
      <c r="F570" s="117"/>
      <c r="G570" s="117"/>
      <c r="H570" s="24"/>
      <c r="I570" s="24"/>
      <c r="J570" s="24"/>
      <c r="K570" s="24"/>
      <c r="L570" s="24"/>
      <c r="M570" s="24"/>
      <c r="N570" s="24"/>
      <c r="O570" s="24"/>
      <c r="P570" s="24"/>
      <c r="Q570" s="24"/>
      <c r="R570" s="24"/>
      <c r="S570" s="24"/>
      <c r="T570" s="24"/>
      <c r="U570" s="24"/>
      <c r="V570" s="24"/>
      <c r="W570" s="24"/>
      <c r="X570" s="24"/>
      <c r="Y570" s="24"/>
      <c r="Z570" s="24"/>
      <c r="AA570" s="24"/>
      <c r="AB570" s="24"/>
      <c r="AC570" s="24"/>
    </row>
    <row r="571" spans="1:29" ht="12.9">
      <c r="A571" s="24"/>
      <c r="B571" s="24"/>
      <c r="C571" s="24"/>
      <c r="D571" s="24"/>
      <c r="E571" s="24"/>
      <c r="F571" s="117"/>
      <c r="G571" s="117"/>
      <c r="H571" s="24"/>
      <c r="I571" s="24"/>
      <c r="J571" s="24"/>
      <c r="K571" s="24"/>
      <c r="L571" s="24"/>
      <c r="M571" s="24"/>
      <c r="N571" s="24"/>
      <c r="O571" s="24"/>
      <c r="P571" s="24"/>
      <c r="Q571" s="24"/>
      <c r="R571" s="24"/>
      <c r="S571" s="24"/>
      <c r="T571" s="24"/>
      <c r="U571" s="24"/>
      <c r="V571" s="24"/>
      <c r="W571" s="24"/>
      <c r="X571" s="24"/>
      <c r="Y571" s="24"/>
      <c r="Z571" s="24"/>
      <c r="AA571" s="24"/>
      <c r="AB571" s="24"/>
      <c r="AC571" s="24"/>
    </row>
    <row r="572" spans="1:29" ht="12.9">
      <c r="A572" s="24"/>
      <c r="B572" s="24"/>
      <c r="C572" s="24"/>
      <c r="D572" s="24"/>
      <c r="E572" s="24"/>
      <c r="F572" s="117"/>
      <c r="G572" s="117"/>
      <c r="H572" s="24"/>
      <c r="I572" s="24"/>
      <c r="J572" s="24"/>
      <c r="K572" s="24"/>
      <c r="L572" s="24"/>
      <c r="M572" s="24"/>
      <c r="N572" s="24"/>
      <c r="O572" s="24"/>
      <c r="P572" s="24"/>
      <c r="Q572" s="24"/>
      <c r="R572" s="24"/>
      <c r="S572" s="24"/>
      <c r="T572" s="24"/>
      <c r="U572" s="24"/>
      <c r="V572" s="24"/>
      <c r="W572" s="24"/>
      <c r="X572" s="24"/>
      <c r="Y572" s="24"/>
      <c r="Z572" s="24"/>
      <c r="AA572" s="24"/>
      <c r="AB572" s="24"/>
      <c r="AC572" s="24"/>
    </row>
    <row r="573" spans="1:29" ht="12.9">
      <c r="A573" s="24"/>
      <c r="B573" s="24"/>
      <c r="C573" s="24"/>
      <c r="D573" s="24"/>
      <c r="E573" s="24"/>
      <c r="F573" s="117"/>
      <c r="G573" s="117"/>
      <c r="H573" s="24"/>
      <c r="I573" s="24"/>
      <c r="J573" s="24"/>
      <c r="K573" s="24"/>
      <c r="L573" s="24"/>
      <c r="M573" s="24"/>
      <c r="N573" s="24"/>
      <c r="O573" s="24"/>
      <c r="P573" s="24"/>
      <c r="Q573" s="24"/>
      <c r="R573" s="24"/>
      <c r="S573" s="24"/>
      <c r="T573" s="24"/>
      <c r="U573" s="24"/>
      <c r="V573" s="24"/>
      <c r="W573" s="24"/>
      <c r="X573" s="24"/>
      <c r="Y573" s="24"/>
      <c r="Z573" s="24"/>
      <c r="AA573" s="24"/>
      <c r="AB573" s="24"/>
      <c r="AC573" s="24"/>
    </row>
    <row r="574" spans="1:29" ht="12.9">
      <c r="A574" s="24"/>
      <c r="B574" s="24"/>
      <c r="C574" s="24"/>
      <c r="D574" s="24"/>
      <c r="E574" s="24"/>
      <c r="F574" s="117"/>
      <c r="G574" s="117"/>
      <c r="H574" s="24"/>
      <c r="I574" s="24"/>
      <c r="J574" s="24"/>
      <c r="K574" s="24"/>
      <c r="L574" s="24"/>
      <c r="M574" s="24"/>
      <c r="N574" s="24"/>
      <c r="O574" s="24"/>
      <c r="P574" s="24"/>
      <c r="Q574" s="24"/>
      <c r="R574" s="24"/>
      <c r="S574" s="24"/>
      <c r="T574" s="24"/>
      <c r="U574" s="24"/>
      <c r="V574" s="24"/>
      <c r="W574" s="24"/>
      <c r="X574" s="24"/>
      <c r="Y574" s="24"/>
      <c r="Z574" s="24"/>
      <c r="AA574" s="24"/>
      <c r="AB574" s="24"/>
      <c r="AC574" s="24"/>
    </row>
    <row r="575" spans="1:29" ht="12.9">
      <c r="A575" s="24"/>
      <c r="B575" s="24"/>
      <c r="C575" s="24"/>
      <c r="D575" s="24"/>
      <c r="E575" s="24"/>
      <c r="F575" s="117"/>
      <c r="G575" s="117"/>
      <c r="H575" s="24"/>
      <c r="I575" s="24"/>
      <c r="J575" s="24"/>
      <c r="K575" s="24"/>
      <c r="L575" s="24"/>
      <c r="M575" s="24"/>
      <c r="N575" s="24"/>
      <c r="O575" s="24"/>
      <c r="P575" s="24"/>
      <c r="Q575" s="24"/>
      <c r="R575" s="24"/>
      <c r="S575" s="24"/>
      <c r="T575" s="24"/>
      <c r="U575" s="24"/>
      <c r="V575" s="24"/>
      <c r="W575" s="24"/>
      <c r="X575" s="24"/>
      <c r="Y575" s="24"/>
      <c r="Z575" s="24"/>
      <c r="AA575" s="24"/>
      <c r="AB575" s="24"/>
      <c r="AC575" s="24"/>
    </row>
    <row r="576" spans="1:29" ht="12.9">
      <c r="A576" s="24"/>
      <c r="B576" s="24"/>
      <c r="C576" s="24"/>
      <c r="D576" s="24"/>
      <c r="E576" s="24"/>
      <c r="F576" s="117"/>
      <c r="G576" s="117"/>
      <c r="H576" s="24"/>
      <c r="I576" s="24"/>
      <c r="J576" s="24"/>
      <c r="K576" s="24"/>
      <c r="L576" s="24"/>
      <c r="M576" s="24"/>
      <c r="N576" s="24"/>
      <c r="O576" s="24"/>
      <c r="P576" s="24"/>
      <c r="Q576" s="24"/>
      <c r="R576" s="24"/>
      <c r="S576" s="24"/>
      <c r="T576" s="24"/>
      <c r="U576" s="24"/>
      <c r="V576" s="24"/>
      <c r="W576" s="24"/>
      <c r="X576" s="24"/>
      <c r="Y576" s="24"/>
      <c r="Z576" s="24"/>
      <c r="AA576" s="24"/>
      <c r="AB576" s="24"/>
      <c r="AC576" s="24"/>
    </row>
    <row r="577" spans="1:29" ht="12.9">
      <c r="A577" s="24"/>
      <c r="B577" s="24"/>
      <c r="C577" s="24"/>
      <c r="D577" s="24"/>
      <c r="E577" s="24"/>
      <c r="F577" s="117"/>
      <c r="G577" s="117"/>
      <c r="H577" s="24"/>
      <c r="I577" s="24"/>
      <c r="J577" s="24"/>
      <c r="K577" s="24"/>
      <c r="L577" s="24"/>
      <c r="M577" s="24"/>
      <c r="N577" s="24"/>
      <c r="O577" s="24"/>
      <c r="P577" s="24"/>
      <c r="Q577" s="24"/>
      <c r="R577" s="24"/>
      <c r="S577" s="24"/>
      <c r="T577" s="24"/>
      <c r="U577" s="24"/>
      <c r="V577" s="24"/>
      <c r="W577" s="24"/>
      <c r="X577" s="24"/>
      <c r="Y577" s="24"/>
      <c r="Z577" s="24"/>
      <c r="AA577" s="24"/>
      <c r="AB577" s="24"/>
      <c r="AC577" s="24"/>
    </row>
    <row r="578" spans="1:29" ht="12.9">
      <c r="A578" s="24"/>
      <c r="B578" s="24"/>
      <c r="C578" s="24"/>
      <c r="D578" s="24"/>
      <c r="E578" s="24"/>
      <c r="F578" s="117"/>
      <c r="G578" s="117"/>
      <c r="H578" s="24"/>
      <c r="I578" s="24"/>
      <c r="J578" s="24"/>
      <c r="K578" s="24"/>
      <c r="L578" s="24"/>
      <c r="M578" s="24"/>
      <c r="N578" s="24"/>
      <c r="O578" s="24"/>
      <c r="P578" s="24"/>
      <c r="Q578" s="24"/>
      <c r="R578" s="24"/>
      <c r="S578" s="24"/>
      <c r="T578" s="24"/>
      <c r="U578" s="24"/>
      <c r="V578" s="24"/>
      <c r="W578" s="24"/>
      <c r="X578" s="24"/>
      <c r="Y578" s="24"/>
      <c r="Z578" s="24"/>
      <c r="AA578" s="24"/>
      <c r="AB578" s="24"/>
      <c r="AC578" s="24"/>
    </row>
    <row r="579" spans="1:29" ht="12.9">
      <c r="A579" s="24"/>
      <c r="B579" s="24"/>
      <c r="C579" s="24"/>
      <c r="D579" s="24"/>
      <c r="E579" s="24"/>
      <c r="F579" s="117"/>
      <c r="G579" s="117"/>
      <c r="H579" s="24"/>
      <c r="I579" s="24"/>
      <c r="J579" s="24"/>
      <c r="K579" s="24"/>
      <c r="L579" s="24"/>
      <c r="M579" s="24"/>
      <c r="N579" s="24"/>
      <c r="O579" s="24"/>
      <c r="P579" s="24"/>
      <c r="Q579" s="24"/>
      <c r="R579" s="24"/>
      <c r="S579" s="24"/>
      <c r="T579" s="24"/>
      <c r="U579" s="24"/>
      <c r="V579" s="24"/>
      <c r="W579" s="24"/>
      <c r="X579" s="24"/>
      <c r="Y579" s="24"/>
      <c r="Z579" s="24"/>
      <c r="AA579" s="24"/>
      <c r="AB579" s="24"/>
      <c r="AC579" s="24"/>
    </row>
    <row r="580" spans="1:29" ht="12.9">
      <c r="A580" s="24"/>
      <c r="B580" s="24"/>
      <c r="C580" s="24"/>
      <c r="D580" s="24"/>
      <c r="E580" s="24"/>
      <c r="F580" s="117"/>
      <c r="G580" s="117"/>
      <c r="H580" s="24"/>
      <c r="I580" s="24"/>
      <c r="J580" s="24"/>
      <c r="K580" s="24"/>
      <c r="L580" s="24"/>
      <c r="M580" s="24"/>
      <c r="N580" s="24"/>
      <c r="O580" s="24"/>
      <c r="P580" s="24"/>
      <c r="Q580" s="24"/>
      <c r="R580" s="24"/>
      <c r="S580" s="24"/>
      <c r="T580" s="24"/>
      <c r="U580" s="24"/>
      <c r="V580" s="24"/>
      <c r="W580" s="24"/>
      <c r="X580" s="24"/>
      <c r="Y580" s="24"/>
      <c r="Z580" s="24"/>
      <c r="AA580" s="24"/>
      <c r="AB580" s="24"/>
      <c r="AC580" s="24"/>
    </row>
    <row r="581" spans="1:29" ht="12.9">
      <c r="A581" s="24"/>
      <c r="B581" s="24"/>
      <c r="C581" s="24"/>
      <c r="D581" s="24"/>
      <c r="E581" s="24"/>
      <c r="F581" s="117"/>
      <c r="G581" s="117"/>
      <c r="H581" s="24"/>
      <c r="I581" s="24"/>
      <c r="J581" s="24"/>
      <c r="K581" s="24"/>
      <c r="L581" s="24"/>
      <c r="M581" s="24"/>
      <c r="N581" s="24"/>
      <c r="O581" s="24"/>
      <c r="P581" s="24"/>
      <c r="Q581" s="24"/>
      <c r="R581" s="24"/>
      <c r="S581" s="24"/>
      <c r="T581" s="24"/>
      <c r="U581" s="24"/>
      <c r="V581" s="24"/>
      <c r="W581" s="24"/>
      <c r="X581" s="24"/>
      <c r="Y581" s="24"/>
      <c r="Z581" s="24"/>
      <c r="AA581" s="24"/>
      <c r="AB581" s="24"/>
      <c r="AC581" s="24"/>
    </row>
    <row r="582" spans="1:29" ht="12.9">
      <c r="A582" s="24"/>
      <c r="B582" s="24"/>
      <c r="C582" s="24"/>
      <c r="D582" s="24"/>
      <c r="E582" s="24"/>
      <c r="F582" s="117"/>
      <c r="G582" s="117"/>
      <c r="H582" s="24"/>
      <c r="I582" s="24"/>
      <c r="J582" s="24"/>
      <c r="K582" s="24"/>
      <c r="L582" s="24"/>
      <c r="M582" s="24"/>
      <c r="N582" s="24"/>
      <c r="O582" s="24"/>
      <c r="P582" s="24"/>
      <c r="Q582" s="24"/>
      <c r="R582" s="24"/>
      <c r="S582" s="24"/>
      <c r="T582" s="24"/>
      <c r="U582" s="24"/>
      <c r="V582" s="24"/>
      <c r="W582" s="24"/>
      <c r="X582" s="24"/>
      <c r="Y582" s="24"/>
      <c r="Z582" s="24"/>
      <c r="AA582" s="24"/>
      <c r="AB582" s="24"/>
      <c r="AC582" s="24"/>
    </row>
    <row r="583" spans="1:29" ht="12.9">
      <c r="A583" s="24"/>
      <c r="B583" s="24"/>
      <c r="C583" s="24"/>
      <c r="D583" s="24"/>
      <c r="E583" s="24"/>
      <c r="F583" s="117"/>
      <c r="G583" s="117"/>
      <c r="H583" s="24"/>
      <c r="I583" s="24"/>
      <c r="J583" s="24"/>
      <c r="K583" s="24"/>
      <c r="L583" s="24"/>
      <c r="M583" s="24"/>
      <c r="N583" s="24"/>
      <c r="O583" s="24"/>
      <c r="P583" s="24"/>
      <c r="Q583" s="24"/>
      <c r="R583" s="24"/>
      <c r="S583" s="24"/>
      <c r="T583" s="24"/>
      <c r="U583" s="24"/>
      <c r="V583" s="24"/>
      <c r="W583" s="24"/>
      <c r="X583" s="24"/>
      <c r="Y583" s="24"/>
      <c r="Z583" s="24"/>
      <c r="AA583" s="24"/>
      <c r="AB583" s="24"/>
      <c r="AC583" s="24"/>
    </row>
    <row r="584" spans="1:29" ht="12.9">
      <c r="A584" s="24"/>
      <c r="B584" s="24"/>
      <c r="C584" s="24"/>
      <c r="D584" s="24"/>
      <c r="E584" s="24"/>
      <c r="F584" s="117"/>
      <c r="G584" s="117"/>
      <c r="H584" s="24"/>
      <c r="I584" s="24"/>
      <c r="J584" s="24"/>
      <c r="K584" s="24"/>
      <c r="L584" s="24"/>
      <c r="M584" s="24"/>
      <c r="N584" s="24"/>
      <c r="O584" s="24"/>
      <c r="P584" s="24"/>
      <c r="Q584" s="24"/>
      <c r="R584" s="24"/>
      <c r="S584" s="24"/>
      <c r="T584" s="24"/>
      <c r="U584" s="24"/>
      <c r="V584" s="24"/>
      <c r="W584" s="24"/>
      <c r="X584" s="24"/>
      <c r="Y584" s="24"/>
      <c r="Z584" s="24"/>
      <c r="AA584" s="24"/>
      <c r="AB584" s="24"/>
      <c r="AC584" s="24"/>
    </row>
    <row r="585" spans="1:29" ht="12.9">
      <c r="A585" s="24"/>
      <c r="B585" s="24"/>
      <c r="C585" s="24"/>
      <c r="D585" s="24"/>
      <c r="E585" s="24"/>
      <c r="F585" s="117"/>
      <c r="G585" s="117"/>
      <c r="H585" s="24"/>
      <c r="I585" s="24"/>
      <c r="J585" s="24"/>
      <c r="K585" s="24"/>
      <c r="L585" s="24"/>
      <c r="M585" s="24"/>
      <c r="N585" s="24"/>
      <c r="O585" s="24"/>
      <c r="P585" s="24"/>
      <c r="Q585" s="24"/>
      <c r="R585" s="24"/>
      <c r="S585" s="24"/>
      <c r="T585" s="24"/>
      <c r="U585" s="24"/>
      <c r="V585" s="24"/>
      <c r="W585" s="24"/>
      <c r="X585" s="24"/>
      <c r="Y585" s="24"/>
      <c r="Z585" s="24"/>
      <c r="AA585" s="24"/>
      <c r="AB585" s="24"/>
      <c r="AC585" s="24"/>
    </row>
    <row r="586" spans="1:29" ht="12.9">
      <c r="A586" s="24"/>
      <c r="B586" s="24"/>
      <c r="C586" s="24"/>
      <c r="D586" s="24"/>
      <c r="E586" s="24"/>
      <c r="F586" s="117"/>
      <c r="G586" s="117"/>
      <c r="H586" s="24"/>
      <c r="I586" s="24"/>
      <c r="J586" s="24"/>
      <c r="K586" s="24"/>
      <c r="L586" s="24"/>
      <c r="M586" s="24"/>
      <c r="N586" s="24"/>
      <c r="O586" s="24"/>
      <c r="P586" s="24"/>
      <c r="Q586" s="24"/>
      <c r="R586" s="24"/>
      <c r="S586" s="24"/>
      <c r="T586" s="24"/>
      <c r="U586" s="24"/>
      <c r="V586" s="24"/>
      <c r="W586" s="24"/>
      <c r="X586" s="24"/>
      <c r="Y586" s="24"/>
      <c r="Z586" s="24"/>
      <c r="AA586" s="24"/>
      <c r="AB586" s="24"/>
      <c r="AC586" s="24"/>
    </row>
    <row r="587" spans="1:29" ht="12.9">
      <c r="A587" s="24"/>
      <c r="B587" s="24"/>
      <c r="C587" s="24"/>
      <c r="D587" s="24"/>
      <c r="E587" s="24"/>
      <c r="F587" s="117"/>
      <c r="G587" s="117"/>
      <c r="H587" s="24"/>
      <c r="I587" s="24"/>
      <c r="J587" s="24"/>
      <c r="K587" s="24"/>
      <c r="L587" s="24"/>
      <c r="M587" s="24"/>
      <c r="N587" s="24"/>
      <c r="O587" s="24"/>
      <c r="P587" s="24"/>
      <c r="Q587" s="24"/>
      <c r="R587" s="24"/>
      <c r="S587" s="24"/>
      <c r="T587" s="24"/>
      <c r="U587" s="24"/>
      <c r="V587" s="24"/>
      <c r="W587" s="24"/>
      <c r="X587" s="24"/>
      <c r="Y587" s="24"/>
      <c r="Z587" s="24"/>
      <c r="AA587" s="24"/>
      <c r="AB587" s="24"/>
      <c r="AC587" s="24"/>
    </row>
    <row r="588" spans="1:29" ht="12.9">
      <c r="A588" s="24"/>
      <c r="B588" s="24"/>
      <c r="C588" s="24"/>
      <c r="D588" s="24"/>
      <c r="E588" s="24"/>
      <c r="F588" s="117"/>
      <c r="G588" s="117"/>
      <c r="H588" s="24"/>
      <c r="I588" s="24"/>
      <c r="J588" s="24"/>
      <c r="K588" s="24"/>
      <c r="L588" s="24"/>
      <c r="M588" s="24"/>
      <c r="N588" s="24"/>
      <c r="O588" s="24"/>
      <c r="P588" s="24"/>
      <c r="Q588" s="24"/>
      <c r="R588" s="24"/>
      <c r="S588" s="24"/>
      <c r="T588" s="24"/>
      <c r="U588" s="24"/>
      <c r="V588" s="24"/>
      <c r="W588" s="24"/>
      <c r="X588" s="24"/>
      <c r="Y588" s="24"/>
      <c r="Z588" s="24"/>
      <c r="AA588" s="24"/>
      <c r="AB588" s="24"/>
      <c r="AC588" s="24"/>
    </row>
    <row r="589" spans="1:29" ht="12.9">
      <c r="A589" s="24"/>
      <c r="B589" s="24"/>
      <c r="C589" s="24"/>
      <c r="D589" s="24"/>
      <c r="E589" s="24"/>
      <c r="F589" s="117"/>
      <c r="G589" s="117"/>
      <c r="H589" s="24"/>
      <c r="I589" s="24"/>
      <c r="J589" s="24"/>
      <c r="K589" s="24"/>
      <c r="L589" s="24"/>
      <c r="M589" s="24"/>
      <c r="N589" s="24"/>
      <c r="O589" s="24"/>
      <c r="P589" s="24"/>
      <c r="Q589" s="24"/>
      <c r="R589" s="24"/>
      <c r="S589" s="24"/>
      <c r="T589" s="24"/>
      <c r="U589" s="24"/>
      <c r="V589" s="24"/>
      <c r="W589" s="24"/>
      <c r="X589" s="24"/>
      <c r="Y589" s="24"/>
      <c r="Z589" s="24"/>
      <c r="AA589" s="24"/>
      <c r="AB589" s="24"/>
      <c r="AC589" s="24"/>
    </row>
    <row r="590" spans="1:29" ht="12.9">
      <c r="A590" s="24"/>
      <c r="B590" s="24"/>
      <c r="C590" s="24"/>
      <c r="D590" s="24"/>
      <c r="E590" s="24"/>
      <c r="F590" s="117"/>
      <c r="G590" s="117"/>
      <c r="H590" s="24"/>
      <c r="I590" s="24"/>
      <c r="J590" s="24"/>
      <c r="K590" s="24"/>
      <c r="L590" s="24"/>
      <c r="M590" s="24"/>
      <c r="N590" s="24"/>
      <c r="O590" s="24"/>
      <c r="P590" s="24"/>
      <c r="Q590" s="24"/>
      <c r="R590" s="24"/>
      <c r="S590" s="24"/>
      <c r="T590" s="24"/>
      <c r="U590" s="24"/>
      <c r="V590" s="24"/>
      <c r="W590" s="24"/>
      <c r="X590" s="24"/>
      <c r="Y590" s="24"/>
      <c r="Z590" s="24"/>
      <c r="AA590" s="24"/>
      <c r="AB590" s="24"/>
      <c r="AC590" s="24"/>
    </row>
    <row r="591" spans="1:29" ht="12.9">
      <c r="A591" s="24"/>
      <c r="B591" s="24"/>
      <c r="C591" s="24"/>
      <c r="D591" s="24"/>
      <c r="E591" s="24"/>
      <c r="F591" s="117"/>
      <c r="G591" s="117"/>
      <c r="H591" s="24"/>
      <c r="I591" s="24"/>
      <c r="J591" s="24"/>
      <c r="K591" s="24"/>
      <c r="L591" s="24"/>
      <c r="M591" s="24"/>
      <c r="N591" s="24"/>
      <c r="O591" s="24"/>
      <c r="P591" s="24"/>
      <c r="Q591" s="24"/>
      <c r="R591" s="24"/>
      <c r="S591" s="24"/>
      <c r="T591" s="24"/>
      <c r="U591" s="24"/>
      <c r="V591" s="24"/>
      <c r="W591" s="24"/>
      <c r="X591" s="24"/>
      <c r="Y591" s="24"/>
      <c r="Z591" s="24"/>
      <c r="AA591" s="24"/>
      <c r="AB591" s="24"/>
      <c r="AC591" s="24"/>
    </row>
    <row r="592" spans="1:29" ht="12.9">
      <c r="A592" s="24"/>
      <c r="B592" s="24"/>
      <c r="C592" s="24"/>
      <c r="D592" s="24"/>
      <c r="E592" s="24"/>
      <c r="F592" s="117"/>
      <c r="G592" s="117"/>
      <c r="H592" s="24"/>
      <c r="I592" s="24"/>
      <c r="J592" s="24"/>
      <c r="K592" s="24"/>
      <c r="L592" s="24"/>
      <c r="M592" s="24"/>
      <c r="N592" s="24"/>
      <c r="O592" s="24"/>
      <c r="P592" s="24"/>
      <c r="Q592" s="24"/>
      <c r="R592" s="24"/>
      <c r="S592" s="24"/>
      <c r="T592" s="24"/>
      <c r="U592" s="24"/>
      <c r="V592" s="24"/>
      <c r="W592" s="24"/>
      <c r="X592" s="24"/>
      <c r="Y592" s="24"/>
      <c r="Z592" s="24"/>
      <c r="AA592" s="24"/>
      <c r="AB592" s="24"/>
      <c r="AC592" s="24"/>
    </row>
    <row r="593" spans="1:29" ht="12.9">
      <c r="A593" s="24"/>
      <c r="B593" s="24"/>
      <c r="C593" s="24"/>
      <c r="D593" s="24"/>
      <c r="E593" s="24"/>
      <c r="F593" s="117"/>
      <c r="G593" s="117"/>
      <c r="H593" s="24"/>
      <c r="I593" s="24"/>
      <c r="J593" s="24"/>
      <c r="K593" s="24"/>
      <c r="L593" s="24"/>
      <c r="M593" s="24"/>
      <c r="N593" s="24"/>
      <c r="O593" s="24"/>
      <c r="P593" s="24"/>
      <c r="Q593" s="24"/>
      <c r="R593" s="24"/>
      <c r="S593" s="24"/>
      <c r="T593" s="24"/>
      <c r="U593" s="24"/>
      <c r="V593" s="24"/>
      <c r="W593" s="24"/>
      <c r="X593" s="24"/>
      <c r="Y593" s="24"/>
      <c r="Z593" s="24"/>
      <c r="AA593" s="24"/>
      <c r="AB593" s="24"/>
      <c r="AC593" s="24"/>
    </row>
    <row r="594" spans="1:29" ht="12.9">
      <c r="A594" s="24"/>
      <c r="B594" s="24"/>
      <c r="C594" s="24"/>
      <c r="D594" s="24"/>
      <c r="E594" s="24"/>
      <c r="F594" s="117"/>
      <c r="G594" s="117"/>
      <c r="H594" s="24"/>
      <c r="I594" s="24"/>
      <c r="J594" s="24"/>
      <c r="K594" s="24"/>
      <c r="L594" s="24"/>
      <c r="M594" s="24"/>
      <c r="N594" s="24"/>
      <c r="O594" s="24"/>
      <c r="P594" s="24"/>
      <c r="Q594" s="24"/>
      <c r="R594" s="24"/>
      <c r="S594" s="24"/>
      <c r="T594" s="24"/>
      <c r="U594" s="24"/>
      <c r="V594" s="24"/>
      <c r="W594" s="24"/>
      <c r="X594" s="24"/>
      <c r="Y594" s="24"/>
      <c r="Z594" s="24"/>
      <c r="AA594" s="24"/>
      <c r="AB594" s="24"/>
      <c r="AC594" s="24"/>
    </row>
    <row r="595" spans="1:29" ht="12.9">
      <c r="A595" s="24"/>
      <c r="B595" s="24"/>
      <c r="C595" s="24"/>
      <c r="D595" s="24"/>
      <c r="E595" s="24"/>
      <c r="F595" s="117"/>
      <c r="G595" s="117"/>
      <c r="H595" s="24"/>
      <c r="I595" s="24"/>
      <c r="J595" s="24"/>
      <c r="K595" s="24"/>
      <c r="L595" s="24"/>
      <c r="M595" s="24"/>
      <c r="N595" s="24"/>
      <c r="O595" s="24"/>
      <c r="P595" s="24"/>
      <c r="Q595" s="24"/>
      <c r="R595" s="24"/>
      <c r="S595" s="24"/>
      <c r="T595" s="24"/>
      <c r="U595" s="24"/>
      <c r="V595" s="24"/>
      <c r="W595" s="24"/>
      <c r="X595" s="24"/>
      <c r="Y595" s="24"/>
      <c r="Z595" s="24"/>
      <c r="AA595" s="24"/>
      <c r="AB595" s="24"/>
      <c r="AC595" s="24"/>
    </row>
    <row r="596" spans="1:29" ht="12.9">
      <c r="A596" s="24"/>
      <c r="B596" s="24"/>
      <c r="C596" s="24"/>
      <c r="D596" s="24"/>
      <c r="E596" s="24"/>
      <c r="F596" s="117"/>
      <c r="G596" s="117"/>
      <c r="H596" s="24"/>
      <c r="I596" s="24"/>
      <c r="J596" s="24"/>
      <c r="K596" s="24"/>
      <c r="L596" s="24"/>
      <c r="M596" s="24"/>
      <c r="N596" s="24"/>
      <c r="O596" s="24"/>
      <c r="P596" s="24"/>
      <c r="Q596" s="24"/>
      <c r="R596" s="24"/>
      <c r="S596" s="24"/>
      <c r="T596" s="24"/>
      <c r="U596" s="24"/>
      <c r="V596" s="24"/>
      <c r="W596" s="24"/>
      <c r="X596" s="24"/>
      <c r="Y596" s="24"/>
      <c r="Z596" s="24"/>
      <c r="AA596" s="24"/>
      <c r="AB596" s="24"/>
      <c r="AC596" s="24"/>
    </row>
    <row r="597" spans="1:29" ht="12.9">
      <c r="A597" s="24"/>
      <c r="B597" s="24"/>
      <c r="C597" s="24"/>
      <c r="D597" s="24"/>
      <c r="E597" s="24"/>
      <c r="F597" s="117"/>
      <c r="G597" s="117"/>
      <c r="H597" s="24"/>
      <c r="I597" s="24"/>
      <c r="J597" s="24"/>
      <c r="K597" s="24"/>
      <c r="L597" s="24"/>
      <c r="M597" s="24"/>
      <c r="N597" s="24"/>
      <c r="O597" s="24"/>
      <c r="P597" s="24"/>
      <c r="Q597" s="24"/>
      <c r="R597" s="24"/>
      <c r="S597" s="24"/>
      <c r="T597" s="24"/>
      <c r="U597" s="24"/>
      <c r="V597" s="24"/>
      <c r="W597" s="24"/>
      <c r="X597" s="24"/>
      <c r="Y597" s="24"/>
      <c r="Z597" s="24"/>
      <c r="AA597" s="24"/>
      <c r="AB597" s="24"/>
      <c r="AC597" s="24"/>
    </row>
    <row r="598" spans="1:29" ht="12.9">
      <c r="A598" s="24"/>
      <c r="B598" s="24"/>
      <c r="C598" s="24"/>
      <c r="D598" s="24"/>
      <c r="E598" s="24"/>
      <c r="F598" s="117"/>
      <c r="G598" s="117"/>
      <c r="H598" s="24"/>
      <c r="I598" s="24"/>
      <c r="J598" s="24"/>
      <c r="K598" s="24"/>
      <c r="L598" s="24"/>
      <c r="M598" s="24"/>
      <c r="N598" s="24"/>
      <c r="O598" s="24"/>
      <c r="P598" s="24"/>
      <c r="Q598" s="24"/>
      <c r="R598" s="24"/>
      <c r="S598" s="24"/>
      <c r="T598" s="24"/>
      <c r="U598" s="24"/>
      <c r="V598" s="24"/>
      <c r="W598" s="24"/>
      <c r="X598" s="24"/>
      <c r="Y598" s="24"/>
      <c r="Z598" s="24"/>
      <c r="AA598" s="24"/>
      <c r="AB598" s="24"/>
      <c r="AC598" s="24"/>
    </row>
    <row r="599" spans="1:29" ht="12.9">
      <c r="A599" s="24"/>
      <c r="B599" s="24"/>
      <c r="C599" s="24"/>
      <c r="D599" s="24"/>
      <c r="E599" s="24"/>
      <c r="F599" s="117"/>
      <c r="G599" s="117"/>
      <c r="H599" s="24"/>
      <c r="I599" s="24"/>
      <c r="J599" s="24"/>
      <c r="K599" s="24"/>
      <c r="L599" s="24"/>
      <c r="M599" s="24"/>
      <c r="N599" s="24"/>
      <c r="O599" s="24"/>
      <c r="P599" s="24"/>
      <c r="Q599" s="24"/>
      <c r="R599" s="24"/>
      <c r="S599" s="24"/>
      <c r="T599" s="24"/>
      <c r="U599" s="24"/>
      <c r="V599" s="24"/>
      <c r="W599" s="24"/>
      <c r="X599" s="24"/>
      <c r="Y599" s="24"/>
      <c r="Z599" s="24"/>
      <c r="AA599" s="24"/>
      <c r="AB599" s="24"/>
      <c r="AC599" s="24"/>
    </row>
    <row r="600" spans="1:29" ht="12.9">
      <c r="A600" s="24"/>
      <c r="B600" s="24"/>
      <c r="C600" s="24"/>
      <c r="D600" s="24"/>
      <c r="E600" s="24"/>
      <c r="F600" s="117"/>
      <c r="G600" s="117"/>
      <c r="H600" s="24"/>
      <c r="I600" s="24"/>
      <c r="J600" s="24"/>
      <c r="K600" s="24"/>
      <c r="L600" s="24"/>
      <c r="M600" s="24"/>
      <c r="N600" s="24"/>
      <c r="O600" s="24"/>
      <c r="P600" s="24"/>
      <c r="Q600" s="24"/>
      <c r="R600" s="24"/>
      <c r="S600" s="24"/>
      <c r="T600" s="24"/>
      <c r="U600" s="24"/>
      <c r="V600" s="24"/>
      <c r="W600" s="24"/>
      <c r="X600" s="24"/>
      <c r="Y600" s="24"/>
      <c r="Z600" s="24"/>
      <c r="AA600" s="24"/>
      <c r="AB600" s="24"/>
      <c r="AC600" s="24"/>
    </row>
    <row r="601" spans="1:29" ht="12.9">
      <c r="A601" s="24"/>
      <c r="B601" s="24"/>
      <c r="C601" s="24"/>
      <c r="D601" s="24"/>
      <c r="E601" s="24"/>
      <c r="F601" s="117"/>
      <c r="G601" s="117"/>
      <c r="H601" s="24"/>
      <c r="I601" s="24"/>
      <c r="J601" s="24"/>
      <c r="K601" s="24"/>
      <c r="L601" s="24"/>
      <c r="M601" s="24"/>
      <c r="N601" s="24"/>
      <c r="O601" s="24"/>
      <c r="P601" s="24"/>
      <c r="Q601" s="24"/>
      <c r="R601" s="24"/>
      <c r="S601" s="24"/>
      <c r="T601" s="24"/>
      <c r="U601" s="24"/>
      <c r="V601" s="24"/>
      <c r="W601" s="24"/>
      <c r="X601" s="24"/>
      <c r="Y601" s="24"/>
      <c r="Z601" s="24"/>
      <c r="AA601" s="24"/>
      <c r="AB601" s="24"/>
      <c r="AC601" s="24"/>
    </row>
    <row r="602" spans="1:29" ht="12.9">
      <c r="A602" s="24"/>
      <c r="B602" s="24"/>
      <c r="C602" s="24"/>
      <c r="D602" s="24"/>
      <c r="E602" s="24"/>
      <c r="F602" s="117"/>
      <c r="G602" s="117"/>
      <c r="H602" s="24"/>
      <c r="I602" s="24"/>
      <c r="J602" s="24"/>
      <c r="K602" s="24"/>
      <c r="L602" s="24"/>
      <c r="M602" s="24"/>
      <c r="N602" s="24"/>
      <c r="O602" s="24"/>
      <c r="P602" s="24"/>
      <c r="Q602" s="24"/>
      <c r="R602" s="24"/>
      <c r="S602" s="24"/>
      <c r="T602" s="24"/>
      <c r="U602" s="24"/>
      <c r="V602" s="24"/>
      <c r="W602" s="24"/>
      <c r="X602" s="24"/>
      <c r="Y602" s="24"/>
      <c r="Z602" s="24"/>
      <c r="AA602" s="24"/>
      <c r="AB602" s="24"/>
      <c r="AC602" s="24"/>
    </row>
    <row r="603" spans="1:29" ht="12.9">
      <c r="A603" s="24"/>
      <c r="B603" s="24"/>
      <c r="C603" s="24"/>
      <c r="D603" s="24"/>
      <c r="E603" s="24"/>
      <c r="F603" s="117"/>
      <c r="G603" s="117"/>
      <c r="H603" s="24"/>
      <c r="I603" s="24"/>
      <c r="J603" s="24"/>
      <c r="K603" s="24"/>
      <c r="L603" s="24"/>
      <c r="M603" s="24"/>
      <c r="N603" s="24"/>
      <c r="O603" s="24"/>
      <c r="P603" s="24"/>
      <c r="Q603" s="24"/>
      <c r="R603" s="24"/>
      <c r="S603" s="24"/>
      <c r="T603" s="24"/>
      <c r="U603" s="24"/>
      <c r="V603" s="24"/>
      <c r="W603" s="24"/>
      <c r="X603" s="24"/>
      <c r="Y603" s="24"/>
      <c r="Z603" s="24"/>
      <c r="AA603" s="24"/>
      <c r="AB603" s="24"/>
      <c r="AC603" s="24"/>
    </row>
    <row r="604" spans="1:29" ht="12.9">
      <c r="A604" s="24"/>
      <c r="B604" s="24"/>
      <c r="C604" s="24"/>
      <c r="D604" s="24"/>
      <c r="E604" s="24"/>
      <c r="F604" s="117"/>
      <c r="G604" s="117"/>
      <c r="H604" s="24"/>
      <c r="I604" s="24"/>
      <c r="J604" s="24"/>
      <c r="K604" s="24"/>
      <c r="L604" s="24"/>
      <c r="M604" s="24"/>
      <c r="N604" s="24"/>
      <c r="O604" s="24"/>
      <c r="P604" s="24"/>
      <c r="Q604" s="24"/>
      <c r="R604" s="24"/>
      <c r="S604" s="24"/>
      <c r="T604" s="24"/>
      <c r="U604" s="24"/>
      <c r="V604" s="24"/>
      <c r="W604" s="24"/>
      <c r="X604" s="24"/>
      <c r="Y604" s="24"/>
      <c r="Z604" s="24"/>
      <c r="AA604" s="24"/>
      <c r="AB604" s="24"/>
      <c r="AC604" s="24"/>
    </row>
    <row r="605" spans="1:29" ht="12.9">
      <c r="A605" s="24"/>
      <c r="B605" s="24"/>
      <c r="C605" s="24"/>
      <c r="D605" s="24"/>
      <c r="E605" s="24"/>
      <c r="F605" s="117"/>
      <c r="G605" s="117"/>
      <c r="H605" s="24"/>
      <c r="I605" s="24"/>
      <c r="J605" s="24"/>
      <c r="K605" s="24"/>
      <c r="L605" s="24"/>
      <c r="M605" s="24"/>
      <c r="N605" s="24"/>
      <c r="O605" s="24"/>
      <c r="P605" s="24"/>
      <c r="Q605" s="24"/>
      <c r="R605" s="24"/>
      <c r="S605" s="24"/>
      <c r="T605" s="24"/>
      <c r="U605" s="24"/>
      <c r="V605" s="24"/>
      <c r="W605" s="24"/>
      <c r="X605" s="24"/>
      <c r="Y605" s="24"/>
      <c r="Z605" s="24"/>
      <c r="AA605" s="24"/>
      <c r="AB605" s="24"/>
      <c r="AC605" s="24"/>
    </row>
    <row r="606" spans="1:29" ht="12.9">
      <c r="A606" s="24"/>
      <c r="B606" s="24"/>
      <c r="C606" s="24"/>
      <c r="D606" s="24"/>
      <c r="E606" s="24"/>
      <c r="F606" s="117"/>
      <c r="G606" s="117"/>
      <c r="H606" s="24"/>
      <c r="I606" s="24"/>
      <c r="J606" s="24"/>
      <c r="K606" s="24"/>
      <c r="L606" s="24"/>
      <c r="M606" s="24"/>
      <c r="N606" s="24"/>
      <c r="O606" s="24"/>
      <c r="P606" s="24"/>
      <c r="Q606" s="24"/>
      <c r="R606" s="24"/>
      <c r="S606" s="24"/>
      <c r="T606" s="24"/>
      <c r="U606" s="24"/>
      <c r="V606" s="24"/>
      <c r="W606" s="24"/>
      <c r="X606" s="24"/>
      <c r="Y606" s="24"/>
      <c r="Z606" s="24"/>
      <c r="AA606" s="24"/>
      <c r="AB606" s="24"/>
      <c r="AC606" s="24"/>
    </row>
    <row r="607" spans="1:29" ht="12.9">
      <c r="A607" s="24"/>
      <c r="B607" s="24"/>
      <c r="C607" s="24"/>
      <c r="D607" s="24"/>
      <c r="E607" s="24"/>
      <c r="F607" s="117"/>
      <c r="G607" s="117"/>
      <c r="H607" s="24"/>
      <c r="I607" s="24"/>
      <c r="J607" s="24"/>
      <c r="K607" s="24"/>
      <c r="L607" s="24"/>
      <c r="M607" s="24"/>
      <c r="N607" s="24"/>
      <c r="O607" s="24"/>
      <c r="P607" s="24"/>
      <c r="Q607" s="24"/>
      <c r="R607" s="24"/>
      <c r="S607" s="24"/>
      <c r="T607" s="24"/>
      <c r="U607" s="24"/>
      <c r="V607" s="24"/>
      <c r="W607" s="24"/>
      <c r="X607" s="24"/>
      <c r="Y607" s="24"/>
      <c r="Z607" s="24"/>
      <c r="AA607" s="24"/>
      <c r="AB607" s="24"/>
      <c r="AC607" s="24"/>
    </row>
    <row r="608" spans="1:29" ht="12.9">
      <c r="A608" s="24"/>
      <c r="B608" s="24"/>
      <c r="C608" s="24"/>
      <c r="D608" s="24"/>
      <c r="E608" s="24"/>
      <c r="F608" s="117"/>
      <c r="G608" s="117"/>
      <c r="H608" s="24"/>
      <c r="I608" s="24"/>
      <c r="J608" s="24"/>
      <c r="K608" s="24"/>
      <c r="L608" s="24"/>
      <c r="M608" s="24"/>
      <c r="N608" s="24"/>
      <c r="O608" s="24"/>
      <c r="P608" s="24"/>
      <c r="Q608" s="24"/>
      <c r="R608" s="24"/>
      <c r="S608" s="24"/>
      <c r="T608" s="24"/>
      <c r="U608" s="24"/>
      <c r="V608" s="24"/>
      <c r="W608" s="24"/>
      <c r="X608" s="24"/>
      <c r="Y608" s="24"/>
      <c r="Z608" s="24"/>
      <c r="AA608" s="24"/>
      <c r="AB608" s="24"/>
      <c r="AC608" s="24"/>
    </row>
    <row r="609" spans="1:29" ht="12.9">
      <c r="A609" s="24"/>
      <c r="B609" s="24"/>
      <c r="C609" s="24"/>
      <c r="D609" s="24"/>
      <c r="E609" s="24"/>
      <c r="F609" s="117"/>
      <c r="G609" s="117"/>
      <c r="H609" s="24"/>
      <c r="I609" s="24"/>
      <c r="J609" s="24"/>
      <c r="K609" s="24"/>
      <c r="L609" s="24"/>
      <c r="M609" s="24"/>
      <c r="N609" s="24"/>
      <c r="O609" s="24"/>
      <c r="P609" s="24"/>
      <c r="Q609" s="24"/>
      <c r="R609" s="24"/>
      <c r="S609" s="24"/>
      <c r="T609" s="24"/>
      <c r="U609" s="24"/>
      <c r="V609" s="24"/>
      <c r="W609" s="24"/>
      <c r="X609" s="24"/>
      <c r="Y609" s="24"/>
      <c r="Z609" s="24"/>
      <c r="AA609" s="24"/>
      <c r="AB609" s="24"/>
      <c r="AC609" s="24"/>
    </row>
    <row r="610" spans="1:29" ht="12.9">
      <c r="A610" s="24"/>
      <c r="B610" s="24"/>
      <c r="C610" s="24"/>
      <c r="D610" s="24"/>
      <c r="E610" s="24"/>
      <c r="F610" s="117"/>
      <c r="G610" s="117"/>
      <c r="H610" s="24"/>
      <c r="I610" s="24"/>
      <c r="J610" s="24"/>
      <c r="K610" s="24"/>
      <c r="L610" s="24"/>
      <c r="M610" s="24"/>
      <c r="N610" s="24"/>
      <c r="O610" s="24"/>
      <c r="P610" s="24"/>
      <c r="Q610" s="24"/>
      <c r="R610" s="24"/>
      <c r="S610" s="24"/>
      <c r="T610" s="24"/>
      <c r="U610" s="24"/>
      <c r="V610" s="24"/>
      <c r="W610" s="24"/>
      <c r="X610" s="24"/>
      <c r="Y610" s="24"/>
      <c r="Z610" s="24"/>
      <c r="AA610" s="24"/>
      <c r="AB610" s="24"/>
      <c r="AC610" s="24"/>
    </row>
    <row r="611" spans="1:29" ht="12.9">
      <c r="A611" s="24"/>
      <c r="B611" s="24"/>
      <c r="C611" s="24"/>
      <c r="D611" s="24"/>
      <c r="E611" s="24"/>
      <c r="F611" s="117"/>
      <c r="G611" s="117"/>
      <c r="H611" s="24"/>
      <c r="I611" s="24"/>
      <c r="J611" s="24"/>
      <c r="K611" s="24"/>
      <c r="L611" s="24"/>
      <c r="M611" s="24"/>
      <c r="N611" s="24"/>
      <c r="O611" s="24"/>
      <c r="P611" s="24"/>
      <c r="Q611" s="24"/>
      <c r="R611" s="24"/>
      <c r="S611" s="24"/>
      <c r="T611" s="24"/>
      <c r="U611" s="24"/>
      <c r="V611" s="24"/>
      <c r="W611" s="24"/>
      <c r="X611" s="24"/>
      <c r="Y611" s="24"/>
      <c r="Z611" s="24"/>
      <c r="AA611" s="24"/>
      <c r="AB611" s="24"/>
      <c r="AC611" s="24"/>
    </row>
    <row r="612" spans="1:29" ht="12.9">
      <c r="A612" s="24"/>
      <c r="B612" s="24"/>
      <c r="C612" s="24"/>
      <c r="D612" s="24"/>
      <c r="E612" s="24"/>
      <c r="F612" s="117"/>
      <c r="G612" s="117"/>
      <c r="H612" s="24"/>
      <c r="I612" s="24"/>
      <c r="J612" s="24"/>
      <c r="K612" s="24"/>
      <c r="L612" s="24"/>
      <c r="M612" s="24"/>
      <c r="N612" s="24"/>
      <c r="O612" s="24"/>
      <c r="P612" s="24"/>
      <c r="Q612" s="24"/>
      <c r="R612" s="24"/>
      <c r="S612" s="24"/>
      <c r="T612" s="24"/>
      <c r="U612" s="24"/>
      <c r="V612" s="24"/>
      <c r="W612" s="24"/>
      <c r="X612" s="24"/>
      <c r="Y612" s="24"/>
      <c r="Z612" s="24"/>
      <c r="AA612" s="24"/>
      <c r="AB612" s="24"/>
      <c r="AC612" s="24"/>
    </row>
    <row r="613" spans="1:29" ht="12.9">
      <c r="A613" s="24"/>
      <c r="B613" s="24"/>
      <c r="C613" s="24"/>
      <c r="D613" s="24"/>
      <c r="E613" s="24"/>
      <c r="F613" s="117"/>
      <c r="G613" s="117"/>
      <c r="H613" s="24"/>
      <c r="I613" s="24"/>
      <c r="J613" s="24"/>
      <c r="K613" s="24"/>
      <c r="L613" s="24"/>
      <c r="M613" s="24"/>
      <c r="N613" s="24"/>
      <c r="O613" s="24"/>
      <c r="P613" s="24"/>
      <c r="Q613" s="24"/>
      <c r="R613" s="24"/>
      <c r="S613" s="24"/>
      <c r="T613" s="24"/>
      <c r="U613" s="24"/>
      <c r="V613" s="24"/>
      <c r="W613" s="24"/>
      <c r="X613" s="24"/>
      <c r="Y613" s="24"/>
      <c r="Z613" s="24"/>
      <c r="AA613" s="24"/>
      <c r="AB613" s="24"/>
      <c r="AC613" s="24"/>
    </row>
    <row r="614" spans="1:29" ht="12.9">
      <c r="A614" s="24"/>
      <c r="B614" s="24"/>
      <c r="C614" s="24"/>
      <c r="D614" s="24"/>
      <c r="E614" s="24"/>
      <c r="F614" s="117"/>
      <c r="G614" s="117"/>
      <c r="H614" s="24"/>
      <c r="I614" s="24"/>
      <c r="J614" s="24"/>
      <c r="K614" s="24"/>
      <c r="L614" s="24"/>
      <c r="M614" s="24"/>
      <c r="N614" s="24"/>
      <c r="O614" s="24"/>
      <c r="P614" s="24"/>
      <c r="Q614" s="24"/>
      <c r="R614" s="24"/>
      <c r="S614" s="24"/>
      <c r="T614" s="24"/>
      <c r="U614" s="24"/>
      <c r="V614" s="24"/>
      <c r="W614" s="24"/>
      <c r="X614" s="24"/>
      <c r="Y614" s="24"/>
      <c r="Z614" s="24"/>
      <c r="AA614" s="24"/>
      <c r="AB614" s="24"/>
      <c r="AC614" s="24"/>
    </row>
    <row r="615" spans="1:29" ht="12.9">
      <c r="A615" s="24"/>
      <c r="B615" s="24"/>
      <c r="C615" s="24"/>
      <c r="D615" s="24"/>
      <c r="E615" s="24"/>
      <c r="F615" s="117"/>
      <c r="G615" s="117"/>
      <c r="H615" s="24"/>
      <c r="I615" s="24"/>
      <c r="J615" s="24"/>
      <c r="K615" s="24"/>
      <c r="L615" s="24"/>
      <c r="M615" s="24"/>
      <c r="N615" s="24"/>
      <c r="O615" s="24"/>
      <c r="P615" s="24"/>
      <c r="Q615" s="24"/>
      <c r="R615" s="24"/>
      <c r="S615" s="24"/>
      <c r="T615" s="24"/>
      <c r="U615" s="24"/>
      <c r="V615" s="24"/>
      <c r="W615" s="24"/>
      <c r="X615" s="24"/>
      <c r="Y615" s="24"/>
      <c r="Z615" s="24"/>
      <c r="AA615" s="24"/>
      <c r="AB615" s="24"/>
      <c r="AC615" s="24"/>
    </row>
    <row r="616" spans="1:29" ht="12.9">
      <c r="A616" s="24"/>
      <c r="B616" s="24"/>
      <c r="C616" s="24"/>
      <c r="D616" s="24"/>
      <c r="E616" s="24"/>
      <c r="F616" s="117"/>
      <c r="G616" s="117"/>
      <c r="H616" s="24"/>
      <c r="I616" s="24"/>
      <c r="J616" s="24"/>
      <c r="K616" s="24"/>
      <c r="L616" s="24"/>
      <c r="M616" s="24"/>
      <c r="N616" s="24"/>
      <c r="O616" s="24"/>
      <c r="P616" s="24"/>
      <c r="Q616" s="24"/>
      <c r="R616" s="24"/>
      <c r="S616" s="24"/>
      <c r="T616" s="24"/>
      <c r="U616" s="24"/>
      <c r="V616" s="24"/>
      <c r="W616" s="24"/>
      <c r="X616" s="24"/>
      <c r="Y616" s="24"/>
      <c r="Z616" s="24"/>
      <c r="AA616" s="24"/>
      <c r="AB616" s="24"/>
      <c r="AC616" s="24"/>
    </row>
    <row r="617" spans="1:29" ht="12.9">
      <c r="A617" s="24"/>
      <c r="B617" s="24"/>
      <c r="C617" s="24"/>
      <c r="D617" s="24"/>
      <c r="E617" s="24"/>
      <c r="F617" s="117"/>
      <c r="G617" s="117"/>
      <c r="H617" s="24"/>
      <c r="I617" s="24"/>
      <c r="J617" s="24"/>
      <c r="K617" s="24"/>
      <c r="L617" s="24"/>
      <c r="M617" s="24"/>
      <c r="N617" s="24"/>
      <c r="O617" s="24"/>
      <c r="P617" s="24"/>
      <c r="Q617" s="24"/>
      <c r="R617" s="24"/>
      <c r="S617" s="24"/>
      <c r="T617" s="24"/>
      <c r="U617" s="24"/>
      <c r="V617" s="24"/>
      <c r="W617" s="24"/>
      <c r="X617" s="24"/>
      <c r="Y617" s="24"/>
      <c r="Z617" s="24"/>
      <c r="AA617" s="24"/>
      <c r="AB617" s="24"/>
      <c r="AC617" s="24"/>
    </row>
    <row r="618" spans="1:29" ht="12.9">
      <c r="A618" s="24"/>
      <c r="B618" s="24"/>
      <c r="C618" s="24"/>
      <c r="D618" s="24"/>
      <c r="E618" s="24"/>
      <c r="F618" s="117"/>
      <c r="G618" s="117"/>
      <c r="H618" s="24"/>
      <c r="I618" s="24"/>
      <c r="J618" s="24"/>
      <c r="K618" s="24"/>
      <c r="L618" s="24"/>
      <c r="M618" s="24"/>
      <c r="N618" s="24"/>
      <c r="O618" s="24"/>
      <c r="P618" s="24"/>
      <c r="Q618" s="24"/>
      <c r="R618" s="24"/>
      <c r="S618" s="24"/>
      <c r="T618" s="24"/>
      <c r="U618" s="24"/>
      <c r="V618" s="24"/>
      <c r="W618" s="24"/>
      <c r="X618" s="24"/>
      <c r="Y618" s="24"/>
      <c r="Z618" s="24"/>
      <c r="AA618" s="24"/>
      <c r="AB618" s="24"/>
      <c r="AC618" s="24"/>
    </row>
    <row r="619" spans="1:29" ht="12.9">
      <c r="A619" s="24"/>
      <c r="B619" s="24"/>
      <c r="C619" s="24"/>
      <c r="D619" s="24"/>
      <c r="E619" s="24"/>
      <c r="F619" s="117"/>
      <c r="G619" s="117"/>
      <c r="H619" s="24"/>
      <c r="I619" s="24"/>
      <c r="J619" s="24"/>
      <c r="K619" s="24"/>
      <c r="L619" s="24"/>
      <c r="M619" s="24"/>
      <c r="N619" s="24"/>
      <c r="O619" s="24"/>
      <c r="P619" s="24"/>
      <c r="Q619" s="24"/>
      <c r="R619" s="24"/>
      <c r="S619" s="24"/>
      <c r="T619" s="24"/>
      <c r="U619" s="24"/>
      <c r="V619" s="24"/>
      <c r="W619" s="24"/>
      <c r="X619" s="24"/>
      <c r="Y619" s="24"/>
      <c r="Z619" s="24"/>
      <c r="AA619" s="24"/>
      <c r="AB619" s="24"/>
      <c r="AC619" s="24"/>
    </row>
    <row r="620" spans="1:29" ht="12.9">
      <c r="A620" s="24"/>
      <c r="B620" s="24"/>
      <c r="C620" s="24"/>
      <c r="D620" s="24"/>
      <c r="E620" s="24"/>
      <c r="F620" s="117"/>
      <c r="G620" s="117"/>
      <c r="H620" s="24"/>
      <c r="I620" s="24"/>
      <c r="J620" s="24"/>
      <c r="K620" s="24"/>
      <c r="L620" s="24"/>
      <c r="M620" s="24"/>
      <c r="N620" s="24"/>
      <c r="O620" s="24"/>
      <c r="P620" s="24"/>
      <c r="Q620" s="24"/>
      <c r="R620" s="24"/>
      <c r="S620" s="24"/>
      <c r="T620" s="24"/>
      <c r="U620" s="24"/>
      <c r="V620" s="24"/>
      <c r="W620" s="24"/>
      <c r="X620" s="24"/>
      <c r="Y620" s="24"/>
      <c r="Z620" s="24"/>
      <c r="AA620" s="24"/>
      <c r="AB620" s="24"/>
      <c r="AC620" s="24"/>
    </row>
    <row r="621" spans="1:29" ht="12.9">
      <c r="A621" s="24"/>
      <c r="B621" s="24"/>
      <c r="C621" s="24"/>
      <c r="D621" s="24"/>
      <c r="E621" s="24"/>
      <c r="F621" s="117"/>
      <c r="G621" s="117"/>
      <c r="H621" s="24"/>
      <c r="I621" s="24"/>
      <c r="J621" s="24"/>
      <c r="K621" s="24"/>
      <c r="L621" s="24"/>
      <c r="M621" s="24"/>
      <c r="N621" s="24"/>
      <c r="O621" s="24"/>
      <c r="P621" s="24"/>
      <c r="Q621" s="24"/>
      <c r="R621" s="24"/>
      <c r="S621" s="24"/>
      <c r="T621" s="24"/>
      <c r="U621" s="24"/>
      <c r="V621" s="24"/>
      <c r="W621" s="24"/>
      <c r="X621" s="24"/>
      <c r="Y621" s="24"/>
      <c r="Z621" s="24"/>
      <c r="AA621" s="24"/>
      <c r="AB621" s="24"/>
      <c r="AC621" s="24"/>
    </row>
    <row r="622" spans="1:29" ht="12.9">
      <c r="A622" s="24"/>
      <c r="B622" s="24"/>
      <c r="C622" s="24"/>
      <c r="D622" s="24"/>
      <c r="E622" s="24"/>
      <c r="F622" s="117"/>
      <c r="G622" s="117"/>
      <c r="H622" s="24"/>
      <c r="I622" s="24"/>
      <c r="J622" s="24"/>
      <c r="K622" s="24"/>
      <c r="L622" s="24"/>
      <c r="M622" s="24"/>
      <c r="N622" s="24"/>
      <c r="O622" s="24"/>
      <c r="P622" s="24"/>
      <c r="Q622" s="24"/>
      <c r="R622" s="24"/>
      <c r="S622" s="24"/>
      <c r="T622" s="24"/>
      <c r="U622" s="24"/>
      <c r="V622" s="24"/>
      <c r="W622" s="24"/>
      <c r="X622" s="24"/>
      <c r="Y622" s="24"/>
      <c r="Z622" s="24"/>
      <c r="AA622" s="24"/>
      <c r="AB622" s="24"/>
      <c r="AC622" s="24"/>
    </row>
    <row r="623" spans="1:29" ht="12.9">
      <c r="A623" s="24"/>
      <c r="B623" s="24"/>
      <c r="C623" s="24"/>
      <c r="D623" s="24"/>
      <c r="E623" s="24"/>
      <c r="F623" s="117"/>
      <c r="G623" s="117"/>
      <c r="H623" s="24"/>
      <c r="I623" s="24"/>
      <c r="J623" s="24"/>
      <c r="K623" s="24"/>
      <c r="L623" s="24"/>
      <c r="M623" s="24"/>
      <c r="N623" s="24"/>
      <c r="O623" s="24"/>
      <c r="P623" s="24"/>
      <c r="Q623" s="24"/>
      <c r="R623" s="24"/>
      <c r="S623" s="24"/>
      <c r="T623" s="24"/>
      <c r="U623" s="24"/>
      <c r="V623" s="24"/>
      <c r="W623" s="24"/>
      <c r="X623" s="24"/>
      <c r="Y623" s="24"/>
      <c r="Z623" s="24"/>
      <c r="AA623" s="24"/>
      <c r="AB623" s="24"/>
      <c r="AC623" s="24"/>
    </row>
    <row r="624" spans="1:29" ht="12.9">
      <c r="A624" s="24"/>
      <c r="B624" s="24"/>
      <c r="C624" s="24"/>
      <c r="D624" s="24"/>
      <c r="E624" s="24"/>
      <c r="F624" s="117"/>
      <c r="G624" s="117"/>
      <c r="H624" s="24"/>
      <c r="I624" s="24"/>
      <c r="J624" s="24"/>
      <c r="K624" s="24"/>
      <c r="L624" s="24"/>
      <c r="M624" s="24"/>
      <c r="N624" s="24"/>
      <c r="O624" s="24"/>
      <c r="P624" s="24"/>
      <c r="Q624" s="24"/>
      <c r="R624" s="24"/>
      <c r="S624" s="24"/>
      <c r="T624" s="24"/>
      <c r="U624" s="24"/>
      <c r="V624" s="24"/>
      <c r="W624" s="24"/>
      <c r="X624" s="24"/>
      <c r="Y624" s="24"/>
      <c r="Z624" s="24"/>
      <c r="AA624" s="24"/>
      <c r="AB624" s="24"/>
      <c r="AC624" s="24"/>
    </row>
    <row r="625" spans="1:29" ht="12.9">
      <c r="A625" s="24"/>
      <c r="B625" s="24"/>
      <c r="C625" s="24"/>
      <c r="D625" s="24"/>
      <c r="E625" s="24"/>
      <c r="F625" s="117"/>
      <c r="G625" s="117"/>
      <c r="H625" s="24"/>
      <c r="I625" s="24"/>
      <c r="J625" s="24"/>
      <c r="K625" s="24"/>
      <c r="L625" s="24"/>
      <c r="M625" s="24"/>
      <c r="N625" s="24"/>
      <c r="O625" s="24"/>
      <c r="P625" s="24"/>
      <c r="Q625" s="24"/>
      <c r="R625" s="24"/>
      <c r="S625" s="24"/>
      <c r="T625" s="24"/>
      <c r="U625" s="24"/>
      <c r="V625" s="24"/>
      <c r="W625" s="24"/>
      <c r="X625" s="24"/>
      <c r="Y625" s="24"/>
      <c r="Z625" s="24"/>
      <c r="AA625" s="24"/>
      <c r="AB625" s="24"/>
      <c r="AC625" s="24"/>
    </row>
    <row r="626" spans="1:29" ht="12.9">
      <c r="A626" s="24"/>
      <c r="B626" s="24"/>
      <c r="C626" s="24"/>
      <c r="D626" s="24"/>
      <c r="E626" s="24"/>
      <c r="F626" s="117"/>
      <c r="G626" s="117"/>
      <c r="H626" s="24"/>
      <c r="I626" s="24"/>
      <c r="J626" s="24"/>
      <c r="K626" s="24"/>
      <c r="L626" s="24"/>
      <c r="M626" s="24"/>
      <c r="N626" s="24"/>
      <c r="O626" s="24"/>
      <c r="P626" s="24"/>
      <c r="Q626" s="24"/>
      <c r="R626" s="24"/>
      <c r="S626" s="24"/>
      <c r="T626" s="24"/>
      <c r="U626" s="24"/>
      <c r="V626" s="24"/>
      <c r="W626" s="24"/>
      <c r="X626" s="24"/>
      <c r="Y626" s="24"/>
      <c r="Z626" s="24"/>
      <c r="AA626" s="24"/>
      <c r="AB626" s="24"/>
      <c r="AC626" s="24"/>
    </row>
    <row r="627" spans="1:29" ht="12.9">
      <c r="A627" s="24"/>
      <c r="B627" s="24"/>
      <c r="C627" s="24"/>
      <c r="D627" s="24"/>
      <c r="E627" s="24"/>
      <c r="F627" s="117"/>
      <c r="G627" s="117"/>
      <c r="H627" s="24"/>
      <c r="I627" s="24"/>
      <c r="J627" s="24"/>
      <c r="K627" s="24"/>
      <c r="L627" s="24"/>
      <c r="M627" s="24"/>
      <c r="N627" s="24"/>
      <c r="O627" s="24"/>
      <c r="P627" s="24"/>
      <c r="Q627" s="24"/>
      <c r="R627" s="24"/>
      <c r="S627" s="24"/>
      <c r="T627" s="24"/>
      <c r="U627" s="24"/>
      <c r="V627" s="24"/>
      <c r="W627" s="24"/>
      <c r="X627" s="24"/>
      <c r="Y627" s="24"/>
      <c r="Z627" s="24"/>
      <c r="AA627" s="24"/>
      <c r="AB627" s="24"/>
      <c r="AC627" s="24"/>
    </row>
    <row r="628" spans="1:29" ht="12.9">
      <c r="A628" s="24"/>
      <c r="B628" s="24"/>
      <c r="C628" s="24"/>
      <c r="D628" s="24"/>
      <c r="E628" s="24"/>
      <c r="F628" s="117"/>
      <c r="G628" s="117"/>
      <c r="H628" s="24"/>
      <c r="I628" s="24"/>
      <c r="J628" s="24"/>
      <c r="K628" s="24"/>
      <c r="L628" s="24"/>
      <c r="M628" s="24"/>
      <c r="N628" s="24"/>
      <c r="O628" s="24"/>
      <c r="P628" s="24"/>
      <c r="Q628" s="24"/>
      <c r="R628" s="24"/>
      <c r="S628" s="24"/>
      <c r="T628" s="24"/>
      <c r="U628" s="24"/>
      <c r="V628" s="24"/>
      <c r="W628" s="24"/>
      <c r="X628" s="24"/>
      <c r="Y628" s="24"/>
      <c r="Z628" s="24"/>
      <c r="AA628" s="24"/>
      <c r="AB628" s="24"/>
      <c r="AC628" s="24"/>
    </row>
    <row r="629" spans="1:29" ht="12.9">
      <c r="A629" s="24"/>
      <c r="B629" s="24"/>
      <c r="C629" s="24"/>
      <c r="D629" s="24"/>
      <c r="E629" s="24"/>
      <c r="F629" s="117"/>
      <c r="G629" s="117"/>
      <c r="H629" s="24"/>
      <c r="I629" s="24"/>
      <c r="J629" s="24"/>
      <c r="K629" s="24"/>
      <c r="L629" s="24"/>
      <c r="M629" s="24"/>
      <c r="N629" s="24"/>
      <c r="O629" s="24"/>
      <c r="P629" s="24"/>
      <c r="Q629" s="24"/>
      <c r="R629" s="24"/>
      <c r="S629" s="24"/>
      <c r="T629" s="24"/>
      <c r="U629" s="24"/>
      <c r="V629" s="24"/>
      <c r="W629" s="24"/>
      <c r="X629" s="24"/>
      <c r="Y629" s="24"/>
      <c r="Z629" s="24"/>
      <c r="AA629" s="24"/>
      <c r="AB629" s="24"/>
      <c r="AC629" s="24"/>
    </row>
    <row r="630" spans="1:29" ht="12.9">
      <c r="A630" s="24"/>
      <c r="B630" s="24"/>
      <c r="C630" s="24"/>
      <c r="D630" s="24"/>
      <c r="E630" s="24"/>
      <c r="F630" s="117"/>
      <c r="G630" s="117"/>
      <c r="H630" s="24"/>
      <c r="I630" s="24"/>
      <c r="J630" s="24"/>
      <c r="K630" s="24"/>
      <c r="L630" s="24"/>
      <c r="M630" s="24"/>
      <c r="N630" s="24"/>
      <c r="O630" s="24"/>
      <c r="P630" s="24"/>
      <c r="Q630" s="24"/>
      <c r="R630" s="24"/>
      <c r="S630" s="24"/>
      <c r="T630" s="24"/>
      <c r="U630" s="24"/>
      <c r="V630" s="24"/>
      <c r="W630" s="24"/>
      <c r="X630" s="24"/>
      <c r="Y630" s="24"/>
      <c r="Z630" s="24"/>
      <c r="AA630" s="24"/>
      <c r="AB630" s="24"/>
      <c r="AC630" s="24"/>
    </row>
    <row r="631" spans="1:29" ht="12.9">
      <c r="A631" s="24"/>
      <c r="B631" s="24"/>
      <c r="C631" s="24"/>
      <c r="D631" s="24"/>
      <c r="E631" s="24"/>
      <c r="F631" s="117"/>
      <c r="G631" s="117"/>
      <c r="H631" s="24"/>
      <c r="I631" s="24"/>
      <c r="J631" s="24"/>
      <c r="K631" s="24"/>
      <c r="L631" s="24"/>
      <c r="M631" s="24"/>
      <c r="N631" s="24"/>
      <c r="O631" s="24"/>
      <c r="P631" s="24"/>
      <c r="Q631" s="24"/>
      <c r="R631" s="24"/>
      <c r="S631" s="24"/>
      <c r="T631" s="24"/>
      <c r="U631" s="24"/>
      <c r="V631" s="24"/>
      <c r="W631" s="24"/>
      <c r="X631" s="24"/>
      <c r="Y631" s="24"/>
      <c r="Z631" s="24"/>
      <c r="AA631" s="24"/>
      <c r="AB631" s="24"/>
      <c r="AC631" s="24"/>
    </row>
    <row r="632" spans="1:29" ht="12.9">
      <c r="A632" s="24"/>
      <c r="B632" s="24"/>
      <c r="C632" s="24"/>
      <c r="D632" s="24"/>
      <c r="E632" s="24"/>
      <c r="F632" s="117"/>
      <c r="G632" s="117"/>
      <c r="H632" s="24"/>
      <c r="I632" s="24"/>
      <c r="J632" s="24"/>
      <c r="K632" s="24"/>
      <c r="L632" s="24"/>
      <c r="M632" s="24"/>
      <c r="N632" s="24"/>
      <c r="O632" s="24"/>
      <c r="P632" s="24"/>
      <c r="Q632" s="24"/>
      <c r="R632" s="24"/>
      <c r="S632" s="24"/>
      <c r="T632" s="24"/>
      <c r="U632" s="24"/>
      <c r="V632" s="24"/>
      <c r="W632" s="24"/>
      <c r="X632" s="24"/>
      <c r="Y632" s="24"/>
      <c r="Z632" s="24"/>
      <c r="AA632" s="24"/>
      <c r="AB632" s="24"/>
      <c r="AC632" s="24"/>
    </row>
    <row r="633" spans="1:29" ht="12.9">
      <c r="A633" s="24"/>
      <c r="B633" s="24"/>
      <c r="C633" s="24"/>
      <c r="D633" s="24"/>
      <c r="E633" s="24"/>
      <c r="F633" s="117"/>
      <c r="G633" s="117"/>
      <c r="H633" s="24"/>
      <c r="I633" s="24"/>
      <c r="J633" s="24"/>
      <c r="K633" s="24"/>
      <c r="L633" s="24"/>
      <c r="M633" s="24"/>
      <c r="N633" s="24"/>
      <c r="O633" s="24"/>
      <c r="P633" s="24"/>
      <c r="Q633" s="24"/>
      <c r="R633" s="24"/>
      <c r="S633" s="24"/>
      <c r="T633" s="24"/>
      <c r="U633" s="24"/>
      <c r="V633" s="24"/>
      <c r="W633" s="24"/>
      <c r="X633" s="24"/>
      <c r="Y633" s="24"/>
      <c r="Z633" s="24"/>
      <c r="AA633" s="24"/>
      <c r="AB633" s="24"/>
      <c r="AC633" s="24"/>
    </row>
    <row r="634" spans="1:29" ht="12.9">
      <c r="A634" s="24"/>
      <c r="B634" s="24"/>
      <c r="C634" s="24"/>
      <c r="D634" s="24"/>
      <c r="E634" s="24"/>
      <c r="F634" s="117"/>
      <c r="G634" s="117"/>
      <c r="H634" s="24"/>
      <c r="I634" s="24"/>
      <c r="J634" s="24"/>
      <c r="K634" s="24"/>
      <c r="L634" s="24"/>
      <c r="M634" s="24"/>
      <c r="N634" s="24"/>
      <c r="O634" s="24"/>
      <c r="P634" s="24"/>
      <c r="Q634" s="24"/>
      <c r="R634" s="24"/>
      <c r="S634" s="24"/>
      <c r="T634" s="24"/>
      <c r="U634" s="24"/>
      <c r="V634" s="24"/>
      <c r="W634" s="24"/>
      <c r="X634" s="24"/>
      <c r="Y634" s="24"/>
      <c r="Z634" s="24"/>
      <c r="AA634" s="24"/>
      <c r="AB634" s="24"/>
      <c r="AC634" s="24"/>
    </row>
    <row r="635" spans="1:29" ht="12.9">
      <c r="A635" s="24"/>
      <c r="B635" s="24"/>
      <c r="C635" s="24"/>
      <c r="D635" s="24"/>
      <c r="E635" s="24"/>
      <c r="F635" s="117"/>
      <c r="G635" s="117"/>
      <c r="H635" s="24"/>
      <c r="I635" s="24"/>
      <c r="J635" s="24"/>
      <c r="K635" s="24"/>
      <c r="L635" s="24"/>
      <c r="M635" s="24"/>
      <c r="N635" s="24"/>
      <c r="O635" s="24"/>
      <c r="P635" s="24"/>
      <c r="Q635" s="24"/>
      <c r="R635" s="24"/>
      <c r="S635" s="24"/>
      <c r="T635" s="24"/>
      <c r="U635" s="24"/>
      <c r="V635" s="24"/>
      <c r="W635" s="24"/>
      <c r="X635" s="24"/>
      <c r="Y635" s="24"/>
      <c r="Z635" s="24"/>
      <c r="AA635" s="24"/>
      <c r="AB635" s="24"/>
      <c r="AC635" s="24"/>
    </row>
    <row r="636" spans="1:29" ht="12.9">
      <c r="A636" s="24"/>
      <c r="B636" s="24"/>
      <c r="C636" s="24"/>
      <c r="D636" s="24"/>
      <c r="E636" s="24"/>
      <c r="F636" s="117"/>
      <c r="G636" s="117"/>
      <c r="H636" s="24"/>
      <c r="I636" s="24"/>
      <c r="J636" s="24"/>
      <c r="K636" s="24"/>
      <c r="L636" s="24"/>
      <c r="M636" s="24"/>
      <c r="N636" s="24"/>
      <c r="O636" s="24"/>
      <c r="P636" s="24"/>
      <c r="Q636" s="24"/>
      <c r="R636" s="24"/>
      <c r="S636" s="24"/>
      <c r="T636" s="24"/>
      <c r="U636" s="24"/>
      <c r="V636" s="24"/>
      <c r="W636" s="24"/>
      <c r="X636" s="24"/>
      <c r="Y636" s="24"/>
      <c r="Z636" s="24"/>
      <c r="AA636" s="24"/>
      <c r="AB636" s="24"/>
      <c r="AC636" s="24"/>
    </row>
    <row r="637" spans="1:29" ht="12.9">
      <c r="A637" s="24"/>
      <c r="B637" s="24"/>
      <c r="C637" s="24"/>
      <c r="D637" s="24"/>
      <c r="E637" s="24"/>
      <c r="F637" s="117"/>
      <c r="G637" s="117"/>
      <c r="H637" s="24"/>
      <c r="I637" s="24"/>
      <c r="J637" s="24"/>
      <c r="K637" s="24"/>
      <c r="L637" s="24"/>
      <c r="M637" s="24"/>
      <c r="N637" s="24"/>
      <c r="O637" s="24"/>
      <c r="P637" s="24"/>
      <c r="Q637" s="24"/>
      <c r="R637" s="24"/>
      <c r="S637" s="24"/>
      <c r="T637" s="24"/>
      <c r="U637" s="24"/>
      <c r="V637" s="24"/>
      <c r="W637" s="24"/>
      <c r="X637" s="24"/>
      <c r="Y637" s="24"/>
      <c r="Z637" s="24"/>
      <c r="AA637" s="24"/>
      <c r="AB637" s="24"/>
      <c r="AC637" s="24"/>
    </row>
    <row r="638" spans="1:29" ht="12.9">
      <c r="A638" s="24"/>
      <c r="B638" s="24"/>
      <c r="C638" s="24"/>
      <c r="D638" s="24"/>
      <c r="E638" s="24"/>
      <c r="F638" s="117"/>
      <c r="G638" s="117"/>
      <c r="H638" s="24"/>
      <c r="I638" s="24"/>
      <c r="J638" s="24"/>
      <c r="K638" s="24"/>
      <c r="L638" s="24"/>
      <c r="M638" s="24"/>
      <c r="N638" s="24"/>
      <c r="O638" s="24"/>
      <c r="P638" s="24"/>
      <c r="Q638" s="24"/>
      <c r="R638" s="24"/>
      <c r="S638" s="24"/>
      <c r="T638" s="24"/>
      <c r="U638" s="24"/>
      <c r="V638" s="24"/>
      <c r="W638" s="24"/>
      <c r="X638" s="24"/>
      <c r="Y638" s="24"/>
      <c r="Z638" s="24"/>
      <c r="AA638" s="24"/>
      <c r="AB638" s="24"/>
      <c r="AC638" s="24"/>
    </row>
    <row r="639" spans="1:29" ht="12.9">
      <c r="A639" s="24"/>
      <c r="B639" s="24"/>
      <c r="C639" s="24"/>
      <c r="D639" s="24"/>
      <c r="E639" s="24"/>
      <c r="F639" s="117"/>
      <c r="G639" s="117"/>
      <c r="H639" s="24"/>
      <c r="I639" s="24"/>
      <c r="J639" s="24"/>
      <c r="K639" s="24"/>
      <c r="L639" s="24"/>
      <c r="M639" s="24"/>
      <c r="N639" s="24"/>
      <c r="O639" s="24"/>
      <c r="P639" s="24"/>
      <c r="Q639" s="24"/>
      <c r="R639" s="24"/>
      <c r="S639" s="24"/>
      <c r="T639" s="24"/>
      <c r="U639" s="24"/>
      <c r="V639" s="24"/>
      <c r="W639" s="24"/>
      <c r="X639" s="24"/>
      <c r="Y639" s="24"/>
      <c r="Z639" s="24"/>
      <c r="AA639" s="24"/>
      <c r="AB639" s="24"/>
      <c r="AC639" s="24"/>
    </row>
    <row r="640" spans="1:29" ht="12.9">
      <c r="A640" s="24"/>
      <c r="B640" s="24"/>
      <c r="C640" s="24"/>
      <c r="D640" s="24"/>
      <c r="E640" s="24"/>
      <c r="F640" s="117"/>
      <c r="G640" s="117"/>
      <c r="H640" s="24"/>
      <c r="I640" s="24"/>
      <c r="J640" s="24"/>
      <c r="K640" s="24"/>
      <c r="L640" s="24"/>
      <c r="M640" s="24"/>
      <c r="N640" s="24"/>
      <c r="O640" s="24"/>
      <c r="P640" s="24"/>
      <c r="Q640" s="24"/>
      <c r="R640" s="24"/>
      <c r="S640" s="24"/>
      <c r="T640" s="24"/>
      <c r="U640" s="24"/>
      <c r="V640" s="24"/>
      <c r="W640" s="24"/>
      <c r="X640" s="24"/>
      <c r="Y640" s="24"/>
      <c r="Z640" s="24"/>
      <c r="AA640" s="24"/>
      <c r="AB640" s="24"/>
      <c r="AC640" s="24"/>
    </row>
    <row r="641" spans="1:29" ht="12.9">
      <c r="A641" s="24"/>
      <c r="B641" s="24"/>
      <c r="C641" s="24"/>
      <c r="D641" s="24"/>
      <c r="E641" s="24"/>
      <c r="F641" s="117"/>
      <c r="G641" s="117"/>
      <c r="H641" s="24"/>
      <c r="I641" s="24"/>
      <c r="J641" s="24"/>
      <c r="K641" s="24"/>
      <c r="L641" s="24"/>
      <c r="M641" s="24"/>
      <c r="N641" s="24"/>
      <c r="O641" s="24"/>
      <c r="P641" s="24"/>
      <c r="Q641" s="24"/>
      <c r="R641" s="24"/>
      <c r="S641" s="24"/>
      <c r="T641" s="24"/>
      <c r="U641" s="24"/>
      <c r="V641" s="24"/>
      <c r="W641" s="24"/>
      <c r="X641" s="24"/>
      <c r="Y641" s="24"/>
      <c r="Z641" s="24"/>
      <c r="AA641" s="24"/>
      <c r="AB641" s="24"/>
      <c r="AC641" s="24"/>
    </row>
    <row r="642" spans="1:29" ht="12.9">
      <c r="A642" s="24"/>
      <c r="B642" s="24"/>
      <c r="C642" s="24"/>
      <c r="D642" s="24"/>
      <c r="E642" s="24"/>
      <c r="F642" s="117"/>
      <c r="G642" s="117"/>
      <c r="H642" s="24"/>
      <c r="I642" s="24"/>
      <c r="J642" s="24"/>
      <c r="K642" s="24"/>
      <c r="L642" s="24"/>
      <c r="M642" s="24"/>
      <c r="N642" s="24"/>
      <c r="O642" s="24"/>
      <c r="P642" s="24"/>
      <c r="Q642" s="24"/>
      <c r="R642" s="24"/>
      <c r="S642" s="24"/>
      <c r="T642" s="24"/>
      <c r="U642" s="24"/>
      <c r="V642" s="24"/>
      <c r="W642" s="24"/>
      <c r="X642" s="24"/>
      <c r="Y642" s="24"/>
      <c r="Z642" s="24"/>
      <c r="AA642" s="24"/>
      <c r="AB642" s="24"/>
      <c r="AC642" s="24"/>
    </row>
    <row r="643" spans="1:29" ht="12.9">
      <c r="A643" s="24"/>
      <c r="B643" s="24"/>
      <c r="C643" s="24"/>
      <c r="D643" s="24"/>
      <c r="E643" s="24"/>
      <c r="F643" s="117"/>
      <c r="G643" s="117"/>
      <c r="H643" s="24"/>
      <c r="I643" s="24"/>
      <c r="J643" s="24"/>
      <c r="K643" s="24"/>
      <c r="L643" s="24"/>
      <c r="M643" s="24"/>
      <c r="N643" s="24"/>
      <c r="O643" s="24"/>
      <c r="P643" s="24"/>
      <c r="Q643" s="24"/>
      <c r="R643" s="24"/>
      <c r="S643" s="24"/>
      <c r="T643" s="24"/>
      <c r="U643" s="24"/>
      <c r="V643" s="24"/>
      <c r="W643" s="24"/>
      <c r="X643" s="24"/>
      <c r="Y643" s="24"/>
      <c r="Z643" s="24"/>
      <c r="AA643" s="24"/>
      <c r="AB643" s="24"/>
      <c r="AC643" s="24"/>
    </row>
    <row r="644" spans="1:29" ht="12.9">
      <c r="A644" s="24"/>
      <c r="B644" s="24"/>
      <c r="C644" s="24"/>
      <c r="D644" s="24"/>
      <c r="E644" s="24"/>
      <c r="F644" s="117"/>
      <c r="G644" s="117"/>
      <c r="H644" s="24"/>
      <c r="I644" s="24"/>
      <c r="J644" s="24"/>
      <c r="K644" s="24"/>
      <c r="L644" s="24"/>
      <c r="M644" s="24"/>
      <c r="N644" s="24"/>
      <c r="O644" s="24"/>
      <c r="P644" s="24"/>
      <c r="Q644" s="24"/>
      <c r="R644" s="24"/>
      <c r="S644" s="24"/>
      <c r="T644" s="24"/>
      <c r="U644" s="24"/>
      <c r="V644" s="24"/>
      <c r="W644" s="24"/>
      <c r="X644" s="24"/>
      <c r="Y644" s="24"/>
      <c r="Z644" s="24"/>
      <c r="AA644" s="24"/>
      <c r="AB644" s="24"/>
      <c r="AC644" s="24"/>
    </row>
    <row r="645" spans="1:29" ht="12.9">
      <c r="A645" s="24"/>
      <c r="B645" s="24"/>
      <c r="C645" s="24"/>
      <c r="D645" s="24"/>
      <c r="E645" s="24"/>
      <c r="F645" s="117"/>
      <c r="G645" s="117"/>
      <c r="H645" s="24"/>
      <c r="I645" s="24"/>
      <c r="J645" s="24"/>
      <c r="K645" s="24"/>
      <c r="L645" s="24"/>
      <c r="M645" s="24"/>
      <c r="N645" s="24"/>
      <c r="O645" s="24"/>
      <c r="P645" s="24"/>
      <c r="Q645" s="24"/>
      <c r="R645" s="24"/>
      <c r="S645" s="24"/>
      <c r="T645" s="24"/>
      <c r="U645" s="24"/>
      <c r="V645" s="24"/>
      <c r="W645" s="24"/>
      <c r="X645" s="24"/>
      <c r="Y645" s="24"/>
      <c r="Z645" s="24"/>
      <c r="AA645" s="24"/>
      <c r="AB645" s="24"/>
      <c r="AC645" s="24"/>
    </row>
    <row r="646" spans="1:29" ht="12.9">
      <c r="A646" s="24"/>
      <c r="B646" s="24"/>
      <c r="C646" s="24"/>
      <c r="D646" s="24"/>
      <c r="E646" s="24"/>
      <c r="F646" s="117"/>
      <c r="G646" s="117"/>
      <c r="H646" s="24"/>
      <c r="I646" s="24"/>
      <c r="J646" s="24"/>
      <c r="K646" s="24"/>
      <c r="L646" s="24"/>
      <c r="M646" s="24"/>
      <c r="N646" s="24"/>
      <c r="O646" s="24"/>
      <c r="P646" s="24"/>
      <c r="Q646" s="24"/>
      <c r="R646" s="24"/>
      <c r="S646" s="24"/>
      <c r="T646" s="24"/>
      <c r="U646" s="24"/>
      <c r="V646" s="24"/>
      <c r="W646" s="24"/>
      <c r="X646" s="24"/>
      <c r="Y646" s="24"/>
      <c r="Z646" s="24"/>
      <c r="AA646" s="24"/>
      <c r="AB646" s="24"/>
      <c r="AC646" s="24"/>
    </row>
    <row r="647" spans="1:29" ht="12.9">
      <c r="A647" s="24"/>
      <c r="B647" s="24"/>
      <c r="C647" s="24"/>
      <c r="D647" s="24"/>
      <c r="E647" s="24"/>
      <c r="F647" s="117"/>
      <c r="G647" s="117"/>
      <c r="H647" s="24"/>
      <c r="I647" s="24"/>
      <c r="J647" s="24"/>
      <c r="K647" s="24"/>
      <c r="L647" s="24"/>
      <c r="M647" s="24"/>
      <c r="N647" s="24"/>
      <c r="O647" s="24"/>
      <c r="P647" s="24"/>
      <c r="Q647" s="24"/>
      <c r="R647" s="24"/>
      <c r="S647" s="24"/>
      <c r="T647" s="24"/>
      <c r="U647" s="24"/>
      <c r="V647" s="24"/>
      <c r="W647" s="24"/>
      <c r="X647" s="24"/>
      <c r="Y647" s="24"/>
      <c r="Z647" s="24"/>
      <c r="AA647" s="24"/>
      <c r="AB647" s="24"/>
      <c r="AC647" s="24"/>
    </row>
    <row r="648" spans="1:29" ht="12.9">
      <c r="A648" s="24"/>
      <c r="B648" s="24"/>
      <c r="C648" s="24"/>
      <c r="D648" s="24"/>
      <c r="E648" s="24"/>
      <c r="F648" s="117"/>
      <c r="G648" s="117"/>
      <c r="H648" s="24"/>
      <c r="I648" s="24"/>
      <c r="J648" s="24"/>
      <c r="K648" s="24"/>
      <c r="L648" s="24"/>
      <c r="M648" s="24"/>
      <c r="N648" s="24"/>
      <c r="O648" s="24"/>
      <c r="P648" s="24"/>
      <c r="Q648" s="24"/>
      <c r="R648" s="24"/>
      <c r="S648" s="24"/>
      <c r="T648" s="24"/>
      <c r="U648" s="24"/>
      <c r="V648" s="24"/>
      <c r="W648" s="24"/>
      <c r="X648" s="24"/>
      <c r="Y648" s="24"/>
      <c r="Z648" s="24"/>
      <c r="AA648" s="24"/>
      <c r="AB648" s="24"/>
      <c r="AC648" s="24"/>
    </row>
    <row r="649" spans="1:29" ht="12.9">
      <c r="A649" s="24"/>
      <c r="B649" s="24"/>
      <c r="C649" s="24"/>
      <c r="D649" s="24"/>
      <c r="E649" s="24"/>
      <c r="F649" s="117"/>
      <c r="G649" s="117"/>
      <c r="H649" s="24"/>
      <c r="I649" s="24"/>
      <c r="J649" s="24"/>
      <c r="K649" s="24"/>
      <c r="L649" s="24"/>
      <c r="M649" s="24"/>
      <c r="N649" s="24"/>
      <c r="O649" s="24"/>
      <c r="P649" s="24"/>
      <c r="Q649" s="24"/>
      <c r="R649" s="24"/>
      <c r="S649" s="24"/>
      <c r="T649" s="24"/>
      <c r="U649" s="24"/>
      <c r="V649" s="24"/>
      <c r="W649" s="24"/>
      <c r="X649" s="24"/>
      <c r="Y649" s="24"/>
      <c r="Z649" s="24"/>
      <c r="AA649" s="24"/>
      <c r="AB649" s="24"/>
      <c r="AC649" s="24"/>
    </row>
    <row r="650" spans="1:29" ht="12.9">
      <c r="A650" s="24"/>
      <c r="B650" s="24"/>
      <c r="C650" s="24"/>
      <c r="D650" s="24"/>
      <c r="E650" s="24"/>
      <c r="F650" s="117"/>
      <c r="G650" s="117"/>
      <c r="H650" s="24"/>
      <c r="I650" s="24"/>
      <c r="J650" s="24"/>
      <c r="K650" s="24"/>
      <c r="L650" s="24"/>
      <c r="M650" s="24"/>
      <c r="N650" s="24"/>
      <c r="O650" s="24"/>
      <c r="P650" s="24"/>
      <c r="Q650" s="24"/>
      <c r="R650" s="24"/>
      <c r="S650" s="24"/>
      <c r="T650" s="24"/>
      <c r="U650" s="24"/>
      <c r="V650" s="24"/>
      <c r="W650" s="24"/>
      <c r="X650" s="24"/>
      <c r="Y650" s="24"/>
      <c r="Z650" s="24"/>
      <c r="AA650" s="24"/>
      <c r="AB650" s="24"/>
      <c r="AC650" s="24"/>
    </row>
    <row r="651" spans="1:29" ht="12.9">
      <c r="A651" s="24"/>
      <c r="B651" s="24"/>
      <c r="C651" s="24"/>
      <c r="D651" s="24"/>
      <c r="E651" s="24"/>
      <c r="F651" s="117"/>
      <c r="G651" s="117"/>
      <c r="H651" s="24"/>
      <c r="I651" s="24"/>
      <c r="J651" s="24"/>
      <c r="K651" s="24"/>
      <c r="L651" s="24"/>
      <c r="M651" s="24"/>
      <c r="N651" s="24"/>
      <c r="O651" s="24"/>
      <c r="P651" s="24"/>
      <c r="Q651" s="24"/>
      <c r="R651" s="24"/>
      <c r="S651" s="24"/>
      <c r="T651" s="24"/>
      <c r="U651" s="24"/>
      <c r="V651" s="24"/>
      <c r="W651" s="24"/>
      <c r="X651" s="24"/>
      <c r="Y651" s="24"/>
      <c r="Z651" s="24"/>
      <c r="AA651" s="24"/>
      <c r="AB651" s="24"/>
      <c r="AC651" s="24"/>
    </row>
    <row r="652" spans="1:29" ht="12.9">
      <c r="A652" s="24"/>
      <c r="B652" s="24"/>
      <c r="C652" s="24"/>
      <c r="D652" s="24"/>
      <c r="E652" s="24"/>
      <c r="F652" s="117"/>
      <c r="G652" s="117"/>
      <c r="H652" s="24"/>
      <c r="I652" s="24"/>
      <c r="J652" s="24"/>
      <c r="K652" s="24"/>
      <c r="L652" s="24"/>
      <c r="M652" s="24"/>
      <c r="N652" s="24"/>
      <c r="O652" s="24"/>
      <c r="P652" s="24"/>
      <c r="Q652" s="24"/>
      <c r="R652" s="24"/>
      <c r="S652" s="24"/>
      <c r="T652" s="24"/>
      <c r="U652" s="24"/>
      <c r="V652" s="24"/>
      <c r="W652" s="24"/>
      <c r="X652" s="24"/>
      <c r="Y652" s="24"/>
      <c r="Z652" s="24"/>
      <c r="AA652" s="24"/>
      <c r="AB652" s="24"/>
      <c r="AC652" s="24"/>
    </row>
    <row r="653" spans="1:29" ht="12.9">
      <c r="A653" s="24"/>
      <c r="B653" s="24"/>
      <c r="C653" s="24"/>
      <c r="D653" s="24"/>
      <c r="E653" s="24"/>
      <c r="F653" s="117"/>
      <c r="G653" s="117"/>
      <c r="H653" s="24"/>
      <c r="I653" s="24"/>
      <c r="J653" s="24"/>
      <c r="K653" s="24"/>
      <c r="L653" s="24"/>
      <c r="M653" s="24"/>
      <c r="N653" s="24"/>
      <c r="O653" s="24"/>
      <c r="P653" s="24"/>
      <c r="Q653" s="24"/>
      <c r="R653" s="24"/>
      <c r="S653" s="24"/>
      <c r="T653" s="24"/>
      <c r="U653" s="24"/>
      <c r="V653" s="24"/>
      <c r="W653" s="24"/>
      <c r="X653" s="24"/>
      <c r="Y653" s="24"/>
      <c r="Z653" s="24"/>
      <c r="AA653" s="24"/>
      <c r="AB653" s="24"/>
      <c r="AC653" s="24"/>
    </row>
    <row r="654" spans="1:29" ht="12.9">
      <c r="A654" s="24"/>
      <c r="B654" s="24"/>
      <c r="C654" s="24"/>
      <c r="D654" s="24"/>
      <c r="E654" s="24"/>
      <c r="F654" s="117"/>
      <c r="G654" s="117"/>
      <c r="H654" s="24"/>
      <c r="I654" s="24"/>
      <c r="J654" s="24"/>
      <c r="K654" s="24"/>
      <c r="L654" s="24"/>
      <c r="M654" s="24"/>
      <c r="N654" s="24"/>
      <c r="O654" s="24"/>
      <c r="P654" s="24"/>
      <c r="Q654" s="24"/>
      <c r="R654" s="24"/>
      <c r="S654" s="24"/>
      <c r="T654" s="24"/>
      <c r="U654" s="24"/>
      <c r="V654" s="24"/>
      <c r="W654" s="24"/>
      <c r="X654" s="24"/>
      <c r="Y654" s="24"/>
      <c r="Z654" s="24"/>
      <c r="AA654" s="24"/>
      <c r="AB654" s="24"/>
      <c r="AC654" s="24"/>
    </row>
    <row r="655" spans="1:29" ht="12.9">
      <c r="A655" s="24"/>
      <c r="B655" s="24"/>
      <c r="C655" s="24"/>
      <c r="D655" s="24"/>
      <c r="E655" s="24"/>
      <c r="F655" s="117"/>
      <c r="G655" s="117"/>
      <c r="H655" s="24"/>
      <c r="I655" s="24"/>
      <c r="J655" s="24"/>
      <c r="K655" s="24"/>
      <c r="L655" s="24"/>
      <c r="M655" s="24"/>
      <c r="N655" s="24"/>
      <c r="O655" s="24"/>
      <c r="P655" s="24"/>
      <c r="Q655" s="24"/>
      <c r="R655" s="24"/>
      <c r="S655" s="24"/>
      <c r="T655" s="24"/>
      <c r="U655" s="24"/>
      <c r="V655" s="24"/>
      <c r="W655" s="24"/>
      <c r="X655" s="24"/>
      <c r="Y655" s="24"/>
      <c r="Z655" s="24"/>
      <c r="AA655" s="24"/>
      <c r="AB655" s="24"/>
      <c r="AC655" s="24"/>
    </row>
    <row r="656" spans="1:29" ht="12.9">
      <c r="A656" s="24"/>
      <c r="B656" s="24"/>
      <c r="C656" s="24"/>
      <c r="D656" s="24"/>
      <c r="E656" s="24"/>
      <c r="F656" s="117"/>
      <c r="G656" s="117"/>
      <c r="H656" s="24"/>
      <c r="I656" s="24"/>
      <c r="J656" s="24"/>
      <c r="K656" s="24"/>
      <c r="L656" s="24"/>
      <c r="M656" s="24"/>
      <c r="N656" s="24"/>
      <c r="O656" s="24"/>
      <c r="P656" s="24"/>
      <c r="Q656" s="24"/>
      <c r="R656" s="24"/>
      <c r="S656" s="24"/>
      <c r="T656" s="24"/>
      <c r="U656" s="24"/>
      <c r="V656" s="24"/>
      <c r="W656" s="24"/>
      <c r="X656" s="24"/>
      <c r="Y656" s="24"/>
      <c r="Z656" s="24"/>
      <c r="AA656" s="24"/>
      <c r="AB656" s="24"/>
      <c r="AC656" s="24"/>
    </row>
    <row r="657" spans="1:29" ht="12.9">
      <c r="A657" s="24"/>
      <c r="B657" s="24"/>
      <c r="C657" s="24"/>
      <c r="D657" s="24"/>
      <c r="E657" s="24"/>
      <c r="F657" s="117"/>
      <c r="G657" s="117"/>
      <c r="H657" s="24"/>
      <c r="I657" s="24"/>
      <c r="J657" s="24"/>
      <c r="K657" s="24"/>
      <c r="L657" s="24"/>
      <c r="M657" s="24"/>
      <c r="N657" s="24"/>
      <c r="O657" s="24"/>
      <c r="P657" s="24"/>
      <c r="Q657" s="24"/>
      <c r="R657" s="24"/>
      <c r="S657" s="24"/>
      <c r="T657" s="24"/>
      <c r="U657" s="24"/>
      <c r="V657" s="24"/>
      <c r="W657" s="24"/>
      <c r="X657" s="24"/>
      <c r="Y657" s="24"/>
      <c r="Z657" s="24"/>
      <c r="AA657" s="24"/>
      <c r="AB657" s="24"/>
      <c r="AC657" s="24"/>
    </row>
    <row r="658" spans="1:29" ht="12.9">
      <c r="A658" s="24"/>
      <c r="B658" s="24"/>
      <c r="C658" s="24"/>
      <c r="D658" s="24"/>
      <c r="E658" s="24"/>
      <c r="F658" s="117"/>
      <c r="G658" s="117"/>
      <c r="H658" s="24"/>
      <c r="I658" s="24"/>
      <c r="J658" s="24"/>
      <c r="K658" s="24"/>
      <c r="L658" s="24"/>
      <c r="M658" s="24"/>
      <c r="N658" s="24"/>
      <c r="O658" s="24"/>
      <c r="P658" s="24"/>
      <c r="Q658" s="24"/>
      <c r="R658" s="24"/>
      <c r="S658" s="24"/>
      <c r="T658" s="24"/>
      <c r="U658" s="24"/>
      <c r="V658" s="24"/>
      <c r="W658" s="24"/>
      <c r="X658" s="24"/>
      <c r="Y658" s="24"/>
      <c r="Z658" s="24"/>
      <c r="AA658" s="24"/>
      <c r="AB658" s="24"/>
      <c r="AC658" s="24"/>
    </row>
    <row r="659" spans="1:29" ht="12.9">
      <c r="A659" s="24"/>
      <c r="B659" s="24"/>
      <c r="C659" s="24"/>
      <c r="D659" s="24"/>
      <c r="E659" s="24"/>
      <c r="F659" s="117"/>
      <c r="G659" s="117"/>
      <c r="H659" s="24"/>
      <c r="I659" s="24"/>
      <c r="J659" s="24"/>
      <c r="K659" s="24"/>
      <c r="L659" s="24"/>
      <c r="M659" s="24"/>
      <c r="N659" s="24"/>
      <c r="O659" s="24"/>
      <c r="P659" s="24"/>
      <c r="Q659" s="24"/>
      <c r="R659" s="24"/>
      <c r="S659" s="24"/>
      <c r="T659" s="24"/>
      <c r="U659" s="24"/>
      <c r="V659" s="24"/>
      <c r="W659" s="24"/>
      <c r="X659" s="24"/>
      <c r="Y659" s="24"/>
      <c r="Z659" s="24"/>
      <c r="AA659" s="24"/>
      <c r="AB659" s="24"/>
      <c r="AC659" s="24"/>
    </row>
    <row r="660" spans="1:29" ht="12.9">
      <c r="A660" s="24"/>
      <c r="B660" s="24"/>
      <c r="C660" s="24"/>
      <c r="D660" s="24"/>
      <c r="E660" s="24"/>
      <c r="F660" s="117"/>
      <c r="G660" s="117"/>
      <c r="H660" s="24"/>
      <c r="I660" s="24"/>
      <c r="J660" s="24"/>
      <c r="K660" s="24"/>
      <c r="L660" s="24"/>
      <c r="M660" s="24"/>
      <c r="N660" s="24"/>
      <c r="O660" s="24"/>
      <c r="P660" s="24"/>
      <c r="Q660" s="24"/>
      <c r="R660" s="24"/>
      <c r="S660" s="24"/>
      <c r="T660" s="24"/>
      <c r="U660" s="24"/>
      <c r="V660" s="24"/>
      <c r="W660" s="24"/>
      <c r="X660" s="24"/>
      <c r="Y660" s="24"/>
      <c r="Z660" s="24"/>
      <c r="AA660" s="24"/>
      <c r="AB660" s="24"/>
      <c r="AC660" s="24"/>
    </row>
    <row r="661" spans="1:29" ht="12.9">
      <c r="A661" s="24"/>
      <c r="B661" s="24"/>
      <c r="C661" s="24"/>
      <c r="D661" s="24"/>
      <c r="E661" s="24"/>
      <c r="F661" s="117"/>
      <c r="G661" s="117"/>
      <c r="H661" s="24"/>
      <c r="I661" s="24"/>
      <c r="J661" s="24"/>
      <c r="K661" s="24"/>
      <c r="L661" s="24"/>
      <c r="M661" s="24"/>
      <c r="N661" s="24"/>
      <c r="O661" s="24"/>
      <c r="P661" s="24"/>
      <c r="Q661" s="24"/>
      <c r="R661" s="24"/>
      <c r="S661" s="24"/>
      <c r="T661" s="24"/>
      <c r="U661" s="24"/>
      <c r="V661" s="24"/>
      <c r="W661" s="24"/>
      <c r="X661" s="24"/>
      <c r="Y661" s="24"/>
      <c r="Z661" s="24"/>
      <c r="AA661" s="24"/>
      <c r="AB661" s="24"/>
      <c r="AC661" s="24"/>
    </row>
    <row r="662" spans="1:29" ht="12.9">
      <c r="A662" s="24"/>
      <c r="B662" s="24"/>
      <c r="C662" s="24"/>
      <c r="D662" s="24"/>
      <c r="E662" s="24"/>
      <c r="F662" s="117"/>
      <c r="G662" s="117"/>
      <c r="H662" s="24"/>
      <c r="I662" s="24"/>
      <c r="J662" s="24"/>
      <c r="K662" s="24"/>
      <c r="L662" s="24"/>
      <c r="M662" s="24"/>
      <c r="N662" s="24"/>
      <c r="O662" s="24"/>
      <c r="P662" s="24"/>
      <c r="Q662" s="24"/>
      <c r="R662" s="24"/>
      <c r="S662" s="24"/>
      <c r="T662" s="24"/>
      <c r="U662" s="24"/>
      <c r="V662" s="24"/>
      <c r="W662" s="24"/>
      <c r="X662" s="24"/>
      <c r="Y662" s="24"/>
      <c r="Z662" s="24"/>
      <c r="AA662" s="24"/>
      <c r="AB662" s="24"/>
      <c r="AC662" s="24"/>
    </row>
    <row r="663" spans="1:29" ht="12.9">
      <c r="A663" s="24"/>
      <c r="B663" s="24"/>
      <c r="C663" s="24"/>
      <c r="D663" s="24"/>
      <c r="E663" s="24"/>
      <c r="F663" s="117"/>
      <c r="G663" s="117"/>
      <c r="H663" s="24"/>
      <c r="I663" s="24"/>
      <c r="J663" s="24"/>
      <c r="K663" s="24"/>
      <c r="L663" s="24"/>
      <c r="M663" s="24"/>
      <c r="N663" s="24"/>
      <c r="O663" s="24"/>
      <c r="P663" s="24"/>
      <c r="Q663" s="24"/>
      <c r="R663" s="24"/>
      <c r="S663" s="24"/>
      <c r="T663" s="24"/>
      <c r="U663" s="24"/>
      <c r="V663" s="24"/>
      <c r="W663" s="24"/>
      <c r="X663" s="24"/>
      <c r="Y663" s="24"/>
      <c r="Z663" s="24"/>
      <c r="AA663" s="24"/>
      <c r="AB663" s="24"/>
      <c r="AC663" s="24"/>
    </row>
    <row r="664" spans="1:29" ht="12.9">
      <c r="A664" s="24"/>
      <c r="B664" s="24"/>
      <c r="C664" s="24"/>
      <c r="D664" s="24"/>
      <c r="E664" s="24"/>
      <c r="F664" s="117"/>
      <c r="G664" s="117"/>
      <c r="H664" s="24"/>
      <c r="I664" s="24"/>
      <c r="J664" s="24"/>
      <c r="K664" s="24"/>
      <c r="L664" s="24"/>
      <c r="M664" s="24"/>
      <c r="N664" s="24"/>
      <c r="O664" s="24"/>
      <c r="P664" s="24"/>
      <c r="Q664" s="24"/>
      <c r="R664" s="24"/>
      <c r="S664" s="24"/>
      <c r="T664" s="24"/>
      <c r="U664" s="24"/>
      <c r="V664" s="24"/>
      <c r="W664" s="24"/>
      <c r="X664" s="24"/>
      <c r="Y664" s="24"/>
      <c r="Z664" s="24"/>
      <c r="AA664" s="24"/>
      <c r="AB664" s="24"/>
      <c r="AC664" s="24"/>
    </row>
    <row r="665" spans="1:29" ht="12.9">
      <c r="A665" s="24"/>
      <c r="B665" s="24"/>
      <c r="C665" s="24"/>
      <c r="D665" s="24"/>
      <c r="E665" s="24"/>
      <c r="F665" s="117"/>
      <c r="G665" s="117"/>
      <c r="H665" s="24"/>
      <c r="I665" s="24"/>
      <c r="J665" s="24"/>
      <c r="K665" s="24"/>
      <c r="L665" s="24"/>
      <c r="M665" s="24"/>
      <c r="N665" s="24"/>
      <c r="O665" s="24"/>
      <c r="P665" s="24"/>
      <c r="Q665" s="24"/>
      <c r="R665" s="24"/>
      <c r="S665" s="24"/>
      <c r="T665" s="24"/>
      <c r="U665" s="24"/>
      <c r="V665" s="24"/>
      <c r="W665" s="24"/>
      <c r="X665" s="24"/>
      <c r="Y665" s="24"/>
      <c r="Z665" s="24"/>
      <c r="AA665" s="24"/>
      <c r="AB665" s="24"/>
      <c r="AC665" s="24"/>
    </row>
    <row r="666" spans="1:29" ht="12.9">
      <c r="A666" s="24"/>
      <c r="B666" s="24"/>
      <c r="C666" s="24"/>
      <c r="D666" s="24"/>
      <c r="E666" s="24"/>
      <c r="F666" s="117"/>
      <c r="G666" s="117"/>
      <c r="H666" s="24"/>
      <c r="I666" s="24"/>
      <c r="J666" s="24"/>
      <c r="K666" s="24"/>
      <c r="L666" s="24"/>
      <c r="M666" s="24"/>
      <c r="N666" s="24"/>
      <c r="O666" s="24"/>
      <c r="P666" s="24"/>
      <c r="Q666" s="24"/>
      <c r="R666" s="24"/>
      <c r="S666" s="24"/>
      <c r="T666" s="24"/>
      <c r="U666" s="24"/>
      <c r="V666" s="24"/>
      <c r="W666" s="24"/>
      <c r="X666" s="24"/>
      <c r="Y666" s="24"/>
      <c r="Z666" s="24"/>
      <c r="AA666" s="24"/>
      <c r="AB666" s="24"/>
      <c r="AC666" s="24"/>
    </row>
    <row r="667" spans="1:29" ht="12.9">
      <c r="A667" s="24"/>
      <c r="B667" s="24"/>
      <c r="C667" s="24"/>
      <c r="D667" s="24"/>
      <c r="E667" s="24"/>
      <c r="F667" s="117"/>
      <c r="G667" s="117"/>
      <c r="H667" s="24"/>
      <c r="I667" s="24"/>
      <c r="J667" s="24"/>
      <c r="K667" s="24"/>
      <c r="L667" s="24"/>
      <c r="M667" s="24"/>
      <c r="N667" s="24"/>
      <c r="O667" s="24"/>
      <c r="P667" s="24"/>
      <c r="Q667" s="24"/>
      <c r="R667" s="24"/>
      <c r="S667" s="24"/>
      <c r="T667" s="24"/>
      <c r="U667" s="24"/>
      <c r="V667" s="24"/>
      <c r="W667" s="24"/>
      <c r="X667" s="24"/>
      <c r="Y667" s="24"/>
      <c r="Z667" s="24"/>
      <c r="AA667" s="24"/>
      <c r="AB667" s="24"/>
      <c r="AC667" s="24"/>
    </row>
    <row r="668" spans="1:29" ht="12.9">
      <c r="A668" s="24"/>
      <c r="B668" s="24"/>
      <c r="C668" s="24"/>
      <c r="D668" s="24"/>
      <c r="E668" s="24"/>
      <c r="F668" s="117"/>
      <c r="G668" s="117"/>
      <c r="H668" s="24"/>
      <c r="I668" s="24"/>
      <c r="J668" s="24"/>
      <c r="K668" s="24"/>
      <c r="L668" s="24"/>
      <c r="M668" s="24"/>
      <c r="N668" s="24"/>
      <c r="O668" s="24"/>
      <c r="P668" s="24"/>
      <c r="Q668" s="24"/>
      <c r="R668" s="24"/>
      <c r="S668" s="24"/>
      <c r="T668" s="24"/>
      <c r="U668" s="24"/>
      <c r="V668" s="24"/>
      <c r="W668" s="24"/>
      <c r="X668" s="24"/>
      <c r="Y668" s="24"/>
      <c r="Z668" s="24"/>
      <c r="AA668" s="24"/>
      <c r="AB668" s="24"/>
      <c r="AC668" s="24"/>
    </row>
    <row r="669" spans="1:29" ht="12.9">
      <c r="A669" s="24"/>
      <c r="B669" s="24"/>
      <c r="C669" s="24"/>
      <c r="D669" s="24"/>
      <c r="E669" s="24"/>
      <c r="F669" s="117"/>
      <c r="G669" s="117"/>
      <c r="H669" s="24"/>
      <c r="I669" s="24"/>
      <c r="J669" s="24"/>
      <c r="K669" s="24"/>
      <c r="L669" s="24"/>
      <c r="M669" s="24"/>
      <c r="N669" s="24"/>
      <c r="O669" s="24"/>
      <c r="P669" s="24"/>
      <c r="Q669" s="24"/>
      <c r="R669" s="24"/>
      <c r="S669" s="24"/>
      <c r="T669" s="24"/>
      <c r="U669" s="24"/>
      <c r="V669" s="24"/>
      <c r="W669" s="24"/>
      <c r="X669" s="24"/>
      <c r="Y669" s="24"/>
      <c r="Z669" s="24"/>
      <c r="AA669" s="24"/>
      <c r="AB669" s="24"/>
      <c r="AC669" s="24"/>
    </row>
    <row r="670" spans="1:29" ht="12.9">
      <c r="A670" s="24"/>
      <c r="B670" s="24"/>
      <c r="C670" s="24"/>
      <c r="D670" s="24"/>
      <c r="E670" s="24"/>
      <c r="F670" s="117"/>
      <c r="G670" s="117"/>
      <c r="H670" s="24"/>
      <c r="I670" s="24"/>
      <c r="J670" s="24"/>
      <c r="K670" s="24"/>
      <c r="L670" s="24"/>
      <c r="M670" s="24"/>
      <c r="N670" s="24"/>
      <c r="O670" s="24"/>
      <c r="P670" s="24"/>
      <c r="Q670" s="24"/>
      <c r="R670" s="24"/>
      <c r="S670" s="24"/>
      <c r="T670" s="24"/>
      <c r="U670" s="24"/>
      <c r="V670" s="24"/>
      <c r="W670" s="24"/>
      <c r="X670" s="24"/>
      <c r="Y670" s="24"/>
      <c r="Z670" s="24"/>
      <c r="AA670" s="24"/>
      <c r="AB670" s="24"/>
      <c r="AC670" s="24"/>
    </row>
    <row r="671" spans="1:29" ht="12.9">
      <c r="A671" s="24"/>
      <c r="B671" s="24"/>
      <c r="C671" s="24"/>
      <c r="D671" s="24"/>
      <c r="E671" s="24"/>
      <c r="F671" s="117"/>
      <c r="G671" s="117"/>
      <c r="H671" s="24"/>
      <c r="I671" s="24"/>
      <c r="J671" s="24"/>
      <c r="K671" s="24"/>
      <c r="L671" s="24"/>
      <c r="M671" s="24"/>
      <c r="N671" s="24"/>
      <c r="O671" s="24"/>
      <c r="P671" s="24"/>
      <c r="Q671" s="24"/>
      <c r="R671" s="24"/>
      <c r="S671" s="24"/>
      <c r="T671" s="24"/>
      <c r="U671" s="24"/>
      <c r="V671" s="24"/>
      <c r="W671" s="24"/>
      <c r="X671" s="24"/>
      <c r="Y671" s="24"/>
      <c r="Z671" s="24"/>
      <c r="AA671" s="24"/>
      <c r="AB671" s="24"/>
      <c r="AC671" s="24"/>
    </row>
    <row r="672" spans="1:29" ht="12.9">
      <c r="A672" s="24"/>
      <c r="B672" s="24"/>
      <c r="C672" s="24"/>
      <c r="D672" s="24"/>
      <c r="E672" s="24"/>
      <c r="F672" s="117"/>
      <c r="G672" s="117"/>
      <c r="H672" s="24"/>
      <c r="I672" s="24"/>
      <c r="J672" s="24"/>
      <c r="K672" s="24"/>
      <c r="L672" s="24"/>
      <c r="M672" s="24"/>
      <c r="N672" s="24"/>
      <c r="O672" s="24"/>
      <c r="P672" s="24"/>
      <c r="Q672" s="24"/>
      <c r="R672" s="24"/>
      <c r="S672" s="24"/>
      <c r="T672" s="24"/>
      <c r="U672" s="24"/>
      <c r="V672" s="24"/>
      <c r="W672" s="24"/>
      <c r="X672" s="24"/>
      <c r="Y672" s="24"/>
      <c r="Z672" s="24"/>
      <c r="AA672" s="24"/>
      <c r="AB672" s="24"/>
      <c r="AC672" s="24"/>
    </row>
    <row r="673" spans="1:29" ht="12.9">
      <c r="A673" s="24"/>
      <c r="B673" s="24"/>
      <c r="C673" s="24"/>
      <c r="D673" s="24"/>
      <c r="E673" s="24"/>
      <c r="F673" s="117"/>
      <c r="G673" s="117"/>
      <c r="H673" s="24"/>
      <c r="I673" s="24"/>
      <c r="J673" s="24"/>
      <c r="K673" s="24"/>
      <c r="L673" s="24"/>
      <c r="M673" s="24"/>
      <c r="N673" s="24"/>
      <c r="O673" s="24"/>
      <c r="P673" s="24"/>
      <c r="Q673" s="24"/>
      <c r="R673" s="24"/>
      <c r="S673" s="24"/>
      <c r="T673" s="24"/>
      <c r="U673" s="24"/>
      <c r="V673" s="24"/>
      <c r="W673" s="24"/>
      <c r="X673" s="24"/>
      <c r="Y673" s="24"/>
      <c r="Z673" s="24"/>
      <c r="AA673" s="24"/>
      <c r="AB673" s="24"/>
      <c r="AC673" s="24"/>
    </row>
    <row r="674" spans="1:29" ht="12.9">
      <c r="A674" s="24"/>
      <c r="B674" s="24"/>
      <c r="C674" s="24"/>
      <c r="D674" s="24"/>
      <c r="E674" s="24"/>
      <c r="F674" s="117"/>
      <c r="G674" s="117"/>
      <c r="H674" s="24"/>
      <c r="I674" s="24"/>
      <c r="J674" s="24"/>
      <c r="K674" s="24"/>
      <c r="L674" s="24"/>
      <c r="M674" s="24"/>
      <c r="N674" s="24"/>
      <c r="O674" s="24"/>
      <c r="P674" s="24"/>
      <c r="Q674" s="24"/>
      <c r="R674" s="24"/>
      <c r="S674" s="24"/>
      <c r="T674" s="24"/>
      <c r="U674" s="24"/>
      <c r="V674" s="24"/>
      <c r="W674" s="24"/>
      <c r="X674" s="24"/>
      <c r="Y674" s="24"/>
      <c r="Z674" s="24"/>
      <c r="AA674" s="24"/>
      <c r="AB674" s="24"/>
      <c r="AC674" s="24"/>
    </row>
    <row r="675" spans="1:29" ht="12.9">
      <c r="A675" s="24"/>
      <c r="B675" s="24"/>
      <c r="C675" s="24"/>
      <c r="D675" s="24"/>
      <c r="E675" s="24"/>
      <c r="F675" s="117"/>
      <c r="G675" s="117"/>
      <c r="H675" s="24"/>
      <c r="I675" s="24"/>
      <c r="J675" s="24"/>
      <c r="K675" s="24"/>
      <c r="L675" s="24"/>
      <c r="M675" s="24"/>
      <c r="N675" s="24"/>
      <c r="O675" s="24"/>
      <c r="P675" s="24"/>
      <c r="Q675" s="24"/>
      <c r="R675" s="24"/>
      <c r="S675" s="24"/>
      <c r="T675" s="24"/>
      <c r="U675" s="24"/>
      <c r="V675" s="24"/>
      <c r="W675" s="24"/>
      <c r="X675" s="24"/>
      <c r="Y675" s="24"/>
      <c r="Z675" s="24"/>
      <c r="AA675" s="24"/>
      <c r="AB675" s="24"/>
      <c r="AC675" s="24"/>
    </row>
    <row r="676" spans="1:29" ht="12.9">
      <c r="A676" s="24"/>
      <c r="B676" s="24"/>
      <c r="C676" s="24"/>
      <c r="D676" s="24"/>
      <c r="E676" s="24"/>
      <c r="F676" s="117"/>
      <c r="G676" s="117"/>
      <c r="H676" s="24"/>
      <c r="I676" s="24"/>
      <c r="J676" s="24"/>
      <c r="K676" s="24"/>
      <c r="L676" s="24"/>
      <c r="M676" s="24"/>
      <c r="N676" s="24"/>
      <c r="O676" s="24"/>
      <c r="P676" s="24"/>
      <c r="Q676" s="24"/>
      <c r="R676" s="24"/>
      <c r="S676" s="24"/>
      <c r="T676" s="24"/>
      <c r="U676" s="24"/>
      <c r="V676" s="24"/>
      <c r="W676" s="24"/>
      <c r="X676" s="24"/>
      <c r="Y676" s="24"/>
      <c r="Z676" s="24"/>
      <c r="AA676" s="24"/>
      <c r="AB676" s="24"/>
      <c r="AC676" s="24"/>
    </row>
    <row r="677" spans="1:29" ht="12.9">
      <c r="A677" s="24"/>
      <c r="B677" s="24"/>
      <c r="C677" s="24"/>
      <c r="D677" s="24"/>
      <c r="E677" s="24"/>
      <c r="F677" s="117"/>
      <c r="G677" s="117"/>
      <c r="H677" s="24"/>
      <c r="I677" s="24"/>
      <c r="J677" s="24"/>
      <c r="K677" s="24"/>
      <c r="L677" s="24"/>
      <c r="M677" s="24"/>
      <c r="N677" s="24"/>
      <c r="O677" s="24"/>
      <c r="P677" s="24"/>
      <c r="Q677" s="24"/>
      <c r="R677" s="24"/>
      <c r="S677" s="24"/>
      <c r="T677" s="24"/>
      <c r="U677" s="24"/>
      <c r="V677" s="24"/>
      <c r="W677" s="24"/>
      <c r="X677" s="24"/>
      <c r="Y677" s="24"/>
      <c r="Z677" s="24"/>
      <c r="AA677" s="24"/>
      <c r="AB677" s="24"/>
      <c r="AC677" s="24"/>
    </row>
    <row r="678" spans="1:29" ht="12.9">
      <c r="A678" s="24"/>
      <c r="B678" s="24"/>
      <c r="C678" s="24"/>
      <c r="D678" s="24"/>
      <c r="E678" s="24"/>
      <c r="F678" s="117"/>
      <c r="G678" s="117"/>
      <c r="H678" s="24"/>
      <c r="I678" s="24"/>
      <c r="J678" s="24"/>
      <c r="K678" s="24"/>
      <c r="L678" s="24"/>
      <c r="M678" s="24"/>
      <c r="N678" s="24"/>
      <c r="O678" s="24"/>
      <c r="P678" s="24"/>
      <c r="Q678" s="24"/>
      <c r="R678" s="24"/>
      <c r="S678" s="24"/>
      <c r="T678" s="24"/>
      <c r="U678" s="24"/>
      <c r="V678" s="24"/>
      <c r="W678" s="24"/>
      <c r="X678" s="24"/>
      <c r="Y678" s="24"/>
      <c r="Z678" s="24"/>
      <c r="AA678" s="24"/>
      <c r="AB678" s="24"/>
      <c r="AC678" s="24"/>
    </row>
    <row r="679" spans="1:29" ht="12.9">
      <c r="A679" s="24"/>
      <c r="B679" s="24"/>
      <c r="C679" s="24"/>
      <c r="D679" s="24"/>
      <c r="E679" s="24"/>
      <c r="F679" s="117"/>
      <c r="G679" s="117"/>
      <c r="H679" s="24"/>
      <c r="I679" s="24"/>
      <c r="J679" s="24"/>
      <c r="K679" s="24"/>
      <c r="L679" s="24"/>
      <c r="M679" s="24"/>
      <c r="N679" s="24"/>
      <c r="O679" s="24"/>
      <c r="P679" s="24"/>
      <c r="Q679" s="24"/>
      <c r="R679" s="24"/>
      <c r="S679" s="24"/>
      <c r="T679" s="24"/>
      <c r="U679" s="24"/>
      <c r="V679" s="24"/>
      <c r="W679" s="24"/>
      <c r="X679" s="24"/>
      <c r="Y679" s="24"/>
      <c r="Z679" s="24"/>
      <c r="AA679" s="24"/>
      <c r="AB679" s="24"/>
      <c r="AC679" s="24"/>
    </row>
    <row r="680" spans="1:29" ht="12.9">
      <c r="A680" s="24"/>
      <c r="B680" s="24"/>
      <c r="C680" s="24"/>
      <c r="D680" s="24"/>
      <c r="E680" s="24"/>
      <c r="F680" s="117"/>
      <c r="G680" s="117"/>
      <c r="H680" s="24"/>
      <c r="I680" s="24"/>
      <c r="J680" s="24"/>
      <c r="K680" s="24"/>
      <c r="L680" s="24"/>
      <c r="M680" s="24"/>
      <c r="N680" s="24"/>
      <c r="O680" s="24"/>
      <c r="P680" s="24"/>
      <c r="Q680" s="24"/>
      <c r="R680" s="24"/>
      <c r="S680" s="24"/>
      <c r="T680" s="24"/>
      <c r="U680" s="24"/>
      <c r="V680" s="24"/>
      <c r="W680" s="24"/>
      <c r="X680" s="24"/>
      <c r="Y680" s="24"/>
      <c r="Z680" s="24"/>
      <c r="AA680" s="24"/>
      <c r="AB680" s="24"/>
      <c r="AC680" s="24"/>
    </row>
    <row r="681" spans="1:29" ht="12.9">
      <c r="A681" s="24"/>
      <c r="B681" s="24"/>
      <c r="C681" s="24"/>
      <c r="D681" s="24"/>
      <c r="E681" s="24"/>
      <c r="F681" s="117"/>
      <c r="G681" s="117"/>
      <c r="H681" s="24"/>
      <c r="I681" s="24"/>
      <c r="J681" s="24"/>
      <c r="K681" s="24"/>
      <c r="L681" s="24"/>
      <c r="M681" s="24"/>
      <c r="N681" s="24"/>
      <c r="O681" s="24"/>
      <c r="P681" s="24"/>
      <c r="Q681" s="24"/>
      <c r="R681" s="24"/>
      <c r="S681" s="24"/>
      <c r="T681" s="24"/>
      <c r="U681" s="24"/>
      <c r="V681" s="24"/>
      <c r="W681" s="24"/>
      <c r="X681" s="24"/>
      <c r="Y681" s="24"/>
      <c r="Z681" s="24"/>
      <c r="AA681" s="24"/>
      <c r="AB681" s="24"/>
      <c r="AC681" s="24"/>
    </row>
    <row r="682" spans="1:29" ht="12.9">
      <c r="A682" s="24"/>
      <c r="B682" s="24"/>
      <c r="C682" s="24"/>
      <c r="D682" s="24"/>
      <c r="E682" s="24"/>
      <c r="F682" s="117"/>
      <c r="G682" s="117"/>
      <c r="H682" s="24"/>
      <c r="I682" s="24"/>
      <c r="J682" s="24"/>
      <c r="K682" s="24"/>
      <c r="L682" s="24"/>
      <c r="M682" s="24"/>
      <c r="N682" s="24"/>
      <c r="O682" s="24"/>
      <c r="P682" s="24"/>
      <c r="Q682" s="24"/>
      <c r="R682" s="24"/>
      <c r="S682" s="24"/>
      <c r="T682" s="24"/>
      <c r="U682" s="24"/>
      <c r="V682" s="24"/>
      <c r="W682" s="24"/>
      <c r="X682" s="24"/>
      <c r="Y682" s="24"/>
      <c r="Z682" s="24"/>
      <c r="AA682" s="24"/>
      <c r="AB682" s="24"/>
      <c r="AC682" s="24"/>
    </row>
    <row r="683" spans="1:29" ht="12.9">
      <c r="A683" s="24"/>
      <c r="B683" s="24"/>
      <c r="C683" s="24"/>
      <c r="D683" s="24"/>
      <c r="E683" s="24"/>
      <c r="F683" s="117"/>
      <c r="G683" s="117"/>
      <c r="H683" s="24"/>
      <c r="I683" s="24"/>
      <c r="J683" s="24"/>
      <c r="K683" s="24"/>
      <c r="L683" s="24"/>
      <c r="M683" s="24"/>
      <c r="N683" s="24"/>
      <c r="O683" s="24"/>
      <c r="P683" s="24"/>
      <c r="Q683" s="24"/>
      <c r="R683" s="24"/>
      <c r="S683" s="24"/>
      <c r="T683" s="24"/>
      <c r="U683" s="24"/>
      <c r="V683" s="24"/>
      <c r="W683" s="24"/>
      <c r="X683" s="24"/>
      <c r="Y683" s="24"/>
      <c r="Z683" s="24"/>
      <c r="AA683" s="24"/>
      <c r="AB683" s="24"/>
      <c r="AC683" s="24"/>
    </row>
    <row r="684" spans="1:29" ht="12.9">
      <c r="A684" s="24"/>
      <c r="B684" s="24"/>
      <c r="C684" s="24"/>
      <c r="D684" s="24"/>
      <c r="E684" s="24"/>
      <c r="F684" s="117"/>
      <c r="G684" s="117"/>
      <c r="H684" s="24"/>
      <c r="I684" s="24"/>
      <c r="J684" s="24"/>
      <c r="K684" s="24"/>
      <c r="L684" s="24"/>
      <c r="M684" s="24"/>
      <c r="N684" s="24"/>
      <c r="O684" s="24"/>
      <c r="P684" s="24"/>
      <c r="Q684" s="24"/>
      <c r="R684" s="24"/>
      <c r="S684" s="24"/>
      <c r="T684" s="24"/>
      <c r="U684" s="24"/>
      <c r="V684" s="24"/>
      <c r="W684" s="24"/>
      <c r="X684" s="24"/>
      <c r="Y684" s="24"/>
      <c r="Z684" s="24"/>
      <c r="AA684" s="24"/>
      <c r="AB684" s="24"/>
      <c r="AC684" s="24"/>
    </row>
    <row r="685" spans="1:29" ht="12.9">
      <c r="A685" s="24"/>
      <c r="B685" s="24"/>
      <c r="C685" s="24"/>
      <c r="D685" s="24"/>
      <c r="E685" s="24"/>
      <c r="F685" s="117"/>
      <c r="G685" s="117"/>
      <c r="H685" s="24"/>
      <c r="I685" s="24"/>
      <c r="J685" s="24"/>
      <c r="K685" s="24"/>
      <c r="L685" s="24"/>
      <c r="M685" s="24"/>
      <c r="N685" s="24"/>
      <c r="O685" s="24"/>
      <c r="P685" s="24"/>
      <c r="Q685" s="24"/>
      <c r="R685" s="24"/>
      <c r="S685" s="24"/>
      <c r="T685" s="24"/>
      <c r="U685" s="24"/>
      <c r="V685" s="24"/>
      <c r="W685" s="24"/>
      <c r="X685" s="24"/>
      <c r="Y685" s="24"/>
      <c r="Z685" s="24"/>
      <c r="AA685" s="24"/>
      <c r="AB685" s="24"/>
      <c r="AC685" s="24"/>
    </row>
    <row r="686" spans="1:29" ht="12.9">
      <c r="A686" s="24"/>
      <c r="B686" s="24"/>
      <c r="C686" s="24"/>
      <c r="D686" s="24"/>
      <c r="E686" s="24"/>
      <c r="F686" s="117"/>
      <c r="G686" s="117"/>
      <c r="H686" s="24"/>
      <c r="I686" s="24"/>
      <c r="J686" s="24"/>
      <c r="K686" s="24"/>
      <c r="L686" s="24"/>
      <c r="M686" s="24"/>
      <c r="N686" s="24"/>
      <c r="O686" s="24"/>
      <c r="P686" s="24"/>
      <c r="Q686" s="24"/>
      <c r="R686" s="24"/>
      <c r="S686" s="24"/>
      <c r="T686" s="24"/>
      <c r="U686" s="24"/>
      <c r="V686" s="24"/>
      <c r="W686" s="24"/>
      <c r="X686" s="24"/>
      <c r="Y686" s="24"/>
      <c r="Z686" s="24"/>
      <c r="AA686" s="24"/>
      <c r="AB686" s="24"/>
      <c r="AC686" s="24"/>
    </row>
    <row r="687" spans="1:29" ht="12.9">
      <c r="A687" s="24"/>
      <c r="B687" s="24"/>
      <c r="C687" s="24"/>
      <c r="D687" s="24"/>
      <c r="E687" s="24"/>
      <c r="F687" s="117"/>
      <c r="G687" s="117"/>
      <c r="H687" s="24"/>
      <c r="I687" s="24"/>
      <c r="J687" s="24"/>
      <c r="K687" s="24"/>
      <c r="L687" s="24"/>
      <c r="M687" s="24"/>
      <c r="N687" s="24"/>
      <c r="O687" s="24"/>
      <c r="P687" s="24"/>
      <c r="Q687" s="24"/>
      <c r="R687" s="24"/>
      <c r="S687" s="24"/>
      <c r="T687" s="24"/>
      <c r="U687" s="24"/>
      <c r="V687" s="24"/>
      <c r="W687" s="24"/>
      <c r="X687" s="24"/>
      <c r="Y687" s="24"/>
      <c r="Z687" s="24"/>
      <c r="AA687" s="24"/>
      <c r="AB687" s="24"/>
      <c r="AC687" s="24"/>
    </row>
    <row r="688" spans="1:29" ht="12.9">
      <c r="A688" s="24"/>
      <c r="B688" s="24"/>
      <c r="C688" s="24"/>
      <c r="D688" s="24"/>
      <c r="E688" s="24"/>
      <c r="F688" s="117"/>
      <c r="G688" s="117"/>
      <c r="H688" s="24"/>
      <c r="I688" s="24"/>
      <c r="J688" s="24"/>
      <c r="K688" s="24"/>
      <c r="L688" s="24"/>
      <c r="M688" s="24"/>
      <c r="N688" s="24"/>
      <c r="O688" s="24"/>
      <c r="P688" s="24"/>
      <c r="Q688" s="24"/>
      <c r="R688" s="24"/>
      <c r="S688" s="24"/>
      <c r="T688" s="24"/>
      <c r="U688" s="24"/>
      <c r="V688" s="24"/>
      <c r="W688" s="24"/>
      <c r="X688" s="24"/>
      <c r="Y688" s="24"/>
      <c r="Z688" s="24"/>
      <c r="AA688" s="24"/>
      <c r="AB688" s="24"/>
      <c r="AC688" s="24"/>
    </row>
    <row r="689" spans="1:29" ht="12.9">
      <c r="A689" s="24"/>
      <c r="B689" s="24"/>
      <c r="C689" s="24"/>
      <c r="D689" s="24"/>
      <c r="E689" s="24"/>
      <c r="F689" s="117"/>
      <c r="G689" s="117"/>
      <c r="H689" s="24"/>
      <c r="I689" s="24"/>
      <c r="J689" s="24"/>
      <c r="K689" s="24"/>
      <c r="L689" s="24"/>
      <c r="M689" s="24"/>
      <c r="N689" s="24"/>
      <c r="O689" s="24"/>
      <c r="P689" s="24"/>
      <c r="Q689" s="24"/>
      <c r="R689" s="24"/>
      <c r="S689" s="24"/>
      <c r="T689" s="24"/>
      <c r="U689" s="24"/>
      <c r="V689" s="24"/>
      <c r="W689" s="24"/>
      <c r="X689" s="24"/>
      <c r="Y689" s="24"/>
      <c r="Z689" s="24"/>
      <c r="AA689" s="24"/>
      <c r="AB689" s="24"/>
      <c r="AC689" s="24"/>
    </row>
    <row r="690" spans="1:29" ht="12.9">
      <c r="A690" s="24"/>
      <c r="B690" s="24"/>
      <c r="C690" s="24"/>
      <c r="D690" s="24"/>
      <c r="E690" s="24"/>
      <c r="F690" s="117"/>
      <c r="G690" s="117"/>
      <c r="H690" s="24"/>
      <c r="I690" s="24"/>
      <c r="J690" s="24"/>
      <c r="K690" s="24"/>
      <c r="L690" s="24"/>
      <c r="M690" s="24"/>
      <c r="N690" s="24"/>
      <c r="O690" s="24"/>
      <c r="P690" s="24"/>
      <c r="Q690" s="24"/>
      <c r="R690" s="24"/>
      <c r="S690" s="24"/>
      <c r="T690" s="24"/>
      <c r="U690" s="24"/>
      <c r="V690" s="24"/>
      <c r="W690" s="24"/>
      <c r="X690" s="24"/>
      <c r="Y690" s="24"/>
      <c r="Z690" s="24"/>
      <c r="AA690" s="24"/>
      <c r="AB690" s="24"/>
      <c r="AC690" s="24"/>
    </row>
    <row r="691" spans="1:29" ht="12.9">
      <c r="A691" s="24"/>
      <c r="B691" s="24"/>
      <c r="C691" s="24"/>
      <c r="D691" s="24"/>
      <c r="E691" s="24"/>
      <c r="F691" s="117"/>
      <c r="G691" s="117"/>
      <c r="H691" s="24"/>
      <c r="I691" s="24"/>
      <c r="J691" s="24"/>
      <c r="K691" s="24"/>
      <c r="L691" s="24"/>
      <c r="M691" s="24"/>
      <c r="N691" s="24"/>
      <c r="O691" s="24"/>
      <c r="P691" s="24"/>
      <c r="Q691" s="24"/>
      <c r="R691" s="24"/>
      <c r="S691" s="24"/>
      <c r="T691" s="24"/>
      <c r="U691" s="24"/>
      <c r="V691" s="24"/>
      <c r="W691" s="24"/>
      <c r="X691" s="24"/>
      <c r="Y691" s="24"/>
      <c r="Z691" s="24"/>
      <c r="AA691" s="24"/>
      <c r="AB691" s="24"/>
      <c r="AC691" s="24"/>
    </row>
    <row r="692" spans="1:29" ht="12.9">
      <c r="A692" s="24"/>
      <c r="B692" s="24"/>
      <c r="C692" s="24"/>
      <c r="D692" s="24"/>
      <c r="E692" s="24"/>
      <c r="F692" s="117"/>
      <c r="G692" s="117"/>
      <c r="H692" s="24"/>
      <c r="I692" s="24"/>
      <c r="J692" s="24"/>
      <c r="K692" s="24"/>
      <c r="L692" s="24"/>
      <c r="M692" s="24"/>
      <c r="N692" s="24"/>
      <c r="O692" s="24"/>
      <c r="P692" s="24"/>
      <c r="Q692" s="24"/>
      <c r="R692" s="24"/>
      <c r="S692" s="24"/>
      <c r="T692" s="24"/>
      <c r="U692" s="24"/>
      <c r="V692" s="24"/>
      <c r="W692" s="24"/>
      <c r="X692" s="24"/>
      <c r="Y692" s="24"/>
      <c r="Z692" s="24"/>
      <c r="AA692" s="24"/>
      <c r="AB692" s="24"/>
      <c r="AC692" s="24"/>
    </row>
    <row r="693" spans="1:29" ht="12.9">
      <c r="A693" s="24"/>
      <c r="B693" s="24"/>
      <c r="C693" s="24"/>
      <c r="D693" s="24"/>
      <c r="E693" s="24"/>
      <c r="F693" s="117"/>
      <c r="G693" s="117"/>
      <c r="H693" s="24"/>
      <c r="I693" s="24"/>
      <c r="J693" s="24"/>
      <c r="K693" s="24"/>
      <c r="L693" s="24"/>
      <c r="M693" s="24"/>
      <c r="N693" s="24"/>
      <c r="O693" s="24"/>
      <c r="P693" s="24"/>
      <c r="Q693" s="24"/>
      <c r="R693" s="24"/>
      <c r="S693" s="24"/>
      <c r="T693" s="24"/>
      <c r="U693" s="24"/>
      <c r="V693" s="24"/>
      <c r="W693" s="24"/>
      <c r="X693" s="24"/>
      <c r="Y693" s="24"/>
      <c r="Z693" s="24"/>
      <c r="AA693" s="24"/>
      <c r="AB693" s="24"/>
      <c r="AC693" s="24"/>
    </row>
    <row r="694" spans="1:29" ht="12.9">
      <c r="A694" s="24"/>
      <c r="B694" s="24"/>
      <c r="C694" s="24"/>
      <c r="D694" s="24"/>
      <c r="E694" s="24"/>
      <c r="F694" s="117"/>
      <c r="G694" s="117"/>
      <c r="H694" s="24"/>
      <c r="I694" s="24"/>
      <c r="J694" s="24"/>
      <c r="K694" s="24"/>
      <c r="L694" s="24"/>
      <c r="M694" s="24"/>
      <c r="N694" s="24"/>
      <c r="O694" s="24"/>
      <c r="P694" s="24"/>
      <c r="Q694" s="24"/>
      <c r="R694" s="24"/>
      <c r="S694" s="24"/>
      <c r="T694" s="24"/>
      <c r="U694" s="24"/>
      <c r="V694" s="24"/>
      <c r="W694" s="24"/>
      <c r="X694" s="24"/>
      <c r="Y694" s="24"/>
      <c r="Z694" s="24"/>
      <c r="AA694" s="24"/>
      <c r="AB694" s="24"/>
      <c r="AC694" s="24"/>
    </row>
    <row r="695" spans="1:29" ht="12.9">
      <c r="A695" s="24"/>
      <c r="B695" s="24"/>
      <c r="C695" s="24"/>
      <c r="D695" s="24"/>
      <c r="E695" s="24"/>
      <c r="F695" s="117"/>
      <c r="G695" s="117"/>
      <c r="H695" s="24"/>
      <c r="I695" s="24"/>
      <c r="J695" s="24"/>
      <c r="K695" s="24"/>
      <c r="L695" s="24"/>
      <c r="M695" s="24"/>
      <c r="N695" s="24"/>
      <c r="O695" s="24"/>
      <c r="P695" s="24"/>
      <c r="Q695" s="24"/>
      <c r="R695" s="24"/>
      <c r="S695" s="24"/>
      <c r="T695" s="24"/>
      <c r="U695" s="24"/>
      <c r="V695" s="24"/>
      <c r="W695" s="24"/>
      <c r="X695" s="24"/>
      <c r="Y695" s="24"/>
      <c r="Z695" s="24"/>
      <c r="AA695" s="24"/>
      <c r="AB695" s="24"/>
      <c r="AC695" s="24"/>
    </row>
    <row r="696" spans="1:29" ht="12.9">
      <c r="A696" s="24"/>
      <c r="B696" s="24"/>
      <c r="C696" s="24"/>
      <c r="D696" s="24"/>
      <c r="E696" s="24"/>
      <c r="F696" s="117"/>
      <c r="G696" s="117"/>
      <c r="H696" s="24"/>
      <c r="I696" s="24"/>
      <c r="J696" s="24"/>
      <c r="K696" s="24"/>
      <c r="L696" s="24"/>
      <c r="M696" s="24"/>
      <c r="N696" s="24"/>
      <c r="O696" s="24"/>
      <c r="P696" s="24"/>
      <c r="Q696" s="24"/>
      <c r="R696" s="24"/>
      <c r="S696" s="24"/>
      <c r="T696" s="24"/>
      <c r="U696" s="24"/>
      <c r="V696" s="24"/>
      <c r="W696" s="24"/>
      <c r="X696" s="24"/>
      <c r="Y696" s="24"/>
      <c r="Z696" s="24"/>
      <c r="AA696" s="24"/>
      <c r="AB696" s="24"/>
      <c r="AC696" s="24"/>
    </row>
    <row r="697" spans="1:29" ht="12.9">
      <c r="A697" s="24"/>
      <c r="B697" s="24"/>
      <c r="C697" s="24"/>
      <c r="D697" s="24"/>
      <c r="E697" s="24"/>
      <c r="F697" s="117"/>
      <c r="G697" s="117"/>
      <c r="H697" s="24"/>
      <c r="I697" s="24"/>
      <c r="J697" s="24"/>
      <c r="K697" s="24"/>
      <c r="L697" s="24"/>
      <c r="M697" s="24"/>
      <c r="N697" s="24"/>
      <c r="O697" s="24"/>
      <c r="P697" s="24"/>
      <c r="Q697" s="24"/>
      <c r="R697" s="24"/>
      <c r="S697" s="24"/>
      <c r="T697" s="24"/>
      <c r="U697" s="24"/>
      <c r="V697" s="24"/>
      <c r="W697" s="24"/>
      <c r="X697" s="24"/>
      <c r="Y697" s="24"/>
      <c r="Z697" s="24"/>
      <c r="AA697" s="24"/>
      <c r="AB697" s="24"/>
      <c r="AC697" s="24"/>
    </row>
    <row r="698" spans="1:29" ht="12.9">
      <c r="A698" s="24"/>
      <c r="B698" s="24"/>
      <c r="C698" s="24"/>
      <c r="D698" s="24"/>
      <c r="E698" s="24"/>
      <c r="F698" s="117"/>
      <c r="G698" s="117"/>
      <c r="H698" s="24"/>
      <c r="I698" s="24"/>
      <c r="J698" s="24"/>
      <c r="K698" s="24"/>
      <c r="L698" s="24"/>
      <c r="M698" s="24"/>
      <c r="N698" s="24"/>
      <c r="O698" s="24"/>
      <c r="P698" s="24"/>
      <c r="Q698" s="24"/>
      <c r="R698" s="24"/>
      <c r="S698" s="24"/>
      <c r="T698" s="24"/>
      <c r="U698" s="24"/>
      <c r="V698" s="24"/>
      <c r="W698" s="24"/>
      <c r="X698" s="24"/>
      <c r="Y698" s="24"/>
      <c r="Z698" s="24"/>
      <c r="AA698" s="24"/>
      <c r="AB698" s="24"/>
      <c r="AC698" s="24"/>
    </row>
    <row r="699" spans="1:29" ht="12.9">
      <c r="A699" s="24"/>
      <c r="B699" s="24"/>
      <c r="C699" s="24"/>
      <c r="D699" s="24"/>
      <c r="E699" s="24"/>
      <c r="F699" s="117"/>
      <c r="G699" s="117"/>
      <c r="H699" s="24"/>
      <c r="I699" s="24"/>
      <c r="J699" s="24"/>
      <c r="K699" s="24"/>
      <c r="L699" s="24"/>
      <c r="M699" s="24"/>
      <c r="N699" s="24"/>
      <c r="O699" s="24"/>
      <c r="P699" s="24"/>
      <c r="Q699" s="24"/>
      <c r="R699" s="24"/>
      <c r="S699" s="24"/>
      <c r="T699" s="24"/>
      <c r="U699" s="24"/>
      <c r="V699" s="24"/>
      <c r="W699" s="24"/>
      <c r="X699" s="24"/>
      <c r="Y699" s="24"/>
      <c r="Z699" s="24"/>
      <c r="AA699" s="24"/>
      <c r="AB699" s="24"/>
      <c r="AC699" s="24"/>
    </row>
    <row r="700" spans="1:29" ht="12.9">
      <c r="A700" s="24"/>
      <c r="B700" s="24"/>
      <c r="C700" s="24"/>
      <c r="D700" s="24"/>
      <c r="E700" s="24"/>
      <c r="F700" s="117"/>
      <c r="G700" s="117"/>
      <c r="H700" s="24"/>
      <c r="I700" s="24"/>
      <c r="J700" s="24"/>
      <c r="K700" s="24"/>
      <c r="L700" s="24"/>
      <c r="M700" s="24"/>
      <c r="N700" s="24"/>
      <c r="O700" s="24"/>
      <c r="P700" s="24"/>
      <c r="Q700" s="24"/>
      <c r="R700" s="24"/>
      <c r="S700" s="24"/>
      <c r="T700" s="24"/>
      <c r="U700" s="24"/>
      <c r="V700" s="24"/>
      <c r="W700" s="24"/>
      <c r="X700" s="24"/>
      <c r="Y700" s="24"/>
      <c r="Z700" s="24"/>
      <c r="AA700" s="24"/>
      <c r="AB700" s="24"/>
      <c r="AC700" s="24"/>
    </row>
    <row r="701" spans="1:29" ht="12.9">
      <c r="A701" s="24"/>
      <c r="B701" s="24"/>
      <c r="C701" s="24"/>
      <c r="D701" s="24"/>
      <c r="E701" s="24"/>
      <c r="F701" s="117"/>
      <c r="G701" s="117"/>
      <c r="H701" s="24"/>
      <c r="I701" s="24"/>
      <c r="J701" s="24"/>
      <c r="K701" s="24"/>
      <c r="L701" s="24"/>
      <c r="M701" s="24"/>
      <c r="N701" s="24"/>
      <c r="O701" s="24"/>
      <c r="P701" s="24"/>
      <c r="Q701" s="24"/>
      <c r="R701" s="24"/>
      <c r="S701" s="24"/>
      <c r="T701" s="24"/>
      <c r="U701" s="24"/>
      <c r="V701" s="24"/>
      <c r="W701" s="24"/>
      <c r="X701" s="24"/>
      <c r="Y701" s="24"/>
      <c r="Z701" s="24"/>
      <c r="AA701" s="24"/>
      <c r="AB701" s="24"/>
      <c r="AC701" s="24"/>
    </row>
    <row r="702" spans="1:29" ht="12.9">
      <c r="A702" s="24"/>
      <c r="B702" s="24"/>
      <c r="C702" s="24"/>
      <c r="D702" s="24"/>
      <c r="E702" s="24"/>
      <c r="F702" s="117"/>
      <c r="G702" s="117"/>
      <c r="H702" s="24"/>
      <c r="I702" s="24"/>
      <c r="J702" s="24"/>
      <c r="K702" s="24"/>
      <c r="L702" s="24"/>
      <c r="M702" s="24"/>
      <c r="N702" s="24"/>
      <c r="O702" s="24"/>
      <c r="P702" s="24"/>
      <c r="Q702" s="24"/>
      <c r="R702" s="24"/>
      <c r="S702" s="24"/>
      <c r="T702" s="24"/>
      <c r="U702" s="24"/>
      <c r="V702" s="24"/>
      <c r="W702" s="24"/>
      <c r="X702" s="24"/>
      <c r="Y702" s="24"/>
      <c r="Z702" s="24"/>
      <c r="AA702" s="24"/>
      <c r="AB702" s="24"/>
      <c r="AC702" s="24"/>
    </row>
    <row r="703" spans="1:29" ht="12.9">
      <c r="A703" s="24"/>
      <c r="B703" s="24"/>
      <c r="C703" s="24"/>
      <c r="D703" s="24"/>
      <c r="E703" s="24"/>
      <c r="F703" s="117"/>
      <c r="G703" s="117"/>
      <c r="H703" s="24"/>
      <c r="I703" s="24"/>
      <c r="J703" s="24"/>
      <c r="K703" s="24"/>
      <c r="L703" s="24"/>
      <c r="M703" s="24"/>
      <c r="N703" s="24"/>
      <c r="O703" s="24"/>
      <c r="P703" s="24"/>
      <c r="Q703" s="24"/>
      <c r="R703" s="24"/>
      <c r="S703" s="24"/>
      <c r="T703" s="24"/>
      <c r="U703" s="24"/>
      <c r="V703" s="24"/>
      <c r="W703" s="24"/>
      <c r="X703" s="24"/>
      <c r="Y703" s="24"/>
      <c r="Z703" s="24"/>
      <c r="AA703" s="24"/>
      <c r="AB703" s="24"/>
      <c r="AC703" s="24"/>
    </row>
    <row r="704" spans="1:29" ht="12.9">
      <c r="A704" s="24"/>
      <c r="B704" s="24"/>
      <c r="C704" s="24"/>
      <c r="D704" s="24"/>
      <c r="E704" s="24"/>
      <c r="F704" s="117"/>
      <c r="G704" s="117"/>
      <c r="H704" s="24"/>
      <c r="I704" s="24"/>
      <c r="J704" s="24"/>
      <c r="K704" s="24"/>
      <c r="L704" s="24"/>
      <c r="M704" s="24"/>
      <c r="N704" s="24"/>
      <c r="O704" s="24"/>
      <c r="P704" s="24"/>
      <c r="Q704" s="24"/>
      <c r="R704" s="24"/>
      <c r="S704" s="24"/>
      <c r="T704" s="24"/>
      <c r="U704" s="24"/>
      <c r="V704" s="24"/>
      <c r="W704" s="24"/>
      <c r="X704" s="24"/>
      <c r="Y704" s="24"/>
      <c r="Z704" s="24"/>
      <c r="AA704" s="24"/>
      <c r="AB704" s="24"/>
      <c r="AC704" s="24"/>
    </row>
    <row r="705" spans="1:29" ht="12.9">
      <c r="A705" s="24"/>
      <c r="B705" s="24"/>
      <c r="C705" s="24"/>
      <c r="D705" s="24"/>
      <c r="E705" s="24"/>
      <c r="F705" s="117"/>
      <c r="G705" s="117"/>
      <c r="H705" s="24"/>
      <c r="I705" s="24"/>
      <c r="J705" s="24"/>
      <c r="K705" s="24"/>
      <c r="L705" s="24"/>
      <c r="M705" s="24"/>
      <c r="N705" s="24"/>
      <c r="O705" s="24"/>
      <c r="P705" s="24"/>
      <c r="Q705" s="24"/>
      <c r="R705" s="24"/>
      <c r="S705" s="24"/>
      <c r="T705" s="24"/>
      <c r="U705" s="24"/>
      <c r="V705" s="24"/>
      <c r="W705" s="24"/>
      <c r="X705" s="24"/>
      <c r="Y705" s="24"/>
      <c r="Z705" s="24"/>
      <c r="AA705" s="24"/>
      <c r="AB705" s="24"/>
      <c r="AC705" s="24"/>
    </row>
    <row r="706" spans="1:29" ht="12.9">
      <c r="A706" s="24"/>
      <c r="B706" s="24"/>
      <c r="C706" s="24"/>
      <c r="D706" s="24"/>
      <c r="E706" s="24"/>
      <c r="F706" s="117"/>
      <c r="G706" s="117"/>
      <c r="H706" s="24"/>
      <c r="I706" s="24"/>
      <c r="J706" s="24"/>
      <c r="K706" s="24"/>
      <c r="L706" s="24"/>
      <c r="M706" s="24"/>
      <c r="N706" s="24"/>
      <c r="O706" s="24"/>
      <c r="P706" s="24"/>
      <c r="Q706" s="24"/>
      <c r="R706" s="24"/>
      <c r="S706" s="24"/>
      <c r="T706" s="24"/>
      <c r="U706" s="24"/>
      <c r="V706" s="24"/>
      <c r="W706" s="24"/>
      <c r="X706" s="24"/>
      <c r="Y706" s="24"/>
      <c r="Z706" s="24"/>
      <c r="AA706" s="24"/>
      <c r="AB706" s="24"/>
      <c r="AC706" s="24"/>
    </row>
    <row r="707" spans="1:29" ht="12.9">
      <c r="A707" s="24"/>
      <c r="B707" s="24"/>
      <c r="C707" s="24"/>
      <c r="D707" s="24"/>
      <c r="E707" s="24"/>
      <c r="F707" s="117"/>
      <c r="G707" s="117"/>
      <c r="H707" s="24"/>
      <c r="I707" s="24"/>
      <c r="J707" s="24"/>
      <c r="K707" s="24"/>
      <c r="L707" s="24"/>
      <c r="M707" s="24"/>
      <c r="N707" s="24"/>
      <c r="O707" s="24"/>
      <c r="P707" s="24"/>
      <c r="Q707" s="24"/>
      <c r="R707" s="24"/>
      <c r="S707" s="24"/>
      <c r="T707" s="24"/>
      <c r="U707" s="24"/>
      <c r="V707" s="24"/>
      <c r="W707" s="24"/>
      <c r="X707" s="24"/>
      <c r="Y707" s="24"/>
      <c r="Z707" s="24"/>
      <c r="AA707" s="24"/>
      <c r="AB707" s="24"/>
      <c r="AC707" s="24"/>
    </row>
    <row r="708" spans="1:29" ht="12.9">
      <c r="A708" s="24"/>
      <c r="B708" s="24"/>
      <c r="C708" s="24"/>
      <c r="D708" s="24"/>
      <c r="E708" s="24"/>
      <c r="F708" s="117"/>
      <c r="G708" s="117"/>
      <c r="H708" s="24"/>
      <c r="I708" s="24"/>
      <c r="J708" s="24"/>
      <c r="K708" s="24"/>
      <c r="L708" s="24"/>
      <c r="M708" s="24"/>
      <c r="N708" s="24"/>
      <c r="O708" s="24"/>
      <c r="P708" s="24"/>
      <c r="Q708" s="24"/>
      <c r="R708" s="24"/>
      <c r="S708" s="24"/>
      <c r="T708" s="24"/>
      <c r="U708" s="24"/>
      <c r="V708" s="24"/>
      <c r="W708" s="24"/>
      <c r="X708" s="24"/>
      <c r="Y708" s="24"/>
      <c r="Z708" s="24"/>
      <c r="AA708" s="24"/>
      <c r="AB708" s="24"/>
      <c r="AC708" s="24"/>
    </row>
    <row r="709" spans="1:29" ht="12.9">
      <c r="A709" s="24"/>
      <c r="B709" s="24"/>
      <c r="C709" s="24"/>
      <c r="D709" s="24"/>
      <c r="E709" s="24"/>
      <c r="F709" s="117"/>
      <c r="G709" s="117"/>
      <c r="H709" s="24"/>
      <c r="I709" s="24"/>
      <c r="J709" s="24"/>
      <c r="K709" s="24"/>
      <c r="L709" s="24"/>
      <c r="M709" s="24"/>
      <c r="N709" s="24"/>
      <c r="O709" s="24"/>
      <c r="P709" s="24"/>
      <c r="Q709" s="24"/>
      <c r="R709" s="24"/>
      <c r="S709" s="24"/>
      <c r="T709" s="24"/>
      <c r="U709" s="24"/>
      <c r="V709" s="24"/>
      <c r="W709" s="24"/>
      <c r="X709" s="24"/>
      <c r="Y709" s="24"/>
      <c r="Z709" s="24"/>
      <c r="AA709" s="24"/>
      <c r="AB709" s="24"/>
      <c r="AC709" s="24"/>
    </row>
    <row r="710" spans="1:29" ht="12.9">
      <c r="A710" s="24"/>
      <c r="B710" s="24"/>
      <c r="C710" s="24"/>
      <c r="D710" s="24"/>
      <c r="E710" s="24"/>
      <c r="F710" s="117"/>
      <c r="G710" s="117"/>
      <c r="H710" s="24"/>
      <c r="I710" s="24"/>
      <c r="J710" s="24"/>
      <c r="K710" s="24"/>
      <c r="L710" s="24"/>
      <c r="M710" s="24"/>
      <c r="N710" s="24"/>
      <c r="O710" s="24"/>
      <c r="P710" s="24"/>
      <c r="Q710" s="24"/>
      <c r="R710" s="24"/>
      <c r="S710" s="24"/>
      <c r="T710" s="24"/>
      <c r="U710" s="24"/>
      <c r="V710" s="24"/>
      <c r="W710" s="24"/>
      <c r="X710" s="24"/>
      <c r="Y710" s="24"/>
      <c r="Z710" s="24"/>
      <c r="AA710" s="24"/>
      <c r="AB710" s="24"/>
      <c r="AC710" s="24"/>
    </row>
    <row r="711" spans="1:29" ht="12.9">
      <c r="A711" s="24"/>
      <c r="B711" s="24"/>
      <c r="C711" s="24"/>
      <c r="D711" s="24"/>
      <c r="E711" s="24"/>
      <c r="F711" s="117"/>
      <c r="G711" s="117"/>
      <c r="H711" s="24"/>
      <c r="I711" s="24"/>
      <c r="J711" s="24"/>
      <c r="K711" s="24"/>
      <c r="L711" s="24"/>
      <c r="M711" s="24"/>
      <c r="N711" s="24"/>
      <c r="O711" s="24"/>
      <c r="P711" s="24"/>
      <c r="Q711" s="24"/>
      <c r="R711" s="24"/>
      <c r="S711" s="24"/>
      <c r="T711" s="24"/>
      <c r="U711" s="24"/>
      <c r="V711" s="24"/>
      <c r="W711" s="24"/>
      <c r="X711" s="24"/>
      <c r="Y711" s="24"/>
      <c r="Z711" s="24"/>
      <c r="AA711" s="24"/>
      <c r="AB711" s="24"/>
      <c r="AC711" s="24"/>
    </row>
    <row r="712" spans="1:29" ht="12.9">
      <c r="A712" s="24"/>
      <c r="B712" s="24"/>
      <c r="C712" s="24"/>
      <c r="D712" s="24"/>
      <c r="E712" s="24"/>
      <c r="F712" s="117"/>
      <c r="G712" s="117"/>
      <c r="H712" s="24"/>
      <c r="I712" s="24"/>
      <c r="J712" s="24"/>
      <c r="K712" s="24"/>
      <c r="L712" s="24"/>
      <c r="M712" s="24"/>
      <c r="N712" s="24"/>
      <c r="O712" s="24"/>
      <c r="P712" s="24"/>
      <c r="Q712" s="24"/>
      <c r="R712" s="24"/>
      <c r="S712" s="24"/>
      <c r="T712" s="24"/>
      <c r="U712" s="24"/>
      <c r="V712" s="24"/>
      <c r="W712" s="24"/>
      <c r="X712" s="24"/>
      <c r="Y712" s="24"/>
      <c r="Z712" s="24"/>
      <c r="AA712" s="24"/>
      <c r="AB712" s="24"/>
      <c r="AC712" s="24"/>
    </row>
    <row r="713" spans="1:29" ht="12.9">
      <c r="A713" s="24"/>
      <c r="B713" s="24"/>
      <c r="C713" s="24"/>
      <c r="D713" s="24"/>
      <c r="E713" s="24"/>
      <c r="F713" s="117"/>
      <c r="G713" s="117"/>
      <c r="H713" s="24"/>
      <c r="I713" s="24"/>
      <c r="J713" s="24"/>
      <c r="K713" s="24"/>
      <c r="L713" s="24"/>
      <c r="M713" s="24"/>
      <c r="N713" s="24"/>
      <c r="O713" s="24"/>
      <c r="P713" s="24"/>
      <c r="Q713" s="24"/>
      <c r="R713" s="24"/>
      <c r="S713" s="24"/>
      <c r="T713" s="24"/>
      <c r="U713" s="24"/>
      <c r="V713" s="24"/>
      <c r="W713" s="24"/>
      <c r="X713" s="24"/>
      <c r="Y713" s="24"/>
      <c r="Z713" s="24"/>
      <c r="AA713" s="24"/>
      <c r="AB713" s="24"/>
      <c r="AC713" s="24"/>
    </row>
    <row r="714" spans="1:29" ht="12.9">
      <c r="A714" s="24"/>
      <c r="B714" s="24"/>
      <c r="C714" s="24"/>
      <c r="D714" s="24"/>
      <c r="E714" s="24"/>
      <c r="F714" s="117"/>
      <c r="G714" s="117"/>
      <c r="H714" s="24"/>
      <c r="I714" s="24"/>
      <c r="J714" s="24"/>
      <c r="K714" s="24"/>
      <c r="L714" s="24"/>
      <c r="M714" s="24"/>
      <c r="N714" s="24"/>
      <c r="O714" s="24"/>
      <c r="P714" s="24"/>
      <c r="Q714" s="24"/>
      <c r="R714" s="24"/>
      <c r="S714" s="24"/>
      <c r="T714" s="24"/>
      <c r="U714" s="24"/>
      <c r="V714" s="24"/>
      <c r="W714" s="24"/>
      <c r="X714" s="24"/>
      <c r="Y714" s="24"/>
      <c r="Z714" s="24"/>
      <c r="AA714" s="24"/>
      <c r="AB714" s="24"/>
      <c r="AC714" s="24"/>
    </row>
    <row r="715" spans="1:29" ht="12.9">
      <c r="A715" s="24"/>
      <c r="B715" s="24"/>
      <c r="C715" s="24"/>
      <c r="D715" s="24"/>
      <c r="E715" s="24"/>
      <c r="F715" s="117"/>
      <c r="G715" s="117"/>
      <c r="H715" s="24"/>
      <c r="I715" s="24"/>
      <c r="J715" s="24"/>
      <c r="K715" s="24"/>
      <c r="L715" s="24"/>
      <c r="M715" s="24"/>
      <c r="N715" s="24"/>
      <c r="O715" s="24"/>
      <c r="P715" s="24"/>
      <c r="Q715" s="24"/>
      <c r="R715" s="24"/>
      <c r="S715" s="24"/>
      <c r="T715" s="24"/>
      <c r="U715" s="24"/>
      <c r="V715" s="24"/>
      <c r="W715" s="24"/>
      <c r="X715" s="24"/>
      <c r="Y715" s="24"/>
      <c r="Z715" s="24"/>
      <c r="AA715" s="24"/>
      <c r="AB715" s="24"/>
      <c r="AC715" s="24"/>
    </row>
    <row r="716" spans="1:29" ht="12.9">
      <c r="A716" s="24"/>
      <c r="B716" s="24"/>
      <c r="C716" s="24"/>
      <c r="D716" s="24"/>
      <c r="E716" s="24"/>
      <c r="F716" s="117"/>
      <c r="G716" s="117"/>
      <c r="H716" s="24"/>
      <c r="I716" s="24"/>
      <c r="J716" s="24"/>
      <c r="K716" s="24"/>
      <c r="L716" s="24"/>
      <c r="M716" s="24"/>
      <c r="N716" s="24"/>
      <c r="O716" s="24"/>
      <c r="P716" s="24"/>
      <c r="Q716" s="24"/>
      <c r="R716" s="24"/>
      <c r="S716" s="24"/>
      <c r="T716" s="24"/>
      <c r="U716" s="24"/>
      <c r="V716" s="24"/>
      <c r="W716" s="24"/>
      <c r="X716" s="24"/>
      <c r="Y716" s="24"/>
      <c r="Z716" s="24"/>
      <c r="AA716" s="24"/>
      <c r="AB716" s="24"/>
      <c r="AC716" s="24"/>
    </row>
    <row r="717" spans="1:29" ht="12.9">
      <c r="A717" s="24"/>
      <c r="B717" s="24"/>
      <c r="C717" s="24"/>
      <c r="D717" s="24"/>
      <c r="E717" s="24"/>
      <c r="F717" s="117"/>
      <c r="G717" s="117"/>
      <c r="H717" s="24"/>
      <c r="I717" s="24"/>
      <c r="J717" s="24"/>
      <c r="K717" s="24"/>
      <c r="L717" s="24"/>
      <c r="M717" s="24"/>
      <c r="N717" s="24"/>
      <c r="O717" s="24"/>
      <c r="P717" s="24"/>
      <c r="Q717" s="24"/>
      <c r="R717" s="24"/>
      <c r="S717" s="24"/>
      <c r="T717" s="24"/>
      <c r="U717" s="24"/>
      <c r="V717" s="24"/>
      <c r="W717" s="24"/>
      <c r="X717" s="24"/>
      <c r="Y717" s="24"/>
      <c r="Z717" s="24"/>
      <c r="AA717" s="24"/>
      <c r="AB717" s="24"/>
      <c r="AC717" s="24"/>
    </row>
    <row r="718" spans="1:29" ht="12.9">
      <c r="A718" s="24"/>
      <c r="B718" s="24"/>
      <c r="C718" s="24"/>
      <c r="D718" s="24"/>
      <c r="E718" s="24"/>
      <c r="F718" s="117"/>
      <c r="G718" s="117"/>
      <c r="H718" s="24"/>
      <c r="I718" s="24"/>
      <c r="J718" s="24"/>
      <c r="K718" s="24"/>
      <c r="L718" s="24"/>
      <c r="M718" s="24"/>
      <c r="N718" s="24"/>
      <c r="O718" s="24"/>
      <c r="P718" s="24"/>
      <c r="Q718" s="24"/>
      <c r="R718" s="24"/>
      <c r="S718" s="24"/>
      <c r="T718" s="24"/>
      <c r="U718" s="24"/>
      <c r="V718" s="24"/>
      <c r="W718" s="24"/>
      <c r="X718" s="24"/>
      <c r="Y718" s="24"/>
      <c r="Z718" s="24"/>
      <c r="AA718" s="24"/>
      <c r="AB718" s="24"/>
      <c r="AC718" s="24"/>
    </row>
    <row r="719" spans="1:29" ht="12.9">
      <c r="A719" s="24"/>
      <c r="B719" s="24"/>
      <c r="C719" s="24"/>
      <c r="D719" s="24"/>
      <c r="E719" s="24"/>
      <c r="F719" s="117"/>
      <c r="G719" s="117"/>
      <c r="H719" s="24"/>
      <c r="I719" s="24"/>
      <c r="J719" s="24"/>
      <c r="K719" s="24"/>
      <c r="L719" s="24"/>
      <c r="M719" s="24"/>
      <c r="N719" s="24"/>
      <c r="O719" s="24"/>
      <c r="P719" s="24"/>
      <c r="Q719" s="24"/>
      <c r="R719" s="24"/>
      <c r="S719" s="24"/>
      <c r="T719" s="24"/>
      <c r="U719" s="24"/>
      <c r="V719" s="24"/>
      <c r="W719" s="24"/>
      <c r="X719" s="24"/>
      <c r="Y719" s="24"/>
      <c r="Z719" s="24"/>
      <c r="AA719" s="24"/>
      <c r="AB719" s="24"/>
      <c r="AC719" s="24"/>
    </row>
    <row r="720" spans="1:29" ht="12.9">
      <c r="A720" s="24"/>
      <c r="B720" s="24"/>
      <c r="C720" s="24"/>
      <c r="D720" s="24"/>
      <c r="E720" s="24"/>
      <c r="F720" s="117"/>
      <c r="G720" s="117"/>
      <c r="H720" s="24"/>
      <c r="I720" s="24"/>
      <c r="J720" s="24"/>
      <c r="K720" s="24"/>
      <c r="L720" s="24"/>
      <c r="M720" s="24"/>
      <c r="N720" s="24"/>
      <c r="O720" s="24"/>
      <c r="P720" s="24"/>
      <c r="Q720" s="24"/>
      <c r="R720" s="24"/>
      <c r="S720" s="24"/>
      <c r="T720" s="24"/>
      <c r="U720" s="24"/>
      <c r="V720" s="24"/>
      <c r="W720" s="24"/>
      <c r="X720" s="24"/>
      <c r="Y720" s="24"/>
      <c r="Z720" s="24"/>
      <c r="AA720" s="24"/>
      <c r="AB720" s="24"/>
      <c r="AC720" s="24"/>
    </row>
    <row r="721" spans="1:29" ht="12.9">
      <c r="A721" s="24"/>
      <c r="B721" s="24"/>
      <c r="C721" s="24"/>
      <c r="D721" s="24"/>
      <c r="E721" s="24"/>
      <c r="F721" s="117"/>
      <c r="G721" s="117"/>
      <c r="H721" s="24"/>
      <c r="I721" s="24"/>
      <c r="J721" s="24"/>
      <c r="K721" s="24"/>
      <c r="L721" s="24"/>
      <c r="M721" s="24"/>
      <c r="N721" s="24"/>
      <c r="O721" s="24"/>
      <c r="P721" s="24"/>
      <c r="Q721" s="24"/>
      <c r="R721" s="24"/>
      <c r="S721" s="24"/>
      <c r="T721" s="24"/>
      <c r="U721" s="24"/>
      <c r="V721" s="24"/>
      <c r="W721" s="24"/>
      <c r="X721" s="24"/>
      <c r="Y721" s="24"/>
      <c r="Z721" s="24"/>
      <c r="AA721" s="24"/>
      <c r="AB721" s="24"/>
      <c r="AC721" s="24"/>
    </row>
    <row r="722" spans="1:29" ht="12.9">
      <c r="A722" s="24"/>
      <c r="B722" s="24"/>
      <c r="C722" s="24"/>
      <c r="D722" s="24"/>
      <c r="E722" s="24"/>
      <c r="F722" s="117"/>
      <c r="G722" s="117"/>
      <c r="H722" s="24"/>
      <c r="I722" s="24"/>
      <c r="J722" s="24"/>
      <c r="K722" s="24"/>
      <c r="L722" s="24"/>
      <c r="M722" s="24"/>
      <c r="N722" s="24"/>
      <c r="O722" s="24"/>
      <c r="P722" s="24"/>
      <c r="Q722" s="24"/>
      <c r="R722" s="24"/>
      <c r="S722" s="24"/>
      <c r="T722" s="24"/>
      <c r="U722" s="24"/>
      <c r="V722" s="24"/>
      <c r="W722" s="24"/>
      <c r="X722" s="24"/>
      <c r="Y722" s="24"/>
      <c r="Z722" s="24"/>
      <c r="AA722" s="24"/>
      <c r="AB722" s="24"/>
      <c r="AC722" s="24"/>
    </row>
    <row r="723" spans="1:29" ht="12.9">
      <c r="A723" s="24"/>
      <c r="B723" s="24"/>
      <c r="C723" s="24"/>
      <c r="D723" s="24"/>
      <c r="E723" s="24"/>
      <c r="F723" s="117"/>
      <c r="G723" s="117"/>
      <c r="H723" s="24"/>
      <c r="I723" s="24"/>
      <c r="J723" s="24"/>
      <c r="K723" s="24"/>
      <c r="L723" s="24"/>
      <c r="M723" s="24"/>
      <c r="N723" s="24"/>
      <c r="O723" s="24"/>
      <c r="P723" s="24"/>
      <c r="Q723" s="24"/>
      <c r="R723" s="24"/>
      <c r="S723" s="24"/>
      <c r="T723" s="24"/>
      <c r="U723" s="24"/>
      <c r="V723" s="24"/>
      <c r="W723" s="24"/>
      <c r="X723" s="24"/>
      <c r="Y723" s="24"/>
      <c r="Z723" s="24"/>
      <c r="AA723" s="24"/>
      <c r="AB723" s="24"/>
      <c r="AC723" s="24"/>
    </row>
    <row r="724" spans="1:29" ht="12.9">
      <c r="A724" s="24"/>
      <c r="B724" s="24"/>
      <c r="C724" s="24"/>
      <c r="D724" s="24"/>
      <c r="E724" s="24"/>
      <c r="F724" s="117"/>
      <c r="G724" s="117"/>
      <c r="H724" s="24"/>
      <c r="I724" s="24"/>
      <c r="J724" s="24"/>
      <c r="K724" s="24"/>
      <c r="L724" s="24"/>
      <c r="M724" s="24"/>
      <c r="N724" s="24"/>
      <c r="O724" s="24"/>
      <c r="P724" s="24"/>
      <c r="Q724" s="24"/>
      <c r="R724" s="24"/>
      <c r="S724" s="24"/>
      <c r="T724" s="24"/>
      <c r="U724" s="24"/>
      <c r="V724" s="24"/>
      <c r="W724" s="24"/>
      <c r="X724" s="24"/>
      <c r="Y724" s="24"/>
      <c r="Z724" s="24"/>
      <c r="AA724" s="24"/>
      <c r="AB724" s="24"/>
      <c r="AC724" s="24"/>
    </row>
    <row r="725" spans="1:29" ht="12.9">
      <c r="A725" s="24"/>
      <c r="B725" s="24"/>
      <c r="C725" s="24"/>
      <c r="D725" s="24"/>
      <c r="E725" s="24"/>
      <c r="F725" s="117"/>
      <c r="G725" s="117"/>
      <c r="H725" s="24"/>
      <c r="I725" s="24"/>
      <c r="J725" s="24"/>
      <c r="K725" s="24"/>
      <c r="L725" s="24"/>
      <c r="M725" s="24"/>
      <c r="N725" s="24"/>
      <c r="O725" s="24"/>
      <c r="P725" s="24"/>
      <c r="Q725" s="24"/>
      <c r="R725" s="24"/>
      <c r="S725" s="24"/>
      <c r="T725" s="24"/>
      <c r="U725" s="24"/>
      <c r="V725" s="24"/>
      <c r="W725" s="24"/>
      <c r="X725" s="24"/>
      <c r="Y725" s="24"/>
      <c r="Z725" s="24"/>
      <c r="AA725" s="24"/>
      <c r="AB725" s="24"/>
      <c r="AC725" s="24"/>
    </row>
    <row r="726" spans="1:29" ht="12.9">
      <c r="A726" s="24"/>
      <c r="B726" s="24"/>
      <c r="C726" s="24"/>
      <c r="D726" s="24"/>
      <c r="E726" s="24"/>
      <c r="F726" s="117"/>
      <c r="G726" s="117"/>
      <c r="H726" s="24"/>
      <c r="I726" s="24"/>
      <c r="J726" s="24"/>
      <c r="K726" s="24"/>
      <c r="L726" s="24"/>
      <c r="M726" s="24"/>
      <c r="N726" s="24"/>
      <c r="O726" s="24"/>
      <c r="P726" s="24"/>
      <c r="Q726" s="24"/>
      <c r="R726" s="24"/>
      <c r="S726" s="24"/>
      <c r="T726" s="24"/>
      <c r="U726" s="24"/>
      <c r="V726" s="24"/>
      <c r="W726" s="24"/>
      <c r="X726" s="24"/>
      <c r="Y726" s="24"/>
      <c r="Z726" s="24"/>
      <c r="AA726" s="24"/>
      <c r="AB726" s="24"/>
      <c r="AC726" s="24"/>
    </row>
    <row r="727" spans="1:29" ht="12.9">
      <c r="A727" s="24"/>
      <c r="B727" s="24"/>
      <c r="C727" s="24"/>
      <c r="D727" s="24"/>
      <c r="E727" s="24"/>
      <c r="F727" s="117"/>
      <c r="G727" s="117"/>
      <c r="H727" s="24"/>
      <c r="I727" s="24"/>
      <c r="J727" s="24"/>
      <c r="K727" s="24"/>
      <c r="L727" s="24"/>
      <c r="M727" s="24"/>
      <c r="N727" s="24"/>
      <c r="O727" s="24"/>
      <c r="P727" s="24"/>
      <c r="Q727" s="24"/>
      <c r="R727" s="24"/>
      <c r="S727" s="24"/>
      <c r="T727" s="24"/>
      <c r="U727" s="24"/>
      <c r="V727" s="24"/>
      <c r="W727" s="24"/>
      <c r="X727" s="24"/>
      <c r="Y727" s="24"/>
      <c r="Z727" s="24"/>
      <c r="AA727" s="24"/>
      <c r="AB727" s="24"/>
      <c r="AC727" s="24"/>
    </row>
    <row r="728" spans="1:29" ht="12.9">
      <c r="A728" s="24"/>
      <c r="B728" s="24"/>
      <c r="C728" s="24"/>
      <c r="D728" s="24"/>
      <c r="E728" s="24"/>
      <c r="F728" s="117"/>
      <c r="G728" s="117"/>
      <c r="H728" s="24"/>
      <c r="I728" s="24"/>
      <c r="J728" s="24"/>
      <c r="K728" s="24"/>
      <c r="L728" s="24"/>
      <c r="M728" s="24"/>
      <c r="N728" s="24"/>
      <c r="O728" s="24"/>
      <c r="P728" s="24"/>
      <c r="Q728" s="24"/>
      <c r="R728" s="24"/>
      <c r="S728" s="24"/>
      <c r="T728" s="24"/>
      <c r="U728" s="24"/>
      <c r="V728" s="24"/>
      <c r="W728" s="24"/>
      <c r="X728" s="24"/>
      <c r="Y728" s="24"/>
      <c r="Z728" s="24"/>
      <c r="AA728" s="24"/>
      <c r="AB728" s="24"/>
      <c r="AC728" s="24"/>
    </row>
    <row r="729" spans="1:29" ht="12.9">
      <c r="A729" s="24"/>
      <c r="B729" s="24"/>
      <c r="C729" s="24"/>
      <c r="D729" s="24"/>
      <c r="E729" s="24"/>
      <c r="F729" s="117"/>
      <c r="G729" s="117"/>
      <c r="H729" s="24"/>
      <c r="I729" s="24"/>
      <c r="J729" s="24"/>
      <c r="K729" s="24"/>
      <c r="L729" s="24"/>
      <c r="M729" s="24"/>
      <c r="N729" s="24"/>
      <c r="O729" s="24"/>
      <c r="P729" s="24"/>
      <c r="Q729" s="24"/>
      <c r="R729" s="24"/>
      <c r="S729" s="24"/>
      <c r="T729" s="24"/>
      <c r="U729" s="24"/>
      <c r="V729" s="24"/>
      <c r="W729" s="24"/>
      <c r="X729" s="24"/>
      <c r="Y729" s="24"/>
      <c r="Z729" s="24"/>
      <c r="AA729" s="24"/>
      <c r="AB729" s="24"/>
      <c r="AC729" s="24"/>
    </row>
    <row r="730" spans="1:29" ht="12.9">
      <c r="A730" s="24"/>
      <c r="B730" s="24"/>
      <c r="C730" s="24"/>
      <c r="D730" s="24"/>
      <c r="E730" s="24"/>
      <c r="F730" s="117"/>
      <c r="G730" s="117"/>
      <c r="H730" s="24"/>
      <c r="I730" s="24"/>
      <c r="J730" s="24"/>
      <c r="K730" s="24"/>
      <c r="L730" s="24"/>
      <c r="M730" s="24"/>
      <c r="N730" s="24"/>
      <c r="O730" s="24"/>
      <c r="P730" s="24"/>
      <c r="Q730" s="24"/>
      <c r="R730" s="24"/>
      <c r="S730" s="24"/>
      <c r="T730" s="24"/>
      <c r="U730" s="24"/>
      <c r="V730" s="24"/>
      <c r="W730" s="24"/>
      <c r="X730" s="24"/>
      <c r="Y730" s="24"/>
      <c r="Z730" s="24"/>
      <c r="AA730" s="24"/>
      <c r="AB730" s="24"/>
      <c r="AC730" s="24"/>
    </row>
    <row r="731" spans="1:29" ht="12.9">
      <c r="A731" s="24"/>
      <c r="B731" s="24"/>
      <c r="C731" s="24"/>
      <c r="D731" s="24"/>
      <c r="E731" s="24"/>
      <c r="F731" s="117"/>
      <c r="G731" s="117"/>
      <c r="H731" s="24"/>
      <c r="I731" s="24"/>
      <c r="J731" s="24"/>
      <c r="K731" s="24"/>
      <c r="L731" s="24"/>
      <c r="M731" s="24"/>
      <c r="N731" s="24"/>
      <c r="O731" s="24"/>
      <c r="P731" s="24"/>
      <c r="Q731" s="24"/>
      <c r="R731" s="24"/>
      <c r="S731" s="24"/>
      <c r="T731" s="24"/>
      <c r="U731" s="24"/>
      <c r="V731" s="24"/>
      <c r="W731" s="24"/>
      <c r="X731" s="24"/>
      <c r="Y731" s="24"/>
      <c r="Z731" s="24"/>
      <c r="AA731" s="24"/>
      <c r="AB731" s="24"/>
      <c r="AC731" s="24"/>
    </row>
    <row r="732" spans="1:29" ht="12.9">
      <c r="A732" s="24"/>
      <c r="B732" s="24"/>
      <c r="C732" s="24"/>
      <c r="D732" s="24"/>
      <c r="E732" s="24"/>
      <c r="F732" s="117"/>
      <c r="G732" s="117"/>
      <c r="H732" s="24"/>
      <c r="I732" s="24"/>
      <c r="J732" s="24"/>
      <c r="K732" s="24"/>
      <c r="L732" s="24"/>
      <c r="M732" s="24"/>
      <c r="N732" s="24"/>
      <c r="O732" s="24"/>
      <c r="P732" s="24"/>
      <c r="Q732" s="24"/>
      <c r="R732" s="24"/>
      <c r="S732" s="24"/>
      <c r="T732" s="24"/>
      <c r="U732" s="24"/>
      <c r="V732" s="24"/>
      <c r="W732" s="24"/>
      <c r="X732" s="24"/>
      <c r="Y732" s="24"/>
      <c r="Z732" s="24"/>
      <c r="AA732" s="24"/>
      <c r="AB732" s="24"/>
      <c r="AC732" s="24"/>
    </row>
    <row r="733" spans="1:29" ht="12.9">
      <c r="A733" s="24"/>
      <c r="B733" s="24"/>
      <c r="C733" s="24"/>
      <c r="D733" s="24"/>
      <c r="E733" s="24"/>
      <c r="F733" s="117"/>
      <c r="G733" s="117"/>
      <c r="H733" s="24"/>
      <c r="I733" s="24"/>
      <c r="J733" s="24"/>
      <c r="K733" s="24"/>
      <c r="L733" s="24"/>
      <c r="M733" s="24"/>
      <c r="N733" s="24"/>
      <c r="O733" s="24"/>
      <c r="P733" s="24"/>
      <c r="Q733" s="24"/>
      <c r="R733" s="24"/>
      <c r="S733" s="24"/>
      <c r="T733" s="24"/>
      <c r="U733" s="24"/>
      <c r="V733" s="24"/>
      <c r="W733" s="24"/>
      <c r="X733" s="24"/>
      <c r="Y733" s="24"/>
      <c r="Z733" s="24"/>
      <c r="AA733" s="24"/>
      <c r="AB733" s="24"/>
      <c r="AC733" s="24"/>
    </row>
    <row r="734" spans="1:29" ht="12.9">
      <c r="A734" s="24"/>
      <c r="B734" s="24"/>
      <c r="C734" s="24"/>
      <c r="D734" s="24"/>
      <c r="E734" s="24"/>
      <c r="F734" s="117"/>
      <c r="G734" s="117"/>
      <c r="H734" s="24"/>
      <c r="I734" s="24"/>
      <c r="J734" s="24"/>
      <c r="K734" s="24"/>
      <c r="L734" s="24"/>
      <c r="M734" s="24"/>
      <c r="N734" s="24"/>
      <c r="O734" s="24"/>
      <c r="P734" s="24"/>
      <c r="Q734" s="24"/>
      <c r="R734" s="24"/>
      <c r="S734" s="24"/>
      <c r="T734" s="24"/>
      <c r="U734" s="24"/>
      <c r="V734" s="24"/>
      <c r="W734" s="24"/>
      <c r="X734" s="24"/>
      <c r="Y734" s="24"/>
      <c r="Z734" s="24"/>
      <c r="AA734" s="24"/>
      <c r="AB734" s="24"/>
      <c r="AC734" s="24"/>
    </row>
    <row r="735" spans="1:29" ht="12.9">
      <c r="A735" s="24"/>
      <c r="B735" s="24"/>
      <c r="C735" s="24"/>
      <c r="D735" s="24"/>
      <c r="E735" s="24"/>
      <c r="F735" s="117"/>
      <c r="G735" s="117"/>
      <c r="H735" s="24"/>
      <c r="I735" s="24"/>
      <c r="J735" s="24"/>
      <c r="K735" s="24"/>
      <c r="L735" s="24"/>
      <c r="M735" s="24"/>
      <c r="N735" s="24"/>
      <c r="O735" s="24"/>
      <c r="P735" s="24"/>
      <c r="Q735" s="24"/>
      <c r="R735" s="24"/>
      <c r="S735" s="24"/>
      <c r="T735" s="24"/>
      <c r="U735" s="24"/>
      <c r="V735" s="24"/>
      <c r="W735" s="24"/>
      <c r="X735" s="24"/>
      <c r="Y735" s="24"/>
      <c r="Z735" s="24"/>
      <c r="AA735" s="24"/>
      <c r="AB735" s="24"/>
      <c r="AC735" s="24"/>
    </row>
    <row r="736" spans="1:29" ht="12.9">
      <c r="A736" s="24"/>
      <c r="B736" s="24"/>
      <c r="C736" s="24"/>
      <c r="D736" s="24"/>
      <c r="E736" s="24"/>
      <c r="F736" s="117"/>
      <c r="G736" s="117"/>
      <c r="H736" s="24"/>
      <c r="I736" s="24"/>
      <c r="J736" s="24"/>
      <c r="K736" s="24"/>
      <c r="L736" s="24"/>
      <c r="M736" s="24"/>
      <c r="N736" s="24"/>
      <c r="O736" s="24"/>
      <c r="P736" s="24"/>
      <c r="Q736" s="24"/>
      <c r="R736" s="24"/>
      <c r="S736" s="24"/>
      <c r="T736" s="24"/>
      <c r="U736" s="24"/>
      <c r="V736" s="24"/>
      <c r="W736" s="24"/>
      <c r="X736" s="24"/>
      <c r="Y736" s="24"/>
      <c r="Z736" s="24"/>
      <c r="AA736" s="24"/>
      <c r="AB736" s="24"/>
      <c r="AC736" s="24"/>
    </row>
    <row r="737" spans="1:29" ht="12.9">
      <c r="A737" s="24"/>
      <c r="B737" s="24"/>
      <c r="C737" s="24"/>
      <c r="D737" s="24"/>
      <c r="E737" s="24"/>
      <c r="F737" s="117"/>
      <c r="G737" s="117"/>
      <c r="H737" s="24"/>
      <c r="I737" s="24"/>
      <c r="J737" s="24"/>
      <c r="K737" s="24"/>
      <c r="L737" s="24"/>
      <c r="M737" s="24"/>
      <c r="N737" s="24"/>
      <c r="O737" s="24"/>
      <c r="P737" s="24"/>
      <c r="Q737" s="24"/>
      <c r="R737" s="24"/>
      <c r="S737" s="24"/>
      <c r="T737" s="24"/>
      <c r="U737" s="24"/>
      <c r="V737" s="24"/>
      <c r="W737" s="24"/>
      <c r="X737" s="24"/>
      <c r="Y737" s="24"/>
      <c r="Z737" s="24"/>
      <c r="AA737" s="24"/>
      <c r="AB737" s="24"/>
      <c r="AC737" s="24"/>
    </row>
    <row r="738" spans="1:29" ht="12.9">
      <c r="A738" s="24"/>
      <c r="B738" s="24"/>
      <c r="C738" s="24"/>
      <c r="D738" s="24"/>
      <c r="E738" s="24"/>
      <c r="F738" s="117"/>
      <c r="G738" s="117"/>
      <c r="H738" s="24"/>
      <c r="I738" s="24"/>
      <c r="J738" s="24"/>
      <c r="K738" s="24"/>
      <c r="L738" s="24"/>
      <c r="M738" s="24"/>
      <c r="N738" s="24"/>
      <c r="O738" s="24"/>
      <c r="P738" s="24"/>
      <c r="Q738" s="24"/>
      <c r="R738" s="24"/>
      <c r="S738" s="24"/>
      <c r="T738" s="24"/>
      <c r="U738" s="24"/>
      <c r="V738" s="24"/>
      <c r="W738" s="24"/>
      <c r="X738" s="24"/>
      <c r="Y738" s="24"/>
      <c r="Z738" s="24"/>
      <c r="AA738" s="24"/>
      <c r="AB738" s="24"/>
      <c r="AC738" s="24"/>
    </row>
    <row r="739" spans="1:29" ht="12.9">
      <c r="A739" s="24"/>
      <c r="B739" s="24"/>
      <c r="C739" s="24"/>
      <c r="D739" s="24"/>
      <c r="E739" s="24"/>
      <c r="F739" s="117"/>
      <c r="G739" s="117"/>
      <c r="H739" s="24"/>
      <c r="I739" s="24"/>
      <c r="J739" s="24"/>
      <c r="K739" s="24"/>
      <c r="L739" s="24"/>
      <c r="M739" s="24"/>
      <c r="N739" s="24"/>
      <c r="O739" s="24"/>
      <c r="P739" s="24"/>
      <c r="Q739" s="24"/>
      <c r="R739" s="24"/>
      <c r="S739" s="24"/>
      <c r="T739" s="24"/>
      <c r="U739" s="24"/>
      <c r="V739" s="24"/>
      <c r="W739" s="24"/>
      <c r="X739" s="24"/>
      <c r="Y739" s="24"/>
      <c r="Z739" s="24"/>
      <c r="AA739" s="24"/>
      <c r="AB739" s="24"/>
      <c r="AC739" s="24"/>
    </row>
    <row r="740" spans="1:29" ht="12.9">
      <c r="A740" s="24"/>
      <c r="B740" s="24"/>
      <c r="C740" s="24"/>
      <c r="D740" s="24"/>
      <c r="E740" s="24"/>
      <c r="F740" s="117"/>
      <c r="G740" s="117"/>
      <c r="H740" s="24"/>
      <c r="I740" s="24"/>
      <c r="J740" s="24"/>
      <c r="K740" s="24"/>
      <c r="L740" s="24"/>
      <c r="M740" s="24"/>
      <c r="N740" s="24"/>
      <c r="O740" s="24"/>
      <c r="P740" s="24"/>
      <c r="Q740" s="24"/>
      <c r="R740" s="24"/>
      <c r="S740" s="24"/>
      <c r="T740" s="24"/>
      <c r="U740" s="24"/>
      <c r="V740" s="24"/>
      <c r="W740" s="24"/>
      <c r="X740" s="24"/>
      <c r="Y740" s="24"/>
      <c r="Z740" s="24"/>
      <c r="AA740" s="24"/>
      <c r="AB740" s="24"/>
      <c r="AC740" s="24"/>
    </row>
    <row r="741" spans="1:29" ht="12.9">
      <c r="A741" s="24"/>
      <c r="B741" s="24"/>
      <c r="C741" s="24"/>
      <c r="D741" s="24"/>
      <c r="E741" s="24"/>
      <c r="F741" s="117"/>
      <c r="G741" s="117"/>
      <c r="H741" s="24"/>
      <c r="I741" s="24"/>
      <c r="J741" s="24"/>
      <c r="K741" s="24"/>
      <c r="L741" s="24"/>
      <c r="M741" s="24"/>
      <c r="N741" s="24"/>
      <c r="O741" s="24"/>
      <c r="P741" s="24"/>
      <c r="Q741" s="24"/>
      <c r="R741" s="24"/>
      <c r="S741" s="24"/>
      <c r="T741" s="24"/>
      <c r="U741" s="24"/>
      <c r="V741" s="24"/>
      <c r="W741" s="24"/>
      <c r="X741" s="24"/>
      <c r="Y741" s="24"/>
      <c r="Z741" s="24"/>
      <c r="AA741" s="24"/>
      <c r="AB741" s="24"/>
      <c r="AC741" s="24"/>
    </row>
    <row r="742" spans="1:29" ht="12.9">
      <c r="A742" s="24"/>
      <c r="B742" s="24"/>
      <c r="C742" s="24"/>
      <c r="D742" s="24"/>
      <c r="E742" s="24"/>
      <c r="F742" s="117"/>
      <c r="G742" s="117"/>
      <c r="H742" s="24"/>
      <c r="I742" s="24"/>
      <c r="J742" s="24"/>
      <c r="K742" s="24"/>
      <c r="L742" s="24"/>
      <c r="M742" s="24"/>
      <c r="N742" s="24"/>
      <c r="O742" s="24"/>
      <c r="P742" s="24"/>
      <c r="Q742" s="24"/>
      <c r="R742" s="24"/>
      <c r="S742" s="24"/>
      <c r="T742" s="24"/>
      <c r="U742" s="24"/>
      <c r="V742" s="24"/>
      <c r="W742" s="24"/>
      <c r="X742" s="24"/>
      <c r="Y742" s="24"/>
      <c r="Z742" s="24"/>
      <c r="AA742" s="24"/>
      <c r="AB742" s="24"/>
      <c r="AC742" s="24"/>
    </row>
    <row r="743" spans="1:29" ht="12.9">
      <c r="A743" s="24"/>
      <c r="B743" s="24"/>
      <c r="C743" s="24"/>
      <c r="D743" s="24"/>
      <c r="E743" s="24"/>
      <c r="F743" s="117"/>
      <c r="G743" s="117"/>
      <c r="H743" s="24"/>
      <c r="I743" s="24"/>
      <c r="J743" s="24"/>
      <c r="K743" s="24"/>
      <c r="L743" s="24"/>
      <c r="M743" s="24"/>
      <c r="N743" s="24"/>
      <c r="O743" s="24"/>
      <c r="P743" s="24"/>
      <c r="Q743" s="24"/>
      <c r="R743" s="24"/>
      <c r="S743" s="24"/>
      <c r="T743" s="24"/>
      <c r="U743" s="24"/>
      <c r="V743" s="24"/>
      <c r="W743" s="24"/>
      <c r="X743" s="24"/>
      <c r="Y743" s="24"/>
      <c r="Z743" s="24"/>
      <c r="AA743" s="24"/>
      <c r="AB743" s="24"/>
      <c r="AC743" s="24"/>
    </row>
    <row r="744" spans="1:29" ht="12.9">
      <c r="A744" s="24"/>
      <c r="B744" s="24"/>
      <c r="C744" s="24"/>
      <c r="D744" s="24"/>
      <c r="E744" s="24"/>
      <c r="F744" s="117"/>
      <c r="G744" s="117"/>
      <c r="H744" s="24"/>
      <c r="I744" s="24"/>
      <c r="J744" s="24"/>
      <c r="K744" s="24"/>
      <c r="L744" s="24"/>
      <c r="M744" s="24"/>
      <c r="N744" s="24"/>
      <c r="O744" s="24"/>
      <c r="P744" s="24"/>
      <c r="Q744" s="24"/>
      <c r="R744" s="24"/>
      <c r="S744" s="24"/>
      <c r="T744" s="24"/>
      <c r="U744" s="24"/>
      <c r="V744" s="24"/>
      <c r="W744" s="24"/>
      <c r="X744" s="24"/>
      <c r="Y744" s="24"/>
      <c r="Z744" s="24"/>
      <c r="AA744" s="24"/>
      <c r="AB744" s="24"/>
      <c r="AC744" s="24"/>
    </row>
    <row r="745" spans="1:29" ht="12.9">
      <c r="A745" s="24"/>
      <c r="B745" s="24"/>
      <c r="C745" s="24"/>
      <c r="D745" s="24"/>
      <c r="E745" s="24"/>
      <c r="F745" s="117"/>
      <c r="G745" s="117"/>
      <c r="H745" s="24"/>
      <c r="I745" s="24"/>
      <c r="J745" s="24"/>
      <c r="K745" s="24"/>
      <c r="L745" s="24"/>
      <c r="M745" s="24"/>
      <c r="N745" s="24"/>
      <c r="O745" s="24"/>
      <c r="P745" s="24"/>
      <c r="Q745" s="24"/>
      <c r="R745" s="24"/>
      <c r="S745" s="24"/>
      <c r="T745" s="24"/>
      <c r="U745" s="24"/>
      <c r="V745" s="24"/>
      <c r="W745" s="24"/>
      <c r="X745" s="24"/>
      <c r="Y745" s="24"/>
      <c r="Z745" s="24"/>
      <c r="AA745" s="24"/>
      <c r="AB745" s="24"/>
      <c r="AC745" s="24"/>
    </row>
    <row r="746" spans="1:29" ht="12.9">
      <c r="A746" s="24"/>
      <c r="B746" s="24"/>
      <c r="C746" s="24"/>
      <c r="D746" s="24"/>
      <c r="E746" s="24"/>
      <c r="F746" s="117"/>
      <c r="G746" s="117"/>
      <c r="H746" s="24"/>
      <c r="I746" s="24"/>
      <c r="J746" s="24"/>
      <c r="K746" s="24"/>
      <c r="L746" s="24"/>
      <c r="M746" s="24"/>
      <c r="N746" s="24"/>
      <c r="O746" s="24"/>
      <c r="P746" s="24"/>
      <c r="Q746" s="24"/>
      <c r="R746" s="24"/>
      <c r="S746" s="24"/>
      <c r="T746" s="24"/>
      <c r="U746" s="24"/>
      <c r="V746" s="24"/>
      <c r="W746" s="24"/>
      <c r="X746" s="24"/>
      <c r="Y746" s="24"/>
      <c r="Z746" s="24"/>
      <c r="AA746" s="24"/>
      <c r="AB746" s="24"/>
      <c r="AC746" s="24"/>
    </row>
    <row r="747" spans="1:29" ht="12.9">
      <c r="A747" s="24"/>
      <c r="B747" s="24"/>
      <c r="C747" s="24"/>
      <c r="D747" s="24"/>
      <c r="E747" s="24"/>
      <c r="F747" s="117"/>
      <c r="G747" s="117"/>
      <c r="H747" s="24"/>
      <c r="I747" s="24"/>
      <c r="J747" s="24"/>
      <c r="K747" s="24"/>
      <c r="L747" s="24"/>
      <c r="M747" s="24"/>
      <c r="N747" s="24"/>
      <c r="O747" s="24"/>
      <c r="P747" s="24"/>
      <c r="Q747" s="24"/>
      <c r="R747" s="24"/>
      <c r="S747" s="24"/>
      <c r="T747" s="24"/>
      <c r="U747" s="24"/>
      <c r="V747" s="24"/>
      <c r="W747" s="24"/>
      <c r="X747" s="24"/>
      <c r="Y747" s="24"/>
      <c r="Z747" s="24"/>
      <c r="AA747" s="24"/>
      <c r="AB747" s="24"/>
      <c r="AC747" s="24"/>
    </row>
    <row r="748" spans="1:29" ht="12.9">
      <c r="A748" s="24"/>
      <c r="B748" s="24"/>
      <c r="C748" s="24"/>
      <c r="D748" s="24"/>
      <c r="E748" s="24"/>
      <c r="F748" s="117"/>
      <c r="G748" s="117"/>
      <c r="H748" s="24"/>
      <c r="I748" s="24"/>
      <c r="J748" s="24"/>
      <c r="K748" s="24"/>
      <c r="L748" s="24"/>
      <c r="M748" s="24"/>
      <c r="N748" s="24"/>
      <c r="O748" s="24"/>
      <c r="P748" s="24"/>
      <c r="Q748" s="24"/>
      <c r="R748" s="24"/>
      <c r="S748" s="24"/>
      <c r="T748" s="24"/>
      <c r="U748" s="24"/>
      <c r="V748" s="24"/>
      <c r="W748" s="24"/>
      <c r="X748" s="24"/>
      <c r="Y748" s="24"/>
      <c r="Z748" s="24"/>
      <c r="AA748" s="24"/>
      <c r="AB748" s="24"/>
      <c r="AC748" s="24"/>
    </row>
    <row r="749" spans="1:29" ht="12.9">
      <c r="A749" s="24"/>
      <c r="B749" s="24"/>
      <c r="C749" s="24"/>
      <c r="D749" s="24"/>
      <c r="E749" s="24"/>
      <c r="F749" s="117"/>
      <c r="G749" s="117"/>
      <c r="H749" s="24"/>
      <c r="I749" s="24"/>
      <c r="J749" s="24"/>
      <c r="K749" s="24"/>
      <c r="L749" s="24"/>
      <c r="M749" s="24"/>
      <c r="N749" s="24"/>
      <c r="O749" s="24"/>
      <c r="P749" s="24"/>
      <c r="Q749" s="24"/>
      <c r="R749" s="24"/>
      <c r="S749" s="24"/>
      <c r="T749" s="24"/>
      <c r="U749" s="24"/>
      <c r="V749" s="24"/>
      <c r="W749" s="24"/>
      <c r="X749" s="24"/>
      <c r="Y749" s="24"/>
      <c r="Z749" s="24"/>
      <c r="AA749" s="24"/>
      <c r="AB749" s="24"/>
      <c r="AC749" s="24"/>
    </row>
    <row r="750" spans="1:29" ht="12.9">
      <c r="A750" s="24"/>
      <c r="B750" s="24"/>
      <c r="C750" s="24"/>
      <c r="D750" s="24"/>
      <c r="E750" s="24"/>
      <c r="F750" s="117"/>
      <c r="G750" s="117"/>
      <c r="H750" s="24"/>
      <c r="I750" s="24"/>
      <c r="J750" s="24"/>
      <c r="K750" s="24"/>
      <c r="L750" s="24"/>
      <c r="M750" s="24"/>
      <c r="N750" s="24"/>
      <c r="O750" s="24"/>
      <c r="P750" s="24"/>
      <c r="Q750" s="24"/>
      <c r="R750" s="24"/>
      <c r="S750" s="24"/>
      <c r="T750" s="24"/>
      <c r="U750" s="24"/>
      <c r="V750" s="24"/>
      <c r="W750" s="24"/>
      <c r="X750" s="24"/>
      <c r="Y750" s="24"/>
      <c r="Z750" s="24"/>
      <c r="AA750" s="24"/>
      <c r="AB750" s="24"/>
      <c r="AC750" s="24"/>
    </row>
    <row r="751" spans="1:29" ht="12.9">
      <c r="A751" s="24"/>
      <c r="B751" s="24"/>
      <c r="C751" s="24"/>
      <c r="D751" s="24"/>
      <c r="E751" s="24"/>
      <c r="F751" s="117"/>
      <c r="G751" s="117"/>
      <c r="H751" s="24"/>
      <c r="I751" s="24"/>
      <c r="J751" s="24"/>
      <c r="K751" s="24"/>
      <c r="L751" s="24"/>
      <c r="M751" s="24"/>
      <c r="N751" s="24"/>
      <c r="O751" s="24"/>
      <c r="P751" s="24"/>
      <c r="Q751" s="24"/>
      <c r="R751" s="24"/>
      <c r="S751" s="24"/>
      <c r="T751" s="24"/>
      <c r="U751" s="24"/>
      <c r="V751" s="24"/>
      <c r="W751" s="24"/>
      <c r="X751" s="24"/>
      <c r="Y751" s="24"/>
      <c r="Z751" s="24"/>
      <c r="AA751" s="24"/>
      <c r="AB751" s="24"/>
      <c r="AC751" s="24"/>
    </row>
    <row r="752" spans="1:29" ht="12.9">
      <c r="A752" s="24"/>
      <c r="B752" s="24"/>
      <c r="C752" s="24"/>
      <c r="D752" s="24"/>
      <c r="E752" s="24"/>
      <c r="F752" s="117"/>
      <c r="G752" s="117"/>
      <c r="H752" s="24"/>
      <c r="I752" s="24"/>
      <c r="J752" s="24"/>
      <c r="K752" s="24"/>
      <c r="L752" s="24"/>
      <c r="M752" s="24"/>
      <c r="N752" s="24"/>
      <c r="O752" s="24"/>
      <c r="P752" s="24"/>
      <c r="Q752" s="24"/>
      <c r="R752" s="24"/>
      <c r="S752" s="24"/>
      <c r="T752" s="24"/>
      <c r="U752" s="24"/>
      <c r="V752" s="24"/>
      <c r="W752" s="24"/>
      <c r="X752" s="24"/>
      <c r="Y752" s="24"/>
      <c r="Z752" s="24"/>
      <c r="AA752" s="24"/>
      <c r="AB752" s="24"/>
      <c r="AC752" s="24"/>
    </row>
    <row r="753" spans="1:29" ht="12.9">
      <c r="A753" s="24"/>
      <c r="B753" s="24"/>
      <c r="C753" s="24"/>
      <c r="D753" s="24"/>
      <c r="E753" s="24"/>
      <c r="F753" s="117"/>
      <c r="G753" s="117"/>
      <c r="H753" s="24"/>
      <c r="I753" s="24"/>
      <c r="J753" s="24"/>
      <c r="K753" s="24"/>
      <c r="L753" s="24"/>
      <c r="M753" s="24"/>
      <c r="N753" s="24"/>
      <c r="O753" s="24"/>
      <c r="P753" s="24"/>
      <c r="Q753" s="24"/>
      <c r="R753" s="24"/>
      <c r="S753" s="24"/>
      <c r="T753" s="24"/>
      <c r="U753" s="24"/>
      <c r="V753" s="24"/>
      <c r="W753" s="24"/>
      <c r="X753" s="24"/>
      <c r="Y753" s="24"/>
      <c r="Z753" s="24"/>
      <c r="AA753" s="24"/>
      <c r="AB753" s="24"/>
      <c r="AC753" s="24"/>
    </row>
    <row r="754" spans="1:29" ht="12.9">
      <c r="A754" s="24"/>
      <c r="B754" s="24"/>
      <c r="C754" s="24"/>
      <c r="D754" s="24"/>
      <c r="E754" s="24"/>
      <c r="F754" s="117"/>
      <c r="G754" s="117"/>
      <c r="H754" s="24"/>
      <c r="I754" s="24"/>
      <c r="J754" s="24"/>
      <c r="K754" s="24"/>
      <c r="L754" s="24"/>
      <c r="M754" s="24"/>
      <c r="N754" s="24"/>
      <c r="O754" s="24"/>
      <c r="P754" s="24"/>
      <c r="Q754" s="24"/>
      <c r="R754" s="24"/>
      <c r="S754" s="24"/>
      <c r="T754" s="24"/>
      <c r="U754" s="24"/>
      <c r="V754" s="24"/>
      <c r="W754" s="24"/>
      <c r="X754" s="24"/>
      <c r="Y754" s="24"/>
      <c r="Z754" s="24"/>
      <c r="AA754" s="24"/>
      <c r="AB754" s="24"/>
      <c r="AC754" s="24"/>
    </row>
    <row r="755" spans="1:29" ht="12.9">
      <c r="A755" s="24"/>
      <c r="B755" s="24"/>
      <c r="C755" s="24"/>
      <c r="D755" s="24"/>
      <c r="E755" s="24"/>
      <c r="F755" s="117"/>
      <c r="G755" s="117"/>
      <c r="H755" s="24"/>
      <c r="I755" s="24"/>
      <c r="J755" s="24"/>
      <c r="K755" s="24"/>
      <c r="L755" s="24"/>
      <c r="M755" s="24"/>
      <c r="N755" s="24"/>
      <c r="O755" s="24"/>
      <c r="P755" s="24"/>
      <c r="Q755" s="24"/>
      <c r="R755" s="24"/>
      <c r="S755" s="24"/>
      <c r="T755" s="24"/>
      <c r="U755" s="24"/>
      <c r="V755" s="24"/>
      <c r="W755" s="24"/>
      <c r="X755" s="24"/>
      <c r="Y755" s="24"/>
      <c r="Z755" s="24"/>
      <c r="AA755" s="24"/>
      <c r="AB755" s="24"/>
      <c r="AC755" s="24"/>
    </row>
    <row r="756" spans="1:29" ht="12.9">
      <c r="A756" s="24"/>
      <c r="B756" s="24"/>
      <c r="C756" s="24"/>
      <c r="D756" s="24"/>
      <c r="E756" s="24"/>
      <c r="F756" s="117"/>
      <c r="G756" s="117"/>
      <c r="H756" s="24"/>
      <c r="I756" s="24"/>
      <c r="J756" s="24"/>
      <c r="K756" s="24"/>
      <c r="L756" s="24"/>
      <c r="M756" s="24"/>
      <c r="N756" s="24"/>
      <c r="O756" s="24"/>
      <c r="P756" s="24"/>
      <c r="Q756" s="24"/>
      <c r="R756" s="24"/>
      <c r="S756" s="24"/>
      <c r="T756" s="24"/>
      <c r="U756" s="24"/>
      <c r="V756" s="24"/>
      <c r="W756" s="24"/>
      <c r="X756" s="24"/>
      <c r="Y756" s="24"/>
      <c r="Z756" s="24"/>
      <c r="AA756" s="24"/>
      <c r="AB756" s="24"/>
      <c r="AC756" s="24"/>
    </row>
    <row r="757" spans="1:29" ht="12.9">
      <c r="A757" s="24"/>
      <c r="B757" s="24"/>
      <c r="C757" s="24"/>
      <c r="D757" s="24"/>
      <c r="E757" s="24"/>
      <c r="F757" s="117"/>
      <c r="G757" s="117"/>
      <c r="H757" s="24"/>
      <c r="I757" s="24"/>
      <c r="J757" s="24"/>
      <c r="K757" s="24"/>
      <c r="L757" s="24"/>
      <c r="M757" s="24"/>
      <c r="N757" s="24"/>
      <c r="O757" s="24"/>
      <c r="P757" s="24"/>
      <c r="Q757" s="24"/>
      <c r="R757" s="24"/>
      <c r="S757" s="24"/>
      <c r="T757" s="24"/>
      <c r="U757" s="24"/>
      <c r="V757" s="24"/>
      <c r="W757" s="24"/>
      <c r="X757" s="24"/>
      <c r="Y757" s="24"/>
      <c r="Z757" s="24"/>
      <c r="AA757" s="24"/>
      <c r="AB757" s="24"/>
      <c r="AC757" s="24"/>
    </row>
    <row r="758" spans="1:29" ht="12.9">
      <c r="A758" s="24"/>
      <c r="B758" s="24"/>
      <c r="C758" s="24"/>
      <c r="D758" s="24"/>
      <c r="E758" s="24"/>
      <c r="F758" s="117"/>
      <c r="G758" s="117"/>
      <c r="H758" s="24"/>
      <c r="I758" s="24"/>
      <c r="J758" s="24"/>
      <c r="K758" s="24"/>
      <c r="L758" s="24"/>
      <c r="M758" s="24"/>
      <c r="N758" s="24"/>
      <c r="O758" s="24"/>
      <c r="P758" s="24"/>
      <c r="Q758" s="24"/>
      <c r="R758" s="24"/>
      <c r="S758" s="24"/>
      <c r="T758" s="24"/>
      <c r="U758" s="24"/>
      <c r="V758" s="24"/>
      <c r="W758" s="24"/>
      <c r="X758" s="24"/>
      <c r="Y758" s="24"/>
      <c r="Z758" s="24"/>
      <c r="AA758" s="24"/>
      <c r="AB758" s="24"/>
      <c r="AC758" s="24"/>
    </row>
    <row r="759" spans="1:29" ht="12.9">
      <c r="A759" s="24"/>
      <c r="B759" s="24"/>
      <c r="C759" s="24"/>
      <c r="D759" s="24"/>
      <c r="E759" s="24"/>
      <c r="F759" s="117"/>
      <c r="G759" s="117"/>
      <c r="H759" s="24"/>
      <c r="I759" s="24"/>
      <c r="J759" s="24"/>
      <c r="K759" s="24"/>
      <c r="L759" s="24"/>
      <c r="M759" s="24"/>
      <c r="N759" s="24"/>
      <c r="O759" s="24"/>
      <c r="P759" s="24"/>
      <c r="Q759" s="24"/>
      <c r="R759" s="24"/>
      <c r="S759" s="24"/>
      <c r="T759" s="24"/>
      <c r="U759" s="24"/>
      <c r="V759" s="24"/>
      <c r="W759" s="24"/>
      <c r="X759" s="24"/>
      <c r="Y759" s="24"/>
      <c r="Z759" s="24"/>
      <c r="AA759" s="24"/>
      <c r="AB759" s="24"/>
      <c r="AC759" s="24"/>
    </row>
    <row r="760" spans="1:29" ht="12.9">
      <c r="A760" s="24"/>
      <c r="B760" s="24"/>
      <c r="C760" s="24"/>
      <c r="D760" s="24"/>
      <c r="E760" s="24"/>
      <c r="F760" s="117"/>
      <c r="G760" s="117"/>
      <c r="H760" s="24"/>
      <c r="I760" s="24"/>
      <c r="J760" s="24"/>
      <c r="K760" s="24"/>
      <c r="L760" s="24"/>
      <c r="M760" s="24"/>
      <c r="N760" s="24"/>
      <c r="O760" s="24"/>
      <c r="P760" s="24"/>
      <c r="Q760" s="24"/>
      <c r="R760" s="24"/>
      <c r="S760" s="24"/>
      <c r="T760" s="24"/>
      <c r="U760" s="24"/>
      <c r="V760" s="24"/>
      <c r="W760" s="24"/>
      <c r="X760" s="24"/>
      <c r="Y760" s="24"/>
      <c r="Z760" s="24"/>
      <c r="AA760" s="24"/>
      <c r="AB760" s="24"/>
      <c r="AC760" s="24"/>
    </row>
    <row r="761" spans="1:29" ht="12.9">
      <c r="A761" s="24"/>
      <c r="B761" s="24"/>
      <c r="C761" s="24"/>
      <c r="D761" s="24"/>
      <c r="E761" s="24"/>
      <c r="F761" s="117"/>
      <c r="G761" s="117"/>
      <c r="H761" s="24"/>
      <c r="I761" s="24"/>
      <c r="J761" s="24"/>
      <c r="K761" s="24"/>
      <c r="L761" s="24"/>
      <c r="M761" s="24"/>
      <c r="N761" s="24"/>
      <c r="O761" s="24"/>
      <c r="P761" s="24"/>
      <c r="Q761" s="24"/>
      <c r="R761" s="24"/>
      <c r="S761" s="24"/>
      <c r="T761" s="24"/>
      <c r="U761" s="24"/>
      <c r="V761" s="24"/>
      <c r="W761" s="24"/>
      <c r="X761" s="24"/>
      <c r="Y761" s="24"/>
      <c r="Z761" s="24"/>
      <c r="AA761" s="24"/>
      <c r="AB761" s="24"/>
      <c r="AC761" s="24"/>
    </row>
    <row r="762" spans="1:29" ht="12.9">
      <c r="A762" s="24"/>
      <c r="B762" s="24"/>
      <c r="C762" s="24"/>
      <c r="D762" s="24"/>
      <c r="E762" s="24"/>
      <c r="F762" s="117"/>
      <c r="G762" s="117"/>
      <c r="H762" s="24"/>
      <c r="I762" s="24"/>
      <c r="J762" s="24"/>
      <c r="K762" s="24"/>
      <c r="L762" s="24"/>
      <c r="M762" s="24"/>
      <c r="N762" s="24"/>
      <c r="O762" s="24"/>
      <c r="P762" s="24"/>
      <c r="Q762" s="24"/>
      <c r="R762" s="24"/>
      <c r="S762" s="24"/>
      <c r="T762" s="24"/>
      <c r="U762" s="24"/>
      <c r="V762" s="24"/>
      <c r="W762" s="24"/>
      <c r="X762" s="24"/>
      <c r="Y762" s="24"/>
      <c r="Z762" s="24"/>
      <c r="AA762" s="24"/>
      <c r="AB762" s="24"/>
      <c r="AC762" s="24"/>
    </row>
    <row r="763" spans="1:29" ht="12.9">
      <c r="A763" s="24"/>
      <c r="B763" s="24"/>
      <c r="C763" s="24"/>
      <c r="D763" s="24"/>
      <c r="E763" s="24"/>
      <c r="F763" s="117"/>
      <c r="G763" s="117"/>
      <c r="H763" s="24"/>
      <c r="I763" s="24"/>
      <c r="J763" s="24"/>
      <c r="K763" s="24"/>
      <c r="L763" s="24"/>
      <c r="M763" s="24"/>
      <c r="N763" s="24"/>
      <c r="O763" s="24"/>
      <c r="P763" s="24"/>
      <c r="Q763" s="24"/>
      <c r="R763" s="24"/>
      <c r="S763" s="24"/>
      <c r="T763" s="24"/>
      <c r="U763" s="24"/>
      <c r="V763" s="24"/>
      <c r="W763" s="24"/>
      <c r="X763" s="24"/>
      <c r="Y763" s="24"/>
      <c r="Z763" s="24"/>
      <c r="AA763" s="24"/>
      <c r="AB763" s="24"/>
      <c r="AC763" s="24"/>
    </row>
    <row r="764" spans="1:29" ht="12.9">
      <c r="A764" s="24"/>
      <c r="B764" s="24"/>
      <c r="C764" s="24"/>
      <c r="D764" s="24"/>
      <c r="E764" s="24"/>
      <c r="F764" s="117"/>
      <c r="G764" s="117"/>
      <c r="H764" s="24"/>
      <c r="I764" s="24"/>
      <c r="J764" s="24"/>
      <c r="K764" s="24"/>
      <c r="L764" s="24"/>
      <c r="M764" s="24"/>
      <c r="N764" s="24"/>
      <c r="O764" s="24"/>
      <c r="P764" s="24"/>
      <c r="Q764" s="24"/>
      <c r="R764" s="24"/>
      <c r="S764" s="24"/>
      <c r="T764" s="24"/>
      <c r="U764" s="24"/>
      <c r="V764" s="24"/>
      <c r="W764" s="24"/>
      <c r="X764" s="24"/>
      <c r="Y764" s="24"/>
      <c r="Z764" s="24"/>
      <c r="AA764" s="24"/>
      <c r="AB764" s="24"/>
      <c r="AC764" s="24"/>
    </row>
    <row r="765" spans="1:29" ht="12.9">
      <c r="A765" s="24"/>
      <c r="B765" s="24"/>
      <c r="C765" s="24"/>
      <c r="D765" s="24"/>
      <c r="E765" s="24"/>
      <c r="F765" s="117"/>
      <c r="G765" s="117"/>
      <c r="H765" s="24"/>
      <c r="I765" s="24"/>
      <c r="J765" s="24"/>
      <c r="K765" s="24"/>
      <c r="L765" s="24"/>
      <c r="M765" s="24"/>
      <c r="N765" s="24"/>
      <c r="O765" s="24"/>
      <c r="P765" s="24"/>
      <c r="Q765" s="24"/>
      <c r="R765" s="24"/>
      <c r="S765" s="24"/>
      <c r="T765" s="24"/>
      <c r="U765" s="24"/>
      <c r="V765" s="24"/>
      <c r="W765" s="24"/>
      <c r="X765" s="24"/>
      <c r="Y765" s="24"/>
      <c r="Z765" s="24"/>
      <c r="AA765" s="24"/>
      <c r="AB765" s="24"/>
      <c r="AC765" s="24"/>
    </row>
    <row r="766" spans="1:29" ht="12.9">
      <c r="A766" s="24"/>
      <c r="B766" s="24"/>
      <c r="C766" s="24"/>
      <c r="D766" s="24"/>
      <c r="E766" s="24"/>
      <c r="F766" s="117"/>
      <c r="G766" s="117"/>
      <c r="H766" s="24"/>
      <c r="I766" s="24"/>
      <c r="J766" s="24"/>
      <c r="K766" s="24"/>
      <c r="L766" s="24"/>
      <c r="M766" s="24"/>
      <c r="N766" s="24"/>
      <c r="O766" s="24"/>
      <c r="P766" s="24"/>
      <c r="Q766" s="24"/>
      <c r="R766" s="24"/>
      <c r="S766" s="24"/>
      <c r="T766" s="24"/>
      <c r="U766" s="24"/>
      <c r="V766" s="24"/>
      <c r="W766" s="24"/>
      <c r="X766" s="24"/>
      <c r="Y766" s="24"/>
      <c r="Z766" s="24"/>
      <c r="AA766" s="24"/>
      <c r="AB766" s="24"/>
      <c r="AC766" s="24"/>
    </row>
    <row r="767" spans="1:29" ht="12.9">
      <c r="A767" s="24"/>
      <c r="B767" s="24"/>
      <c r="C767" s="24"/>
      <c r="D767" s="24"/>
      <c r="E767" s="24"/>
      <c r="F767" s="117"/>
      <c r="G767" s="117"/>
      <c r="H767" s="24"/>
      <c r="I767" s="24"/>
      <c r="J767" s="24"/>
      <c r="K767" s="24"/>
      <c r="L767" s="24"/>
      <c r="M767" s="24"/>
      <c r="N767" s="24"/>
      <c r="O767" s="24"/>
      <c r="P767" s="24"/>
      <c r="Q767" s="24"/>
      <c r="R767" s="24"/>
      <c r="S767" s="24"/>
      <c r="T767" s="24"/>
      <c r="U767" s="24"/>
      <c r="V767" s="24"/>
      <c r="W767" s="24"/>
      <c r="X767" s="24"/>
      <c r="Y767" s="24"/>
      <c r="Z767" s="24"/>
      <c r="AA767" s="24"/>
      <c r="AB767" s="24"/>
      <c r="AC767" s="24"/>
    </row>
    <row r="768" spans="1:29" ht="12.9">
      <c r="A768" s="24"/>
      <c r="B768" s="24"/>
      <c r="C768" s="24"/>
      <c r="D768" s="24"/>
      <c r="E768" s="24"/>
      <c r="F768" s="117"/>
      <c r="G768" s="117"/>
      <c r="H768" s="24"/>
      <c r="I768" s="24"/>
      <c r="J768" s="24"/>
      <c r="K768" s="24"/>
      <c r="L768" s="24"/>
      <c r="M768" s="24"/>
      <c r="N768" s="24"/>
      <c r="O768" s="24"/>
      <c r="P768" s="24"/>
      <c r="Q768" s="24"/>
      <c r="R768" s="24"/>
      <c r="S768" s="24"/>
      <c r="T768" s="24"/>
      <c r="U768" s="24"/>
      <c r="V768" s="24"/>
      <c r="W768" s="24"/>
      <c r="X768" s="24"/>
      <c r="Y768" s="24"/>
      <c r="Z768" s="24"/>
      <c r="AA768" s="24"/>
      <c r="AB768" s="24"/>
      <c r="AC768" s="24"/>
    </row>
    <row r="769" spans="1:29" ht="12.9">
      <c r="A769" s="24"/>
      <c r="B769" s="24"/>
      <c r="C769" s="24"/>
      <c r="D769" s="24"/>
      <c r="E769" s="24"/>
      <c r="F769" s="117"/>
      <c r="G769" s="117"/>
      <c r="H769" s="24"/>
      <c r="I769" s="24"/>
      <c r="J769" s="24"/>
      <c r="K769" s="24"/>
      <c r="L769" s="24"/>
      <c r="M769" s="24"/>
      <c r="N769" s="24"/>
      <c r="O769" s="24"/>
      <c r="P769" s="24"/>
      <c r="Q769" s="24"/>
      <c r="R769" s="24"/>
      <c r="S769" s="24"/>
      <c r="T769" s="24"/>
      <c r="U769" s="24"/>
      <c r="V769" s="24"/>
      <c r="W769" s="24"/>
      <c r="X769" s="24"/>
      <c r="Y769" s="24"/>
      <c r="Z769" s="24"/>
      <c r="AA769" s="24"/>
      <c r="AB769" s="24"/>
      <c r="AC769" s="24"/>
    </row>
    <row r="770" spans="1:29" ht="12.9">
      <c r="A770" s="24"/>
      <c r="B770" s="24"/>
      <c r="C770" s="24"/>
      <c r="D770" s="24"/>
      <c r="E770" s="24"/>
      <c r="F770" s="117"/>
      <c r="G770" s="117"/>
      <c r="H770" s="24"/>
      <c r="I770" s="24"/>
      <c r="J770" s="24"/>
      <c r="K770" s="24"/>
      <c r="L770" s="24"/>
      <c r="M770" s="24"/>
      <c r="N770" s="24"/>
      <c r="O770" s="24"/>
      <c r="P770" s="24"/>
      <c r="Q770" s="24"/>
      <c r="R770" s="24"/>
      <c r="S770" s="24"/>
      <c r="T770" s="24"/>
      <c r="U770" s="24"/>
      <c r="V770" s="24"/>
      <c r="W770" s="24"/>
      <c r="X770" s="24"/>
      <c r="Y770" s="24"/>
      <c r="Z770" s="24"/>
      <c r="AA770" s="24"/>
      <c r="AB770" s="24"/>
      <c r="AC770" s="24"/>
    </row>
    <row r="771" spans="1:29" ht="12.9">
      <c r="A771" s="24"/>
      <c r="B771" s="24"/>
      <c r="C771" s="24"/>
      <c r="D771" s="24"/>
      <c r="E771" s="24"/>
      <c r="F771" s="117"/>
      <c r="G771" s="117"/>
      <c r="H771" s="24"/>
      <c r="I771" s="24"/>
      <c r="J771" s="24"/>
      <c r="K771" s="24"/>
      <c r="L771" s="24"/>
      <c r="M771" s="24"/>
      <c r="N771" s="24"/>
      <c r="O771" s="24"/>
      <c r="P771" s="24"/>
      <c r="Q771" s="24"/>
      <c r="R771" s="24"/>
      <c r="S771" s="24"/>
      <c r="T771" s="24"/>
      <c r="U771" s="24"/>
      <c r="V771" s="24"/>
      <c r="W771" s="24"/>
      <c r="X771" s="24"/>
      <c r="Y771" s="24"/>
      <c r="Z771" s="24"/>
      <c r="AA771" s="24"/>
      <c r="AB771" s="24"/>
      <c r="AC771" s="24"/>
    </row>
    <row r="772" spans="1:29" ht="12.9">
      <c r="A772" s="24"/>
      <c r="B772" s="24"/>
      <c r="C772" s="24"/>
      <c r="D772" s="24"/>
      <c r="E772" s="24"/>
      <c r="F772" s="117"/>
      <c r="G772" s="117"/>
      <c r="H772" s="24"/>
      <c r="I772" s="24"/>
      <c r="J772" s="24"/>
      <c r="K772" s="24"/>
      <c r="L772" s="24"/>
      <c r="M772" s="24"/>
      <c r="N772" s="24"/>
      <c r="O772" s="24"/>
      <c r="P772" s="24"/>
      <c r="Q772" s="24"/>
      <c r="R772" s="24"/>
      <c r="S772" s="24"/>
      <c r="T772" s="24"/>
      <c r="U772" s="24"/>
      <c r="V772" s="24"/>
      <c r="W772" s="24"/>
      <c r="X772" s="24"/>
      <c r="Y772" s="24"/>
      <c r="Z772" s="24"/>
      <c r="AA772" s="24"/>
      <c r="AB772" s="24"/>
      <c r="AC772" s="24"/>
    </row>
    <row r="773" spans="1:29" ht="12.9">
      <c r="A773" s="24"/>
      <c r="B773" s="24"/>
      <c r="C773" s="24"/>
      <c r="D773" s="24"/>
      <c r="E773" s="24"/>
      <c r="F773" s="117"/>
      <c r="G773" s="117"/>
      <c r="H773" s="24"/>
      <c r="I773" s="24"/>
      <c r="J773" s="24"/>
      <c r="K773" s="24"/>
      <c r="L773" s="24"/>
      <c r="M773" s="24"/>
      <c r="N773" s="24"/>
      <c r="O773" s="24"/>
      <c r="P773" s="24"/>
      <c r="Q773" s="24"/>
      <c r="R773" s="24"/>
      <c r="S773" s="24"/>
      <c r="T773" s="24"/>
      <c r="U773" s="24"/>
      <c r="V773" s="24"/>
      <c r="W773" s="24"/>
      <c r="X773" s="24"/>
      <c r="Y773" s="24"/>
      <c r="Z773" s="24"/>
      <c r="AA773" s="24"/>
      <c r="AB773" s="24"/>
      <c r="AC773" s="24"/>
    </row>
    <row r="774" spans="1:29" ht="12.9">
      <c r="A774" s="24"/>
      <c r="B774" s="24"/>
      <c r="C774" s="24"/>
      <c r="D774" s="24"/>
      <c r="E774" s="24"/>
      <c r="F774" s="117"/>
      <c r="G774" s="117"/>
      <c r="H774" s="24"/>
      <c r="I774" s="24"/>
      <c r="J774" s="24"/>
      <c r="K774" s="24"/>
      <c r="L774" s="24"/>
      <c r="M774" s="24"/>
      <c r="N774" s="24"/>
      <c r="O774" s="24"/>
      <c r="P774" s="24"/>
      <c r="Q774" s="24"/>
      <c r="R774" s="24"/>
      <c r="S774" s="24"/>
      <c r="T774" s="24"/>
      <c r="U774" s="24"/>
      <c r="V774" s="24"/>
      <c r="W774" s="24"/>
      <c r="X774" s="24"/>
      <c r="Y774" s="24"/>
      <c r="Z774" s="24"/>
      <c r="AA774" s="24"/>
      <c r="AB774" s="24"/>
      <c r="AC774" s="24"/>
    </row>
    <row r="775" spans="1:29" ht="12.9">
      <c r="A775" s="24"/>
      <c r="B775" s="24"/>
      <c r="C775" s="24"/>
      <c r="D775" s="24"/>
      <c r="E775" s="24"/>
      <c r="F775" s="117"/>
      <c r="G775" s="117"/>
      <c r="H775" s="24"/>
      <c r="I775" s="24"/>
      <c r="J775" s="24"/>
      <c r="K775" s="24"/>
      <c r="L775" s="24"/>
      <c r="M775" s="24"/>
      <c r="N775" s="24"/>
      <c r="O775" s="24"/>
      <c r="P775" s="24"/>
      <c r="Q775" s="24"/>
      <c r="R775" s="24"/>
      <c r="S775" s="24"/>
      <c r="T775" s="24"/>
      <c r="U775" s="24"/>
      <c r="V775" s="24"/>
      <c r="W775" s="24"/>
      <c r="X775" s="24"/>
      <c r="Y775" s="24"/>
      <c r="Z775" s="24"/>
      <c r="AA775" s="24"/>
      <c r="AB775" s="24"/>
      <c r="AC775" s="24"/>
    </row>
    <row r="776" spans="1:29" ht="12.9">
      <c r="A776" s="24"/>
      <c r="B776" s="24"/>
      <c r="C776" s="24"/>
      <c r="D776" s="24"/>
      <c r="E776" s="24"/>
      <c r="F776" s="117"/>
      <c r="G776" s="117"/>
      <c r="H776" s="24"/>
      <c r="I776" s="24"/>
      <c r="J776" s="24"/>
      <c r="K776" s="24"/>
      <c r="L776" s="24"/>
      <c r="M776" s="24"/>
      <c r="N776" s="24"/>
      <c r="O776" s="24"/>
      <c r="P776" s="24"/>
      <c r="Q776" s="24"/>
      <c r="R776" s="24"/>
      <c r="S776" s="24"/>
      <c r="T776" s="24"/>
      <c r="U776" s="24"/>
      <c r="V776" s="24"/>
      <c r="W776" s="24"/>
      <c r="X776" s="24"/>
      <c r="Y776" s="24"/>
      <c r="Z776" s="24"/>
      <c r="AA776" s="24"/>
      <c r="AB776" s="24"/>
      <c r="AC776" s="24"/>
    </row>
    <row r="777" spans="1:29" ht="12.9">
      <c r="A777" s="24"/>
      <c r="B777" s="24"/>
      <c r="C777" s="24"/>
      <c r="D777" s="24"/>
      <c r="E777" s="24"/>
      <c r="F777" s="117"/>
      <c r="G777" s="117"/>
      <c r="H777" s="24"/>
      <c r="I777" s="24"/>
      <c r="J777" s="24"/>
      <c r="K777" s="24"/>
      <c r="L777" s="24"/>
      <c r="M777" s="24"/>
      <c r="N777" s="24"/>
      <c r="O777" s="24"/>
      <c r="P777" s="24"/>
      <c r="Q777" s="24"/>
      <c r="R777" s="24"/>
      <c r="S777" s="24"/>
      <c r="T777" s="24"/>
      <c r="U777" s="24"/>
      <c r="V777" s="24"/>
      <c r="W777" s="24"/>
      <c r="X777" s="24"/>
      <c r="Y777" s="24"/>
      <c r="Z777" s="24"/>
      <c r="AA777" s="24"/>
      <c r="AB777" s="24"/>
      <c r="AC777" s="24"/>
    </row>
    <row r="778" spans="1:29" ht="12.9">
      <c r="A778" s="24"/>
      <c r="B778" s="24"/>
      <c r="C778" s="24"/>
      <c r="D778" s="24"/>
      <c r="E778" s="24"/>
      <c r="F778" s="117"/>
      <c r="G778" s="117"/>
      <c r="H778" s="24"/>
      <c r="I778" s="24"/>
      <c r="J778" s="24"/>
      <c r="K778" s="24"/>
      <c r="L778" s="24"/>
      <c r="M778" s="24"/>
      <c r="N778" s="24"/>
      <c r="O778" s="24"/>
      <c r="P778" s="24"/>
      <c r="Q778" s="24"/>
      <c r="R778" s="24"/>
      <c r="S778" s="24"/>
      <c r="T778" s="24"/>
      <c r="U778" s="24"/>
      <c r="V778" s="24"/>
      <c r="W778" s="24"/>
      <c r="X778" s="24"/>
      <c r="Y778" s="24"/>
      <c r="Z778" s="24"/>
      <c r="AA778" s="24"/>
      <c r="AB778" s="24"/>
      <c r="AC778" s="24"/>
    </row>
    <row r="779" spans="1:29" ht="12.9">
      <c r="A779" s="24"/>
      <c r="B779" s="24"/>
      <c r="C779" s="24"/>
      <c r="D779" s="24"/>
      <c r="E779" s="24"/>
      <c r="F779" s="117"/>
      <c r="G779" s="117"/>
      <c r="H779" s="24"/>
      <c r="I779" s="24"/>
      <c r="J779" s="24"/>
      <c r="K779" s="24"/>
      <c r="L779" s="24"/>
      <c r="M779" s="24"/>
      <c r="N779" s="24"/>
      <c r="O779" s="24"/>
      <c r="P779" s="24"/>
      <c r="Q779" s="24"/>
      <c r="R779" s="24"/>
      <c r="S779" s="24"/>
      <c r="T779" s="24"/>
      <c r="U779" s="24"/>
      <c r="V779" s="24"/>
      <c r="W779" s="24"/>
      <c r="X779" s="24"/>
      <c r="Y779" s="24"/>
      <c r="Z779" s="24"/>
      <c r="AA779" s="24"/>
      <c r="AB779" s="24"/>
      <c r="AC779" s="24"/>
    </row>
    <row r="780" spans="1:29" ht="12.9">
      <c r="A780" s="24"/>
      <c r="B780" s="24"/>
      <c r="C780" s="24"/>
      <c r="D780" s="24"/>
      <c r="E780" s="24"/>
      <c r="F780" s="117"/>
      <c r="G780" s="117"/>
      <c r="H780" s="24"/>
      <c r="I780" s="24"/>
      <c r="J780" s="24"/>
      <c r="K780" s="24"/>
      <c r="L780" s="24"/>
      <c r="M780" s="24"/>
      <c r="N780" s="24"/>
      <c r="O780" s="24"/>
      <c r="P780" s="24"/>
      <c r="Q780" s="24"/>
      <c r="R780" s="24"/>
      <c r="S780" s="24"/>
      <c r="T780" s="24"/>
      <c r="U780" s="24"/>
      <c r="V780" s="24"/>
      <c r="W780" s="24"/>
      <c r="X780" s="24"/>
      <c r="Y780" s="24"/>
      <c r="Z780" s="24"/>
      <c r="AA780" s="24"/>
      <c r="AB780" s="24"/>
      <c r="AC780" s="24"/>
    </row>
    <row r="781" spans="1:29" ht="12.9">
      <c r="A781" s="24"/>
      <c r="B781" s="24"/>
      <c r="C781" s="24"/>
      <c r="D781" s="24"/>
      <c r="E781" s="24"/>
      <c r="F781" s="117"/>
      <c r="G781" s="117"/>
      <c r="H781" s="24"/>
      <c r="I781" s="24"/>
      <c r="J781" s="24"/>
      <c r="K781" s="24"/>
      <c r="L781" s="24"/>
      <c r="M781" s="24"/>
      <c r="N781" s="24"/>
      <c r="O781" s="24"/>
      <c r="P781" s="24"/>
      <c r="Q781" s="24"/>
      <c r="R781" s="24"/>
      <c r="S781" s="24"/>
      <c r="T781" s="24"/>
      <c r="U781" s="24"/>
      <c r="V781" s="24"/>
      <c r="W781" s="24"/>
      <c r="X781" s="24"/>
      <c r="Y781" s="24"/>
      <c r="Z781" s="24"/>
      <c r="AA781" s="24"/>
      <c r="AB781" s="24"/>
      <c r="AC781" s="24"/>
    </row>
    <row r="782" spans="1:29" ht="12.9">
      <c r="A782" s="24"/>
      <c r="B782" s="24"/>
      <c r="C782" s="24"/>
      <c r="D782" s="24"/>
      <c r="E782" s="24"/>
      <c r="F782" s="117"/>
      <c r="G782" s="117"/>
      <c r="H782" s="24"/>
      <c r="I782" s="24"/>
      <c r="J782" s="24"/>
      <c r="K782" s="24"/>
      <c r="L782" s="24"/>
      <c r="M782" s="24"/>
      <c r="N782" s="24"/>
      <c r="O782" s="24"/>
      <c r="P782" s="24"/>
      <c r="Q782" s="24"/>
      <c r="R782" s="24"/>
      <c r="S782" s="24"/>
      <c r="T782" s="24"/>
      <c r="U782" s="24"/>
      <c r="V782" s="24"/>
      <c r="W782" s="24"/>
      <c r="X782" s="24"/>
      <c r="Y782" s="24"/>
      <c r="Z782" s="24"/>
      <c r="AA782" s="24"/>
      <c r="AB782" s="24"/>
      <c r="AC782" s="24"/>
    </row>
    <row r="783" spans="1:29" ht="12.9">
      <c r="A783" s="24"/>
      <c r="B783" s="24"/>
      <c r="C783" s="24"/>
      <c r="D783" s="24"/>
      <c r="E783" s="24"/>
      <c r="F783" s="117"/>
      <c r="G783" s="117"/>
      <c r="H783" s="24"/>
      <c r="I783" s="24"/>
      <c r="J783" s="24"/>
      <c r="K783" s="24"/>
      <c r="L783" s="24"/>
      <c r="M783" s="24"/>
      <c r="N783" s="24"/>
      <c r="O783" s="24"/>
      <c r="P783" s="24"/>
      <c r="Q783" s="24"/>
      <c r="R783" s="24"/>
      <c r="S783" s="24"/>
      <c r="T783" s="24"/>
      <c r="U783" s="24"/>
      <c r="V783" s="24"/>
      <c r="W783" s="24"/>
      <c r="X783" s="24"/>
      <c r="Y783" s="24"/>
      <c r="Z783" s="24"/>
      <c r="AA783" s="24"/>
      <c r="AB783" s="24"/>
      <c r="AC783" s="24"/>
    </row>
    <row r="784" spans="1:29" ht="12.9">
      <c r="A784" s="24"/>
      <c r="B784" s="24"/>
      <c r="C784" s="24"/>
      <c r="D784" s="24"/>
      <c r="E784" s="24"/>
      <c r="F784" s="117"/>
      <c r="G784" s="117"/>
      <c r="H784" s="24"/>
      <c r="I784" s="24"/>
      <c r="J784" s="24"/>
      <c r="K784" s="24"/>
      <c r="L784" s="24"/>
      <c r="M784" s="24"/>
      <c r="N784" s="24"/>
      <c r="O784" s="24"/>
      <c r="P784" s="24"/>
      <c r="Q784" s="24"/>
      <c r="R784" s="24"/>
      <c r="S784" s="24"/>
      <c r="T784" s="24"/>
      <c r="U784" s="24"/>
      <c r="V784" s="24"/>
      <c r="W784" s="24"/>
      <c r="X784" s="24"/>
      <c r="Y784" s="24"/>
      <c r="Z784" s="24"/>
      <c r="AA784" s="24"/>
      <c r="AB784" s="24"/>
      <c r="AC784" s="24"/>
    </row>
    <row r="785" spans="1:29" ht="12.9">
      <c r="A785" s="24"/>
      <c r="B785" s="24"/>
      <c r="C785" s="24"/>
      <c r="D785" s="24"/>
      <c r="E785" s="24"/>
      <c r="F785" s="117"/>
      <c r="G785" s="117"/>
      <c r="H785" s="24"/>
      <c r="I785" s="24"/>
      <c r="J785" s="24"/>
      <c r="K785" s="24"/>
      <c r="L785" s="24"/>
      <c r="M785" s="24"/>
      <c r="N785" s="24"/>
      <c r="O785" s="24"/>
      <c r="P785" s="24"/>
      <c r="Q785" s="24"/>
      <c r="R785" s="24"/>
      <c r="S785" s="24"/>
      <c r="T785" s="24"/>
      <c r="U785" s="24"/>
      <c r="V785" s="24"/>
      <c r="W785" s="24"/>
      <c r="X785" s="24"/>
      <c r="Y785" s="24"/>
      <c r="Z785" s="24"/>
      <c r="AA785" s="24"/>
      <c r="AB785" s="24"/>
      <c r="AC785" s="24"/>
    </row>
    <row r="786" spans="1:29" ht="12.9">
      <c r="A786" s="24"/>
      <c r="B786" s="24"/>
      <c r="C786" s="24"/>
      <c r="D786" s="24"/>
      <c r="E786" s="24"/>
      <c r="F786" s="117"/>
      <c r="G786" s="117"/>
      <c r="H786" s="24"/>
      <c r="I786" s="24"/>
      <c r="J786" s="24"/>
      <c r="K786" s="24"/>
      <c r="L786" s="24"/>
      <c r="M786" s="24"/>
      <c r="N786" s="24"/>
      <c r="O786" s="24"/>
      <c r="P786" s="24"/>
      <c r="Q786" s="24"/>
      <c r="R786" s="24"/>
      <c r="S786" s="24"/>
      <c r="T786" s="24"/>
      <c r="U786" s="24"/>
      <c r="V786" s="24"/>
      <c r="W786" s="24"/>
      <c r="X786" s="24"/>
      <c r="Y786" s="24"/>
      <c r="Z786" s="24"/>
      <c r="AA786" s="24"/>
      <c r="AB786" s="24"/>
      <c r="AC786" s="24"/>
    </row>
    <row r="787" spans="1:29" ht="12.9">
      <c r="A787" s="24"/>
      <c r="B787" s="24"/>
      <c r="C787" s="24"/>
      <c r="D787" s="24"/>
      <c r="E787" s="24"/>
      <c r="F787" s="117"/>
      <c r="G787" s="117"/>
      <c r="H787" s="24"/>
      <c r="I787" s="24"/>
      <c r="J787" s="24"/>
      <c r="K787" s="24"/>
      <c r="L787" s="24"/>
      <c r="M787" s="24"/>
      <c r="N787" s="24"/>
      <c r="O787" s="24"/>
      <c r="P787" s="24"/>
      <c r="Q787" s="24"/>
      <c r="R787" s="24"/>
      <c r="S787" s="24"/>
      <c r="T787" s="24"/>
      <c r="U787" s="24"/>
      <c r="V787" s="24"/>
      <c r="W787" s="24"/>
      <c r="X787" s="24"/>
      <c r="Y787" s="24"/>
      <c r="Z787" s="24"/>
      <c r="AA787" s="24"/>
      <c r="AB787" s="24"/>
      <c r="AC787" s="24"/>
    </row>
    <row r="788" spans="1:29" ht="12.9">
      <c r="A788" s="24"/>
      <c r="B788" s="24"/>
      <c r="C788" s="24"/>
      <c r="D788" s="24"/>
      <c r="E788" s="24"/>
      <c r="F788" s="117"/>
      <c r="G788" s="117"/>
      <c r="H788" s="24"/>
      <c r="I788" s="24"/>
      <c r="J788" s="24"/>
      <c r="K788" s="24"/>
      <c r="L788" s="24"/>
      <c r="M788" s="24"/>
      <c r="N788" s="24"/>
      <c r="O788" s="24"/>
      <c r="P788" s="24"/>
      <c r="Q788" s="24"/>
      <c r="R788" s="24"/>
      <c r="S788" s="24"/>
      <c r="T788" s="24"/>
      <c r="U788" s="24"/>
      <c r="V788" s="24"/>
      <c r="W788" s="24"/>
      <c r="X788" s="24"/>
      <c r="Y788" s="24"/>
      <c r="Z788" s="24"/>
      <c r="AA788" s="24"/>
      <c r="AB788" s="24"/>
      <c r="AC788" s="24"/>
    </row>
    <row r="789" spans="1:29" ht="12.9">
      <c r="A789" s="24"/>
      <c r="B789" s="24"/>
      <c r="C789" s="24"/>
      <c r="D789" s="24"/>
      <c r="E789" s="24"/>
      <c r="F789" s="117"/>
      <c r="G789" s="117"/>
      <c r="H789" s="24"/>
      <c r="I789" s="24"/>
      <c r="J789" s="24"/>
      <c r="K789" s="24"/>
      <c r="L789" s="24"/>
      <c r="M789" s="24"/>
      <c r="N789" s="24"/>
      <c r="O789" s="24"/>
      <c r="P789" s="24"/>
      <c r="Q789" s="24"/>
      <c r="R789" s="24"/>
      <c r="S789" s="24"/>
      <c r="T789" s="24"/>
      <c r="U789" s="24"/>
      <c r="V789" s="24"/>
      <c r="W789" s="24"/>
      <c r="X789" s="24"/>
      <c r="Y789" s="24"/>
      <c r="Z789" s="24"/>
      <c r="AA789" s="24"/>
      <c r="AB789" s="24"/>
      <c r="AC789" s="24"/>
    </row>
    <row r="790" spans="1:29" ht="12.9">
      <c r="A790" s="24"/>
      <c r="B790" s="24"/>
      <c r="C790" s="24"/>
      <c r="D790" s="24"/>
      <c r="E790" s="24"/>
      <c r="F790" s="117"/>
      <c r="G790" s="117"/>
      <c r="H790" s="24"/>
      <c r="I790" s="24"/>
      <c r="J790" s="24"/>
      <c r="K790" s="24"/>
      <c r="L790" s="24"/>
      <c r="M790" s="24"/>
      <c r="N790" s="24"/>
      <c r="O790" s="24"/>
      <c r="P790" s="24"/>
      <c r="Q790" s="24"/>
      <c r="R790" s="24"/>
      <c r="S790" s="24"/>
      <c r="T790" s="24"/>
      <c r="U790" s="24"/>
      <c r="V790" s="24"/>
      <c r="W790" s="24"/>
      <c r="X790" s="24"/>
      <c r="Y790" s="24"/>
      <c r="Z790" s="24"/>
      <c r="AA790" s="24"/>
      <c r="AB790" s="24"/>
      <c r="AC790" s="24"/>
    </row>
    <row r="791" spans="1:29" ht="12.9">
      <c r="A791" s="24"/>
      <c r="B791" s="24"/>
      <c r="C791" s="24"/>
      <c r="D791" s="24"/>
      <c r="E791" s="24"/>
      <c r="F791" s="117"/>
      <c r="G791" s="117"/>
      <c r="H791" s="24"/>
      <c r="I791" s="24"/>
      <c r="J791" s="24"/>
      <c r="K791" s="24"/>
      <c r="L791" s="24"/>
      <c r="M791" s="24"/>
      <c r="N791" s="24"/>
      <c r="O791" s="24"/>
      <c r="P791" s="24"/>
      <c r="Q791" s="24"/>
      <c r="R791" s="24"/>
      <c r="S791" s="24"/>
      <c r="T791" s="24"/>
      <c r="U791" s="24"/>
      <c r="V791" s="24"/>
      <c r="W791" s="24"/>
      <c r="X791" s="24"/>
      <c r="Y791" s="24"/>
      <c r="Z791" s="24"/>
      <c r="AA791" s="24"/>
      <c r="AB791" s="24"/>
      <c r="AC791" s="24"/>
    </row>
    <row r="792" spans="1:29" ht="12.9">
      <c r="A792" s="24"/>
      <c r="B792" s="24"/>
      <c r="C792" s="24"/>
      <c r="D792" s="24"/>
      <c r="E792" s="24"/>
      <c r="F792" s="117"/>
      <c r="G792" s="117"/>
      <c r="H792" s="24"/>
      <c r="I792" s="24"/>
      <c r="J792" s="24"/>
      <c r="K792" s="24"/>
      <c r="L792" s="24"/>
      <c r="M792" s="24"/>
      <c r="N792" s="24"/>
      <c r="O792" s="24"/>
      <c r="P792" s="24"/>
      <c r="Q792" s="24"/>
      <c r="R792" s="24"/>
      <c r="S792" s="24"/>
      <c r="T792" s="24"/>
      <c r="U792" s="24"/>
      <c r="V792" s="24"/>
      <c r="W792" s="24"/>
      <c r="X792" s="24"/>
      <c r="Y792" s="24"/>
      <c r="Z792" s="24"/>
      <c r="AA792" s="24"/>
      <c r="AB792" s="24"/>
      <c r="AC792" s="24"/>
    </row>
    <row r="793" spans="1:29" ht="12.9">
      <c r="A793" s="24"/>
      <c r="B793" s="24"/>
      <c r="C793" s="24"/>
      <c r="D793" s="24"/>
      <c r="E793" s="24"/>
      <c r="F793" s="117"/>
      <c r="G793" s="117"/>
      <c r="H793" s="24"/>
      <c r="I793" s="24"/>
      <c r="J793" s="24"/>
      <c r="K793" s="24"/>
      <c r="L793" s="24"/>
      <c r="M793" s="24"/>
      <c r="N793" s="24"/>
      <c r="O793" s="24"/>
      <c r="P793" s="24"/>
      <c r="Q793" s="24"/>
      <c r="R793" s="24"/>
      <c r="S793" s="24"/>
      <c r="T793" s="24"/>
      <c r="U793" s="24"/>
      <c r="V793" s="24"/>
      <c r="W793" s="24"/>
      <c r="X793" s="24"/>
      <c r="Y793" s="24"/>
      <c r="Z793" s="24"/>
      <c r="AA793" s="24"/>
      <c r="AB793" s="24"/>
      <c r="AC793" s="24"/>
    </row>
    <row r="794" spans="1:29" ht="12.9">
      <c r="A794" s="24"/>
      <c r="B794" s="24"/>
      <c r="C794" s="24"/>
      <c r="D794" s="24"/>
      <c r="E794" s="24"/>
      <c r="F794" s="117"/>
      <c r="G794" s="117"/>
      <c r="H794" s="24"/>
      <c r="I794" s="24"/>
      <c r="J794" s="24"/>
      <c r="K794" s="24"/>
      <c r="L794" s="24"/>
      <c r="M794" s="24"/>
      <c r="N794" s="24"/>
      <c r="O794" s="24"/>
      <c r="P794" s="24"/>
      <c r="Q794" s="24"/>
      <c r="R794" s="24"/>
      <c r="S794" s="24"/>
      <c r="T794" s="24"/>
      <c r="U794" s="24"/>
      <c r="V794" s="24"/>
      <c r="W794" s="24"/>
      <c r="X794" s="24"/>
      <c r="Y794" s="24"/>
      <c r="Z794" s="24"/>
      <c r="AA794" s="24"/>
      <c r="AB794" s="24"/>
      <c r="AC794" s="24"/>
    </row>
    <row r="795" spans="1:29" ht="12.9">
      <c r="A795" s="24"/>
      <c r="B795" s="24"/>
      <c r="C795" s="24"/>
      <c r="D795" s="24"/>
      <c r="E795" s="24"/>
      <c r="F795" s="117"/>
      <c r="G795" s="117"/>
      <c r="H795" s="24"/>
      <c r="I795" s="24"/>
      <c r="J795" s="24"/>
      <c r="K795" s="24"/>
      <c r="L795" s="24"/>
      <c r="M795" s="24"/>
      <c r="N795" s="24"/>
      <c r="O795" s="24"/>
      <c r="P795" s="24"/>
      <c r="Q795" s="24"/>
      <c r="R795" s="24"/>
      <c r="S795" s="24"/>
      <c r="T795" s="24"/>
      <c r="U795" s="24"/>
      <c r="V795" s="24"/>
      <c r="W795" s="24"/>
      <c r="X795" s="24"/>
      <c r="Y795" s="24"/>
      <c r="Z795" s="24"/>
      <c r="AA795" s="24"/>
      <c r="AB795" s="24"/>
      <c r="AC795" s="24"/>
    </row>
    <row r="796" spans="1:29" ht="12.9">
      <c r="A796" s="24"/>
      <c r="B796" s="24"/>
      <c r="C796" s="24"/>
      <c r="D796" s="24"/>
      <c r="E796" s="24"/>
      <c r="F796" s="117"/>
      <c r="G796" s="117"/>
      <c r="H796" s="24"/>
      <c r="I796" s="24"/>
      <c r="J796" s="24"/>
      <c r="K796" s="24"/>
      <c r="L796" s="24"/>
      <c r="M796" s="24"/>
      <c r="N796" s="24"/>
      <c r="O796" s="24"/>
      <c r="P796" s="24"/>
      <c r="Q796" s="24"/>
      <c r="R796" s="24"/>
      <c r="S796" s="24"/>
      <c r="T796" s="24"/>
      <c r="U796" s="24"/>
      <c r="V796" s="24"/>
      <c r="W796" s="24"/>
      <c r="X796" s="24"/>
      <c r="Y796" s="24"/>
      <c r="Z796" s="24"/>
      <c r="AA796" s="24"/>
      <c r="AB796" s="24"/>
      <c r="AC796" s="24"/>
    </row>
    <row r="797" spans="1:29" ht="12.9">
      <c r="A797" s="24"/>
      <c r="B797" s="24"/>
      <c r="C797" s="24"/>
      <c r="D797" s="24"/>
      <c r="E797" s="24"/>
      <c r="F797" s="117"/>
      <c r="G797" s="117"/>
      <c r="H797" s="24"/>
      <c r="I797" s="24"/>
      <c r="J797" s="24"/>
      <c r="K797" s="24"/>
      <c r="L797" s="24"/>
      <c r="M797" s="24"/>
      <c r="N797" s="24"/>
      <c r="O797" s="24"/>
      <c r="P797" s="24"/>
      <c r="Q797" s="24"/>
      <c r="R797" s="24"/>
      <c r="S797" s="24"/>
      <c r="T797" s="24"/>
      <c r="U797" s="24"/>
      <c r="V797" s="24"/>
      <c r="W797" s="24"/>
      <c r="X797" s="24"/>
      <c r="Y797" s="24"/>
      <c r="Z797" s="24"/>
      <c r="AA797" s="24"/>
      <c r="AB797" s="24"/>
      <c r="AC797" s="24"/>
    </row>
    <row r="798" spans="1:29" ht="12.9">
      <c r="A798" s="24"/>
      <c r="B798" s="24"/>
      <c r="C798" s="24"/>
      <c r="D798" s="24"/>
      <c r="E798" s="24"/>
      <c r="F798" s="117"/>
      <c r="G798" s="117"/>
      <c r="H798" s="24"/>
      <c r="I798" s="24"/>
      <c r="J798" s="24"/>
      <c r="K798" s="24"/>
      <c r="L798" s="24"/>
      <c r="M798" s="24"/>
      <c r="N798" s="24"/>
      <c r="O798" s="24"/>
      <c r="P798" s="24"/>
      <c r="Q798" s="24"/>
      <c r="R798" s="24"/>
      <c r="S798" s="24"/>
      <c r="T798" s="24"/>
      <c r="U798" s="24"/>
      <c r="V798" s="24"/>
      <c r="W798" s="24"/>
      <c r="X798" s="24"/>
      <c r="Y798" s="24"/>
      <c r="Z798" s="24"/>
      <c r="AA798" s="24"/>
      <c r="AB798" s="24"/>
      <c r="AC798" s="24"/>
    </row>
    <row r="799" spans="1:29" ht="12.9">
      <c r="A799" s="24"/>
      <c r="B799" s="24"/>
      <c r="C799" s="24"/>
      <c r="D799" s="24"/>
      <c r="E799" s="24"/>
      <c r="F799" s="117"/>
      <c r="G799" s="117"/>
      <c r="H799" s="24"/>
      <c r="I799" s="24"/>
      <c r="J799" s="24"/>
      <c r="K799" s="24"/>
      <c r="L799" s="24"/>
      <c r="M799" s="24"/>
      <c r="N799" s="24"/>
      <c r="O799" s="24"/>
      <c r="P799" s="24"/>
      <c r="Q799" s="24"/>
      <c r="R799" s="24"/>
      <c r="S799" s="24"/>
      <c r="T799" s="24"/>
      <c r="U799" s="24"/>
      <c r="V799" s="24"/>
      <c r="W799" s="24"/>
      <c r="X799" s="24"/>
      <c r="Y799" s="24"/>
      <c r="Z799" s="24"/>
      <c r="AA799" s="24"/>
      <c r="AB799" s="24"/>
      <c r="AC799" s="24"/>
    </row>
    <row r="800" spans="1:29" ht="12.9">
      <c r="A800" s="24"/>
      <c r="B800" s="24"/>
      <c r="C800" s="24"/>
      <c r="D800" s="24"/>
      <c r="E800" s="24"/>
      <c r="F800" s="117"/>
      <c r="G800" s="117"/>
      <c r="H800" s="24"/>
      <c r="I800" s="24"/>
      <c r="J800" s="24"/>
      <c r="K800" s="24"/>
      <c r="L800" s="24"/>
      <c r="M800" s="24"/>
      <c r="N800" s="24"/>
      <c r="O800" s="24"/>
      <c r="P800" s="24"/>
      <c r="Q800" s="24"/>
      <c r="R800" s="24"/>
      <c r="S800" s="24"/>
      <c r="T800" s="24"/>
      <c r="U800" s="24"/>
      <c r="V800" s="24"/>
      <c r="W800" s="24"/>
      <c r="X800" s="24"/>
      <c r="Y800" s="24"/>
      <c r="Z800" s="24"/>
      <c r="AA800" s="24"/>
      <c r="AB800" s="24"/>
      <c r="AC800" s="24"/>
    </row>
    <row r="801" spans="1:29" ht="12.9">
      <c r="A801" s="24"/>
      <c r="B801" s="24"/>
      <c r="C801" s="24"/>
      <c r="D801" s="24"/>
      <c r="E801" s="24"/>
      <c r="F801" s="117"/>
      <c r="G801" s="117"/>
      <c r="H801" s="24"/>
      <c r="I801" s="24"/>
      <c r="J801" s="24"/>
      <c r="K801" s="24"/>
      <c r="L801" s="24"/>
      <c r="M801" s="24"/>
      <c r="N801" s="24"/>
      <c r="O801" s="24"/>
      <c r="P801" s="24"/>
      <c r="Q801" s="24"/>
      <c r="R801" s="24"/>
      <c r="S801" s="24"/>
      <c r="T801" s="24"/>
      <c r="U801" s="24"/>
      <c r="V801" s="24"/>
      <c r="W801" s="24"/>
      <c r="X801" s="24"/>
      <c r="Y801" s="24"/>
      <c r="Z801" s="24"/>
      <c r="AA801" s="24"/>
      <c r="AB801" s="24"/>
      <c r="AC801" s="24"/>
    </row>
    <row r="802" spans="1:29" ht="12.9">
      <c r="A802" s="24"/>
      <c r="B802" s="24"/>
      <c r="C802" s="24"/>
      <c r="D802" s="24"/>
      <c r="E802" s="24"/>
      <c r="F802" s="117"/>
      <c r="G802" s="117"/>
      <c r="H802" s="24"/>
      <c r="I802" s="24"/>
      <c r="J802" s="24"/>
      <c r="K802" s="24"/>
      <c r="L802" s="24"/>
      <c r="M802" s="24"/>
      <c r="N802" s="24"/>
      <c r="O802" s="24"/>
      <c r="P802" s="24"/>
      <c r="Q802" s="24"/>
      <c r="R802" s="24"/>
      <c r="S802" s="24"/>
      <c r="T802" s="24"/>
      <c r="U802" s="24"/>
      <c r="V802" s="24"/>
      <c r="W802" s="24"/>
      <c r="X802" s="24"/>
      <c r="Y802" s="24"/>
      <c r="Z802" s="24"/>
      <c r="AA802" s="24"/>
      <c r="AB802" s="24"/>
      <c r="AC802" s="24"/>
    </row>
    <row r="803" spans="1:29" ht="12.9">
      <c r="A803" s="24"/>
      <c r="B803" s="24"/>
      <c r="C803" s="24"/>
      <c r="D803" s="24"/>
      <c r="E803" s="24"/>
      <c r="F803" s="117"/>
      <c r="G803" s="117"/>
      <c r="H803" s="24"/>
      <c r="I803" s="24"/>
      <c r="J803" s="24"/>
      <c r="K803" s="24"/>
      <c r="L803" s="24"/>
      <c r="M803" s="24"/>
      <c r="N803" s="24"/>
      <c r="O803" s="24"/>
      <c r="P803" s="24"/>
      <c r="Q803" s="24"/>
      <c r="R803" s="24"/>
      <c r="S803" s="24"/>
      <c r="T803" s="24"/>
      <c r="U803" s="24"/>
      <c r="V803" s="24"/>
      <c r="W803" s="24"/>
      <c r="X803" s="24"/>
      <c r="Y803" s="24"/>
      <c r="Z803" s="24"/>
      <c r="AA803" s="24"/>
      <c r="AB803" s="24"/>
      <c r="AC803" s="24"/>
    </row>
    <row r="804" spans="1:29" ht="12.9">
      <c r="A804" s="24"/>
      <c r="B804" s="24"/>
      <c r="C804" s="24"/>
      <c r="D804" s="24"/>
      <c r="E804" s="24"/>
      <c r="F804" s="117"/>
      <c r="G804" s="117"/>
      <c r="H804" s="24"/>
      <c r="I804" s="24"/>
      <c r="J804" s="24"/>
      <c r="K804" s="24"/>
      <c r="L804" s="24"/>
      <c r="M804" s="24"/>
      <c r="N804" s="24"/>
      <c r="O804" s="24"/>
      <c r="P804" s="24"/>
      <c r="Q804" s="24"/>
      <c r="R804" s="24"/>
      <c r="S804" s="24"/>
      <c r="T804" s="24"/>
      <c r="U804" s="24"/>
      <c r="V804" s="24"/>
      <c r="W804" s="24"/>
      <c r="X804" s="24"/>
      <c r="Y804" s="24"/>
      <c r="Z804" s="24"/>
      <c r="AA804" s="24"/>
      <c r="AB804" s="24"/>
      <c r="AC804" s="24"/>
    </row>
    <row r="805" spans="1:29" ht="12.9">
      <c r="A805" s="24"/>
      <c r="B805" s="24"/>
      <c r="C805" s="24"/>
      <c r="D805" s="24"/>
      <c r="E805" s="24"/>
      <c r="F805" s="117"/>
      <c r="G805" s="117"/>
      <c r="H805" s="24"/>
      <c r="I805" s="24"/>
      <c r="J805" s="24"/>
      <c r="K805" s="24"/>
      <c r="L805" s="24"/>
      <c r="M805" s="24"/>
      <c r="N805" s="24"/>
      <c r="O805" s="24"/>
      <c r="P805" s="24"/>
      <c r="Q805" s="24"/>
      <c r="R805" s="24"/>
      <c r="S805" s="24"/>
      <c r="T805" s="24"/>
      <c r="U805" s="24"/>
      <c r="V805" s="24"/>
      <c r="W805" s="24"/>
      <c r="X805" s="24"/>
      <c r="Y805" s="24"/>
      <c r="Z805" s="24"/>
      <c r="AA805" s="24"/>
      <c r="AB805" s="24"/>
      <c r="AC805" s="24"/>
    </row>
    <row r="806" spans="1:29" ht="12.9">
      <c r="A806" s="24"/>
      <c r="B806" s="24"/>
      <c r="C806" s="24"/>
      <c r="D806" s="24"/>
      <c r="E806" s="24"/>
      <c r="F806" s="117"/>
      <c r="G806" s="117"/>
      <c r="H806" s="24"/>
      <c r="I806" s="24"/>
      <c r="J806" s="24"/>
      <c r="K806" s="24"/>
      <c r="L806" s="24"/>
      <c r="M806" s="24"/>
      <c r="N806" s="24"/>
      <c r="O806" s="24"/>
      <c r="P806" s="24"/>
      <c r="Q806" s="24"/>
      <c r="R806" s="24"/>
      <c r="S806" s="24"/>
      <c r="T806" s="24"/>
      <c r="U806" s="24"/>
      <c r="V806" s="24"/>
      <c r="W806" s="24"/>
      <c r="X806" s="24"/>
      <c r="Y806" s="24"/>
      <c r="Z806" s="24"/>
      <c r="AA806" s="24"/>
      <c r="AB806" s="24"/>
      <c r="AC806" s="24"/>
    </row>
    <row r="807" spans="1:29" ht="12.9">
      <c r="A807" s="24"/>
      <c r="B807" s="24"/>
      <c r="C807" s="24"/>
      <c r="D807" s="24"/>
      <c r="E807" s="24"/>
      <c r="F807" s="117"/>
      <c r="G807" s="117"/>
      <c r="H807" s="24"/>
      <c r="I807" s="24"/>
      <c r="J807" s="24"/>
      <c r="K807" s="24"/>
      <c r="L807" s="24"/>
      <c r="M807" s="24"/>
      <c r="N807" s="24"/>
      <c r="O807" s="24"/>
      <c r="P807" s="24"/>
      <c r="Q807" s="24"/>
      <c r="R807" s="24"/>
      <c r="S807" s="24"/>
      <c r="T807" s="24"/>
      <c r="U807" s="24"/>
      <c r="V807" s="24"/>
      <c r="W807" s="24"/>
      <c r="X807" s="24"/>
      <c r="Y807" s="24"/>
      <c r="Z807" s="24"/>
      <c r="AA807" s="24"/>
      <c r="AB807" s="24"/>
      <c r="AC807" s="24"/>
    </row>
    <row r="808" spans="1:29" ht="12.9">
      <c r="A808" s="24"/>
      <c r="B808" s="24"/>
      <c r="C808" s="24"/>
      <c r="D808" s="24"/>
      <c r="E808" s="24"/>
      <c r="F808" s="117"/>
      <c r="G808" s="117"/>
      <c r="H808" s="24"/>
      <c r="I808" s="24"/>
      <c r="J808" s="24"/>
      <c r="K808" s="24"/>
      <c r="L808" s="24"/>
      <c r="M808" s="24"/>
      <c r="N808" s="24"/>
      <c r="O808" s="24"/>
      <c r="P808" s="24"/>
      <c r="Q808" s="24"/>
      <c r="R808" s="24"/>
      <c r="S808" s="24"/>
      <c r="T808" s="24"/>
      <c r="U808" s="24"/>
      <c r="V808" s="24"/>
      <c r="W808" s="24"/>
      <c r="X808" s="24"/>
      <c r="Y808" s="24"/>
      <c r="Z808" s="24"/>
      <c r="AA808" s="24"/>
      <c r="AB808" s="24"/>
      <c r="AC808" s="24"/>
    </row>
    <row r="809" spans="1:29" ht="12.9">
      <c r="A809" s="24"/>
      <c r="B809" s="24"/>
      <c r="C809" s="24"/>
      <c r="D809" s="24"/>
      <c r="E809" s="24"/>
      <c r="F809" s="117"/>
      <c r="G809" s="117"/>
      <c r="H809" s="24"/>
      <c r="I809" s="24"/>
      <c r="J809" s="24"/>
      <c r="K809" s="24"/>
      <c r="L809" s="24"/>
      <c r="M809" s="24"/>
      <c r="N809" s="24"/>
      <c r="O809" s="24"/>
      <c r="P809" s="24"/>
      <c r="Q809" s="24"/>
      <c r="R809" s="24"/>
      <c r="S809" s="24"/>
      <c r="T809" s="24"/>
      <c r="U809" s="24"/>
      <c r="V809" s="24"/>
      <c r="W809" s="24"/>
      <c r="X809" s="24"/>
      <c r="Y809" s="24"/>
      <c r="Z809" s="24"/>
      <c r="AA809" s="24"/>
      <c r="AB809" s="24"/>
      <c r="AC809" s="24"/>
    </row>
    <row r="810" spans="1:29" ht="12.9">
      <c r="A810" s="24"/>
      <c r="B810" s="24"/>
      <c r="C810" s="24"/>
      <c r="D810" s="24"/>
      <c r="E810" s="24"/>
      <c r="F810" s="117"/>
      <c r="G810" s="117"/>
      <c r="H810" s="24"/>
      <c r="I810" s="24"/>
      <c r="J810" s="24"/>
      <c r="K810" s="24"/>
      <c r="L810" s="24"/>
      <c r="M810" s="24"/>
      <c r="N810" s="24"/>
      <c r="O810" s="24"/>
      <c r="P810" s="24"/>
      <c r="Q810" s="24"/>
      <c r="R810" s="24"/>
      <c r="S810" s="24"/>
      <c r="T810" s="24"/>
      <c r="U810" s="24"/>
      <c r="V810" s="24"/>
      <c r="W810" s="24"/>
      <c r="X810" s="24"/>
      <c r="Y810" s="24"/>
      <c r="Z810" s="24"/>
      <c r="AA810" s="24"/>
      <c r="AB810" s="24"/>
      <c r="AC810" s="24"/>
    </row>
    <row r="811" spans="1:29" ht="12.9">
      <c r="A811" s="24"/>
      <c r="B811" s="24"/>
      <c r="C811" s="24"/>
      <c r="D811" s="24"/>
      <c r="E811" s="24"/>
      <c r="F811" s="117"/>
      <c r="G811" s="117"/>
      <c r="H811" s="24"/>
      <c r="I811" s="24"/>
      <c r="J811" s="24"/>
      <c r="K811" s="24"/>
      <c r="L811" s="24"/>
      <c r="M811" s="24"/>
      <c r="N811" s="24"/>
      <c r="O811" s="24"/>
      <c r="P811" s="24"/>
      <c r="Q811" s="24"/>
      <c r="R811" s="24"/>
      <c r="S811" s="24"/>
      <c r="T811" s="24"/>
      <c r="U811" s="24"/>
      <c r="V811" s="24"/>
      <c r="W811" s="24"/>
      <c r="X811" s="24"/>
      <c r="Y811" s="24"/>
      <c r="Z811" s="24"/>
      <c r="AA811" s="24"/>
      <c r="AB811" s="24"/>
      <c r="AC811" s="24"/>
    </row>
    <row r="812" spans="1:29" ht="12.9">
      <c r="A812" s="24"/>
      <c r="B812" s="24"/>
      <c r="C812" s="24"/>
      <c r="D812" s="24"/>
      <c r="E812" s="24"/>
      <c r="F812" s="117"/>
      <c r="G812" s="117"/>
      <c r="H812" s="24"/>
      <c r="I812" s="24"/>
      <c r="J812" s="24"/>
      <c r="K812" s="24"/>
      <c r="L812" s="24"/>
      <c r="M812" s="24"/>
      <c r="N812" s="24"/>
      <c r="O812" s="24"/>
      <c r="P812" s="24"/>
      <c r="Q812" s="24"/>
      <c r="R812" s="24"/>
      <c r="S812" s="24"/>
      <c r="T812" s="24"/>
      <c r="U812" s="24"/>
      <c r="V812" s="24"/>
      <c r="W812" s="24"/>
      <c r="X812" s="24"/>
      <c r="Y812" s="24"/>
      <c r="Z812" s="24"/>
      <c r="AA812" s="24"/>
      <c r="AB812" s="24"/>
      <c r="AC812" s="24"/>
    </row>
    <row r="813" spans="1:29" ht="12.9">
      <c r="A813" s="24"/>
      <c r="B813" s="24"/>
      <c r="C813" s="24"/>
      <c r="D813" s="24"/>
      <c r="E813" s="24"/>
      <c r="F813" s="117"/>
      <c r="G813" s="117"/>
      <c r="H813" s="24"/>
      <c r="I813" s="24"/>
      <c r="J813" s="24"/>
      <c r="K813" s="24"/>
      <c r="L813" s="24"/>
      <c r="M813" s="24"/>
      <c r="N813" s="24"/>
      <c r="O813" s="24"/>
      <c r="P813" s="24"/>
      <c r="Q813" s="24"/>
      <c r="R813" s="24"/>
      <c r="S813" s="24"/>
      <c r="T813" s="24"/>
      <c r="U813" s="24"/>
      <c r="V813" s="24"/>
      <c r="W813" s="24"/>
      <c r="X813" s="24"/>
      <c r="Y813" s="24"/>
      <c r="Z813" s="24"/>
      <c r="AA813" s="24"/>
      <c r="AB813" s="24"/>
      <c r="AC813" s="24"/>
    </row>
    <row r="814" spans="1:29" ht="12.9">
      <c r="A814" s="24"/>
      <c r="B814" s="24"/>
      <c r="C814" s="24"/>
      <c r="D814" s="24"/>
      <c r="E814" s="24"/>
      <c r="F814" s="117"/>
      <c r="G814" s="117"/>
      <c r="H814" s="24"/>
      <c r="I814" s="24"/>
      <c r="J814" s="24"/>
      <c r="K814" s="24"/>
      <c r="L814" s="24"/>
      <c r="M814" s="24"/>
      <c r="N814" s="24"/>
      <c r="O814" s="24"/>
      <c r="P814" s="24"/>
      <c r="Q814" s="24"/>
      <c r="R814" s="24"/>
      <c r="S814" s="24"/>
      <c r="T814" s="24"/>
      <c r="U814" s="24"/>
      <c r="V814" s="24"/>
      <c r="W814" s="24"/>
      <c r="X814" s="24"/>
      <c r="Y814" s="24"/>
      <c r="Z814" s="24"/>
      <c r="AA814" s="24"/>
      <c r="AB814" s="24"/>
      <c r="AC814" s="24"/>
    </row>
    <row r="815" spans="1:29" ht="12.9">
      <c r="A815" s="24"/>
      <c r="B815" s="24"/>
      <c r="C815" s="24"/>
      <c r="D815" s="24"/>
      <c r="E815" s="24"/>
      <c r="F815" s="117"/>
      <c r="G815" s="117"/>
      <c r="H815" s="24"/>
      <c r="I815" s="24"/>
      <c r="J815" s="24"/>
      <c r="K815" s="24"/>
      <c r="L815" s="24"/>
      <c r="M815" s="24"/>
      <c r="N815" s="24"/>
      <c r="O815" s="24"/>
      <c r="P815" s="24"/>
      <c r="Q815" s="24"/>
      <c r="R815" s="24"/>
      <c r="S815" s="24"/>
      <c r="T815" s="24"/>
      <c r="U815" s="24"/>
      <c r="V815" s="24"/>
      <c r="W815" s="24"/>
      <c r="X815" s="24"/>
      <c r="Y815" s="24"/>
      <c r="Z815" s="24"/>
      <c r="AA815" s="24"/>
      <c r="AB815" s="24"/>
      <c r="AC815" s="24"/>
    </row>
    <row r="816" spans="1:29" ht="12.9">
      <c r="A816" s="24"/>
      <c r="B816" s="24"/>
      <c r="C816" s="24"/>
      <c r="D816" s="24"/>
      <c r="E816" s="24"/>
      <c r="F816" s="117"/>
      <c r="G816" s="117"/>
      <c r="H816" s="24"/>
      <c r="I816" s="24"/>
      <c r="J816" s="24"/>
      <c r="K816" s="24"/>
      <c r="L816" s="24"/>
      <c r="M816" s="24"/>
      <c r="N816" s="24"/>
      <c r="O816" s="24"/>
      <c r="P816" s="24"/>
      <c r="Q816" s="24"/>
      <c r="R816" s="24"/>
      <c r="S816" s="24"/>
      <c r="T816" s="24"/>
      <c r="U816" s="24"/>
      <c r="V816" s="24"/>
      <c r="W816" s="24"/>
      <c r="X816" s="24"/>
      <c r="Y816" s="24"/>
      <c r="Z816" s="24"/>
      <c r="AA816" s="24"/>
      <c r="AB816" s="24"/>
      <c r="AC816" s="24"/>
    </row>
    <row r="817" spans="1:29" ht="12.9">
      <c r="A817" s="24"/>
      <c r="B817" s="24"/>
      <c r="C817" s="24"/>
      <c r="D817" s="24"/>
      <c r="E817" s="24"/>
      <c r="F817" s="117"/>
      <c r="G817" s="117"/>
      <c r="H817" s="24"/>
      <c r="I817" s="24"/>
      <c r="J817" s="24"/>
      <c r="K817" s="24"/>
      <c r="L817" s="24"/>
      <c r="M817" s="24"/>
      <c r="N817" s="24"/>
      <c r="O817" s="24"/>
      <c r="P817" s="24"/>
      <c r="Q817" s="24"/>
      <c r="R817" s="24"/>
      <c r="S817" s="24"/>
      <c r="T817" s="24"/>
      <c r="U817" s="24"/>
      <c r="V817" s="24"/>
      <c r="W817" s="24"/>
      <c r="X817" s="24"/>
      <c r="Y817" s="24"/>
      <c r="Z817" s="24"/>
      <c r="AA817" s="24"/>
      <c r="AB817" s="24"/>
      <c r="AC817" s="24"/>
    </row>
    <row r="818" spans="1:29" ht="12.9">
      <c r="A818" s="24"/>
      <c r="B818" s="24"/>
      <c r="C818" s="24"/>
      <c r="D818" s="24"/>
      <c r="E818" s="24"/>
      <c r="F818" s="117"/>
      <c r="G818" s="117"/>
      <c r="H818" s="24"/>
      <c r="I818" s="24"/>
      <c r="J818" s="24"/>
      <c r="K818" s="24"/>
      <c r="L818" s="24"/>
      <c r="M818" s="24"/>
      <c r="N818" s="24"/>
      <c r="O818" s="24"/>
      <c r="P818" s="24"/>
      <c r="Q818" s="24"/>
      <c r="R818" s="24"/>
      <c r="S818" s="24"/>
      <c r="T818" s="24"/>
      <c r="U818" s="24"/>
      <c r="V818" s="24"/>
      <c r="W818" s="24"/>
      <c r="X818" s="24"/>
      <c r="Y818" s="24"/>
      <c r="Z818" s="24"/>
      <c r="AA818" s="24"/>
      <c r="AB818" s="24"/>
      <c r="AC818" s="24"/>
    </row>
    <row r="819" spans="1:29" ht="12.9">
      <c r="A819" s="24"/>
      <c r="B819" s="24"/>
      <c r="C819" s="24"/>
      <c r="D819" s="24"/>
      <c r="E819" s="24"/>
      <c r="F819" s="117"/>
      <c r="G819" s="117"/>
      <c r="H819" s="24"/>
      <c r="I819" s="24"/>
      <c r="J819" s="24"/>
      <c r="K819" s="24"/>
      <c r="L819" s="24"/>
      <c r="M819" s="24"/>
      <c r="N819" s="24"/>
      <c r="O819" s="24"/>
      <c r="P819" s="24"/>
      <c r="Q819" s="24"/>
      <c r="R819" s="24"/>
      <c r="S819" s="24"/>
      <c r="T819" s="24"/>
      <c r="U819" s="24"/>
      <c r="V819" s="24"/>
      <c r="W819" s="24"/>
      <c r="X819" s="24"/>
      <c r="Y819" s="24"/>
      <c r="Z819" s="24"/>
      <c r="AA819" s="24"/>
      <c r="AB819" s="24"/>
      <c r="AC819" s="24"/>
    </row>
    <row r="820" spans="1:29" ht="12.9">
      <c r="A820" s="24"/>
      <c r="B820" s="24"/>
      <c r="C820" s="24"/>
      <c r="D820" s="24"/>
      <c r="E820" s="24"/>
      <c r="F820" s="117"/>
      <c r="G820" s="117"/>
      <c r="H820" s="24"/>
      <c r="I820" s="24"/>
      <c r="J820" s="24"/>
      <c r="K820" s="24"/>
      <c r="L820" s="24"/>
      <c r="M820" s="24"/>
      <c r="N820" s="24"/>
      <c r="O820" s="24"/>
      <c r="P820" s="24"/>
      <c r="Q820" s="24"/>
      <c r="R820" s="24"/>
      <c r="S820" s="24"/>
      <c r="T820" s="24"/>
      <c r="U820" s="24"/>
      <c r="V820" s="24"/>
      <c r="W820" s="24"/>
      <c r="X820" s="24"/>
      <c r="Y820" s="24"/>
      <c r="Z820" s="24"/>
      <c r="AA820" s="24"/>
      <c r="AB820" s="24"/>
      <c r="AC820" s="24"/>
    </row>
    <row r="821" spans="1:29" ht="12.9">
      <c r="A821" s="24"/>
      <c r="B821" s="24"/>
      <c r="C821" s="24"/>
      <c r="D821" s="24"/>
      <c r="E821" s="24"/>
      <c r="F821" s="117"/>
      <c r="G821" s="117"/>
      <c r="H821" s="24"/>
      <c r="I821" s="24"/>
      <c r="J821" s="24"/>
      <c r="K821" s="24"/>
      <c r="L821" s="24"/>
      <c r="M821" s="24"/>
      <c r="N821" s="24"/>
      <c r="O821" s="24"/>
      <c r="P821" s="24"/>
      <c r="Q821" s="24"/>
      <c r="R821" s="24"/>
      <c r="S821" s="24"/>
      <c r="T821" s="24"/>
      <c r="U821" s="24"/>
      <c r="V821" s="24"/>
      <c r="W821" s="24"/>
      <c r="X821" s="24"/>
      <c r="Y821" s="24"/>
      <c r="Z821" s="24"/>
      <c r="AA821" s="24"/>
      <c r="AB821" s="24"/>
      <c r="AC821" s="24"/>
    </row>
    <row r="822" spans="1:29" ht="12.9">
      <c r="A822" s="24"/>
      <c r="B822" s="24"/>
      <c r="C822" s="24"/>
      <c r="D822" s="24"/>
      <c r="E822" s="24"/>
      <c r="F822" s="117"/>
      <c r="G822" s="117"/>
      <c r="H822" s="24"/>
      <c r="I822" s="24"/>
      <c r="J822" s="24"/>
      <c r="K822" s="24"/>
      <c r="L822" s="24"/>
      <c r="M822" s="24"/>
      <c r="N822" s="24"/>
      <c r="O822" s="24"/>
      <c r="P822" s="24"/>
      <c r="Q822" s="24"/>
      <c r="R822" s="24"/>
      <c r="S822" s="24"/>
      <c r="T822" s="24"/>
      <c r="U822" s="24"/>
      <c r="V822" s="24"/>
      <c r="W822" s="24"/>
      <c r="X822" s="24"/>
      <c r="Y822" s="24"/>
      <c r="Z822" s="24"/>
      <c r="AA822" s="24"/>
      <c r="AB822" s="24"/>
      <c r="AC822" s="24"/>
    </row>
    <row r="823" spans="1:29" ht="12.9">
      <c r="A823" s="24"/>
      <c r="B823" s="24"/>
      <c r="C823" s="24"/>
      <c r="D823" s="24"/>
      <c r="E823" s="24"/>
      <c r="F823" s="117"/>
      <c r="G823" s="117"/>
      <c r="H823" s="24"/>
      <c r="I823" s="24"/>
      <c r="J823" s="24"/>
      <c r="K823" s="24"/>
      <c r="L823" s="24"/>
      <c r="M823" s="24"/>
      <c r="N823" s="24"/>
      <c r="O823" s="24"/>
      <c r="P823" s="24"/>
      <c r="Q823" s="24"/>
      <c r="R823" s="24"/>
      <c r="S823" s="24"/>
      <c r="T823" s="24"/>
      <c r="U823" s="24"/>
      <c r="V823" s="24"/>
      <c r="W823" s="24"/>
      <c r="X823" s="24"/>
      <c r="Y823" s="24"/>
      <c r="Z823" s="24"/>
      <c r="AA823" s="24"/>
      <c r="AB823" s="24"/>
      <c r="AC823" s="24"/>
    </row>
    <row r="824" spans="1:29" ht="12.9">
      <c r="A824" s="24"/>
      <c r="B824" s="24"/>
      <c r="C824" s="24"/>
      <c r="D824" s="24"/>
      <c r="E824" s="24"/>
      <c r="F824" s="117"/>
      <c r="G824" s="117"/>
      <c r="H824" s="24"/>
      <c r="I824" s="24"/>
      <c r="J824" s="24"/>
      <c r="K824" s="24"/>
      <c r="L824" s="24"/>
      <c r="M824" s="24"/>
      <c r="N824" s="24"/>
      <c r="O824" s="24"/>
      <c r="P824" s="24"/>
      <c r="Q824" s="24"/>
      <c r="R824" s="24"/>
      <c r="S824" s="24"/>
      <c r="T824" s="24"/>
      <c r="U824" s="24"/>
      <c r="V824" s="24"/>
      <c r="W824" s="24"/>
      <c r="X824" s="24"/>
      <c r="Y824" s="24"/>
      <c r="Z824" s="24"/>
      <c r="AA824" s="24"/>
      <c r="AB824" s="24"/>
      <c r="AC824" s="24"/>
    </row>
    <row r="825" spans="1:29" ht="12.9">
      <c r="A825" s="24"/>
      <c r="B825" s="24"/>
      <c r="C825" s="24"/>
      <c r="D825" s="24"/>
      <c r="E825" s="24"/>
      <c r="F825" s="117"/>
      <c r="G825" s="117"/>
      <c r="H825" s="24"/>
      <c r="I825" s="24"/>
      <c r="J825" s="24"/>
      <c r="K825" s="24"/>
      <c r="L825" s="24"/>
      <c r="M825" s="24"/>
      <c r="N825" s="24"/>
      <c r="O825" s="24"/>
      <c r="P825" s="24"/>
      <c r="Q825" s="24"/>
      <c r="R825" s="24"/>
      <c r="S825" s="24"/>
      <c r="T825" s="24"/>
      <c r="U825" s="24"/>
      <c r="V825" s="24"/>
      <c r="W825" s="24"/>
      <c r="X825" s="24"/>
      <c r="Y825" s="24"/>
      <c r="Z825" s="24"/>
      <c r="AA825" s="24"/>
      <c r="AB825" s="24"/>
      <c r="AC825" s="24"/>
    </row>
    <row r="826" spans="1:29" ht="12.9">
      <c r="A826" s="24"/>
      <c r="B826" s="24"/>
      <c r="C826" s="24"/>
      <c r="D826" s="24"/>
      <c r="E826" s="24"/>
      <c r="F826" s="117"/>
      <c r="G826" s="117"/>
      <c r="H826" s="24"/>
      <c r="I826" s="24"/>
      <c r="J826" s="24"/>
      <c r="K826" s="24"/>
      <c r="L826" s="24"/>
      <c r="M826" s="24"/>
      <c r="N826" s="24"/>
      <c r="O826" s="24"/>
      <c r="P826" s="24"/>
      <c r="Q826" s="24"/>
      <c r="R826" s="24"/>
      <c r="S826" s="24"/>
      <c r="T826" s="24"/>
      <c r="U826" s="24"/>
      <c r="V826" s="24"/>
      <c r="W826" s="24"/>
      <c r="X826" s="24"/>
      <c r="Y826" s="24"/>
      <c r="Z826" s="24"/>
      <c r="AA826" s="24"/>
      <c r="AB826" s="24"/>
      <c r="AC826" s="24"/>
    </row>
    <row r="827" spans="1:29" ht="12.9">
      <c r="A827" s="24"/>
      <c r="B827" s="24"/>
      <c r="C827" s="24"/>
      <c r="D827" s="24"/>
      <c r="E827" s="24"/>
      <c r="F827" s="117"/>
      <c r="G827" s="117"/>
      <c r="H827" s="24"/>
      <c r="I827" s="24"/>
      <c r="J827" s="24"/>
      <c r="K827" s="24"/>
      <c r="L827" s="24"/>
      <c r="M827" s="24"/>
      <c r="N827" s="24"/>
      <c r="O827" s="24"/>
      <c r="P827" s="24"/>
      <c r="Q827" s="24"/>
      <c r="R827" s="24"/>
      <c r="S827" s="24"/>
      <c r="T827" s="24"/>
      <c r="U827" s="24"/>
      <c r="V827" s="24"/>
      <c r="W827" s="24"/>
      <c r="X827" s="24"/>
      <c r="Y827" s="24"/>
      <c r="Z827" s="24"/>
      <c r="AA827" s="24"/>
      <c r="AB827" s="24"/>
      <c r="AC827" s="24"/>
    </row>
    <row r="828" spans="1:29" ht="12.9">
      <c r="A828" s="24"/>
      <c r="B828" s="24"/>
      <c r="C828" s="24"/>
      <c r="D828" s="24"/>
      <c r="E828" s="24"/>
      <c r="F828" s="117"/>
      <c r="G828" s="117"/>
      <c r="H828" s="24"/>
      <c r="I828" s="24"/>
      <c r="J828" s="24"/>
      <c r="K828" s="24"/>
      <c r="L828" s="24"/>
      <c r="M828" s="24"/>
      <c r="N828" s="24"/>
      <c r="O828" s="24"/>
      <c r="P828" s="24"/>
      <c r="Q828" s="24"/>
      <c r="R828" s="24"/>
      <c r="S828" s="24"/>
      <c r="T828" s="24"/>
      <c r="U828" s="24"/>
      <c r="V828" s="24"/>
      <c r="W828" s="24"/>
      <c r="X828" s="24"/>
      <c r="Y828" s="24"/>
      <c r="Z828" s="24"/>
      <c r="AA828" s="24"/>
      <c r="AB828" s="24"/>
      <c r="AC828" s="24"/>
    </row>
    <row r="829" spans="1:29" ht="12.9">
      <c r="A829" s="24"/>
      <c r="B829" s="24"/>
      <c r="C829" s="24"/>
      <c r="D829" s="24"/>
      <c r="E829" s="24"/>
      <c r="F829" s="117"/>
      <c r="G829" s="117"/>
      <c r="H829" s="24"/>
      <c r="I829" s="24"/>
      <c r="J829" s="24"/>
      <c r="K829" s="24"/>
      <c r="L829" s="24"/>
      <c r="M829" s="24"/>
      <c r="N829" s="24"/>
      <c r="O829" s="24"/>
      <c r="P829" s="24"/>
      <c r="Q829" s="24"/>
      <c r="R829" s="24"/>
      <c r="S829" s="24"/>
      <c r="T829" s="24"/>
      <c r="U829" s="24"/>
      <c r="V829" s="24"/>
      <c r="W829" s="24"/>
      <c r="X829" s="24"/>
      <c r="Y829" s="24"/>
      <c r="Z829" s="24"/>
      <c r="AA829" s="24"/>
      <c r="AB829" s="24"/>
      <c r="AC829" s="24"/>
    </row>
    <row r="830" spans="1:29" ht="12.9">
      <c r="A830" s="24"/>
      <c r="B830" s="24"/>
      <c r="C830" s="24"/>
      <c r="D830" s="24"/>
      <c r="E830" s="24"/>
      <c r="F830" s="117"/>
      <c r="G830" s="117"/>
      <c r="H830" s="24"/>
      <c r="I830" s="24"/>
      <c r="J830" s="24"/>
      <c r="K830" s="24"/>
      <c r="L830" s="24"/>
      <c r="M830" s="24"/>
      <c r="N830" s="24"/>
      <c r="O830" s="24"/>
      <c r="P830" s="24"/>
      <c r="Q830" s="24"/>
      <c r="R830" s="24"/>
      <c r="S830" s="24"/>
      <c r="T830" s="24"/>
      <c r="U830" s="24"/>
      <c r="V830" s="24"/>
      <c r="W830" s="24"/>
      <c r="X830" s="24"/>
      <c r="Y830" s="24"/>
      <c r="Z830" s="24"/>
      <c r="AA830" s="24"/>
      <c r="AB830" s="24"/>
      <c r="AC830" s="24"/>
    </row>
    <row r="831" spans="1:29" ht="12.9">
      <c r="A831" s="24"/>
      <c r="B831" s="24"/>
      <c r="C831" s="24"/>
      <c r="D831" s="24"/>
      <c r="E831" s="24"/>
      <c r="F831" s="117"/>
      <c r="G831" s="117"/>
      <c r="H831" s="24"/>
      <c r="I831" s="24"/>
      <c r="J831" s="24"/>
      <c r="K831" s="24"/>
      <c r="L831" s="24"/>
      <c r="M831" s="24"/>
      <c r="N831" s="24"/>
      <c r="O831" s="24"/>
      <c r="P831" s="24"/>
      <c r="Q831" s="24"/>
      <c r="R831" s="24"/>
      <c r="S831" s="24"/>
      <c r="T831" s="24"/>
      <c r="U831" s="24"/>
      <c r="V831" s="24"/>
      <c r="W831" s="24"/>
      <c r="X831" s="24"/>
      <c r="Y831" s="24"/>
      <c r="Z831" s="24"/>
      <c r="AA831" s="24"/>
      <c r="AB831" s="24"/>
      <c r="AC831" s="24"/>
    </row>
    <row r="832" spans="1:29" ht="12.9">
      <c r="A832" s="24"/>
      <c r="B832" s="24"/>
      <c r="C832" s="24"/>
      <c r="D832" s="24"/>
      <c r="E832" s="24"/>
      <c r="F832" s="117"/>
      <c r="G832" s="117"/>
      <c r="H832" s="24"/>
      <c r="I832" s="24"/>
      <c r="J832" s="24"/>
      <c r="K832" s="24"/>
      <c r="L832" s="24"/>
      <c r="M832" s="24"/>
      <c r="N832" s="24"/>
      <c r="O832" s="24"/>
      <c r="P832" s="24"/>
      <c r="Q832" s="24"/>
      <c r="R832" s="24"/>
      <c r="S832" s="24"/>
      <c r="T832" s="24"/>
      <c r="U832" s="24"/>
      <c r="V832" s="24"/>
      <c r="W832" s="24"/>
      <c r="X832" s="24"/>
      <c r="Y832" s="24"/>
      <c r="Z832" s="24"/>
      <c r="AA832" s="24"/>
      <c r="AB832" s="24"/>
      <c r="AC832" s="24"/>
    </row>
    <row r="833" spans="1:29" ht="12.9">
      <c r="A833" s="24"/>
      <c r="B833" s="24"/>
      <c r="C833" s="24"/>
      <c r="D833" s="24"/>
      <c r="E833" s="24"/>
      <c r="F833" s="117"/>
      <c r="G833" s="117"/>
      <c r="H833" s="24"/>
      <c r="I833" s="24"/>
      <c r="J833" s="24"/>
      <c r="K833" s="24"/>
      <c r="L833" s="24"/>
      <c r="M833" s="24"/>
      <c r="N833" s="24"/>
      <c r="O833" s="24"/>
      <c r="P833" s="24"/>
      <c r="Q833" s="24"/>
      <c r="R833" s="24"/>
      <c r="S833" s="24"/>
      <c r="T833" s="24"/>
      <c r="U833" s="24"/>
      <c r="V833" s="24"/>
      <c r="W833" s="24"/>
      <c r="X833" s="24"/>
      <c r="Y833" s="24"/>
      <c r="Z833" s="24"/>
      <c r="AA833" s="24"/>
      <c r="AB833" s="24"/>
      <c r="AC833" s="24"/>
    </row>
    <row r="834" spans="1:29" ht="12.9">
      <c r="A834" s="24"/>
      <c r="B834" s="24"/>
      <c r="C834" s="24"/>
      <c r="D834" s="24"/>
      <c r="E834" s="24"/>
      <c r="F834" s="117"/>
      <c r="G834" s="117"/>
      <c r="H834" s="24"/>
      <c r="I834" s="24"/>
      <c r="J834" s="24"/>
      <c r="K834" s="24"/>
      <c r="L834" s="24"/>
      <c r="M834" s="24"/>
      <c r="N834" s="24"/>
      <c r="O834" s="24"/>
      <c r="P834" s="24"/>
      <c r="Q834" s="24"/>
      <c r="R834" s="24"/>
      <c r="S834" s="24"/>
      <c r="T834" s="24"/>
      <c r="U834" s="24"/>
      <c r="V834" s="24"/>
      <c r="W834" s="24"/>
      <c r="X834" s="24"/>
      <c r="Y834" s="24"/>
      <c r="Z834" s="24"/>
      <c r="AA834" s="24"/>
      <c r="AB834" s="24"/>
      <c r="AC834" s="24"/>
    </row>
    <row r="835" spans="1:29" ht="12.9">
      <c r="A835" s="24"/>
      <c r="B835" s="24"/>
      <c r="C835" s="24"/>
      <c r="D835" s="24"/>
      <c r="E835" s="24"/>
      <c r="F835" s="117"/>
      <c r="G835" s="117"/>
      <c r="H835" s="24"/>
      <c r="I835" s="24"/>
      <c r="J835" s="24"/>
      <c r="K835" s="24"/>
      <c r="L835" s="24"/>
      <c r="M835" s="24"/>
      <c r="N835" s="24"/>
      <c r="O835" s="24"/>
      <c r="P835" s="24"/>
      <c r="Q835" s="24"/>
      <c r="R835" s="24"/>
      <c r="S835" s="24"/>
      <c r="T835" s="24"/>
      <c r="U835" s="24"/>
      <c r="V835" s="24"/>
      <c r="W835" s="24"/>
      <c r="X835" s="24"/>
      <c r="Y835" s="24"/>
      <c r="Z835" s="24"/>
      <c r="AA835" s="24"/>
      <c r="AB835" s="24"/>
      <c r="AC835" s="24"/>
    </row>
    <row r="836" spans="1:29" ht="12.9">
      <c r="A836" s="24"/>
      <c r="B836" s="24"/>
      <c r="C836" s="24"/>
      <c r="D836" s="24"/>
      <c r="E836" s="24"/>
      <c r="F836" s="117"/>
      <c r="G836" s="117"/>
      <c r="H836" s="24"/>
      <c r="I836" s="24"/>
      <c r="J836" s="24"/>
      <c r="K836" s="24"/>
      <c r="L836" s="24"/>
      <c r="M836" s="24"/>
      <c r="N836" s="24"/>
      <c r="O836" s="24"/>
      <c r="P836" s="24"/>
      <c r="Q836" s="24"/>
      <c r="R836" s="24"/>
      <c r="S836" s="24"/>
      <c r="T836" s="24"/>
      <c r="U836" s="24"/>
      <c r="V836" s="24"/>
      <c r="W836" s="24"/>
      <c r="X836" s="24"/>
      <c r="Y836" s="24"/>
      <c r="Z836" s="24"/>
      <c r="AA836" s="24"/>
      <c r="AB836" s="24"/>
      <c r="AC836" s="24"/>
    </row>
    <row r="837" spans="1:29" ht="12.9">
      <c r="A837" s="24"/>
      <c r="B837" s="24"/>
      <c r="C837" s="24"/>
      <c r="D837" s="24"/>
      <c r="E837" s="24"/>
      <c r="F837" s="117"/>
      <c r="G837" s="117"/>
      <c r="H837" s="24"/>
      <c r="I837" s="24"/>
      <c r="J837" s="24"/>
      <c r="K837" s="24"/>
      <c r="L837" s="24"/>
      <c r="M837" s="24"/>
      <c r="N837" s="24"/>
      <c r="O837" s="24"/>
      <c r="P837" s="24"/>
      <c r="Q837" s="24"/>
      <c r="R837" s="24"/>
      <c r="S837" s="24"/>
      <c r="T837" s="24"/>
      <c r="U837" s="24"/>
      <c r="V837" s="24"/>
      <c r="W837" s="24"/>
      <c r="X837" s="24"/>
      <c r="Y837" s="24"/>
      <c r="Z837" s="24"/>
      <c r="AA837" s="24"/>
      <c r="AB837" s="24"/>
      <c r="AC837" s="24"/>
    </row>
    <row r="838" spans="1:29" ht="12.9">
      <c r="A838" s="24"/>
      <c r="B838" s="24"/>
      <c r="C838" s="24"/>
      <c r="D838" s="24"/>
      <c r="E838" s="24"/>
      <c r="F838" s="117"/>
      <c r="G838" s="117"/>
      <c r="H838" s="24"/>
      <c r="I838" s="24"/>
      <c r="J838" s="24"/>
      <c r="K838" s="24"/>
      <c r="L838" s="24"/>
      <c r="M838" s="24"/>
      <c r="N838" s="24"/>
      <c r="O838" s="24"/>
      <c r="P838" s="24"/>
      <c r="Q838" s="24"/>
      <c r="R838" s="24"/>
      <c r="S838" s="24"/>
      <c r="T838" s="24"/>
      <c r="U838" s="24"/>
      <c r="V838" s="24"/>
      <c r="W838" s="24"/>
      <c r="X838" s="24"/>
      <c r="Y838" s="24"/>
      <c r="Z838" s="24"/>
      <c r="AA838" s="24"/>
      <c r="AB838" s="24"/>
      <c r="AC838" s="24"/>
    </row>
    <row r="839" spans="1:29" ht="12.9">
      <c r="A839" s="24"/>
      <c r="B839" s="24"/>
      <c r="C839" s="24"/>
      <c r="D839" s="24"/>
      <c r="E839" s="24"/>
      <c r="F839" s="117"/>
      <c r="G839" s="117"/>
      <c r="H839" s="24"/>
      <c r="I839" s="24"/>
      <c r="J839" s="24"/>
      <c r="K839" s="24"/>
      <c r="L839" s="24"/>
      <c r="M839" s="24"/>
      <c r="N839" s="24"/>
      <c r="O839" s="24"/>
      <c r="P839" s="24"/>
      <c r="Q839" s="24"/>
      <c r="R839" s="24"/>
      <c r="S839" s="24"/>
      <c r="T839" s="24"/>
      <c r="U839" s="24"/>
      <c r="V839" s="24"/>
      <c r="W839" s="24"/>
      <c r="X839" s="24"/>
      <c r="Y839" s="24"/>
      <c r="Z839" s="24"/>
      <c r="AA839" s="24"/>
      <c r="AB839" s="24"/>
      <c r="AC839" s="24"/>
    </row>
    <row r="840" spans="1:29" ht="12.9">
      <c r="A840" s="24"/>
      <c r="B840" s="24"/>
      <c r="C840" s="24"/>
      <c r="D840" s="24"/>
      <c r="E840" s="24"/>
      <c r="F840" s="117"/>
      <c r="G840" s="117"/>
      <c r="H840" s="24"/>
      <c r="I840" s="24"/>
      <c r="J840" s="24"/>
      <c r="K840" s="24"/>
      <c r="L840" s="24"/>
      <c r="M840" s="24"/>
      <c r="N840" s="24"/>
      <c r="O840" s="24"/>
      <c r="P840" s="24"/>
      <c r="Q840" s="24"/>
      <c r="R840" s="24"/>
      <c r="S840" s="24"/>
      <c r="T840" s="24"/>
      <c r="U840" s="24"/>
      <c r="V840" s="24"/>
      <c r="W840" s="24"/>
      <c r="X840" s="24"/>
      <c r="Y840" s="24"/>
      <c r="Z840" s="24"/>
      <c r="AA840" s="24"/>
      <c r="AB840" s="24"/>
      <c r="AC840" s="24"/>
    </row>
    <row r="841" spans="1:29" ht="12.9">
      <c r="A841" s="24"/>
      <c r="B841" s="24"/>
      <c r="C841" s="24"/>
      <c r="D841" s="24"/>
      <c r="E841" s="24"/>
      <c r="F841" s="117"/>
      <c r="G841" s="117"/>
      <c r="H841" s="24"/>
      <c r="I841" s="24"/>
      <c r="J841" s="24"/>
      <c r="K841" s="24"/>
      <c r="L841" s="24"/>
      <c r="M841" s="24"/>
      <c r="N841" s="24"/>
      <c r="O841" s="24"/>
      <c r="P841" s="24"/>
      <c r="Q841" s="24"/>
      <c r="R841" s="24"/>
      <c r="S841" s="24"/>
      <c r="T841" s="24"/>
      <c r="U841" s="24"/>
      <c r="V841" s="24"/>
      <c r="W841" s="24"/>
      <c r="X841" s="24"/>
      <c r="Y841" s="24"/>
      <c r="Z841" s="24"/>
      <c r="AA841" s="24"/>
      <c r="AB841" s="24"/>
      <c r="AC841" s="24"/>
    </row>
    <row r="842" spans="1:29" ht="12.9">
      <c r="A842" s="24"/>
      <c r="B842" s="24"/>
      <c r="C842" s="24"/>
      <c r="D842" s="24"/>
      <c r="E842" s="24"/>
      <c r="F842" s="117"/>
      <c r="G842" s="117"/>
      <c r="H842" s="24"/>
      <c r="I842" s="24"/>
      <c r="J842" s="24"/>
      <c r="K842" s="24"/>
      <c r="L842" s="24"/>
      <c r="M842" s="24"/>
      <c r="N842" s="24"/>
      <c r="O842" s="24"/>
      <c r="P842" s="24"/>
      <c r="Q842" s="24"/>
      <c r="R842" s="24"/>
      <c r="S842" s="24"/>
      <c r="T842" s="24"/>
      <c r="U842" s="24"/>
      <c r="V842" s="24"/>
      <c r="W842" s="24"/>
      <c r="X842" s="24"/>
      <c r="Y842" s="24"/>
      <c r="Z842" s="24"/>
      <c r="AA842" s="24"/>
      <c r="AB842" s="24"/>
      <c r="AC842" s="24"/>
    </row>
    <row r="843" spans="1:29" ht="12.9">
      <c r="A843" s="24"/>
      <c r="B843" s="24"/>
      <c r="C843" s="24"/>
      <c r="D843" s="24"/>
      <c r="E843" s="24"/>
      <c r="F843" s="117"/>
      <c r="G843" s="117"/>
      <c r="H843" s="24"/>
      <c r="I843" s="24"/>
      <c r="J843" s="24"/>
      <c r="K843" s="24"/>
      <c r="L843" s="24"/>
      <c r="M843" s="24"/>
      <c r="N843" s="24"/>
      <c r="O843" s="24"/>
      <c r="P843" s="24"/>
      <c r="Q843" s="24"/>
      <c r="R843" s="24"/>
      <c r="S843" s="24"/>
      <c r="T843" s="24"/>
      <c r="U843" s="24"/>
      <c r="V843" s="24"/>
      <c r="W843" s="24"/>
      <c r="X843" s="24"/>
      <c r="Y843" s="24"/>
      <c r="Z843" s="24"/>
      <c r="AA843" s="24"/>
      <c r="AB843" s="24"/>
      <c r="AC843" s="24"/>
    </row>
    <row r="844" spans="1:29" ht="12.9">
      <c r="A844" s="24"/>
      <c r="B844" s="24"/>
      <c r="C844" s="24"/>
      <c r="D844" s="24"/>
      <c r="E844" s="24"/>
      <c r="F844" s="117"/>
      <c r="G844" s="117"/>
      <c r="H844" s="24"/>
      <c r="I844" s="24"/>
      <c r="J844" s="24"/>
      <c r="K844" s="24"/>
      <c r="L844" s="24"/>
      <c r="M844" s="24"/>
      <c r="N844" s="24"/>
      <c r="O844" s="24"/>
      <c r="P844" s="24"/>
      <c r="Q844" s="24"/>
      <c r="R844" s="24"/>
      <c r="S844" s="24"/>
      <c r="T844" s="24"/>
      <c r="U844" s="24"/>
      <c r="V844" s="24"/>
      <c r="W844" s="24"/>
      <c r="X844" s="24"/>
      <c r="Y844" s="24"/>
      <c r="Z844" s="24"/>
      <c r="AA844" s="24"/>
      <c r="AB844" s="24"/>
      <c r="AC844" s="24"/>
    </row>
    <row r="845" spans="1:29" ht="12.9">
      <c r="A845" s="24"/>
      <c r="B845" s="24"/>
      <c r="C845" s="24"/>
      <c r="D845" s="24"/>
      <c r="E845" s="24"/>
      <c r="F845" s="117"/>
      <c r="G845" s="117"/>
      <c r="H845" s="24"/>
      <c r="I845" s="24"/>
      <c r="J845" s="24"/>
      <c r="K845" s="24"/>
      <c r="L845" s="24"/>
      <c r="M845" s="24"/>
      <c r="N845" s="24"/>
      <c r="O845" s="24"/>
      <c r="P845" s="24"/>
      <c r="Q845" s="24"/>
      <c r="R845" s="24"/>
      <c r="S845" s="24"/>
      <c r="T845" s="24"/>
      <c r="U845" s="24"/>
      <c r="V845" s="24"/>
      <c r="W845" s="24"/>
      <c r="X845" s="24"/>
      <c r="Y845" s="24"/>
      <c r="Z845" s="24"/>
      <c r="AA845" s="24"/>
      <c r="AB845" s="24"/>
      <c r="AC845" s="24"/>
    </row>
    <row r="846" spans="1:29" ht="12.9">
      <c r="A846" s="24"/>
      <c r="B846" s="24"/>
      <c r="C846" s="24"/>
      <c r="D846" s="24"/>
      <c r="E846" s="24"/>
      <c r="F846" s="117"/>
      <c r="G846" s="117"/>
      <c r="H846" s="24"/>
      <c r="I846" s="24"/>
      <c r="J846" s="24"/>
      <c r="K846" s="24"/>
      <c r="L846" s="24"/>
      <c r="M846" s="24"/>
      <c r="N846" s="24"/>
      <c r="O846" s="24"/>
      <c r="P846" s="24"/>
      <c r="Q846" s="24"/>
      <c r="R846" s="24"/>
      <c r="S846" s="24"/>
      <c r="T846" s="24"/>
      <c r="U846" s="24"/>
      <c r="V846" s="24"/>
      <c r="W846" s="24"/>
      <c r="X846" s="24"/>
      <c r="Y846" s="24"/>
      <c r="Z846" s="24"/>
      <c r="AA846" s="24"/>
      <c r="AB846" s="24"/>
      <c r="AC846" s="24"/>
    </row>
    <row r="847" spans="1:29" ht="12.9">
      <c r="A847" s="24"/>
      <c r="B847" s="24"/>
      <c r="C847" s="24"/>
      <c r="D847" s="24"/>
      <c r="E847" s="24"/>
      <c r="F847" s="117"/>
      <c r="G847" s="117"/>
      <c r="H847" s="24"/>
      <c r="I847" s="24"/>
      <c r="J847" s="24"/>
      <c r="K847" s="24"/>
      <c r="L847" s="24"/>
      <c r="M847" s="24"/>
      <c r="N847" s="24"/>
      <c r="O847" s="24"/>
      <c r="P847" s="24"/>
      <c r="Q847" s="24"/>
      <c r="R847" s="24"/>
      <c r="S847" s="24"/>
      <c r="T847" s="24"/>
      <c r="U847" s="24"/>
      <c r="V847" s="24"/>
      <c r="W847" s="24"/>
      <c r="X847" s="24"/>
      <c r="Y847" s="24"/>
      <c r="Z847" s="24"/>
      <c r="AA847" s="24"/>
      <c r="AB847" s="24"/>
      <c r="AC847" s="24"/>
    </row>
    <row r="848" spans="1:29" ht="12.9">
      <c r="A848" s="24"/>
      <c r="B848" s="24"/>
      <c r="C848" s="24"/>
      <c r="D848" s="24"/>
      <c r="E848" s="24"/>
      <c r="F848" s="117"/>
      <c r="G848" s="117"/>
      <c r="H848" s="24"/>
      <c r="I848" s="24"/>
      <c r="J848" s="24"/>
      <c r="K848" s="24"/>
      <c r="L848" s="24"/>
      <c r="M848" s="24"/>
      <c r="N848" s="24"/>
      <c r="O848" s="24"/>
      <c r="P848" s="24"/>
      <c r="Q848" s="24"/>
      <c r="R848" s="24"/>
      <c r="S848" s="24"/>
      <c r="T848" s="24"/>
      <c r="U848" s="24"/>
      <c r="V848" s="24"/>
      <c r="W848" s="24"/>
      <c r="X848" s="24"/>
      <c r="Y848" s="24"/>
      <c r="Z848" s="24"/>
      <c r="AA848" s="24"/>
      <c r="AB848" s="24"/>
      <c r="AC848" s="24"/>
    </row>
    <row r="849" spans="1:29" ht="12.9">
      <c r="A849" s="24"/>
      <c r="B849" s="24"/>
      <c r="C849" s="24"/>
      <c r="D849" s="24"/>
      <c r="E849" s="24"/>
      <c r="F849" s="117"/>
      <c r="G849" s="117"/>
      <c r="H849" s="24"/>
      <c r="I849" s="24"/>
      <c r="J849" s="24"/>
      <c r="K849" s="24"/>
      <c r="L849" s="24"/>
      <c r="M849" s="24"/>
      <c r="N849" s="24"/>
      <c r="O849" s="24"/>
      <c r="P849" s="24"/>
      <c r="Q849" s="24"/>
      <c r="R849" s="24"/>
      <c r="S849" s="24"/>
      <c r="T849" s="24"/>
      <c r="U849" s="24"/>
      <c r="V849" s="24"/>
      <c r="W849" s="24"/>
      <c r="X849" s="24"/>
      <c r="Y849" s="24"/>
      <c r="Z849" s="24"/>
      <c r="AA849" s="24"/>
      <c r="AB849" s="24"/>
      <c r="AC849" s="24"/>
    </row>
    <row r="850" spans="1:29" ht="12.9">
      <c r="A850" s="24"/>
      <c r="B850" s="24"/>
      <c r="C850" s="24"/>
      <c r="D850" s="24"/>
      <c r="E850" s="24"/>
      <c r="F850" s="117"/>
      <c r="G850" s="117"/>
      <c r="H850" s="24"/>
      <c r="I850" s="24"/>
      <c r="J850" s="24"/>
      <c r="K850" s="24"/>
      <c r="L850" s="24"/>
      <c r="M850" s="24"/>
      <c r="N850" s="24"/>
      <c r="O850" s="24"/>
      <c r="P850" s="24"/>
      <c r="Q850" s="24"/>
      <c r="R850" s="24"/>
      <c r="S850" s="24"/>
      <c r="T850" s="24"/>
      <c r="U850" s="24"/>
      <c r="V850" s="24"/>
      <c r="W850" s="24"/>
      <c r="X850" s="24"/>
      <c r="Y850" s="24"/>
      <c r="Z850" s="24"/>
      <c r="AA850" s="24"/>
      <c r="AB850" s="24"/>
      <c r="AC850" s="24"/>
    </row>
    <row r="851" spans="1:29" ht="12.9">
      <c r="A851" s="24"/>
      <c r="B851" s="24"/>
      <c r="C851" s="24"/>
      <c r="D851" s="24"/>
      <c r="E851" s="24"/>
      <c r="F851" s="117"/>
      <c r="G851" s="117"/>
      <c r="H851" s="24"/>
      <c r="I851" s="24"/>
      <c r="J851" s="24"/>
      <c r="K851" s="24"/>
      <c r="L851" s="24"/>
      <c r="M851" s="24"/>
      <c r="N851" s="24"/>
      <c r="O851" s="24"/>
      <c r="P851" s="24"/>
      <c r="Q851" s="24"/>
      <c r="R851" s="24"/>
      <c r="S851" s="24"/>
      <c r="T851" s="24"/>
      <c r="U851" s="24"/>
      <c r="V851" s="24"/>
      <c r="W851" s="24"/>
      <c r="X851" s="24"/>
      <c r="Y851" s="24"/>
      <c r="Z851" s="24"/>
      <c r="AA851" s="24"/>
      <c r="AB851" s="24"/>
      <c r="AC851" s="24"/>
    </row>
    <row r="852" spans="1:29" ht="12.9">
      <c r="A852" s="24"/>
      <c r="B852" s="24"/>
      <c r="C852" s="24"/>
      <c r="D852" s="24"/>
      <c r="E852" s="24"/>
      <c r="F852" s="117"/>
      <c r="G852" s="117"/>
      <c r="H852" s="24"/>
      <c r="I852" s="24"/>
      <c r="J852" s="24"/>
      <c r="K852" s="24"/>
      <c r="L852" s="24"/>
      <c r="M852" s="24"/>
      <c r="N852" s="24"/>
      <c r="O852" s="24"/>
      <c r="P852" s="24"/>
      <c r="Q852" s="24"/>
      <c r="R852" s="24"/>
      <c r="S852" s="24"/>
      <c r="T852" s="24"/>
      <c r="U852" s="24"/>
      <c r="V852" s="24"/>
      <c r="W852" s="24"/>
      <c r="X852" s="24"/>
      <c r="Y852" s="24"/>
      <c r="Z852" s="24"/>
      <c r="AA852" s="24"/>
      <c r="AB852" s="24"/>
      <c r="AC852" s="24"/>
    </row>
    <row r="853" spans="1:29" ht="12.9">
      <c r="A853" s="24"/>
      <c r="B853" s="24"/>
      <c r="C853" s="24"/>
      <c r="D853" s="24"/>
      <c r="E853" s="24"/>
      <c r="F853" s="117"/>
      <c r="G853" s="117"/>
      <c r="H853" s="24"/>
      <c r="I853" s="24"/>
      <c r="J853" s="24"/>
      <c r="K853" s="24"/>
      <c r="L853" s="24"/>
      <c r="M853" s="24"/>
      <c r="N853" s="24"/>
      <c r="O853" s="24"/>
      <c r="P853" s="24"/>
      <c r="Q853" s="24"/>
      <c r="R853" s="24"/>
      <c r="S853" s="24"/>
      <c r="T853" s="24"/>
      <c r="U853" s="24"/>
      <c r="V853" s="24"/>
      <c r="W853" s="24"/>
      <c r="X853" s="24"/>
      <c r="Y853" s="24"/>
      <c r="Z853" s="24"/>
      <c r="AA853" s="24"/>
      <c r="AB853" s="24"/>
      <c r="AC853" s="24"/>
    </row>
    <row r="854" spans="1:29" ht="12.9">
      <c r="A854" s="24"/>
      <c r="B854" s="24"/>
      <c r="C854" s="24"/>
      <c r="D854" s="24"/>
      <c r="E854" s="24"/>
      <c r="F854" s="117"/>
      <c r="G854" s="117"/>
      <c r="H854" s="24"/>
      <c r="I854" s="24"/>
      <c r="J854" s="24"/>
      <c r="K854" s="24"/>
      <c r="L854" s="24"/>
      <c r="M854" s="24"/>
      <c r="N854" s="24"/>
      <c r="O854" s="24"/>
      <c r="P854" s="24"/>
      <c r="Q854" s="24"/>
      <c r="R854" s="24"/>
      <c r="S854" s="24"/>
      <c r="T854" s="24"/>
      <c r="U854" s="24"/>
      <c r="V854" s="24"/>
      <c r="W854" s="24"/>
      <c r="X854" s="24"/>
      <c r="Y854" s="24"/>
      <c r="Z854" s="24"/>
      <c r="AA854" s="24"/>
      <c r="AB854" s="24"/>
      <c r="AC854" s="24"/>
    </row>
    <row r="855" spans="1:29" ht="12.9">
      <c r="A855" s="24"/>
      <c r="B855" s="24"/>
      <c r="C855" s="24"/>
      <c r="D855" s="24"/>
      <c r="E855" s="24"/>
      <c r="F855" s="117"/>
      <c r="G855" s="117"/>
      <c r="H855" s="24"/>
      <c r="I855" s="24"/>
      <c r="J855" s="24"/>
      <c r="K855" s="24"/>
      <c r="L855" s="24"/>
      <c r="M855" s="24"/>
      <c r="N855" s="24"/>
      <c r="O855" s="24"/>
      <c r="P855" s="24"/>
      <c r="Q855" s="24"/>
      <c r="R855" s="24"/>
      <c r="S855" s="24"/>
      <c r="T855" s="24"/>
      <c r="U855" s="24"/>
      <c r="V855" s="24"/>
      <c r="W855" s="24"/>
      <c r="X855" s="24"/>
      <c r="Y855" s="24"/>
      <c r="Z855" s="24"/>
      <c r="AA855" s="24"/>
      <c r="AB855" s="24"/>
      <c r="AC855" s="24"/>
    </row>
    <row r="856" spans="1:29" ht="12.9">
      <c r="A856" s="24"/>
      <c r="B856" s="24"/>
      <c r="C856" s="24"/>
      <c r="D856" s="24"/>
      <c r="E856" s="24"/>
      <c r="F856" s="117"/>
      <c r="G856" s="117"/>
      <c r="H856" s="24"/>
      <c r="I856" s="24"/>
      <c r="J856" s="24"/>
      <c r="K856" s="24"/>
      <c r="L856" s="24"/>
      <c r="M856" s="24"/>
      <c r="N856" s="24"/>
      <c r="O856" s="24"/>
      <c r="P856" s="24"/>
      <c r="Q856" s="24"/>
      <c r="R856" s="24"/>
      <c r="S856" s="24"/>
      <c r="T856" s="24"/>
      <c r="U856" s="24"/>
      <c r="V856" s="24"/>
      <c r="W856" s="24"/>
      <c r="X856" s="24"/>
      <c r="Y856" s="24"/>
      <c r="Z856" s="24"/>
      <c r="AA856" s="24"/>
      <c r="AB856" s="24"/>
      <c r="AC856" s="24"/>
    </row>
    <row r="857" spans="1:29" ht="12.9">
      <c r="A857" s="24"/>
      <c r="B857" s="24"/>
      <c r="C857" s="24"/>
      <c r="D857" s="24"/>
      <c r="E857" s="24"/>
      <c r="F857" s="117"/>
      <c r="G857" s="117"/>
      <c r="H857" s="24"/>
      <c r="I857" s="24"/>
      <c r="J857" s="24"/>
      <c r="K857" s="24"/>
      <c r="L857" s="24"/>
      <c r="M857" s="24"/>
      <c r="N857" s="24"/>
      <c r="O857" s="24"/>
      <c r="P857" s="24"/>
      <c r="Q857" s="24"/>
      <c r="R857" s="24"/>
      <c r="S857" s="24"/>
      <c r="T857" s="24"/>
      <c r="U857" s="24"/>
      <c r="V857" s="24"/>
      <c r="W857" s="24"/>
      <c r="X857" s="24"/>
      <c r="Y857" s="24"/>
      <c r="Z857" s="24"/>
      <c r="AA857" s="24"/>
      <c r="AB857" s="24"/>
      <c r="AC857" s="24"/>
    </row>
    <row r="858" spans="1:29" ht="12.9">
      <c r="A858" s="24"/>
      <c r="B858" s="24"/>
      <c r="C858" s="24"/>
      <c r="D858" s="24"/>
      <c r="E858" s="24"/>
      <c r="F858" s="117"/>
      <c r="G858" s="117"/>
      <c r="H858" s="24"/>
      <c r="I858" s="24"/>
      <c r="J858" s="24"/>
      <c r="K858" s="24"/>
      <c r="L858" s="24"/>
      <c r="M858" s="24"/>
      <c r="N858" s="24"/>
      <c r="O858" s="24"/>
      <c r="P858" s="24"/>
      <c r="Q858" s="24"/>
      <c r="R858" s="24"/>
      <c r="S858" s="24"/>
      <c r="T858" s="24"/>
      <c r="U858" s="24"/>
      <c r="V858" s="24"/>
      <c r="W858" s="24"/>
      <c r="X858" s="24"/>
      <c r="Y858" s="24"/>
      <c r="Z858" s="24"/>
      <c r="AA858" s="24"/>
      <c r="AB858" s="24"/>
      <c r="AC858" s="24"/>
    </row>
    <row r="859" spans="1:29" ht="12.9">
      <c r="A859" s="24"/>
      <c r="B859" s="24"/>
      <c r="C859" s="24"/>
      <c r="D859" s="24"/>
      <c r="E859" s="24"/>
      <c r="F859" s="117"/>
      <c r="G859" s="117"/>
      <c r="H859" s="24"/>
      <c r="I859" s="24"/>
      <c r="J859" s="24"/>
      <c r="K859" s="24"/>
      <c r="L859" s="24"/>
      <c r="M859" s="24"/>
      <c r="N859" s="24"/>
      <c r="O859" s="24"/>
      <c r="P859" s="24"/>
      <c r="Q859" s="24"/>
      <c r="R859" s="24"/>
      <c r="S859" s="24"/>
      <c r="T859" s="24"/>
      <c r="U859" s="24"/>
      <c r="V859" s="24"/>
      <c r="W859" s="24"/>
      <c r="X859" s="24"/>
      <c r="Y859" s="24"/>
      <c r="Z859" s="24"/>
      <c r="AA859" s="24"/>
      <c r="AB859" s="24"/>
      <c r="AC859" s="24"/>
    </row>
    <row r="860" spans="1:29" ht="12.9">
      <c r="A860" s="24"/>
      <c r="B860" s="24"/>
      <c r="C860" s="24"/>
      <c r="D860" s="24"/>
      <c r="E860" s="24"/>
      <c r="F860" s="117"/>
      <c r="G860" s="117"/>
      <c r="H860" s="24"/>
      <c r="I860" s="24"/>
      <c r="J860" s="24"/>
      <c r="K860" s="24"/>
      <c r="L860" s="24"/>
      <c r="M860" s="24"/>
      <c r="N860" s="24"/>
      <c r="O860" s="24"/>
      <c r="P860" s="24"/>
      <c r="Q860" s="24"/>
      <c r="R860" s="24"/>
      <c r="S860" s="24"/>
      <c r="T860" s="24"/>
      <c r="U860" s="24"/>
      <c r="V860" s="24"/>
      <c r="W860" s="24"/>
      <c r="X860" s="24"/>
      <c r="Y860" s="24"/>
      <c r="Z860" s="24"/>
      <c r="AA860" s="24"/>
      <c r="AB860" s="24"/>
      <c r="AC860" s="24"/>
    </row>
    <row r="861" spans="1:29" ht="12.9">
      <c r="A861" s="24"/>
      <c r="B861" s="24"/>
      <c r="C861" s="24"/>
      <c r="D861" s="24"/>
      <c r="E861" s="24"/>
      <c r="F861" s="117"/>
      <c r="G861" s="117"/>
      <c r="H861" s="24"/>
      <c r="I861" s="24"/>
      <c r="J861" s="24"/>
      <c r="K861" s="24"/>
      <c r="L861" s="24"/>
      <c r="M861" s="24"/>
      <c r="N861" s="24"/>
      <c r="O861" s="24"/>
      <c r="P861" s="24"/>
      <c r="Q861" s="24"/>
      <c r="R861" s="24"/>
      <c r="S861" s="24"/>
      <c r="T861" s="24"/>
      <c r="U861" s="24"/>
      <c r="V861" s="24"/>
      <c r="W861" s="24"/>
      <c r="X861" s="24"/>
      <c r="Y861" s="24"/>
      <c r="Z861" s="24"/>
      <c r="AA861" s="24"/>
      <c r="AB861" s="24"/>
      <c r="AC861" s="24"/>
    </row>
    <row r="862" spans="1:29" ht="12.9">
      <c r="A862" s="24"/>
      <c r="B862" s="24"/>
      <c r="C862" s="24"/>
      <c r="D862" s="24"/>
      <c r="E862" s="24"/>
      <c r="F862" s="117"/>
      <c r="G862" s="117"/>
      <c r="H862" s="24"/>
      <c r="I862" s="24"/>
      <c r="J862" s="24"/>
      <c r="K862" s="24"/>
      <c r="L862" s="24"/>
      <c r="M862" s="24"/>
      <c r="N862" s="24"/>
      <c r="O862" s="24"/>
      <c r="P862" s="24"/>
      <c r="Q862" s="24"/>
      <c r="R862" s="24"/>
      <c r="S862" s="24"/>
      <c r="T862" s="24"/>
      <c r="U862" s="24"/>
      <c r="V862" s="24"/>
      <c r="W862" s="24"/>
      <c r="X862" s="24"/>
      <c r="Y862" s="24"/>
      <c r="Z862" s="24"/>
      <c r="AA862" s="24"/>
      <c r="AB862" s="24"/>
      <c r="AC862" s="24"/>
    </row>
    <row r="863" spans="1:29" ht="12.9">
      <c r="A863" s="24"/>
      <c r="B863" s="24"/>
      <c r="C863" s="24"/>
      <c r="D863" s="24"/>
      <c r="E863" s="24"/>
      <c r="F863" s="117"/>
      <c r="G863" s="117"/>
      <c r="H863" s="24"/>
      <c r="I863" s="24"/>
      <c r="J863" s="24"/>
      <c r="K863" s="24"/>
      <c r="L863" s="24"/>
      <c r="M863" s="24"/>
      <c r="N863" s="24"/>
      <c r="O863" s="24"/>
      <c r="P863" s="24"/>
      <c r="Q863" s="24"/>
      <c r="R863" s="24"/>
      <c r="S863" s="24"/>
      <c r="T863" s="24"/>
      <c r="U863" s="24"/>
      <c r="V863" s="24"/>
      <c r="W863" s="24"/>
      <c r="X863" s="24"/>
      <c r="Y863" s="24"/>
      <c r="Z863" s="24"/>
      <c r="AA863" s="24"/>
      <c r="AB863" s="24"/>
      <c r="AC863" s="24"/>
    </row>
    <row r="864" spans="1:29" ht="12.9">
      <c r="A864" s="24"/>
      <c r="B864" s="24"/>
      <c r="C864" s="24"/>
      <c r="D864" s="24"/>
      <c r="E864" s="24"/>
      <c r="F864" s="117"/>
      <c r="G864" s="117"/>
      <c r="H864" s="24"/>
      <c r="I864" s="24"/>
      <c r="J864" s="24"/>
      <c r="K864" s="24"/>
      <c r="L864" s="24"/>
      <c r="M864" s="24"/>
      <c r="N864" s="24"/>
      <c r="O864" s="24"/>
      <c r="P864" s="24"/>
      <c r="Q864" s="24"/>
      <c r="R864" s="24"/>
      <c r="S864" s="24"/>
      <c r="T864" s="24"/>
      <c r="U864" s="24"/>
      <c r="V864" s="24"/>
      <c r="W864" s="24"/>
      <c r="X864" s="24"/>
      <c r="Y864" s="24"/>
      <c r="Z864" s="24"/>
      <c r="AA864" s="24"/>
      <c r="AB864" s="24"/>
      <c r="AC864" s="24"/>
    </row>
    <row r="865" spans="1:29" ht="12.9">
      <c r="A865" s="24"/>
      <c r="B865" s="24"/>
      <c r="C865" s="24"/>
      <c r="D865" s="24"/>
      <c r="E865" s="24"/>
      <c r="F865" s="117"/>
      <c r="G865" s="117"/>
      <c r="H865" s="24"/>
      <c r="I865" s="24"/>
      <c r="J865" s="24"/>
      <c r="K865" s="24"/>
      <c r="L865" s="24"/>
      <c r="M865" s="24"/>
      <c r="N865" s="24"/>
      <c r="O865" s="24"/>
      <c r="P865" s="24"/>
      <c r="Q865" s="24"/>
      <c r="R865" s="24"/>
      <c r="S865" s="24"/>
      <c r="T865" s="24"/>
      <c r="U865" s="24"/>
      <c r="V865" s="24"/>
      <c r="W865" s="24"/>
      <c r="X865" s="24"/>
      <c r="Y865" s="24"/>
      <c r="Z865" s="24"/>
      <c r="AA865" s="24"/>
      <c r="AB865" s="24"/>
      <c r="AC865" s="24"/>
    </row>
    <row r="866" spans="1:29" ht="12.9">
      <c r="A866" s="24"/>
      <c r="B866" s="24"/>
      <c r="C866" s="24"/>
      <c r="D866" s="24"/>
      <c r="E866" s="24"/>
      <c r="F866" s="117"/>
      <c r="G866" s="117"/>
      <c r="H866" s="24"/>
      <c r="I866" s="24"/>
      <c r="J866" s="24"/>
      <c r="K866" s="24"/>
      <c r="L866" s="24"/>
      <c r="M866" s="24"/>
      <c r="N866" s="24"/>
      <c r="O866" s="24"/>
      <c r="P866" s="24"/>
      <c r="Q866" s="24"/>
      <c r="R866" s="24"/>
      <c r="S866" s="24"/>
      <c r="T866" s="24"/>
      <c r="U866" s="24"/>
      <c r="V866" s="24"/>
      <c r="W866" s="24"/>
      <c r="X866" s="24"/>
      <c r="Y866" s="24"/>
      <c r="Z866" s="24"/>
      <c r="AA866" s="24"/>
      <c r="AB866" s="24"/>
      <c r="AC866" s="24"/>
    </row>
    <row r="867" spans="1:29" ht="12.9">
      <c r="A867" s="24"/>
      <c r="B867" s="24"/>
      <c r="C867" s="24"/>
      <c r="D867" s="24"/>
      <c r="E867" s="24"/>
      <c r="F867" s="117"/>
      <c r="G867" s="117"/>
      <c r="H867" s="24"/>
      <c r="I867" s="24"/>
      <c r="J867" s="24"/>
      <c r="K867" s="24"/>
      <c r="L867" s="24"/>
      <c r="M867" s="24"/>
      <c r="N867" s="24"/>
      <c r="O867" s="24"/>
      <c r="P867" s="24"/>
      <c r="Q867" s="24"/>
      <c r="R867" s="24"/>
      <c r="S867" s="24"/>
      <c r="T867" s="24"/>
      <c r="U867" s="24"/>
      <c r="V867" s="24"/>
      <c r="W867" s="24"/>
      <c r="X867" s="24"/>
      <c r="Y867" s="24"/>
      <c r="Z867" s="24"/>
      <c r="AA867" s="24"/>
      <c r="AB867" s="24"/>
      <c r="AC867" s="24"/>
    </row>
    <row r="868" spans="1:29" ht="12.9">
      <c r="A868" s="24"/>
      <c r="B868" s="24"/>
      <c r="C868" s="24"/>
      <c r="D868" s="24"/>
      <c r="E868" s="24"/>
      <c r="F868" s="117"/>
      <c r="G868" s="117"/>
      <c r="H868" s="24"/>
      <c r="I868" s="24"/>
      <c r="J868" s="24"/>
      <c r="K868" s="24"/>
      <c r="L868" s="24"/>
      <c r="M868" s="24"/>
      <c r="N868" s="24"/>
      <c r="O868" s="24"/>
      <c r="P868" s="24"/>
      <c r="Q868" s="24"/>
      <c r="R868" s="24"/>
      <c r="S868" s="24"/>
      <c r="T868" s="24"/>
      <c r="U868" s="24"/>
      <c r="V868" s="24"/>
      <c r="W868" s="24"/>
      <c r="X868" s="24"/>
      <c r="Y868" s="24"/>
      <c r="Z868" s="24"/>
      <c r="AA868" s="24"/>
      <c r="AB868" s="24"/>
      <c r="AC868" s="24"/>
    </row>
    <row r="869" spans="1:29" ht="12.9">
      <c r="A869" s="24"/>
      <c r="B869" s="24"/>
      <c r="C869" s="24"/>
      <c r="D869" s="24"/>
      <c r="E869" s="24"/>
      <c r="F869" s="117"/>
      <c r="G869" s="117"/>
      <c r="H869" s="24"/>
      <c r="I869" s="24"/>
      <c r="J869" s="24"/>
      <c r="K869" s="24"/>
      <c r="L869" s="24"/>
      <c r="M869" s="24"/>
      <c r="N869" s="24"/>
      <c r="O869" s="24"/>
      <c r="P869" s="24"/>
      <c r="Q869" s="24"/>
      <c r="R869" s="24"/>
      <c r="S869" s="24"/>
      <c r="T869" s="24"/>
      <c r="U869" s="24"/>
      <c r="V869" s="24"/>
      <c r="W869" s="24"/>
      <c r="X869" s="24"/>
      <c r="Y869" s="24"/>
      <c r="Z869" s="24"/>
      <c r="AA869" s="24"/>
      <c r="AB869" s="24"/>
      <c r="AC869" s="24"/>
    </row>
    <row r="870" spans="1:29" ht="12.9">
      <c r="A870" s="24"/>
      <c r="B870" s="24"/>
      <c r="C870" s="24"/>
      <c r="D870" s="24"/>
      <c r="E870" s="24"/>
      <c r="F870" s="117"/>
      <c r="G870" s="117"/>
      <c r="H870" s="24"/>
      <c r="I870" s="24"/>
      <c r="J870" s="24"/>
      <c r="K870" s="24"/>
      <c r="L870" s="24"/>
      <c r="M870" s="24"/>
      <c r="N870" s="24"/>
      <c r="O870" s="24"/>
      <c r="P870" s="24"/>
      <c r="Q870" s="24"/>
      <c r="R870" s="24"/>
      <c r="S870" s="24"/>
      <c r="T870" s="24"/>
      <c r="U870" s="24"/>
      <c r="V870" s="24"/>
      <c r="W870" s="24"/>
      <c r="X870" s="24"/>
      <c r="Y870" s="24"/>
      <c r="Z870" s="24"/>
      <c r="AA870" s="24"/>
      <c r="AB870" s="24"/>
      <c r="AC870" s="24"/>
    </row>
    <row r="871" spans="1:29" ht="12.9">
      <c r="A871" s="24"/>
      <c r="B871" s="24"/>
      <c r="C871" s="24"/>
      <c r="D871" s="24"/>
      <c r="E871" s="24"/>
      <c r="F871" s="117"/>
      <c r="G871" s="117"/>
      <c r="H871" s="24"/>
      <c r="I871" s="24"/>
      <c r="J871" s="24"/>
      <c r="K871" s="24"/>
      <c r="L871" s="24"/>
      <c r="M871" s="24"/>
      <c r="N871" s="24"/>
      <c r="O871" s="24"/>
      <c r="P871" s="24"/>
      <c r="Q871" s="24"/>
      <c r="R871" s="24"/>
      <c r="S871" s="24"/>
      <c r="T871" s="24"/>
      <c r="U871" s="24"/>
      <c r="V871" s="24"/>
      <c r="W871" s="24"/>
      <c r="X871" s="24"/>
      <c r="Y871" s="24"/>
      <c r="Z871" s="24"/>
      <c r="AA871" s="24"/>
      <c r="AB871" s="24"/>
      <c r="AC871" s="24"/>
    </row>
    <row r="872" spans="1:29" ht="12.9">
      <c r="A872" s="24"/>
      <c r="B872" s="24"/>
      <c r="C872" s="24"/>
      <c r="D872" s="24"/>
      <c r="E872" s="24"/>
      <c r="F872" s="117"/>
      <c r="G872" s="117"/>
      <c r="H872" s="24"/>
      <c r="I872" s="24"/>
      <c r="J872" s="24"/>
      <c r="K872" s="24"/>
      <c r="L872" s="24"/>
      <c r="M872" s="24"/>
      <c r="N872" s="24"/>
      <c r="O872" s="24"/>
      <c r="P872" s="24"/>
      <c r="Q872" s="24"/>
      <c r="R872" s="24"/>
      <c r="S872" s="24"/>
      <c r="T872" s="24"/>
      <c r="U872" s="24"/>
      <c r="V872" s="24"/>
      <c r="W872" s="24"/>
      <c r="X872" s="24"/>
      <c r="Y872" s="24"/>
      <c r="Z872" s="24"/>
      <c r="AA872" s="24"/>
      <c r="AB872" s="24"/>
      <c r="AC872" s="24"/>
    </row>
    <row r="873" spans="1:29" ht="12.9">
      <c r="A873" s="24"/>
      <c r="B873" s="24"/>
      <c r="C873" s="24"/>
      <c r="D873" s="24"/>
      <c r="E873" s="24"/>
      <c r="F873" s="117"/>
      <c r="G873" s="117"/>
      <c r="H873" s="24"/>
      <c r="I873" s="24"/>
      <c r="J873" s="24"/>
      <c r="K873" s="24"/>
      <c r="L873" s="24"/>
      <c r="M873" s="24"/>
      <c r="N873" s="24"/>
      <c r="O873" s="24"/>
      <c r="P873" s="24"/>
      <c r="Q873" s="24"/>
      <c r="R873" s="24"/>
      <c r="S873" s="24"/>
      <c r="T873" s="24"/>
      <c r="U873" s="24"/>
      <c r="V873" s="24"/>
      <c r="W873" s="24"/>
      <c r="X873" s="24"/>
      <c r="Y873" s="24"/>
      <c r="Z873" s="24"/>
      <c r="AA873" s="24"/>
      <c r="AB873" s="24"/>
      <c r="AC873" s="24"/>
    </row>
    <row r="874" spans="1:29" ht="12.9">
      <c r="A874" s="24"/>
      <c r="B874" s="24"/>
      <c r="C874" s="24"/>
      <c r="D874" s="24"/>
      <c r="E874" s="24"/>
      <c r="F874" s="117"/>
      <c r="G874" s="117"/>
      <c r="H874" s="24"/>
      <c r="I874" s="24"/>
      <c r="J874" s="24"/>
      <c r="K874" s="24"/>
      <c r="L874" s="24"/>
      <c r="M874" s="24"/>
      <c r="N874" s="24"/>
      <c r="O874" s="24"/>
      <c r="P874" s="24"/>
      <c r="Q874" s="24"/>
      <c r="R874" s="24"/>
      <c r="S874" s="24"/>
      <c r="T874" s="24"/>
      <c r="U874" s="24"/>
      <c r="V874" s="24"/>
      <c r="W874" s="24"/>
      <c r="X874" s="24"/>
      <c r="Y874" s="24"/>
      <c r="Z874" s="24"/>
      <c r="AA874" s="24"/>
      <c r="AB874" s="24"/>
      <c r="AC874" s="24"/>
    </row>
    <row r="875" spans="1:29" ht="12.9">
      <c r="A875" s="24"/>
      <c r="B875" s="24"/>
      <c r="C875" s="24"/>
      <c r="D875" s="24"/>
      <c r="E875" s="24"/>
      <c r="F875" s="117"/>
      <c r="G875" s="117"/>
      <c r="H875" s="24"/>
      <c r="I875" s="24"/>
      <c r="J875" s="24"/>
      <c r="K875" s="24"/>
      <c r="L875" s="24"/>
      <c r="M875" s="24"/>
      <c r="N875" s="24"/>
      <c r="O875" s="24"/>
      <c r="P875" s="24"/>
      <c r="Q875" s="24"/>
      <c r="R875" s="24"/>
      <c r="S875" s="24"/>
      <c r="T875" s="24"/>
      <c r="U875" s="24"/>
      <c r="V875" s="24"/>
      <c r="W875" s="24"/>
      <c r="X875" s="24"/>
      <c r="Y875" s="24"/>
      <c r="Z875" s="24"/>
      <c r="AA875" s="24"/>
      <c r="AB875" s="24"/>
      <c r="AC875" s="24"/>
    </row>
    <row r="876" spans="1:29" ht="12.9">
      <c r="A876" s="24"/>
      <c r="B876" s="24"/>
      <c r="C876" s="24"/>
      <c r="D876" s="24"/>
      <c r="E876" s="24"/>
      <c r="F876" s="117"/>
      <c r="G876" s="117"/>
      <c r="H876" s="24"/>
      <c r="I876" s="24"/>
      <c r="J876" s="24"/>
      <c r="K876" s="24"/>
      <c r="L876" s="24"/>
      <c r="M876" s="24"/>
      <c r="N876" s="24"/>
      <c r="O876" s="24"/>
      <c r="P876" s="24"/>
      <c r="Q876" s="24"/>
      <c r="R876" s="24"/>
      <c r="S876" s="24"/>
      <c r="T876" s="24"/>
      <c r="U876" s="24"/>
      <c r="V876" s="24"/>
      <c r="W876" s="24"/>
      <c r="X876" s="24"/>
      <c r="Y876" s="24"/>
      <c r="Z876" s="24"/>
      <c r="AA876" s="24"/>
      <c r="AB876" s="24"/>
      <c r="AC876" s="24"/>
    </row>
    <row r="877" spans="1:29" ht="12.9">
      <c r="A877" s="24"/>
      <c r="B877" s="24"/>
      <c r="C877" s="24"/>
      <c r="D877" s="24"/>
      <c r="E877" s="24"/>
      <c r="F877" s="117"/>
      <c r="G877" s="117"/>
      <c r="H877" s="24"/>
      <c r="I877" s="24"/>
      <c r="J877" s="24"/>
      <c r="K877" s="24"/>
      <c r="L877" s="24"/>
      <c r="M877" s="24"/>
      <c r="N877" s="24"/>
      <c r="O877" s="24"/>
      <c r="P877" s="24"/>
      <c r="Q877" s="24"/>
      <c r="R877" s="24"/>
      <c r="S877" s="24"/>
      <c r="T877" s="24"/>
      <c r="U877" s="24"/>
      <c r="V877" s="24"/>
      <c r="W877" s="24"/>
      <c r="X877" s="24"/>
      <c r="Y877" s="24"/>
      <c r="Z877" s="24"/>
      <c r="AA877" s="24"/>
      <c r="AB877" s="24"/>
      <c r="AC877" s="24"/>
    </row>
    <row r="878" spans="1:29" ht="12.9">
      <c r="A878" s="24"/>
      <c r="B878" s="24"/>
      <c r="C878" s="24"/>
      <c r="D878" s="24"/>
      <c r="E878" s="24"/>
      <c r="F878" s="117"/>
      <c r="G878" s="117"/>
      <c r="H878" s="24"/>
      <c r="I878" s="24"/>
      <c r="J878" s="24"/>
      <c r="K878" s="24"/>
      <c r="L878" s="24"/>
      <c r="M878" s="24"/>
      <c r="N878" s="24"/>
      <c r="O878" s="24"/>
      <c r="P878" s="24"/>
      <c r="Q878" s="24"/>
      <c r="R878" s="24"/>
      <c r="S878" s="24"/>
      <c r="T878" s="24"/>
      <c r="U878" s="24"/>
      <c r="V878" s="24"/>
      <c r="W878" s="24"/>
      <c r="X878" s="24"/>
      <c r="Y878" s="24"/>
      <c r="Z878" s="24"/>
      <c r="AA878" s="24"/>
      <c r="AB878" s="24"/>
      <c r="AC878" s="24"/>
    </row>
    <row r="879" spans="1:29" ht="12.9">
      <c r="A879" s="24"/>
      <c r="B879" s="24"/>
      <c r="C879" s="24"/>
      <c r="D879" s="24"/>
      <c r="E879" s="24"/>
      <c r="F879" s="117"/>
      <c r="G879" s="117"/>
      <c r="H879" s="24"/>
      <c r="I879" s="24"/>
      <c r="J879" s="24"/>
      <c r="K879" s="24"/>
      <c r="L879" s="24"/>
      <c r="M879" s="24"/>
      <c r="N879" s="24"/>
      <c r="O879" s="24"/>
      <c r="P879" s="24"/>
      <c r="Q879" s="24"/>
      <c r="R879" s="24"/>
      <c r="S879" s="24"/>
      <c r="T879" s="24"/>
      <c r="U879" s="24"/>
      <c r="V879" s="24"/>
      <c r="W879" s="24"/>
      <c r="X879" s="24"/>
      <c r="Y879" s="24"/>
      <c r="Z879" s="24"/>
      <c r="AA879" s="24"/>
      <c r="AB879" s="24"/>
      <c r="AC879" s="24"/>
    </row>
    <row r="880" spans="1:29" ht="12.9">
      <c r="A880" s="24"/>
      <c r="B880" s="24"/>
      <c r="C880" s="24"/>
      <c r="D880" s="24"/>
      <c r="E880" s="24"/>
      <c r="F880" s="117"/>
      <c r="G880" s="117"/>
      <c r="H880" s="24"/>
      <c r="I880" s="24"/>
      <c r="J880" s="24"/>
      <c r="K880" s="24"/>
      <c r="L880" s="24"/>
      <c r="M880" s="24"/>
      <c r="N880" s="24"/>
      <c r="O880" s="24"/>
      <c r="P880" s="24"/>
      <c r="Q880" s="24"/>
      <c r="R880" s="24"/>
      <c r="S880" s="24"/>
      <c r="T880" s="24"/>
      <c r="U880" s="24"/>
      <c r="V880" s="24"/>
      <c r="W880" s="24"/>
      <c r="X880" s="24"/>
      <c r="Y880" s="24"/>
      <c r="Z880" s="24"/>
      <c r="AA880" s="24"/>
      <c r="AB880" s="24"/>
      <c r="AC880" s="24"/>
    </row>
    <row r="881" spans="1:29" ht="12.9">
      <c r="A881" s="24"/>
      <c r="B881" s="24"/>
      <c r="C881" s="24"/>
      <c r="D881" s="24"/>
      <c r="E881" s="24"/>
      <c r="F881" s="117"/>
      <c r="G881" s="117"/>
      <c r="H881" s="24"/>
      <c r="I881" s="24"/>
      <c r="J881" s="24"/>
      <c r="K881" s="24"/>
      <c r="L881" s="24"/>
      <c r="M881" s="24"/>
      <c r="N881" s="24"/>
      <c r="O881" s="24"/>
      <c r="P881" s="24"/>
      <c r="Q881" s="24"/>
      <c r="R881" s="24"/>
      <c r="S881" s="24"/>
      <c r="T881" s="24"/>
      <c r="U881" s="24"/>
      <c r="V881" s="24"/>
      <c r="W881" s="24"/>
      <c r="X881" s="24"/>
      <c r="Y881" s="24"/>
      <c r="Z881" s="24"/>
      <c r="AA881" s="24"/>
      <c r="AB881" s="24"/>
      <c r="AC881" s="24"/>
    </row>
    <row r="882" spans="1:29" ht="12.9">
      <c r="A882" s="24"/>
      <c r="B882" s="24"/>
      <c r="C882" s="24"/>
      <c r="D882" s="24"/>
      <c r="E882" s="24"/>
      <c r="F882" s="117"/>
      <c r="G882" s="117"/>
      <c r="H882" s="24"/>
      <c r="I882" s="24"/>
      <c r="J882" s="24"/>
      <c r="K882" s="24"/>
      <c r="L882" s="24"/>
      <c r="M882" s="24"/>
      <c r="N882" s="24"/>
      <c r="O882" s="24"/>
      <c r="P882" s="24"/>
      <c r="Q882" s="24"/>
      <c r="R882" s="24"/>
      <c r="S882" s="24"/>
      <c r="T882" s="24"/>
      <c r="U882" s="24"/>
      <c r="V882" s="24"/>
      <c r="W882" s="24"/>
      <c r="X882" s="24"/>
      <c r="Y882" s="24"/>
      <c r="Z882" s="24"/>
      <c r="AA882" s="24"/>
      <c r="AB882" s="24"/>
      <c r="AC882" s="24"/>
    </row>
    <row r="883" spans="1:29" ht="12.9">
      <c r="A883" s="24"/>
      <c r="B883" s="24"/>
      <c r="C883" s="24"/>
      <c r="D883" s="24"/>
      <c r="E883" s="24"/>
      <c r="F883" s="117"/>
      <c r="G883" s="117"/>
      <c r="H883" s="24"/>
      <c r="I883" s="24"/>
      <c r="J883" s="24"/>
      <c r="K883" s="24"/>
      <c r="L883" s="24"/>
      <c r="M883" s="24"/>
      <c r="N883" s="24"/>
      <c r="O883" s="24"/>
      <c r="P883" s="24"/>
      <c r="Q883" s="24"/>
      <c r="R883" s="24"/>
      <c r="S883" s="24"/>
      <c r="T883" s="24"/>
      <c r="U883" s="24"/>
      <c r="V883" s="24"/>
      <c r="W883" s="24"/>
      <c r="X883" s="24"/>
      <c r="Y883" s="24"/>
      <c r="Z883" s="24"/>
      <c r="AA883" s="24"/>
      <c r="AB883" s="24"/>
      <c r="AC883" s="24"/>
    </row>
    <row r="884" spans="1:29" ht="12.9">
      <c r="A884" s="24"/>
      <c r="B884" s="24"/>
      <c r="C884" s="24"/>
      <c r="D884" s="24"/>
      <c r="E884" s="24"/>
      <c r="F884" s="117"/>
      <c r="G884" s="117"/>
      <c r="H884" s="24"/>
      <c r="I884" s="24"/>
      <c r="J884" s="24"/>
      <c r="K884" s="24"/>
      <c r="L884" s="24"/>
      <c r="M884" s="24"/>
      <c r="N884" s="24"/>
      <c r="O884" s="24"/>
      <c r="P884" s="24"/>
      <c r="Q884" s="24"/>
      <c r="R884" s="24"/>
      <c r="S884" s="24"/>
      <c r="T884" s="24"/>
      <c r="U884" s="24"/>
      <c r="V884" s="24"/>
      <c r="W884" s="24"/>
      <c r="X884" s="24"/>
      <c r="Y884" s="24"/>
      <c r="Z884" s="24"/>
      <c r="AA884" s="24"/>
      <c r="AB884" s="24"/>
      <c r="AC884" s="24"/>
    </row>
    <row r="885" spans="1:29" ht="12.9">
      <c r="A885" s="24"/>
      <c r="B885" s="24"/>
      <c r="C885" s="24"/>
      <c r="D885" s="24"/>
      <c r="E885" s="24"/>
      <c r="F885" s="117"/>
      <c r="G885" s="117"/>
      <c r="H885" s="24"/>
      <c r="I885" s="24"/>
      <c r="J885" s="24"/>
      <c r="K885" s="24"/>
      <c r="L885" s="24"/>
      <c r="M885" s="24"/>
      <c r="N885" s="24"/>
      <c r="O885" s="24"/>
      <c r="P885" s="24"/>
      <c r="Q885" s="24"/>
      <c r="R885" s="24"/>
      <c r="S885" s="24"/>
      <c r="T885" s="24"/>
      <c r="U885" s="24"/>
      <c r="V885" s="24"/>
      <c r="W885" s="24"/>
      <c r="X885" s="24"/>
      <c r="Y885" s="24"/>
      <c r="Z885" s="24"/>
      <c r="AA885" s="24"/>
      <c r="AB885" s="24"/>
      <c r="AC885" s="24"/>
    </row>
    <row r="886" spans="1:29" ht="12.9">
      <c r="A886" s="24"/>
      <c r="B886" s="24"/>
      <c r="C886" s="24"/>
      <c r="D886" s="24"/>
      <c r="E886" s="24"/>
      <c r="F886" s="117"/>
      <c r="G886" s="117"/>
      <c r="H886" s="24"/>
      <c r="I886" s="24"/>
      <c r="J886" s="24"/>
      <c r="K886" s="24"/>
      <c r="L886" s="24"/>
      <c r="M886" s="24"/>
      <c r="N886" s="24"/>
      <c r="O886" s="24"/>
      <c r="P886" s="24"/>
      <c r="Q886" s="24"/>
      <c r="R886" s="24"/>
      <c r="S886" s="24"/>
      <c r="T886" s="24"/>
      <c r="U886" s="24"/>
      <c r="V886" s="24"/>
      <c r="W886" s="24"/>
      <c r="X886" s="24"/>
      <c r="Y886" s="24"/>
      <c r="Z886" s="24"/>
      <c r="AA886" s="24"/>
      <c r="AB886" s="24"/>
      <c r="AC886" s="24"/>
    </row>
    <row r="887" spans="1:29" ht="12.9">
      <c r="A887" s="24"/>
      <c r="B887" s="24"/>
      <c r="C887" s="24"/>
      <c r="D887" s="24"/>
      <c r="E887" s="24"/>
      <c r="F887" s="117"/>
      <c r="G887" s="117"/>
      <c r="H887" s="24"/>
      <c r="I887" s="24"/>
      <c r="J887" s="24"/>
      <c r="K887" s="24"/>
      <c r="L887" s="24"/>
      <c r="M887" s="24"/>
      <c r="N887" s="24"/>
      <c r="O887" s="24"/>
      <c r="P887" s="24"/>
      <c r="Q887" s="24"/>
      <c r="R887" s="24"/>
      <c r="S887" s="24"/>
      <c r="T887" s="24"/>
      <c r="U887" s="24"/>
      <c r="V887" s="24"/>
      <c r="W887" s="24"/>
      <c r="X887" s="24"/>
      <c r="Y887" s="24"/>
      <c r="Z887" s="24"/>
      <c r="AA887" s="24"/>
      <c r="AB887" s="24"/>
      <c r="AC887" s="24"/>
    </row>
    <row r="888" spans="1:29" ht="12.9">
      <c r="A888" s="24"/>
      <c r="B888" s="24"/>
      <c r="C888" s="24"/>
      <c r="D888" s="24"/>
      <c r="E888" s="24"/>
      <c r="F888" s="117"/>
      <c r="G888" s="117"/>
      <c r="H888" s="24"/>
      <c r="I888" s="24"/>
      <c r="J888" s="24"/>
      <c r="K888" s="24"/>
      <c r="L888" s="24"/>
      <c r="M888" s="24"/>
      <c r="N888" s="24"/>
      <c r="O888" s="24"/>
      <c r="P888" s="24"/>
      <c r="Q888" s="24"/>
      <c r="R888" s="24"/>
      <c r="S888" s="24"/>
      <c r="T888" s="24"/>
      <c r="U888" s="24"/>
      <c r="V888" s="24"/>
      <c r="W888" s="24"/>
      <c r="X888" s="24"/>
      <c r="Y888" s="24"/>
      <c r="Z888" s="24"/>
      <c r="AA888" s="24"/>
      <c r="AB888" s="24"/>
      <c r="AC888" s="24"/>
    </row>
    <row r="889" spans="1:29" ht="12.9">
      <c r="A889" s="24"/>
      <c r="B889" s="24"/>
      <c r="C889" s="24"/>
      <c r="D889" s="24"/>
      <c r="E889" s="24"/>
      <c r="F889" s="117"/>
      <c r="G889" s="117"/>
      <c r="H889" s="24"/>
      <c r="I889" s="24"/>
      <c r="J889" s="24"/>
      <c r="K889" s="24"/>
      <c r="L889" s="24"/>
      <c r="M889" s="24"/>
      <c r="N889" s="24"/>
      <c r="O889" s="24"/>
      <c r="P889" s="24"/>
      <c r="Q889" s="24"/>
      <c r="R889" s="24"/>
      <c r="S889" s="24"/>
      <c r="T889" s="24"/>
      <c r="U889" s="24"/>
      <c r="V889" s="24"/>
      <c r="W889" s="24"/>
      <c r="X889" s="24"/>
      <c r="Y889" s="24"/>
      <c r="Z889" s="24"/>
      <c r="AA889" s="24"/>
      <c r="AB889" s="24"/>
      <c r="AC889" s="24"/>
    </row>
    <row r="890" spans="1:29" ht="12.9">
      <c r="A890" s="24"/>
      <c r="B890" s="24"/>
      <c r="C890" s="24"/>
      <c r="D890" s="24"/>
      <c r="E890" s="24"/>
      <c r="F890" s="117"/>
      <c r="G890" s="117"/>
      <c r="H890" s="24"/>
      <c r="I890" s="24"/>
      <c r="J890" s="24"/>
      <c r="K890" s="24"/>
      <c r="L890" s="24"/>
      <c r="M890" s="24"/>
      <c r="N890" s="24"/>
      <c r="O890" s="24"/>
      <c r="P890" s="24"/>
      <c r="Q890" s="24"/>
      <c r="R890" s="24"/>
      <c r="S890" s="24"/>
      <c r="T890" s="24"/>
      <c r="U890" s="24"/>
      <c r="V890" s="24"/>
      <c r="W890" s="24"/>
      <c r="X890" s="24"/>
      <c r="Y890" s="24"/>
      <c r="Z890" s="24"/>
      <c r="AA890" s="24"/>
      <c r="AB890" s="24"/>
      <c r="AC890" s="24"/>
    </row>
    <row r="891" spans="1:29" ht="12.9">
      <c r="A891" s="24"/>
      <c r="B891" s="24"/>
      <c r="C891" s="24"/>
      <c r="D891" s="24"/>
      <c r="E891" s="24"/>
      <c r="F891" s="117"/>
      <c r="G891" s="117"/>
      <c r="H891" s="24"/>
      <c r="I891" s="24"/>
      <c r="J891" s="24"/>
      <c r="K891" s="24"/>
      <c r="L891" s="24"/>
      <c r="M891" s="24"/>
      <c r="N891" s="24"/>
      <c r="O891" s="24"/>
      <c r="P891" s="24"/>
      <c r="Q891" s="24"/>
      <c r="R891" s="24"/>
      <c r="S891" s="24"/>
      <c r="T891" s="24"/>
      <c r="U891" s="24"/>
      <c r="V891" s="24"/>
      <c r="W891" s="24"/>
      <c r="X891" s="24"/>
      <c r="Y891" s="24"/>
      <c r="Z891" s="24"/>
      <c r="AA891" s="24"/>
      <c r="AB891" s="24"/>
      <c r="AC891" s="24"/>
    </row>
    <row r="892" spans="1:29" ht="12.9">
      <c r="A892" s="24"/>
      <c r="B892" s="24"/>
      <c r="C892" s="24"/>
      <c r="D892" s="24"/>
      <c r="E892" s="24"/>
      <c r="F892" s="117"/>
      <c r="G892" s="117"/>
      <c r="H892" s="24"/>
      <c r="I892" s="24"/>
      <c r="J892" s="24"/>
      <c r="K892" s="24"/>
      <c r="L892" s="24"/>
      <c r="M892" s="24"/>
      <c r="N892" s="24"/>
      <c r="O892" s="24"/>
      <c r="P892" s="24"/>
      <c r="Q892" s="24"/>
      <c r="R892" s="24"/>
      <c r="S892" s="24"/>
      <c r="T892" s="24"/>
      <c r="U892" s="24"/>
      <c r="V892" s="24"/>
      <c r="W892" s="24"/>
      <c r="X892" s="24"/>
      <c r="Y892" s="24"/>
      <c r="Z892" s="24"/>
      <c r="AA892" s="24"/>
      <c r="AB892" s="24"/>
      <c r="AC892" s="24"/>
    </row>
    <row r="893" spans="1:29" ht="12.9">
      <c r="A893" s="24"/>
      <c r="B893" s="24"/>
      <c r="C893" s="24"/>
      <c r="D893" s="24"/>
      <c r="E893" s="24"/>
      <c r="F893" s="117"/>
      <c r="G893" s="117"/>
      <c r="H893" s="24"/>
      <c r="I893" s="24"/>
      <c r="J893" s="24"/>
      <c r="K893" s="24"/>
      <c r="L893" s="24"/>
      <c r="M893" s="24"/>
      <c r="N893" s="24"/>
      <c r="O893" s="24"/>
      <c r="P893" s="24"/>
      <c r="Q893" s="24"/>
      <c r="R893" s="24"/>
      <c r="S893" s="24"/>
      <c r="T893" s="24"/>
      <c r="U893" s="24"/>
      <c r="V893" s="24"/>
      <c r="W893" s="24"/>
      <c r="X893" s="24"/>
      <c r="Y893" s="24"/>
      <c r="Z893" s="24"/>
      <c r="AA893" s="24"/>
      <c r="AB893" s="24"/>
      <c r="AC893" s="24"/>
    </row>
    <row r="894" spans="1:29" ht="12.9">
      <c r="A894" s="24"/>
      <c r="B894" s="24"/>
      <c r="C894" s="24"/>
      <c r="D894" s="24"/>
      <c r="E894" s="24"/>
      <c r="F894" s="117"/>
      <c r="G894" s="117"/>
      <c r="H894" s="24"/>
      <c r="I894" s="24"/>
      <c r="J894" s="24"/>
      <c r="K894" s="24"/>
      <c r="L894" s="24"/>
      <c r="M894" s="24"/>
      <c r="N894" s="24"/>
      <c r="O894" s="24"/>
      <c r="P894" s="24"/>
      <c r="Q894" s="24"/>
      <c r="R894" s="24"/>
      <c r="S894" s="24"/>
      <c r="T894" s="24"/>
      <c r="U894" s="24"/>
      <c r="V894" s="24"/>
      <c r="W894" s="24"/>
      <c r="X894" s="24"/>
      <c r="Y894" s="24"/>
      <c r="Z894" s="24"/>
      <c r="AA894" s="24"/>
      <c r="AB894" s="24"/>
      <c r="AC894" s="24"/>
    </row>
    <row r="895" spans="1:29" ht="12.9">
      <c r="A895" s="24"/>
      <c r="B895" s="24"/>
      <c r="C895" s="24"/>
      <c r="D895" s="24"/>
      <c r="E895" s="24"/>
      <c r="F895" s="117"/>
      <c r="G895" s="117"/>
      <c r="H895" s="24"/>
      <c r="I895" s="24"/>
      <c r="J895" s="24"/>
      <c r="K895" s="24"/>
      <c r="L895" s="24"/>
      <c r="M895" s="24"/>
      <c r="N895" s="24"/>
      <c r="O895" s="24"/>
      <c r="P895" s="24"/>
      <c r="Q895" s="24"/>
      <c r="R895" s="24"/>
      <c r="S895" s="24"/>
      <c r="T895" s="24"/>
      <c r="U895" s="24"/>
      <c r="V895" s="24"/>
      <c r="W895" s="24"/>
      <c r="X895" s="24"/>
      <c r="Y895" s="24"/>
      <c r="Z895" s="24"/>
      <c r="AA895" s="24"/>
      <c r="AB895" s="24"/>
      <c r="AC895" s="24"/>
    </row>
    <row r="896" spans="1:29" ht="12.9">
      <c r="A896" s="24"/>
      <c r="B896" s="24"/>
      <c r="C896" s="24"/>
      <c r="D896" s="24"/>
      <c r="E896" s="24"/>
      <c r="F896" s="117"/>
      <c r="G896" s="117"/>
      <c r="H896" s="24"/>
      <c r="I896" s="24"/>
      <c r="J896" s="24"/>
      <c r="K896" s="24"/>
      <c r="L896" s="24"/>
      <c r="M896" s="24"/>
      <c r="N896" s="24"/>
      <c r="O896" s="24"/>
      <c r="P896" s="24"/>
      <c r="Q896" s="24"/>
      <c r="R896" s="24"/>
      <c r="S896" s="24"/>
      <c r="T896" s="24"/>
      <c r="U896" s="24"/>
      <c r="V896" s="24"/>
      <c r="W896" s="24"/>
      <c r="X896" s="24"/>
      <c r="Y896" s="24"/>
      <c r="Z896" s="24"/>
      <c r="AA896" s="24"/>
      <c r="AB896" s="24"/>
      <c r="AC896" s="24"/>
    </row>
    <row r="897" spans="1:29" ht="12.9">
      <c r="A897" s="24"/>
      <c r="B897" s="24"/>
      <c r="C897" s="24"/>
      <c r="D897" s="24"/>
      <c r="E897" s="24"/>
      <c r="F897" s="117"/>
      <c r="G897" s="117"/>
      <c r="H897" s="24"/>
      <c r="I897" s="24"/>
      <c r="J897" s="24"/>
      <c r="K897" s="24"/>
      <c r="L897" s="24"/>
      <c r="M897" s="24"/>
      <c r="N897" s="24"/>
      <c r="O897" s="24"/>
      <c r="P897" s="24"/>
      <c r="Q897" s="24"/>
      <c r="R897" s="24"/>
      <c r="S897" s="24"/>
      <c r="T897" s="24"/>
      <c r="U897" s="24"/>
      <c r="V897" s="24"/>
      <c r="W897" s="24"/>
      <c r="X897" s="24"/>
      <c r="Y897" s="24"/>
      <c r="Z897" s="24"/>
      <c r="AA897" s="24"/>
      <c r="AB897" s="24"/>
      <c r="AC897" s="24"/>
    </row>
    <row r="898" spans="1:29" ht="12.9">
      <c r="A898" s="24"/>
      <c r="B898" s="24"/>
      <c r="C898" s="24"/>
      <c r="D898" s="24"/>
      <c r="E898" s="24"/>
      <c r="F898" s="117"/>
      <c r="G898" s="117"/>
      <c r="H898" s="24"/>
      <c r="I898" s="24"/>
      <c r="J898" s="24"/>
      <c r="K898" s="24"/>
      <c r="L898" s="24"/>
      <c r="M898" s="24"/>
      <c r="N898" s="24"/>
      <c r="O898" s="24"/>
      <c r="P898" s="24"/>
      <c r="Q898" s="24"/>
      <c r="R898" s="24"/>
      <c r="S898" s="24"/>
      <c r="T898" s="24"/>
      <c r="U898" s="24"/>
      <c r="V898" s="24"/>
      <c r="W898" s="24"/>
      <c r="X898" s="24"/>
      <c r="Y898" s="24"/>
      <c r="Z898" s="24"/>
      <c r="AA898" s="24"/>
      <c r="AB898" s="24"/>
      <c r="AC898" s="24"/>
    </row>
    <row r="899" spans="1:29" ht="12.9">
      <c r="A899" s="24"/>
      <c r="B899" s="24"/>
      <c r="C899" s="24"/>
      <c r="D899" s="24"/>
      <c r="E899" s="24"/>
      <c r="F899" s="117"/>
      <c r="G899" s="117"/>
      <c r="H899" s="24"/>
      <c r="I899" s="24"/>
      <c r="J899" s="24"/>
      <c r="K899" s="24"/>
      <c r="L899" s="24"/>
      <c r="M899" s="24"/>
      <c r="N899" s="24"/>
      <c r="O899" s="24"/>
      <c r="P899" s="24"/>
      <c r="Q899" s="24"/>
      <c r="R899" s="24"/>
      <c r="S899" s="24"/>
      <c r="T899" s="24"/>
      <c r="U899" s="24"/>
      <c r="V899" s="24"/>
      <c r="W899" s="24"/>
      <c r="X899" s="24"/>
      <c r="Y899" s="24"/>
      <c r="Z899" s="24"/>
      <c r="AA899" s="24"/>
      <c r="AB899" s="24"/>
      <c r="AC899" s="24"/>
    </row>
    <row r="900" spans="1:29" ht="12.9">
      <c r="A900" s="24"/>
      <c r="B900" s="24"/>
      <c r="C900" s="24"/>
      <c r="D900" s="24"/>
      <c r="E900" s="24"/>
      <c r="F900" s="117"/>
      <c r="G900" s="117"/>
      <c r="H900" s="24"/>
      <c r="I900" s="24"/>
      <c r="J900" s="24"/>
      <c r="K900" s="24"/>
      <c r="L900" s="24"/>
      <c r="M900" s="24"/>
      <c r="N900" s="24"/>
      <c r="O900" s="24"/>
      <c r="P900" s="24"/>
      <c r="Q900" s="24"/>
      <c r="R900" s="24"/>
      <c r="S900" s="24"/>
      <c r="T900" s="24"/>
      <c r="U900" s="24"/>
      <c r="V900" s="24"/>
      <c r="W900" s="24"/>
      <c r="X900" s="24"/>
      <c r="Y900" s="24"/>
      <c r="Z900" s="24"/>
      <c r="AA900" s="24"/>
      <c r="AB900" s="24"/>
      <c r="AC900" s="24"/>
    </row>
    <row r="901" spans="1:29" ht="12.9">
      <c r="A901" s="24"/>
      <c r="B901" s="24"/>
      <c r="C901" s="24"/>
      <c r="D901" s="24"/>
      <c r="E901" s="24"/>
      <c r="F901" s="117"/>
      <c r="G901" s="117"/>
      <c r="H901" s="24"/>
      <c r="I901" s="24"/>
      <c r="J901" s="24"/>
      <c r="K901" s="24"/>
      <c r="L901" s="24"/>
      <c r="M901" s="24"/>
      <c r="N901" s="24"/>
      <c r="O901" s="24"/>
      <c r="P901" s="24"/>
      <c r="Q901" s="24"/>
      <c r="R901" s="24"/>
      <c r="S901" s="24"/>
      <c r="T901" s="24"/>
      <c r="U901" s="24"/>
      <c r="V901" s="24"/>
      <c r="W901" s="24"/>
      <c r="X901" s="24"/>
      <c r="Y901" s="24"/>
      <c r="Z901" s="24"/>
      <c r="AA901" s="24"/>
      <c r="AB901" s="24"/>
      <c r="AC901" s="24"/>
    </row>
    <row r="902" spans="1:29" ht="12.9">
      <c r="A902" s="24"/>
      <c r="B902" s="24"/>
      <c r="C902" s="24"/>
      <c r="D902" s="24"/>
      <c r="E902" s="24"/>
      <c r="F902" s="117"/>
      <c r="G902" s="117"/>
      <c r="H902" s="24"/>
      <c r="I902" s="24"/>
      <c r="J902" s="24"/>
      <c r="K902" s="24"/>
      <c r="L902" s="24"/>
      <c r="M902" s="24"/>
      <c r="N902" s="24"/>
      <c r="O902" s="24"/>
      <c r="P902" s="24"/>
      <c r="Q902" s="24"/>
      <c r="R902" s="24"/>
      <c r="S902" s="24"/>
      <c r="T902" s="24"/>
      <c r="U902" s="24"/>
      <c r="V902" s="24"/>
      <c r="W902" s="24"/>
      <c r="X902" s="24"/>
      <c r="Y902" s="24"/>
      <c r="Z902" s="24"/>
      <c r="AA902" s="24"/>
      <c r="AB902" s="24"/>
      <c r="AC902" s="24"/>
    </row>
    <row r="903" spans="1:29" ht="12.9">
      <c r="A903" s="24"/>
      <c r="B903" s="24"/>
      <c r="C903" s="24"/>
      <c r="D903" s="24"/>
      <c r="E903" s="24"/>
      <c r="F903" s="117"/>
      <c r="G903" s="117"/>
      <c r="H903" s="24"/>
      <c r="I903" s="24"/>
      <c r="J903" s="24"/>
      <c r="K903" s="24"/>
      <c r="L903" s="24"/>
      <c r="M903" s="24"/>
      <c r="N903" s="24"/>
      <c r="O903" s="24"/>
      <c r="P903" s="24"/>
      <c r="Q903" s="24"/>
      <c r="R903" s="24"/>
      <c r="S903" s="24"/>
      <c r="T903" s="24"/>
      <c r="U903" s="24"/>
      <c r="V903" s="24"/>
      <c r="W903" s="24"/>
      <c r="X903" s="24"/>
      <c r="Y903" s="24"/>
      <c r="Z903" s="24"/>
      <c r="AA903" s="24"/>
      <c r="AB903" s="24"/>
      <c r="AC903" s="24"/>
    </row>
    <row r="904" spans="1:29" ht="12.9">
      <c r="A904" s="24"/>
      <c r="B904" s="24"/>
      <c r="C904" s="24"/>
      <c r="D904" s="24"/>
      <c r="E904" s="24"/>
      <c r="F904" s="117"/>
      <c r="G904" s="117"/>
      <c r="H904" s="24"/>
      <c r="I904" s="24"/>
      <c r="J904" s="24"/>
      <c r="K904" s="24"/>
      <c r="L904" s="24"/>
      <c r="M904" s="24"/>
      <c r="N904" s="24"/>
      <c r="O904" s="24"/>
      <c r="P904" s="24"/>
      <c r="Q904" s="24"/>
      <c r="R904" s="24"/>
      <c r="S904" s="24"/>
      <c r="T904" s="24"/>
      <c r="U904" s="24"/>
      <c r="V904" s="24"/>
      <c r="W904" s="24"/>
      <c r="X904" s="24"/>
      <c r="Y904" s="24"/>
      <c r="Z904" s="24"/>
      <c r="AA904" s="24"/>
      <c r="AB904" s="24"/>
      <c r="AC904" s="24"/>
    </row>
    <row r="905" spans="1:29" ht="12.9">
      <c r="A905" s="24"/>
      <c r="B905" s="24"/>
      <c r="C905" s="24"/>
      <c r="D905" s="24"/>
      <c r="E905" s="24"/>
      <c r="F905" s="117"/>
      <c r="G905" s="117"/>
      <c r="H905" s="24"/>
      <c r="I905" s="24"/>
      <c r="J905" s="24"/>
      <c r="K905" s="24"/>
      <c r="L905" s="24"/>
      <c r="M905" s="24"/>
      <c r="N905" s="24"/>
      <c r="O905" s="24"/>
      <c r="P905" s="24"/>
      <c r="Q905" s="24"/>
      <c r="R905" s="24"/>
      <c r="S905" s="24"/>
      <c r="T905" s="24"/>
      <c r="U905" s="24"/>
      <c r="V905" s="24"/>
      <c r="W905" s="24"/>
      <c r="X905" s="24"/>
      <c r="Y905" s="24"/>
      <c r="Z905" s="24"/>
      <c r="AA905" s="24"/>
      <c r="AB905" s="24"/>
      <c r="AC905" s="24"/>
    </row>
    <row r="906" spans="1:29" ht="12.9">
      <c r="A906" s="24"/>
      <c r="B906" s="24"/>
      <c r="C906" s="24"/>
      <c r="D906" s="24"/>
      <c r="E906" s="24"/>
      <c r="F906" s="117"/>
      <c r="G906" s="117"/>
      <c r="H906" s="24"/>
      <c r="I906" s="24"/>
      <c r="J906" s="24"/>
      <c r="K906" s="24"/>
      <c r="L906" s="24"/>
      <c r="M906" s="24"/>
      <c r="N906" s="24"/>
      <c r="O906" s="24"/>
      <c r="P906" s="24"/>
      <c r="Q906" s="24"/>
      <c r="R906" s="24"/>
      <c r="S906" s="24"/>
      <c r="T906" s="24"/>
      <c r="U906" s="24"/>
      <c r="V906" s="24"/>
      <c r="W906" s="24"/>
      <c r="X906" s="24"/>
      <c r="Y906" s="24"/>
      <c r="Z906" s="24"/>
      <c r="AA906" s="24"/>
      <c r="AB906" s="24"/>
      <c r="AC906" s="24"/>
    </row>
    <row r="907" spans="1:29" ht="12.9">
      <c r="A907" s="24"/>
      <c r="B907" s="24"/>
      <c r="C907" s="24"/>
      <c r="D907" s="24"/>
      <c r="E907" s="24"/>
      <c r="F907" s="117"/>
      <c r="G907" s="117"/>
      <c r="H907" s="24"/>
      <c r="I907" s="24"/>
      <c r="J907" s="24"/>
      <c r="K907" s="24"/>
      <c r="L907" s="24"/>
      <c r="M907" s="24"/>
      <c r="N907" s="24"/>
      <c r="O907" s="24"/>
      <c r="P907" s="24"/>
      <c r="Q907" s="24"/>
      <c r="R907" s="24"/>
      <c r="S907" s="24"/>
      <c r="T907" s="24"/>
      <c r="U907" s="24"/>
      <c r="V907" s="24"/>
      <c r="W907" s="24"/>
      <c r="X907" s="24"/>
      <c r="Y907" s="24"/>
      <c r="Z907" s="24"/>
      <c r="AA907" s="24"/>
      <c r="AB907" s="24"/>
      <c r="AC907" s="24"/>
    </row>
    <row r="908" spans="1:29" ht="12.9">
      <c r="A908" s="24"/>
      <c r="B908" s="24"/>
      <c r="C908" s="24"/>
      <c r="D908" s="24"/>
      <c r="E908" s="24"/>
      <c r="F908" s="117"/>
      <c r="G908" s="117"/>
      <c r="H908" s="24"/>
      <c r="I908" s="24"/>
      <c r="J908" s="24"/>
      <c r="K908" s="24"/>
      <c r="L908" s="24"/>
      <c r="M908" s="24"/>
      <c r="N908" s="24"/>
      <c r="O908" s="24"/>
      <c r="P908" s="24"/>
      <c r="Q908" s="24"/>
      <c r="R908" s="24"/>
      <c r="S908" s="24"/>
      <c r="T908" s="24"/>
      <c r="U908" s="24"/>
      <c r="V908" s="24"/>
      <c r="W908" s="24"/>
      <c r="X908" s="24"/>
      <c r="Y908" s="24"/>
      <c r="Z908" s="24"/>
      <c r="AA908" s="24"/>
      <c r="AB908" s="24"/>
      <c r="AC908" s="24"/>
    </row>
    <row r="909" spans="1:29" ht="12.9">
      <c r="A909" s="24"/>
      <c r="B909" s="24"/>
      <c r="C909" s="24"/>
      <c r="D909" s="24"/>
      <c r="E909" s="24"/>
      <c r="F909" s="117"/>
      <c r="G909" s="117"/>
      <c r="H909" s="24"/>
      <c r="I909" s="24"/>
      <c r="J909" s="24"/>
      <c r="K909" s="24"/>
      <c r="L909" s="24"/>
      <c r="M909" s="24"/>
      <c r="N909" s="24"/>
      <c r="O909" s="24"/>
      <c r="P909" s="24"/>
      <c r="Q909" s="24"/>
      <c r="R909" s="24"/>
      <c r="S909" s="24"/>
      <c r="T909" s="24"/>
      <c r="U909" s="24"/>
      <c r="V909" s="24"/>
      <c r="W909" s="24"/>
      <c r="X909" s="24"/>
      <c r="Y909" s="24"/>
      <c r="Z909" s="24"/>
      <c r="AA909" s="24"/>
      <c r="AB909" s="24"/>
      <c r="AC909" s="24"/>
    </row>
    <row r="910" spans="1:29" ht="12.9">
      <c r="A910" s="24"/>
      <c r="B910" s="24"/>
      <c r="C910" s="24"/>
      <c r="D910" s="24"/>
      <c r="E910" s="24"/>
      <c r="F910" s="117"/>
      <c r="G910" s="117"/>
      <c r="H910" s="24"/>
      <c r="I910" s="24"/>
      <c r="J910" s="24"/>
      <c r="K910" s="24"/>
      <c r="L910" s="24"/>
      <c r="M910" s="24"/>
      <c r="N910" s="24"/>
      <c r="O910" s="24"/>
      <c r="P910" s="24"/>
      <c r="Q910" s="24"/>
      <c r="R910" s="24"/>
      <c r="S910" s="24"/>
      <c r="T910" s="24"/>
      <c r="U910" s="24"/>
      <c r="V910" s="24"/>
      <c r="W910" s="24"/>
      <c r="X910" s="24"/>
      <c r="Y910" s="24"/>
      <c r="Z910" s="24"/>
      <c r="AA910" s="24"/>
      <c r="AB910" s="24"/>
      <c r="AC910" s="24"/>
    </row>
    <row r="911" spans="1:29" ht="12.9">
      <c r="A911" s="24"/>
      <c r="B911" s="24"/>
      <c r="C911" s="24"/>
      <c r="D911" s="24"/>
      <c r="E911" s="24"/>
      <c r="F911" s="117"/>
      <c r="G911" s="117"/>
      <c r="H911" s="24"/>
      <c r="I911" s="24"/>
      <c r="J911" s="24"/>
      <c r="K911" s="24"/>
      <c r="L911" s="24"/>
      <c r="M911" s="24"/>
      <c r="N911" s="24"/>
      <c r="O911" s="24"/>
      <c r="P911" s="24"/>
      <c r="Q911" s="24"/>
      <c r="R911" s="24"/>
      <c r="S911" s="24"/>
      <c r="T911" s="24"/>
      <c r="U911" s="24"/>
      <c r="V911" s="24"/>
      <c r="W911" s="24"/>
      <c r="X911" s="24"/>
      <c r="Y911" s="24"/>
      <c r="Z911" s="24"/>
      <c r="AA911" s="24"/>
      <c r="AB911" s="24"/>
      <c r="AC911" s="24"/>
    </row>
    <row r="912" spans="1:29" ht="12.9">
      <c r="A912" s="24"/>
      <c r="B912" s="24"/>
      <c r="C912" s="24"/>
      <c r="D912" s="24"/>
      <c r="E912" s="24"/>
      <c r="F912" s="117"/>
      <c r="G912" s="117"/>
      <c r="H912" s="24"/>
      <c r="I912" s="24"/>
      <c r="J912" s="24"/>
      <c r="K912" s="24"/>
      <c r="L912" s="24"/>
      <c r="M912" s="24"/>
      <c r="N912" s="24"/>
      <c r="O912" s="24"/>
      <c r="P912" s="24"/>
      <c r="Q912" s="24"/>
      <c r="R912" s="24"/>
      <c r="S912" s="24"/>
      <c r="T912" s="24"/>
      <c r="U912" s="24"/>
      <c r="V912" s="24"/>
      <c r="W912" s="24"/>
      <c r="X912" s="24"/>
      <c r="Y912" s="24"/>
      <c r="Z912" s="24"/>
      <c r="AA912" s="24"/>
      <c r="AB912" s="24"/>
      <c r="AC912" s="24"/>
    </row>
    <row r="913" spans="1:29" ht="12.9">
      <c r="A913" s="24"/>
      <c r="B913" s="24"/>
      <c r="C913" s="24"/>
      <c r="D913" s="24"/>
      <c r="E913" s="24"/>
      <c r="F913" s="117"/>
      <c r="G913" s="117"/>
      <c r="H913" s="24"/>
      <c r="I913" s="24"/>
      <c r="J913" s="24"/>
      <c r="K913" s="24"/>
      <c r="L913" s="24"/>
      <c r="M913" s="24"/>
      <c r="N913" s="24"/>
      <c r="O913" s="24"/>
      <c r="P913" s="24"/>
      <c r="Q913" s="24"/>
      <c r="R913" s="24"/>
      <c r="S913" s="24"/>
      <c r="T913" s="24"/>
      <c r="U913" s="24"/>
      <c r="V913" s="24"/>
      <c r="W913" s="24"/>
      <c r="X913" s="24"/>
      <c r="Y913" s="24"/>
      <c r="Z913" s="24"/>
      <c r="AA913" s="24"/>
      <c r="AB913" s="24"/>
      <c r="AC913" s="24"/>
    </row>
    <row r="914" spans="1:29" ht="12.9">
      <c r="A914" s="24"/>
      <c r="B914" s="24"/>
      <c r="C914" s="24"/>
      <c r="D914" s="24"/>
      <c r="E914" s="24"/>
      <c r="F914" s="117"/>
      <c r="G914" s="117"/>
      <c r="H914" s="24"/>
      <c r="I914" s="24"/>
      <c r="J914" s="24"/>
      <c r="K914" s="24"/>
      <c r="L914" s="24"/>
      <c r="M914" s="24"/>
      <c r="N914" s="24"/>
      <c r="O914" s="24"/>
      <c r="P914" s="24"/>
      <c r="Q914" s="24"/>
      <c r="R914" s="24"/>
      <c r="S914" s="24"/>
      <c r="T914" s="24"/>
      <c r="U914" s="24"/>
      <c r="V914" s="24"/>
      <c r="W914" s="24"/>
      <c r="X914" s="24"/>
      <c r="Y914" s="24"/>
      <c r="Z914" s="24"/>
      <c r="AA914" s="24"/>
      <c r="AB914" s="24"/>
      <c r="AC914" s="24"/>
    </row>
    <row r="915" spans="1:29" ht="12.9">
      <c r="A915" s="24"/>
      <c r="B915" s="24"/>
      <c r="C915" s="24"/>
      <c r="D915" s="24"/>
      <c r="E915" s="24"/>
      <c r="F915" s="117"/>
      <c r="G915" s="117"/>
      <c r="H915" s="24"/>
      <c r="I915" s="24"/>
      <c r="J915" s="24"/>
      <c r="K915" s="24"/>
      <c r="L915" s="24"/>
      <c r="M915" s="24"/>
      <c r="N915" s="24"/>
      <c r="O915" s="24"/>
      <c r="P915" s="24"/>
      <c r="Q915" s="24"/>
      <c r="R915" s="24"/>
      <c r="S915" s="24"/>
      <c r="T915" s="24"/>
      <c r="U915" s="24"/>
      <c r="V915" s="24"/>
      <c r="W915" s="24"/>
      <c r="X915" s="24"/>
      <c r="Y915" s="24"/>
      <c r="Z915" s="24"/>
      <c r="AA915" s="24"/>
      <c r="AB915" s="24"/>
      <c r="AC915" s="24"/>
    </row>
    <row r="916" spans="1:29" ht="12.9">
      <c r="A916" s="24"/>
      <c r="B916" s="24"/>
      <c r="C916" s="24"/>
      <c r="D916" s="24"/>
      <c r="E916" s="24"/>
      <c r="F916" s="117"/>
      <c r="G916" s="117"/>
      <c r="H916" s="24"/>
      <c r="I916" s="24"/>
      <c r="J916" s="24"/>
      <c r="K916" s="24"/>
      <c r="L916" s="24"/>
      <c r="M916" s="24"/>
      <c r="N916" s="24"/>
      <c r="O916" s="24"/>
      <c r="P916" s="24"/>
      <c r="Q916" s="24"/>
      <c r="R916" s="24"/>
      <c r="S916" s="24"/>
      <c r="T916" s="24"/>
      <c r="U916" s="24"/>
      <c r="V916" s="24"/>
      <c r="W916" s="24"/>
      <c r="X916" s="24"/>
      <c r="Y916" s="24"/>
      <c r="Z916" s="24"/>
      <c r="AA916" s="24"/>
      <c r="AB916" s="24"/>
      <c r="AC916" s="24"/>
    </row>
    <row r="917" spans="1:29" ht="12.9">
      <c r="A917" s="24"/>
      <c r="B917" s="24"/>
      <c r="C917" s="24"/>
      <c r="D917" s="24"/>
      <c r="E917" s="24"/>
      <c r="F917" s="117"/>
      <c r="G917" s="117"/>
      <c r="H917" s="24"/>
      <c r="I917" s="24"/>
      <c r="J917" s="24"/>
      <c r="K917" s="24"/>
      <c r="L917" s="24"/>
      <c r="M917" s="24"/>
      <c r="N917" s="24"/>
      <c r="O917" s="24"/>
      <c r="P917" s="24"/>
      <c r="Q917" s="24"/>
      <c r="R917" s="24"/>
      <c r="S917" s="24"/>
      <c r="T917" s="24"/>
      <c r="U917" s="24"/>
      <c r="V917" s="24"/>
      <c r="W917" s="24"/>
      <c r="X917" s="24"/>
      <c r="Y917" s="24"/>
      <c r="Z917" s="24"/>
      <c r="AA917" s="24"/>
      <c r="AB917" s="24"/>
      <c r="AC917" s="24"/>
    </row>
    <row r="918" spans="1:29" ht="12.9">
      <c r="A918" s="24"/>
      <c r="B918" s="24"/>
      <c r="C918" s="24"/>
      <c r="D918" s="24"/>
      <c r="E918" s="24"/>
      <c r="F918" s="117"/>
      <c r="G918" s="117"/>
      <c r="H918" s="24"/>
      <c r="I918" s="24"/>
      <c r="J918" s="24"/>
      <c r="K918" s="24"/>
      <c r="L918" s="24"/>
      <c r="M918" s="24"/>
      <c r="N918" s="24"/>
      <c r="O918" s="24"/>
      <c r="P918" s="24"/>
      <c r="Q918" s="24"/>
      <c r="R918" s="24"/>
      <c r="S918" s="24"/>
      <c r="T918" s="24"/>
      <c r="U918" s="24"/>
      <c r="V918" s="24"/>
      <c r="W918" s="24"/>
      <c r="X918" s="24"/>
      <c r="Y918" s="24"/>
      <c r="Z918" s="24"/>
      <c r="AA918" s="24"/>
      <c r="AB918" s="24"/>
      <c r="AC918" s="24"/>
    </row>
    <row r="919" spans="1:29" ht="12.9">
      <c r="A919" s="24"/>
      <c r="B919" s="24"/>
      <c r="C919" s="24"/>
      <c r="D919" s="24"/>
      <c r="E919" s="24"/>
      <c r="F919" s="117"/>
      <c r="G919" s="117"/>
      <c r="H919" s="24"/>
      <c r="I919" s="24"/>
      <c r="J919" s="24"/>
      <c r="K919" s="24"/>
      <c r="L919" s="24"/>
      <c r="M919" s="24"/>
      <c r="N919" s="24"/>
      <c r="O919" s="24"/>
      <c r="P919" s="24"/>
      <c r="Q919" s="24"/>
      <c r="R919" s="24"/>
      <c r="S919" s="24"/>
      <c r="T919" s="24"/>
      <c r="U919" s="24"/>
      <c r="V919" s="24"/>
      <c r="W919" s="24"/>
      <c r="X919" s="24"/>
      <c r="Y919" s="24"/>
      <c r="Z919" s="24"/>
      <c r="AA919" s="24"/>
      <c r="AB919" s="24"/>
      <c r="AC919" s="24"/>
    </row>
    <row r="920" spans="1:29" ht="12.9">
      <c r="A920" s="24"/>
      <c r="B920" s="24"/>
      <c r="C920" s="24"/>
      <c r="D920" s="24"/>
      <c r="E920" s="24"/>
      <c r="F920" s="117"/>
      <c r="G920" s="117"/>
      <c r="H920" s="24"/>
      <c r="I920" s="24"/>
      <c r="J920" s="24"/>
      <c r="K920" s="24"/>
      <c r="L920" s="24"/>
      <c r="M920" s="24"/>
      <c r="N920" s="24"/>
      <c r="O920" s="24"/>
      <c r="P920" s="24"/>
      <c r="Q920" s="24"/>
      <c r="R920" s="24"/>
      <c r="S920" s="24"/>
      <c r="T920" s="24"/>
      <c r="U920" s="24"/>
      <c r="V920" s="24"/>
      <c r="W920" s="24"/>
      <c r="X920" s="24"/>
      <c r="Y920" s="24"/>
      <c r="Z920" s="24"/>
      <c r="AA920" s="24"/>
      <c r="AB920" s="24"/>
      <c r="AC920" s="24"/>
    </row>
    <row r="921" spans="1:29" ht="12.9">
      <c r="A921" s="24"/>
      <c r="B921" s="24"/>
      <c r="C921" s="24"/>
      <c r="D921" s="24"/>
      <c r="E921" s="24"/>
      <c r="F921" s="117"/>
      <c r="G921" s="117"/>
      <c r="H921" s="24"/>
      <c r="I921" s="24"/>
      <c r="J921" s="24"/>
      <c r="K921" s="24"/>
      <c r="L921" s="24"/>
      <c r="M921" s="24"/>
      <c r="N921" s="24"/>
      <c r="O921" s="24"/>
      <c r="P921" s="24"/>
      <c r="Q921" s="24"/>
      <c r="R921" s="24"/>
      <c r="S921" s="24"/>
      <c r="T921" s="24"/>
      <c r="U921" s="24"/>
      <c r="V921" s="24"/>
      <c r="W921" s="24"/>
      <c r="X921" s="24"/>
      <c r="Y921" s="24"/>
      <c r="Z921" s="24"/>
      <c r="AA921" s="24"/>
      <c r="AB921" s="24"/>
      <c r="AC921" s="24"/>
    </row>
    <row r="922" spans="1:29" ht="12.9">
      <c r="A922" s="24"/>
      <c r="B922" s="24"/>
      <c r="C922" s="24"/>
      <c r="D922" s="24"/>
      <c r="E922" s="24"/>
      <c r="F922" s="117"/>
      <c r="G922" s="117"/>
      <c r="H922" s="24"/>
      <c r="I922" s="24"/>
      <c r="J922" s="24"/>
      <c r="K922" s="24"/>
      <c r="L922" s="24"/>
      <c r="M922" s="24"/>
      <c r="N922" s="24"/>
      <c r="O922" s="24"/>
      <c r="P922" s="24"/>
      <c r="Q922" s="24"/>
      <c r="R922" s="24"/>
      <c r="S922" s="24"/>
      <c r="T922" s="24"/>
      <c r="U922" s="24"/>
      <c r="V922" s="24"/>
      <c r="W922" s="24"/>
      <c r="X922" s="24"/>
      <c r="Y922" s="24"/>
      <c r="Z922" s="24"/>
      <c r="AA922" s="24"/>
      <c r="AB922" s="24"/>
      <c r="AC922" s="24"/>
    </row>
    <row r="923" spans="1:29" ht="12.9">
      <c r="A923" s="24"/>
      <c r="B923" s="24"/>
      <c r="C923" s="24"/>
      <c r="D923" s="24"/>
      <c r="E923" s="24"/>
      <c r="F923" s="117"/>
      <c r="G923" s="117"/>
      <c r="H923" s="24"/>
      <c r="I923" s="24"/>
      <c r="J923" s="24"/>
      <c r="K923" s="24"/>
      <c r="L923" s="24"/>
      <c r="M923" s="24"/>
      <c r="N923" s="24"/>
      <c r="O923" s="24"/>
      <c r="P923" s="24"/>
      <c r="Q923" s="24"/>
      <c r="R923" s="24"/>
      <c r="S923" s="24"/>
      <c r="T923" s="24"/>
      <c r="U923" s="24"/>
      <c r="V923" s="24"/>
      <c r="W923" s="24"/>
      <c r="X923" s="24"/>
      <c r="Y923" s="24"/>
      <c r="Z923" s="24"/>
      <c r="AA923" s="24"/>
      <c r="AB923" s="24"/>
      <c r="AC923" s="24"/>
    </row>
    <row r="924" spans="1:29" ht="12.9">
      <c r="A924" s="24"/>
      <c r="B924" s="24"/>
      <c r="C924" s="24"/>
      <c r="D924" s="24"/>
      <c r="E924" s="24"/>
      <c r="F924" s="117"/>
      <c r="G924" s="117"/>
      <c r="H924" s="24"/>
      <c r="I924" s="24"/>
      <c r="J924" s="24"/>
      <c r="K924" s="24"/>
      <c r="L924" s="24"/>
      <c r="M924" s="24"/>
      <c r="N924" s="24"/>
      <c r="O924" s="24"/>
      <c r="P924" s="24"/>
      <c r="Q924" s="24"/>
      <c r="R924" s="24"/>
      <c r="S924" s="24"/>
      <c r="T924" s="24"/>
      <c r="U924" s="24"/>
      <c r="V924" s="24"/>
      <c r="W924" s="24"/>
      <c r="X924" s="24"/>
      <c r="Y924" s="24"/>
      <c r="Z924" s="24"/>
      <c r="AA924" s="24"/>
      <c r="AB924" s="24"/>
      <c r="AC924" s="24"/>
    </row>
    <row r="925" spans="1:29" ht="12.9">
      <c r="A925" s="24"/>
      <c r="B925" s="24"/>
      <c r="C925" s="24"/>
      <c r="D925" s="24"/>
      <c r="E925" s="24"/>
      <c r="F925" s="117"/>
      <c r="G925" s="117"/>
      <c r="H925" s="24"/>
      <c r="I925" s="24"/>
      <c r="J925" s="24"/>
      <c r="K925" s="24"/>
      <c r="L925" s="24"/>
      <c r="M925" s="24"/>
      <c r="N925" s="24"/>
      <c r="O925" s="24"/>
      <c r="P925" s="24"/>
      <c r="Q925" s="24"/>
      <c r="R925" s="24"/>
      <c r="S925" s="24"/>
      <c r="T925" s="24"/>
      <c r="U925" s="24"/>
      <c r="V925" s="24"/>
      <c r="W925" s="24"/>
      <c r="X925" s="24"/>
      <c r="Y925" s="24"/>
      <c r="Z925" s="24"/>
      <c r="AA925" s="24"/>
      <c r="AB925" s="24"/>
      <c r="AC925" s="24"/>
    </row>
    <row r="926" spans="1:29" ht="12.9">
      <c r="A926" s="24"/>
      <c r="B926" s="24"/>
      <c r="C926" s="24"/>
      <c r="D926" s="24"/>
      <c r="E926" s="24"/>
      <c r="F926" s="117"/>
      <c r="G926" s="117"/>
      <c r="H926" s="24"/>
      <c r="I926" s="24"/>
      <c r="J926" s="24"/>
      <c r="K926" s="24"/>
      <c r="L926" s="24"/>
      <c r="M926" s="24"/>
      <c r="N926" s="24"/>
      <c r="O926" s="24"/>
      <c r="P926" s="24"/>
      <c r="Q926" s="24"/>
      <c r="R926" s="24"/>
      <c r="S926" s="24"/>
      <c r="T926" s="24"/>
      <c r="U926" s="24"/>
      <c r="V926" s="24"/>
      <c r="W926" s="24"/>
      <c r="X926" s="24"/>
      <c r="Y926" s="24"/>
      <c r="Z926" s="24"/>
      <c r="AA926" s="24"/>
      <c r="AB926" s="24"/>
      <c r="AC926" s="24"/>
    </row>
    <row r="927" spans="1:29" ht="12.9">
      <c r="A927" s="24"/>
      <c r="B927" s="24"/>
      <c r="C927" s="24"/>
      <c r="D927" s="24"/>
      <c r="E927" s="24"/>
      <c r="F927" s="117"/>
      <c r="G927" s="117"/>
      <c r="H927" s="24"/>
      <c r="I927" s="24"/>
      <c r="J927" s="24"/>
      <c r="K927" s="24"/>
      <c r="L927" s="24"/>
      <c r="M927" s="24"/>
      <c r="N927" s="24"/>
      <c r="O927" s="24"/>
      <c r="P927" s="24"/>
      <c r="Q927" s="24"/>
      <c r="R927" s="24"/>
      <c r="S927" s="24"/>
      <c r="T927" s="24"/>
      <c r="U927" s="24"/>
      <c r="V927" s="24"/>
      <c r="W927" s="24"/>
      <c r="X927" s="24"/>
      <c r="Y927" s="24"/>
      <c r="Z927" s="24"/>
      <c r="AA927" s="24"/>
      <c r="AB927" s="24"/>
      <c r="AC927" s="24"/>
    </row>
    <row r="928" spans="1:29" ht="12.9">
      <c r="A928" s="24"/>
      <c r="B928" s="24"/>
      <c r="C928" s="24"/>
      <c r="D928" s="24"/>
      <c r="E928" s="24"/>
      <c r="F928" s="117"/>
      <c r="G928" s="117"/>
      <c r="H928" s="24"/>
      <c r="I928" s="24"/>
      <c r="J928" s="24"/>
      <c r="K928" s="24"/>
      <c r="L928" s="24"/>
      <c r="M928" s="24"/>
      <c r="N928" s="24"/>
      <c r="O928" s="24"/>
      <c r="P928" s="24"/>
      <c r="Q928" s="24"/>
      <c r="R928" s="24"/>
      <c r="S928" s="24"/>
      <c r="T928" s="24"/>
      <c r="U928" s="24"/>
      <c r="V928" s="24"/>
      <c r="W928" s="24"/>
      <c r="X928" s="24"/>
      <c r="Y928" s="24"/>
      <c r="Z928" s="24"/>
      <c r="AA928" s="24"/>
      <c r="AB928" s="24"/>
      <c r="AC928" s="24"/>
    </row>
    <row r="929" spans="1:29" ht="12.9">
      <c r="A929" s="24"/>
      <c r="B929" s="24"/>
      <c r="C929" s="24"/>
      <c r="D929" s="24"/>
      <c r="E929" s="24"/>
      <c r="F929" s="117"/>
      <c r="G929" s="117"/>
      <c r="H929" s="24"/>
      <c r="I929" s="24"/>
      <c r="J929" s="24"/>
      <c r="K929" s="24"/>
      <c r="L929" s="24"/>
      <c r="M929" s="24"/>
      <c r="N929" s="24"/>
      <c r="O929" s="24"/>
      <c r="P929" s="24"/>
      <c r="Q929" s="24"/>
      <c r="R929" s="24"/>
      <c r="S929" s="24"/>
      <c r="T929" s="24"/>
      <c r="U929" s="24"/>
      <c r="V929" s="24"/>
      <c r="W929" s="24"/>
      <c r="X929" s="24"/>
      <c r="Y929" s="24"/>
      <c r="Z929" s="24"/>
      <c r="AA929" s="24"/>
      <c r="AB929" s="24"/>
      <c r="AC929" s="24"/>
    </row>
    <row r="930" spans="1:29" ht="12.9">
      <c r="A930" s="24"/>
      <c r="B930" s="24"/>
      <c r="C930" s="24"/>
      <c r="D930" s="24"/>
      <c r="E930" s="24"/>
      <c r="F930" s="117"/>
      <c r="G930" s="117"/>
      <c r="H930" s="24"/>
      <c r="I930" s="24"/>
      <c r="J930" s="24"/>
      <c r="K930" s="24"/>
      <c r="L930" s="24"/>
      <c r="M930" s="24"/>
      <c r="N930" s="24"/>
      <c r="O930" s="24"/>
      <c r="P930" s="24"/>
      <c r="Q930" s="24"/>
      <c r="R930" s="24"/>
      <c r="S930" s="24"/>
      <c r="T930" s="24"/>
      <c r="U930" s="24"/>
      <c r="V930" s="24"/>
      <c r="W930" s="24"/>
      <c r="X930" s="24"/>
      <c r="Y930" s="24"/>
      <c r="Z930" s="24"/>
      <c r="AA930" s="24"/>
      <c r="AB930" s="24"/>
      <c r="AC930" s="24"/>
    </row>
    <row r="931" spans="1:29" ht="12.9">
      <c r="A931" s="24"/>
      <c r="B931" s="24"/>
      <c r="C931" s="24"/>
      <c r="D931" s="24"/>
      <c r="E931" s="24"/>
      <c r="F931" s="117"/>
      <c r="G931" s="117"/>
      <c r="H931" s="24"/>
      <c r="I931" s="24"/>
      <c r="J931" s="24"/>
      <c r="K931" s="24"/>
      <c r="L931" s="24"/>
      <c r="M931" s="24"/>
      <c r="N931" s="24"/>
      <c r="O931" s="24"/>
      <c r="P931" s="24"/>
      <c r="Q931" s="24"/>
      <c r="R931" s="24"/>
      <c r="S931" s="24"/>
      <c r="T931" s="24"/>
      <c r="U931" s="24"/>
      <c r="V931" s="24"/>
      <c r="W931" s="24"/>
      <c r="X931" s="24"/>
      <c r="Y931" s="24"/>
      <c r="Z931" s="24"/>
      <c r="AA931" s="24"/>
      <c r="AB931" s="24"/>
      <c r="AC931" s="24"/>
    </row>
    <row r="932" spans="1:29" ht="12.9">
      <c r="A932" s="24"/>
      <c r="B932" s="24"/>
      <c r="C932" s="24"/>
      <c r="D932" s="24"/>
      <c r="E932" s="24"/>
      <c r="F932" s="117"/>
      <c r="G932" s="117"/>
      <c r="H932" s="24"/>
      <c r="I932" s="24"/>
      <c r="J932" s="24"/>
      <c r="K932" s="24"/>
      <c r="L932" s="24"/>
      <c r="M932" s="24"/>
      <c r="N932" s="24"/>
      <c r="O932" s="24"/>
      <c r="P932" s="24"/>
      <c r="Q932" s="24"/>
      <c r="R932" s="24"/>
      <c r="S932" s="24"/>
      <c r="T932" s="24"/>
      <c r="U932" s="24"/>
      <c r="V932" s="24"/>
      <c r="W932" s="24"/>
      <c r="X932" s="24"/>
      <c r="Y932" s="24"/>
      <c r="Z932" s="24"/>
      <c r="AA932" s="24"/>
      <c r="AB932" s="24"/>
      <c r="AC932" s="24"/>
    </row>
    <row r="933" spans="1:29" ht="12.9">
      <c r="A933" s="24"/>
      <c r="B933" s="24"/>
      <c r="C933" s="24"/>
      <c r="D933" s="24"/>
      <c r="E933" s="24"/>
      <c r="F933" s="117"/>
      <c r="G933" s="117"/>
      <c r="H933" s="24"/>
      <c r="I933" s="24"/>
      <c r="J933" s="24"/>
      <c r="K933" s="24"/>
      <c r="L933" s="24"/>
      <c r="M933" s="24"/>
      <c r="N933" s="24"/>
      <c r="O933" s="24"/>
      <c r="P933" s="24"/>
      <c r="Q933" s="24"/>
      <c r="R933" s="24"/>
      <c r="S933" s="24"/>
      <c r="T933" s="24"/>
      <c r="U933" s="24"/>
      <c r="V933" s="24"/>
      <c r="W933" s="24"/>
      <c r="X933" s="24"/>
      <c r="Y933" s="24"/>
      <c r="Z933" s="24"/>
      <c r="AA933" s="24"/>
      <c r="AB933" s="24"/>
      <c r="AC933" s="24"/>
    </row>
    <row r="934" spans="1:29" ht="12.9">
      <c r="A934" s="24"/>
      <c r="B934" s="24"/>
      <c r="C934" s="24"/>
      <c r="D934" s="24"/>
      <c r="E934" s="24"/>
      <c r="F934" s="117"/>
      <c r="G934" s="117"/>
      <c r="H934" s="24"/>
      <c r="I934" s="24"/>
      <c r="J934" s="24"/>
      <c r="K934" s="24"/>
      <c r="L934" s="24"/>
      <c r="M934" s="24"/>
      <c r="N934" s="24"/>
      <c r="O934" s="24"/>
      <c r="P934" s="24"/>
      <c r="Q934" s="24"/>
      <c r="R934" s="24"/>
      <c r="S934" s="24"/>
      <c r="T934" s="24"/>
      <c r="U934" s="24"/>
      <c r="V934" s="24"/>
      <c r="W934" s="24"/>
      <c r="X934" s="24"/>
      <c r="Y934" s="24"/>
      <c r="Z934" s="24"/>
      <c r="AA934" s="24"/>
      <c r="AB934" s="24"/>
      <c r="AC934" s="24"/>
    </row>
    <row r="935" spans="1:29" ht="12.9">
      <c r="A935" s="24"/>
      <c r="B935" s="24"/>
      <c r="C935" s="24"/>
      <c r="D935" s="24"/>
      <c r="E935" s="24"/>
      <c r="F935" s="117"/>
      <c r="G935" s="117"/>
      <c r="H935" s="24"/>
      <c r="I935" s="24"/>
      <c r="J935" s="24"/>
      <c r="K935" s="24"/>
      <c r="L935" s="24"/>
      <c r="M935" s="24"/>
      <c r="N935" s="24"/>
      <c r="O935" s="24"/>
      <c r="P935" s="24"/>
      <c r="Q935" s="24"/>
      <c r="R935" s="24"/>
      <c r="S935" s="24"/>
      <c r="T935" s="24"/>
      <c r="U935" s="24"/>
      <c r="V935" s="24"/>
      <c r="W935" s="24"/>
      <c r="X935" s="24"/>
      <c r="Y935" s="24"/>
      <c r="Z935" s="24"/>
      <c r="AA935" s="24"/>
      <c r="AB935" s="24"/>
      <c r="AC935" s="24"/>
    </row>
    <row r="936" spans="1:29" ht="12.9">
      <c r="A936" s="24"/>
      <c r="B936" s="24"/>
      <c r="C936" s="24"/>
      <c r="D936" s="24"/>
      <c r="E936" s="24"/>
      <c r="F936" s="117"/>
      <c r="G936" s="117"/>
      <c r="H936" s="24"/>
      <c r="I936" s="24"/>
      <c r="J936" s="24"/>
      <c r="K936" s="24"/>
      <c r="L936" s="24"/>
      <c r="M936" s="24"/>
      <c r="N936" s="24"/>
      <c r="O936" s="24"/>
      <c r="P936" s="24"/>
      <c r="Q936" s="24"/>
      <c r="R936" s="24"/>
      <c r="S936" s="24"/>
      <c r="T936" s="24"/>
      <c r="U936" s="24"/>
      <c r="V936" s="24"/>
      <c r="W936" s="24"/>
      <c r="X936" s="24"/>
      <c r="Y936" s="24"/>
      <c r="Z936" s="24"/>
      <c r="AA936" s="24"/>
      <c r="AB936" s="24"/>
      <c r="AC936" s="24"/>
    </row>
    <row r="937" spans="1:29" ht="12.9">
      <c r="A937" s="24"/>
      <c r="B937" s="24"/>
      <c r="C937" s="24"/>
      <c r="D937" s="24"/>
      <c r="E937" s="24"/>
      <c r="F937" s="117"/>
      <c r="G937" s="117"/>
      <c r="H937" s="24"/>
      <c r="I937" s="24"/>
      <c r="J937" s="24"/>
      <c r="K937" s="24"/>
      <c r="L937" s="24"/>
      <c r="M937" s="24"/>
      <c r="N937" s="24"/>
      <c r="O937" s="24"/>
      <c r="P937" s="24"/>
      <c r="Q937" s="24"/>
      <c r="R937" s="24"/>
      <c r="S937" s="24"/>
      <c r="T937" s="24"/>
      <c r="U937" s="24"/>
      <c r="V937" s="24"/>
      <c r="W937" s="24"/>
      <c r="X937" s="24"/>
      <c r="Y937" s="24"/>
      <c r="Z937" s="24"/>
      <c r="AA937" s="24"/>
      <c r="AB937" s="24"/>
      <c r="AC937" s="24"/>
    </row>
    <row r="938" spans="1:29" ht="12.9">
      <c r="A938" s="24"/>
      <c r="B938" s="24"/>
      <c r="C938" s="24"/>
      <c r="D938" s="24"/>
      <c r="E938" s="24"/>
      <c r="F938" s="117"/>
      <c r="G938" s="117"/>
      <c r="H938" s="24"/>
      <c r="I938" s="24"/>
      <c r="J938" s="24"/>
      <c r="K938" s="24"/>
      <c r="L938" s="24"/>
      <c r="M938" s="24"/>
      <c r="N938" s="24"/>
      <c r="O938" s="24"/>
      <c r="P938" s="24"/>
      <c r="Q938" s="24"/>
      <c r="R938" s="24"/>
      <c r="S938" s="24"/>
      <c r="T938" s="24"/>
      <c r="U938" s="24"/>
      <c r="V938" s="24"/>
      <c r="W938" s="24"/>
      <c r="X938" s="24"/>
      <c r="Y938" s="24"/>
      <c r="Z938" s="24"/>
      <c r="AA938" s="24"/>
      <c r="AB938" s="24"/>
      <c r="AC938" s="24"/>
    </row>
    <row r="939" spans="1:29" ht="12.9">
      <c r="A939" s="24"/>
      <c r="B939" s="24"/>
      <c r="C939" s="24"/>
      <c r="D939" s="24"/>
      <c r="E939" s="24"/>
      <c r="F939" s="117"/>
      <c r="G939" s="117"/>
      <c r="H939" s="24"/>
      <c r="I939" s="24"/>
      <c r="J939" s="24"/>
      <c r="K939" s="24"/>
      <c r="L939" s="24"/>
      <c r="M939" s="24"/>
      <c r="N939" s="24"/>
      <c r="O939" s="24"/>
      <c r="P939" s="24"/>
      <c r="Q939" s="24"/>
      <c r="R939" s="24"/>
      <c r="S939" s="24"/>
      <c r="T939" s="24"/>
      <c r="U939" s="24"/>
      <c r="V939" s="24"/>
      <c r="W939" s="24"/>
      <c r="X939" s="24"/>
      <c r="Y939" s="24"/>
      <c r="Z939" s="24"/>
      <c r="AA939" s="24"/>
      <c r="AB939" s="24"/>
      <c r="AC939" s="24"/>
    </row>
    <row r="940" spans="1:29" ht="12.9">
      <c r="A940" s="24"/>
      <c r="B940" s="24"/>
      <c r="C940" s="24"/>
      <c r="D940" s="24"/>
      <c r="E940" s="24"/>
      <c r="F940" s="117"/>
      <c r="G940" s="117"/>
      <c r="H940" s="24"/>
      <c r="I940" s="24"/>
      <c r="J940" s="24"/>
      <c r="K940" s="24"/>
      <c r="L940" s="24"/>
      <c r="M940" s="24"/>
      <c r="N940" s="24"/>
      <c r="O940" s="24"/>
      <c r="P940" s="24"/>
      <c r="Q940" s="24"/>
      <c r="R940" s="24"/>
      <c r="S940" s="24"/>
      <c r="T940" s="24"/>
      <c r="U940" s="24"/>
      <c r="V940" s="24"/>
      <c r="W940" s="24"/>
      <c r="X940" s="24"/>
      <c r="Y940" s="24"/>
      <c r="Z940" s="24"/>
      <c r="AA940" s="24"/>
      <c r="AB940" s="24"/>
      <c r="AC940" s="24"/>
    </row>
    <row r="941" spans="1:29" ht="12.9">
      <c r="A941" s="24"/>
      <c r="B941" s="24"/>
      <c r="C941" s="24"/>
      <c r="D941" s="24"/>
      <c r="E941" s="24"/>
      <c r="F941" s="117"/>
      <c r="G941" s="117"/>
      <c r="H941" s="24"/>
      <c r="I941" s="24"/>
      <c r="J941" s="24"/>
      <c r="K941" s="24"/>
      <c r="L941" s="24"/>
      <c r="M941" s="24"/>
      <c r="N941" s="24"/>
      <c r="O941" s="24"/>
      <c r="P941" s="24"/>
      <c r="Q941" s="24"/>
      <c r="R941" s="24"/>
      <c r="S941" s="24"/>
      <c r="T941" s="24"/>
      <c r="U941" s="24"/>
      <c r="V941" s="24"/>
      <c r="W941" s="24"/>
      <c r="X941" s="24"/>
      <c r="Y941" s="24"/>
      <c r="Z941" s="24"/>
      <c r="AA941" s="24"/>
      <c r="AB941" s="24"/>
      <c r="AC941" s="24"/>
    </row>
    <row r="942" spans="1:29" ht="12.9">
      <c r="A942" s="24"/>
      <c r="B942" s="24"/>
      <c r="C942" s="24"/>
      <c r="D942" s="24"/>
      <c r="E942" s="24"/>
      <c r="F942" s="117"/>
      <c r="G942" s="117"/>
      <c r="H942" s="24"/>
      <c r="I942" s="24"/>
      <c r="J942" s="24"/>
      <c r="K942" s="24"/>
      <c r="L942" s="24"/>
      <c r="M942" s="24"/>
      <c r="N942" s="24"/>
      <c r="O942" s="24"/>
      <c r="P942" s="24"/>
      <c r="Q942" s="24"/>
      <c r="R942" s="24"/>
      <c r="S942" s="24"/>
      <c r="T942" s="24"/>
      <c r="U942" s="24"/>
      <c r="V942" s="24"/>
      <c r="W942" s="24"/>
      <c r="X942" s="24"/>
      <c r="Y942" s="24"/>
      <c r="Z942" s="24"/>
      <c r="AA942" s="24"/>
      <c r="AB942" s="24"/>
      <c r="AC942" s="24"/>
    </row>
    <row r="943" spans="1:29" ht="12.9">
      <c r="A943" s="24"/>
      <c r="B943" s="24"/>
      <c r="C943" s="24"/>
      <c r="D943" s="24"/>
      <c r="E943" s="24"/>
      <c r="F943" s="117"/>
      <c r="G943" s="117"/>
      <c r="H943" s="24"/>
      <c r="I943" s="24"/>
      <c r="J943" s="24"/>
      <c r="K943" s="24"/>
      <c r="L943" s="24"/>
      <c r="M943" s="24"/>
      <c r="N943" s="24"/>
      <c r="O943" s="24"/>
      <c r="P943" s="24"/>
      <c r="Q943" s="24"/>
      <c r="R943" s="24"/>
      <c r="S943" s="24"/>
      <c r="T943" s="24"/>
      <c r="U943" s="24"/>
      <c r="V943" s="24"/>
      <c r="W943" s="24"/>
      <c r="X943" s="24"/>
      <c r="Y943" s="24"/>
      <c r="Z943" s="24"/>
      <c r="AA943" s="24"/>
      <c r="AB943" s="24"/>
      <c r="AC943" s="24"/>
    </row>
    <row r="944" spans="1:29" ht="12.9">
      <c r="A944" s="24"/>
      <c r="B944" s="24"/>
      <c r="C944" s="24"/>
      <c r="D944" s="24"/>
      <c r="E944" s="24"/>
      <c r="F944" s="117"/>
      <c r="G944" s="117"/>
      <c r="H944" s="24"/>
      <c r="I944" s="24"/>
      <c r="J944" s="24"/>
      <c r="K944" s="24"/>
      <c r="L944" s="24"/>
      <c r="M944" s="24"/>
      <c r="N944" s="24"/>
      <c r="O944" s="24"/>
      <c r="P944" s="24"/>
      <c r="Q944" s="24"/>
      <c r="R944" s="24"/>
      <c r="S944" s="24"/>
      <c r="T944" s="24"/>
      <c r="U944" s="24"/>
      <c r="V944" s="24"/>
      <c r="W944" s="24"/>
      <c r="X944" s="24"/>
      <c r="Y944" s="24"/>
      <c r="Z944" s="24"/>
      <c r="AA944" s="24"/>
      <c r="AB944" s="24"/>
      <c r="AC944" s="24"/>
    </row>
    <row r="945" spans="1:29" ht="12.9">
      <c r="A945" s="24"/>
      <c r="B945" s="24"/>
      <c r="C945" s="24"/>
      <c r="D945" s="24"/>
      <c r="E945" s="24"/>
      <c r="F945" s="117"/>
      <c r="G945" s="117"/>
      <c r="H945" s="24"/>
      <c r="I945" s="24"/>
      <c r="J945" s="24"/>
      <c r="K945" s="24"/>
      <c r="L945" s="24"/>
      <c r="M945" s="24"/>
      <c r="N945" s="24"/>
      <c r="O945" s="24"/>
      <c r="P945" s="24"/>
      <c r="Q945" s="24"/>
      <c r="R945" s="24"/>
      <c r="S945" s="24"/>
      <c r="T945" s="24"/>
      <c r="U945" s="24"/>
      <c r="V945" s="24"/>
      <c r="W945" s="24"/>
      <c r="X945" s="24"/>
      <c r="Y945" s="24"/>
      <c r="Z945" s="24"/>
      <c r="AA945" s="24"/>
      <c r="AB945" s="24"/>
      <c r="AC945" s="24"/>
    </row>
    <row r="946" spans="1:29" ht="12.9">
      <c r="A946" s="24"/>
      <c r="B946" s="24"/>
      <c r="C946" s="24"/>
      <c r="D946" s="24"/>
      <c r="E946" s="24"/>
      <c r="F946" s="117"/>
      <c r="G946" s="117"/>
      <c r="H946" s="24"/>
      <c r="I946" s="24"/>
      <c r="J946" s="24"/>
      <c r="K946" s="24"/>
      <c r="L946" s="24"/>
      <c r="M946" s="24"/>
      <c r="N946" s="24"/>
      <c r="O946" s="24"/>
      <c r="P946" s="24"/>
      <c r="Q946" s="24"/>
      <c r="R946" s="24"/>
      <c r="S946" s="24"/>
      <c r="T946" s="24"/>
      <c r="U946" s="24"/>
      <c r="V946" s="24"/>
      <c r="W946" s="24"/>
      <c r="X946" s="24"/>
      <c r="Y946" s="24"/>
      <c r="Z946" s="24"/>
      <c r="AA946" s="24"/>
      <c r="AB946" s="24"/>
      <c r="AC946" s="24"/>
    </row>
    <row r="947" spans="1:29" ht="12.9">
      <c r="A947" s="24"/>
      <c r="B947" s="24"/>
      <c r="C947" s="24"/>
      <c r="D947" s="24"/>
      <c r="E947" s="24"/>
      <c r="F947" s="117"/>
      <c r="G947" s="117"/>
      <c r="H947" s="24"/>
      <c r="I947" s="24"/>
      <c r="J947" s="24"/>
      <c r="K947" s="24"/>
      <c r="L947" s="24"/>
      <c r="M947" s="24"/>
      <c r="N947" s="24"/>
      <c r="O947" s="24"/>
      <c r="P947" s="24"/>
      <c r="Q947" s="24"/>
      <c r="R947" s="24"/>
      <c r="S947" s="24"/>
      <c r="T947" s="24"/>
      <c r="U947" s="24"/>
      <c r="V947" s="24"/>
      <c r="W947" s="24"/>
      <c r="X947" s="24"/>
      <c r="Y947" s="24"/>
      <c r="Z947" s="24"/>
      <c r="AA947" s="24"/>
      <c r="AB947" s="24"/>
      <c r="AC947" s="24"/>
    </row>
    <row r="948" spans="1:29" ht="12.9">
      <c r="A948" s="24"/>
      <c r="B948" s="24"/>
      <c r="C948" s="24"/>
      <c r="D948" s="24"/>
      <c r="E948" s="24"/>
      <c r="F948" s="117"/>
      <c r="G948" s="117"/>
      <c r="H948" s="24"/>
      <c r="I948" s="24"/>
      <c r="J948" s="24"/>
      <c r="K948" s="24"/>
      <c r="L948" s="24"/>
      <c r="M948" s="24"/>
      <c r="N948" s="24"/>
      <c r="O948" s="24"/>
      <c r="P948" s="24"/>
      <c r="Q948" s="24"/>
      <c r="R948" s="24"/>
      <c r="S948" s="24"/>
      <c r="T948" s="24"/>
      <c r="U948" s="24"/>
      <c r="V948" s="24"/>
      <c r="W948" s="24"/>
      <c r="X948" s="24"/>
      <c r="Y948" s="24"/>
      <c r="Z948" s="24"/>
      <c r="AA948" s="24"/>
      <c r="AB948" s="24"/>
      <c r="AC948" s="24"/>
    </row>
    <row r="949" spans="1:29" ht="12.9">
      <c r="A949" s="24"/>
      <c r="B949" s="24"/>
      <c r="C949" s="24"/>
      <c r="D949" s="24"/>
      <c r="E949" s="24"/>
      <c r="F949" s="117"/>
      <c r="G949" s="117"/>
      <c r="H949" s="24"/>
      <c r="I949" s="24"/>
      <c r="J949" s="24"/>
      <c r="K949" s="24"/>
      <c r="L949" s="24"/>
      <c r="M949" s="24"/>
      <c r="N949" s="24"/>
      <c r="O949" s="24"/>
      <c r="P949" s="24"/>
      <c r="Q949" s="24"/>
      <c r="R949" s="24"/>
      <c r="S949" s="24"/>
      <c r="T949" s="24"/>
      <c r="U949" s="24"/>
      <c r="V949" s="24"/>
      <c r="W949" s="24"/>
      <c r="X949" s="24"/>
      <c r="Y949" s="24"/>
      <c r="Z949" s="24"/>
      <c r="AA949" s="24"/>
      <c r="AB949" s="24"/>
      <c r="AC949" s="24"/>
    </row>
    <row r="950" spans="1:29" ht="12.9">
      <c r="A950" s="24"/>
      <c r="B950" s="24"/>
      <c r="C950" s="24"/>
      <c r="D950" s="24"/>
      <c r="E950" s="24"/>
      <c r="F950" s="117"/>
      <c r="G950" s="117"/>
      <c r="H950" s="24"/>
      <c r="I950" s="24"/>
      <c r="J950" s="24"/>
      <c r="K950" s="24"/>
      <c r="L950" s="24"/>
      <c r="M950" s="24"/>
      <c r="N950" s="24"/>
      <c r="O950" s="24"/>
      <c r="P950" s="24"/>
      <c r="Q950" s="24"/>
      <c r="R950" s="24"/>
      <c r="S950" s="24"/>
      <c r="T950" s="24"/>
      <c r="U950" s="24"/>
      <c r="V950" s="24"/>
      <c r="W950" s="24"/>
      <c r="X950" s="24"/>
      <c r="Y950" s="24"/>
      <c r="Z950" s="24"/>
      <c r="AA950" s="24"/>
      <c r="AB950" s="24"/>
      <c r="AC950" s="24"/>
    </row>
    <row r="951" spans="1:29" ht="12.9">
      <c r="A951" s="24"/>
      <c r="B951" s="24"/>
      <c r="C951" s="24"/>
      <c r="D951" s="24"/>
      <c r="E951" s="24"/>
      <c r="F951" s="117"/>
      <c r="G951" s="117"/>
      <c r="H951" s="24"/>
      <c r="I951" s="24"/>
      <c r="J951" s="24"/>
      <c r="K951" s="24"/>
      <c r="L951" s="24"/>
      <c r="M951" s="24"/>
      <c r="N951" s="24"/>
      <c r="O951" s="24"/>
      <c r="P951" s="24"/>
      <c r="Q951" s="24"/>
      <c r="R951" s="24"/>
      <c r="S951" s="24"/>
      <c r="T951" s="24"/>
      <c r="U951" s="24"/>
      <c r="V951" s="24"/>
      <c r="W951" s="24"/>
      <c r="X951" s="24"/>
      <c r="Y951" s="24"/>
      <c r="Z951" s="24"/>
      <c r="AA951" s="24"/>
      <c r="AB951" s="24"/>
      <c r="AC951" s="24"/>
    </row>
    <row r="952" spans="1:29" ht="12.9">
      <c r="A952" s="24"/>
      <c r="B952" s="24"/>
      <c r="C952" s="24"/>
      <c r="D952" s="24"/>
      <c r="E952" s="24"/>
      <c r="F952" s="117"/>
      <c r="G952" s="117"/>
      <c r="H952" s="24"/>
      <c r="I952" s="24"/>
      <c r="J952" s="24"/>
      <c r="K952" s="24"/>
      <c r="L952" s="24"/>
      <c r="M952" s="24"/>
      <c r="N952" s="24"/>
      <c r="O952" s="24"/>
      <c r="P952" s="24"/>
      <c r="Q952" s="24"/>
      <c r="R952" s="24"/>
      <c r="S952" s="24"/>
      <c r="T952" s="24"/>
      <c r="U952" s="24"/>
      <c r="V952" s="24"/>
      <c r="W952" s="24"/>
      <c r="X952" s="24"/>
      <c r="Y952" s="24"/>
      <c r="Z952" s="24"/>
      <c r="AA952" s="24"/>
      <c r="AB952" s="24"/>
      <c r="AC952" s="24"/>
    </row>
    <row r="953" spans="1:29" ht="12.9">
      <c r="A953" s="24"/>
      <c r="B953" s="24"/>
      <c r="C953" s="24"/>
      <c r="D953" s="24"/>
      <c r="E953" s="24"/>
      <c r="F953" s="117"/>
      <c r="G953" s="117"/>
      <c r="H953" s="24"/>
      <c r="I953" s="24"/>
      <c r="J953" s="24"/>
      <c r="K953" s="24"/>
      <c r="L953" s="24"/>
      <c r="M953" s="24"/>
      <c r="N953" s="24"/>
      <c r="O953" s="24"/>
      <c r="P953" s="24"/>
      <c r="Q953" s="24"/>
      <c r="R953" s="24"/>
      <c r="S953" s="24"/>
      <c r="T953" s="24"/>
      <c r="U953" s="24"/>
      <c r="V953" s="24"/>
      <c r="W953" s="24"/>
      <c r="X953" s="24"/>
      <c r="Y953" s="24"/>
      <c r="Z953" s="24"/>
      <c r="AA953" s="24"/>
      <c r="AB953" s="24"/>
      <c r="AC953" s="24"/>
    </row>
    <row r="954" spans="1:29" ht="12.9">
      <c r="A954" s="24"/>
      <c r="B954" s="24"/>
      <c r="C954" s="24"/>
      <c r="D954" s="24"/>
      <c r="E954" s="24"/>
      <c r="F954" s="117"/>
      <c r="G954" s="117"/>
      <c r="H954" s="24"/>
      <c r="I954" s="24"/>
      <c r="J954" s="24"/>
      <c r="K954" s="24"/>
      <c r="L954" s="24"/>
      <c r="M954" s="24"/>
      <c r="N954" s="24"/>
      <c r="O954" s="24"/>
      <c r="P954" s="24"/>
      <c r="Q954" s="24"/>
      <c r="R954" s="24"/>
      <c r="S954" s="24"/>
      <c r="T954" s="24"/>
      <c r="U954" s="24"/>
      <c r="V954" s="24"/>
      <c r="W954" s="24"/>
      <c r="X954" s="24"/>
      <c r="Y954" s="24"/>
      <c r="Z954" s="24"/>
      <c r="AA954" s="24"/>
      <c r="AB954" s="24"/>
      <c r="AC954" s="24"/>
    </row>
    <row r="955" spans="1:29" ht="12.9">
      <c r="A955" s="24"/>
      <c r="B955" s="24"/>
      <c r="C955" s="24"/>
      <c r="D955" s="24"/>
      <c r="E955" s="24"/>
      <c r="F955" s="117"/>
      <c r="G955" s="117"/>
      <c r="H955" s="24"/>
      <c r="I955" s="24"/>
      <c r="J955" s="24"/>
      <c r="K955" s="24"/>
      <c r="L955" s="24"/>
      <c r="M955" s="24"/>
      <c r="N955" s="24"/>
      <c r="O955" s="24"/>
      <c r="P955" s="24"/>
      <c r="Q955" s="24"/>
      <c r="R955" s="24"/>
      <c r="S955" s="24"/>
      <c r="T955" s="24"/>
      <c r="U955" s="24"/>
      <c r="V955" s="24"/>
      <c r="W955" s="24"/>
      <c r="X955" s="24"/>
      <c r="Y955" s="24"/>
      <c r="Z955" s="24"/>
      <c r="AA955" s="24"/>
      <c r="AB955" s="24"/>
      <c r="AC955" s="24"/>
    </row>
    <row r="956" spans="1:29" ht="12.9">
      <c r="A956" s="24"/>
      <c r="B956" s="24"/>
      <c r="C956" s="24"/>
      <c r="D956" s="24"/>
      <c r="E956" s="24"/>
      <c r="F956" s="117"/>
      <c r="G956" s="117"/>
      <c r="H956" s="24"/>
      <c r="I956" s="24"/>
      <c r="J956" s="24"/>
      <c r="K956" s="24"/>
      <c r="L956" s="24"/>
      <c r="M956" s="24"/>
      <c r="N956" s="24"/>
      <c r="O956" s="24"/>
      <c r="P956" s="24"/>
      <c r="Q956" s="24"/>
      <c r="R956" s="24"/>
      <c r="S956" s="24"/>
      <c r="T956" s="24"/>
      <c r="U956" s="24"/>
      <c r="V956" s="24"/>
      <c r="W956" s="24"/>
      <c r="X956" s="24"/>
      <c r="Y956" s="24"/>
      <c r="Z956" s="24"/>
      <c r="AA956" s="24"/>
      <c r="AB956" s="24"/>
      <c r="AC956" s="24"/>
    </row>
    <row r="957" spans="1:29" ht="12.9">
      <c r="A957" s="24"/>
      <c r="B957" s="24"/>
      <c r="C957" s="24"/>
      <c r="D957" s="24"/>
      <c r="E957" s="24"/>
      <c r="F957" s="117"/>
      <c r="G957" s="117"/>
      <c r="H957" s="24"/>
      <c r="I957" s="24"/>
      <c r="J957" s="24"/>
      <c r="K957" s="24"/>
      <c r="L957" s="24"/>
      <c r="M957" s="24"/>
      <c r="N957" s="24"/>
      <c r="O957" s="24"/>
      <c r="P957" s="24"/>
      <c r="Q957" s="24"/>
      <c r="R957" s="24"/>
      <c r="S957" s="24"/>
      <c r="T957" s="24"/>
      <c r="U957" s="24"/>
      <c r="V957" s="24"/>
      <c r="W957" s="24"/>
      <c r="X957" s="24"/>
      <c r="Y957" s="24"/>
      <c r="Z957" s="24"/>
      <c r="AA957" s="24"/>
      <c r="AB957" s="24"/>
      <c r="AC957" s="24"/>
    </row>
    <row r="958" spans="1:29" ht="12.9">
      <c r="A958" s="24"/>
      <c r="B958" s="24"/>
      <c r="C958" s="24"/>
      <c r="D958" s="24"/>
      <c r="E958" s="24"/>
      <c r="F958" s="117"/>
      <c r="G958" s="117"/>
      <c r="H958" s="24"/>
      <c r="I958" s="24"/>
      <c r="J958" s="24"/>
      <c r="K958" s="24"/>
      <c r="L958" s="24"/>
      <c r="M958" s="24"/>
      <c r="N958" s="24"/>
      <c r="O958" s="24"/>
      <c r="P958" s="24"/>
      <c r="Q958" s="24"/>
      <c r="R958" s="24"/>
      <c r="S958" s="24"/>
      <c r="T958" s="24"/>
      <c r="U958" s="24"/>
      <c r="V958" s="24"/>
      <c r="W958" s="24"/>
      <c r="X958" s="24"/>
      <c r="Y958" s="24"/>
      <c r="Z958" s="24"/>
      <c r="AA958" s="24"/>
      <c r="AB958" s="24"/>
      <c r="AC958" s="24"/>
    </row>
    <row r="959" spans="1:29" ht="12.9">
      <c r="A959" s="24"/>
      <c r="B959" s="24"/>
      <c r="C959" s="24"/>
      <c r="D959" s="24"/>
      <c r="E959" s="24"/>
      <c r="F959" s="117"/>
      <c r="G959" s="117"/>
      <c r="H959" s="24"/>
      <c r="I959" s="24"/>
      <c r="J959" s="24"/>
      <c r="K959" s="24"/>
      <c r="L959" s="24"/>
      <c r="M959" s="24"/>
      <c r="N959" s="24"/>
      <c r="O959" s="24"/>
      <c r="P959" s="24"/>
      <c r="Q959" s="24"/>
      <c r="R959" s="24"/>
      <c r="S959" s="24"/>
      <c r="T959" s="24"/>
      <c r="U959" s="24"/>
      <c r="V959" s="24"/>
      <c r="W959" s="24"/>
      <c r="X959" s="24"/>
      <c r="Y959" s="24"/>
      <c r="Z959" s="24"/>
      <c r="AA959" s="24"/>
      <c r="AB959" s="24"/>
      <c r="AC959" s="24"/>
    </row>
    <row r="960" spans="1:29" ht="12.9">
      <c r="A960" s="24"/>
      <c r="B960" s="24"/>
      <c r="C960" s="24"/>
      <c r="D960" s="24"/>
      <c r="E960" s="24"/>
      <c r="F960" s="117"/>
      <c r="G960" s="117"/>
      <c r="H960" s="24"/>
      <c r="I960" s="24"/>
      <c r="J960" s="24"/>
      <c r="K960" s="24"/>
      <c r="L960" s="24"/>
      <c r="M960" s="24"/>
      <c r="N960" s="24"/>
      <c r="O960" s="24"/>
      <c r="P960" s="24"/>
      <c r="Q960" s="24"/>
      <c r="R960" s="24"/>
      <c r="S960" s="24"/>
      <c r="T960" s="24"/>
      <c r="U960" s="24"/>
      <c r="V960" s="24"/>
      <c r="W960" s="24"/>
      <c r="X960" s="24"/>
      <c r="Y960" s="24"/>
      <c r="Z960" s="24"/>
      <c r="AA960" s="24"/>
      <c r="AB960" s="24"/>
      <c r="AC960" s="24"/>
    </row>
    <row r="961" spans="1:29" ht="12.9">
      <c r="A961" s="24"/>
      <c r="B961" s="24"/>
      <c r="C961" s="24"/>
      <c r="D961" s="24"/>
      <c r="E961" s="24"/>
      <c r="F961" s="117"/>
      <c r="G961" s="117"/>
      <c r="H961" s="24"/>
      <c r="I961" s="24"/>
      <c r="J961" s="24"/>
      <c r="K961" s="24"/>
      <c r="L961" s="24"/>
      <c r="M961" s="24"/>
      <c r="N961" s="24"/>
      <c r="O961" s="24"/>
      <c r="P961" s="24"/>
      <c r="Q961" s="24"/>
      <c r="R961" s="24"/>
      <c r="S961" s="24"/>
      <c r="T961" s="24"/>
      <c r="U961" s="24"/>
      <c r="V961" s="24"/>
      <c r="W961" s="24"/>
      <c r="X961" s="24"/>
      <c r="Y961" s="24"/>
      <c r="Z961" s="24"/>
      <c r="AA961" s="24"/>
      <c r="AB961" s="24"/>
      <c r="AC961" s="24"/>
    </row>
    <row r="962" spans="1:29" ht="12.9">
      <c r="A962" s="24"/>
      <c r="B962" s="24"/>
      <c r="C962" s="24"/>
      <c r="D962" s="24"/>
      <c r="E962" s="24"/>
      <c r="F962" s="117"/>
      <c r="G962" s="117"/>
      <c r="H962" s="24"/>
      <c r="I962" s="24"/>
      <c r="J962" s="24"/>
      <c r="K962" s="24"/>
      <c r="L962" s="24"/>
      <c r="M962" s="24"/>
      <c r="N962" s="24"/>
      <c r="O962" s="24"/>
      <c r="P962" s="24"/>
      <c r="Q962" s="24"/>
      <c r="R962" s="24"/>
      <c r="S962" s="24"/>
      <c r="T962" s="24"/>
      <c r="U962" s="24"/>
      <c r="V962" s="24"/>
      <c r="W962" s="24"/>
      <c r="X962" s="24"/>
      <c r="Y962" s="24"/>
      <c r="Z962" s="24"/>
      <c r="AA962" s="24"/>
      <c r="AB962" s="24"/>
      <c r="AC962" s="24"/>
    </row>
    <row r="963" spans="1:29" ht="12.9">
      <c r="A963" s="24"/>
      <c r="B963" s="24"/>
      <c r="C963" s="24"/>
      <c r="D963" s="24"/>
      <c r="E963" s="24"/>
      <c r="F963" s="117"/>
      <c r="G963" s="117"/>
      <c r="H963" s="24"/>
      <c r="I963" s="24"/>
      <c r="J963" s="24"/>
      <c r="K963" s="24"/>
      <c r="L963" s="24"/>
      <c r="M963" s="24"/>
      <c r="N963" s="24"/>
      <c r="O963" s="24"/>
      <c r="P963" s="24"/>
      <c r="Q963" s="24"/>
      <c r="R963" s="24"/>
      <c r="S963" s="24"/>
      <c r="T963" s="24"/>
      <c r="U963" s="24"/>
      <c r="V963" s="24"/>
      <c r="W963" s="24"/>
      <c r="X963" s="24"/>
      <c r="Y963" s="24"/>
      <c r="Z963" s="24"/>
      <c r="AA963" s="24"/>
      <c r="AB963" s="24"/>
      <c r="AC963" s="24"/>
    </row>
    <row r="964" spans="1:29" ht="12.9">
      <c r="A964" s="24"/>
      <c r="B964" s="24"/>
      <c r="C964" s="24"/>
      <c r="D964" s="24"/>
      <c r="E964" s="24"/>
      <c r="F964" s="117"/>
      <c r="G964" s="117"/>
      <c r="H964" s="24"/>
      <c r="I964" s="24"/>
      <c r="J964" s="24"/>
      <c r="K964" s="24"/>
      <c r="L964" s="24"/>
      <c r="M964" s="24"/>
      <c r="N964" s="24"/>
      <c r="O964" s="24"/>
      <c r="P964" s="24"/>
      <c r="Q964" s="24"/>
      <c r="R964" s="24"/>
      <c r="S964" s="24"/>
      <c r="T964" s="24"/>
      <c r="U964" s="24"/>
      <c r="V964" s="24"/>
      <c r="W964" s="24"/>
      <c r="X964" s="24"/>
      <c r="Y964" s="24"/>
      <c r="Z964" s="24"/>
      <c r="AA964" s="24"/>
      <c r="AB964" s="24"/>
      <c r="AC964" s="24"/>
    </row>
    <row r="965" spans="1:29" ht="12.9">
      <c r="A965" s="24"/>
      <c r="B965" s="24"/>
      <c r="C965" s="24"/>
      <c r="D965" s="24"/>
      <c r="E965" s="24"/>
      <c r="F965" s="117"/>
      <c r="G965" s="117"/>
      <c r="H965" s="24"/>
      <c r="I965" s="24"/>
      <c r="J965" s="24"/>
      <c r="K965" s="24"/>
      <c r="L965" s="24"/>
      <c r="M965" s="24"/>
      <c r="N965" s="24"/>
      <c r="O965" s="24"/>
      <c r="P965" s="24"/>
      <c r="Q965" s="24"/>
      <c r="R965" s="24"/>
      <c r="S965" s="24"/>
      <c r="T965" s="24"/>
      <c r="U965" s="24"/>
      <c r="V965" s="24"/>
      <c r="W965" s="24"/>
      <c r="X965" s="24"/>
      <c r="Y965" s="24"/>
      <c r="Z965" s="24"/>
      <c r="AA965" s="24"/>
      <c r="AB965" s="24"/>
      <c r="AC965" s="24"/>
    </row>
    <row r="966" spans="1:29" ht="12.9">
      <c r="A966" s="24"/>
      <c r="B966" s="24"/>
      <c r="C966" s="24"/>
      <c r="D966" s="24"/>
      <c r="E966" s="24"/>
      <c r="F966" s="117"/>
      <c r="G966" s="117"/>
      <c r="H966" s="24"/>
      <c r="I966" s="24"/>
      <c r="J966" s="24"/>
      <c r="K966" s="24"/>
      <c r="L966" s="24"/>
      <c r="M966" s="24"/>
      <c r="N966" s="24"/>
      <c r="O966" s="24"/>
      <c r="P966" s="24"/>
      <c r="Q966" s="24"/>
      <c r="R966" s="24"/>
      <c r="S966" s="24"/>
      <c r="T966" s="24"/>
      <c r="U966" s="24"/>
      <c r="V966" s="24"/>
      <c r="W966" s="24"/>
      <c r="X966" s="24"/>
      <c r="Y966" s="24"/>
      <c r="Z966" s="24"/>
      <c r="AA966" s="24"/>
      <c r="AB966" s="24"/>
      <c r="AC966" s="24"/>
    </row>
    <row r="967" spans="1:29" ht="12.9">
      <c r="A967" s="24"/>
      <c r="B967" s="24"/>
      <c r="C967" s="24"/>
      <c r="D967" s="24"/>
      <c r="E967" s="24"/>
      <c r="F967" s="117"/>
      <c r="G967" s="117"/>
      <c r="H967" s="24"/>
      <c r="I967" s="24"/>
      <c r="J967" s="24"/>
      <c r="K967" s="24"/>
      <c r="L967" s="24"/>
      <c r="M967" s="24"/>
      <c r="N967" s="24"/>
      <c r="O967" s="24"/>
      <c r="P967" s="24"/>
      <c r="Q967" s="24"/>
      <c r="R967" s="24"/>
      <c r="S967" s="24"/>
      <c r="T967" s="24"/>
      <c r="U967" s="24"/>
      <c r="V967" s="24"/>
      <c r="W967" s="24"/>
      <c r="X967" s="24"/>
      <c r="Y967" s="24"/>
      <c r="Z967" s="24"/>
      <c r="AA967" s="24"/>
      <c r="AB967" s="24"/>
      <c r="AC967" s="24"/>
    </row>
    <row r="968" spans="1:29" ht="12.9">
      <c r="A968" s="24"/>
      <c r="B968" s="24"/>
      <c r="C968" s="24"/>
      <c r="D968" s="24"/>
      <c r="E968" s="24"/>
      <c r="F968" s="117"/>
      <c r="G968" s="117"/>
      <c r="H968" s="24"/>
      <c r="I968" s="24"/>
      <c r="J968" s="24"/>
      <c r="K968" s="24"/>
      <c r="L968" s="24"/>
      <c r="M968" s="24"/>
      <c r="N968" s="24"/>
      <c r="O968" s="24"/>
      <c r="P968" s="24"/>
      <c r="Q968" s="24"/>
      <c r="R968" s="24"/>
      <c r="S968" s="24"/>
      <c r="T968" s="24"/>
      <c r="U968" s="24"/>
      <c r="V968" s="24"/>
      <c r="W968" s="24"/>
      <c r="X968" s="24"/>
      <c r="Y968" s="24"/>
      <c r="Z968" s="24"/>
      <c r="AA968" s="24"/>
      <c r="AB968" s="24"/>
      <c r="AC968" s="24"/>
    </row>
    <row r="969" spans="1:29" ht="12.9">
      <c r="A969" s="24"/>
      <c r="B969" s="24"/>
      <c r="C969" s="24"/>
      <c r="D969" s="24"/>
      <c r="E969" s="24"/>
      <c r="F969" s="117"/>
      <c r="G969" s="117"/>
      <c r="H969" s="24"/>
      <c r="I969" s="24"/>
      <c r="J969" s="24"/>
      <c r="K969" s="24"/>
      <c r="L969" s="24"/>
      <c r="M969" s="24"/>
      <c r="N969" s="24"/>
      <c r="O969" s="24"/>
      <c r="P969" s="24"/>
      <c r="Q969" s="24"/>
      <c r="R969" s="24"/>
      <c r="S969" s="24"/>
      <c r="T969" s="24"/>
      <c r="U969" s="24"/>
      <c r="V969" s="24"/>
      <c r="W969" s="24"/>
      <c r="X969" s="24"/>
      <c r="Y969" s="24"/>
      <c r="Z969" s="24"/>
      <c r="AA969" s="24"/>
      <c r="AB969" s="24"/>
      <c r="AC969" s="24"/>
    </row>
    <row r="970" spans="1:29" ht="12.9">
      <c r="A970" s="24"/>
      <c r="B970" s="24"/>
      <c r="C970" s="24"/>
      <c r="D970" s="24"/>
      <c r="E970" s="24"/>
      <c r="F970" s="117"/>
      <c r="G970" s="117"/>
      <c r="H970" s="24"/>
      <c r="I970" s="24"/>
      <c r="J970" s="24"/>
      <c r="K970" s="24"/>
      <c r="L970" s="24"/>
      <c r="M970" s="24"/>
      <c r="N970" s="24"/>
      <c r="O970" s="24"/>
      <c r="P970" s="24"/>
      <c r="Q970" s="24"/>
      <c r="R970" s="24"/>
      <c r="S970" s="24"/>
      <c r="T970" s="24"/>
      <c r="U970" s="24"/>
      <c r="V970" s="24"/>
      <c r="W970" s="24"/>
      <c r="X970" s="24"/>
      <c r="Y970" s="24"/>
      <c r="Z970" s="24"/>
      <c r="AA970" s="24"/>
      <c r="AB970" s="24"/>
      <c r="AC970" s="24"/>
    </row>
    <row r="971" spans="1:29" ht="12.9">
      <c r="A971" s="24"/>
      <c r="B971" s="24"/>
      <c r="C971" s="24"/>
      <c r="D971" s="24"/>
      <c r="E971" s="24"/>
      <c r="F971" s="117"/>
      <c r="G971" s="117"/>
      <c r="H971" s="24"/>
      <c r="I971" s="24"/>
      <c r="J971" s="24"/>
      <c r="K971" s="24"/>
      <c r="L971" s="24"/>
      <c r="M971" s="24"/>
      <c r="N971" s="24"/>
      <c r="O971" s="24"/>
      <c r="P971" s="24"/>
      <c r="Q971" s="24"/>
      <c r="R971" s="24"/>
      <c r="S971" s="24"/>
      <c r="T971" s="24"/>
      <c r="U971" s="24"/>
      <c r="V971" s="24"/>
      <c r="W971" s="24"/>
      <c r="X971" s="24"/>
      <c r="Y971" s="24"/>
      <c r="Z971" s="24"/>
      <c r="AA971" s="24"/>
      <c r="AB971" s="24"/>
      <c r="AC971" s="24"/>
    </row>
    <row r="972" spans="1:29" ht="12.9">
      <c r="A972" s="24"/>
      <c r="B972" s="24"/>
      <c r="C972" s="24"/>
      <c r="D972" s="24"/>
      <c r="E972" s="24"/>
      <c r="F972" s="117"/>
      <c r="G972" s="117"/>
      <c r="H972" s="24"/>
      <c r="I972" s="24"/>
      <c r="J972" s="24"/>
      <c r="K972" s="24"/>
      <c r="L972" s="24"/>
      <c r="M972" s="24"/>
      <c r="N972" s="24"/>
      <c r="O972" s="24"/>
      <c r="P972" s="24"/>
      <c r="Q972" s="24"/>
      <c r="R972" s="24"/>
      <c r="S972" s="24"/>
      <c r="T972" s="24"/>
      <c r="U972" s="24"/>
      <c r="V972" s="24"/>
      <c r="W972" s="24"/>
      <c r="X972" s="24"/>
      <c r="Y972" s="24"/>
      <c r="Z972" s="24"/>
      <c r="AA972" s="24"/>
      <c r="AB972" s="24"/>
      <c r="AC972" s="24"/>
    </row>
    <row r="973" spans="1:29" ht="12.9">
      <c r="A973" s="24"/>
      <c r="B973" s="24"/>
      <c r="C973" s="24"/>
      <c r="D973" s="24"/>
      <c r="E973" s="24"/>
      <c r="F973" s="117"/>
      <c r="G973" s="117"/>
      <c r="H973" s="24"/>
      <c r="I973" s="24"/>
      <c r="J973" s="24"/>
      <c r="K973" s="24"/>
      <c r="L973" s="24"/>
      <c r="M973" s="24"/>
      <c r="N973" s="24"/>
      <c r="O973" s="24"/>
      <c r="P973" s="24"/>
      <c r="Q973" s="24"/>
      <c r="R973" s="24"/>
      <c r="S973" s="24"/>
      <c r="T973" s="24"/>
      <c r="U973" s="24"/>
      <c r="V973" s="24"/>
      <c r="W973" s="24"/>
      <c r="X973" s="24"/>
      <c r="Y973" s="24"/>
      <c r="Z973" s="24"/>
      <c r="AA973" s="24"/>
      <c r="AB973" s="24"/>
      <c r="AC973" s="24"/>
    </row>
    <row r="974" spans="1:29" ht="12.9">
      <c r="A974" s="24"/>
      <c r="B974" s="24"/>
      <c r="C974" s="24"/>
      <c r="D974" s="24"/>
      <c r="E974" s="24"/>
      <c r="F974" s="117"/>
      <c r="G974" s="117"/>
      <c r="H974" s="24"/>
      <c r="I974" s="24"/>
      <c r="J974" s="24"/>
      <c r="K974" s="24"/>
      <c r="L974" s="24"/>
      <c r="M974" s="24"/>
      <c r="N974" s="24"/>
      <c r="O974" s="24"/>
      <c r="P974" s="24"/>
      <c r="Q974" s="24"/>
      <c r="R974" s="24"/>
      <c r="S974" s="24"/>
      <c r="T974" s="24"/>
      <c r="U974" s="24"/>
      <c r="V974" s="24"/>
      <c r="W974" s="24"/>
      <c r="X974" s="24"/>
      <c r="Y974" s="24"/>
      <c r="Z974" s="24"/>
      <c r="AA974" s="24"/>
      <c r="AB974" s="24"/>
      <c r="AC974" s="24"/>
    </row>
    <row r="975" spans="1:29" ht="12.9">
      <c r="A975" s="24"/>
      <c r="B975" s="24"/>
      <c r="C975" s="24"/>
      <c r="D975" s="24"/>
      <c r="E975" s="24"/>
      <c r="F975" s="117"/>
      <c r="G975" s="117"/>
      <c r="H975" s="24"/>
      <c r="I975" s="24"/>
      <c r="J975" s="24"/>
      <c r="K975" s="24"/>
      <c r="L975" s="24"/>
      <c r="M975" s="24"/>
      <c r="N975" s="24"/>
      <c r="O975" s="24"/>
      <c r="P975" s="24"/>
      <c r="Q975" s="24"/>
      <c r="R975" s="24"/>
      <c r="S975" s="24"/>
      <c r="T975" s="24"/>
      <c r="U975" s="24"/>
      <c r="V975" s="24"/>
      <c r="W975" s="24"/>
      <c r="X975" s="24"/>
      <c r="Y975" s="24"/>
      <c r="Z975" s="24"/>
      <c r="AA975" s="24"/>
      <c r="AB975" s="24"/>
      <c r="AC975" s="24"/>
    </row>
    <row r="976" spans="1:29" ht="12.9">
      <c r="A976" s="24"/>
      <c r="B976" s="24"/>
      <c r="C976" s="24"/>
      <c r="D976" s="24"/>
      <c r="E976" s="24"/>
      <c r="F976" s="117"/>
      <c r="G976" s="117"/>
      <c r="H976" s="24"/>
      <c r="I976" s="24"/>
      <c r="J976" s="24"/>
      <c r="K976" s="24"/>
      <c r="L976" s="24"/>
      <c r="M976" s="24"/>
      <c r="N976" s="24"/>
      <c r="O976" s="24"/>
      <c r="P976" s="24"/>
      <c r="Q976" s="24"/>
      <c r="R976" s="24"/>
      <c r="S976" s="24"/>
      <c r="T976" s="24"/>
      <c r="U976" s="24"/>
      <c r="V976" s="24"/>
      <c r="W976" s="24"/>
      <c r="X976" s="24"/>
      <c r="Y976" s="24"/>
      <c r="Z976" s="24"/>
      <c r="AA976" s="24"/>
      <c r="AB976" s="24"/>
      <c r="AC976" s="24"/>
    </row>
    <row r="977" spans="1:29" ht="12.9">
      <c r="A977" s="24"/>
      <c r="B977" s="24"/>
      <c r="C977" s="24"/>
      <c r="D977" s="24"/>
      <c r="E977" s="24"/>
      <c r="F977" s="117"/>
      <c r="G977" s="117"/>
      <c r="H977" s="24"/>
      <c r="I977" s="24"/>
      <c r="J977" s="24"/>
      <c r="K977" s="24"/>
      <c r="L977" s="24"/>
      <c r="M977" s="24"/>
      <c r="N977" s="24"/>
      <c r="O977" s="24"/>
      <c r="P977" s="24"/>
      <c r="Q977" s="24"/>
      <c r="R977" s="24"/>
      <c r="S977" s="24"/>
      <c r="T977" s="24"/>
      <c r="U977" s="24"/>
      <c r="V977" s="24"/>
      <c r="W977" s="24"/>
      <c r="X977" s="24"/>
      <c r="Y977" s="24"/>
      <c r="Z977" s="24"/>
      <c r="AA977" s="24"/>
      <c r="AB977" s="24"/>
      <c r="AC977" s="24"/>
    </row>
    <row r="978" spans="1:29" ht="12.9">
      <c r="A978" s="24"/>
      <c r="B978" s="24"/>
      <c r="C978" s="24"/>
      <c r="D978" s="24"/>
      <c r="E978" s="24"/>
      <c r="F978" s="117"/>
      <c r="G978" s="117"/>
      <c r="H978" s="24"/>
      <c r="I978" s="24"/>
      <c r="J978" s="24"/>
      <c r="K978" s="24"/>
      <c r="L978" s="24"/>
      <c r="M978" s="24"/>
      <c r="N978" s="24"/>
      <c r="O978" s="24"/>
      <c r="P978" s="24"/>
      <c r="Q978" s="24"/>
      <c r="R978" s="24"/>
      <c r="S978" s="24"/>
      <c r="T978" s="24"/>
      <c r="U978" s="24"/>
      <c r="V978" s="24"/>
      <c r="W978" s="24"/>
      <c r="X978" s="24"/>
      <c r="Y978" s="24"/>
      <c r="Z978" s="24"/>
      <c r="AA978" s="24"/>
      <c r="AB978" s="24"/>
      <c r="AC978" s="24"/>
    </row>
    <row r="979" spans="1:29" ht="12.9">
      <c r="A979" s="24"/>
      <c r="B979" s="24"/>
      <c r="C979" s="24"/>
      <c r="D979" s="24"/>
      <c r="E979" s="24"/>
      <c r="F979" s="117"/>
      <c r="G979" s="117"/>
      <c r="H979" s="24"/>
      <c r="I979" s="24"/>
      <c r="J979" s="24"/>
      <c r="K979" s="24"/>
      <c r="L979" s="24"/>
      <c r="M979" s="24"/>
      <c r="N979" s="24"/>
      <c r="O979" s="24"/>
      <c r="P979" s="24"/>
      <c r="Q979" s="24"/>
      <c r="R979" s="24"/>
      <c r="S979" s="24"/>
      <c r="T979" s="24"/>
      <c r="U979" s="24"/>
      <c r="V979" s="24"/>
      <c r="W979" s="24"/>
      <c r="X979" s="24"/>
      <c r="Y979" s="24"/>
      <c r="Z979" s="24"/>
      <c r="AA979" s="24"/>
      <c r="AB979" s="24"/>
      <c r="AC979" s="24"/>
    </row>
    <row r="980" spans="1:29" ht="12.9">
      <c r="A980" s="24"/>
      <c r="B980" s="24"/>
      <c r="C980" s="24"/>
      <c r="D980" s="24"/>
      <c r="E980" s="24"/>
      <c r="F980" s="117"/>
      <c r="G980" s="117"/>
      <c r="H980" s="24"/>
      <c r="I980" s="24"/>
      <c r="J980" s="24"/>
      <c r="K980" s="24"/>
      <c r="L980" s="24"/>
      <c r="M980" s="24"/>
      <c r="N980" s="24"/>
      <c r="O980" s="24"/>
      <c r="P980" s="24"/>
      <c r="Q980" s="24"/>
      <c r="R980" s="24"/>
      <c r="S980" s="24"/>
      <c r="T980" s="24"/>
      <c r="U980" s="24"/>
      <c r="V980" s="24"/>
      <c r="W980" s="24"/>
      <c r="X980" s="24"/>
      <c r="Y980" s="24"/>
      <c r="Z980" s="24"/>
      <c r="AA980" s="24"/>
      <c r="AB980" s="24"/>
      <c r="AC980" s="24"/>
    </row>
    <row r="981" spans="1:29" ht="12.9">
      <c r="A981" s="24"/>
      <c r="B981" s="24"/>
      <c r="C981" s="24"/>
      <c r="D981" s="24"/>
      <c r="E981" s="24"/>
      <c r="F981" s="117"/>
      <c r="G981" s="117"/>
      <c r="H981" s="24"/>
      <c r="I981" s="24"/>
      <c r="J981" s="24"/>
      <c r="K981" s="24"/>
      <c r="L981" s="24"/>
      <c r="M981" s="24"/>
      <c r="N981" s="24"/>
      <c r="O981" s="24"/>
      <c r="P981" s="24"/>
      <c r="Q981" s="24"/>
      <c r="R981" s="24"/>
      <c r="S981" s="24"/>
      <c r="T981" s="24"/>
      <c r="U981" s="24"/>
      <c r="V981" s="24"/>
      <c r="W981" s="24"/>
      <c r="X981" s="24"/>
      <c r="Y981" s="24"/>
      <c r="Z981" s="24"/>
      <c r="AA981" s="24"/>
      <c r="AB981" s="24"/>
      <c r="AC981" s="24"/>
    </row>
    <row r="982" spans="1:29" ht="12.9">
      <c r="A982" s="24"/>
      <c r="B982" s="24"/>
      <c r="C982" s="24"/>
      <c r="D982" s="24"/>
      <c r="E982" s="24"/>
      <c r="F982" s="117"/>
      <c r="G982" s="117"/>
      <c r="H982" s="24"/>
      <c r="I982" s="24"/>
      <c r="J982" s="24"/>
      <c r="K982" s="24"/>
      <c r="L982" s="24"/>
      <c r="M982" s="24"/>
      <c r="N982" s="24"/>
      <c r="O982" s="24"/>
      <c r="P982" s="24"/>
      <c r="Q982" s="24"/>
      <c r="R982" s="24"/>
      <c r="S982" s="24"/>
      <c r="T982" s="24"/>
      <c r="U982" s="24"/>
      <c r="V982" s="24"/>
      <c r="W982" s="24"/>
      <c r="X982" s="24"/>
      <c r="Y982" s="24"/>
      <c r="Z982" s="24"/>
      <c r="AA982" s="24"/>
      <c r="AB982" s="24"/>
      <c r="AC982" s="24"/>
    </row>
    <row r="983" spans="1:29" ht="12.9">
      <c r="A983" s="24"/>
      <c r="B983" s="24"/>
      <c r="C983" s="24"/>
      <c r="D983" s="24"/>
      <c r="E983" s="24"/>
      <c r="F983" s="117"/>
      <c r="G983" s="117"/>
      <c r="H983" s="24"/>
      <c r="I983" s="24"/>
      <c r="J983" s="24"/>
      <c r="K983" s="24"/>
      <c r="L983" s="24"/>
      <c r="M983" s="24"/>
      <c r="N983" s="24"/>
      <c r="O983" s="24"/>
      <c r="P983" s="24"/>
      <c r="Q983" s="24"/>
      <c r="R983" s="24"/>
      <c r="S983" s="24"/>
      <c r="T983" s="24"/>
      <c r="U983" s="24"/>
      <c r="V983" s="24"/>
      <c r="W983" s="24"/>
      <c r="X983" s="24"/>
      <c r="Y983" s="24"/>
      <c r="Z983" s="24"/>
      <c r="AA983" s="24"/>
      <c r="AB983" s="24"/>
      <c r="AC983" s="24"/>
    </row>
    <row r="984" spans="1:29" ht="12.9">
      <c r="A984" s="24"/>
      <c r="B984" s="24"/>
      <c r="C984" s="24"/>
      <c r="D984" s="24"/>
      <c r="E984" s="24"/>
      <c r="F984" s="117"/>
      <c r="G984" s="117"/>
      <c r="H984" s="24"/>
      <c r="I984" s="24"/>
      <c r="J984" s="24"/>
      <c r="K984" s="24"/>
      <c r="L984" s="24"/>
      <c r="M984" s="24"/>
      <c r="N984" s="24"/>
      <c r="O984" s="24"/>
      <c r="P984" s="24"/>
      <c r="Q984" s="24"/>
      <c r="R984" s="24"/>
      <c r="S984" s="24"/>
      <c r="T984" s="24"/>
      <c r="U984" s="24"/>
      <c r="V984" s="24"/>
      <c r="W984" s="24"/>
      <c r="X984" s="24"/>
      <c r="Y984" s="24"/>
      <c r="Z984" s="24"/>
      <c r="AA984" s="24"/>
      <c r="AB984" s="24"/>
      <c r="AC984" s="24"/>
    </row>
    <row r="985" spans="1:29" ht="12.9">
      <c r="A985" s="24"/>
      <c r="B985" s="24"/>
      <c r="C985" s="24"/>
      <c r="D985" s="24"/>
      <c r="E985" s="24"/>
      <c r="F985" s="117"/>
      <c r="G985" s="117"/>
      <c r="H985" s="24"/>
      <c r="I985" s="24"/>
      <c r="J985" s="24"/>
      <c r="K985" s="24"/>
      <c r="L985" s="24"/>
      <c r="M985" s="24"/>
      <c r="N985" s="24"/>
      <c r="O985" s="24"/>
      <c r="P985" s="24"/>
      <c r="Q985" s="24"/>
      <c r="R985" s="24"/>
      <c r="S985" s="24"/>
      <c r="T985" s="24"/>
      <c r="U985" s="24"/>
      <c r="V985" s="24"/>
      <c r="W985" s="24"/>
      <c r="X985" s="24"/>
      <c r="Y985" s="24"/>
      <c r="Z985" s="24"/>
      <c r="AA985" s="24"/>
      <c r="AB985" s="24"/>
      <c r="AC985" s="24"/>
    </row>
    <row r="986" spans="1:29" ht="12.9">
      <c r="A986" s="24"/>
      <c r="B986" s="24"/>
      <c r="C986" s="24"/>
      <c r="D986" s="24"/>
      <c r="E986" s="24"/>
      <c r="F986" s="117"/>
      <c r="G986" s="117"/>
      <c r="H986" s="24"/>
      <c r="I986" s="24"/>
      <c r="J986" s="24"/>
      <c r="K986" s="24"/>
      <c r="L986" s="24"/>
      <c r="M986" s="24"/>
      <c r="N986" s="24"/>
      <c r="O986" s="24"/>
      <c r="P986" s="24"/>
      <c r="Q986" s="24"/>
      <c r="R986" s="24"/>
      <c r="S986" s="24"/>
      <c r="T986" s="24"/>
      <c r="U986" s="24"/>
      <c r="V986" s="24"/>
      <c r="W986" s="24"/>
      <c r="X986" s="24"/>
      <c r="Y986" s="24"/>
      <c r="Z986" s="24"/>
      <c r="AA986" s="24"/>
      <c r="AB986" s="24"/>
      <c r="AC986" s="24"/>
    </row>
    <row r="987" spans="1:29" ht="12.9">
      <c r="A987" s="24"/>
      <c r="B987" s="24"/>
      <c r="C987" s="24"/>
      <c r="D987" s="24"/>
      <c r="E987" s="24"/>
      <c r="F987" s="117"/>
      <c r="G987" s="117"/>
      <c r="H987" s="24"/>
      <c r="I987" s="24"/>
      <c r="J987" s="24"/>
      <c r="K987" s="24"/>
      <c r="L987" s="24"/>
      <c r="M987" s="24"/>
      <c r="N987" s="24"/>
      <c r="O987" s="24"/>
      <c r="P987" s="24"/>
      <c r="Q987" s="24"/>
      <c r="R987" s="24"/>
      <c r="S987" s="24"/>
      <c r="T987" s="24"/>
      <c r="U987" s="24"/>
      <c r="V987" s="24"/>
      <c r="W987" s="24"/>
      <c r="X987" s="24"/>
      <c r="Y987" s="24"/>
      <c r="Z987" s="24"/>
      <c r="AA987" s="24"/>
      <c r="AB987" s="24"/>
      <c r="AC987" s="24"/>
    </row>
    <row r="988" spans="1:29" ht="12.9">
      <c r="A988" s="24"/>
      <c r="B988" s="24"/>
      <c r="C988" s="24"/>
      <c r="D988" s="24"/>
      <c r="E988" s="24"/>
      <c r="F988" s="117"/>
      <c r="G988" s="117"/>
      <c r="H988" s="24"/>
      <c r="I988" s="24"/>
      <c r="J988" s="24"/>
      <c r="K988" s="24"/>
      <c r="L988" s="24"/>
      <c r="M988" s="24"/>
      <c r="N988" s="24"/>
      <c r="O988" s="24"/>
      <c r="P988" s="24"/>
      <c r="Q988" s="24"/>
      <c r="R988" s="24"/>
      <c r="S988" s="24"/>
      <c r="T988" s="24"/>
      <c r="U988" s="24"/>
      <c r="V988" s="24"/>
      <c r="W988" s="24"/>
      <c r="X988" s="24"/>
      <c r="Y988" s="24"/>
      <c r="Z988" s="24"/>
      <c r="AA988" s="24"/>
      <c r="AB988" s="24"/>
      <c r="AC988" s="24"/>
    </row>
    <row r="989" spans="1:29" ht="12.9">
      <c r="A989" s="24"/>
      <c r="B989" s="24"/>
      <c r="C989" s="24"/>
      <c r="D989" s="24"/>
      <c r="E989" s="24"/>
      <c r="F989" s="117"/>
      <c r="G989" s="117"/>
      <c r="H989" s="24"/>
      <c r="I989" s="24"/>
      <c r="J989" s="24"/>
      <c r="K989" s="24"/>
      <c r="L989" s="24"/>
      <c r="M989" s="24"/>
      <c r="N989" s="24"/>
      <c r="O989" s="24"/>
      <c r="P989" s="24"/>
      <c r="Q989" s="24"/>
      <c r="R989" s="24"/>
      <c r="S989" s="24"/>
      <c r="T989" s="24"/>
      <c r="U989" s="24"/>
      <c r="V989" s="24"/>
      <c r="W989" s="24"/>
      <c r="X989" s="24"/>
      <c r="Y989" s="24"/>
      <c r="Z989" s="24"/>
      <c r="AA989" s="24"/>
      <c r="AB989" s="24"/>
      <c r="AC989" s="24"/>
    </row>
    <row r="990" spans="1:29" ht="12.9">
      <c r="A990" s="24"/>
      <c r="B990" s="24"/>
      <c r="C990" s="24"/>
      <c r="D990" s="24"/>
      <c r="E990" s="24"/>
      <c r="F990" s="117"/>
      <c r="G990" s="117"/>
      <c r="H990" s="24"/>
      <c r="I990" s="24"/>
      <c r="J990" s="24"/>
      <c r="K990" s="24"/>
      <c r="L990" s="24"/>
      <c r="M990" s="24"/>
      <c r="N990" s="24"/>
      <c r="O990" s="24"/>
      <c r="P990" s="24"/>
      <c r="Q990" s="24"/>
      <c r="R990" s="24"/>
      <c r="S990" s="24"/>
      <c r="T990" s="24"/>
      <c r="U990" s="24"/>
      <c r="V990" s="24"/>
      <c r="W990" s="24"/>
      <c r="X990" s="24"/>
      <c r="Y990" s="24"/>
      <c r="Z990" s="24"/>
      <c r="AA990" s="24"/>
      <c r="AB990" s="24"/>
      <c r="AC990" s="24"/>
    </row>
    <row r="991" spans="1:29" ht="12.9">
      <c r="A991" s="24"/>
      <c r="B991" s="24"/>
      <c r="C991" s="24"/>
      <c r="D991" s="24"/>
      <c r="E991" s="24"/>
      <c r="F991" s="117"/>
      <c r="G991" s="117"/>
      <c r="H991" s="24"/>
      <c r="I991" s="24"/>
      <c r="J991" s="24"/>
      <c r="K991" s="24"/>
      <c r="L991" s="24"/>
      <c r="M991" s="24"/>
      <c r="N991" s="24"/>
      <c r="O991" s="24"/>
      <c r="P991" s="24"/>
      <c r="Q991" s="24"/>
      <c r="R991" s="24"/>
      <c r="S991" s="24"/>
      <c r="T991" s="24"/>
      <c r="U991" s="24"/>
      <c r="V991" s="24"/>
      <c r="W991" s="24"/>
      <c r="X991" s="24"/>
      <c r="Y991" s="24"/>
      <c r="Z991" s="24"/>
      <c r="AA991" s="24"/>
      <c r="AB991" s="24"/>
      <c r="AC991" s="24"/>
    </row>
    <row r="992" spans="1:29" ht="12.9">
      <c r="A992" s="24"/>
      <c r="B992" s="24"/>
      <c r="C992" s="24"/>
      <c r="D992" s="24"/>
      <c r="E992" s="24"/>
      <c r="F992" s="117"/>
      <c r="G992" s="117"/>
      <c r="H992" s="24"/>
      <c r="I992" s="24"/>
      <c r="J992" s="24"/>
      <c r="K992" s="24"/>
      <c r="L992" s="24"/>
      <c r="M992" s="24"/>
      <c r="N992" s="24"/>
      <c r="O992" s="24"/>
      <c r="P992" s="24"/>
      <c r="Q992" s="24"/>
      <c r="R992" s="24"/>
      <c r="S992" s="24"/>
      <c r="T992" s="24"/>
      <c r="U992" s="24"/>
      <c r="V992" s="24"/>
      <c r="W992" s="24"/>
      <c r="X992" s="24"/>
      <c r="Y992" s="24"/>
      <c r="Z992" s="24"/>
      <c r="AA992" s="24"/>
      <c r="AB992" s="24"/>
      <c r="AC992" s="24"/>
    </row>
    <row r="993" spans="1:29" ht="12.9">
      <c r="A993" s="24"/>
      <c r="B993" s="24"/>
      <c r="C993" s="24"/>
      <c r="D993" s="24"/>
      <c r="E993" s="24"/>
      <c r="F993" s="117"/>
      <c r="G993" s="117"/>
      <c r="H993" s="24"/>
      <c r="I993" s="24"/>
      <c r="J993" s="24"/>
      <c r="K993" s="24"/>
      <c r="L993" s="24"/>
      <c r="M993" s="24"/>
      <c r="N993" s="24"/>
      <c r="O993" s="24"/>
      <c r="P993" s="24"/>
      <c r="Q993" s="24"/>
      <c r="R993" s="24"/>
      <c r="S993" s="24"/>
      <c r="T993" s="24"/>
      <c r="U993" s="24"/>
      <c r="V993" s="24"/>
      <c r="W993" s="24"/>
      <c r="X993" s="24"/>
      <c r="Y993" s="24"/>
      <c r="Z993" s="24"/>
      <c r="AA993" s="24"/>
      <c r="AB993" s="24"/>
      <c r="AC993" s="24"/>
    </row>
    <row r="994" spans="1:29" ht="12.9">
      <c r="A994" s="24"/>
      <c r="B994" s="24"/>
      <c r="C994" s="24"/>
      <c r="D994" s="24"/>
      <c r="E994" s="24"/>
      <c r="F994" s="117"/>
      <c r="G994" s="117"/>
      <c r="H994" s="24"/>
      <c r="I994" s="24"/>
      <c r="J994" s="24"/>
      <c r="K994" s="24"/>
      <c r="L994" s="24"/>
      <c r="M994" s="24"/>
      <c r="N994" s="24"/>
      <c r="O994" s="24"/>
      <c r="P994" s="24"/>
      <c r="Q994" s="24"/>
      <c r="R994" s="24"/>
      <c r="S994" s="24"/>
      <c r="T994" s="24"/>
      <c r="U994" s="24"/>
      <c r="V994" s="24"/>
      <c r="W994" s="24"/>
      <c r="X994" s="24"/>
      <c r="Y994" s="24"/>
      <c r="Z994" s="24"/>
      <c r="AA994" s="24"/>
      <c r="AB994" s="24"/>
      <c r="AC994" s="24"/>
    </row>
    <row r="995" spans="1:29" ht="12.9">
      <c r="A995" s="24"/>
      <c r="B995" s="24"/>
      <c r="C995" s="24"/>
      <c r="D995" s="24"/>
      <c r="E995" s="24"/>
      <c r="F995" s="117"/>
      <c r="G995" s="117"/>
      <c r="H995" s="24"/>
      <c r="I995" s="24"/>
      <c r="J995" s="24"/>
      <c r="K995" s="24"/>
      <c r="L995" s="24"/>
      <c r="M995" s="24"/>
      <c r="N995" s="24"/>
      <c r="O995" s="24"/>
      <c r="P995" s="24"/>
      <c r="Q995" s="24"/>
      <c r="R995" s="24"/>
      <c r="S995" s="24"/>
      <c r="T995" s="24"/>
      <c r="U995" s="24"/>
      <c r="V995" s="24"/>
      <c r="W995" s="24"/>
      <c r="X995" s="24"/>
      <c r="Y995" s="24"/>
      <c r="Z995" s="24"/>
      <c r="AA995" s="24"/>
      <c r="AB995" s="24"/>
      <c r="AC995" s="24"/>
    </row>
    <row r="996" spans="1:29" ht="12.9">
      <c r="A996" s="24"/>
      <c r="B996" s="24"/>
      <c r="C996" s="24"/>
      <c r="D996" s="24"/>
      <c r="E996" s="24"/>
      <c r="F996" s="117"/>
      <c r="G996" s="117"/>
      <c r="H996" s="24"/>
      <c r="I996" s="24"/>
      <c r="J996" s="24"/>
      <c r="K996" s="24"/>
      <c r="L996" s="24"/>
      <c r="M996" s="24"/>
      <c r="N996" s="24"/>
      <c r="O996" s="24"/>
      <c r="P996" s="24"/>
      <c r="Q996" s="24"/>
      <c r="R996" s="24"/>
      <c r="S996" s="24"/>
      <c r="T996" s="24"/>
      <c r="U996" s="24"/>
      <c r="V996" s="24"/>
      <c r="W996" s="24"/>
      <c r="X996" s="24"/>
      <c r="Y996" s="24"/>
      <c r="Z996" s="24"/>
      <c r="AA996" s="24"/>
      <c r="AB996" s="24"/>
      <c r="AC996" s="24"/>
    </row>
    <row r="997" spans="1:29" ht="12.9">
      <c r="A997" s="24"/>
      <c r="B997" s="24"/>
      <c r="C997" s="24"/>
      <c r="D997" s="24"/>
      <c r="E997" s="24"/>
      <c r="F997" s="117"/>
      <c r="G997" s="117"/>
      <c r="H997" s="24"/>
      <c r="I997" s="24"/>
      <c r="J997" s="24"/>
      <c r="K997" s="24"/>
      <c r="L997" s="24"/>
      <c r="M997" s="24"/>
      <c r="N997" s="24"/>
      <c r="O997" s="24"/>
      <c r="P997" s="24"/>
      <c r="Q997" s="24"/>
      <c r="R997" s="24"/>
      <c r="S997" s="24"/>
      <c r="T997" s="24"/>
      <c r="U997" s="24"/>
      <c r="V997" s="24"/>
      <c r="W997" s="24"/>
      <c r="X997" s="24"/>
      <c r="Y997" s="24"/>
      <c r="Z997" s="24"/>
      <c r="AA997" s="24"/>
      <c r="AB997" s="24"/>
      <c r="AC997" s="24"/>
    </row>
    <row r="998" spans="1:29" ht="12.9">
      <c r="A998" s="24"/>
      <c r="B998" s="24"/>
      <c r="C998" s="24"/>
      <c r="D998" s="24"/>
      <c r="E998" s="24"/>
      <c r="F998" s="117"/>
      <c r="G998" s="117"/>
      <c r="H998" s="24"/>
      <c r="I998" s="24"/>
      <c r="J998" s="24"/>
      <c r="K998" s="24"/>
      <c r="L998" s="24"/>
      <c r="M998" s="24"/>
      <c r="N998" s="24"/>
      <c r="O998" s="24"/>
      <c r="P998" s="24"/>
      <c r="Q998" s="24"/>
      <c r="R998" s="24"/>
      <c r="S998" s="24"/>
      <c r="T998" s="24"/>
      <c r="U998" s="24"/>
      <c r="V998" s="24"/>
      <c r="W998" s="24"/>
      <c r="X998" s="24"/>
      <c r="Y998" s="24"/>
      <c r="Z998" s="24"/>
      <c r="AA998" s="24"/>
      <c r="AB998" s="24"/>
      <c r="AC998" s="24"/>
    </row>
    <row r="999" spans="1:29" ht="12.9">
      <c r="A999" s="24"/>
      <c r="B999" s="24"/>
      <c r="C999" s="24"/>
      <c r="D999" s="24"/>
      <c r="E999" s="24"/>
      <c r="F999" s="117"/>
      <c r="G999" s="117"/>
      <c r="H999" s="24"/>
      <c r="I999" s="24"/>
      <c r="J999" s="24"/>
      <c r="K999" s="24"/>
      <c r="L999" s="24"/>
      <c r="M999" s="24"/>
      <c r="N999" s="24"/>
      <c r="O999" s="24"/>
      <c r="P999" s="24"/>
      <c r="Q999" s="24"/>
      <c r="R999" s="24"/>
      <c r="S999" s="24"/>
      <c r="T999" s="24"/>
      <c r="U999" s="24"/>
      <c r="V999" s="24"/>
      <c r="W999" s="24"/>
      <c r="X999" s="24"/>
      <c r="Y999" s="24"/>
      <c r="Z999" s="24"/>
      <c r="AA999" s="24"/>
      <c r="AB999" s="24"/>
      <c r="AC999" s="24"/>
    </row>
    <row r="1000" spans="1:29" ht="12.9">
      <c r="A1000" s="24"/>
      <c r="B1000" s="24"/>
      <c r="C1000" s="24"/>
      <c r="D1000" s="24"/>
      <c r="E1000" s="24"/>
      <c r="F1000" s="117"/>
      <c r="G1000" s="117"/>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row>
    <row r="1001" spans="1:29" ht="12.9">
      <c r="A1001" s="24"/>
      <c r="B1001" s="24"/>
      <c r="C1001" s="24"/>
      <c r="D1001" s="24"/>
      <c r="E1001" s="24"/>
      <c r="F1001" s="117"/>
      <c r="G1001" s="117"/>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row>
    <row r="1002" spans="1:29" ht="12.9">
      <c r="A1002" s="24"/>
      <c r="B1002" s="24"/>
      <c r="C1002" s="24"/>
      <c r="D1002" s="24"/>
      <c r="E1002" s="24"/>
      <c r="F1002" s="117"/>
      <c r="G1002" s="117"/>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row>
    <row r="1003" spans="1:29" ht="12.9">
      <c r="A1003" s="24"/>
      <c r="B1003" s="24"/>
      <c r="C1003" s="24"/>
      <c r="D1003" s="24"/>
      <c r="E1003" s="24"/>
      <c r="F1003" s="117"/>
      <c r="G1003" s="117"/>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row>
    <row r="1004" spans="1:29" ht="12.9">
      <c r="A1004" s="24"/>
      <c r="B1004" s="24"/>
      <c r="C1004" s="24"/>
      <c r="D1004" s="24"/>
      <c r="E1004" s="24"/>
      <c r="F1004" s="117"/>
      <c r="G1004" s="117"/>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row>
    <row r="1005" spans="1:29" ht="12.9">
      <c r="A1005" s="24"/>
      <c r="B1005" s="24"/>
      <c r="C1005" s="24"/>
      <c r="D1005" s="24"/>
      <c r="E1005" s="24"/>
      <c r="F1005" s="117"/>
      <c r="G1005" s="117"/>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row>
    <row r="1006" spans="1:29" ht="12.9">
      <c r="A1006" s="24"/>
      <c r="B1006" s="24"/>
      <c r="C1006" s="24"/>
      <c r="D1006" s="24"/>
      <c r="E1006" s="24"/>
      <c r="F1006" s="117"/>
      <c r="G1006" s="117"/>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row>
    <row r="1007" spans="1:29" ht="12.9">
      <c r="A1007" s="24"/>
      <c r="B1007" s="24"/>
      <c r="C1007" s="24"/>
      <c r="D1007" s="24"/>
      <c r="E1007" s="24"/>
      <c r="F1007" s="117"/>
      <c r="G1007" s="117"/>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row>
    <row r="1008" spans="1:29" ht="12.9">
      <c r="A1008" s="24"/>
      <c r="B1008" s="24"/>
      <c r="C1008" s="24"/>
      <c r="D1008" s="24"/>
      <c r="E1008" s="24"/>
      <c r="F1008" s="117"/>
      <c r="G1008" s="117"/>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row>
    <row r="1009" spans="1:29" ht="12.9">
      <c r="A1009" s="24"/>
      <c r="B1009" s="24"/>
      <c r="C1009" s="24"/>
      <c r="D1009" s="24"/>
      <c r="E1009" s="24"/>
      <c r="F1009" s="117"/>
      <c r="G1009" s="117"/>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row>
    <row r="1010" spans="1:29" ht="12.9">
      <c r="A1010" s="24"/>
      <c r="B1010" s="24"/>
      <c r="C1010" s="24"/>
      <c r="D1010" s="24"/>
      <c r="E1010" s="24"/>
      <c r="F1010" s="117"/>
      <c r="G1010" s="117"/>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row>
    <row r="1011" spans="1:29" ht="12.9">
      <c r="A1011" s="24"/>
      <c r="B1011" s="24"/>
      <c r="C1011" s="24"/>
      <c r="D1011" s="24"/>
      <c r="E1011" s="24"/>
      <c r="F1011" s="117"/>
      <c r="G1011" s="117"/>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row>
    <row r="1012" spans="1:29" ht="12.9">
      <c r="A1012" s="24"/>
      <c r="B1012" s="24"/>
      <c r="C1012" s="24"/>
      <c r="D1012" s="24"/>
      <c r="E1012" s="24"/>
      <c r="F1012" s="117"/>
      <c r="G1012" s="117"/>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row>
    <row r="1013" spans="1:29" ht="12.9">
      <c r="A1013" s="24"/>
      <c r="B1013" s="24"/>
      <c r="C1013" s="24"/>
      <c r="D1013" s="24"/>
      <c r="E1013" s="24"/>
      <c r="F1013" s="117"/>
      <c r="G1013" s="117"/>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row>
    <row r="1014" spans="1:29" ht="12.9">
      <c r="A1014" s="24"/>
      <c r="B1014" s="24"/>
      <c r="C1014" s="24"/>
      <c r="D1014" s="24"/>
      <c r="E1014" s="24"/>
      <c r="F1014" s="117"/>
      <c r="G1014" s="117"/>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row>
    <row r="1015" spans="1:29" ht="12.9">
      <c r="A1015" s="24"/>
      <c r="B1015" s="24"/>
      <c r="C1015" s="24"/>
      <c r="D1015" s="24"/>
      <c r="E1015" s="24"/>
      <c r="F1015" s="117"/>
      <c r="G1015" s="117"/>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row>
    <row r="1016" spans="1:29" ht="12.9">
      <c r="A1016" s="24"/>
      <c r="B1016" s="24"/>
      <c r="C1016" s="24"/>
      <c r="D1016" s="24"/>
      <c r="E1016" s="24"/>
      <c r="F1016" s="117"/>
      <c r="G1016" s="117"/>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row>
    <row r="1017" spans="1:29" ht="12.9">
      <c r="A1017" s="24"/>
      <c r="B1017" s="24"/>
      <c r="C1017" s="24"/>
      <c r="D1017" s="24"/>
      <c r="E1017" s="24"/>
      <c r="F1017" s="117"/>
      <c r="G1017" s="117"/>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row>
    <row r="1018" spans="1:29" ht="12.9">
      <c r="A1018" s="24"/>
      <c r="B1018" s="24"/>
      <c r="C1018" s="24"/>
      <c r="D1018" s="24"/>
      <c r="E1018" s="24"/>
      <c r="F1018" s="117"/>
      <c r="G1018" s="117"/>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row>
    <row r="1019" spans="1:29" ht="12.9">
      <c r="A1019" s="24"/>
      <c r="B1019" s="24"/>
      <c r="C1019" s="24"/>
      <c r="D1019" s="24"/>
      <c r="E1019" s="24"/>
      <c r="F1019" s="117"/>
      <c r="G1019" s="117"/>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row>
    <row r="1020" spans="1:29" ht="12.9">
      <c r="A1020" s="24"/>
      <c r="B1020" s="24"/>
      <c r="C1020" s="24"/>
      <c r="D1020" s="24"/>
      <c r="E1020" s="24"/>
      <c r="F1020" s="117"/>
      <c r="G1020" s="117"/>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row>
    <row r="1021" spans="1:29" ht="12.9">
      <c r="A1021" s="24"/>
      <c r="B1021" s="24"/>
      <c r="C1021" s="24"/>
      <c r="D1021" s="24"/>
      <c r="E1021" s="24"/>
      <c r="F1021" s="117"/>
      <c r="G1021" s="117"/>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row>
    <row r="1022" spans="1:29" ht="12.9">
      <c r="A1022" s="24"/>
      <c r="B1022" s="24"/>
      <c r="C1022" s="24"/>
      <c r="D1022" s="24"/>
      <c r="E1022" s="24"/>
      <c r="F1022" s="117"/>
      <c r="G1022" s="117"/>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row>
    <row r="1023" spans="1:29" ht="12.9">
      <c r="A1023" s="24"/>
      <c r="B1023" s="24"/>
      <c r="C1023" s="24"/>
      <c r="D1023" s="24"/>
      <c r="E1023" s="24"/>
      <c r="F1023" s="117"/>
      <c r="G1023" s="117"/>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row>
    <row r="1024" spans="1:29" ht="12.9">
      <c r="A1024" s="24"/>
      <c r="B1024" s="24"/>
      <c r="C1024" s="24"/>
      <c r="D1024" s="24"/>
      <c r="E1024" s="24"/>
      <c r="F1024" s="117"/>
      <c r="G1024" s="117"/>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row>
    <row r="1025" spans="1:29" ht="12.9">
      <c r="A1025" s="24"/>
      <c r="B1025" s="24"/>
      <c r="C1025" s="24"/>
      <c r="D1025" s="24"/>
      <c r="E1025" s="24"/>
      <c r="F1025" s="117"/>
      <c r="G1025" s="117"/>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row>
    <row r="1026" spans="1:29" ht="12.9">
      <c r="A1026" s="24"/>
      <c r="B1026" s="24"/>
      <c r="C1026" s="24"/>
      <c r="D1026" s="24"/>
      <c r="E1026" s="24"/>
      <c r="F1026" s="117"/>
      <c r="G1026" s="117"/>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row>
    <row r="1027" spans="1:29" ht="12.9">
      <c r="A1027" s="24"/>
      <c r="B1027" s="24"/>
      <c r="C1027" s="24"/>
      <c r="D1027" s="24"/>
      <c r="E1027" s="24"/>
      <c r="F1027" s="117"/>
      <c r="G1027" s="117"/>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row>
    <row r="1028" spans="1:29" ht="12.9">
      <c r="A1028" s="24"/>
      <c r="B1028" s="24"/>
      <c r="C1028" s="24"/>
      <c r="D1028" s="24"/>
      <c r="E1028" s="24"/>
      <c r="F1028" s="117"/>
      <c r="G1028" s="117"/>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row>
    <row r="1029" spans="1:29" ht="12.9">
      <c r="A1029" s="24"/>
      <c r="B1029" s="24"/>
      <c r="C1029" s="24"/>
      <c r="D1029" s="24"/>
      <c r="E1029" s="24"/>
      <c r="F1029" s="117"/>
      <c r="G1029" s="117"/>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row>
    <row r="1030" spans="1:29" ht="12.9">
      <c r="A1030" s="24"/>
      <c r="B1030" s="24"/>
      <c r="C1030" s="24"/>
      <c r="D1030" s="24"/>
      <c r="E1030" s="24"/>
      <c r="F1030" s="117"/>
      <c r="G1030" s="117"/>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row>
    <row r="1031" spans="1:29" ht="12.9">
      <c r="A1031" s="24"/>
      <c r="B1031" s="24"/>
      <c r="C1031" s="24"/>
      <c r="D1031" s="24"/>
      <c r="E1031" s="24"/>
      <c r="F1031" s="117"/>
      <c r="G1031" s="117"/>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row>
    <row r="1032" spans="1:29" ht="12.9">
      <c r="A1032" s="24"/>
      <c r="B1032" s="24"/>
      <c r="C1032" s="24"/>
      <c r="D1032" s="24"/>
      <c r="E1032" s="24"/>
      <c r="F1032" s="117"/>
      <c r="G1032" s="117"/>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row>
    <row r="1033" spans="1:29" ht="12.9">
      <c r="A1033" s="24"/>
      <c r="B1033" s="24"/>
      <c r="C1033" s="24"/>
      <c r="D1033" s="24"/>
      <c r="E1033" s="24"/>
      <c r="F1033" s="117"/>
      <c r="G1033" s="117"/>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row>
    <row r="1034" spans="1:29" ht="12.9">
      <c r="A1034" s="24"/>
      <c r="B1034" s="24"/>
      <c r="C1034" s="24"/>
      <c r="D1034" s="24"/>
      <c r="E1034" s="24"/>
      <c r="F1034" s="117"/>
      <c r="G1034" s="117"/>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row>
    <row r="1035" spans="1:29" ht="12.9">
      <c r="A1035" s="24"/>
      <c r="B1035" s="24"/>
      <c r="C1035" s="24"/>
      <c r="D1035" s="24"/>
      <c r="E1035" s="24"/>
      <c r="F1035" s="117"/>
      <c r="G1035" s="117"/>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row>
    <row r="1036" spans="1:29" ht="12.9">
      <c r="A1036" s="24"/>
      <c r="B1036" s="24"/>
      <c r="C1036" s="24"/>
      <c r="D1036" s="24"/>
      <c r="E1036" s="24"/>
      <c r="F1036" s="117"/>
      <c r="G1036" s="117"/>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row>
    <row r="1037" spans="1:29" ht="12.9">
      <c r="A1037" s="24"/>
      <c r="B1037" s="24"/>
      <c r="C1037" s="24"/>
      <c r="D1037" s="24"/>
      <c r="E1037" s="24"/>
      <c r="F1037" s="117"/>
      <c r="G1037" s="117"/>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row>
    <row r="1038" spans="1:29" ht="12.9">
      <c r="A1038" s="24"/>
      <c r="B1038" s="24"/>
      <c r="C1038" s="24"/>
      <c r="D1038" s="24"/>
      <c r="E1038" s="24"/>
      <c r="F1038" s="117"/>
      <c r="G1038" s="117"/>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row>
    <row r="1039" spans="1:29" ht="12.9">
      <c r="A1039" s="24"/>
      <c r="B1039" s="24"/>
      <c r="C1039" s="24"/>
      <c r="D1039" s="24"/>
      <c r="E1039" s="24"/>
      <c r="F1039" s="117"/>
      <c r="G1039" s="117"/>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row>
    <row r="1040" spans="1:29" ht="12.9">
      <c r="A1040" s="24"/>
      <c r="B1040" s="24"/>
      <c r="C1040" s="24"/>
      <c r="D1040" s="24"/>
      <c r="E1040" s="24"/>
      <c r="F1040" s="117"/>
      <c r="G1040" s="117"/>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row>
    <row r="1041" spans="1:29" ht="12.9">
      <c r="A1041" s="24"/>
      <c r="B1041" s="24"/>
      <c r="C1041" s="24"/>
      <c r="D1041" s="24"/>
      <c r="E1041" s="24"/>
      <c r="F1041" s="117"/>
      <c r="G1041" s="117"/>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row>
    <row r="1042" spans="1:29" ht="12.9">
      <c r="A1042" s="24"/>
      <c r="B1042" s="24"/>
      <c r="C1042" s="24"/>
      <c r="D1042" s="24"/>
      <c r="E1042" s="24"/>
      <c r="F1042" s="117"/>
      <c r="G1042" s="117"/>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row>
    <row r="1043" spans="1:29" ht="12.9">
      <c r="A1043" s="24"/>
      <c r="B1043" s="24"/>
      <c r="C1043" s="24"/>
      <c r="D1043" s="24"/>
      <c r="E1043" s="24"/>
      <c r="F1043" s="117"/>
      <c r="G1043" s="117"/>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row>
    <row r="1044" spans="1:29" ht="12.9">
      <c r="A1044" s="24"/>
      <c r="B1044" s="24"/>
      <c r="C1044" s="24"/>
      <c r="D1044" s="24"/>
      <c r="E1044" s="24"/>
      <c r="F1044" s="117"/>
      <c r="G1044" s="117"/>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row>
    <row r="1045" spans="1:29" ht="12.9">
      <c r="A1045" s="24"/>
      <c r="B1045" s="24"/>
      <c r="C1045" s="24"/>
      <c r="D1045" s="24"/>
      <c r="E1045" s="24"/>
      <c r="F1045" s="117"/>
      <c r="G1045" s="117"/>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row>
    <row r="1046" spans="1:29" ht="12.9">
      <c r="A1046" s="24"/>
      <c r="B1046" s="24"/>
      <c r="C1046" s="24"/>
      <c r="D1046" s="24"/>
      <c r="E1046" s="24"/>
      <c r="F1046" s="117"/>
      <c r="G1046" s="117"/>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row>
    <row r="1047" spans="1:29" ht="12.9">
      <c r="A1047" s="24"/>
      <c r="B1047" s="24"/>
      <c r="C1047" s="24"/>
      <c r="D1047" s="24"/>
      <c r="E1047" s="24"/>
      <c r="F1047" s="117"/>
      <c r="G1047" s="117"/>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row>
    <row r="1048" spans="1:29" ht="12.9">
      <c r="A1048" s="24"/>
      <c r="B1048" s="24"/>
      <c r="C1048" s="24"/>
      <c r="D1048" s="24"/>
      <c r="E1048" s="24"/>
      <c r="F1048" s="117"/>
      <c r="G1048" s="117"/>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row>
    <row r="1049" spans="1:29" ht="12.9">
      <c r="A1049" s="24"/>
      <c r="B1049" s="24"/>
      <c r="C1049" s="24"/>
      <c r="D1049" s="24"/>
      <c r="E1049" s="24"/>
      <c r="F1049" s="117"/>
      <c r="G1049" s="117"/>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row>
    <row r="1050" spans="1:29" ht="12.9">
      <c r="A1050" s="24"/>
      <c r="B1050" s="24"/>
      <c r="C1050" s="24"/>
      <c r="D1050" s="24"/>
      <c r="E1050" s="24"/>
      <c r="F1050" s="117"/>
      <c r="G1050" s="117"/>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row>
    <row r="1051" spans="1:29" ht="12.9">
      <c r="A1051" s="24"/>
      <c r="B1051" s="24"/>
      <c r="C1051" s="24"/>
      <c r="D1051" s="24"/>
      <c r="E1051" s="24"/>
      <c r="F1051" s="117"/>
      <c r="G1051" s="117"/>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row>
    <row r="1052" spans="1:29" ht="12.9">
      <c r="A1052" s="24"/>
      <c r="B1052" s="24"/>
      <c r="C1052" s="24"/>
      <c r="D1052" s="24"/>
      <c r="E1052" s="24"/>
      <c r="F1052" s="117"/>
      <c r="G1052" s="117"/>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row>
    <row r="1053" spans="1:29" ht="12.9">
      <c r="A1053" s="24"/>
      <c r="B1053" s="24"/>
      <c r="C1053" s="24"/>
      <c r="D1053" s="24"/>
      <c r="E1053" s="24"/>
      <c r="F1053" s="117"/>
      <c r="G1053" s="117"/>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row>
    <row r="1054" spans="1:29" ht="12.9">
      <c r="A1054" s="24"/>
      <c r="B1054" s="24"/>
      <c r="C1054" s="24"/>
      <c r="D1054" s="24"/>
      <c r="E1054" s="24"/>
      <c r="F1054" s="117"/>
      <c r="G1054" s="117"/>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row>
    <row r="1055" spans="1:29" ht="12.9">
      <c r="A1055" s="24"/>
      <c r="B1055" s="24"/>
      <c r="C1055" s="24"/>
      <c r="D1055" s="24"/>
      <c r="E1055" s="24"/>
      <c r="F1055" s="117"/>
      <c r="G1055" s="117"/>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row>
    <row r="1056" spans="1:29" ht="12.9">
      <c r="A1056" s="24"/>
      <c r="B1056" s="24"/>
      <c r="C1056" s="24"/>
      <c r="D1056" s="24"/>
      <c r="E1056" s="24"/>
      <c r="F1056" s="117"/>
      <c r="G1056" s="117"/>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row>
    <row r="1057" spans="1:29" ht="12.9">
      <c r="A1057" s="24"/>
      <c r="B1057" s="24"/>
      <c r="C1057" s="24"/>
      <c r="D1057" s="24"/>
      <c r="E1057" s="24"/>
      <c r="F1057" s="117"/>
      <c r="G1057" s="117"/>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row>
    <row r="1058" spans="1:29" ht="12.9">
      <c r="A1058" s="24"/>
      <c r="B1058" s="24"/>
      <c r="C1058" s="24"/>
      <c r="D1058" s="24"/>
      <c r="E1058" s="24"/>
      <c r="F1058" s="117"/>
      <c r="G1058" s="117"/>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row>
    <row r="1059" spans="1:29" ht="12.9">
      <c r="A1059" s="24"/>
      <c r="B1059" s="24"/>
      <c r="C1059" s="24"/>
      <c r="D1059" s="24"/>
      <c r="E1059" s="24"/>
      <c r="F1059" s="117"/>
      <c r="G1059" s="117"/>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row>
    <row r="1060" spans="1:29" ht="12.9">
      <c r="A1060" s="24"/>
      <c r="B1060" s="24"/>
      <c r="C1060" s="24"/>
      <c r="D1060" s="24"/>
      <c r="E1060" s="24"/>
      <c r="F1060" s="117"/>
      <c r="G1060" s="117"/>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row>
    <row r="1061" spans="1:29" ht="12.9">
      <c r="A1061" s="24"/>
      <c r="B1061" s="24"/>
      <c r="C1061" s="24"/>
      <c r="D1061" s="24"/>
      <c r="E1061" s="24"/>
      <c r="F1061" s="117"/>
      <c r="G1061" s="117"/>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row>
    <row r="1062" spans="1:29" ht="12.9">
      <c r="A1062" s="24"/>
      <c r="B1062" s="24"/>
      <c r="C1062" s="24"/>
      <c r="D1062" s="24"/>
      <c r="E1062" s="24"/>
      <c r="F1062" s="117"/>
      <c r="G1062" s="117"/>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row>
    <row r="1063" spans="1:29" ht="12.9">
      <c r="A1063" s="24"/>
      <c r="B1063" s="24"/>
      <c r="C1063" s="24"/>
      <c r="D1063" s="24"/>
      <c r="E1063" s="24"/>
      <c r="F1063" s="117"/>
      <c r="G1063" s="117"/>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row>
    <row r="1064" spans="1:29" ht="12.9">
      <c r="A1064" s="24"/>
      <c r="B1064" s="24"/>
      <c r="C1064" s="24"/>
      <c r="D1064" s="24"/>
      <c r="E1064" s="24"/>
      <c r="F1064" s="117"/>
      <c r="G1064" s="117"/>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row>
    <row r="1065" spans="1:29" ht="12.9">
      <c r="A1065" s="24"/>
      <c r="B1065" s="24"/>
      <c r="C1065" s="24"/>
      <c r="D1065" s="24"/>
      <c r="E1065" s="24"/>
      <c r="F1065" s="117"/>
      <c r="G1065" s="117"/>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row>
    <row r="1066" spans="1:29" ht="12.9">
      <c r="A1066" s="24"/>
      <c r="B1066" s="24"/>
      <c r="C1066" s="24"/>
      <c r="D1066" s="24"/>
      <c r="E1066" s="24"/>
      <c r="F1066" s="117"/>
      <c r="G1066" s="117"/>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row>
    <row r="1067" spans="1:29" ht="12.9">
      <c r="A1067" s="24"/>
      <c r="B1067" s="24"/>
      <c r="C1067" s="24"/>
      <c r="D1067" s="24"/>
      <c r="E1067" s="24"/>
      <c r="F1067" s="117"/>
      <c r="G1067" s="117"/>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row>
    <row r="1068" spans="1:29" ht="12.9">
      <c r="A1068" s="24"/>
      <c r="B1068" s="24"/>
      <c r="C1068" s="24"/>
      <c r="D1068" s="24"/>
      <c r="E1068" s="24"/>
      <c r="F1068" s="117"/>
      <c r="G1068" s="117"/>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row>
    <row r="1069" spans="1:29" ht="12.9">
      <c r="A1069" s="24"/>
      <c r="B1069" s="24"/>
      <c r="C1069" s="24"/>
      <c r="D1069" s="24"/>
      <c r="E1069" s="24"/>
      <c r="F1069" s="117"/>
      <c r="G1069" s="117"/>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row>
    <row r="1070" spans="1:29" ht="12.9">
      <c r="A1070" s="24"/>
      <c r="B1070" s="24"/>
      <c r="C1070" s="24"/>
      <c r="D1070" s="24"/>
      <c r="E1070" s="24"/>
      <c r="F1070" s="117"/>
      <c r="G1070" s="117"/>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row>
    <row r="1071" spans="1:29" ht="12.9">
      <c r="A1071" s="24"/>
      <c r="B1071" s="24"/>
      <c r="C1071" s="24"/>
      <c r="D1071" s="24"/>
      <c r="E1071" s="24"/>
      <c r="F1071" s="117"/>
      <c r="G1071" s="117"/>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row>
    <row r="1072" spans="1:29" ht="12.9">
      <c r="A1072" s="24"/>
      <c r="B1072" s="24"/>
      <c r="C1072" s="24"/>
      <c r="D1072" s="24"/>
      <c r="E1072" s="24"/>
      <c r="F1072" s="117"/>
      <c r="G1072" s="117"/>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row>
    <row r="1073" spans="1:29" ht="12.9">
      <c r="A1073" s="24"/>
      <c r="B1073" s="24"/>
      <c r="C1073" s="24"/>
      <c r="D1073" s="24"/>
      <c r="E1073" s="24"/>
      <c r="F1073" s="117"/>
      <c r="G1073" s="117"/>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row>
    <row r="1074" spans="1:29" ht="12.9">
      <c r="A1074" s="24"/>
      <c r="B1074" s="24"/>
      <c r="C1074" s="24"/>
      <c r="D1074" s="24"/>
      <c r="E1074" s="24"/>
      <c r="F1074" s="117"/>
      <c r="G1074" s="117"/>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row>
    <row r="1075" spans="1:29" ht="12.9">
      <c r="A1075" s="24"/>
      <c r="B1075" s="24"/>
      <c r="C1075" s="24"/>
      <c r="D1075" s="24"/>
      <c r="E1075" s="24"/>
      <c r="F1075" s="117"/>
      <c r="G1075" s="117"/>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row>
    <row r="1076" spans="1:29" ht="12.9">
      <c r="A1076" s="24"/>
      <c r="B1076" s="24"/>
      <c r="C1076" s="24"/>
      <c r="D1076" s="24"/>
      <c r="E1076" s="24"/>
      <c r="F1076" s="117"/>
      <c r="G1076" s="117"/>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row>
    <row r="1077" spans="1:29" ht="12.9">
      <c r="A1077" s="24"/>
      <c r="B1077" s="24"/>
      <c r="C1077" s="24"/>
      <c r="D1077" s="24"/>
      <c r="E1077" s="24"/>
      <c r="F1077" s="117"/>
      <c r="G1077" s="117"/>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row>
    <row r="1078" spans="1:29" ht="12.9">
      <c r="A1078" s="24"/>
      <c r="B1078" s="24"/>
      <c r="C1078" s="24"/>
      <c r="D1078" s="24"/>
      <c r="E1078" s="24"/>
      <c r="F1078" s="117"/>
      <c r="G1078" s="117"/>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row>
    <row r="1079" spans="1:29" ht="12.9">
      <c r="A1079" s="24"/>
      <c r="B1079" s="24"/>
      <c r="C1079" s="24"/>
      <c r="D1079" s="24"/>
      <c r="E1079" s="24"/>
      <c r="F1079" s="117"/>
      <c r="G1079" s="117"/>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row>
    <row r="1080" spans="1:29" ht="12.9">
      <c r="A1080" s="24"/>
      <c r="B1080" s="24"/>
      <c r="C1080" s="24"/>
      <c r="D1080" s="24"/>
      <c r="E1080" s="24"/>
      <c r="F1080" s="117"/>
      <c r="G1080" s="117"/>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row>
    <row r="1081" spans="1:29" ht="12.9">
      <c r="A1081" s="24"/>
      <c r="B1081" s="24"/>
      <c r="C1081" s="24"/>
      <c r="D1081" s="24"/>
      <c r="E1081" s="24"/>
      <c r="F1081" s="117"/>
      <c r="G1081" s="117"/>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row>
    <row r="1082" spans="1:29" ht="12.9">
      <c r="A1082" s="24"/>
      <c r="B1082" s="24"/>
      <c r="C1082" s="24"/>
      <c r="D1082" s="24"/>
      <c r="E1082" s="24"/>
      <c r="F1082" s="117"/>
      <c r="G1082" s="117"/>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row>
    <row r="1083" spans="1:29" ht="12.9">
      <c r="A1083" s="24"/>
      <c r="B1083" s="24"/>
      <c r="C1083" s="24"/>
      <c r="D1083" s="24"/>
      <c r="E1083" s="24"/>
      <c r="F1083" s="117"/>
      <c r="G1083" s="117"/>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row>
    <row r="1084" spans="1:29" ht="12.9">
      <c r="A1084" s="24"/>
      <c r="B1084" s="24"/>
      <c r="C1084" s="24"/>
      <c r="D1084" s="24"/>
      <c r="E1084" s="24"/>
      <c r="F1084" s="117"/>
      <c r="G1084" s="117"/>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row>
    <row r="1085" spans="1:29" ht="12.9">
      <c r="A1085" s="24"/>
      <c r="B1085" s="24"/>
      <c r="C1085" s="24"/>
      <c r="D1085" s="24"/>
      <c r="E1085" s="24"/>
      <c r="F1085" s="117"/>
      <c r="G1085" s="117"/>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row>
    <row r="1086" spans="1:29" ht="12.9">
      <c r="A1086" s="24"/>
      <c r="B1086" s="24"/>
      <c r="C1086" s="24"/>
      <c r="D1086" s="24"/>
      <c r="E1086" s="24"/>
      <c r="F1086" s="117"/>
      <c r="G1086" s="117"/>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row>
    <row r="1087" spans="1:29" ht="12.9">
      <c r="A1087" s="24"/>
      <c r="B1087" s="24"/>
      <c r="C1087" s="24"/>
      <c r="D1087" s="24"/>
      <c r="E1087" s="24"/>
      <c r="F1087" s="117"/>
      <c r="G1087" s="117"/>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row>
    <row r="1088" spans="1:29" ht="12.9">
      <c r="A1088" s="24"/>
      <c r="B1088" s="24"/>
      <c r="C1088" s="24"/>
      <c r="D1088" s="24"/>
      <c r="E1088" s="24"/>
      <c r="F1088" s="117"/>
      <c r="G1088" s="117"/>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row>
    <row r="1089" spans="1:29" ht="12.9">
      <c r="A1089" s="24"/>
      <c r="B1089" s="24"/>
      <c r="C1089" s="24"/>
      <c r="D1089" s="24"/>
      <c r="E1089" s="24"/>
      <c r="F1089" s="117"/>
      <c r="G1089" s="117"/>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row>
    <row r="1090" spans="1:29" ht="12.9">
      <c r="A1090" s="24"/>
      <c r="B1090" s="24"/>
      <c r="C1090" s="24"/>
      <c r="D1090" s="24"/>
      <c r="E1090" s="24"/>
      <c r="F1090" s="117"/>
      <c r="G1090" s="117"/>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row>
    <row r="1091" spans="1:29" ht="12.9">
      <c r="A1091" s="24"/>
      <c r="B1091" s="24"/>
      <c r="C1091" s="24"/>
      <c r="D1091" s="24"/>
      <c r="E1091" s="24"/>
      <c r="F1091" s="117"/>
      <c r="G1091" s="117"/>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row>
    <row r="1092" spans="1:29" ht="12.9">
      <c r="A1092" s="24"/>
      <c r="B1092" s="24"/>
      <c r="C1092" s="24"/>
      <c r="D1092" s="24"/>
      <c r="E1092" s="24"/>
      <c r="F1092" s="117"/>
      <c r="G1092" s="117"/>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row>
    <row r="1093" spans="1:29" ht="12.9">
      <c r="A1093" s="24"/>
      <c r="B1093" s="24"/>
      <c r="C1093" s="24"/>
      <c r="D1093" s="24"/>
      <c r="E1093" s="24"/>
      <c r="F1093" s="117"/>
      <c r="G1093" s="117"/>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row>
    <row r="1094" spans="1:29" ht="12.9">
      <c r="A1094" s="24"/>
      <c r="B1094" s="24"/>
      <c r="C1094" s="24"/>
      <c r="D1094" s="24"/>
      <c r="E1094" s="24"/>
      <c r="F1094" s="117"/>
      <c r="G1094" s="117"/>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row>
    <row r="1095" spans="1:29" ht="12.9">
      <c r="A1095" s="24"/>
      <c r="B1095" s="24"/>
      <c r="C1095" s="24"/>
      <c r="D1095" s="24"/>
      <c r="E1095" s="24"/>
      <c r="F1095" s="117"/>
      <c r="G1095" s="117"/>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row>
    <row r="1096" spans="1:29" ht="12.9">
      <c r="A1096" s="24"/>
      <c r="B1096" s="24"/>
      <c r="C1096" s="24"/>
      <c r="D1096" s="24"/>
      <c r="E1096" s="24"/>
      <c r="F1096" s="117"/>
      <c r="G1096" s="117"/>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row>
    <row r="1097" spans="1:29" ht="12.9">
      <c r="A1097" s="24"/>
      <c r="B1097" s="24"/>
      <c r="C1097" s="24"/>
      <c r="D1097" s="24"/>
      <c r="E1097" s="24"/>
      <c r="F1097" s="117"/>
      <c r="G1097" s="117"/>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row>
    <row r="1098" spans="1:29" ht="12.9">
      <c r="A1098" s="24"/>
      <c r="B1098" s="24"/>
      <c r="C1098" s="24"/>
      <c r="D1098" s="24"/>
      <c r="E1098" s="24"/>
      <c r="F1098" s="117"/>
      <c r="G1098" s="117"/>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row>
    <row r="1099" spans="1:29" ht="12.9">
      <c r="A1099" s="24"/>
      <c r="B1099" s="24"/>
      <c r="C1099" s="24"/>
      <c r="D1099" s="24"/>
      <c r="E1099" s="24"/>
      <c r="F1099" s="117"/>
      <c r="G1099" s="117"/>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row>
    <row r="1100" spans="1:29" ht="12.9">
      <c r="A1100" s="24"/>
      <c r="B1100" s="24"/>
      <c r="C1100" s="24"/>
      <c r="D1100" s="24"/>
      <c r="E1100" s="24"/>
      <c r="F1100" s="117"/>
      <c r="G1100" s="117"/>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row>
    <row r="1101" spans="1:29" ht="12.9">
      <c r="A1101" s="24"/>
      <c r="B1101" s="24"/>
      <c r="C1101" s="24"/>
      <c r="D1101" s="24"/>
      <c r="E1101" s="24"/>
      <c r="F1101" s="117"/>
      <c r="G1101" s="117"/>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row>
    <row r="1102" spans="1:29" ht="12.9">
      <c r="A1102" s="24"/>
      <c r="B1102" s="24"/>
      <c r="C1102" s="24"/>
      <c r="D1102" s="24"/>
      <c r="E1102" s="24"/>
      <c r="F1102" s="117"/>
      <c r="G1102" s="117"/>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row>
    <row r="1103" spans="1:29" ht="12.9">
      <c r="A1103" s="24"/>
      <c r="B1103" s="24"/>
      <c r="C1103" s="24"/>
      <c r="D1103" s="24"/>
      <c r="E1103" s="24"/>
      <c r="F1103" s="117"/>
      <c r="G1103" s="117"/>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row>
    <row r="1104" spans="1:29" ht="12.9">
      <c r="A1104" s="24"/>
      <c r="B1104" s="24"/>
      <c r="C1104" s="24"/>
      <c r="D1104" s="24"/>
      <c r="E1104" s="24"/>
      <c r="F1104" s="117"/>
      <c r="G1104" s="117"/>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row>
    <row r="1105" spans="1:29" ht="12.9">
      <c r="A1105" s="24"/>
      <c r="B1105" s="24"/>
      <c r="C1105" s="24"/>
      <c r="D1105" s="24"/>
      <c r="E1105" s="24"/>
      <c r="F1105" s="117"/>
      <c r="G1105" s="117"/>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row>
    <row r="1106" spans="1:29" ht="12.9">
      <c r="A1106" s="24"/>
      <c r="B1106" s="24"/>
      <c r="C1106" s="24"/>
      <c r="D1106" s="24"/>
      <c r="E1106" s="24"/>
      <c r="F1106" s="117"/>
      <c r="G1106" s="117"/>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row>
    <row r="1107" spans="1:29" ht="12.9">
      <c r="A1107" s="24"/>
      <c r="B1107" s="24"/>
      <c r="C1107" s="24"/>
      <c r="D1107" s="24"/>
      <c r="E1107" s="24"/>
      <c r="F1107" s="117"/>
      <c r="G1107" s="117"/>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row>
    <row r="1108" spans="1:29" ht="12.9">
      <c r="A1108" s="24"/>
      <c r="B1108" s="24"/>
      <c r="C1108" s="24"/>
      <c r="D1108" s="24"/>
      <c r="E1108" s="24"/>
      <c r="F1108" s="117"/>
      <c r="G1108" s="117"/>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row>
    <row r="1109" spans="1:29" ht="12.9">
      <c r="A1109" s="24"/>
      <c r="B1109" s="24"/>
      <c r="C1109" s="24"/>
      <c r="D1109" s="24"/>
      <c r="E1109" s="24"/>
      <c r="F1109" s="117"/>
      <c r="G1109" s="117"/>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row>
    <row r="1110" spans="1:29" ht="12.9">
      <c r="A1110" s="24"/>
      <c r="B1110" s="24"/>
      <c r="C1110" s="24"/>
      <c r="D1110" s="24"/>
      <c r="E1110" s="24"/>
      <c r="F1110" s="117"/>
      <c r="G1110" s="117"/>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row>
    <row r="1111" spans="1:29" ht="12.9">
      <c r="A1111" s="24"/>
      <c r="B1111" s="24"/>
      <c r="C1111" s="24"/>
      <c r="D1111" s="24"/>
      <c r="E1111" s="24"/>
      <c r="F1111" s="117"/>
      <c r="G1111" s="117"/>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row>
    <row r="1112" spans="1:29" ht="12.9">
      <c r="A1112" s="24"/>
      <c r="B1112" s="24"/>
      <c r="C1112" s="24"/>
      <c r="D1112" s="24"/>
      <c r="E1112" s="24"/>
      <c r="F1112" s="117"/>
      <c r="G1112" s="117"/>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row>
    <row r="1113" spans="1:29" ht="12.9">
      <c r="A1113" s="24"/>
      <c r="B1113" s="24"/>
      <c r="C1113" s="24"/>
      <c r="D1113" s="24"/>
      <c r="E1113" s="24"/>
      <c r="F1113" s="117"/>
      <c r="G1113" s="117"/>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row>
    <row r="1114" spans="1:29" ht="12.9">
      <c r="A1114" s="24"/>
      <c r="B1114" s="24"/>
      <c r="C1114" s="24"/>
      <c r="D1114" s="24"/>
      <c r="E1114" s="24"/>
      <c r="F1114" s="117"/>
      <c r="G1114" s="117"/>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row>
    <row r="1115" spans="1:29" ht="12.9">
      <c r="A1115" s="24"/>
      <c r="B1115" s="24"/>
      <c r="C1115" s="24"/>
      <c r="D1115" s="24"/>
      <c r="E1115" s="24"/>
      <c r="F1115" s="117"/>
      <c r="G1115" s="117"/>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row>
    <row r="1116" spans="1:29" ht="12.9">
      <c r="A1116" s="24"/>
      <c r="B1116" s="24"/>
      <c r="C1116" s="24"/>
      <c r="D1116" s="24"/>
      <c r="E1116" s="24"/>
      <c r="F1116" s="117"/>
      <c r="G1116" s="117"/>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row>
    <row r="1117" spans="1:29" ht="12.9">
      <c r="A1117" s="24"/>
      <c r="B1117" s="24"/>
      <c r="C1117" s="24"/>
      <c r="D1117" s="24"/>
      <c r="E1117" s="24"/>
      <c r="F1117" s="117"/>
      <c r="G1117" s="117"/>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row>
    <row r="1118" spans="1:29" ht="12.9">
      <c r="A1118" s="24"/>
      <c r="B1118" s="24"/>
      <c r="C1118" s="24"/>
      <c r="D1118" s="24"/>
      <c r="E1118" s="24"/>
      <c r="F1118" s="117"/>
      <c r="G1118" s="117"/>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row>
    <row r="1119" spans="1:29" ht="12.9">
      <c r="A1119" s="24"/>
      <c r="B1119" s="24"/>
      <c r="C1119" s="24"/>
      <c r="D1119" s="24"/>
      <c r="E1119" s="24"/>
      <c r="F1119" s="117"/>
      <c r="G1119" s="117"/>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row>
    <row r="1120" spans="1:29" ht="12.9">
      <c r="A1120" s="24"/>
      <c r="B1120" s="24"/>
      <c r="C1120" s="24"/>
      <c r="D1120" s="24"/>
      <c r="E1120" s="24"/>
      <c r="F1120" s="117"/>
      <c r="G1120" s="117"/>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row>
    <row r="1121" spans="1:29" ht="12.9">
      <c r="A1121" s="24"/>
      <c r="B1121" s="24"/>
      <c r="C1121" s="24"/>
      <c r="D1121" s="24"/>
      <c r="E1121" s="24"/>
      <c r="F1121" s="117"/>
      <c r="G1121" s="117"/>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row>
    <row r="1122" spans="1:29" ht="12.9">
      <c r="A1122" s="24"/>
      <c r="B1122" s="24"/>
      <c r="C1122" s="24"/>
      <c r="D1122" s="24"/>
      <c r="E1122" s="24"/>
      <c r="F1122" s="117"/>
      <c r="G1122" s="117"/>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row>
    <row r="1123" spans="1:29" ht="12.9">
      <c r="A1123" s="24"/>
      <c r="B1123" s="24"/>
      <c r="C1123" s="24"/>
      <c r="D1123" s="24"/>
      <c r="E1123" s="24"/>
      <c r="F1123" s="117"/>
      <c r="G1123" s="117"/>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row>
    <row r="1124" spans="1:29" ht="12.9">
      <c r="A1124" s="24"/>
      <c r="B1124" s="24"/>
      <c r="C1124" s="24"/>
      <c r="D1124" s="24"/>
      <c r="E1124" s="24"/>
      <c r="F1124" s="117"/>
      <c r="G1124" s="117"/>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row>
    <row r="1125" spans="1:29" ht="12.9">
      <c r="A1125" s="24"/>
      <c r="B1125" s="24"/>
      <c r="C1125" s="24"/>
      <c r="D1125" s="24"/>
      <c r="E1125" s="24"/>
      <c r="F1125" s="117"/>
      <c r="G1125" s="117"/>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row>
    <row r="1126" spans="1:29" ht="12.9">
      <c r="A1126" s="24"/>
      <c r="B1126" s="24"/>
      <c r="C1126" s="24"/>
      <c r="D1126" s="24"/>
      <c r="E1126" s="24"/>
      <c r="F1126" s="117"/>
      <c r="G1126" s="117"/>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row>
    <row r="1127" spans="1:29" ht="12.9">
      <c r="A1127" s="24"/>
      <c r="B1127" s="24"/>
      <c r="C1127" s="24"/>
      <c r="D1127" s="24"/>
      <c r="E1127" s="24"/>
      <c r="F1127" s="117"/>
      <c r="G1127" s="117"/>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row>
    <row r="1128" spans="1:29" ht="12.9">
      <c r="A1128" s="24"/>
      <c r="B1128" s="24"/>
      <c r="C1128" s="24"/>
      <c r="D1128" s="24"/>
      <c r="E1128" s="24"/>
      <c r="F1128" s="117"/>
      <c r="G1128" s="117"/>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row>
    <row r="1129" spans="1:29" ht="12.9">
      <c r="A1129" s="24"/>
      <c r="B1129" s="24"/>
      <c r="C1129" s="24"/>
      <c r="D1129" s="24"/>
      <c r="E1129" s="24"/>
      <c r="F1129" s="117"/>
      <c r="G1129" s="117"/>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row>
    <row r="1130" spans="1:29" ht="12.9">
      <c r="A1130" s="24"/>
      <c r="B1130" s="24"/>
      <c r="C1130" s="24"/>
      <c r="D1130" s="24"/>
      <c r="E1130" s="24"/>
      <c r="F1130" s="117"/>
      <c r="G1130" s="117"/>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row>
    <row r="1131" spans="1:29" ht="12.9">
      <c r="A1131" s="24"/>
      <c r="B1131" s="24"/>
      <c r="C1131" s="24"/>
      <c r="D1131" s="24"/>
      <c r="E1131" s="24"/>
      <c r="F1131" s="117"/>
      <c r="G1131" s="117"/>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row>
    <row r="1132" spans="1:29" ht="12.9">
      <c r="A1132" s="24"/>
      <c r="B1132" s="24"/>
      <c r="C1132" s="24"/>
      <c r="D1132" s="24"/>
      <c r="E1132" s="24"/>
      <c r="F1132" s="117"/>
      <c r="G1132" s="117"/>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row>
    <row r="1133" spans="1:29" ht="12.9">
      <c r="A1133" s="24"/>
      <c r="B1133" s="24"/>
      <c r="C1133" s="24"/>
      <c r="D1133" s="24"/>
      <c r="E1133" s="24"/>
      <c r="F1133" s="117"/>
      <c r="G1133" s="117"/>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row>
    <row r="1134" spans="1:29" ht="12.9">
      <c r="A1134" s="24"/>
      <c r="B1134" s="24"/>
      <c r="C1134" s="24"/>
      <c r="D1134" s="24"/>
      <c r="E1134" s="24"/>
      <c r="F1134" s="117"/>
      <c r="G1134" s="117"/>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row>
    <row r="1135" spans="1:29" ht="12.9">
      <c r="A1135" s="24"/>
      <c r="B1135" s="24"/>
      <c r="C1135" s="24"/>
      <c r="D1135" s="24"/>
      <c r="E1135" s="24"/>
      <c r="F1135" s="117"/>
      <c r="G1135" s="117"/>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row>
    <row r="1136" spans="1:29" ht="12.9">
      <c r="A1136" s="24"/>
      <c r="B1136" s="24"/>
      <c r="C1136" s="24"/>
      <c r="D1136" s="24"/>
      <c r="E1136" s="24"/>
      <c r="F1136" s="117"/>
      <c r="G1136" s="117"/>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row>
    <row r="1137" spans="1:29" ht="12.9">
      <c r="A1137" s="24"/>
      <c r="B1137" s="24"/>
      <c r="C1137" s="24"/>
      <c r="D1137" s="24"/>
      <c r="E1137" s="24"/>
      <c r="F1137" s="117"/>
      <c r="G1137" s="117"/>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row>
    <row r="1138" spans="1:29" ht="12.9">
      <c r="A1138" s="24"/>
      <c r="B1138" s="24"/>
      <c r="C1138" s="24"/>
      <c r="D1138" s="24"/>
      <c r="E1138" s="24"/>
      <c r="F1138" s="117"/>
      <c r="G1138" s="117"/>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row>
    <row r="1139" spans="1:29" ht="12.9">
      <c r="A1139" s="24"/>
      <c r="B1139" s="24"/>
      <c r="C1139" s="24"/>
      <c r="D1139" s="24"/>
      <c r="E1139" s="24"/>
      <c r="F1139" s="117"/>
      <c r="G1139" s="117"/>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row>
    <row r="1140" spans="1:29" ht="12.9">
      <c r="A1140" s="24"/>
      <c r="B1140" s="24"/>
      <c r="C1140" s="24"/>
      <c r="D1140" s="24"/>
      <c r="E1140" s="24"/>
      <c r="F1140" s="117"/>
      <c r="G1140" s="117"/>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row>
    <row r="1141" spans="1:29" ht="12.9">
      <c r="A1141" s="24"/>
      <c r="B1141" s="24"/>
      <c r="C1141" s="24"/>
      <c r="D1141" s="24"/>
      <c r="E1141" s="24"/>
      <c r="F1141" s="117"/>
      <c r="G1141" s="117"/>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row>
    <row r="1142" spans="1:29" ht="12.9">
      <c r="A1142" s="24"/>
      <c r="B1142" s="24"/>
      <c r="C1142" s="24"/>
      <c r="D1142" s="24"/>
      <c r="E1142" s="24"/>
      <c r="F1142" s="117"/>
      <c r="G1142" s="117"/>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row>
    <row r="1143" spans="1:29" ht="12.9">
      <c r="A1143" s="24"/>
      <c r="B1143" s="24"/>
      <c r="C1143" s="24"/>
      <c r="D1143" s="24"/>
      <c r="E1143" s="24"/>
      <c r="F1143" s="117"/>
      <c r="G1143" s="117"/>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row>
    <row r="1144" spans="1:29" ht="12.9">
      <c r="A1144" s="24"/>
      <c r="B1144" s="24"/>
      <c r="C1144" s="24"/>
      <c r="D1144" s="24"/>
      <c r="E1144" s="24"/>
      <c r="F1144" s="117"/>
      <c r="G1144" s="117"/>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row>
    <row r="1145" spans="1:29" ht="12.9">
      <c r="A1145" s="24"/>
      <c r="B1145" s="24"/>
      <c r="C1145" s="24"/>
      <c r="D1145" s="24"/>
      <c r="E1145" s="24"/>
      <c r="F1145" s="117"/>
      <c r="G1145" s="117"/>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row>
    <row r="1146" spans="1:29" ht="12.9">
      <c r="A1146" s="24"/>
      <c r="B1146" s="24"/>
      <c r="C1146" s="24"/>
      <c r="D1146" s="24"/>
      <c r="E1146" s="24"/>
      <c r="F1146" s="117"/>
      <c r="G1146" s="117"/>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row>
    <row r="1147" spans="1:29" ht="12.9">
      <c r="A1147" s="24"/>
      <c r="B1147" s="24"/>
      <c r="C1147" s="24"/>
      <c r="D1147" s="24"/>
      <c r="E1147" s="24"/>
      <c r="F1147" s="117"/>
      <c r="G1147" s="117"/>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row>
    <row r="1148" spans="1:29" ht="12.9">
      <c r="A1148" s="24"/>
      <c r="B1148" s="24"/>
      <c r="C1148" s="24"/>
      <c r="D1148" s="24"/>
      <c r="E1148" s="24"/>
      <c r="F1148" s="117"/>
      <c r="G1148" s="117"/>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row>
    <row r="1149" spans="1:29" ht="12.9">
      <c r="A1149" s="24"/>
      <c r="B1149" s="24"/>
      <c r="C1149" s="24"/>
      <c r="D1149" s="24"/>
      <c r="E1149" s="24"/>
      <c r="F1149" s="117"/>
      <c r="G1149" s="117"/>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row>
    <row r="1150" spans="1:29" ht="12.9">
      <c r="A1150" s="24"/>
      <c r="B1150" s="24"/>
      <c r="C1150" s="24"/>
      <c r="D1150" s="24"/>
      <c r="E1150" s="24"/>
      <c r="F1150" s="117"/>
      <c r="G1150" s="117"/>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row>
    <row r="1151" spans="1:29" ht="12.9">
      <c r="A1151" s="24"/>
      <c r="B1151" s="24"/>
      <c r="C1151" s="24"/>
      <c r="D1151" s="24"/>
      <c r="E1151" s="24"/>
      <c r="F1151" s="117"/>
      <c r="G1151" s="117"/>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row>
    <row r="1152" spans="1:29" ht="12.9">
      <c r="A1152" s="24"/>
      <c r="B1152" s="24"/>
      <c r="C1152" s="24"/>
      <c r="D1152" s="24"/>
      <c r="E1152" s="24"/>
      <c r="F1152" s="117"/>
      <c r="G1152" s="117"/>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row>
    <row r="1153" spans="1:29" ht="12.9">
      <c r="A1153" s="24"/>
      <c r="B1153" s="24"/>
      <c r="C1153" s="24"/>
      <c r="D1153" s="24"/>
      <c r="E1153" s="24"/>
      <c r="F1153" s="117"/>
      <c r="G1153" s="117"/>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row>
    <row r="1154" spans="1:29" ht="12.9">
      <c r="A1154" s="24"/>
      <c r="B1154" s="24"/>
      <c r="C1154" s="24"/>
      <c r="D1154" s="24"/>
      <c r="E1154" s="24"/>
      <c r="F1154" s="117"/>
      <c r="G1154" s="117"/>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row>
    <row r="1155" spans="1:29" ht="12.9">
      <c r="A1155" s="24"/>
      <c r="B1155" s="24"/>
      <c r="C1155" s="24"/>
      <c r="D1155" s="24"/>
      <c r="E1155" s="24"/>
      <c r="F1155" s="117"/>
      <c r="G1155" s="117"/>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row>
    <row r="1156" spans="1:29" ht="12.9">
      <c r="A1156" s="24"/>
      <c r="B1156" s="24"/>
      <c r="C1156" s="24"/>
      <c r="D1156" s="24"/>
      <c r="E1156" s="24"/>
      <c r="F1156" s="117"/>
      <c r="G1156" s="117"/>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row>
    <row r="1157" spans="1:29" ht="12.9">
      <c r="A1157" s="24"/>
      <c r="B1157" s="24"/>
      <c r="C1157" s="24"/>
      <c r="D1157" s="24"/>
      <c r="E1157" s="24"/>
      <c r="F1157" s="117"/>
      <c r="G1157" s="117"/>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row>
    <row r="1158" spans="1:29" ht="12.9">
      <c r="A1158" s="24"/>
      <c r="B1158" s="24"/>
      <c r="C1158" s="24"/>
      <c r="D1158" s="24"/>
      <c r="E1158" s="24"/>
      <c r="F1158" s="117"/>
      <c r="G1158" s="117"/>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row>
    <row r="1159" spans="1:29" ht="12.9">
      <c r="A1159" s="24"/>
      <c r="B1159" s="24"/>
      <c r="C1159" s="24"/>
      <c r="D1159" s="24"/>
      <c r="E1159" s="24"/>
      <c r="F1159" s="117"/>
      <c r="G1159" s="117"/>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row>
    <row r="1160" spans="1:29" ht="12.9">
      <c r="A1160" s="24"/>
      <c r="B1160" s="24"/>
      <c r="C1160" s="24"/>
      <c r="D1160" s="24"/>
      <c r="E1160" s="24"/>
      <c r="F1160" s="117"/>
      <c r="G1160" s="117"/>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row>
    <row r="1161" spans="1:29" ht="12.9">
      <c r="A1161" s="24"/>
      <c r="B1161" s="24"/>
      <c r="C1161" s="24"/>
      <c r="D1161" s="24"/>
      <c r="E1161" s="24"/>
      <c r="F1161" s="117"/>
      <c r="G1161" s="117"/>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row>
    <row r="1162" spans="1:29" ht="12.9">
      <c r="A1162" s="24"/>
      <c r="B1162" s="24"/>
      <c r="C1162" s="24"/>
      <c r="D1162" s="24"/>
      <c r="E1162" s="24"/>
      <c r="F1162" s="117"/>
      <c r="G1162" s="117"/>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row>
    <row r="1163" spans="1:29" ht="12.9">
      <c r="A1163" s="24"/>
      <c r="B1163" s="24"/>
      <c r="C1163" s="24"/>
      <c r="D1163" s="24"/>
      <c r="E1163" s="24"/>
      <c r="F1163" s="117"/>
      <c r="G1163" s="117"/>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row>
    <row r="1164" spans="1:29" ht="12.9">
      <c r="A1164" s="24"/>
      <c r="B1164" s="24"/>
      <c r="C1164" s="24"/>
      <c r="D1164" s="24"/>
      <c r="E1164" s="24"/>
      <c r="F1164" s="117"/>
      <c r="G1164" s="117"/>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row>
    <row r="1165" spans="1:29" ht="12.9">
      <c r="A1165" s="24"/>
      <c r="B1165" s="24"/>
      <c r="C1165" s="24"/>
      <c r="D1165" s="24"/>
      <c r="E1165" s="24"/>
      <c r="F1165" s="117"/>
      <c r="G1165" s="117"/>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row>
    <row r="1166" spans="1:29" ht="12.9">
      <c r="A1166" s="24"/>
      <c r="B1166" s="24"/>
      <c r="C1166" s="24"/>
      <c r="D1166" s="24"/>
      <c r="E1166" s="24"/>
      <c r="F1166" s="117"/>
      <c r="G1166" s="117"/>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row>
    <row r="1167" spans="1:29" ht="12.9">
      <c r="A1167" s="24"/>
      <c r="B1167" s="24"/>
      <c r="C1167" s="24"/>
      <c r="D1167" s="24"/>
      <c r="E1167" s="24"/>
      <c r="F1167" s="117"/>
      <c r="G1167" s="117"/>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row>
    <row r="1168" spans="1:29" ht="12.9">
      <c r="A1168" s="24"/>
      <c r="B1168" s="24"/>
      <c r="C1168" s="24"/>
      <c r="D1168" s="24"/>
      <c r="E1168" s="24"/>
      <c r="F1168" s="117"/>
      <c r="G1168" s="117"/>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row>
    <row r="1169" spans="1:29" ht="12.9">
      <c r="A1169" s="24"/>
      <c r="B1169" s="24"/>
      <c r="C1169" s="24"/>
      <c r="D1169" s="24"/>
      <c r="E1169" s="24"/>
      <c r="F1169" s="117"/>
      <c r="G1169" s="117"/>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row>
    <row r="1170" spans="1:29" ht="12.9">
      <c r="A1170" s="24"/>
      <c r="B1170" s="24"/>
      <c r="C1170" s="24"/>
      <c r="D1170" s="24"/>
      <c r="E1170" s="24"/>
      <c r="F1170" s="117"/>
      <c r="G1170" s="117"/>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row>
    <row r="1171" spans="1:29" ht="12.9">
      <c r="A1171" s="24"/>
      <c r="B1171" s="24"/>
      <c r="C1171" s="24"/>
      <c r="D1171" s="24"/>
      <c r="E1171" s="24"/>
      <c r="F1171" s="117"/>
      <c r="G1171" s="117"/>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row>
    <row r="1172" spans="1:29" ht="12.9">
      <c r="A1172" s="24"/>
      <c r="B1172" s="24"/>
      <c r="C1172" s="24"/>
      <c r="D1172" s="24"/>
      <c r="E1172" s="24"/>
      <c r="F1172" s="117"/>
      <c r="G1172" s="117"/>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row>
    <row r="1173" spans="1:29" ht="12.9">
      <c r="A1173" s="24"/>
      <c r="B1173" s="24"/>
      <c r="C1173" s="24"/>
      <c r="D1173" s="24"/>
      <c r="E1173" s="24"/>
      <c r="F1173" s="117"/>
      <c r="G1173" s="117"/>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row>
    <row r="1174" spans="1:29" ht="12.9">
      <c r="A1174" s="24"/>
      <c r="B1174" s="24"/>
      <c r="C1174" s="24"/>
      <c r="D1174" s="24"/>
      <c r="E1174" s="24"/>
      <c r="F1174" s="117"/>
      <c r="G1174" s="117"/>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row>
    <row r="1175" spans="1:29" ht="12.9">
      <c r="A1175" s="24"/>
      <c r="B1175" s="24"/>
      <c r="C1175" s="24"/>
      <c r="D1175" s="24"/>
      <c r="E1175" s="24"/>
      <c r="F1175" s="117"/>
      <c r="G1175" s="117"/>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row>
    <row r="1176" spans="1:29" ht="12.9">
      <c r="A1176" s="24"/>
      <c r="B1176" s="24"/>
      <c r="C1176" s="24"/>
      <c r="D1176" s="24"/>
      <c r="E1176" s="24"/>
      <c r="F1176" s="117"/>
      <c r="G1176" s="117"/>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row>
    <row r="1177" spans="1:29" ht="12.9">
      <c r="A1177" s="24"/>
      <c r="B1177" s="24"/>
      <c r="C1177" s="24"/>
      <c r="D1177" s="24"/>
      <c r="E1177" s="24"/>
      <c r="F1177" s="117"/>
      <c r="G1177" s="117"/>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row>
    <row r="1178" spans="1:29" ht="12.9">
      <c r="A1178" s="24"/>
      <c r="B1178" s="24"/>
      <c r="C1178" s="24"/>
      <c r="D1178" s="24"/>
      <c r="E1178" s="24"/>
      <c r="F1178" s="117"/>
      <c r="G1178" s="117"/>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row>
    <row r="1179" spans="1:29" ht="12.9">
      <c r="A1179" s="24"/>
      <c r="B1179" s="24"/>
      <c r="C1179" s="24"/>
      <c r="D1179" s="24"/>
      <c r="E1179" s="24"/>
      <c r="F1179" s="117"/>
      <c r="G1179" s="117"/>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row>
    <row r="1180" spans="1:29" ht="12.9">
      <c r="A1180" s="24"/>
      <c r="B1180" s="24"/>
      <c r="C1180" s="24"/>
      <c r="D1180" s="24"/>
      <c r="E1180" s="24"/>
      <c r="F1180" s="117"/>
      <c r="G1180" s="117"/>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row>
    <row r="1181" spans="1:29" ht="12.9">
      <c r="A1181" s="24"/>
      <c r="B1181" s="24"/>
      <c r="C1181" s="24"/>
      <c r="D1181" s="24"/>
      <c r="E1181" s="24"/>
      <c r="F1181" s="117"/>
      <c r="G1181" s="117"/>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row>
    <row r="1182" spans="1:29" ht="12.9">
      <c r="A1182" s="24"/>
      <c r="B1182" s="24"/>
      <c r="C1182" s="24"/>
      <c r="D1182" s="24"/>
      <c r="E1182" s="24"/>
      <c r="F1182" s="117"/>
      <c r="G1182" s="117"/>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row>
    <row r="1183" spans="1:29" ht="12.9">
      <c r="A1183" s="24"/>
      <c r="B1183" s="24"/>
      <c r="C1183" s="24"/>
      <c r="D1183" s="24"/>
      <c r="E1183" s="24"/>
      <c r="F1183" s="117"/>
      <c r="G1183" s="117"/>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row>
    <row r="1184" spans="1:29" ht="12.9">
      <c r="A1184" s="24"/>
      <c r="B1184" s="24"/>
      <c r="C1184" s="24"/>
      <c r="D1184" s="24"/>
      <c r="E1184" s="24"/>
      <c r="F1184" s="117"/>
      <c r="G1184" s="117"/>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row>
    <row r="1185" spans="1:29" ht="12.9">
      <c r="A1185" s="24"/>
      <c r="B1185" s="24"/>
      <c r="C1185" s="24"/>
      <c r="D1185" s="24"/>
      <c r="E1185" s="24"/>
      <c r="F1185" s="117"/>
      <c r="G1185" s="117"/>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row>
    <row r="1186" spans="1:29" ht="12.9">
      <c r="A1186" s="24"/>
      <c r="B1186" s="24"/>
      <c r="C1186" s="24"/>
      <c r="D1186" s="24"/>
      <c r="E1186" s="24"/>
      <c r="F1186" s="117"/>
      <c r="G1186" s="117"/>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row>
    <row r="1187" spans="1:29" ht="12.9">
      <c r="A1187" s="24"/>
      <c r="B1187" s="24"/>
      <c r="C1187" s="24"/>
      <c r="D1187" s="24"/>
      <c r="E1187" s="24"/>
      <c r="F1187" s="117"/>
      <c r="G1187" s="117"/>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row>
    <row r="1188" spans="1:29" ht="12.9">
      <c r="A1188" s="24"/>
      <c r="B1188" s="24"/>
      <c r="C1188" s="24"/>
      <c r="D1188" s="24"/>
      <c r="E1188" s="24"/>
      <c r="F1188" s="117"/>
      <c r="G1188" s="117"/>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row>
    <row r="1189" spans="1:29" ht="12.9">
      <c r="A1189" s="24"/>
      <c r="B1189" s="24"/>
      <c r="C1189" s="24"/>
      <c r="D1189" s="24"/>
      <c r="E1189" s="24"/>
      <c r="F1189" s="117"/>
      <c r="G1189" s="117"/>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row>
    <row r="1190" spans="1:29" ht="12.9">
      <c r="A1190" s="24"/>
      <c r="B1190" s="24"/>
      <c r="C1190" s="24"/>
      <c r="D1190" s="24"/>
      <c r="E1190" s="24"/>
      <c r="F1190" s="117"/>
      <c r="G1190" s="117"/>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row>
    <row r="1191" spans="1:29" ht="12.9">
      <c r="A1191" s="24"/>
      <c r="B1191" s="24"/>
      <c r="C1191" s="24"/>
      <c r="D1191" s="24"/>
      <c r="E1191" s="24"/>
      <c r="F1191" s="117"/>
      <c r="G1191" s="117"/>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row>
    <row r="1192" spans="1:29" ht="12.9">
      <c r="A1192" s="24"/>
      <c r="B1192" s="24"/>
      <c r="C1192" s="24"/>
      <c r="D1192" s="24"/>
      <c r="E1192" s="24"/>
      <c r="F1192" s="117"/>
      <c r="G1192" s="117"/>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row>
    <row r="1193" spans="1:29" ht="12.9">
      <c r="A1193" s="24"/>
      <c r="B1193" s="24"/>
      <c r="C1193" s="24"/>
      <c r="D1193" s="24"/>
      <c r="E1193" s="24"/>
      <c r="F1193" s="117"/>
      <c r="G1193" s="117"/>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row>
    <row r="1194" spans="1:29" ht="12.9">
      <c r="A1194" s="24"/>
      <c r="B1194" s="24"/>
      <c r="C1194" s="24"/>
      <c r="D1194" s="24"/>
      <c r="E1194" s="24"/>
      <c r="F1194" s="117"/>
      <c r="G1194" s="117"/>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row>
    <row r="1195" spans="1:29" ht="12.9">
      <c r="A1195" s="24"/>
      <c r="B1195" s="24"/>
      <c r="C1195" s="24"/>
      <c r="D1195" s="24"/>
      <c r="E1195" s="24"/>
      <c r="F1195" s="117"/>
      <c r="G1195" s="117"/>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row>
    <row r="1196" spans="1:29" ht="12.9">
      <c r="A1196" s="24"/>
      <c r="B1196" s="24"/>
      <c r="C1196" s="24"/>
      <c r="D1196" s="24"/>
      <c r="E1196" s="24"/>
      <c r="F1196" s="117"/>
      <c r="G1196" s="117"/>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row>
    <row r="1197" spans="1:29" ht="12.9">
      <c r="A1197" s="24"/>
      <c r="B1197" s="24"/>
      <c r="C1197" s="24"/>
      <c r="D1197" s="24"/>
      <c r="E1197" s="24"/>
      <c r="F1197" s="117"/>
      <c r="G1197" s="117"/>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row>
    <row r="1198" spans="1:29" ht="12.9">
      <c r="A1198" s="24"/>
      <c r="B1198" s="24"/>
      <c r="C1198" s="24"/>
      <c r="D1198" s="24"/>
      <c r="E1198" s="24"/>
      <c r="F1198" s="117"/>
      <c r="G1198" s="117"/>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row>
    <row r="1199" spans="1:29" ht="12.9">
      <c r="A1199" s="24"/>
      <c r="B1199" s="24"/>
      <c r="C1199" s="24"/>
      <c r="D1199" s="24"/>
      <c r="E1199" s="24"/>
      <c r="F1199" s="117"/>
      <c r="G1199" s="117"/>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row>
    <row r="1200" spans="1:29" ht="12.9">
      <c r="A1200" s="24"/>
      <c r="B1200" s="24"/>
      <c r="C1200" s="24"/>
      <c r="D1200" s="24"/>
      <c r="E1200" s="24"/>
      <c r="F1200" s="117"/>
      <c r="G1200" s="117"/>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row>
    <row r="1201" spans="1:29" ht="12.9">
      <c r="A1201" s="24"/>
      <c r="B1201" s="24"/>
      <c r="C1201" s="24"/>
      <c r="D1201" s="24"/>
      <c r="E1201" s="24"/>
      <c r="F1201" s="117"/>
      <c r="G1201" s="117"/>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row>
    <row r="1202" spans="1:29" ht="12.9">
      <c r="A1202" s="24"/>
      <c r="B1202" s="24"/>
      <c r="C1202" s="24"/>
      <c r="D1202" s="24"/>
      <c r="E1202" s="24"/>
      <c r="F1202" s="117"/>
      <c r="G1202" s="117"/>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row>
    <row r="1203" spans="1:29" ht="12.9">
      <c r="A1203" s="24"/>
      <c r="B1203" s="24"/>
      <c r="C1203" s="24"/>
      <c r="D1203" s="24"/>
      <c r="E1203" s="24"/>
      <c r="F1203" s="117"/>
      <c r="G1203" s="117"/>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row>
    <row r="1204" spans="1:29" ht="12.9">
      <c r="A1204" s="24"/>
      <c r="B1204" s="24"/>
      <c r="C1204" s="24"/>
      <c r="D1204" s="24"/>
      <c r="E1204" s="24"/>
      <c r="F1204" s="117"/>
      <c r="G1204" s="117"/>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row>
    <row r="1205" spans="1:29" ht="12.9">
      <c r="A1205" s="24"/>
      <c r="B1205" s="24"/>
      <c r="C1205" s="24"/>
      <c r="D1205" s="24"/>
      <c r="E1205" s="24"/>
      <c r="F1205" s="117"/>
      <c r="G1205" s="117"/>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row>
    <row r="1206" spans="1:29" ht="12.9">
      <c r="A1206" s="24"/>
      <c r="B1206" s="24"/>
      <c r="C1206" s="24"/>
      <c r="D1206" s="24"/>
      <c r="E1206" s="24"/>
      <c r="F1206" s="117"/>
      <c r="G1206" s="117"/>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row>
    <row r="1207" spans="1:29" ht="12.9">
      <c r="A1207" s="24"/>
      <c r="B1207" s="24"/>
      <c r="C1207" s="24"/>
      <c r="D1207" s="24"/>
      <c r="E1207" s="24"/>
      <c r="F1207" s="117"/>
      <c r="G1207" s="117"/>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row>
    <row r="1208" spans="1:29" ht="12.9">
      <c r="A1208" s="24"/>
      <c r="B1208" s="24"/>
      <c r="C1208" s="24"/>
      <c r="D1208" s="24"/>
      <c r="E1208" s="24"/>
      <c r="F1208" s="117"/>
      <c r="G1208" s="117"/>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row>
    <row r="1209" spans="1:29" ht="12.9">
      <c r="A1209" s="24"/>
      <c r="B1209" s="24"/>
      <c r="C1209" s="24"/>
      <c r="D1209" s="24"/>
      <c r="E1209" s="24"/>
      <c r="F1209" s="117"/>
      <c r="G1209" s="117"/>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row>
    <row r="1210" spans="1:29" ht="12.9">
      <c r="A1210" s="24"/>
      <c r="B1210" s="24"/>
      <c r="C1210" s="24"/>
      <c r="D1210" s="24"/>
      <c r="E1210" s="24"/>
      <c r="F1210" s="117"/>
      <c r="G1210" s="117"/>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row>
    <row r="1211" spans="1:29" ht="12.9">
      <c r="A1211" s="24"/>
      <c r="B1211" s="24"/>
      <c r="C1211" s="24"/>
      <c r="D1211" s="24"/>
      <c r="E1211" s="24"/>
      <c r="F1211" s="117"/>
      <c r="G1211" s="117"/>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row>
    <row r="1212" spans="1:29" ht="12.9">
      <c r="A1212" s="24"/>
      <c r="B1212" s="24"/>
      <c r="C1212" s="24"/>
      <c r="D1212" s="24"/>
      <c r="E1212" s="24"/>
      <c r="F1212" s="117"/>
      <c r="G1212" s="117"/>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row>
    <row r="1213" spans="1:29" ht="12.9">
      <c r="A1213" s="24"/>
      <c r="B1213" s="24"/>
      <c r="C1213" s="24"/>
      <c r="D1213" s="24"/>
      <c r="E1213" s="24"/>
      <c r="F1213" s="117"/>
      <c r="G1213" s="117"/>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row>
    <row r="1214" spans="1:29" ht="12.9">
      <c r="A1214" s="24"/>
      <c r="B1214" s="24"/>
      <c r="C1214" s="24"/>
      <c r="D1214" s="24"/>
      <c r="E1214" s="24"/>
      <c r="F1214" s="117"/>
      <c r="G1214" s="117"/>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row>
    <row r="1215" spans="1:29" ht="12.9">
      <c r="A1215" s="24"/>
      <c r="B1215" s="24"/>
      <c r="C1215" s="24"/>
      <c r="D1215" s="24"/>
      <c r="E1215" s="24"/>
      <c r="F1215" s="117"/>
      <c r="G1215" s="117"/>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row>
    <row r="1216" spans="1:29" ht="12.9">
      <c r="A1216" s="24"/>
      <c r="B1216" s="24"/>
      <c r="C1216" s="24"/>
      <c r="D1216" s="24"/>
      <c r="E1216" s="24"/>
      <c r="F1216" s="117"/>
      <c r="G1216" s="117"/>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row>
    <row r="1217" spans="1:29" ht="12.9">
      <c r="A1217" s="24"/>
      <c r="B1217" s="24"/>
      <c r="C1217" s="24"/>
      <c r="D1217" s="24"/>
      <c r="E1217" s="24"/>
      <c r="F1217" s="117"/>
      <c r="G1217" s="117"/>
      <c r="H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row>
    <row r="1218" spans="1:29" ht="12.9">
      <c r="A1218" s="24"/>
      <c r="B1218" s="24"/>
      <c r="C1218" s="24"/>
      <c r="D1218" s="24"/>
      <c r="E1218" s="24"/>
      <c r="F1218" s="117"/>
      <c r="G1218" s="117"/>
      <c r="H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row>
    <row r="1219" spans="1:29" ht="12.9">
      <c r="A1219" s="24"/>
      <c r="B1219" s="24"/>
      <c r="C1219" s="24"/>
      <c r="D1219" s="24"/>
      <c r="E1219" s="24"/>
      <c r="F1219" s="117"/>
      <c r="G1219" s="117"/>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row>
    <row r="1220" spans="1:29" ht="12.9">
      <c r="A1220" s="24"/>
      <c r="B1220" s="24"/>
      <c r="C1220" s="24"/>
      <c r="D1220" s="24"/>
      <c r="E1220" s="24"/>
      <c r="F1220" s="117"/>
      <c r="G1220" s="117"/>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row>
    <row r="1221" spans="1:29" ht="12.9">
      <c r="A1221" s="24"/>
      <c r="B1221" s="24"/>
      <c r="C1221" s="24"/>
      <c r="D1221" s="24"/>
      <c r="E1221" s="24"/>
      <c r="F1221" s="117"/>
      <c r="G1221" s="117"/>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row>
    <row r="1222" spans="1:29" ht="12.9">
      <c r="A1222" s="24"/>
      <c r="B1222" s="24"/>
      <c r="C1222" s="24"/>
      <c r="D1222" s="24"/>
      <c r="E1222" s="24"/>
      <c r="F1222" s="117"/>
      <c r="G1222" s="117"/>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row>
    <row r="1223" spans="1:29" ht="12.9">
      <c r="A1223" s="24"/>
      <c r="B1223" s="24"/>
      <c r="C1223" s="24"/>
      <c r="D1223" s="24"/>
      <c r="E1223" s="24"/>
      <c r="F1223" s="117"/>
      <c r="G1223" s="117"/>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row>
    <row r="1224" spans="1:29" ht="12.9">
      <c r="A1224" s="24"/>
      <c r="B1224" s="24"/>
      <c r="C1224" s="24"/>
      <c r="D1224" s="24"/>
      <c r="E1224" s="24"/>
      <c r="F1224" s="117"/>
      <c r="G1224" s="117"/>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row>
    <row r="1225" spans="1:29" ht="12.9">
      <c r="A1225" s="24"/>
      <c r="B1225" s="24"/>
      <c r="C1225" s="24"/>
      <c r="D1225" s="24"/>
      <c r="E1225" s="24"/>
      <c r="F1225" s="117"/>
      <c r="G1225" s="117"/>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row>
    <row r="1226" spans="1:29" ht="12.9">
      <c r="A1226" s="24"/>
      <c r="B1226" s="24"/>
      <c r="C1226" s="24"/>
      <c r="D1226" s="24"/>
      <c r="E1226" s="24"/>
      <c r="F1226" s="117"/>
      <c r="G1226" s="117"/>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row>
    <row r="1227" spans="1:29" ht="12.9">
      <c r="A1227" s="24"/>
      <c r="B1227" s="24"/>
      <c r="C1227" s="24"/>
      <c r="D1227" s="24"/>
      <c r="E1227" s="24"/>
      <c r="F1227" s="117"/>
      <c r="G1227" s="117"/>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row>
    <row r="1228" spans="1:29" ht="12.9">
      <c r="A1228" s="24"/>
      <c r="B1228" s="24"/>
      <c r="C1228" s="24"/>
      <c r="D1228" s="24"/>
      <c r="E1228" s="24"/>
      <c r="F1228" s="117"/>
      <c r="G1228" s="117"/>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row>
    <row r="1229" spans="1:29" ht="12.9">
      <c r="A1229" s="24"/>
      <c r="B1229" s="24"/>
      <c r="C1229" s="24"/>
      <c r="D1229" s="24"/>
      <c r="E1229" s="24"/>
      <c r="F1229" s="117"/>
      <c r="G1229" s="117"/>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row>
    <row r="1230" spans="1:29" ht="12.9">
      <c r="A1230" s="24"/>
      <c r="B1230" s="24"/>
      <c r="C1230" s="24"/>
      <c r="D1230" s="24"/>
      <c r="E1230" s="24"/>
      <c r="F1230" s="117"/>
      <c r="G1230" s="117"/>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row>
    <row r="1231" spans="1:29" ht="12.9">
      <c r="A1231" s="24"/>
      <c r="B1231" s="24"/>
      <c r="C1231" s="24"/>
      <c r="D1231" s="24"/>
      <c r="E1231" s="24"/>
      <c r="F1231" s="117"/>
      <c r="G1231" s="117"/>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row>
    <row r="1232" spans="1:29" ht="12.9">
      <c r="A1232" s="24"/>
      <c r="B1232" s="24"/>
      <c r="C1232" s="24"/>
      <c r="D1232" s="24"/>
      <c r="E1232" s="24"/>
      <c r="F1232" s="117"/>
      <c r="G1232" s="117"/>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row>
    <row r="1233" spans="1:29" ht="12.9">
      <c r="A1233" s="24"/>
      <c r="B1233" s="24"/>
      <c r="C1233" s="24"/>
      <c r="D1233" s="24"/>
      <c r="E1233" s="24"/>
      <c r="F1233" s="117"/>
      <c r="G1233" s="117"/>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row>
    <row r="1234" spans="1:29" ht="12.9">
      <c r="A1234" s="24"/>
      <c r="B1234" s="24"/>
      <c r="C1234" s="24"/>
      <c r="D1234" s="24"/>
      <c r="E1234" s="24"/>
      <c r="F1234" s="117"/>
      <c r="G1234" s="117"/>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row>
    <row r="1235" spans="1:29" ht="12.9">
      <c r="A1235" s="24"/>
      <c r="B1235" s="24"/>
      <c r="C1235" s="24"/>
      <c r="D1235" s="24"/>
      <c r="E1235" s="24"/>
      <c r="F1235" s="117"/>
      <c r="G1235" s="117"/>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row>
    <row r="1236" spans="1:29" ht="12.9">
      <c r="A1236" s="24"/>
      <c r="B1236" s="24"/>
      <c r="C1236" s="24"/>
      <c r="D1236" s="24"/>
      <c r="E1236" s="24"/>
      <c r="F1236" s="117"/>
      <c r="G1236" s="117"/>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row>
    <row r="1237" spans="1:29" ht="12.9">
      <c r="A1237" s="24"/>
      <c r="B1237" s="24"/>
      <c r="C1237" s="24"/>
      <c r="D1237" s="24"/>
      <c r="E1237" s="24"/>
      <c r="F1237" s="117"/>
      <c r="G1237" s="117"/>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row>
    <row r="1238" spans="1:29" ht="12.9">
      <c r="A1238" s="24"/>
      <c r="B1238" s="24"/>
      <c r="C1238" s="24"/>
      <c r="D1238" s="24"/>
      <c r="E1238" s="24"/>
      <c r="F1238" s="117"/>
      <c r="G1238" s="117"/>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row>
    <row r="1239" spans="1:29" ht="12.9">
      <c r="A1239" s="24"/>
      <c r="B1239" s="24"/>
      <c r="C1239" s="24"/>
      <c r="D1239" s="24"/>
      <c r="E1239" s="24"/>
      <c r="F1239" s="117"/>
      <c r="G1239" s="117"/>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row>
    <row r="1240" spans="1:29" ht="12.9">
      <c r="A1240" s="24"/>
      <c r="B1240" s="24"/>
      <c r="C1240" s="24"/>
      <c r="D1240" s="24"/>
      <c r="E1240" s="24"/>
      <c r="F1240" s="117"/>
      <c r="G1240" s="117"/>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row>
    <row r="1241" spans="1:29" ht="12.9">
      <c r="A1241" s="24"/>
      <c r="B1241" s="24"/>
      <c r="C1241" s="24"/>
      <c r="D1241" s="24"/>
      <c r="E1241" s="24"/>
      <c r="F1241" s="117"/>
      <c r="G1241" s="117"/>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row>
    <row r="1242" spans="1:29" ht="12.9">
      <c r="A1242" s="24"/>
      <c r="B1242" s="24"/>
      <c r="C1242" s="24"/>
      <c r="D1242" s="24"/>
      <c r="E1242" s="24"/>
      <c r="F1242" s="117"/>
      <c r="G1242" s="117"/>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row>
    <row r="1243" spans="1:29" ht="12.9">
      <c r="A1243" s="24"/>
      <c r="B1243" s="24"/>
      <c r="C1243" s="24"/>
      <c r="D1243" s="24"/>
      <c r="E1243" s="24"/>
      <c r="F1243" s="117"/>
      <c r="G1243" s="117"/>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row>
    <row r="1244" spans="1:29" ht="12.9">
      <c r="A1244" s="24"/>
      <c r="B1244" s="24"/>
      <c r="C1244" s="24"/>
      <c r="D1244" s="24"/>
      <c r="E1244" s="24"/>
      <c r="F1244" s="117"/>
      <c r="G1244" s="117"/>
      <c r="H1244" s="24"/>
      <c r="I1244" s="24"/>
      <c r="J1244" s="24"/>
      <c r="K1244" s="24"/>
      <c r="L1244" s="24"/>
      <c r="M1244" s="24"/>
      <c r="N1244" s="24"/>
      <c r="O1244" s="24"/>
      <c r="P1244" s="24"/>
      <c r="Q1244" s="24"/>
      <c r="R1244" s="24"/>
      <c r="S1244" s="24"/>
      <c r="T1244" s="24"/>
      <c r="U1244" s="24"/>
      <c r="V1244" s="24"/>
      <c r="W1244" s="24"/>
      <c r="X1244" s="24"/>
      <c r="Y1244" s="24"/>
      <c r="Z1244" s="24"/>
      <c r="AA1244" s="24"/>
      <c r="AB1244" s="24"/>
      <c r="AC1244" s="24"/>
    </row>
    <row r="1245" spans="1:29" ht="12.9">
      <c r="A1245" s="24"/>
      <c r="B1245" s="24"/>
      <c r="C1245" s="24"/>
      <c r="D1245" s="24"/>
      <c r="E1245" s="24"/>
      <c r="F1245" s="117"/>
      <c r="G1245" s="117"/>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row>
    <row r="1246" spans="1:29" ht="12.9">
      <c r="A1246" s="24"/>
      <c r="B1246" s="24"/>
      <c r="C1246" s="24"/>
      <c r="D1246" s="24"/>
      <c r="E1246" s="24"/>
      <c r="F1246" s="117"/>
      <c r="G1246" s="117"/>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row>
    <row r="1247" spans="1:29" ht="12.9">
      <c r="A1247" s="24"/>
      <c r="B1247" s="24"/>
      <c r="C1247" s="24"/>
      <c r="D1247" s="24"/>
      <c r="E1247" s="24"/>
      <c r="F1247" s="117"/>
      <c r="G1247" s="117"/>
      <c r="H1247" s="24"/>
      <c r="I1247" s="24"/>
      <c r="J1247" s="24"/>
      <c r="K1247" s="24"/>
      <c r="L1247" s="24"/>
      <c r="M1247" s="24"/>
      <c r="N1247" s="24"/>
      <c r="O1247" s="24"/>
      <c r="P1247" s="24"/>
      <c r="Q1247" s="24"/>
      <c r="R1247" s="24"/>
      <c r="S1247" s="24"/>
      <c r="T1247" s="24"/>
      <c r="U1247" s="24"/>
      <c r="V1247" s="24"/>
      <c r="W1247" s="24"/>
      <c r="X1247" s="24"/>
      <c r="Y1247" s="24"/>
      <c r="Z1247" s="24"/>
      <c r="AA1247" s="24"/>
      <c r="AB1247" s="24"/>
      <c r="AC1247" s="24"/>
    </row>
    <row r="1248" spans="1:29" ht="12.9">
      <c r="A1248" s="24"/>
      <c r="B1248" s="24"/>
      <c r="C1248" s="24"/>
      <c r="D1248" s="24"/>
      <c r="E1248" s="24"/>
      <c r="F1248" s="117"/>
      <c r="G1248" s="117"/>
      <c r="H1248" s="24"/>
      <c r="I1248" s="24"/>
      <c r="J1248" s="24"/>
      <c r="K1248" s="24"/>
      <c r="L1248" s="24"/>
      <c r="M1248" s="24"/>
      <c r="N1248" s="24"/>
      <c r="O1248" s="24"/>
      <c r="P1248" s="24"/>
      <c r="Q1248" s="24"/>
      <c r="R1248" s="24"/>
      <c r="S1248" s="24"/>
      <c r="T1248" s="24"/>
      <c r="U1248" s="24"/>
      <c r="V1248" s="24"/>
      <c r="W1248" s="24"/>
      <c r="X1248" s="24"/>
      <c r="Y1248" s="24"/>
      <c r="Z1248" s="24"/>
      <c r="AA1248" s="24"/>
      <c r="AB1248" s="24"/>
      <c r="AC1248" s="24"/>
    </row>
    <row r="1249" spans="1:29" ht="12.9">
      <c r="A1249" s="24"/>
      <c r="B1249" s="24"/>
      <c r="C1249" s="24"/>
      <c r="D1249" s="24"/>
      <c r="E1249" s="24"/>
      <c r="F1249" s="117"/>
      <c r="G1249" s="117"/>
      <c r="H1249" s="24"/>
      <c r="I1249" s="24"/>
      <c r="J1249" s="24"/>
      <c r="K1249" s="24"/>
      <c r="L1249" s="24"/>
      <c r="M1249" s="24"/>
      <c r="N1249" s="24"/>
      <c r="O1249" s="24"/>
      <c r="P1249" s="24"/>
      <c r="Q1249" s="24"/>
      <c r="R1249" s="24"/>
      <c r="S1249" s="24"/>
      <c r="T1249" s="24"/>
      <c r="U1249" s="24"/>
      <c r="V1249" s="24"/>
      <c r="W1249" s="24"/>
      <c r="X1249" s="24"/>
      <c r="Y1249" s="24"/>
      <c r="Z1249" s="24"/>
      <c r="AA1249" s="24"/>
      <c r="AB1249" s="24"/>
      <c r="AC1249" s="24"/>
    </row>
    <row r="1250" spans="1:29" ht="12.9">
      <c r="A1250" s="24"/>
      <c r="B1250" s="24"/>
      <c r="C1250" s="24"/>
      <c r="D1250" s="24"/>
      <c r="E1250" s="24"/>
      <c r="F1250" s="117"/>
      <c r="G1250" s="117"/>
      <c r="H1250" s="24"/>
      <c r="I1250" s="24"/>
      <c r="J1250" s="24"/>
      <c r="K1250" s="24"/>
      <c r="L1250" s="24"/>
      <c r="M1250" s="24"/>
      <c r="N1250" s="24"/>
      <c r="O1250" s="24"/>
      <c r="P1250" s="24"/>
      <c r="Q1250" s="24"/>
      <c r="R1250" s="24"/>
      <c r="S1250" s="24"/>
      <c r="T1250" s="24"/>
      <c r="U1250" s="24"/>
      <c r="V1250" s="24"/>
      <c r="W1250" s="24"/>
      <c r="X1250" s="24"/>
      <c r="Y1250" s="24"/>
      <c r="Z1250" s="24"/>
      <c r="AA1250" s="24"/>
      <c r="AB1250" s="24"/>
      <c r="AC1250" s="24"/>
    </row>
    <row r="1251" spans="1:29" ht="12.9">
      <c r="A1251" s="24"/>
      <c r="B1251" s="24"/>
      <c r="C1251" s="24"/>
      <c r="D1251" s="24"/>
      <c r="E1251" s="24"/>
      <c r="F1251" s="117"/>
      <c r="G1251" s="117"/>
      <c r="H1251" s="24"/>
      <c r="I1251" s="24"/>
      <c r="J1251" s="24"/>
      <c r="K1251" s="24"/>
      <c r="L1251" s="24"/>
      <c r="M1251" s="24"/>
      <c r="N1251" s="24"/>
      <c r="O1251" s="24"/>
      <c r="P1251" s="24"/>
      <c r="Q1251" s="24"/>
      <c r="R1251" s="24"/>
      <c r="S1251" s="24"/>
      <c r="T1251" s="24"/>
      <c r="U1251" s="24"/>
      <c r="V1251" s="24"/>
      <c r="W1251" s="24"/>
      <c r="X1251" s="24"/>
      <c r="Y1251" s="24"/>
      <c r="Z1251" s="24"/>
      <c r="AA1251" s="24"/>
      <c r="AB1251" s="24"/>
      <c r="AC1251" s="24"/>
    </row>
    <row r="1252" spans="1:29" ht="12.9">
      <c r="A1252" s="24"/>
      <c r="B1252" s="24"/>
      <c r="C1252" s="24"/>
      <c r="D1252" s="24"/>
      <c r="E1252" s="24"/>
      <c r="F1252" s="117"/>
      <c r="G1252" s="117"/>
      <c r="H1252" s="24"/>
      <c r="I1252" s="24"/>
      <c r="J1252" s="24"/>
      <c r="K1252" s="24"/>
      <c r="L1252" s="24"/>
      <c r="M1252" s="24"/>
      <c r="N1252" s="24"/>
      <c r="O1252" s="24"/>
      <c r="P1252" s="24"/>
      <c r="Q1252" s="24"/>
      <c r="R1252" s="24"/>
      <c r="S1252" s="24"/>
      <c r="T1252" s="24"/>
      <c r="U1252" s="24"/>
      <c r="V1252" s="24"/>
      <c r="W1252" s="24"/>
      <c r="X1252" s="24"/>
      <c r="Y1252" s="24"/>
      <c r="Z1252" s="24"/>
      <c r="AA1252" s="24"/>
      <c r="AB1252" s="24"/>
      <c r="AC1252" s="24"/>
    </row>
    <row r="1253" spans="1:29" ht="12.9">
      <c r="A1253" s="24"/>
      <c r="B1253" s="24"/>
      <c r="C1253" s="24"/>
      <c r="D1253" s="24"/>
      <c r="E1253" s="24"/>
      <c r="F1253" s="117"/>
      <c r="G1253" s="117"/>
      <c r="H1253" s="24"/>
      <c r="I1253" s="24"/>
      <c r="J1253" s="24"/>
      <c r="K1253" s="24"/>
      <c r="L1253" s="24"/>
      <c r="M1253" s="24"/>
      <c r="N1253" s="24"/>
      <c r="O1253" s="24"/>
      <c r="P1253" s="24"/>
      <c r="Q1253" s="24"/>
      <c r="R1253" s="24"/>
      <c r="S1253" s="24"/>
      <c r="T1253" s="24"/>
      <c r="U1253" s="24"/>
      <c r="V1253" s="24"/>
      <c r="W1253" s="24"/>
      <c r="X1253" s="24"/>
      <c r="Y1253" s="24"/>
      <c r="Z1253" s="24"/>
      <c r="AA1253" s="24"/>
      <c r="AB1253" s="24"/>
      <c r="AC1253" s="24"/>
    </row>
    <row r="1254" spans="1:29" ht="12.9">
      <c r="A1254" s="24"/>
      <c r="B1254" s="24"/>
      <c r="C1254" s="24"/>
      <c r="D1254" s="24"/>
      <c r="E1254" s="24"/>
      <c r="F1254" s="117"/>
      <c r="G1254" s="117"/>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row>
    <row r="1255" spans="1:29" ht="12.9">
      <c r="A1255" s="24"/>
      <c r="B1255" s="24"/>
      <c r="C1255" s="24"/>
      <c r="D1255" s="24"/>
      <c r="E1255" s="24"/>
      <c r="F1255" s="117"/>
      <c r="G1255" s="117"/>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row>
    <row r="1256" spans="1:29" ht="12.9">
      <c r="A1256" s="24"/>
      <c r="B1256" s="24"/>
      <c r="C1256" s="24"/>
      <c r="D1256" s="24"/>
      <c r="E1256" s="24"/>
      <c r="F1256" s="117"/>
      <c r="G1256" s="117"/>
      <c r="H1256" s="24"/>
      <c r="I1256" s="24"/>
      <c r="J1256" s="24"/>
      <c r="K1256" s="24"/>
      <c r="L1256" s="24"/>
      <c r="M1256" s="24"/>
      <c r="N1256" s="24"/>
      <c r="O1256" s="24"/>
      <c r="P1256" s="24"/>
      <c r="Q1256" s="24"/>
      <c r="R1256" s="24"/>
      <c r="S1256" s="24"/>
      <c r="T1256" s="24"/>
      <c r="U1256" s="24"/>
      <c r="V1256" s="24"/>
      <c r="W1256" s="24"/>
      <c r="X1256" s="24"/>
      <c r="Y1256" s="24"/>
      <c r="Z1256" s="24"/>
      <c r="AA1256" s="24"/>
      <c r="AB1256" s="24"/>
      <c r="AC1256" s="24"/>
    </row>
    <row r="1257" spans="1:29" ht="12.9">
      <c r="A1257" s="24"/>
      <c r="B1257" s="24"/>
      <c r="C1257" s="24"/>
      <c r="D1257" s="24"/>
      <c r="E1257" s="24"/>
      <c r="F1257" s="117"/>
      <c r="G1257" s="117"/>
      <c r="H1257" s="24"/>
      <c r="I1257" s="24"/>
      <c r="J1257" s="24"/>
      <c r="K1257" s="24"/>
      <c r="L1257" s="24"/>
      <c r="M1257" s="24"/>
      <c r="N1257" s="24"/>
      <c r="O1257" s="24"/>
      <c r="P1257" s="24"/>
      <c r="Q1257" s="24"/>
      <c r="R1257" s="24"/>
      <c r="S1257" s="24"/>
      <c r="T1257" s="24"/>
      <c r="U1257" s="24"/>
      <c r="V1257" s="24"/>
      <c r="W1257" s="24"/>
      <c r="X1257" s="24"/>
      <c r="Y1257" s="24"/>
      <c r="Z1257" s="24"/>
      <c r="AA1257" s="24"/>
      <c r="AB1257" s="24"/>
      <c r="AC1257" s="24"/>
    </row>
    <row r="1258" spans="1:29" ht="12.9">
      <c r="A1258" s="24"/>
      <c r="B1258" s="24"/>
      <c r="C1258" s="24"/>
      <c r="D1258" s="24"/>
      <c r="E1258" s="24"/>
      <c r="F1258" s="117"/>
      <c r="G1258" s="117"/>
      <c r="H1258" s="24"/>
      <c r="I1258" s="24"/>
      <c r="J1258" s="24"/>
      <c r="K1258" s="24"/>
      <c r="L1258" s="24"/>
      <c r="M1258" s="24"/>
      <c r="N1258" s="24"/>
      <c r="O1258" s="24"/>
      <c r="P1258" s="24"/>
      <c r="Q1258" s="24"/>
      <c r="R1258" s="24"/>
      <c r="S1258" s="24"/>
      <c r="T1258" s="24"/>
      <c r="U1258" s="24"/>
      <c r="V1258" s="24"/>
      <c r="W1258" s="24"/>
      <c r="X1258" s="24"/>
      <c r="Y1258" s="24"/>
      <c r="Z1258" s="24"/>
      <c r="AA1258" s="24"/>
      <c r="AB1258" s="24"/>
      <c r="AC1258" s="24"/>
    </row>
    <row r="1259" spans="1:29" ht="12.9">
      <c r="A1259" s="24"/>
      <c r="B1259" s="24"/>
      <c r="C1259" s="24"/>
      <c r="D1259" s="24"/>
      <c r="E1259" s="24"/>
      <c r="F1259" s="117"/>
      <c r="G1259" s="117"/>
      <c r="H1259" s="24"/>
      <c r="I1259" s="24"/>
      <c r="J1259" s="24"/>
      <c r="K1259" s="24"/>
      <c r="L1259" s="24"/>
      <c r="M1259" s="24"/>
      <c r="N1259" s="24"/>
      <c r="O1259" s="24"/>
      <c r="P1259" s="24"/>
      <c r="Q1259" s="24"/>
      <c r="R1259" s="24"/>
      <c r="S1259" s="24"/>
      <c r="T1259" s="24"/>
      <c r="U1259" s="24"/>
      <c r="V1259" s="24"/>
      <c r="W1259" s="24"/>
      <c r="X1259" s="24"/>
      <c r="Y1259" s="24"/>
      <c r="Z1259" s="24"/>
      <c r="AA1259" s="24"/>
      <c r="AB1259" s="24"/>
      <c r="AC1259" s="24"/>
    </row>
    <row r="1260" spans="1:29" ht="12.9">
      <c r="A1260" s="24"/>
      <c r="B1260" s="24"/>
      <c r="C1260" s="24"/>
      <c r="D1260" s="24"/>
      <c r="E1260" s="24"/>
      <c r="F1260" s="117"/>
      <c r="G1260" s="117"/>
      <c r="H1260" s="24"/>
      <c r="I1260" s="24"/>
      <c r="J1260" s="24"/>
      <c r="K1260" s="24"/>
      <c r="L1260" s="24"/>
      <c r="M1260" s="24"/>
      <c r="N1260" s="24"/>
      <c r="O1260" s="24"/>
      <c r="P1260" s="24"/>
      <c r="Q1260" s="24"/>
      <c r="R1260" s="24"/>
      <c r="S1260" s="24"/>
      <c r="T1260" s="24"/>
      <c r="U1260" s="24"/>
      <c r="V1260" s="24"/>
      <c r="W1260" s="24"/>
      <c r="X1260" s="24"/>
      <c r="Y1260" s="24"/>
      <c r="Z1260" s="24"/>
      <c r="AA1260" s="24"/>
      <c r="AB1260" s="24"/>
      <c r="AC1260" s="24"/>
    </row>
    <row r="1261" spans="1:29" ht="12.9">
      <c r="A1261" s="24"/>
      <c r="B1261" s="24"/>
      <c r="C1261" s="24"/>
      <c r="D1261" s="24"/>
      <c r="E1261" s="24"/>
      <c r="F1261" s="117"/>
      <c r="G1261" s="117"/>
      <c r="H1261" s="24"/>
      <c r="I1261" s="24"/>
      <c r="J1261" s="24"/>
      <c r="K1261" s="24"/>
      <c r="L1261" s="24"/>
      <c r="M1261" s="24"/>
      <c r="N1261" s="24"/>
      <c r="O1261" s="24"/>
      <c r="P1261" s="24"/>
      <c r="Q1261" s="24"/>
      <c r="R1261" s="24"/>
      <c r="S1261" s="24"/>
      <c r="T1261" s="24"/>
      <c r="U1261" s="24"/>
      <c r="V1261" s="24"/>
      <c r="W1261" s="24"/>
      <c r="X1261" s="24"/>
      <c r="Y1261" s="24"/>
      <c r="Z1261" s="24"/>
      <c r="AA1261" s="24"/>
      <c r="AB1261" s="24"/>
      <c r="AC1261" s="24"/>
    </row>
    <row r="1262" spans="1:29" ht="12.9">
      <c r="A1262" s="24"/>
      <c r="B1262" s="24"/>
      <c r="C1262" s="24"/>
      <c r="D1262" s="24"/>
      <c r="E1262" s="24"/>
      <c r="F1262" s="117"/>
      <c r="G1262" s="117"/>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row>
    <row r="1263" spans="1:29" ht="12.9">
      <c r="A1263" s="24"/>
      <c r="B1263" s="24"/>
      <c r="C1263" s="24"/>
      <c r="D1263" s="24"/>
      <c r="E1263" s="24"/>
      <c r="F1263" s="117"/>
      <c r="G1263" s="117"/>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row>
    <row r="1264" spans="1:29" ht="12.9">
      <c r="A1264" s="24"/>
      <c r="B1264" s="24"/>
      <c r="C1264" s="24"/>
      <c r="D1264" s="24"/>
      <c r="E1264" s="24"/>
      <c r="F1264" s="117"/>
      <c r="G1264" s="117"/>
      <c r="H1264" s="24"/>
      <c r="I1264" s="24"/>
      <c r="J1264" s="24"/>
      <c r="K1264" s="24"/>
      <c r="L1264" s="24"/>
      <c r="M1264" s="24"/>
      <c r="N1264" s="24"/>
      <c r="O1264" s="24"/>
      <c r="P1264" s="24"/>
      <c r="Q1264" s="24"/>
      <c r="R1264" s="24"/>
      <c r="S1264" s="24"/>
      <c r="T1264" s="24"/>
      <c r="U1264" s="24"/>
      <c r="V1264" s="24"/>
      <c r="W1264" s="24"/>
      <c r="X1264" s="24"/>
      <c r="Y1264" s="24"/>
      <c r="Z1264" s="24"/>
      <c r="AA1264" s="24"/>
      <c r="AB1264" s="24"/>
      <c r="AC1264" s="24"/>
    </row>
    <row r="1265" spans="1:29" ht="12.9">
      <c r="A1265" s="24"/>
      <c r="B1265" s="24"/>
      <c r="C1265" s="24"/>
      <c r="D1265" s="24"/>
      <c r="E1265" s="24"/>
      <c r="F1265" s="117"/>
      <c r="G1265" s="117"/>
      <c r="H1265" s="24"/>
      <c r="I1265" s="24"/>
      <c r="J1265" s="24"/>
      <c r="K1265" s="24"/>
      <c r="L1265" s="24"/>
      <c r="M1265" s="24"/>
      <c r="N1265" s="24"/>
      <c r="O1265" s="24"/>
      <c r="P1265" s="24"/>
      <c r="Q1265" s="24"/>
      <c r="R1265" s="24"/>
      <c r="S1265" s="24"/>
      <c r="T1265" s="24"/>
      <c r="U1265" s="24"/>
      <c r="V1265" s="24"/>
      <c r="W1265" s="24"/>
      <c r="X1265" s="24"/>
      <c r="Y1265" s="24"/>
      <c r="Z1265" s="24"/>
      <c r="AA1265" s="24"/>
      <c r="AB1265" s="24"/>
      <c r="AC1265" s="24"/>
    </row>
    <row r="1266" spans="1:29" ht="12.9">
      <c r="A1266" s="24"/>
      <c r="B1266" s="24"/>
      <c r="C1266" s="24"/>
      <c r="D1266" s="24"/>
      <c r="E1266" s="24"/>
      <c r="F1266" s="117"/>
      <c r="G1266" s="117"/>
      <c r="H1266" s="24"/>
      <c r="I1266" s="24"/>
      <c r="J1266" s="24"/>
      <c r="K1266" s="24"/>
      <c r="L1266" s="24"/>
      <c r="M1266" s="24"/>
      <c r="N1266" s="24"/>
      <c r="O1266" s="24"/>
      <c r="P1266" s="24"/>
      <c r="Q1266" s="24"/>
      <c r="R1266" s="24"/>
      <c r="S1266" s="24"/>
      <c r="T1266" s="24"/>
      <c r="U1266" s="24"/>
      <c r="V1266" s="24"/>
      <c r="W1266" s="24"/>
      <c r="X1266" s="24"/>
      <c r="Y1266" s="24"/>
      <c r="Z1266" s="24"/>
      <c r="AA1266" s="24"/>
      <c r="AB1266" s="24"/>
      <c r="AC1266" s="24"/>
    </row>
    <row r="1267" spans="1:29" ht="12.9">
      <c r="A1267" s="24"/>
      <c r="B1267" s="24"/>
      <c r="C1267" s="24"/>
      <c r="D1267" s="24"/>
      <c r="E1267" s="24"/>
      <c r="F1267" s="117"/>
      <c r="G1267" s="117"/>
      <c r="H1267" s="24"/>
      <c r="I1267" s="24"/>
      <c r="J1267" s="24"/>
      <c r="K1267" s="24"/>
      <c r="L1267" s="24"/>
      <c r="M1267" s="24"/>
      <c r="N1267" s="24"/>
      <c r="O1267" s="24"/>
      <c r="P1267" s="24"/>
      <c r="Q1267" s="24"/>
      <c r="R1267" s="24"/>
      <c r="S1267" s="24"/>
      <c r="T1267" s="24"/>
      <c r="U1267" s="24"/>
      <c r="V1267" s="24"/>
      <c r="W1267" s="24"/>
      <c r="X1267" s="24"/>
      <c r="Y1267" s="24"/>
      <c r="Z1267" s="24"/>
      <c r="AA1267" s="24"/>
      <c r="AB1267" s="24"/>
      <c r="AC1267" s="24"/>
    </row>
    <row r="1268" spans="1:29" ht="12.9">
      <c r="A1268" s="24"/>
      <c r="B1268" s="24"/>
      <c r="C1268" s="24"/>
      <c r="D1268" s="24"/>
      <c r="E1268" s="24"/>
      <c r="F1268" s="117"/>
      <c r="G1268" s="117"/>
      <c r="H1268" s="24"/>
      <c r="I1268" s="24"/>
      <c r="J1268" s="24"/>
      <c r="K1268" s="24"/>
      <c r="L1268" s="24"/>
      <c r="M1268" s="24"/>
      <c r="N1268" s="24"/>
      <c r="O1268" s="24"/>
      <c r="P1268" s="24"/>
      <c r="Q1268" s="24"/>
      <c r="R1268" s="24"/>
      <c r="S1268" s="24"/>
      <c r="T1268" s="24"/>
      <c r="U1268" s="24"/>
      <c r="V1268" s="24"/>
      <c r="W1268" s="24"/>
      <c r="X1268" s="24"/>
      <c r="Y1268" s="24"/>
      <c r="Z1268" s="24"/>
      <c r="AA1268" s="24"/>
      <c r="AB1268" s="24"/>
      <c r="AC1268" s="24"/>
    </row>
    <row r="1269" spans="1:29" ht="12.9">
      <c r="A1269" s="24"/>
      <c r="B1269" s="24"/>
      <c r="C1269" s="24"/>
      <c r="D1269" s="24"/>
      <c r="E1269" s="24"/>
      <c r="F1269" s="117"/>
      <c r="G1269" s="117"/>
      <c r="H1269" s="24"/>
      <c r="I1269" s="24"/>
      <c r="J1269" s="24"/>
      <c r="K1269" s="24"/>
      <c r="L1269" s="24"/>
      <c r="M1269" s="24"/>
      <c r="N1269" s="24"/>
      <c r="O1269" s="24"/>
      <c r="P1269" s="24"/>
      <c r="Q1269" s="24"/>
      <c r="R1269" s="24"/>
      <c r="S1269" s="24"/>
      <c r="T1269" s="24"/>
      <c r="U1269" s="24"/>
      <c r="V1269" s="24"/>
      <c r="W1269" s="24"/>
      <c r="X1269" s="24"/>
      <c r="Y1269" s="24"/>
      <c r="Z1269" s="24"/>
      <c r="AA1269" s="24"/>
      <c r="AB1269" s="24"/>
      <c r="AC1269" s="24"/>
    </row>
    <row r="1270" spans="1:29" ht="12.9">
      <c r="A1270" s="24"/>
      <c r="B1270" s="24"/>
      <c r="C1270" s="24"/>
      <c r="D1270" s="24"/>
      <c r="E1270" s="24"/>
      <c r="F1270" s="117"/>
      <c r="G1270" s="117"/>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row>
    <row r="1271" spans="1:29" ht="12.9">
      <c r="A1271" s="24"/>
      <c r="B1271" s="24"/>
      <c r="C1271" s="24"/>
      <c r="D1271" s="24"/>
      <c r="E1271" s="24"/>
      <c r="F1271" s="117"/>
      <c r="G1271" s="117"/>
      <c r="H1271" s="24"/>
      <c r="I1271" s="24"/>
      <c r="J1271" s="24"/>
      <c r="K1271" s="24"/>
      <c r="L1271" s="24"/>
      <c r="M1271" s="24"/>
      <c r="N1271" s="24"/>
      <c r="O1271" s="24"/>
      <c r="P1271" s="24"/>
      <c r="Q1271" s="24"/>
      <c r="R1271" s="24"/>
      <c r="S1271" s="24"/>
      <c r="T1271" s="24"/>
      <c r="U1271" s="24"/>
      <c r="V1271" s="24"/>
      <c r="W1271" s="24"/>
      <c r="X1271" s="24"/>
      <c r="Y1271" s="24"/>
      <c r="Z1271" s="24"/>
      <c r="AA1271" s="24"/>
      <c r="AB1271" s="24"/>
      <c r="AC1271" s="24"/>
    </row>
    <row r="1272" spans="1:29" ht="12.9">
      <c r="A1272" s="24"/>
      <c r="B1272" s="24"/>
      <c r="C1272" s="24"/>
      <c r="D1272" s="24"/>
      <c r="E1272" s="24"/>
      <c r="F1272" s="117"/>
      <c r="G1272" s="117"/>
      <c r="H1272" s="24"/>
      <c r="I1272" s="24"/>
      <c r="J1272" s="24"/>
      <c r="K1272" s="24"/>
      <c r="L1272" s="24"/>
      <c r="M1272" s="24"/>
      <c r="N1272" s="24"/>
      <c r="O1272" s="24"/>
      <c r="P1272" s="24"/>
      <c r="Q1272" s="24"/>
      <c r="R1272" s="24"/>
      <c r="S1272" s="24"/>
      <c r="T1272" s="24"/>
      <c r="U1272" s="24"/>
      <c r="V1272" s="24"/>
      <c r="W1272" s="24"/>
      <c r="X1272" s="24"/>
      <c r="Y1272" s="24"/>
      <c r="Z1272" s="24"/>
      <c r="AA1272" s="24"/>
      <c r="AB1272" s="24"/>
      <c r="AC1272" s="24"/>
    </row>
    <row r="1273" spans="1:29" ht="12.9">
      <c r="A1273" s="24"/>
      <c r="B1273" s="24"/>
      <c r="C1273" s="24"/>
      <c r="D1273" s="24"/>
      <c r="E1273" s="24"/>
      <c r="F1273" s="117"/>
      <c r="G1273" s="117"/>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row>
    <row r="1274" spans="1:29" ht="12.9">
      <c r="A1274" s="24"/>
      <c r="B1274" s="24"/>
      <c r="C1274" s="24"/>
      <c r="D1274" s="24"/>
      <c r="E1274" s="24"/>
      <c r="F1274" s="117"/>
      <c r="G1274" s="117"/>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row>
    <row r="1275" spans="1:29" ht="12.9">
      <c r="A1275" s="24"/>
      <c r="B1275" s="24"/>
      <c r="C1275" s="24"/>
      <c r="D1275" s="24"/>
      <c r="E1275" s="24"/>
      <c r="F1275" s="117"/>
      <c r="G1275" s="117"/>
      <c r="H1275" s="24"/>
      <c r="I1275" s="24"/>
      <c r="J1275" s="24"/>
      <c r="K1275" s="24"/>
      <c r="L1275" s="24"/>
      <c r="M1275" s="24"/>
      <c r="N1275" s="24"/>
      <c r="O1275" s="24"/>
      <c r="P1275" s="24"/>
      <c r="Q1275" s="24"/>
      <c r="R1275" s="24"/>
      <c r="S1275" s="24"/>
      <c r="T1275" s="24"/>
      <c r="U1275" s="24"/>
      <c r="V1275" s="24"/>
      <c r="W1275" s="24"/>
      <c r="X1275" s="24"/>
      <c r="Y1275" s="24"/>
      <c r="Z1275" s="24"/>
      <c r="AA1275" s="24"/>
      <c r="AB1275" s="24"/>
      <c r="AC1275" s="24"/>
    </row>
    <row r="1276" spans="1:29" ht="12.9">
      <c r="A1276" s="24"/>
      <c r="B1276" s="24"/>
      <c r="C1276" s="24"/>
      <c r="D1276" s="24"/>
      <c r="E1276" s="24"/>
      <c r="F1276" s="117"/>
      <c r="G1276" s="117"/>
      <c r="H1276" s="24"/>
      <c r="I1276" s="24"/>
      <c r="J1276" s="24"/>
      <c r="K1276" s="24"/>
      <c r="L1276" s="24"/>
      <c r="M1276" s="24"/>
      <c r="N1276" s="24"/>
      <c r="O1276" s="24"/>
      <c r="P1276" s="24"/>
      <c r="Q1276" s="24"/>
      <c r="R1276" s="24"/>
      <c r="S1276" s="24"/>
      <c r="T1276" s="24"/>
      <c r="U1276" s="24"/>
      <c r="V1276" s="24"/>
      <c r="W1276" s="24"/>
      <c r="X1276" s="24"/>
      <c r="Y1276" s="24"/>
      <c r="Z1276" s="24"/>
      <c r="AA1276" s="24"/>
      <c r="AB1276" s="24"/>
      <c r="AC1276" s="24"/>
    </row>
    <row r="1277" spans="1:29" ht="12.9">
      <c r="A1277" s="24"/>
      <c r="B1277" s="24"/>
      <c r="C1277" s="24"/>
      <c r="D1277" s="24"/>
      <c r="E1277" s="24"/>
      <c r="F1277" s="117"/>
      <c r="G1277" s="117"/>
      <c r="H1277" s="24"/>
      <c r="I1277" s="24"/>
      <c r="J1277" s="24"/>
      <c r="K1277" s="24"/>
      <c r="L1277" s="24"/>
      <c r="M1277" s="24"/>
      <c r="N1277" s="24"/>
      <c r="O1277" s="24"/>
      <c r="P1277" s="24"/>
      <c r="Q1277" s="24"/>
      <c r="R1277" s="24"/>
      <c r="S1277" s="24"/>
      <c r="T1277" s="24"/>
      <c r="U1277" s="24"/>
      <c r="V1277" s="24"/>
      <c r="W1277" s="24"/>
      <c r="X1277" s="24"/>
      <c r="Y1277" s="24"/>
      <c r="Z1277" s="24"/>
      <c r="AA1277" s="24"/>
      <c r="AB1277" s="24"/>
      <c r="AC1277" s="24"/>
    </row>
    <row r="1278" spans="1:29" ht="12.9">
      <c r="A1278" s="24"/>
      <c r="B1278" s="24"/>
      <c r="C1278" s="24"/>
      <c r="D1278" s="24"/>
      <c r="E1278" s="24"/>
      <c r="F1278" s="117"/>
      <c r="G1278" s="117"/>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row>
    <row r="1279" spans="1:29" ht="12.9">
      <c r="A1279" s="24"/>
      <c r="B1279" s="24"/>
      <c r="C1279" s="24"/>
      <c r="D1279" s="24"/>
      <c r="E1279" s="24"/>
      <c r="F1279" s="117"/>
      <c r="G1279" s="117"/>
      <c r="H1279" s="24"/>
      <c r="I1279" s="24"/>
      <c r="J1279" s="24"/>
      <c r="K1279" s="24"/>
      <c r="L1279" s="24"/>
      <c r="M1279" s="24"/>
      <c r="N1279" s="24"/>
      <c r="O1279" s="24"/>
      <c r="P1279" s="24"/>
      <c r="Q1279" s="24"/>
      <c r="R1279" s="24"/>
      <c r="S1279" s="24"/>
      <c r="T1279" s="24"/>
      <c r="U1279" s="24"/>
      <c r="V1279" s="24"/>
      <c r="W1279" s="24"/>
      <c r="X1279" s="24"/>
      <c r="Y1279" s="24"/>
      <c r="Z1279" s="24"/>
      <c r="AA1279" s="24"/>
      <c r="AB1279" s="24"/>
      <c r="AC1279" s="24"/>
    </row>
    <row r="1280" spans="1:29" ht="12.9">
      <c r="A1280" s="24"/>
      <c r="B1280" s="24"/>
      <c r="C1280" s="24"/>
      <c r="D1280" s="24"/>
      <c r="E1280" s="24"/>
      <c r="F1280" s="117"/>
      <c r="G1280" s="117"/>
      <c r="H1280" s="24"/>
      <c r="I1280" s="24"/>
      <c r="J1280" s="24"/>
      <c r="K1280" s="24"/>
      <c r="L1280" s="24"/>
      <c r="M1280" s="24"/>
      <c r="N1280" s="24"/>
      <c r="O1280" s="24"/>
      <c r="P1280" s="24"/>
      <c r="Q1280" s="24"/>
      <c r="R1280" s="24"/>
      <c r="S1280" s="24"/>
      <c r="T1280" s="24"/>
      <c r="U1280" s="24"/>
      <c r="V1280" s="24"/>
      <c r="W1280" s="24"/>
      <c r="X1280" s="24"/>
      <c r="Y1280" s="24"/>
      <c r="Z1280" s="24"/>
      <c r="AA1280" s="24"/>
      <c r="AB1280" s="24"/>
      <c r="AC1280" s="24"/>
    </row>
    <row r="1281" spans="1:29" ht="12.9">
      <c r="A1281" s="24"/>
      <c r="B1281" s="24"/>
      <c r="C1281" s="24"/>
      <c r="D1281" s="24"/>
      <c r="E1281" s="24"/>
      <c r="F1281" s="117"/>
      <c r="G1281" s="117"/>
      <c r="H1281" s="24"/>
      <c r="I1281" s="24"/>
      <c r="J1281" s="24"/>
      <c r="K1281" s="24"/>
      <c r="L1281" s="24"/>
      <c r="M1281" s="24"/>
      <c r="N1281" s="24"/>
      <c r="O1281" s="24"/>
      <c r="P1281" s="24"/>
      <c r="Q1281" s="24"/>
      <c r="R1281" s="24"/>
      <c r="S1281" s="24"/>
      <c r="T1281" s="24"/>
      <c r="U1281" s="24"/>
      <c r="V1281" s="24"/>
      <c r="W1281" s="24"/>
      <c r="X1281" s="24"/>
      <c r="Y1281" s="24"/>
      <c r="Z1281" s="24"/>
      <c r="AA1281" s="24"/>
      <c r="AB1281" s="24"/>
      <c r="AC1281" s="24"/>
    </row>
    <row r="1282" spans="1:29" ht="12.9">
      <c r="A1282" s="24"/>
      <c r="B1282" s="24"/>
      <c r="C1282" s="24"/>
      <c r="D1282" s="24"/>
      <c r="E1282" s="24"/>
      <c r="F1282" s="117"/>
      <c r="G1282" s="117"/>
      <c r="H1282" s="24"/>
      <c r="I1282" s="24"/>
      <c r="J1282" s="24"/>
      <c r="K1282" s="24"/>
      <c r="L1282" s="24"/>
      <c r="M1282" s="24"/>
      <c r="N1282" s="24"/>
      <c r="O1282" s="24"/>
      <c r="P1282" s="24"/>
      <c r="Q1282" s="24"/>
      <c r="R1282" s="24"/>
      <c r="S1282" s="24"/>
      <c r="T1282" s="24"/>
      <c r="U1282" s="24"/>
      <c r="V1282" s="24"/>
      <c r="W1282" s="24"/>
      <c r="X1282" s="24"/>
      <c r="Y1282" s="24"/>
      <c r="Z1282" s="24"/>
      <c r="AA1282" s="24"/>
      <c r="AB1282" s="24"/>
      <c r="AC1282" s="24"/>
    </row>
    <row r="1283" spans="1:29" ht="12.9">
      <c r="A1283" s="24"/>
      <c r="B1283" s="24"/>
      <c r="C1283" s="24"/>
      <c r="D1283" s="24"/>
      <c r="E1283" s="24"/>
      <c r="F1283" s="117"/>
      <c r="G1283" s="117"/>
      <c r="H1283" s="24"/>
      <c r="I1283" s="24"/>
      <c r="J1283" s="24"/>
      <c r="K1283" s="24"/>
      <c r="L1283" s="24"/>
      <c r="M1283" s="24"/>
      <c r="N1283" s="24"/>
      <c r="O1283" s="24"/>
      <c r="P1283" s="24"/>
      <c r="Q1283" s="24"/>
      <c r="R1283" s="24"/>
      <c r="S1283" s="24"/>
      <c r="T1283" s="24"/>
      <c r="U1283" s="24"/>
      <c r="V1283" s="24"/>
      <c r="W1283" s="24"/>
      <c r="X1283" s="24"/>
      <c r="Y1283" s="24"/>
      <c r="Z1283" s="24"/>
      <c r="AA1283" s="24"/>
      <c r="AB1283" s="24"/>
      <c r="AC1283" s="24"/>
    </row>
    <row r="1284" spans="1:29" ht="12.9">
      <c r="A1284" s="24"/>
      <c r="B1284" s="24"/>
      <c r="C1284" s="24"/>
      <c r="D1284" s="24"/>
      <c r="E1284" s="24"/>
      <c r="F1284" s="117"/>
      <c r="G1284" s="117"/>
      <c r="H1284" s="24"/>
      <c r="I1284" s="24"/>
      <c r="J1284" s="24"/>
      <c r="K1284" s="24"/>
      <c r="L1284" s="24"/>
      <c r="M1284" s="24"/>
      <c r="N1284" s="24"/>
      <c r="O1284" s="24"/>
      <c r="P1284" s="24"/>
      <c r="Q1284" s="24"/>
      <c r="R1284" s="24"/>
      <c r="S1284" s="24"/>
      <c r="T1284" s="24"/>
      <c r="U1284" s="24"/>
      <c r="V1284" s="24"/>
      <c r="W1284" s="24"/>
      <c r="X1284" s="24"/>
      <c r="Y1284" s="24"/>
      <c r="Z1284" s="24"/>
      <c r="AA1284" s="24"/>
      <c r="AB1284" s="24"/>
      <c r="AC1284" s="24"/>
    </row>
    <row r="1285" spans="1:29" ht="12.9">
      <c r="A1285" s="24"/>
      <c r="B1285" s="24"/>
      <c r="C1285" s="24"/>
      <c r="D1285" s="24"/>
      <c r="E1285" s="24"/>
      <c r="F1285" s="117"/>
      <c r="G1285" s="117"/>
      <c r="H1285" s="24"/>
      <c r="I1285" s="24"/>
      <c r="J1285" s="24"/>
      <c r="K1285" s="24"/>
      <c r="L1285" s="24"/>
      <c r="M1285" s="24"/>
      <c r="N1285" s="24"/>
      <c r="O1285" s="24"/>
      <c r="P1285" s="24"/>
      <c r="Q1285" s="24"/>
      <c r="R1285" s="24"/>
      <c r="S1285" s="24"/>
      <c r="T1285" s="24"/>
      <c r="U1285" s="24"/>
      <c r="V1285" s="24"/>
      <c r="W1285" s="24"/>
      <c r="X1285" s="24"/>
      <c r="Y1285" s="24"/>
      <c r="Z1285" s="24"/>
      <c r="AA1285" s="24"/>
      <c r="AB1285" s="24"/>
      <c r="AC1285" s="24"/>
    </row>
    <row r="1286" spans="1:29" ht="12.9">
      <c r="A1286" s="24"/>
      <c r="B1286" s="24"/>
      <c r="C1286" s="24"/>
      <c r="D1286" s="24"/>
      <c r="E1286" s="24"/>
      <c r="F1286" s="117"/>
      <c r="G1286" s="117"/>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row>
    <row r="1287" spans="1:29" ht="12.9">
      <c r="A1287" s="24"/>
      <c r="B1287" s="24"/>
      <c r="C1287" s="24"/>
      <c r="D1287" s="24"/>
      <c r="E1287" s="24"/>
      <c r="F1287" s="117"/>
      <c r="G1287" s="117"/>
      <c r="H1287" s="24"/>
      <c r="I1287" s="24"/>
      <c r="J1287" s="24"/>
      <c r="K1287" s="24"/>
      <c r="L1287" s="24"/>
      <c r="M1287" s="24"/>
      <c r="N1287" s="24"/>
      <c r="O1287" s="24"/>
      <c r="P1287" s="24"/>
      <c r="Q1287" s="24"/>
      <c r="R1287" s="24"/>
      <c r="S1287" s="24"/>
      <c r="T1287" s="24"/>
      <c r="U1287" s="24"/>
      <c r="V1287" s="24"/>
      <c r="W1287" s="24"/>
      <c r="X1287" s="24"/>
      <c r="Y1287" s="24"/>
      <c r="Z1287" s="24"/>
      <c r="AA1287" s="24"/>
      <c r="AB1287" s="24"/>
      <c r="AC1287" s="24"/>
    </row>
    <row r="1288" spans="1:29" ht="12.9">
      <c r="A1288" s="24"/>
      <c r="B1288" s="24"/>
      <c r="C1288" s="24"/>
      <c r="D1288" s="24"/>
      <c r="E1288" s="24"/>
      <c r="F1288" s="117"/>
      <c r="G1288" s="117"/>
      <c r="H1288" s="24"/>
      <c r="I1288" s="24"/>
      <c r="J1288" s="24"/>
      <c r="K1288" s="24"/>
      <c r="L1288" s="24"/>
      <c r="M1288" s="24"/>
      <c r="N1288" s="24"/>
      <c r="O1288" s="24"/>
      <c r="P1288" s="24"/>
      <c r="Q1288" s="24"/>
      <c r="R1288" s="24"/>
      <c r="S1288" s="24"/>
      <c r="T1288" s="24"/>
      <c r="U1288" s="24"/>
      <c r="V1288" s="24"/>
      <c r="W1288" s="24"/>
      <c r="X1288" s="24"/>
      <c r="Y1288" s="24"/>
      <c r="Z1288" s="24"/>
      <c r="AA1288" s="24"/>
      <c r="AB1288" s="24"/>
      <c r="AC1288" s="24"/>
    </row>
    <row r="1289" spans="1:29" ht="12.9">
      <c r="A1289" s="24"/>
      <c r="B1289" s="24"/>
      <c r="C1289" s="24"/>
      <c r="D1289" s="24"/>
      <c r="E1289" s="24"/>
      <c r="F1289" s="117"/>
      <c r="G1289" s="117"/>
      <c r="H1289" s="24"/>
      <c r="I1289" s="24"/>
      <c r="J1289" s="24"/>
      <c r="K1289" s="24"/>
      <c r="L1289" s="24"/>
      <c r="M1289" s="24"/>
      <c r="N1289" s="24"/>
      <c r="O1289" s="24"/>
      <c r="P1289" s="24"/>
      <c r="Q1289" s="24"/>
      <c r="R1289" s="24"/>
      <c r="S1289" s="24"/>
      <c r="T1289" s="24"/>
      <c r="U1289" s="24"/>
      <c r="V1289" s="24"/>
      <c r="W1289" s="24"/>
      <c r="X1289" s="24"/>
      <c r="Y1289" s="24"/>
      <c r="Z1289" s="24"/>
      <c r="AA1289" s="24"/>
      <c r="AB1289" s="24"/>
      <c r="AC1289" s="24"/>
    </row>
    <row r="1290" spans="1:29" ht="12.9">
      <c r="A1290" s="24"/>
      <c r="B1290" s="24"/>
      <c r="C1290" s="24"/>
      <c r="D1290" s="24"/>
      <c r="E1290" s="24"/>
      <c r="F1290" s="117"/>
      <c r="G1290" s="117"/>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row>
    <row r="1291" spans="1:29" ht="12.9">
      <c r="A1291" s="24"/>
      <c r="B1291" s="24"/>
      <c r="C1291" s="24"/>
      <c r="D1291" s="24"/>
      <c r="E1291" s="24"/>
      <c r="F1291" s="117"/>
      <c r="G1291" s="117"/>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row>
    <row r="1292" spans="1:29" ht="12.9">
      <c r="A1292" s="24"/>
      <c r="B1292" s="24"/>
      <c r="C1292" s="24"/>
      <c r="D1292" s="24"/>
      <c r="E1292" s="24"/>
      <c r="F1292" s="117"/>
      <c r="G1292" s="117"/>
      <c r="H1292" s="24"/>
      <c r="I1292" s="24"/>
      <c r="J1292" s="24"/>
      <c r="K1292" s="24"/>
      <c r="L1292" s="24"/>
      <c r="M1292" s="24"/>
      <c r="N1292" s="24"/>
      <c r="O1292" s="24"/>
      <c r="P1292" s="24"/>
      <c r="Q1292" s="24"/>
      <c r="R1292" s="24"/>
      <c r="S1292" s="24"/>
      <c r="T1292" s="24"/>
      <c r="U1292" s="24"/>
      <c r="V1292" s="24"/>
      <c r="W1292" s="24"/>
      <c r="X1292" s="24"/>
      <c r="Y1292" s="24"/>
      <c r="Z1292" s="24"/>
      <c r="AA1292" s="24"/>
      <c r="AB1292" s="24"/>
      <c r="AC1292" s="24"/>
    </row>
    <row r="1293" spans="1:29" ht="12.9">
      <c r="A1293" s="24"/>
      <c r="B1293" s="24"/>
      <c r="C1293" s="24"/>
      <c r="D1293" s="24"/>
      <c r="E1293" s="24"/>
      <c r="F1293" s="117"/>
      <c r="G1293" s="117"/>
      <c r="H1293" s="24"/>
      <c r="I1293" s="24"/>
      <c r="J1293" s="24"/>
      <c r="K1293" s="24"/>
      <c r="L1293" s="24"/>
      <c r="M1293" s="24"/>
      <c r="N1293" s="24"/>
      <c r="O1293" s="24"/>
      <c r="P1293" s="24"/>
      <c r="Q1293" s="24"/>
      <c r="R1293" s="24"/>
      <c r="S1293" s="24"/>
      <c r="T1293" s="24"/>
      <c r="U1293" s="24"/>
      <c r="V1293" s="24"/>
      <c r="W1293" s="24"/>
      <c r="X1293" s="24"/>
      <c r="Y1293" s="24"/>
      <c r="Z1293" s="24"/>
      <c r="AA1293" s="24"/>
      <c r="AB1293" s="24"/>
      <c r="AC1293" s="24"/>
    </row>
    <row r="1294" spans="1:29" ht="12.9">
      <c r="A1294" s="24"/>
      <c r="B1294" s="24"/>
      <c r="C1294" s="24"/>
      <c r="D1294" s="24"/>
      <c r="E1294" s="24"/>
      <c r="F1294" s="117"/>
      <c r="G1294" s="117"/>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row>
    <row r="1295" spans="1:29" ht="12.9">
      <c r="A1295" s="24"/>
      <c r="B1295" s="24"/>
      <c r="C1295" s="24"/>
      <c r="D1295" s="24"/>
      <c r="E1295" s="24"/>
      <c r="F1295" s="117"/>
      <c r="G1295" s="117"/>
      <c r="H1295" s="24"/>
      <c r="I1295" s="24"/>
      <c r="J1295" s="24"/>
      <c r="K1295" s="24"/>
      <c r="L1295" s="24"/>
      <c r="M1295" s="24"/>
      <c r="N1295" s="24"/>
      <c r="O1295" s="24"/>
      <c r="P1295" s="24"/>
      <c r="Q1295" s="24"/>
      <c r="R1295" s="24"/>
      <c r="S1295" s="24"/>
      <c r="T1295" s="24"/>
      <c r="U1295" s="24"/>
      <c r="V1295" s="24"/>
      <c r="W1295" s="24"/>
      <c r="X1295" s="24"/>
      <c r="Y1295" s="24"/>
      <c r="Z1295" s="24"/>
      <c r="AA1295" s="24"/>
      <c r="AB1295" s="24"/>
      <c r="AC1295" s="24"/>
    </row>
    <row r="1296" spans="1:29" ht="12.9">
      <c r="A1296" s="24"/>
      <c r="B1296" s="24"/>
      <c r="C1296" s="24"/>
      <c r="D1296" s="24"/>
      <c r="E1296" s="24"/>
      <c r="F1296" s="117"/>
      <c r="G1296" s="117"/>
      <c r="H1296" s="24"/>
      <c r="I1296" s="24"/>
      <c r="J1296" s="24"/>
      <c r="K1296" s="24"/>
      <c r="L1296" s="24"/>
      <c r="M1296" s="24"/>
      <c r="N1296" s="24"/>
      <c r="O1296" s="24"/>
      <c r="P1296" s="24"/>
      <c r="Q1296" s="24"/>
      <c r="R1296" s="24"/>
      <c r="S1296" s="24"/>
      <c r="T1296" s="24"/>
      <c r="U1296" s="24"/>
      <c r="V1296" s="24"/>
      <c r="W1296" s="24"/>
      <c r="X1296" s="24"/>
      <c r="Y1296" s="24"/>
      <c r="Z1296" s="24"/>
      <c r="AA1296" s="24"/>
      <c r="AB1296" s="24"/>
      <c r="AC1296" s="24"/>
    </row>
    <row r="1297" spans="1:29" ht="12.9">
      <c r="A1297" s="24"/>
      <c r="B1297" s="24"/>
      <c r="C1297" s="24"/>
      <c r="D1297" s="24"/>
      <c r="E1297" s="24"/>
      <c r="F1297" s="117"/>
      <c r="G1297" s="117"/>
      <c r="H1297" s="24"/>
      <c r="I1297" s="24"/>
      <c r="J1297" s="24"/>
      <c r="K1297" s="24"/>
      <c r="L1297" s="24"/>
      <c r="M1297" s="24"/>
      <c r="N1297" s="24"/>
      <c r="O1297" s="24"/>
      <c r="P1297" s="24"/>
      <c r="Q1297" s="24"/>
      <c r="R1297" s="24"/>
      <c r="S1297" s="24"/>
      <c r="T1297" s="24"/>
      <c r="U1297" s="24"/>
      <c r="V1297" s="24"/>
      <c r="W1297" s="24"/>
      <c r="X1297" s="24"/>
      <c r="Y1297" s="24"/>
      <c r="Z1297" s="24"/>
      <c r="AA1297" s="24"/>
      <c r="AB1297" s="24"/>
      <c r="AC1297" s="24"/>
    </row>
    <row r="1298" spans="1:29" ht="12.9">
      <c r="A1298" s="24"/>
      <c r="B1298" s="24"/>
      <c r="C1298" s="24"/>
      <c r="D1298" s="24"/>
      <c r="E1298" s="24"/>
      <c r="F1298" s="117"/>
      <c r="G1298" s="117"/>
      <c r="H1298" s="24"/>
      <c r="I1298" s="24"/>
      <c r="J1298" s="24"/>
      <c r="K1298" s="24"/>
      <c r="L1298" s="24"/>
      <c r="M1298" s="24"/>
      <c r="N1298" s="24"/>
      <c r="O1298" s="24"/>
      <c r="P1298" s="24"/>
      <c r="Q1298" s="24"/>
      <c r="R1298" s="24"/>
      <c r="S1298" s="24"/>
      <c r="T1298" s="24"/>
      <c r="U1298" s="24"/>
      <c r="V1298" s="24"/>
      <c r="W1298" s="24"/>
      <c r="X1298" s="24"/>
      <c r="Y1298" s="24"/>
      <c r="Z1298" s="24"/>
      <c r="AA1298" s="24"/>
      <c r="AB1298" s="24"/>
      <c r="AC1298" s="24"/>
    </row>
    <row r="1299" spans="1:29" ht="12.9">
      <c r="A1299" s="24"/>
      <c r="B1299" s="24"/>
      <c r="C1299" s="24"/>
      <c r="D1299" s="24"/>
      <c r="E1299" s="24"/>
      <c r="F1299" s="117"/>
      <c r="G1299" s="117"/>
      <c r="H1299" s="24"/>
      <c r="I1299" s="24"/>
      <c r="J1299" s="24"/>
      <c r="K1299" s="24"/>
      <c r="L1299" s="24"/>
      <c r="M1299" s="24"/>
      <c r="N1299" s="24"/>
      <c r="O1299" s="24"/>
      <c r="P1299" s="24"/>
      <c r="Q1299" s="24"/>
      <c r="R1299" s="24"/>
      <c r="S1299" s="24"/>
      <c r="T1299" s="24"/>
      <c r="U1299" s="24"/>
      <c r="V1299" s="24"/>
      <c r="W1299" s="24"/>
      <c r="X1299" s="24"/>
      <c r="Y1299" s="24"/>
      <c r="Z1299" s="24"/>
      <c r="AA1299" s="24"/>
      <c r="AB1299" s="24"/>
      <c r="AC1299" s="24"/>
    </row>
    <row r="1300" spans="1:29" ht="12.9">
      <c r="A1300" s="24"/>
      <c r="B1300" s="24"/>
      <c r="C1300" s="24"/>
      <c r="D1300" s="24"/>
      <c r="E1300" s="24"/>
      <c r="F1300" s="117"/>
      <c r="G1300" s="117"/>
      <c r="H1300" s="24"/>
      <c r="I1300" s="24"/>
      <c r="J1300" s="24"/>
      <c r="K1300" s="24"/>
      <c r="L1300" s="24"/>
      <c r="M1300" s="24"/>
      <c r="N1300" s="24"/>
      <c r="O1300" s="24"/>
      <c r="P1300" s="24"/>
      <c r="Q1300" s="24"/>
      <c r="R1300" s="24"/>
      <c r="S1300" s="24"/>
      <c r="T1300" s="24"/>
      <c r="U1300" s="24"/>
      <c r="V1300" s="24"/>
      <c r="W1300" s="24"/>
      <c r="X1300" s="24"/>
      <c r="Y1300" s="24"/>
      <c r="Z1300" s="24"/>
      <c r="AA1300" s="24"/>
      <c r="AB1300" s="24"/>
      <c r="AC1300" s="24"/>
    </row>
    <row r="1301" spans="1:29" ht="12.9">
      <c r="A1301" s="24"/>
      <c r="B1301" s="24"/>
      <c r="C1301" s="24"/>
      <c r="D1301" s="24"/>
      <c r="E1301" s="24"/>
      <c r="F1301" s="117"/>
      <c r="G1301" s="117"/>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row>
    <row r="1302" spans="1:29" ht="12.9">
      <c r="A1302" s="24"/>
      <c r="B1302" s="24"/>
      <c r="C1302" s="24"/>
      <c r="D1302" s="24"/>
      <c r="E1302" s="24"/>
      <c r="F1302" s="117"/>
      <c r="G1302" s="117"/>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row>
    <row r="1303" spans="1:29" ht="12.9">
      <c r="A1303" s="24"/>
      <c r="B1303" s="24"/>
      <c r="C1303" s="24"/>
      <c r="D1303" s="24"/>
      <c r="E1303" s="24"/>
      <c r="F1303" s="117"/>
      <c r="G1303" s="117"/>
      <c r="H1303" s="24"/>
      <c r="I1303" s="24"/>
      <c r="J1303" s="24"/>
      <c r="K1303" s="24"/>
      <c r="L1303" s="24"/>
      <c r="M1303" s="24"/>
      <c r="N1303" s="24"/>
      <c r="O1303" s="24"/>
      <c r="P1303" s="24"/>
      <c r="Q1303" s="24"/>
      <c r="R1303" s="24"/>
      <c r="S1303" s="24"/>
      <c r="T1303" s="24"/>
      <c r="U1303" s="24"/>
      <c r="V1303" s="24"/>
      <c r="W1303" s="24"/>
      <c r="X1303" s="24"/>
      <c r="Y1303" s="24"/>
      <c r="Z1303" s="24"/>
      <c r="AA1303" s="24"/>
      <c r="AB1303" s="24"/>
      <c r="AC1303" s="24"/>
    </row>
    <row r="1304" spans="1:29" ht="12.9">
      <c r="A1304" s="24"/>
      <c r="B1304" s="24"/>
      <c r="C1304" s="24"/>
      <c r="D1304" s="24"/>
      <c r="E1304" s="24"/>
      <c r="F1304" s="117"/>
      <c r="G1304" s="117"/>
      <c r="H1304" s="24"/>
      <c r="I1304" s="24"/>
      <c r="J1304" s="24"/>
      <c r="K1304" s="24"/>
      <c r="L1304" s="24"/>
      <c r="M1304" s="24"/>
      <c r="N1304" s="24"/>
      <c r="O1304" s="24"/>
      <c r="P1304" s="24"/>
      <c r="Q1304" s="24"/>
      <c r="R1304" s="24"/>
      <c r="S1304" s="24"/>
      <c r="T1304" s="24"/>
      <c r="U1304" s="24"/>
      <c r="V1304" s="24"/>
      <c r="W1304" s="24"/>
      <c r="X1304" s="24"/>
      <c r="Y1304" s="24"/>
      <c r="Z1304" s="24"/>
      <c r="AA1304" s="24"/>
      <c r="AB1304" s="24"/>
      <c r="AC1304" s="24"/>
    </row>
    <row r="1305" spans="1:29" ht="12.9">
      <c r="A1305" s="24"/>
      <c r="B1305" s="24"/>
      <c r="C1305" s="24"/>
      <c r="D1305" s="24"/>
      <c r="E1305" s="24"/>
      <c r="F1305" s="117"/>
      <c r="G1305" s="117"/>
      <c r="H1305" s="24"/>
      <c r="I1305" s="24"/>
      <c r="J1305" s="24"/>
      <c r="K1305" s="24"/>
      <c r="L1305" s="24"/>
      <c r="M1305" s="24"/>
      <c r="N1305" s="24"/>
      <c r="O1305" s="24"/>
      <c r="P1305" s="24"/>
      <c r="Q1305" s="24"/>
      <c r="R1305" s="24"/>
      <c r="S1305" s="24"/>
      <c r="T1305" s="24"/>
      <c r="U1305" s="24"/>
      <c r="V1305" s="24"/>
      <c r="W1305" s="24"/>
      <c r="X1305" s="24"/>
      <c r="Y1305" s="24"/>
      <c r="Z1305" s="24"/>
      <c r="AA1305" s="24"/>
      <c r="AB1305" s="24"/>
      <c r="AC1305" s="24"/>
    </row>
    <row r="1306" spans="1:29" ht="12.9">
      <c r="A1306" s="24"/>
      <c r="B1306" s="24"/>
      <c r="C1306" s="24"/>
      <c r="D1306" s="24"/>
      <c r="E1306" s="24"/>
      <c r="F1306" s="117"/>
      <c r="G1306" s="117"/>
      <c r="H1306" s="24"/>
      <c r="I1306" s="24"/>
      <c r="J1306" s="24"/>
      <c r="K1306" s="24"/>
      <c r="L1306" s="24"/>
      <c r="M1306" s="24"/>
      <c r="N1306" s="24"/>
      <c r="O1306" s="24"/>
      <c r="P1306" s="24"/>
      <c r="Q1306" s="24"/>
      <c r="R1306" s="24"/>
      <c r="S1306" s="24"/>
      <c r="T1306" s="24"/>
      <c r="U1306" s="24"/>
      <c r="V1306" s="24"/>
      <c r="W1306" s="24"/>
      <c r="X1306" s="24"/>
      <c r="Y1306" s="24"/>
      <c r="Z1306" s="24"/>
      <c r="AA1306" s="24"/>
      <c r="AB1306" s="24"/>
      <c r="AC1306" s="24"/>
    </row>
    <row r="1307" spans="1:29" ht="12.9">
      <c r="A1307" s="24"/>
      <c r="B1307" s="24"/>
      <c r="C1307" s="24"/>
      <c r="D1307" s="24"/>
      <c r="E1307" s="24"/>
      <c r="F1307" s="117"/>
      <c r="G1307" s="117"/>
      <c r="H1307" s="24"/>
      <c r="I1307" s="24"/>
      <c r="J1307" s="24"/>
      <c r="K1307" s="24"/>
      <c r="L1307" s="24"/>
      <c r="M1307" s="24"/>
      <c r="N1307" s="24"/>
      <c r="O1307" s="24"/>
      <c r="P1307" s="24"/>
      <c r="Q1307" s="24"/>
      <c r="R1307" s="24"/>
      <c r="S1307" s="24"/>
      <c r="T1307" s="24"/>
      <c r="U1307" s="24"/>
      <c r="V1307" s="24"/>
      <c r="W1307" s="24"/>
      <c r="X1307" s="24"/>
      <c r="Y1307" s="24"/>
      <c r="Z1307" s="24"/>
      <c r="AA1307" s="24"/>
      <c r="AB1307" s="24"/>
      <c r="AC1307" s="24"/>
    </row>
    <row r="1308" spans="1:29" ht="12.9">
      <c r="A1308" s="24"/>
      <c r="B1308" s="24"/>
      <c r="C1308" s="24"/>
      <c r="D1308" s="24"/>
      <c r="E1308" s="24"/>
      <c r="F1308" s="117"/>
      <c r="G1308" s="117"/>
      <c r="H1308" s="24"/>
      <c r="I1308" s="24"/>
      <c r="J1308" s="24"/>
      <c r="K1308" s="24"/>
      <c r="L1308" s="24"/>
      <c r="M1308" s="24"/>
      <c r="N1308" s="24"/>
      <c r="O1308" s="24"/>
      <c r="P1308" s="24"/>
      <c r="Q1308" s="24"/>
      <c r="R1308" s="24"/>
      <c r="S1308" s="24"/>
      <c r="T1308" s="24"/>
      <c r="U1308" s="24"/>
      <c r="V1308" s="24"/>
      <c r="W1308" s="24"/>
      <c r="X1308" s="24"/>
      <c r="Y1308" s="24"/>
      <c r="Z1308" s="24"/>
      <c r="AA1308" s="24"/>
      <c r="AB1308" s="24"/>
      <c r="AC1308" s="24"/>
    </row>
    <row r="1309" spans="1:29" ht="12.9">
      <c r="A1309" s="24"/>
      <c r="B1309" s="24"/>
      <c r="C1309" s="24"/>
      <c r="D1309" s="24"/>
      <c r="E1309" s="24"/>
      <c r="F1309" s="117"/>
      <c r="G1309" s="117"/>
      <c r="H1309" s="24"/>
      <c r="I1309" s="24"/>
      <c r="J1309" s="24"/>
      <c r="K1309" s="24"/>
      <c r="L1309" s="24"/>
      <c r="M1309" s="24"/>
      <c r="N1309" s="24"/>
      <c r="O1309" s="24"/>
      <c r="P1309" s="24"/>
      <c r="Q1309" s="24"/>
      <c r="R1309" s="24"/>
      <c r="S1309" s="24"/>
      <c r="T1309" s="24"/>
      <c r="U1309" s="24"/>
      <c r="V1309" s="24"/>
      <c r="W1309" s="24"/>
      <c r="X1309" s="24"/>
      <c r="Y1309" s="24"/>
      <c r="Z1309" s="24"/>
      <c r="AA1309" s="24"/>
      <c r="AB1309" s="24"/>
      <c r="AC1309" s="24"/>
    </row>
    <row r="1310" spans="1:29" ht="12.9">
      <c r="A1310" s="24"/>
      <c r="B1310" s="24"/>
      <c r="C1310" s="24"/>
      <c r="D1310" s="24"/>
      <c r="E1310" s="24"/>
      <c r="F1310" s="117"/>
      <c r="G1310" s="117"/>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row>
    <row r="1311" spans="1:29" ht="12.9">
      <c r="A1311" s="24"/>
      <c r="B1311" s="24"/>
      <c r="C1311" s="24"/>
      <c r="D1311" s="24"/>
      <c r="E1311" s="24"/>
      <c r="F1311" s="117"/>
      <c r="G1311" s="117"/>
      <c r="H1311" s="24"/>
      <c r="I1311" s="24"/>
      <c r="J1311" s="24"/>
      <c r="K1311" s="24"/>
      <c r="L1311" s="24"/>
      <c r="M1311" s="24"/>
      <c r="N1311" s="24"/>
      <c r="O1311" s="24"/>
      <c r="P1311" s="24"/>
      <c r="Q1311" s="24"/>
      <c r="R1311" s="24"/>
      <c r="S1311" s="24"/>
      <c r="T1311" s="24"/>
      <c r="U1311" s="24"/>
      <c r="V1311" s="24"/>
      <c r="W1311" s="24"/>
      <c r="X1311" s="24"/>
      <c r="Y1311" s="24"/>
      <c r="Z1311" s="24"/>
      <c r="AA1311" s="24"/>
      <c r="AB1311" s="24"/>
      <c r="AC1311" s="24"/>
    </row>
    <row r="1312" spans="1:29" ht="12.9">
      <c r="A1312" s="24"/>
      <c r="B1312" s="24"/>
      <c r="C1312" s="24"/>
      <c r="D1312" s="24"/>
      <c r="E1312" s="24"/>
      <c r="F1312" s="117"/>
      <c r="G1312" s="117"/>
      <c r="H1312" s="24"/>
      <c r="I1312" s="24"/>
      <c r="J1312" s="24"/>
      <c r="K1312" s="24"/>
      <c r="L1312" s="24"/>
      <c r="M1312" s="24"/>
      <c r="N1312" s="24"/>
      <c r="O1312" s="24"/>
      <c r="P1312" s="24"/>
      <c r="Q1312" s="24"/>
      <c r="R1312" s="24"/>
      <c r="S1312" s="24"/>
      <c r="T1312" s="24"/>
      <c r="U1312" s="24"/>
      <c r="V1312" s="24"/>
      <c r="W1312" s="24"/>
      <c r="X1312" s="24"/>
      <c r="Y1312" s="24"/>
      <c r="Z1312" s="24"/>
      <c r="AA1312" s="24"/>
      <c r="AB1312" s="24"/>
      <c r="AC1312" s="24"/>
    </row>
    <row r="1313" spans="1:29" ht="12.9">
      <c r="A1313" s="24"/>
      <c r="B1313" s="24"/>
      <c r="C1313" s="24"/>
      <c r="D1313" s="24"/>
      <c r="E1313" s="24"/>
      <c r="F1313" s="117"/>
      <c r="G1313" s="117"/>
      <c r="H1313" s="24"/>
      <c r="I1313" s="24"/>
      <c r="J1313" s="24"/>
      <c r="K1313" s="24"/>
      <c r="L1313" s="24"/>
      <c r="M1313" s="24"/>
      <c r="N1313" s="24"/>
      <c r="O1313" s="24"/>
      <c r="P1313" s="24"/>
      <c r="Q1313" s="24"/>
      <c r="R1313" s="24"/>
      <c r="S1313" s="24"/>
      <c r="T1313" s="24"/>
      <c r="U1313" s="24"/>
      <c r="V1313" s="24"/>
      <c r="W1313" s="24"/>
      <c r="X1313" s="24"/>
      <c r="Y1313" s="24"/>
      <c r="Z1313" s="24"/>
      <c r="AA1313" s="24"/>
      <c r="AB1313" s="24"/>
      <c r="AC1313" s="24"/>
    </row>
    <row r="1314" spans="1:29" ht="12.9">
      <c r="A1314" s="24"/>
      <c r="B1314" s="24"/>
      <c r="C1314" s="24"/>
      <c r="D1314" s="24"/>
      <c r="E1314" s="24"/>
      <c r="F1314" s="117"/>
      <c r="G1314" s="117"/>
      <c r="H1314" s="24"/>
      <c r="I1314" s="24"/>
      <c r="J1314" s="24"/>
      <c r="K1314" s="24"/>
      <c r="L1314" s="24"/>
      <c r="M1314" s="24"/>
      <c r="N1314" s="24"/>
      <c r="O1314" s="24"/>
      <c r="P1314" s="24"/>
      <c r="Q1314" s="24"/>
      <c r="R1314" s="24"/>
      <c r="S1314" s="24"/>
      <c r="T1314" s="24"/>
      <c r="U1314" s="24"/>
      <c r="V1314" s="24"/>
      <c r="W1314" s="24"/>
      <c r="X1314" s="24"/>
      <c r="Y1314" s="24"/>
      <c r="Z1314" s="24"/>
      <c r="AA1314" s="24"/>
      <c r="AB1314" s="24"/>
      <c r="AC1314" s="24"/>
    </row>
    <row r="1315" spans="1:29" ht="12.9">
      <c r="A1315" s="24"/>
      <c r="B1315" s="24"/>
      <c r="C1315" s="24"/>
      <c r="D1315" s="24"/>
      <c r="E1315" s="24"/>
      <c r="F1315" s="117"/>
      <c r="G1315" s="117"/>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row>
    <row r="1316" spans="1:29" ht="12.9">
      <c r="A1316" s="24"/>
      <c r="B1316" s="24"/>
      <c r="C1316" s="24"/>
      <c r="D1316" s="24"/>
      <c r="E1316" s="24"/>
      <c r="F1316" s="117"/>
      <c r="G1316" s="117"/>
      <c r="H1316" s="24"/>
      <c r="I1316" s="24"/>
      <c r="J1316" s="24"/>
      <c r="K1316" s="24"/>
      <c r="L1316" s="24"/>
      <c r="M1316" s="24"/>
      <c r="N1316" s="24"/>
      <c r="O1316" s="24"/>
      <c r="P1316" s="24"/>
      <c r="Q1316" s="24"/>
      <c r="R1316" s="24"/>
      <c r="S1316" s="24"/>
      <c r="T1316" s="24"/>
      <c r="U1316" s="24"/>
      <c r="V1316" s="24"/>
      <c r="W1316" s="24"/>
      <c r="X1316" s="24"/>
      <c r="Y1316" s="24"/>
      <c r="Z1316" s="24"/>
      <c r="AA1316" s="24"/>
      <c r="AB1316" s="24"/>
      <c r="AC1316" s="24"/>
    </row>
    <row r="1317" spans="1:29" ht="12.9">
      <c r="A1317" s="24"/>
      <c r="B1317" s="24"/>
      <c r="C1317" s="24"/>
      <c r="D1317" s="24"/>
      <c r="E1317" s="24"/>
      <c r="F1317" s="117"/>
      <c r="G1317" s="117"/>
      <c r="H1317" s="24"/>
      <c r="I1317" s="24"/>
      <c r="J1317" s="24"/>
      <c r="K1317" s="24"/>
      <c r="L1317" s="24"/>
      <c r="M1317" s="24"/>
      <c r="N1317" s="24"/>
      <c r="O1317" s="24"/>
      <c r="P1317" s="24"/>
      <c r="Q1317" s="24"/>
      <c r="R1317" s="24"/>
      <c r="S1317" s="24"/>
      <c r="T1317" s="24"/>
      <c r="U1317" s="24"/>
      <c r="V1317" s="24"/>
      <c r="W1317" s="24"/>
      <c r="X1317" s="24"/>
      <c r="Y1317" s="24"/>
      <c r="Z1317" s="24"/>
      <c r="AA1317" s="24"/>
      <c r="AB1317" s="24"/>
      <c r="AC1317" s="24"/>
    </row>
    <row r="1318" spans="1:29" ht="12.9">
      <c r="A1318" s="24"/>
      <c r="B1318" s="24"/>
      <c r="C1318" s="24"/>
      <c r="D1318" s="24"/>
      <c r="E1318" s="24"/>
      <c r="F1318" s="117"/>
      <c r="G1318" s="117"/>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row>
    <row r="1319" spans="1:29" ht="12.9">
      <c r="A1319" s="24"/>
      <c r="B1319" s="24"/>
      <c r="C1319" s="24"/>
      <c r="D1319" s="24"/>
      <c r="E1319" s="24"/>
      <c r="F1319" s="117"/>
      <c r="G1319" s="117"/>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row>
    <row r="1320" spans="1:29" ht="12.9">
      <c r="A1320" s="24"/>
      <c r="B1320" s="24"/>
      <c r="C1320" s="24"/>
      <c r="D1320" s="24"/>
      <c r="E1320" s="24"/>
      <c r="F1320" s="117"/>
      <c r="G1320" s="117"/>
      <c r="H1320" s="24"/>
      <c r="I1320" s="24"/>
      <c r="J1320" s="24"/>
      <c r="K1320" s="24"/>
      <c r="L1320" s="24"/>
      <c r="M1320" s="24"/>
      <c r="N1320" s="24"/>
      <c r="O1320" s="24"/>
      <c r="P1320" s="24"/>
      <c r="Q1320" s="24"/>
      <c r="R1320" s="24"/>
      <c r="S1320" s="24"/>
      <c r="T1320" s="24"/>
      <c r="U1320" s="24"/>
      <c r="V1320" s="24"/>
      <c r="W1320" s="24"/>
      <c r="X1320" s="24"/>
      <c r="Y1320" s="24"/>
      <c r="Z1320" s="24"/>
      <c r="AA1320" s="24"/>
      <c r="AB1320" s="24"/>
      <c r="AC1320" s="24"/>
    </row>
    <row r="1321" spans="1:29" ht="12.9">
      <c r="A1321" s="24"/>
      <c r="B1321" s="24"/>
      <c r="C1321" s="24"/>
      <c r="D1321" s="24"/>
      <c r="E1321" s="24"/>
      <c r="F1321" s="117"/>
      <c r="G1321" s="117"/>
      <c r="H1321" s="24"/>
      <c r="I1321" s="24"/>
      <c r="J1321" s="24"/>
      <c r="K1321" s="24"/>
      <c r="L1321" s="24"/>
      <c r="M1321" s="24"/>
      <c r="N1321" s="24"/>
      <c r="O1321" s="24"/>
      <c r="P1321" s="24"/>
      <c r="Q1321" s="24"/>
      <c r="R1321" s="24"/>
      <c r="S1321" s="24"/>
      <c r="T1321" s="24"/>
      <c r="U1321" s="24"/>
      <c r="V1321" s="24"/>
      <c r="W1321" s="24"/>
      <c r="X1321" s="24"/>
      <c r="Y1321" s="24"/>
      <c r="Z1321" s="24"/>
      <c r="AA1321" s="24"/>
      <c r="AB1321" s="24"/>
      <c r="AC1321" s="24"/>
    </row>
    <row r="1322" spans="1:29" ht="12.9">
      <c r="A1322" s="24"/>
      <c r="B1322" s="24"/>
      <c r="C1322" s="24"/>
      <c r="D1322" s="24"/>
      <c r="E1322" s="24"/>
      <c r="F1322" s="117"/>
      <c r="G1322" s="117"/>
      <c r="H1322" s="24"/>
      <c r="I1322" s="24"/>
      <c r="J1322" s="24"/>
      <c r="K1322" s="24"/>
      <c r="L1322" s="24"/>
      <c r="M1322" s="24"/>
      <c r="N1322" s="24"/>
      <c r="O1322" s="24"/>
      <c r="P1322" s="24"/>
      <c r="Q1322" s="24"/>
      <c r="R1322" s="24"/>
      <c r="S1322" s="24"/>
      <c r="T1322" s="24"/>
      <c r="U1322" s="24"/>
      <c r="V1322" s="24"/>
      <c r="W1322" s="24"/>
      <c r="X1322" s="24"/>
      <c r="Y1322" s="24"/>
      <c r="Z1322" s="24"/>
      <c r="AA1322" s="24"/>
      <c r="AB1322" s="24"/>
      <c r="AC1322" s="24"/>
    </row>
    <row r="1323" spans="1:29" ht="12.9">
      <c r="A1323" s="24"/>
      <c r="B1323" s="24"/>
      <c r="C1323" s="24"/>
      <c r="D1323" s="24"/>
      <c r="E1323" s="24"/>
      <c r="F1323" s="117"/>
      <c r="G1323" s="117"/>
      <c r="H1323" s="24"/>
      <c r="I1323" s="24"/>
      <c r="J1323" s="24"/>
      <c r="K1323" s="24"/>
      <c r="L1323" s="24"/>
      <c r="M1323" s="24"/>
      <c r="N1323" s="24"/>
      <c r="O1323" s="24"/>
      <c r="P1323" s="24"/>
      <c r="Q1323" s="24"/>
      <c r="R1323" s="24"/>
      <c r="S1323" s="24"/>
      <c r="T1323" s="24"/>
      <c r="U1323" s="24"/>
      <c r="V1323" s="24"/>
      <c r="W1323" s="24"/>
      <c r="X1323" s="24"/>
      <c r="Y1323" s="24"/>
      <c r="Z1323" s="24"/>
      <c r="AA1323" s="24"/>
      <c r="AB1323" s="24"/>
      <c r="AC1323" s="24"/>
    </row>
    <row r="1324" spans="1:29" ht="12.9">
      <c r="A1324" s="24"/>
      <c r="B1324" s="24"/>
      <c r="C1324" s="24"/>
      <c r="D1324" s="24"/>
      <c r="E1324" s="24"/>
      <c r="F1324" s="117"/>
      <c r="G1324" s="117"/>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row>
    <row r="1325" spans="1:29" ht="12.9">
      <c r="A1325" s="24"/>
      <c r="B1325" s="24"/>
      <c r="C1325" s="24"/>
      <c r="D1325" s="24"/>
      <c r="E1325" s="24"/>
      <c r="F1325" s="117"/>
      <c r="G1325" s="117"/>
      <c r="H1325" s="24"/>
      <c r="I1325" s="24"/>
      <c r="J1325" s="24"/>
      <c r="K1325" s="24"/>
      <c r="L1325" s="24"/>
      <c r="M1325" s="24"/>
      <c r="N1325" s="24"/>
      <c r="O1325" s="24"/>
      <c r="P1325" s="24"/>
      <c r="Q1325" s="24"/>
      <c r="R1325" s="24"/>
      <c r="S1325" s="24"/>
      <c r="T1325" s="24"/>
      <c r="U1325" s="24"/>
      <c r="V1325" s="24"/>
      <c r="W1325" s="24"/>
      <c r="X1325" s="24"/>
      <c r="Y1325" s="24"/>
      <c r="Z1325" s="24"/>
      <c r="AA1325" s="24"/>
      <c r="AB1325" s="24"/>
      <c r="AC1325" s="24"/>
    </row>
    <row r="1326" spans="1:29" ht="12.9">
      <c r="A1326" s="24"/>
      <c r="B1326" s="24"/>
      <c r="C1326" s="24"/>
      <c r="D1326" s="24"/>
      <c r="E1326" s="24"/>
      <c r="F1326" s="117"/>
      <c r="G1326" s="117"/>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row>
    <row r="1327" spans="1:29" ht="12.9">
      <c r="A1327" s="24"/>
      <c r="B1327" s="24"/>
      <c r="C1327" s="24"/>
      <c r="D1327" s="24"/>
      <c r="E1327" s="24"/>
      <c r="F1327" s="117"/>
      <c r="G1327" s="117"/>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row>
    <row r="1328" spans="1:29" ht="12.9">
      <c r="A1328" s="24"/>
      <c r="B1328" s="24"/>
      <c r="C1328" s="24"/>
      <c r="D1328" s="24"/>
      <c r="E1328" s="24"/>
      <c r="F1328" s="117"/>
      <c r="G1328" s="117"/>
      <c r="H1328" s="24"/>
      <c r="I1328" s="24"/>
      <c r="J1328" s="24"/>
      <c r="K1328" s="24"/>
      <c r="L1328" s="24"/>
      <c r="M1328" s="24"/>
      <c r="N1328" s="24"/>
      <c r="O1328" s="24"/>
      <c r="P1328" s="24"/>
      <c r="Q1328" s="24"/>
      <c r="R1328" s="24"/>
      <c r="S1328" s="24"/>
      <c r="T1328" s="24"/>
      <c r="U1328" s="24"/>
      <c r="V1328" s="24"/>
      <c r="W1328" s="24"/>
      <c r="X1328" s="24"/>
      <c r="Y1328" s="24"/>
      <c r="Z1328" s="24"/>
      <c r="AA1328" s="24"/>
      <c r="AB1328" s="24"/>
      <c r="AC1328" s="24"/>
    </row>
    <row r="1329" spans="1:29" ht="12.9">
      <c r="A1329" s="24"/>
      <c r="B1329" s="24"/>
      <c r="C1329" s="24"/>
      <c r="D1329" s="24"/>
      <c r="E1329" s="24"/>
      <c r="F1329" s="117"/>
      <c r="G1329" s="117"/>
      <c r="H1329" s="24"/>
      <c r="I1329" s="24"/>
      <c r="J1329" s="24"/>
      <c r="K1329" s="24"/>
      <c r="L1329" s="24"/>
      <c r="M1329" s="24"/>
      <c r="N1329" s="24"/>
      <c r="O1329" s="24"/>
      <c r="P1329" s="24"/>
      <c r="Q1329" s="24"/>
      <c r="R1329" s="24"/>
      <c r="S1329" s="24"/>
      <c r="T1329" s="24"/>
      <c r="U1329" s="24"/>
      <c r="V1329" s="24"/>
      <c r="W1329" s="24"/>
      <c r="X1329" s="24"/>
      <c r="Y1329" s="24"/>
      <c r="Z1329" s="24"/>
      <c r="AA1329" s="24"/>
      <c r="AB1329" s="24"/>
      <c r="AC1329" s="24"/>
    </row>
    <row r="1330" spans="1:29" ht="12.9">
      <c r="A1330" s="24"/>
      <c r="B1330" s="24"/>
      <c r="C1330" s="24"/>
      <c r="D1330" s="24"/>
      <c r="E1330" s="24"/>
      <c r="F1330" s="117"/>
      <c r="G1330" s="117"/>
      <c r="H1330" s="24"/>
      <c r="I1330" s="24"/>
      <c r="J1330" s="24"/>
      <c r="K1330" s="24"/>
      <c r="L1330" s="24"/>
      <c r="M1330" s="24"/>
      <c r="N1330" s="24"/>
      <c r="O1330" s="24"/>
      <c r="P1330" s="24"/>
      <c r="Q1330" s="24"/>
      <c r="R1330" s="24"/>
      <c r="S1330" s="24"/>
      <c r="T1330" s="24"/>
      <c r="U1330" s="24"/>
      <c r="V1330" s="24"/>
      <c r="W1330" s="24"/>
      <c r="X1330" s="24"/>
      <c r="Y1330" s="24"/>
      <c r="Z1330" s="24"/>
      <c r="AA1330" s="24"/>
      <c r="AB1330" s="24"/>
      <c r="AC1330" s="24"/>
    </row>
    <row r="1331" spans="1:29" ht="12.9">
      <c r="A1331" s="24"/>
      <c r="B1331" s="24"/>
      <c r="C1331" s="24"/>
      <c r="D1331" s="24"/>
      <c r="E1331" s="24"/>
      <c r="F1331" s="117"/>
      <c r="G1331" s="117"/>
      <c r="H1331" s="24"/>
      <c r="I1331" s="24"/>
      <c r="J1331" s="24"/>
      <c r="K1331" s="24"/>
      <c r="L1331" s="24"/>
      <c r="M1331" s="24"/>
      <c r="N1331" s="24"/>
      <c r="O1331" s="24"/>
      <c r="P1331" s="24"/>
      <c r="Q1331" s="24"/>
      <c r="R1331" s="24"/>
      <c r="S1331" s="24"/>
      <c r="T1331" s="24"/>
      <c r="U1331" s="24"/>
      <c r="V1331" s="24"/>
      <c r="W1331" s="24"/>
      <c r="X1331" s="24"/>
      <c r="Y1331" s="24"/>
      <c r="Z1331" s="24"/>
      <c r="AA1331" s="24"/>
      <c r="AB1331" s="24"/>
      <c r="AC1331" s="24"/>
    </row>
    <row r="1332" spans="1:29" ht="12.9">
      <c r="A1332" s="24"/>
      <c r="B1332" s="24"/>
      <c r="C1332" s="24"/>
      <c r="D1332" s="24"/>
      <c r="E1332" s="24"/>
      <c r="F1332" s="117"/>
      <c r="G1332" s="117"/>
      <c r="H1332" s="24"/>
      <c r="I1332" s="24"/>
      <c r="J1332" s="24"/>
      <c r="K1332" s="24"/>
      <c r="L1332" s="24"/>
      <c r="M1332" s="24"/>
      <c r="N1332" s="24"/>
      <c r="O1332" s="24"/>
      <c r="P1332" s="24"/>
      <c r="Q1332" s="24"/>
      <c r="R1332" s="24"/>
      <c r="S1332" s="24"/>
      <c r="T1332" s="24"/>
      <c r="U1332" s="24"/>
      <c r="V1332" s="24"/>
      <c r="W1332" s="24"/>
      <c r="X1332" s="24"/>
      <c r="Y1332" s="24"/>
      <c r="Z1332" s="24"/>
      <c r="AA1332" s="24"/>
      <c r="AB1332" s="24"/>
      <c r="AC1332" s="24"/>
    </row>
    <row r="1333" spans="1:29" ht="12.9">
      <c r="A1333" s="24"/>
      <c r="B1333" s="24"/>
      <c r="C1333" s="24"/>
      <c r="D1333" s="24"/>
      <c r="E1333" s="24"/>
      <c r="F1333" s="117"/>
      <c r="G1333" s="117"/>
      <c r="H1333" s="24"/>
      <c r="I1333" s="24"/>
      <c r="J1333" s="24"/>
      <c r="K1333" s="24"/>
      <c r="L1333" s="24"/>
      <c r="M1333" s="24"/>
      <c r="N1333" s="24"/>
      <c r="O1333" s="24"/>
      <c r="P1333" s="24"/>
      <c r="Q1333" s="24"/>
      <c r="R1333" s="24"/>
      <c r="S1333" s="24"/>
      <c r="T1333" s="24"/>
      <c r="U1333" s="24"/>
      <c r="V1333" s="24"/>
      <c r="W1333" s="24"/>
      <c r="X1333" s="24"/>
      <c r="Y1333" s="24"/>
      <c r="Z1333" s="24"/>
      <c r="AA1333" s="24"/>
      <c r="AB1333" s="24"/>
      <c r="AC1333" s="24"/>
    </row>
    <row r="1334" spans="1:29" ht="12.9">
      <c r="A1334" s="24"/>
      <c r="B1334" s="24"/>
      <c r="C1334" s="24"/>
      <c r="D1334" s="24"/>
      <c r="E1334" s="24"/>
      <c r="F1334" s="117"/>
      <c r="G1334" s="117"/>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row>
    <row r="1335" spans="1:29" ht="12.9">
      <c r="A1335" s="24"/>
      <c r="B1335" s="24"/>
      <c r="C1335" s="24"/>
      <c r="D1335" s="24"/>
      <c r="E1335" s="24"/>
      <c r="F1335" s="117"/>
      <c r="G1335" s="117"/>
      <c r="H1335" s="24"/>
      <c r="I1335" s="24"/>
      <c r="J1335" s="24"/>
      <c r="K1335" s="24"/>
      <c r="L1335" s="24"/>
      <c r="M1335" s="24"/>
      <c r="N1335" s="24"/>
      <c r="O1335" s="24"/>
      <c r="P1335" s="24"/>
      <c r="Q1335" s="24"/>
      <c r="R1335" s="24"/>
      <c r="S1335" s="24"/>
      <c r="T1335" s="24"/>
      <c r="U1335" s="24"/>
      <c r="V1335" s="24"/>
      <c r="W1335" s="24"/>
      <c r="X1335" s="24"/>
      <c r="Y1335" s="24"/>
      <c r="Z1335" s="24"/>
      <c r="AA1335" s="24"/>
      <c r="AB1335" s="24"/>
      <c r="AC1335" s="24"/>
    </row>
    <row r="1336" spans="1:29" ht="12.9">
      <c r="A1336" s="24"/>
      <c r="B1336" s="24"/>
      <c r="C1336" s="24"/>
      <c r="D1336" s="24"/>
      <c r="E1336" s="24"/>
      <c r="F1336" s="117"/>
      <c r="G1336" s="117"/>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row>
    <row r="1337" spans="1:29" ht="12.9">
      <c r="A1337" s="24"/>
      <c r="B1337" s="24"/>
      <c r="C1337" s="24"/>
      <c r="D1337" s="24"/>
      <c r="E1337" s="24"/>
      <c r="F1337" s="117"/>
      <c r="G1337" s="117"/>
      <c r="H1337" s="24"/>
      <c r="I1337" s="24"/>
      <c r="J1337" s="24"/>
      <c r="K1337" s="24"/>
      <c r="L1337" s="24"/>
      <c r="M1337" s="24"/>
      <c r="N1337" s="24"/>
      <c r="O1337" s="24"/>
      <c r="P1337" s="24"/>
      <c r="Q1337" s="24"/>
      <c r="R1337" s="24"/>
      <c r="S1337" s="24"/>
      <c r="T1337" s="24"/>
      <c r="U1337" s="24"/>
      <c r="V1337" s="24"/>
      <c r="W1337" s="24"/>
      <c r="X1337" s="24"/>
      <c r="Y1337" s="24"/>
      <c r="Z1337" s="24"/>
      <c r="AA1337" s="24"/>
      <c r="AB1337" s="24"/>
      <c r="AC1337" s="24"/>
    </row>
    <row r="1338" spans="1:29" ht="12.9">
      <c r="A1338" s="24"/>
      <c r="B1338" s="24"/>
      <c r="C1338" s="24"/>
      <c r="D1338" s="24"/>
      <c r="E1338" s="24"/>
      <c r="F1338" s="117"/>
      <c r="G1338" s="117"/>
      <c r="H1338" s="24"/>
      <c r="I1338" s="24"/>
      <c r="J1338" s="24"/>
      <c r="K1338" s="24"/>
      <c r="L1338" s="24"/>
      <c r="M1338" s="24"/>
      <c r="N1338" s="24"/>
      <c r="O1338" s="24"/>
      <c r="P1338" s="24"/>
      <c r="Q1338" s="24"/>
      <c r="R1338" s="24"/>
      <c r="S1338" s="24"/>
      <c r="T1338" s="24"/>
      <c r="U1338" s="24"/>
      <c r="V1338" s="24"/>
      <c r="W1338" s="24"/>
      <c r="X1338" s="24"/>
      <c r="Y1338" s="24"/>
      <c r="Z1338" s="24"/>
      <c r="AA1338" s="24"/>
      <c r="AB1338" s="24"/>
      <c r="AC1338" s="24"/>
    </row>
    <row r="1339" spans="1:29" ht="12.9">
      <c r="A1339" s="24"/>
      <c r="B1339" s="24"/>
      <c r="C1339" s="24"/>
      <c r="D1339" s="24"/>
      <c r="E1339" s="24"/>
      <c r="F1339" s="117"/>
      <c r="G1339" s="117"/>
      <c r="H1339" s="24"/>
      <c r="I1339" s="24"/>
      <c r="J1339" s="24"/>
      <c r="K1339" s="24"/>
      <c r="L1339" s="24"/>
      <c r="M1339" s="24"/>
      <c r="N1339" s="24"/>
      <c r="O1339" s="24"/>
      <c r="P1339" s="24"/>
      <c r="Q1339" s="24"/>
      <c r="R1339" s="24"/>
      <c r="S1339" s="24"/>
      <c r="T1339" s="24"/>
      <c r="U1339" s="24"/>
      <c r="V1339" s="24"/>
      <c r="W1339" s="24"/>
      <c r="X1339" s="24"/>
      <c r="Y1339" s="24"/>
      <c r="Z1339" s="24"/>
      <c r="AA1339" s="24"/>
      <c r="AB1339" s="24"/>
      <c r="AC1339" s="24"/>
    </row>
    <row r="1340" spans="1:29" ht="12.9">
      <c r="A1340" s="24"/>
      <c r="B1340" s="24"/>
      <c r="C1340" s="24"/>
      <c r="D1340" s="24"/>
      <c r="E1340" s="24"/>
      <c r="F1340" s="117"/>
      <c r="G1340" s="117"/>
      <c r="H1340" s="24"/>
      <c r="I1340" s="24"/>
      <c r="J1340" s="24"/>
      <c r="K1340" s="24"/>
      <c r="L1340" s="24"/>
      <c r="M1340" s="24"/>
      <c r="N1340" s="24"/>
      <c r="O1340" s="24"/>
      <c r="P1340" s="24"/>
      <c r="Q1340" s="24"/>
      <c r="R1340" s="24"/>
      <c r="S1340" s="24"/>
      <c r="T1340" s="24"/>
      <c r="U1340" s="24"/>
      <c r="V1340" s="24"/>
      <c r="W1340" s="24"/>
      <c r="X1340" s="24"/>
      <c r="Y1340" s="24"/>
      <c r="Z1340" s="24"/>
      <c r="AA1340" s="24"/>
      <c r="AB1340" s="24"/>
      <c r="AC1340" s="24"/>
    </row>
    <row r="1341" spans="1:29" ht="12.9">
      <c r="A1341" s="24"/>
      <c r="B1341" s="24"/>
      <c r="C1341" s="24"/>
      <c r="D1341" s="24"/>
      <c r="E1341" s="24"/>
      <c r="F1341" s="117"/>
      <c r="G1341" s="117"/>
      <c r="H1341" s="24"/>
      <c r="I1341" s="24"/>
      <c r="J1341" s="24"/>
      <c r="K1341" s="24"/>
      <c r="L1341" s="24"/>
      <c r="M1341" s="24"/>
      <c r="N1341" s="24"/>
      <c r="O1341" s="24"/>
      <c r="P1341" s="24"/>
      <c r="Q1341" s="24"/>
      <c r="R1341" s="24"/>
      <c r="S1341" s="24"/>
      <c r="T1341" s="24"/>
      <c r="U1341" s="24"/>
      <c r="V1341" s="24"/>
      <c r="W1341" s="24"/>
      <c r="X1341" s="24"/>
      <c r="Y1341" s="24"/>
      <c r="Z1341" s="24"/>
      <c r="AA1341" s="24"/>
      <c r="AB1341" s="24"/>
      <c r="AC1341" s="24"/>
    </row>
    <row r="1342" spans="1:29" ht="12.9">
      <c r="A1342" s="24"/>
      <c r="B1342" s="24"/>
      <c r="C1342" s="24"/>
      <c r="D1342" s="24"/>
      <c r="E1342" s="24"/>
      <c r="F1342" s="117"/>
      <c r="G1342" s="117"/>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row>
    <row r="1343" spans="1:29" ht="12.9">
      <c r="A1343" s="24"/>
      <c r="B1343" s="24"/>
      <c r="C1343" s="24"/>
      <c r="D1343" s="24"/>
      <c r="E1343" s="24"/>
      <c r="F1343" s="117"/>
      <c r="G1343" s="117"/>
      <c r="H1343" s="24"/>
      <c r="I1343" s="24"/>
      <c r="J1343" s="24"/>
      <c r="K1343" s="24"/>
      <c r="L1343" s="24"/>
      <c r="M1343" s="24"/>
      <c r="N1343" s="24"/>
      <c r="O1343" s="24"/>
      <c r="P1343" s="24"/>
      <c r="Q1343" s="24"/>
      <c r="R1343" s="24"/>
      <c r="S1343" s="24"/>
      <c r="T1343" s="24"/>
      <c r="U1343" s="24"/>
      <c r="V1343" s="24"/>
      <c r="W1343" s="24"/>
      <c r="X1343" s="24"/>
      <c r="Y1343" s="24"/>
      <c r="Z1343" s="24"/>
      <c r="AA1343" s="24"/>
      <c r="AB1343" s="24"/>
      <c r="AC1343" s="24"/>
    </row>
    <row r="1344" spans="1:29" ht="12.9">
      <c r="A1344" s="24"/>
      <c r="B1344" s="24"/>
      <c r="C1344" s="24"/>
      <c r="D1344" s="24"/>
      <c r="E1344" s="24"/>
      <c r="F1344" s="117"/>
      <c r="G1344" s="117"/>
      <c r="H1344" s="24"/>
      <c r="I1344" s="24"/>
      <c r="J1344" s="24"/>
      <c r="K1344" s="24"/>
      <c r="L1344" s="24"/>
      <c r="M1344" s="24"/>
      <c r="N1344" s="24"/>
      <c r="O1344" s="24"/>
      <c r="P1344" s="24"/>
      <c r="Q1344" s="24"/>
      <c r="R1344" s="24"/>
      <c r="S1344" s="24"/>
      <c r="T1344" s="24"/>
      <c r="U1344" s="24"/>
      <c r="V1344" s="24"/>
      <c r="W1344" s="24"/>
      <c r="X1344" s="24"/>
      <c r="Y1344" s="24"/>
      <c r="Z1344" s="24"/>
      <c r="AA1344" s="24"/>
      <c r="AB1344" s="24"/>
      <c r="AC1344" s="24"/>
    </row>
    <row r="1345" spans="1:29" ht="12.9">
      <c r="A1345" s="24"/>
      <c r="B1345" s="24"/>
      <c r="C1345" s="24"/>
      <c r="D1345" s="24"/>
      <c r="E1345" s="24"/>
      <c r="F1345" s="117"/>
      <c r="G1345" s="117"/>
      <c r="H1345" s="24"/>
      <c r="I1345" s="24"/>
      <c r="J1345" s="24"/>
      <c r="K1345" s="24"/>
      <c r="L1345" s="24"/>
      <c r="M1345" s="24"/>
      <c r="N1345" s="24"/>
      <c r="O1345" s="24"/>
      <c r="P1345" s="24"/>
      <c r="Q1345" s="24"/>
      <c r="R1345" s="24"/>
      <c r="S1345" s="24"/>
      <c r="T1345" s="24"/>
      <c r="U1345" s="24"/>
      <c r="V1345" s="24"/>
      <c r="W1345" s="24"/>
      <c r="X1345" s="24"/>
      <c r="Y1345" s="24"/>
      <c r="Z1345" s="24"/>
      <c r="AA1345" s="24"/>
      <c r="AB1345" s="24"/>
      <c r="AC1345" s="24"/>
    </row>
    <row r="1346" spans="1:29" ht="12.9">
      <c r="A1346" s="24"/>
      <c r="B1346" s="24"/>
      <c r="C1346" s="24"/>
      <c r="D1346" s="24"/>
      <c r="E1346" s="24"/>
      <c r="F1346" s="117"/>
      <c r="G1346" s="117"/>
      <c r="H1346" s="24"/>
      <c r="I1346" s="24"/>
      <c r="J1346" s="24"/>
      <c r="K1346" s="24"/>
      <c r="L1346" s="24"/>
      <c r="M1346" s="24"/>
      <c r="N1346" s="24"/>
      <c r="O1346" s="24"/>
      <c r="P1346" s="24"/>
      <c r="Q1346" s="24"/>
      <c r="R1346" s="24"/>
      <c r="S1346" s="24"/>
      <c r="T1346" s="24"/>
      <c r="U1346" s="24"/>
      <c r="V1346" s="24"/>
      <c r="W1346" s="24"/>
      <c r="X1346" s="24"/>
      <c r="Y1346" s="24"/>
      <c r="Z1346" s="24"/>
      <c r="AA1346" s="24"/>
      <c r="AB1346" s="24"/>
      <c r="AC1346" s="24"/>
    </row>
    <row r="1347" spans="1:29" ht="12.9">
      <c r="A1347" s="24"/>
      <c r="B1347" s="24"/>
      <c r="C1347" s="24"/>
      <c r="D1347" s="24"/>
      <c r="E1347" s="24"/>
      <c r="F1347" s="117"/>
      <c r="G1347" s="117"/>
      <c r="H1347" s="24"/>
      <c r="I1347" s="24"/>
      <c r="J1347" s="24"/>
      <c r="K1347" s="24"/>
      <c r="L1347" s="24"/>
      <c r="M1347" s="24"/>
      <c r="N1347" s="24"/>
      <c r="O1347" s="24"/>
      <c r="P1347" s="24"/>
      <c r="Q1347" s="24"/>
      <c r="R1347" s="24"/>
      <c r="S1347" s="24"/>
      <c r="T1347" s="24"/>
      <c r="U1347" s="24"/>
      <c r="V1347" s="24"/>
      <c r="W1347" s="24"/>
      <c r="X1347" s="24"/>
      <c r="Y1347" s="24"/>
      <c r="Z1347" s="24"/>
      <c r="AA1347" s="24"/>
      <c r="AB1347" s="24"/>
      <c r="AC1347" s="24"/>
    </row>
    <row r="1348" spans="1:29" ht="12.9">
      <c r="A1348" s="24"/>
      <c r="B1348" s="24"/>
      <c r="C1348" s="24"/>
      <c r="D1348" s="24"/>
      <c r="E1348" s="24"/>
      <c r="F1348" s="117"/>
      <c r="G1348" s="117"/>
      <c r="H1348" s="24"/>
      <c r="I1348" s="24"/>
      <c r="J1348" s="24"/>
      <c r="K1348" s="24"/>
      <c r="L1348" s="24"/>
      <c r="M1348" s="24"/>
      <c r="N1348" s="24"/>
      <c r="O1348" s="24"/>
      <c r="P1348" s="24"/>
      <c r="Q1348" s="24"/>
      <c r="R1348" s="24"/>
      <c r="S1348" s="24"/>
      <c r="T1348" s="24"/>
      <c r="U1348" s="24"/>
      <c r="V1348" s="24"/>
      <c r="W1348" s="24"/>
      <c r="X1348" s="24"/>
      <c r="Y1348" s="24"/>
      <c r="Z1348" s="24"/>
      <c r="AA1348" s="24"/>
      <c r="AB1348" s="24"/>
      <c r="AC1348" s="24"/>
    </row>
    <row r="1349" spans="1:29" ht="12.9">
      <c r="A1349" s="24"/>
      <c r="B1349" s="24"/>
      <c r="C1349" s="24"/>
      <c r="D1349" s="24"/>
      <c r="E1349" s="24"/>
      <c r="F1349" s="117"/>
      <c r="G1349" s="117"/>
      <c r="H1349" s="24"/>
      <c r="I1349" s="24"/>
      <c r="J1349" s="24"/>
      <c r="K1349" s="24"/>
      <c r="L1349" s="24"/>
      <c r="M1349" s="24"/>
      <c r="N1349" s="24"/>
      <c r="O1349" s="24"/>
      <c r="P1349" s="24"/>
      <c r="Q1349" s="24"/>
      <c r="R1349" s="24"/>
      <c r="S1349" s="24"/>
      <c r="T1349" s="24"/>
      <c r="U1349" s="24"/>
      <c r="V1349" s="24"/>
      <c r="W1349" s="24"/>
      <c r="X1349" s="24"/>
      <c r="Y1349" s="24"/>
      <c r="Z1349" s="24"/>
      <c r="AA1349" s="24"/>
      <c r="AB1349" s="24"/>
      <c r="AC1349" s="24"/>
    </row>
  </sheetData>
  <mergeCells count="13">
    <mergeCell ref="F4:F16"/>
    <mergeCell ref="G4:G16"/>
    <mergeCell ref="G1:G2"/>
    <mergeCell ref="F1:F2"/>
    <mergeCell ref="A4:A16"/>
    <mergeCell ref="A1:A2"/>
    <mergeCell ref="D1:D2"/>
    <mergeCell ref="C1:C2"/>
    <mergeCell ref="E1:E2"/>
    <mergeCell ref="B4:B16"/>
    <mergeCell ref="C4:C16"/>
    <mergeCell ref="D4:D16"/>
    <mergeCell ref="E15:E16"/>
  </mergeCells>
  <hyperlinks>
    <hyperlink ref="E26" r:id="rId1" location="i1118935"/>
    <hyperlink ref="E27" r:id="rId2" location="i1892381"/>
    <hyperlink ref="E28" r:id="rId3"/>
    <hyperlink ref="E29" r:id="rId4"/>
    <hyperlink ref="E30" r:id="rId5"/>
    <hyperlink ref="E31" r:id="rId6" location="/gateway/fas-acquisition-policy-library/11218/pin-2015-01-advanced-acquisition-planning"/>
    <hyperlink ref="E33" r:id="rId7" location="i1126343"/>
    <hyperlink ref="E34" r:id="rId8" location="i1119917"/>
    <hyperlink ref="E35" r:id="rId9" location="i1119434"/>
    <hyperlink ref="E36" r:id="rId10" location="i1066350"/>
    <hyperlink ref="E37" r:id="rId11" location="i1897322"/>
    <hyperlink ref="E38" r:id="rId12" location="UMSOPWOV"/>
    <hyperlink ref="E39" r:id="rId13" location="i1893224"/>
    <hyperlink ref="E40" r:id="rId14"/>
    <hyperlink ref="E41" r:id="rId15"/>
    <hyperlink ref="E42" r:id="rId16"/>
    <hyperlink ref="E43" r:id="rId17" location="/gateway/fas-acquisition-policy-library/17852/pin-2009-02-time-materials-t-m-and-labor-hour-lh-task-orders-awarded-under-gwac-contracts-ordering-contracting-officers"/>
    <hyperlink ref="E45" r:id="rId18" location="i1096345"/>
    <hyperlink ref="E46" r:id="rId19" location="i1096792"/>
    <hyperlink ref="E47" r:id="rId20" location="EWCAEADR"/>
    <hyperlink ref="E48" r:id="rId21" location="/gateway/fas-acquisition-policy-library/18484/il-2014-06-implementation-of-service-contract-act-in-federal-supply-schedule-fss-contracts"/>
    <hyperlink ref="E50" r:id="rId22" location="i1100723"/>
    <hyperlink ref="E51" r:id="rId23" location="SVLYVDFS"/>
    <hyperlink ref="E52" r:id="rId24"/>
    <hyperlink ref="E53" r:id="rId25"/>
    <hyperlink ref="E55" r:id="rId26" location="id1617MD00U92"/>
    <hyperlink ref="E56" r:id="rId27" location="i1110841"/>
    <hyperlink ref="E57" r:id="rId28" location="i1108804"/>
    <hyperlink ref="E58" r:id="rId29" location="id1617MD00WGB"/>
    <hyperlink ref="E60" r:id="rId30" location="i1120661"/>
    <hyperlink ref="E61" r:id="rId31" location="CCNCYCSF"/>
    <hyperlink ref="E63" r:id="rId32" location="i1120792"/>
    <hyperlink ref="E64" r:id="rId33" location="i1110841"/>
    <hyperlink ref="E65" r:id="rId34" location="i1110848"/>
    <hyperlink ref="E66" r:id="rId35" location="i1108766"/>
    <hyperlink ref="E67" r:id="rId36" location="CCNCYCSF"/>
    <hyperlink ref="E69" r:id="rId37" location="i1117591"/>
    <hyperlink ref="E70" r:id="rId38" location="i1113454"/>
    <hyperlink ref="E71" r:id="rId39" location="i1113141"/>
    <hyperlink ref="E72" r:id="rId40" location="i1110251"/>
    <hyperlink ref="E73" r:id="rId41" location="i1108851"/>
    <hyperlink ref="E74" r:id="rId42"/>
    <hyperlink ref="E75" r:id="rId43" location="i1044323"/>
    <hyperlink ref="E76" r:id="rId44" location="VCBBXMLB"/>
    <hyperlink ref="E77" r:id="rId45" location="VCBBXMLB"/>
    <hyperlink ref="E78" r:id="rId46" location="DJPVSLCO"/>
    <hyperlink ref="E79" r:id="rId47" location="DJPVSLCO"/>
    <hyperlink ref="E80" r:id="rId48" location="KOWCNTBI"/>
    <hyperlink ref="E81" r:id="rId49" location="/gateway/fas-acquisition-policy-library/18483/il-2014-08-federal-supply-schedule-fss-solicitation-review-and-refresh-management"/>
    <hyperlink ref="E82" r:id="rId50" location="/gateway/fas-acquisition-policy-library/11208/pap-2015-06-requirement-for-posting-notifications-of-planned-federal-supply-schedule-fss-solicitation-refreshes-and-mass"/>
    <hyperlink ref="E84" r:id="rId51" location="i1109733"/>
    <hyperlink ref="E85" r:id="rId52" location="SRUYTWED"/>
    <hyperlink ref="E87" r:id="rId53" location="i1105894"/>
    <hyperlink ref="E88" r:id="rId54" location="CMAEDKEJ"/>
    <hyperlink ref="E90" r:id="rId55" location="id1617MD00WZM"/>
    <hyperlink ref="E91" r:id="rId56" location="id1617MD00WZM"/>
    <hyperlink ref="E92" r:id="rId57" location="LKXUEDQG"/>
    <hyperlink ref="E93" r:id="rId58"/>
    <hyperlink ref="E94" r:id="rId59" location="/gateway/fas-acquisition-policy-library/17834/pin-2012-04-verification-of-most-favored-customer-mfc-pricing"/>
    <hyperlink ref="E95" r:id="rId60" location="/gateway/fas-acquisition-policy-library/27147/2019-02-contracting-officer-responsibilities-pursuant-to-gsa-office-of-inspector-general-contract-audits-of-federal-supply-sched"/>
    <hyperlink ref="E97" r:id="rId61" location="i1110021"/>
    <hyperlink ref="E98" r:id="rId62" location="id1617MD00VGZ"/>
    <hyperlink ref="E99" r:id="rId63" location="i1105894"/>
    <hyperlink ref="E100" r:id="rId64" location="CMAEDKEJ"/>
    <hyperlink ref="E101" r:id="rId65" location="/gateway/fas-acquisition-policy-library/26448/pap-2016-11-tdr-federal-supply-schedule-program-implementation-and-supplement-revised-11-7-18"/>
    <hyperlink ref="E102" r:id="rId66" location="/gateway/fas-acquisition-policy-library/18855/il-2011-02-mandating-the-use-of-pre-negotiation-price-negotiation-and-final-proposal-revision-templates-for-the-federal-supply"/>
    <hyperlink ref="E104" r:id="rId67" location="id1617MD00VGZ"/>
    <hyperlink ref="E105" r:id="rId68" location="i1108601"/>
    <hyperlink ref="E106" r:id="rId69" location="i1108714"/>
    <hyperlink ref="E107" r:id="rId70" location="id1617MD00WGE"/>
    <hyperlink ref="E108" r:id="rId71" location="i1106411"/>
    <hyperlink ref="E109" r:id="rId72" location="/gateway/fas-acquisition-policy-library/18855/il-2011-02-mandating-the-use-of-pre-negotiation-price-negotiation-and-final-proposal-revision-templates-for-the-federal-supply"/>
    <hyperlink ref="E111" r:id="rId73" location="i1106066"/>
    <hyperlink ref="E112" r:id="rId74" location="i1106384"/>
    <hyperlink ref="E113" r:id="rId75" location="XSORNNQG"/>
    <hyperlink ref="E115" r:id="rId76" location="id1617MD00P37"/>
    <hyperlink ref="E116" r:id="rId77" location="i1116081"/>
    <hyperlink ref="E117" r:id="rId78" location="id1617MD00PO3"/>
    <hyperlink ref="E118" r:id="rId79" location="i1116277"/>
    <hyperlink ref="E119" r:id="rId80" location="i1116322"/>
    <hyperlink ref="E120" r:id="rId81" location="i1122074"/>
    <hyperlink ref="E121" r:id="rId82" location="i1121876"/>
    <hyperlink ref="E122" r:id="rId83"/>
    <hyperlink ref="E123" r:id="rId84"/>
    <hyperlink ref="E124" r:id="rId85" location="/gateway/fas-acquisition-policy-library/18505/il-2011-06-implementation-of-the-requirement-for-federal-awardee-performance-and-integrity-information-system-fapiis"/>
    <hyperlink ref="E126" r:id="rId86" location="i1097211"/>
    <hyperlink ref="E127" r:id="rId87" location="RXATFBYX"/>
    <hyperlink ref="E129" r:id="rId88" location="i1110841"/>
    <hyperlink ref="E130" r:id="rId89" location="i1108759"/>
    <hyperlink ref="E132" r:id="rId90" location="i1110171"/>
    <hyperlink ref="E133" r:id="rId91" location="i1109792"/>
    <hyperlink ref="E134" r:id="rId92" location="i1110021"/>
    <hyperlink ref="E135" r:id="rId93" location="id1617MD00VGZ"/>
    <hyperlink ref="E136" r:id="rId94" location="i1108639"/>
    <hyperlink ref="E137" r:id="rId95" location="i1105684"/>
    <hyperlink ref="E138" r:id="rId96" location="i1105749"/>
    <hyperlink ref="E139" r:id="rId97" location="i1105784"/>
    <hyperlink ref="E141" r:id="rId98" location="i1109856"/>
    <hyperlink ref="E142" r:id="rId99" location="i1105834"/>
    <hyperlink ref="E143" r:id="rId100" location="i1080399"/>
    <hyperlink ref="E144" r:id="rId101" location="RBQNJOYT"/>
    <hyperlink ref="E145" r:id="rId102" location="KHYAYKPH"/>
    <hyperlink ref="E147" r:id="rId103" location="i1110200"/>
    <hyperlink ref="E148" r:id="rId104" location="i1109089"/>
    <hyperlink ref="E149" r:id="rId105" location="NTBIAPPN"/>
    <hyperlink ref="E150" r:id="rId106" location="GRRKLSSR"/>
    <hyperlink ref="E152" r:id="rId107" location="id1617MA00ZG2"/>
    <hyperlink ref="E153" r:id="rId108" location="/gateway/fas-acquisition-policy-library/17708/pap-2015-05-implementation-of-the-electronic-contract-file-ecf"/>
    <hyperlink ref="E154" r:id="rId109" location="/gateway/fas-acquisition-policy-library/17709/pap-2015-04-establishing-the-electronic-content-management-solution-ecms-as-the-repository-for-non-fss"/>
    <hyperlink ref="E155" r:id="rId110" location="/gateway/fas-acquisition-policy-library/18083/pap-2016-06-schedules-electronic-contract-file-compliance-and-standardized-naming-coventions"/>
    <hyperlink ref="E158" r:id="rId111" location="i1100224"/>
    <hyperlink ref="E159" r:id="rId112" location="id1617MD0107H"/>
    <hyperlink ref="E162" r:id="rId113"/>
    <hyperlink ref="E164" r:id="rId114"/>
    <hyperlink ref="E165" r:id="rId115" location="/gateway/fas-acquisition-policy-library/18494/il-2012-02-clarification-of-gsam-504-803-b-25-the-use-of-gsa-form-1535-in-fss-contract-awards"/>
    <hyperlink ref="E167" r:id="rId116" location="id1617MD00L4F"/>
    <hyperlink ref="E168" r:id="rId117" location="i1893663"/>
    <hyperlink ref="E170" r:id="rId118" location="i1122770"/>
    <hyperlink ref="E171" r:id="rId119" location="GLWXULYL"/>
    <hyperlink ref="E172" r:id="rId120" location="/gateway/fas-acquisition-policy-library/18485/il-2014-05-populating-the-major-program-and-program-acronym-data-fields-for-certain-new-acquisition-vehicle-awards"/>
    <hyperlink ref="E174" r:id="rId121" location="/gateway/fas-acquisition-policy-library/18842/il-2011-15-revision-of-the-acquisition-quality-measurement-and-improvement-program-il-2011-15-supplement-no-1"/>
    <hyperlink ref="E175" r:id="rId122" location="/gateway/fas-acquisition-policy-library/18257/pre-award-reviews-for-assisted-services-acquisitions-and-special-order-program-sop-supplement-1"/>
    <hyperlink ref="E177" r:id="rId123" location="i1115649"/>
    <hyperlink ref="E178" r:id="rId124" location="MVTGNQUT"/>
    <hyperlink ref="E179" r:id="rId125"/>
    <hyperlink ref="E180" r:id="rId126"/>
    <hyperlink ref="E182" r:id="rId127" location="i1088557"/>
    <hyperlink ref="E183" r:id="rId128" location="i1088629"/>
    <hyperlink ref="E184" r:id="rId129" location="i1087862"/>
    <hyperlink ref="E185" r:id="rId130" location="IYYQYQNP"/>
    <hyperlink ref="E186" r:id="rId131" location="DHAMNAIQ"/>
    <hyperlink ref="E187" r:id="rId132" location="JNYQTNBD"/>
    <hyperlink ref="E189" r:id="rId133" location="id1617MD060WG"/>
    <hyperlink ref="E190" r:id="rId134" location="id16CLB080F6V"/>
    <hyperlink ref="E191" r:id="rId135" location="id1617MD030FO"/>
    <hyperlink ref="E192" r:id="rId136" location="BQAKGLQQ"/>
    <hyperlink ref="E193" r:id="rId137"/>
    <hyperlink ref="E194" r:id="rId138" location="id1617MD00S1Y"/>
    <hyperlink ref="E195" r:id="rId139" location="i1072010"/>
    <hyperlink ref="E196" r:id="rId140" location="QEVPLCQP"/>
    <hyperlink ref="E197" r:id="rId141" location="i1072010"/>
    <hyperlink ref="E198" r:id="rId142" location="/gateway/fas-acquisition-policy-library/18841/il-2013-02-standardized-process-for-monitoring-compliance-with-federal-supply-schedule-contract-sales-criteria"/>
    <hyperlink ref="E199" r:id="rId143" location="/gateway/fas-acquisition-policy-library/18504/il-2011-07-procedures-for-reviewing-contractor-compliance-with-prompt-payment-discount-ppd-terms-on-federal-supply-schedule"/>
    <hyperlink ref="E200" r:id="rId144"/>
    <hyperlink ref="E201" r:id="rId145"/>
    <hyperlink ref="E203" r:id="rId146"/>
    <hyperlink ref="E204" r:id="rId147"/>
    <hyperlink ref="E206" r:id="rId148"/>
    <hyperlink ref="E207" r:id="rId149"/>
    <hyperlink ref="E209" r:id="rId150" location="i1072010"/>
    <hyperlink ref="E210" r:id="rId151" location="NULAOLPL"/>
    <hyperlink ref="E211" r:id="rId152" location="i1874262"/>
    <hyperlink ref="E213" r:id="rId153" location="i1081246"/>
    <hyperlink ref="E214" r:id="rId154" location="HMUSUSIM"/>
    <hyperlink ref="E215" r:id="rId155" location="/gateway/fas-acquisition-policy-library/18504/il-2011-07-procedures-for-reviewing-contractor-compliance-with-prompt-payment-discount-ppd-terms-on-federal-supply-schedule"/>
    <hyperlink ref="E217" r:id="rId156" location="i1083622"/>
    <hyperlink ref="E218" r:id="rId157" location="i1083104"/>
    <hyperlink ref="E219" r:id="rId158" location="VUXXFEGW"/>
    <hyperlink ref="E220" r:id="rId159" location="i1081453"/>
    <hyperlink ref="E221" r:id="rId160" location="QRMHFIIP"/>
    <hyperlink ref="E223" r:id="rId161" location="i1082047"/>
    <hyperlink ref="E224" r:id="rId162" location="XPDNQSVT"/>
    <hyperlink ref="E226" r:id="rId163" location="i1081246"/>
    <hyperlink ref="E227" r:id="rId164" location="HMUSUSIM"/>
    <hyperlink ref="E231" r:id="rId165" location="LNAYONIA"/>
    <hyperlink ref="E232" r:id="rId166" location="/gateway/fas-acquisition-policy-library/27147/2019-02-contracting-officer-responsibilities-pursuant-to-gsa-office-of-inspector-general-contract-audits-of-federal-supply-sched"/>
    <hyperlink ref="E233" r:id="rId167"/>
    <hyperlink ref="E235" r:id="rId168" location="i1075965"/>
    <hyperlink ref="E236" r:id="rId169" location="KAKTOESF"/>
    <hyperlink ref="E237" r:id="rId170" location="JUBRHPKP"/>
    <hyperlink ref="E238" r:id="rId171"/>
    <hyperlink ref="E239" r:id="rId172"/>
    <hyperlink ref="E242" r:id="rId173" location="id1617MA0D0NZ"/>
    <hyperlink ref="E243" r:id="rId174"/>
    <hyperlink ref="E244" r:id="rId175" location="/gateway/fas-acquisition-policy-library/11208/pap-2015-06-requirement-for-posting-notifications-of-planned-federal-supply-schedule-fss-solicitation-refreshes-and-mass"/>
    <hyperlink ref="E245" r:id="rId176" location="/gateway/fas-acquisition-policy-library/17839/pin-2012-02-processing-novation-and-change-of-name-agreement-modifications-in-emod"/>
    <hyperlink ref="E246" r:id="rId177" location="/gateway/fas-acquisition-policy-library/17848/pin-2009-05-modification-for-business-size-re-representation-supplement-no-1-january-11-2012"/>
    <hyperlink ref="E247" r:id="rId178" location="/gateway/fas-acquisition-policy-library/17894/pin-2008-03-negotiation-and-execution-of-multiple-award-schedule-mas-contract-modifications-during-the-evaluation-and-executi"/>
    <hyperlink ref="E252" r:id="rId179" location="i1113036"/>
    <hyperlink ref="E253" r:id="rId180" location="i1081816"/>
    <hyperlink ref="E254" r:id="rId181" location="i1068567"/>
    <hyperlink ref="E255" r:id="rId182" location="i1881542"/>
    <hyperlink ref="E256" r:id="rId183" location="QBMHMKCF"/>
    <hyperlink ref="E257" r:id="rId184" location="/gateway/fas-acquisition-policy-library/18495/il-2011-24-update-termination-date-language-in-fas-instructional-letters"/>
    <hyperlink ref="E258" r:id="rId185"/>
    <hyperlink ref="E260" r:id="rId186" location="id1617MD00JN8"/>
    <hyperlink ref="E261" r:id="rId187" location="i1074222"/>
    <hyperlink ref="E262" r:id="rId188" location="KAKTOESF"/>
    <hyperlink ref="E263" r:id="rId189" location="CTINUEOO"/>
    <hyperlink ref="E264" r:id="rId190" location="i1874125"/>
    <hyperlink ref="E265" r:id="rId191"/>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x14:formula1>
            <xm:f>'Self Assessment Total Score'!$C$18:$C$21</xm:f>
          </x14:formula1>
          <xm:sqref>F4 F17 F25 F32 F44 F49 F54 F59 F62 F68 F83 F86 F89 F96 F103 F110 F114 F125 F128 F131 F140 F146 F151 F161 F163 F166 F169 F173 F176 F181 F188 F193 F208 F212 F216 F222 F225 F230 F234 F241 F251 F259 F267:F271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92"/>
  <sheetViews>
    <sheetView workbookViewId="0">
      <selection activeCell="I10" sqref="I10"/>
    </sheetView>
  </sheetViews>
  <sheetFormatPr defaultColWidth="14.375" defaultRowHeight="15.8" customHeight="1"/>
  <cols>
    <col min="2" max="2" width="16.25" customWidth="1"/>
    <col min="3" max="3" width="17.125" customWidth="1"/>
    <col min="4" max="4" width="31.625" customWidth="1"/>
    <col min="5" max="5" width="29.875" customWidth="1"/>
    <col min="6" max="6" width="33.75" customWidth="1"/>
    <col min="7" max="7" width="30.75" customWidth="1"/>
    <col min="9" max="9" width="27.875" customWidth="1"/>
  </cols>
  <sheetData>
    <row r="1" spans="1:29" ht="15.8" customHeight="1">
      <c r="A1" s="269" t="s">
        <v>7362</v>
      </c>
      <c r="B1" s="270" t="s">
        <v>3443</v>
      </c>
      <c r="C1" s="270" t="s">
        <v>8410</v>
      </c>
      <c r="D1" s="270" t="s">
        <v>3444</v>
      </c>
      <c r="E1" s="270" t="s">
        <v>36</v>
      </c>
      <c r="F1" s="270" t="s">
        <v>39</v>
      </c>
      <c r="G1" s="270" t="s">
        <v>3445</v>
      </c>
      <c r="H1" s="271" t="s">
        <v>3446</v>
      </c>
      <c r="I1" s="272" t="s">
        <v>44</v>
      </c>
      <c r="J1" s="272" t="s">
        <v>46</v>
      </c>
      <c r="K1" s="24"/>
      <c r="L1" s="24"/>
      <c r="M1" s="24"/>
      <c r="N1" s="24"/>
      <c r="O1" s="24"/>
      <c r="P1" s="24"/>
      <c r="Q1" s="24"/>
      <c r="R1" s="24"/>
      <c r="S1" s="24"/>
      <c r="T1" s="24"/>
      <c r="U1" s="24"/>
      <c r="V1" s="24"/>
      <c r="W1" s="24"/>
      <c r="X1" s="24"/>
      <c r="Y1" s="24"/>
      <c r="Z1" s="24"/>
      <c r="AA1" s="24"/>
      <c r="AB1" s="24"/>
      <c r="AC1" s="24"/>
    </row>
    <row r="2" spans="1:29" ht="15.8" customHeight="1">
      <c r="A2" s="273" t="s">
        <v>8411</v>
      </c>
      <c r="B2" s="216" t="s">
        <v>8412</v>
      </c>
      <c r="C2" s="274" t="s">
        <v>8413</v>
      </c>
      <c r="D2" s="274" t="s">
        <v>8414</v>
      </c>
      <c r="E2" s="275" t="s">
        <v>8415</v>
      </c>
      <c r="F2" s="275" t="s">
        <v>8416</v>
      </c>
      <c r="G2" s="254"/>
      <c r="H2" s="257"/>
      <c r="I2" s="64"/>
      <c r="J2" s="276" t="b">
        <f t="shared" ref="J2:J29" si="0">IF(AND(I2="Meet the requirements traceability “out of the box”"), 10, IF(AND(I2="Can meet the requirements traceability with configuration or through the use of another commercial product “out of the box” or other arrangement as part of the service offering quoted (i.e. at no additional cost)"), 8, IF(AND(I2="Can meet the requirements traceability with customization at additional cost"), 3, IF(AND(I2="Cannot meet the requirements traceability requirement"), 0))))</f>
        <v>0</v>
      </c>
      <c r="K2" s="24"/>
      <c r="L2" s="24"/>
      <c r="M2" s="24"/>
      <c r="N2" s="24"/>
      <c r="O2" s="24"/>
      <c r="P2" s="24"/>
      <c r="Q2" s="24"/>
      <c r="R2" s="24"/>
      <c r="S2" s="24"/>
      <c r="T2" s="24"/>
      <c r="U2" s="24"/>
      <c r="V2" s="24"/>
      <c r="W2" s="24"/>
      <c r="X2" s="24"/>
      <c r="Y2" s="24"/>
      <c r="Z2" s="24"/>
      <c r="AA2" s="24"/>
      <c r="AB2" s="24"/>
      <c r="AC2" s="24"/>
    </row>
    <row r="3" spans="1:29" ht="15.8" customHeight="1">
      <c r="A3" s="273" t="s">
        <v>8417</v>
      </c>
      <c r="B3" s="216" t="s">
        <v>8412</v>
      </c>
      <c r="C3" s="274" t="s">
        <v>8413</v>
      </c>
      <c r="D3" s="277" t="s">
        <v>8418</v>
      </c>
      <c r="E3" s="275" t="s">
        <v>8419</v>
      </c>
      <c r="F3" s="275" t="s">
        <v>8420</v>
      </c>
      <c r="G3" s="254"/>
      <c r="H3" s="257"/>
      <c r="I3" s="64"/>
      <c r="J3" s="276" t="b">
        <f t="shared" si="0"/>
        <v>0</v>
      </c>
      <c r="K3" s="24"/>
      <c r="L3" s="24"/>
      <c r="M3" s="24"/>
      <c r="N3" s="24"/>
      <c r="O3" s="24"/>
      <c r="P3" s="24"/>
      <c r="Q3" s="24"/>
      <c r="R3" s="24"/>
      <c r="S3" s="24"/>
      <c r="T3" s="24"/>
      <c r="U3" s="24"/>
      <c r="V3" s="24"/>
      <c r="W3" s="24"/>
      <c r="X3" s="24"/>
      <c r="Y3" s="24"/>
      <c r="Z3" s="24"/>
      <c r="AA3" s="24"/>
      <c r="AB3" s="24"/>
      <c r="AC3" s="24"/>
    </row>
    <row r="4" spans="1:29" ht="15.8" customHeight="1">
      <c r="A4" s="273" t="s">
        <v>8421</v>
      </c>
      <c r="B4" s="216" t="s">
        <v>8412</v>
      </c>
      <c r="C4" s="274" t="s">
        <v>8413</v>
      </c>
      <c r="D4" s="277" t="s">
        <v>8422</v>
      </c>
      <c r="E4" s="275" t="s">
        <v>8423</v>
      </c>
      <c r="F4" s="275" t="s">
        <v>8424</v>
      </c>
      <c r="G4" s="254"/>
      <c r="H4" s="257"/>
      <c r="I4" s="64"/>
      <c r="J4" s="276" t="b">
        <f t="shared" si="0"/>
        <v>0</v>
      </c>
      <c r="K4" s="24"/>
      <c r="L4" s="24"/>
      <c r="M4" s="24"/>
      <c r="N4" s="24"/>
      <c r="O4" s="24"/>
      <c r="P4" s="24"/>
      <c r="Q4" s="24"/>
      <c r="R4" s="24"/>
      <c r="S4" s="24"/>
      <c r="T4" s="24"/>
      <c r="U4" s="24"/>
      <c r="V4" s="24"/>
      <c r="W4" s="24"/>
      <c r="X4" s="24"/>
      <c r="Y4" s="24"/>
      <c r="Z4" s="24"/>
      <c r="AA4" s="24"/>
      <c r="AB4" s="24"/>
      <c r="AC4" s="24"/>
    </row>
    <row r="5" spans="1:29" ht="15.8" customHeight="1">
      <c r="A5" s="273" t="s">
        <v>8425</v>
      </c>
      <c r="B5" s="216" t="s">
        <v>8412</v>
      </c>
      <c r="C5" s="274" t="s">
        <v>8413</v>
      </c>
      <c r="D5" s="277" t="s">
        <v>8426</v>
      </c>
      <c r="E5" s="275" t="s">
        <v>8427</v>
      </c>
      <c r="F5" s="275" t="s">
        <v>8428</v>
      </c>
      <c r="G5" s="254"/>
      <c r="H5" s="257"/>
      <c r="I5" s="64"/>
      <c r="J5" s="276" t="b">
        <f t="shared" si="0"/>
        <v>0</v>
      </c>
      <c r="K5" s="24"/>
      <c r="L5" s="24"/>
      <c r="M5" s="24"/>
      <c r="N5" s="24"/>
      <c r="O5" s="24"/>
      <c r="P5" s="24"/>
      <c r="Q5" s="24"/>
      <c r="R5" s="24"/>
      <c r="S5" s="24"/>
      <c r="T5" s="24"/>
      <c r="U5" s="24"/>
      <c r="V5" s="24"/>
      <c r="W5" s="24"/>
      <c r="X5" s="24"/>
      <c r="Y5" s="24"/>
      <c r="Z5" s="24"/>
      <c r="AA5" s="24"/>
      <c r="AB5" s="24"/>
      <c r="AC5" s="24"/>
    </row>
    <row r="6" spans="1:29" ht="15.8" customHeight="1">
      <c r="A6" s="273" t="s">
        <v>8429</v>
      </c>
      <c r="B6" s="216" t="s">
        <v>8412</v>
      </c>
      <c r="C6" s="274" t="s">
        <v>8413</v>
      </c>
      <c r="D6" s="277" t="s">
        <v>8430</v>
      </c>
      <c r="E6" s="275" t="s">
        <v>8431</v>
      </c>
      <c r="F6" s="275" t="s">
        <v>8432</v>
      </c>
      <c r="G6" s="254"/>
      <c r="H6" s="257"/>
      <c r="I6" s="64"/>
      <c r="J6" s="276" t="b">
        <f t="shared" si="0"/>
        <v>0</v>
      </c>
      <c r="K6" s="24"/>
      <c r="L6" s="24"/>
      <c r="M6" s="24"/>
      <c r="N6" s="24"/>
      <c r="O6" s="24"/>
      <c r="P6" s="24"/>
      <c r="Q6" s="24"/>
      <c r="R6" s="24"/>
      <c r="S6" s="24"/>
      <c r="T6" s="24"/>
      <c r="U6" s="24"/>
      <c r="V6" s="24"/>
      <c r="W6" s="24"/>
      <c r="X6" s="24"/>
      <c r="Y6" s="24"/>
      <c r="Z6" s="24"/>
      <c r="AA6" s="24"/>
      <c r="AB6" s="24"/>
      <c r="AC6" s="24"/>
    </row>
    <row r="7" spans="1:29" ht="15.8" customHeight="1">
      <c r="A7" s="273" t="s">
        <v>8433</v>
      </c>
      <c r="B7" s="216" t="s">
        <v>8412</v>
      </c>
      <c r="C7" s="274" t="s">
        <v>8413</v>
      </c>
      <c r="D7" s="277" t="s">
        <v>8434</v>
      </c>
      <c r="E7" s="275" t="s">
        <v>8435</v>
      </c>
      <c r="F7" s="275" t="s">
        <v>8436</v>
      </c>
      <c r="G7" s="254"/>
      <c r="H7" s="257"/>
      <c r="I7" s="64"/>
      <c r="J7" s="276" t="b">
        <f t="shared" si="0"/>
        <v>0</v>
      </c>
      <c r="K7" s="24"/>
      <c r="L7" s="24"/>
      <c r="M7" s="24"/>
      <c r="N7" s="24"/>
      <c r="O7" s="24"/>
      <c r="P7" s="24"/>
      <c r="Q7" s="24"/>
      <c r="R7" s="24"/>
      <c r="S7" s="24"/>
      <c r="T7" s="24"/>
      <c r="U7" s="24"/>
      <c r="V7" s="24"/>
      <c r="W7" s="24"/>
      <c r="X7" s="24"/>
      <c r="Y7" s="24"/>
      <c r="Z7" s="24"/>
      <c r="AA7" s="24"/>
      <c r="AB7" s="24"/>
      <c r="AC7" s="24"/>
    </row>
    <row r="8" spans="1:29" ht="15.8" customHeight="1">
      <c r="A8" s="273" t="s">
        <v>8437</v>
      </c>
      <c r="B8" s="216" t="s">
        <v>8412</v>
      </c>
      <c r="C8" s="274" t="s">
        <v>8413</v>
      </c>
      <c r="D8" s="277" t="s">
        <v>8438</v>
      </c>
      <c r="E8" s="275" t="s">
        <v>8439</v>
      </c>
      <c r="F8" s="275" t="s">
        <v>8440</v>
      </c>
      <c r="G8" s="254"/>
      <c r="H8" s="257"/>
      <c r="I8" s="64"/>
      <c r="J8" s="276" t="b">
        <f t="shared" si="0"/>
        <v>0</v>
      </c>
      <c r="K8" s="24"/>
      <c r="L8" s="24"/>
      <c r="M8" s="24"/>
      <c r="N8" s="24"/>
      <c r="O8" s="24"/>
      <c r="P8" s="24"/>
      <c r="Q8" s="24"/>
      <c r="R8" s="24"/>
      <c r="S8" s="24"/>
      <c r="T8" s="24"/>
      <c r="U8" s="24"/>
      <c r="V8" s="24"/>
      <c r="W8" s="24"/>
      <c r="X8" s="24"/>
      <c r="Y8" s="24"/>
      <c r="Z8" s="24"/>
      <c r="AA8" s="24"/>
      <c r="AB8" s="24"/>
      <c r="AC8" s="24"/>
    </row>
    <row r="9" spans="1:29" ht="15.8" customHeight="1">
      <c r="A9" s="273" t="s">
        <v>8441</v>
      </c>
      <c r="B9" s="216" t="s">
        <v>8412</v>
      </c>
      <c r="C9" s="274" t="s">
        <v>8413</v>
      </c>
      <c r="D9" s="277" t="s">
        <v>8442</v>
      </c>
      <c r="E9" s="275" t="s">
        <v>8443</v>
      </c>
      <c r="F9" s="275" t="s">
        <v>8444</v>
      </c>
      <c r="G9" s="254"/>
      <c r="H9" s="257"/>
      <c r="I9" s="64"/>
      <c r="J9" s="276" t="b">
        <f t="shared" si="0"/>
        <v>0</v>
      </c>
      <c r="K9" s="24"/>
      <c r="L9" s="24"/>
      <c r="M9" s="24"/>
      <c r="N9" s="24"/>
      <c r="O9" s="24"/>
      <c r="P9" s="24"/>
      <c r="Q9" s="24"/>
      <c r="R9" s="24"/>
      <c r="S9" s="24"/>
      <c r="T9" s="24"/>
      <c r="U9" s="24"/>
      <c r="V9" s="24"/>
      <c r="W9" s="24"/>
      <c r="X9" s="24"/>
      <c r="Y9" s="24"/>
      <c r="Z9" s="24"/>
      <c r="AA9" s="24"/>
      <c r="AB9" s="24"/>
      <c r="AC9" s="24"/>
    </row>
    <row r="10" spans="1:29" ht="15.8" customHeight="1">
      <c r="A10" s="273" t="s">
        <v>8445</v>
      </c>
      <c r="B10" s="216" t="s">
        <v>8412</v>
      </c>
      <c r="C10" s="274" t="s">
        <v>8413</v>
      </c>
      <c r="D10" s="277" t="s">
        <v>8446</v>
      </c>
      <c r="E10" s="275" t="s">
        <v>8447</v>
      </c>
      <c r="F10" s="275" t="s">
        <v>8448</v>
      </c>
      <c r="G10" s="254"/>
      <c r="H10" s="257"/>
      <c r="I10" s="64"/>
      <c r="J10" s="276" t="b">
        <f t="shared" si="0"/>
        <v>0</v>
      </c>
      <c r="K10" s="24"/>
      <c r="L10" s="24"/>
      <c r="M10" s="24"/>
      <c r="N10" s="24"/>
      <c r="O10" s="24"/>
      <c r="P10" s="24"/>
      <c r="Q10" s="24"/>
      <c r="R10" s="24"/>
      <c r="S10" s="24"/>
      <c r="T10" s="24"/>
      <c r="U10" s="24"/>
      <c r="V10" s="24"/>
      <c r="W10" s="24"/>
      <c r="X10" s="24"/>
      <c r="Y10" s="24"/>
      <c r="Z10" s="24"/>
      <c r="AA10" s="24"/>
      <c r="AB10" s="24"/>
      <c r="AC10" s="24"/>
    </row>
    <row r="11" spans="1:29" ht="15.8" customHeight="1">
      <c r="A11" s="273" t="s">
        <v>8449</v>
      </c>
      <c r="B11" s="216" t="s">
        <v>8412</v>
      </c>
      <c r="C11" s="274" t="s">
        <v>8413</v>
      </c>
      <c r="D11" s="277" t="s">
        <v>8450</v>
      </c>
      <c r="E11" s="275" t="s">
        <v>8451</v>
      </c>
      <c r="F11" s="275" t="s">
        <v>8452</v>
      </c>
      <c r="G11" s="254"/>
      <c r="H11" s="257"/>
      <c r="I11" s="64"/>
      <c r="J11" s="276" t="b">
        <f t="shared" si="0"/>
        <v>0</v>
      </c>
      <c r="K11" s="24"/>
      <c r="L11" s="24"/>
      <c r="M11" s="24"/>
      <c r="N11" s="24"/>
      <c r="O11" s="24"/>
      <c r="P11" s="24"/>
      <c r="Q11" s="24"/>
      <c r="R11" s="24"/>
      <c r="S11" s="24"/>
      <c r="T11" s="24"/>
      <c r="U11" s="24"/>
      <c r="V11" s="24"/>
      <c r="W11" s="24"/>
      <c r="X11" s="24"/>
      <c r="Y11" s="24"/>
      <c r="Z11" s="24"/>
      <c r="AA11" s="24"/>
      <c r="AB11" s="24"/>
      <c r="AC11" s="24"/>
    </row>
    <row r="12" spans="1:29" ht="15.8" customHeight="1">
      <c r="A12" s="273" t="s">
        <v>8453</v>
      </c>
      <c r="B12" s="216" t="s">
        <v>8412</v>
      </c>
      <c r="C12" s="274" t="s">
        <v>8413</v>
      </c>
      <c r="D12" s="277" t="s">
        <v>8454</v>
      </c>
      <c r="E12" s="275" t="s">
        <v>8455</v>
      </c>
      <c r="F12" s="275" t="s">
        <v>8456</v>
      </c>
      <c r="G12" s="254"/>
      <c r="H12" s="257"/>
      <c r="I12" s="64"/>
      <c r="J12" s="276" t="b">
        <f t="shared" si="0"/>
        <v>0</v>
      </c>
      <c r="K12" s="24"/>
      <c r="L12" s="24"/>
      <c r="M12" s="24"/>
      <c r="N12" s="24"/>
      <c r="O12" s="24"/>
      <c r="P12" s="24"/>
      <c r="Q12" s="24"/>
      <c r="R12" s="24"/>
      <c r="S12" s="24"/>
      <c r="T12" s="24"/>
      <c r="U12" s="24"/>
      <c r="V12" s="24"/>
      <c r="W12" s="24"/>
      <c r="X12" s="24"/>
      <c r="Y12" s="24"/>
      <c r="Z12" s="24"/>
      <c r="AA12" s="24"/>
      <c r="AB12" s="24"/>
      <c r="AC12" s="24"/>
    </row>
    <row r="13" spans="1:29" ht="15.8" customHeight="1">
      <c r="A13" s="273" t="s">
        <v>8457</v>
      </c>
      <c r="B13" s="216" t="s">
        <v>8412</v>
      </c>
      <c r="C13" s="274" t="s">
        <v>8413</v>
      </c>
      <c r="D13" s="277" t="s">
        <v>8458</v>
      </c>
      <c r="E13" s="275" t="s">
        <v>8459</v>
      </c>
      <c r="F13" s="275" t="s">
        <v>8460</v>
      </c>
      <c r="G13" s="254"/>
      <c r="H13" s="257"/>
      <c r="I13" s="64"/>
      <c r="J13" s="276" t="b">
        <f t="shared" si="0"/>
        <v>0</v>
      </c>
      <c r="K13" s="24"/>
      <c r="L13" s="24"/>
      <c r="M13" s="24"/>
      <c r="N13" s="24"/>
      <c r="O13" s="24"/>
      <c r="P13" s="24"/>
      <c r="Q13" s="24"/>
      <c r="R13" s="24"/>
      <c r="S13" s="24"/>
      <c r="T13" s="24"/>
      <c r="U13" s="24"/>
      <c r="V13" s="24"/>
      <c r="W13" s="24"/>
      <c r="X13" s="24"/>
      <c r="Y13" s="24"/>
      <c r="Z13" s="24"/>
      <c r="AA13" s="24"/>
      <c r="AB13" s="24"/>
      <c r="AC13" s="24"/>
    </row>
    <row r="14" spans="1:29" ht="15.8" customHeight="1">
      <c r="A14" s="273" t="s">
        <v>8461</v>
      </c>
      <c r="B14" s="216" t="s">
        <v>8412</v>
      </c>
      <c r="C14" s="274" t="s">
        <v>8413</v>
      </c>
      <c r="D14" s="277" t="s">
        <v>8462</v>
      </c>
      <c r="E14" s="275" t="s">
        <v>8463</v>
      </c>
      <c r="F14" s="275" t="s">
        <v>8464</v>
      </c>
      <c r="G14" s="254"/>
      <c r="H14" s="257"/>
      <c r="I14" s="64"/>
      <c r="J14" s="276" t="b">
        <f t="shared" si="0"/>
        <v>0</v>
      </c>
      <c r="K14" s="24"/>
      <c r="L14" s="24"/>
      <c r="M14" s="24"/>
      <c r="N14" s="24"/>
      <c r="O14" s="24"/>
      <c r="P14" s="24"/>
      <c r="Q14" s="24"/>
      <c r="R14" s="24"/>
      <c r="S14" s="24"/>
      <c r="T14" s="24"/>
      <c r="U14" s="24"/>
      <c r="V14" s="24"/>
      <c r="W14" s="24"/>
      <c r="X14" s="24"/>
      <c r="Y14" s="24"/>
      <c r="Z14" s="24"/>
      <c r="AA14" s="24"/>
      <c r="AB14" s="24"/>
      <c r="AC14" s="24"/>
    </row>
    <row r="15" spans="1:29" ht="15.8" customHeight="1">
      <c r="A15" s="273" t="s">
        <v>8465</v>
      </c>
      <c r="B15" s="216" t="s">
        <v>8412</v>
      </c>
      <c r="C15" s="277" t="s">
        <v>8466</v>
      </c>
      <c r="D15" s="277" t="s">
        <v>8467</v>
      </c>
      <c r="E15" s="275" t="s">
        <v>8468</v>
      </c>
      <c r="F15" s="275" t="s">
        <v>8469</v>
      </c>
      <c r="G15" s="254"/>
      <c r="H15" s="257"/>
      <c r="I15" s="64"/>
      <c r="J15" s="276" t="b">
        <f t="shared" si="0"/>
        <v>0</v>
      </c>
      <c r="K15" s="24"/>
      <c r="L15" s="24"/>
      <c r="M15" s="24"/>
      <c r="N15" s="24"/>
      <c r="O15" s="24"/>
      <c r="P15" s="24"/>
      <c r="Q15" s="24"/>
      <c r="R15" s="24"/>
      <c r="S15" s="24"/>
      <c r="T15" s="24"/>
      <c r="U15" s="24"/>
      <c r="V15" s="24"/>
      <c r="W15" s="24"/>
      <c r="X15" s="24"/>
      <c r="Y15" s="24"/>
      <c r="Z15" s="24"/>
      <c r="AA15" s="24"/>
      <c r="AB15" s="24"/>
      <c r="AC15" s="24"/>
    </row>
    <row r="16" spans="1:29" ht="15.8" customHeight="1">
      <c r="A16" s="273" t="s">
        <v>8470</v>
      </c>
      <c r="B16" s="216" t="s">
        <v>8412</v>
      </c>
      <c r="C16" s="277" t="s">
        <v>8466</v>
      </c>
      <c r="D16" s="277" t="s">
        <v>8471</v>
      </c>
      <c r="E16" s="275" t="s">
        <v>8472</v>
      </c>
      <c r="F16" s="275" t="s">
        <v>8473</v>
      </c>
      <c r="G16" s="254"/>
      <c r="H16" s="257"/>
      <c r="I16" s="64"/>
      <c r="J16" s="276" t="b">
        <f t="shared" si="0"/>
        <v>0</v>
      </c>
      <c r="K16" s="24"/>
      <c r="L16" s="24"/>
      <c r="M16" s="24"/>
      <c r="N16" s="24"/>
      <c r="O16" s="24"/>
      <c r="P16" s="24"/>
      <c r="Q16" s="24"/>
      <c r="R16" s="24"/>
      <c r="S16" s="24"/>
      <c r="T16" s="24"/>
      <c r="U16" s="24"/>
      <c r="V16" s="24"/>
      <c r="W16" s="24"/>
      <c r="X16" s="24"/>
      <c r="Y16" s="24"/>
      <c r="Z16" s="24"/>
      <c r="AA16" s="24"/>
      <c r="AB16" s="24"/>
      <c r="AC16" s="24"/>
    </row>
    <row r="17" spans="1:29" ht="15.8" customHeight="1">
      <c r="A17" s="273" t="s">
        <v>8474</v>
      </c>
      <c r="B17" s="216" t="s">
        <v>8412</v>
      </c>
      <c r="C17" s="277" t="s">
        <v>8475</v>
      </c>
      <c r="D17" s="277" t="s">
        <v>8476</v>
      </c>
      <c r="E17" s="275" t="s">
        <v>8478</v>
      </c>
      <c r="F17" s="275" t="s">
        <v>8479</v>
      </c>
      <c r="G17" s="254"/>
      <c r="H17" s="257"/>
      <c r="I17" s="64"/>
      <c r="J17" s="276" t="b">
        <f t="shared" si="0"/>
        <v>0</v>
      </c>
      <c r="K17" s="24"/>
      <c r="L17" s="24"/>
      <c r="M17" s="24"/>
      <c r="N17" s="24"/>
      <c r="O17" s="24"/>
      <c r="P17" s="24"/>
      <c r="Q17" s="24"/>
      <c r="R17" s="24"/>
      <c r="S17" s="24"/>
      <c r="T17" s="24"/>
      <c r="U17" s="24"/>
      <c r="V17" s="24"/>
      <c r="W17" s="24"/>
      <c r="X17" s="24"/>
      <c r="Y17" s="24"/>
      <c r="Z17" s="24"/>
      <c r="AA17" s="24"/>
      <c r="AB17" s="24"/>
      <c r="AC17" s="24"/>
    </row>
    <row r="18" spans="1:29" ht="15.8" customHeight="1">
      <c r="A18" s="273" t="s">
        <v>8482</v>
      </c>
      <c r="B18" s="216" t="s">
        <v>8412</v>
      </c>
      <c r="C18" s="277" t="s">
        <v>8475</v>
      </c>
      <c r="D18" s="277" t="s">
        <v>8483</v>
      </c>
      <c r="E18" s="275" t="s">
        <v>8484</v>
      </c>
      <c r="F18" s="275" t="s">
        <v>8485</v>
      </c>
      <c r="G18" s="254"/>
      <c r="H18" s="257"/>
      <c r="I18" s="64"/>
      <c r="J18" s="276" t="b">
        <f t="shared" si="0"/>
        <v>0</v>
      </c>
      <c r="K18" s="24"/>
      <c r="L18" s="24"/>
      <c r="M18" s="24"/>
      <c r="N18" s="24"/>
      <c r="O18" s="24"/>
      <c r="P18" s="24"/>
      <c r="Q18" s="24"/>
      <c r="R18" s="24"/>
      <c r="S18" s="24"/>
      <c r="T18" s="24"/>
      <c r="U18" s="24"/>
      <c r="V18" s="24"/>
      <c r="W18" s="24"/>
      <c r="X18" s="24"/>
      <c r="Y18" s="24"/>
      <c r="Z18" s="24"/>
      <c r="AA18" s="24"/>
      <c r="AB18" s="24"/>
      <c r="AC18" s="24"/>
    </row>
    <row r="19" spans="1:29" ht="15.8" customHeight="1">
      <c r="A19" s="273" t="s">
        <v>8486</v>
      </c>
      <c r="B19" s="216" t="s">
        <v>8412</v>
      </c>
      <c r="C19" s="277" t="s">
        <v>8475</v>
      </c>
      <c r="D19" s="277" t="s">
        <v>8487</v>
      </c>
      <c r="E19" s="275" t="s">
        <v>8488</v>
      </c>
      <c r="F19" s="209" t="s">
        <v>8489</v>
      </c>
      <c r="G19" s="257"/>
      <c r="H19" s="257"/>
      <c r="I19" s="64"/>
      <c r="J19" s="276" t="b">
        <f t="shared" si="0"/>
        <v>0</v>
      </c>
      <c r="K19" s="24"/>
      <c r="L19" s="24"/>
      <c r="M19" s="24"/>
      <c r="N19" s="24"/>
      <c r="O19" s="24"/>
      <c r="P19" s="24"/>
      <c r="Q19" s="24"/>
      <c r="R19" s="24"/>
      <c r="S19" s="24"/>
      <c r="T19" s="24"/>
      <c r="U19" s="24"/>
      <c r="V19" s="24"/>
      <c r="W19" s="24"/>
      <c r="X19" s="24"/>
      <c r="Y19" s="24"/>
      <c r="Z19" s="24"/>
      <c r="AA19" s="24"/>
      <c r="AB19" s="24"/>
      <c r="AC19" s="24"/>
    </row>
    <row r="20" spans="1:29" ht="15.8" customHeight="1">
      <c r="A20" s="273" t="s">
        <v>8490</v>
      </c>
      <c r="B20" s="216" t="s">
        <v>8412</v>
      </c>
      <c r="C20" s="277" t="s">
        <v>8475</v>
      </c>
      <c r="D20" s="277" t="s">
        <v>8491</v>
      </c>
      <c r="E20" s="275" t="s">
        <v>8492</v>
      </c>
      <c r="F20" s="209" t="s">
        <v>8493</v>
      </c>
      <c r="G20" s="257"/>
      <c r="H20" s="257"/>
      <c r="I20" s="64"/>
      <c r="J20" s="276" t="b">
        <f t="shared" si="0"/>
        <v>0</v>
      </c>
      <c r="K20" s="24"/>
      <c r="L20" s="24"/>
      <c r="M20" s="24"/>
      <c r="N20" s="24"/>
      <c r="O20" s="24"/>
      <c r="P20" s="24"/>
      <c r="Q20" s="24"/>
      <c r="R20" s="24"/>
      <c r="S20" s="24"/>
      <c r="T20" s="24"/>
      <c r="U20" s="24"/>
      <c r="V20" s="24"/>
      <c r="W20" s="24"/>
      <c r="X20" s="24"/>
      <c r="Y20" s="24"/>
      <c r="Z20" s="24"/>
      <c r="AA20" s="24"/>
      <c r="AB20" s="24"/>
      <c r="AC20" s="24"/>
    </row>
    <row r="21" spans="1:29" ht="15.8" customHeight="1">
      <c r="A21" s="273" t="s">
        <v>8494</v>
      </c>
      <c r="B21" s="216" t="s">
        <v>8412</v>
      </c>
      <c r="C21" s="277" t="s">
        <v>8475</v>
      </c>
      <c r="D21" s="277" t="s">
        <v>8495</v>
      </c>
      <c r="E21" s="275" t="s">
        <v>8496</v>
      </c>
      <c r="F21" s="209" t="s">
        <v>8497</v>
      </c>
      <c r="G21" s="257"/>
      <c r="H21" s="257"/>
      <c r="I21" s="64"/>
      <c r="J21" s="276" t="b">
        <f t="shared" si="0"/>
        <v>0</v>
      </c>
      <c r="K21" s="24"/>
      <c r="L21" s="24"/>
      <c r="M21" s="24"/>
      <c r="N21" s="24"/>
      <c r="O21" s="24"/>
      <c r="P21" s="24"/>
      <c r="Q21" s="24"/>
      <c r="R21" s="24"/>
      <c r="S21" s="24"/>
      <c r="T21" s="24"/>
      <c r="U21" s="24"/>
      <c r="V21" s="24"/>
      <c r="W21" s="24"/>
      <c r="X21" s="24"/>
      <c r="Y21" s="24"/>
      <c r="Z21" s="24"/>
      <c r="AA21" s="24"/>
      <c r="AB21" s="24"/>
      <c r="AC21" s="24"/>
    </row>
    <row r="22" spans="1:29" ht="15.8" customHeight="1">
      <c r="A22" s="273" t="s">
        <v>8498</v>
      </c>
      <c r="B22" s="216" t="s">
        <v>8412</v>
      </c>
      <c r="C22" s="277" t="s">
        <v>8475</v>
      </c>
      <c r="D22" s="277" t="s">
        <v>8499</v>
      </c>
      <c r="E22" s="275" t="s">
        <v>8500</v>
      </c>
      <c r="F22" s="209" t="s">
        <v>8501</v>
      </c>
      <c r="G22" s="257"/>
      <c r="H22" s="257"/>
      <c r="I22" s="64"/>
      <c r="J22" s="276" t="b">
        <f t="shared" si="0"/>
        <v>0</v>
      </c>
      <c r="K22" s="24"/>
      <c r="L22" s="24"/>
      <c r="M22" s="24"/>
      <c r="N22" s="24"/>
      <c r="O22" s="24"/>
      <c r="P22" s="24"/>
      <c r="Q22" s="24"/>
      <c r="R22" s="24"/>
      <c r="S22" s="24"/>
      <c r="T22" s="24"/>
      <c r="U22" s="24"/>
      <c r="V22" s="24"/>
      <c r="W22" s="24"/>
      <c r="X22" s="24"/>
      <c r="Y22" s="24"/>
      <c r="Z22" s="24"/>
      <c r="AA22" s="24"/>
      <c r="AB22" s="24"/>
      <c r="AC22" s="24"/>
    </row>
    <row r="23" spans="1:29" ht="15.8" customHeight="1">
      <c r="A23" s="273" t="s">
        <v>8502</v>
      </c>
      <c r="B23" s="216" t="s">
        <v>8412</v>
      </c>
      <c r="C23" s="277" t="s">
        <v>8475</v>
      </c>
      <c r="D23" s="277" t="s">
        <v>8503</v>
      </c>
      <c r="E23" s="275" t="s">
        <v>8504</v>
      </c>
      <c r="F23" s="209" t="s">
        <v>8505</v>
      </c>
      <c r="G23" s="257"/>
      <c r="H23" s="257"/>
      <c r="I23" s="64"/>
      <c r="J23" s="276" t="b">
        <f t="shared" si="0"/>
        <v>0</v>
      </c>
      <c r="K23" s="24"/>
      <c r="L23" s="24"/>
      <c r="M23" s="24"/>
      <c r="N23" s="24"/>
      <c r="O23" s="24"/>
      <c r="P23" s="24"/>
      <c r="Q23" s="24"/>
      <c r="R23" s="24"/>
      <c r="S23" s="24"/>
      <c r="T23" s="24"/>
      <c r="U23" s="24"/>
      <c r="V23" s="24"/>
      <c r="W23" s="24"/>
      <c r="X23" s="24"/>
      <c r="Y23" s="24"/>
      <c r="Z23" s="24"/>
      <c r="AA23" s="24"/>
      <c r="AB23" s="24"/>
      <c r="AC23" s="24"/>
    </row>
    <row r="24" spans="1:29" ht="15.8" customHeight="1">
      <c r="A24" s="273" t="s">
        <v>8506</v>
      </c>
      <c r="B24" s="216" t="s">
        <v>8412</v>
      </c>
      <c r="C24" s="277" t="s">
        <v>8475</v>
      </c>
      <c r="D24" s="277" t="s">
        <v>8507</v>
      </c>
      <c r="E24" s="275" t="s">
        <v>8508</v>
      </c>
      <c r="F24" s="209" t="s">
        <v>8509</v>
      </c>
      <c r="G24" s="257"/>
      <c r="H24" s="257"/>
      <c r="I24" s="64"/>
      <c r="J24" s="276" t="b">
        <f t="shared" si="0"/>
        <v>0</v>
      </c>
      <c r="K24" s="24"/>
      <c r="L24" s="24"/>
      <c r="M24" s="24"/>
      <c r="N24" s="24"/>
      <c r="O24" s="24"/>
      <c r="P24" s="24"/>
      <c r="Q24" s="24"/>
      <c r="R24" s="24"/>
      <c r="S24" s="24"/>
      <c r="T24" s="24"/>
      <c r="U24" s="24"/>
      <c r="V24" s="24"/>
      <c r="W24" s="24"/>
      <c r="X24" s="24"/>
      <c r="Y24" s="24"/>
      <c r="Z24" s="24"/>
      <c r="AA24" s="24"/>
      <c r="AB24" s="24"/>
      <c r="AC24" s="24"/>
    </row>
    <row r="25" spans="1:29" ht="15.8" customHeight="1">
      <c r="A25" s="273" t="s">
        <v>8510</v>
      </c>
      <c r="B25" s="216" t="s">
        <v>8412</v>
      </c>
      <c r="C25" s="277" t="s">
        <v>8475</v>
      </c>
      <c r="D25" s="280" t="s">
        <v>8511</v>
      </c>
      <c r="E25" s="280" t="s">
        <v>8512</v>
      </c>
      <c r="F25" s="209" t="s">
        <v>8513</v>
      </c>
      <c r="G25" s="257"/>
      <c r="H25" s="257"/>
      <c r="I25" s="64"/>
      <c r="J25" s="276" t="b">
        <f t="shared" si="0"/>
        <v>0</v>
      </c>
      <c r="K25" s="24"/>
      <c r="L25" s="24"/>
      <c r="M25" s="24"/>
      <c r="N25" s="24"/>
      <c r="O25" s="24"/>
      <c r="P25" s="24"/>
      <c r="Q25" s="24"/>
      <c r="R25" s="24"/>
      <c r="S25" s="24"/>
      <c r="T25" s="24"/>
      <c r="U25" s="24"/>
      <c r="V25" s="24"/>
      <c r="W25" s="24"/>
      <c r="X25" s="24"/>
      <c r="Y25" s="24"/>
      <c r="Z25" s="24"/>
      <c r="AA25" s="24"/>
      <c r="AB25" s="24"/>
      <c r="AC25" s="24"/>
    </row>
    <row r="26" spans="1:29" ht="15.8" customHeight="1">
      <c r="A26" s="273" t="s">
        <v>8514</v>
      </c>
      <c r="B26" s="216" t="s">
        <v>8412</v>
      </c>
      <c r="C26" s="277" t="s">
        <v>8013</v>
      </c>
      <c r="D26" s="202" t="s">
        <v>8515</v>
      </c>
      <c r="E26" s="275" t="s">
        <v>8516</v>
      </c>
      <c r="F26" s="209" t="s">
        <v>8517</v>
      </c>
      <c r="G26" s="257"/>
      <c r="H26" s="257"/>
      <c r="I26" s="64"/>
      <c r="J26" s="276" t="b">
        <f t="shared" si="0"/>
        <v>0</v>
      </c>
      <c r="K26" s="24"/>
      <c r="L26" s="24"/>
      <c r="M26" s="24"/>
      <c r="N26" s="24"/>
      <c r="O26" s="24"/>
      <c r="P26" s="24"/>
      <c r="Q26" s="24"/>
      <c r="R26" s="24"/>
      <c r="S26" s="24"/>
      <c r="T26" s="24"/>
      <c r="U26" s="24"/>
      <c r="V26" s="24"/>
      <c r="W26" s="24"/>
      <c r="X26" s="24"/>
      <c r="Y26" s="24"/>
      <c r="Z26" s="24"/>
      <c r="AA26" s="24"/>
      <c r="AB26" s="24"/>
      <c r="AC26" s="24"/>
    </row>
    <row r="27" spans="1:29" ht="15.8" customHeight="1">
      <c r="A27" s="273" t="s">
        <v>8518</v>
      </c>
      <c r="B27" s="216" t="s">
        <v>8412</v>
      </c>
      <c r="C27" s="277" t="s">
        <v>8013</v>
      </c>
      <c r="D27" s="277" t="s">
        <v>8519</v>
      </c>
      <c r="E27" s="275" t="s">
        <v>8520</v>
      </c>
      <c r="F27" s="209" t="s">
        <v>8521</v>
      </c>
      <c r="G27" s="257"/>
      <c r="H27" s="257"/>
      <c r="I27" s="64"/>
      <c r="J27" s="276" t="b">
        <f t="shared" si="0"/>
        <v>0</v>
      </c>
      <c r="K27" s="24"/>
      <c r="L27" s="24"/>
      <c r="M27" s="24"/>
      <c r="N27" s="24"/>
      <c r="O27" s="24"/>
      <c r="P27" s="24"/>
      <c r="Q27" s="24"/>
      <c r="R27" s="24"/>
      <c r="S27" s="24"/>
      <c r="T27" s="24"/>
      <c r="U27" s="24"/>
      <c r="V27" s="24"/>
      <c r="W27" s="24"/>
      <c r="X27" s="24"/>
      <c r="Y27" s="24"/>
      <c r="Z27" s="24"/>
      <c r="AA27" s="24"/>
      <c r="AB27" s="24"/>
      <c r="AC27" s="24"/>
    </row>
    <row r="28" spans="1:29" ht="15.8" customHeight="1">
      <c r="A28" s="273" t="s">
        <v>8522</v>
      </c>
      <c r="B28" s="216" t="s">
        <v>8412</v>
      </c>
      <c r="C28" s="277" t="s">
        <v>8013</v>
      </c>
      <c r="D28" s="277" t="s">
        <v>8523</v>
      </c>
      <c r="E28" s="275" t="s">
        <v>8524</v>
      </c>
      <c r="F28" s="209" t="s">
        <v>8525</v>
      </c>
      <c r="G28" s="257"/>
      <c r="H28" s="257"/>
      <c r="I28" s="64"/>
      <c r="J28" s="276" t="b">
        <f t="shared" si="0"/>
        <v>0</v>
      </c>
      <c r="K28" s="24"/>
      <c r="L28" s="24"/>
      <c r="M28" s="24"/>
      <c r="N28" s="24"/>
      <c r="O28" s="24"/>
      <c r="P28" s="24"/>
      <c r="Q28" s="24"/>
      <c r="R28" s="24"/>
      <c r="S28" s="24"/>
      <c r="T28" s="24"/>
      <c r="U28" s="24"/>
      <c r="V28" s="24"/>
      <c r="W28" s="24"/>
      <c r="X28" s="24"/>
      <c r="Y28" s="24"/>
      <c r="Z28" s="24"/>
      <c r="AA28" s="24"/>
      <c r="AB28" s="24"/>
      <c r="AC28" s="24"/>
    </row>
    <row r="29" spans="1:29" ht="15.8" customHeight="1">
      <c r="A29" s="273" t="s">
        <v>8526</v>
      </c>
      <c r="B29" s="216" t="s">
        <v>8412</v>
      </c>
      <c r="C29" s="277" t="s">
        <v>8013</v>
      </c>
      <c r="D29" s="277" t="s">
        <v>8527</v>
      </c>
      <c r="E29" s="275" t="s">
        <v>8528</v>
      </c>
      <c r="F29" s="209" t="s">
        <v>8529</v>
      </c>
      <c r="G29" s="257"/>
      <c r="H29" s="257"/>
      <c r="I29" s="64"/>
      <c r="J29" s="276" t="b">
        <f t="shared" si="0"/>
        <v>0</v>
      </c>
      <c r="K29" s="24"/>
      <c r="L29" s="24"/>
      <c r="M29" s="24"/>
      <c r="N29" s="24"/>
      <c r="O29" s="24"/>
      <c r="P29" s="24"/>
      <c r="Q29" s="24"/>
      <c r="R29" s="24"/>
      <c r="S29" s="24"/>
      <c r="T29" s="24"/>
      <c r="U29" s="24"/>
      <c r="V29" s="24"/>
      <c r="W29" s="24"/>
      <c r="X29" s="24"/>
      <c r="Y29" s="24"/>
      <c r="Z29" s="24"/>
      <c r="AA29" s="24"/>
      <c r="AB29" s="24"/>
      <c r="AC29" s="24"/>
    </row>
    <row r="30" spans="1:29" ht="15.8" customHeight="1">
      <c r="A30" s="24"/>
      <c r="B30" s="70"/>
      <c r="C30" s="70"/>
      <c r="D30" s="24"/>
      <c r="E30" s="24"/>
      <c r="F30" s="117"/>
      <c r="G30" s="117"/>
      <c r="H30" s="24"/>
      <c r="I30" s="24"/>
      <c r="J30" s="24"/>
      <c r="K30" s="24"/>
      <c r="L30" s="24"/>
      <c r="M30" s="24"/>
      <c r="N30" s="24"/>
      <c r="O30" s="24"/>
      <c r="P30" s="24"/>
      <c r="Q30" s="24"/>
      <c r="R30" s="24"/>
      <c r="S30" s="24"/>
      <c r="T30" s="24"/>
      <c r="U30" s="24"/>
      <c r="V30" s="24"/>
      <c r="W30" s="24"/>
      <c r="X30" s="24"/>
      <c r="Y30" s="24"/>
      <c r="Z30" s="24"/>
      <c r="AA30" s="24"/>
      <c r="AB30" s="24"/>
      <c r="AC30" s="24"/>
    </row>
    <row r="31" spans="1:29" ht="15.8" customHeight="1">
      <c r="A31" s="24"/>
      <c r="B31" s="70"/>
      <c r="C31" s="24"/>
      <c r="D31" s="24"/>
      <c r="E31" s="24"/>
      <c r="F31" s="117"/>
      <c r="G31" s="117"/>
      <c r="H31" s="24"/>
      <c r="I31" s="24"/>
      <c r="J31" s="114">
        <f>SUM(J2:J29)</f>
        <v>0</v>
      </c>
      <c r="K31" s="24"/>
      <c r="L31" s="24"/>
      <c r="M31" s="24"/>
      <c r="N31" s="24"/>
      <c r="O31" s="24"/>
      <c r="P31" s="24"/>
      <c r="Q31" s="24"/>
      <c r="R31" s="24"/>
      <c r="S31" s="24"/>
      <c r="T31" s="24"/>
      <c r="U31" s="24"/>
      <c r="V31" s="24"/>
      <c r="W31" s="24"/>
      <c r="X31" s="24"/>
      <c r="Y31" s="24"/>
      <c r="Z31" s="24"/>
      <c r="AA31" s="24"/>
      <c r="AB31" s="24"/>
      <c r="AC31" s="24"/>
    </row>
    <row r="32" spans="1:29" ht="15.8" customHeight="1">
      <c r="A32" s="24"/>
      <c r="B32" s="70"/>
      <c r="C32" s="24"/>
      <c r="D32" s="24"/>
      <c r="E32" s="24"/>
      <c r="F32" s="117"/>
      <c r="G32" s="117"/>
      <c r="H32" s="24"/>
      <c r="I32" s="24"/>
      <c r="J32" s="24"/>
      <c r="K32" s="24"/>
      <c r="L32" s="24"/>
      <c r="M32" s="24"/>
      <c r="N32" s="24"/>
      <c r="O32" s="24"/>
      <c r="P32" s="24"/>
      <c r="Q32" s="24"/>
      <c r="R32" s="24"/>
      <c r="S32" s="24"/>
      <c r="T32" s="24"/>
      <c r="U32" s="24"/>
      <c r="V32" s="24"/>
      <c r="W32" s="24"/>
      <c r="X32" s="24"/>
      <c r="Y32" s="24"/>
      <c r="Z32" s="24"/>
      <c r="AA32" s="24"/>
      <c r="AB32" s="24"/>
      <c r="AC32" s="24"/>
    </row>
    <row r="33" spans="1:29" ht="15.8" customHeight="1">
      <c r="A33" s="24"/>
      <c r="B33" s="70"/>
      <c r="C33" s="24"/>
      <c r="D33" s="24"/>
      <c r="E33" s="24"/>
      <c r="F33" s="117"/>
      <c r="G33" s="117"/>
      <c r="H33" s="24"/>
      <c r="I33" s="24"/>
      <c r="J33" s="24"/>
      <c r="K33" s="24"/>
      <c r="L33" s="24"/>
      <c r="M33" s="24"/>
      <c r="N33" s="24"/>
      <c r="O33" s="24"/>
      <c r="P33" s="24"/>
      <c r="Q33" s="24"/>
      <c r="R33" s="24"/>
      <c r="S33" s="24"/>
      <c r="T33" s="24"/>
      <c r="U33" s="24"/>
      <c r="V33" s="24"/>
      <c r="W33" s="24"/>
      <c r="X33" s="24"/>
      <c r="Y33" s="24"/>
      <c r="Z33" s="24"/>
      <c r="AA33" s="24"/>
      <c r="AB33" s="24"/>
      <c r="AC33" s="24"/>
    </row>
    <row r="34" spans="1:29" ht="15.8" customHeight="1">
      <c r="A34" s="24"/>
      <c r="B34" s="70"/>
      <c r="C34" s="24"/>
      <c r="D34" s="24"/>
      <c r="E34" s="24"/>
      <c r="F34" s="117"/>
      <c r="G34" s="117"/>
      <c r="H34" s="24"/>
      <c r="I34" s="24"/>
      <c r="J34" s="24"/>
      <c r="K34" s="24"/>
      <c r="L34" s="24"/>
      <c r="M34" s="24"/>
      <c r="N34" s="24"/>
      <c r="O34" s="24"/>
      <c r="P34" s="24"/>
      <c r="Q34" s="24"/>
      <c r="R34" s="24"/>
      <c r="S34" s="24"/>
      <c r="T34" s="24"/>
      <c r="U34" s="24"/>
      <c r="V34" s="24"/>
      <c r="W34" s="24"/>
      <c r="X34" s="24"/>
      <c r="Y34" s="24"/>
      <c r="Z34" s="24"/>
      <c r="AA34" s="24"/>
      <c r="AB34" s="24"/>
      <c r="AC34" s="24"/>
    </row>
    <row r="35" spans="1:29" ht="15.8" customHeight="1">
      <c r="A35" s="24"/>
      <c r="B35" s="70"/>
      <c r="C35" s="24"/>
      <c r="D35" s="24"/>
      <c r="E35" s="24"/>
      <c r="F35" s="117"/>
      <c r="G35" s="117"/>
      <c r="H35" s="24"/>
      <c r="I35" s="24"/>
      <c r="J35" s="24"/>
      <c r="K35" s="24"/>
      <c r="L35" s="24"/>
      <c r="M35" s="24"/>
      <c r="N35" s="24"/>
      <c r="O35" s="24"/>
      <c r="P35" s="24"/>
      <c r="Q35" s="24"/>
      <c r="R35" s="24"/>
      <c r="S35" s="24"/>
      <c r="T35" s="24"/>
      <c r="U35" s="24"/>
      <c r="V35" s="24"/>
      <c r="W35" s="24"/>
      <c r="X35" s="24"/>
      <c r="Y35" s="24"/>
      <c r="Z35" s="24"/>
      <c r="AA35" s="24"/>
      <c r="AB35" s="24"/>
      <c r="AC35" s="24"/>
    </row>
    <row r="36" spans="1:29" ht="12.9">
      <c r="A36" s="24"/>
      <c r="B36" s="70"/>
      <c r="C36" s="24"/>
      <c r="D36" s="24"/>
      <c r="E36" s="24"/>
      <c r="F36" s="117"/>
      <c r="G36" s="117"/>
      <c r="H36" s="24"/>
      <c r="I36" s="24"/>
      <c r="J36" s="24"/>
      <c r="K36" s="24"/>
      <c r="L36" s="24"/>
      <c r="M36" s="24"/>
      <c r="N36" s="24"/>
      <c r="O36" s="24"/>
      <c r="P36" s="24"/>
      <c r="Q36" s="24"/>
      <c r="R36" s="24"/>
      <c r="S36" s="24"/>
      <c r="T36" s="24"/>
      <c r="U36" s="24"/>
      <c r="V36" s="24"/>
      <c r="W36" s="24"/>
      <c r="X36" s="24"/>
      <c r="Y36" s="24"/>
      <c r="Z36" s="24"/>
      <c r="AA36" s="24"/>
      <c r="AB36" s="24"/>
      <c r="AC36" s="24"/>
    </row>
    <row r="37" spans="1:29" ht="12.9">
      <c r="A37" s="24"/>
      <c r="B37" s="70"/>
      <c r="C37" s="24"/>
      <c r="D37" s="24"/>
      <c r="E37" s="24"/>
      <c r="F37" s="117"/>
      <c r="G37" s="117"/>
      <c r="H37" s="24"/>
      <c r="I37" s="24"/>
      <c r="J37" s="24"/>
      <c r="K37" s="24"/>
      <c r="L37" s="24"/>
      <c r="M37" s="24"/>
      <c r="N37" s="24"/>
      <c r="O37" s="24"/>
      <c r="P37" s="24"/>
      <c r="Q37" s="24"/>
      <c r="R37" s="24"/>
      <c r="S37" s="24"/>
      <c r="T37" s="24"/>
      <c r="U37" s="24"/>
      <c r="V37" s="24"/>
      <c r="W37" s="24"/>
      <c r="X37" s="24"/>
      <c r="Y37" s="24"/>
      <c r="Z37" s="24"/>
      <c r="AA37" s="24"/>
      <c r="AB37" s="24"/>
      <c r="AC37" s="24"/>
    </row>
    <row r="38" spans="1:29" ht="12.9">
      <c r="A38" s="24"/>
      <c r="B38" s="70"/>
      <c r="C38" s="24"/>
      <c r="D38" s="24"/>
      <c r="E38" s="24"/>
      <c r="F38" s="117"/>
      <c r="G38" s="117"/>
      <c r="H38" s="24"/>
      <c r="I38" s="24"/>
      <c r="J38" s="24"/>
      <c r="K38" s="24"/>
      <c r="L38" s="24"/>
      <c r="M38" s="24"/>
      <c r="N38" s="24"/>
      <c r="O38" s="24"/>
      <c r="P38" s="24"/>
      <c r="Q38" s="24"/>
      <c r="R38" s="24"/>
      <c r="S38" s="24"/>
      <c r="T38" s="24"/>
      <c r="U38" s="24"/>
      <c r="V38" s="24"/>
      <c r="W38" s="24"/>
      <c r="X38" s="24"/>
      <c r="Y38" s="24"/>
      <c r="Z38" s="24"/>
      <c r="AA38" s="24"/>
      <c r="AB38" s="24"/>
      <c r="AC38" s="24"/>
    </row>
    <row r="39" spans="1:29" ht="12.9">
      <c r="A39" s="24"/>
      <c r="B39" s="70"/>
      <c r="C39" s="24"/>
      <c r="D39" s="24"/>
      <c r="E39" s="24"/>
      <c r="F39" s="117"/>
      <c r="G39" s="117"/>
      <c r="H39" s="24"/>
      <c r="I39" s="24"/>
      <c r="J39" s="24"/>
      <c r="K39" s="24"/>
      <c r="L39" s="24"/>
      <c r="M39" s="24"/>
      <c r="N39" s="24"/>
      <c r="O39" s="24"/>
      <c r="P39" s="24"/>
      <c r="Q39" s="24"/>
      <c r="R39" s="24"/>
      <c r="S39" s="24"/>
      <c r="T39" s="24"/>
      <c r="U39" s="24"/>
      <c r="V39" s="24"/>
      <c r="W39" s="24"/>
      <c r="X39" s="24"/>
      <c r="Y39" s="24"/>
      <c r="Z39" s="24"/>
      <c r="AA39" s="24"/>
      <c r="AB39" s="24"/>
      <c r="AC39" s="24"/>
    </row>
    <row r="40" spans="1:29" ht="12.9">
      <c r="A40" s="24"/>
      <c r="B40" s="70"/>
      <c r="C40" s="24"/>
      <c r="D40" s="24"/>
      <c r="E40" s="24"/>
      <c r="F40" s="117"/>
      <c r="G40" s="117"/>
      <c r="H40" s="24"/>
      <c r="I40" s="24"/>
      <c r="J40" s="24"/>
      <c r="K40" s="24"/>
      <c r="L40" s="24"/>
      <c r="M40" s="24"/>
      <c r="N40" s="24"/>
      <c r="O40" s="24"/>
      <c r="P40" s="24"/>
      <c r="Q40" s="24"/>
      <c r="R40" s="24"/>
      <c r="S40" s="24"/>
      <c r="T40" s="24"/>
      <c r="U40" s="24"/>
      <c r="V40" s="24"/>
      <c r="W40" s="24"/>
      <c r="X40" s="24"/>
      <c r="Y40" s="24"/>
      <c r="Z40" s="24"/>
      <c r="AA40" s="24"/>
      <c r="AB40" s="24"/>
      <c r="AC40" s="24"/>
    </row>
    <row r="41" spans="1:29" ht="12.9">
      <c r="A41" s="24"/>
      <c r="B41" s="70"/>
      <c r="C41" s="24"/>
      <c r="D41" s="24"/>
      <c r="E41" s="24"/>
      <c r="F41" s="117"/>
      <c r="G41" s="117"/>
      <c r="H41" s="24"/>
      <c r="I41" s="24"/>
      <c r="J41" s="24"/>
      <c r="K41" s="24"/>
      <c r="L41" s="24"/>
      <c r="M41" s="24"/>
      <c r="N41" s="24"/>
      <c r="O41" s="24"/>
      <c r="P41" s="24"/>
      <c r="Q41" s="24"/>
      <c r="R41" s="24"/>
      <c r="S41" s="24"/>
      <c r="T41" s="24"/>
      <c r="U41" s="24"/>
      <c r="V41" s="24"/>
      <c r="W41" s="24"/>
      <c r="X41" s="24"/>
      <c r="Y41" s="24"/>
      <c r="Z41" s="24"/>
      <c r="AA41" s="24"/>
      <c r="AB41" s="24"/>
      <c r="AC41" s="24"/>
    </row>
    <row r="42" spans="1:29" ht="12.9">
      <c r="A42" s="24"/>
      <c r="B42" s="70"/>
      <c r="C42" s="24"/>
      <c r="D42" s="24"/>
      <c r="E42" s="24"/>
      <c r="F42" s="117"/>
      <c r="G42" s="117"/>
      <c r="H42" s="24"/>
      <c r="I42" s="24"/>
      <c r="J42" s="24"/>
      <c r="K42" s="24"/>
      <c r="L42" s="24"/>
      <c r="M42" s="24"/>
      <c r="N42" s="24"/>
      <c r="O42" s="24"/>
      <c r="P42" s="24"/>
      <c r="Q42" s="24"/>
      <c r="R42" s="24"/>
      <c r="S42" s="24"/>
      <c r="T42" s="24"/>
      <c r="U42" s="24"/>
      <c r="V42" s="24"/>
      <c r="W42" s="24"/>
      <c r="X42" s="24"/>
      <c r="Y42" s="24"/>
      <c r="Z42" s="24"/>
      <c r="AA42" s="24"/>
      <c r="AB42" s="24"/>
      <c r="AC42" s="24"/>
    </row>
    <row r="43" spans="1:29" ht="12.9">
      <c r="A43" s="24"/>
      <c r="B43" s="70"/>
      <c r="C43" s="24"/>
      <c r="D43" s="24"/>
      <c r="E43" s="24"/>
      <c r="F43" s="117"/>
      <c r="G43" s="117"/>
      <c r="H43" s="24"/>
      <c r="I43" s="24"/>
      <c r="J43" s="24"/>
      <c r="K43" s="24"/>
      <c r="L43" s="24"/>
      <c r="M43" s="24"/>
      <c r="N43" s="24"/>
      <c r="O43" s="24"/>
      <c r="P43" s="24"/>
      <c r="Q43" s="24"/>
      <c r="R43" s="24"/>
      <c r="S43" s="24"/>
      <c r="T43" s="24"/>
      <c r="U43" s="24"/>
      <c r="V43" s="24"/>
      <c r="W43" s="24"/>
      <c r="X43" s="24"/>
      <c r="Y43" s="24"/>
      <c r="Z43" s="24"/>
      <c r="AA43" s="24"/>
      <c r="AB43" s="24"/>
      <c r="AC43" s="24"/>
    </row>
    <row r="44" spans="1:29" ht="12.9">
      <c r="A44" s="24"/>
      <c r="B44" s="70"/>
      <c r="C44" s="24"/>
      <c r="D44" s="24"/>
      <c r="E44" s="24"/>
      <c r="F44" s="117"/>
      <c r="G44" s="117"/>
      <c r="H44" s="24"/>
      <c r="I44" s="24"/>
      <c r="J44" s="24"/>
      <c r="K44" s="24"/>
      <c r="L44" s="24"/>
      <c r="M44" s="24"/>
      <c r="N44" s="24"/>
      <c r="O44" s="24"/>
      <c r="P44" s="24"/>
      <c r="Q44" s="24"/>
      <c r="R44" s="24"/>
      <c r="S44" s="24"/>
      <c r="T44" s="24"/>
      <c r="U44" s="24"/>
      <c r="V44" s="24"/>
      <c r="W44" s="24"/>
      <c r="X44" s="24"/>
      <c r="Y44" s="24"/>
      <c r="Z44" s="24"/>
      <c r="AA44" s="24"/>
      <c r="AB44" s="24"/>
      <c r="AC44" s="24"/>
    </row>
    <row r="45" spans="1:29" ht="12.9">
      <c r="A45" s="24"/>
      <c r="B45" s="70"/>
      <c r="C45" s="24"/>
      <c r="D45" s="24"/>
      <c r="E45" s="24"/>
      <c r="F45" s="117"/>
      <c r="G45" s="117"/>
      <c r="H45" s="24"/>
      <c r="I45" s="24"/>
      <c r="J45" s="24"/>
      <c r="K45" s="24"/>
      <c r="L45" s="24"/>
      <c r="M45" s="24"/>
      <c r="N45" s="24"/>
      <c r="O45" s="24"/>
      <c r="P45" s="24"/>
      <c r="Q45" s="24"/>
      <c r="R45" s="24"/>
      <c r="S45" s="24"/>
      <c r="T45" s="24"/>
      <c r="U45" s="24"/>
      <c r="V45" s="24"/>
      <c r="W45" s="24"/>
      <c r="X45" s="24"/>
      <c r="Y45" s="24"/>
      <c r="Z45" s="24"/>
      <c r="AA45" s="24"/>
      <c r="AB45" s="24"/>
      <c r="AC45" s="24"/>
    </row>
    <row r="46" spans="1:29" ht="12.9">
      <c r="A46" s="24"/>
      <c r="B46" s="70"/>
      <c r="C46" s="24"/>
      <c r="D46" s="24"/>
      <c r="E46" s="24"/>
      <c r="F46" s="117"/>
      <c r="G46" s="117"/>
      <c r="H46" s="24"/>
      <c r="I46" s="24"/>
      <c r="J46" s="24"/>
      <c r="K46" s="24"/>
      <c r="L46" s="24"/>
      <c r="M46" s="24"/>
      <c r="N46" s="24"/>
      <c r="O46" s="24"/>
      <c r="P46" s="24"/>
      <c r="Q46" s="24"/>
      <c r="R46" s="24"/>
      <c r="S46" s="24"/>
      <c r="T46" s="24"/>
      <c r="U46" s="24"/>
      <c r="V46" s="24"/>
      <c r="W46" s="24"/>
      <c r="X46" s="24"/>
      <c r="Y46" s="24"/>
      <c r="Z46" s="24"/>
      <c r="AA46" s="24"/>
      <c r="AB46" s="24"/>
      <c r="AC46" s="24"/>
    </row>
    <row r="47" spans="1:29" ht="12.9">
      <c r="A47" s="24"/>
      <c r="B47" s="70"/>
      <c r="C47" s="24"/>
      <c r="D47" s="24"/>
      <c r="E47" s="24"/>
      <c r="F47" s="117"/>
      <c r="G47" s="117"/>
      <c r="H47" s="24"/>
      <c r="I47" s="24"/>
      <c r="J47" s="24"/>
      <c r="K47" s="24"/>
      <c r="L47" s="24"/>
      <c r="M47" s="24"/>
      <c r="N47" s="24"/>
      <c r="O47" s="24"/>
      <c r="P47" s="24"/>
      <c r="Q47" s="24"/>
      <c r="R47" s="24"/>
      <c r="S47" s="24"/>
      <c r="T47" s="24"/>
      <c r="U47" s="24"/>
      <c r="V47" s="24"/>
      <c r="W47" s="24"/>
      <c r="X47" s="24"/>
      <c r="Y47" s="24"/>
      <c r="Z47" s="24"/>
      <c r="AA47" s="24"/>
      <c r="AB47" s="24"/>
      <c r="AC47" s="24"/>
    </row>
    <row r="48" spans="1:29" ht="12.9">
      <c r="A48" s="24"/>
      <c r="B48" s="70"/>
      <c r="C48" s="24"/>
      <c r="D48" s="24"/>
      <c r="E48" s="24"/>
      <c r="F48" s="117"/>
      <c r="G48" s="117"/>
      <c r="H48" s="24"/>
      <c r="I48" s="24"/>
      <c r="J48" s="24"/>
      <c r="K48" s="24"/>
      <c r="L48" s="24"/>
      <c r="M48" s="24"/>
      <c r="N48" s="24"/>
      <c r="O48" s="24"/>
      <c r="P48" s="24"/>
      <c r="Q48" s="24"/>
      <c r="R48" s="24"/>
      <c r="S48" s="24"/>
      <c r="T48" s="24"/>
      <c r="U48" s="24"/>
      <c r="V48" s="24"/>
      <c r="W48" s="24"/>
      <c r="X48" s="24"/>
      <c r="Y48" s="24"/>
      <c r="Z48" s="24"/>
      <c r="AA48" s="24"/>
      <c r="AB48" s="24"/>
      <c r="AC48" s="24"/>
    </row>
    <row r="49" spans="1:29" ht="12.9">
      <c r="A49" s="24"/>
      <c r="B49" s="70"/>
      <c r="C49" s="24"/>
      <c r="D49" s="24"/>
      <c r="E49" s="24"/>
      <c r="F49" s="117"/>
      <c r="G49" s="117"/>
      <c r="H49" s="24"/>
      <c r="I49" s="24"/>
      <c r="J49" s="24"/>
      <c r="K49" s="24"/>
      <c r="L49" s="24"/>
      <c r="M49" s="24"/>
      <c r="N49" s="24"/>
      <c r="O49" s="24"/>
      <c r="P49" s="24"/>
      <c r="Q49" s="24"/>
      <c r="R49" s="24"/>
      <c r="S49" s="24"/>
      <c r="T49" s="24"/>
      <c r="U49" s="24"/>
      <c r="V49" s="24"/>
      <c r="W49" s="24"/>
      <c r="X49" s="24"/>
      <c r="Y49" s="24"/>
      <c r="Z49" s="24"/>
      <c r="AA49" s="24"/>
      <c r="AB49" s="24"/>
      <c r="AC49" s="24"/>
    </row>
    <row r="50" spans="1:29" ht="12.9">
      <c r="A50" s="24"/>
      <c r="B50" s="70"/>
      <c r="C50" s="24"/>
      <c r="D50" s="24"/>
      <c r="E50" s="24"/>
      <c r="F50" s="117"/>
      <c r="G50" s="117"/>
      <c r="H50" s="24"/>
      <c r="I50" s="24"/>
      <c r="J50" s="24"/>
      <c r="K50" s="24"/>
      <c r="L50" s="24"/>
      <c r="M50" s="24"/>
      <c r="N50" s="24"/>
      <c r="O50" s="24"/>
      <c r="P50" s="24"/>
      <c r="Q50" s="24"/>
      <c r="R50" s="24"/>
      <c r="S50" s="24"/>
      <c r="T50" s="24"/>
      <c r="U50" s="24"/>
      <c r="V50" s="24"/>
      <c r="W50" s="24"/>
      <c r="X50" s="24"/>
      <c r="Y50" s="24"/>
      <c r="Z50" s="24"/>
      <c r="AA50" s="24"/>
      <c r="AB50" s="24"/>
      <c r="AC50" s="24"/>
    </row>
    <row r="51" spans="1:29" ht="12.9">
      <c r="A51" s="24"/>
      <c r="B51" s="70"/>
      <c r="C51" s="24"/>
      <c r="D51" s="24"/>
      <c r="E51" s="24"/>
      <c r="F51" s="117"/>
      <c r="G51" s="117"/>
      <c r="H51" s="24"/>
      <c r="I51" s="24"/>
      <c r="J51" s="24"/>
      <c r="K51" s="24"/>
      <c r="L51" s="24"/>
      <c r="M51" s="24"/>
      <c r="N51" s="24"/>
      <c r="O51" s="24"/>
      <c r="P51" s="24"/>
      <c r="Q51" s="24"/>
      <c r="R51" s="24"/>
      <c r="S51" s="24"/>
      <c r="T51" s="24"/>
      <c r="U51" s="24"/>
      <c r="V51" s="24"/>
      <c r="W51" s="24"/>
      <c r="X51" s="24"/>
      <c r="Y51" s="24"/>
      <c r="Z51" s="24"/>
      <c r="AA51" s="24"/>
      <c r="AB51" s="24"/>
      <c r="AC51" s="24"/>
    </row>
    <row r="52" spans="1:29" ht="12.9">
      <c r="A52" s="24"/>
      <c r="B52" s="70"/>
      <c r="C52" s="24"/>
      <c r="D52" s="24"/>
      <c r="E52" s="24"/>
      <c r="F52" s="117"/>
      <c r="G52" s="117"/>
      <c r="H52" s="24"/>
      <c r="I52" s="24"/>
      <c r="J52" s="24"/>
      <c r="K52" s="24"/>
      <c r="L52" s="24"/>
      <c r="M52" s="24"/>
      <c r="N52" s="24"/>
      <c r="O52" s="24"/>
      <c r="P52" s="24"/>
      <c r="Q52" s="24"/>
      <c r="R52" s="24"/>
      <c r="S52" s="24"/>
      <c r="T52" s="24"/>
      <c r="U52" s="24"/>
      <c r="V52" s="24"/>
      <c r="W52" s="24"/>
      <c r="X52" s="24"/>
      <c r="Y52" s="24"/>
      <c r="Z52" s="24"/>
      <c r="AA52" s="24"/>
      <c r="AB52" s="24"/>
      <c r="AC52" s="24"/>
    </row>
    <row r="53" spans="1:29" ht="12.9">
      <c r="A53" s="24"/>
      <c r="B53" s="70"/>
      <c r="C53" s="24"/>
      <c r="D53" s="24"/>
      <c r="E53" s="24"/>
      <c r="F53" s="117"/>
      <c r="G53" s="117"/>
      <c r="H53" s="24"/>
      <c r="I53" s="24"/>
      <c r="J53" s="24"/>
      <c r="K53" s="24"/>
      <c r="L53" s="24"/>
      <c r="M53" s="24"/>
      <c r="N53" s="24"/>
      <c r="O53" s="24"/>
      <c r="P53" s="24"/>
      <c r="Q53" s="24"/>
      <c r="R53" s="24"/>
      <c r="S53" s="24"/>
      <c r="T53" s="24"/>
      <c r="U53" s="24"/>
      <c r="V53" s="24"/>
      <c r="W53" s="24"/>
      <c r="X53" s="24"/>
      <c r="Y53" s="24"/>
      <c r="Z53" s="24"/>
      <c r="AA53" s="24"/>
      <c r="AB53" s="24"/>
      <c r="AC53" s="24"/>
    </row>
    <row r="54" spans="1:29" ht="12.9">
      <c r="A54" s="24"/>
      <c r="B54" s="70"/>
      <c r="C54" s="24"/>
      <c r="D54" s="24"/>
      <c r="E54" s="24"/>
      <c r="F54" s="117"/>
      <c r="G54" s="117"/>
      <c r="H54" s="24"/>
      <c r="I54" s="24"/>
      <c r="J54" s="24"/>
      <c r="K54" s="24"/>
      <c r="L54" s="24"/>
      <c r="M54" s="24"/>
      <c r="N54" s="24"/>
      <c r="O54" s="24"/>
      <c r="P54" s="24"/>
      <c r="Q54" s="24"/>
      <c r="R54" s="24"/>
      <c r="S54" s="24"/>
      <c r="T54" s="24"/>
      <c r="U54" s="24"/>
      <c r="V54" s="24"/>
      <c r="W54" s="24"/>
      <c r="X54" s="24"/>
      <c r="Y54" s="24"/>
      <c r="Z54" s="24"/>
      <c r="AA54" s="24"/>
      <c r="AB54" s="24"/>
      <c r="AC54" s="24"/>
    </row>
    <row r="55" spans="1:29" ht="12.9">
      <c r="A55" s="24"/>
      <c r="B55" s="70"/>
      <c r="C55" s="24"/>
      <c r="D55" s="24"/>
      <c r="E55" s="24"/>
      <c r="F55" s="117"/>
      <c r="G55" s="117"/>
      <c r="H55" s="24"/>
      <c r="I55" s="24"/>
      <c r="J55" s="24"/>
      <c r="K55" s="24"/>
      <c r="L55" s="24"/>
      <c r="M55" s="24"/>
      <c r="N55" s="24"/>
      <c r="O55" s="24"/>
      <c r="P55" s="24"/>
      <c r="Q55" s="24"/>
      <c r="R55" s="24"/>
      <c r="S55" s="24"/>
      <c r="T55" s="24"/>
      <c r="U55" s="24"/>
      <c r="V55" s="24"/>
      <c r="W55" s="24"/>
      <c r="X55" s="24"/>
      <c r="Y55" s="24"/>
      <c r="Z55" s="24"/>
      <c r="AA55" s="24"/>
      <c r="AB55" s="24"/>
      <c r="AC55" s="24"/>
    </row>
    <row r="56" spans="1:29" ht="12.9">
      <c r="A56" s="24"/>
      <c r="B56" s="70"/>
      <c r="C56" s="24"/>
      <c r="D56" s="24"/>
      <c r="E56" s="24"/>
      <c r="F56" s="117"/>
      <c r="G56" s="117"/>
      <c r="H56" s="24"/>
      <c r="I56" s="24"/>
      <c r="J56" s="24"/>
      <c r="K56" s="24"/>
      <c r="L56" s="24"/>
      <c r="M56" s="24"/>
      <c r="N56" s="24"/>
      <c r="O56" s="24"/>
      <c r="P56" s="24"/>
      <c r="Q56" s="24"/>
      <c r="R56" s="24"/>
      <c r="S56" s="24"/>
      <c r="T56" s="24"/>
      <c r="U56" s="24"/>
      <c r="V56" s="24"/>
      <c r="W56" s="24"/>
      <c r="X56" s="24"/>
      <c r="Y56" s="24"/>
      <c r="Z56" s="24"/>
      <c r="AA56" s="24"/>
      <c r="AB56" s="24"/>
      <c r="AC56" s="24"/>
    </row>
    <row r="57" spans="1:29" ht="12.9">
      <c r="A57" s="24"/>
      <c r="B57" s="70"/>
      <c r="C57" s="24"/>
      <c r="D57" s="24"/>
      <c r="E57" s="24"/>
      <c r="F57" s="117"/>
      <c r="G57" s="117"/>
      <c r="H57" s="24"/>
      <c r="I57" s="24"/>
      <c r="J57" s="24"/>
      <c r="K57" s="24"/>
      <c r="L57" s="24"/>
      <c r="M57" s="24"/>
      <c r="N57" s="24"/>
      <c r="O57" s="24"/>
      <c r="P57" s="24"/>
      <c r="Q57" s="24"/>
      <c r="R57" s="24"/>
      <c r="S57" s="24"/>
      <c r="T57" s="24"/>
      <c r="U57" s="24"/>
      <c r="V57" s="24"/>
      <c r="W57" s="24"/>
      <c r="X57" s="24"/>
      <c r="Y57" s="24"/>
      <c r="Z57" s="24"/>
      <c r="AA57" s="24"/>
      <c r="AB57" s="24"/>
      <c r="AC57" s="24"/>
    </row>
    <row r="58" spans="1:29" ht="12.9">
      <c r="A58" s="24"/>
      <c r="B58" s="70"/>
      <c r="C58" s="24"/>
      <c r="D58" s="24"/>
      <c r="E58" s="24"/>
      <c r="F58" s="117"/>
      <c r="G58" s="117"/>
      <c r="H58" s="24"/>
      <c r="I58" s="24"/>
      <c r="J58" s="24"/>
      <c r="K58" s="24"/>
      <c r="L58" s="24"/>
      <c r="M58" s="24"/>
      <c r="N58" s="24"/>
      <c r="O58" s="24"/>
      <c r="P58" s="24"/>
      <c r="Q58" s="24"/>
      <c r="R58" s="24"/>
      <c r="S58" s="24"/>
      <c r="T58" s="24"/>
      <c r="U58" s="24"/>
      <c r="V58" s="24"/>
      <c r="W58" s="24"/>
      <c r="X58" s="24"/>
      <c r="Y58" s="24"/>
      <c r="Z58" s="24"/>
      <c r="AA58" s="24"/>
      <c r="AB58" s="24"/>
      <c r="AC58" s="24"/>
    </row>
    <row r="59" spans="1:29" ht="12.9">
      <c r="A59" s="24"/>
      <c r="B59" s="70"/>
      <c r="C59" s="24"/>
      <c r="D59" s="24"/>
      <c r="E59" s="24"/>
      <c r="F59" s="117"/>
      <c r="G59" s="117"/>
      <c r="H59" s="24"/>
      <c r="I59" s="24"/>
      <c r="J59" s="24"/>
      <c r="K59" s="24"/>
      <c r="L59" s="24"/>
      <c r="M59" s="24"/>
      <c r="N59" s="24"/>
      <c r="O59" s="24"/>
      <c r="P59" s="24"/>
      <c r="Q59" s="24"/>
      <c r="R59" s="24"/>
      <c r="S59" s="24"/>
      <c r="T59" s="24"/>
      <c r="U59" s="24"/>
      <c r="V59" s="24"/>
      <c r="W59" s="24"/>
      <c r="X59" s="24"/>
      <c r="Y59" s="24"/>
      <c r="Z59" s="24"/>
      <c r="AA59" s="24"/>
      <c r="AB59" s="24"/>
      <c r="AC59" s="24"/>
    </row>
    <row r="60" spans="1:29" ht="12.9">
      <c r="A60" s="24"/>
      <c r="B60" s="70"/>
      <c r="C60" s="24"/>
      <c r="D60" s="24"/>
      <c r="E60" s="24"/>
      <c r="F60" s="117"/>
      <c r="G60" s="117"/>
      <c r="H60" s="24"/>
      <c r="I60" s="24"/>
      <c r="J60" s="24"/>
      <c r="K60" s="24"/>
      <c r="L60" s="24"/>
      <c r="M60" s="24"/>
      <c r="N60" s="24"/>
      <c r="O60" s="24"/>
      <c r="P60" s="24"/>
      <c r="Q60" s="24"/>
      <c r="R60" s="24"/>
      <c r="S60" s="24"/>
      <c r="T60" s="24"/>
      <c r="U60" s="24"/>
      <c r="V60" s="24"/>
      <c r="W60" s="24"/>
      <c r="X60" s="24"/>
      <c r="Y60" s="24"/>
      <c r="Z60" s="24"/>
      <c r="AA60" s="24"/>
      <c r="AB60" s="24"/>
      <c r="AC60" s="24"/>
    </row>
    <row r="61" spans="1:29" ht="12.9">
      <c r="A61" s="24"/>
      <c r="B61" s="70"/>
      <c r="C61" s="24"/>
      <c r="D61" s="24"/>
      <c r="E61" s="24"/>
      <c r="F61" s="117"/>
      <c r="G61" s="117"/>
      <c r="H61" s="24"/>
      <c r="I61" s="24"/>
      <c r="J61" s="24"/>
      <c r="K61" s="24"/>
      <c r="L61" s="24"/>
      <c r="M61" s="24"/>
      <c r="N61" s="24"/>
      <c r="O61" s="24"/>
      <c r="P61" s="24"/>
      <c r="Q61" s="24"/>
      <c r="R61" s="24"/>
      <c r="S61" s="24"/>
      <c r="T61" s="24"/>
      <c r="U61" s="24"/>
      <c r="V61" s="24"/>
      <c r="W61" s="24"/>
      <c r="X61" s="24"/>
      <c r="Y61" s="24"/>
      <c r="Z61" s="24"/>
      <c r="AA61" s="24"/>
      <c r="AB61" s="24"/>
      <c r="AC61" s="24"/>
    </row>
    <row r="62" spans="1:29" ht="12.9">
      <c r="A62" s="24"/>
      <c r="B62" s="70"/>
      <c r="C62" s="24"/>
      <c r="D62" s="24"/>
      <c r="E62" s="24"/>
      <c r="F62" s="117"/>
      <c r="G62" s="117"/>
      <c r="H62" s="24"/>
      <c r="I62" s="24"/>
      <c r="J62" s="24"/>
      <c r="K62" s="24"/>
      <c r="L62" s="24"/>
      <c r="M62" s="24"/>
      <c r="N62" s="24"/>
      <c r="O62" s="24"/>
      <c r="P62" s="24"/>
      <c r="Q62" s="24"/>
      <c r="R62" s="24"/>
      <c r="S62" s="24"/>
      <c r="T62" s="24"/>
      <c r="U62" s="24"/>
      <c r="V62" s="24"/>
      <c r="W62" s="24"/>
      <c r="X62" s="24"/>
      <c r="Y62" s="24"/>
      <c r="Z62" s="24"/>
      <c r="AA62" s="24"/>
      <c r="AB62" s="24"/>
      <c r="AC62" s="24"/>
    </row>
    <row r="63" spans="1:29" ht="12.9">
      <c r="A63" s="24"/>
      <c r="B63" s="70"/>
      <c r="C63" s="24"/>
      <c r="D63" s="24"/>
      <c r="E63" s="24"/>
      <c r="F63" s="117"/>
      <c r="G63" s="117"/>
      <c r="H63" s="24"/>
      <c r="I63" s="24"/>
      <c r="J63" s="24"/>
      <c r="K63" s="24"/>
      <c r="L63" s="24"/>
      <c r="M63" s="24"/>
      <c r="N63" s="24"/>
      <c r="O63" s="24"/>
      <c r="P63" s="24"/>
      <c r="Q63" s="24"/>
      <c r="R63" s="24"/>
      <c r="S63" s="24"/>
      <c r="T63" s="24"/>
      <c r="U63" s="24"/>
      <c r="V63" s="24"/>
      <c r="W63" s="24"/>
      <c r="X63" s="24"/>
      <c r="Y63" s="24"/>
      <c r="Z63" s="24"/>
      <c r="AA63" s="24"/>
      <c r="AB63" s="24"/>
      <c r="AC63" s="24"/>
    </row>
    <row r="64" spans="1:29" ht="12.9">
      <c r="A64" s="24"/>
      <c r="B64" s="70"/>
      <c r="C64" s="24"/>
      <c r="D64" s="24"/>
      <c r="E64" s="24"/>
      <c r="F64" s="117"/>
      <c r="G64" s="117"/>
      <c r="H64" s="24"/>
      <c r="I64" s="24"/>
      <c r="J64" s="24"/>
      <c r="K64" s="24"/>
      <c r="L64" s="24"/>
      <c r="M64" s="24"/>
      <c r="N64" s="24"/>
      <c r="O64" s="24"/>
      <c r="P64" s="24"/>
      <c r="Q64" s="24"/>
      <c r="R64" s="24"/>
      <c r="S64" s="24"/>
      <c r="T64" s="24"/>
      <c r="U64" s="24"/>
      <c r="V64" s="24"/>
      <c r="W64" s="24"/>
      <c r="X64" s="24"/>
      <c r="Y64" s="24"/>
      <c r="Z64" s="24"/>
      <c r="AA64" s="24"/>
      <c r="AB64" s="24"/>
      <c r="AC64" s="24"/>
    </row>
    <row r="65" spans="1:29" ht="12.9">
      <c r="A65" s="24"/>
      <c r="B65" s="70"/>
      <c r="C65" s="24"/>
      <c r="D65" s="24"/>
      <c r="E65" s="24"/>
      <c r="F65" s="117"/>
      <c r="G65" s="117"/>
      <c r="H65" s="24"/>
      <c r="I65" s="24"/>
      <c r="J65" s="24"/>
      <c r="K65" s="24"/>
      <c r="L65" s="24"/>
      <c r="M65" s="24"/>
      <c r="N65" s="24"/>
      <c r="O65" s="24"/>
      <c r="P65" s="24"/>
      <c r="Q65" s="24"/>
      <c r="R65" s="24"/>
      <c r="S65" s="24"/>
      <c r="T65" s="24"/>
      <c r="U65" s="24"/>
      <c r="V65" s="24"/>
      <c r="W65" s="24"/>
      <c r="X65" s="24"/>
      <c r="Y65" s="24"/>
      <c r="Z65" s="24"/>
      <c r="AA65" s="24"/>
      <c r="AB65" s="24"/>
      <c r="AC65" s="24"/>
    </row>
    <row r="66" spans="1:29" ht="12.9">
      <c r="A66" s="24"/>
      <c r="B66" s="70"/>
      <c r="C66" s="24"/>
      <c r="D66" s="24"/>
      <c r="E66" s="24"/>
      <c r="F66" s="117"/>
      <c r="G66" s="117"/>
      <c r="H66" s="24"/>
      <c r="I66" s="24"/>
      <c r="J66" s="24"/>
      <c r="K66" s="24"/>
      <c r="L66" s="24"/>
      <c r="M66" s="24"/>
      <c r="N66" s="24"/>
      <c r="O66" s="24"/>
      <c r="P66" s="24"/>
      <c r="Q66" s="24"/>
      <c r="R66" s="24"/>
      <c r="S66" s="24"/>
      <c r="T66" s="24"/>
      <c r="U66" s="24"/>
      <c r="V66" s="24"/>
      <c r="W66" s="24"/>
      <c r="X66" s="24"/>
      <c r="Y66" s="24"/>
      <c r="Z66" s="24"/>
      <c r="AA66" s="24"/>
      <c r="AB66" s="24"/>
      <c r="AC66" s="24"/>
    </row>
    <row r="67" spans="1:29" ht="12.9">
      <c r="A67" s="24"/>
      <c r="B67" s="70"/>
      <c r="C67" s="24"/>
      <c r="D67" s="24"/>
      <c r="E67" s="24"/>
      <c r="F67" s="117"/>
      <c r="G67" s="117"/>
      <c r="H67" s="24"/>
      <c r="I67" s="24"/>
      <c r="J67" s="24"/>
      <c r="K67" s="24"/>
      <c r="L67" s="24"/>
      <c r="M67" s="24"/>
      <c r="N67" s="24"/>
      <c r="O67" s="24"/>
      <c r="P67" s="24"/>
      <c r="Q67" s="24"/>
      <c r="R67" s="24"/>
      <c r="S67" s="24"/>
      <c r="T67" s="24"/>
      <c r="U67" s="24"/>
      <c r="V67" s="24"/>
      <c r="W67" s="24"/>
      <c r="X67" s="24"/>
      <c r="Y67" s="24"/>
      <c r="Z67" s="24"/>
      <c r="AA67" s="24"/>
      <c r="AB67" s="24"/>
      <c r="AC67" s="24"/>
    </row>
    <row r="68" spans="1:29" ht="12.9">
      <c r="A68" s="24"/>
      <c r="B68" s="70"/>
      <c r="C68" s="24"/>
      <c r="D68" s="24"/>
      <c r="E68" s="24"/>
      <c r="F68" s="117"/>
      <c r="G68" s="117"/>
      <c r="H68" s="24"/>
      <c r="I68" s="24"/>
      <c r="J68" s="24"/>
      <c r="K68" s="24"/>
      <c r="L68" s="24"/>
      <c r="M68" s="24"/>
      <c r="N68" s="24"/>
      <c r="O68" s="24"/>
      <c r="P68" s="24"/>
      <c r="Q68" s="24"/>
      <c r="R68" s="24"/>
      <c r="S68" s="24"/>
      <c r="T68" s="24"/>
      <c r="U68" s="24"/>
      <c r="V68" s="24"/>
      <c r="W68" s="24"/>
      <c r="X68" s="24"/>
      <c r="Y68" s="24"/>
      <c r="Z68" s="24"/>
      <c r="AA68" s="24"/>
      <c r="AB68" s="24"/>
      <c r="AC68" s="24"/>
    </row>
    <row r="69" spans="1:29" ht="12.9">
      <c r="A69" s="24"/>
      <c r="B69" s="70"/>
      <c r="C69" s="24"/>
      <c r="D69" s="24"/>
      <c r="E69" s="24"/>
      <c r="F69" s="117"/>
      <c r="G69" s="117"/>
      <c r="H69" s="24"/>
      <c r="I69" s="24"/>
      <c r="J69" s="24"/>
      <c r="K69" s="24"/>
      <c r="L69" s="24"/>
      <c r="M69" s="24"/>
      <c r="N69" s="24"/>
      <c r="O69" s="24"/>
      <c r="P69" s="24"/>
      <c r="Q69" s="24"/>
      <c r="R69" s="24"/>
      <c r="S69" s="24"/>
      <c r="T69" s="24"/>
      <c r="U69" s="24"/>
      <c r="V69" s="24"/>
      <c r="W69" s="24"/>
      <c r="X69" s="24"/>
      <c r="Y69" s="24"/>
      <c r="Z69" s="24"/>
      <c r="AA69" s="24"/>
      <c r="AB69" s="24"/>
      <c r="AC69" s="24"/>
    </row>
    <row r="70" spans="1:29" ht="12.9">
      <c r="A70" s="24"/>
      <c r="B70" s="70"/>
      <c r="C70" s="24"/>
      <c r="D70" s="24"/>
      <c r="E70" s="24"/>
      <c r="F70" s="117"/>
      <c r="G70" s="117"/>
      <c r="H70" s="24"/>
      <c r="I70" s="24"/>
      <c r="J70" s="24"/>
      <c r="K70" s="24"/>
      <c r="L70" s="24"/>
      <c r="M70" s="24"/>
      <c r="N70" s="24"/>
      <c r="O70" s="24"/>
      <c r="P70" s="24"/>
      <c r="Q70" s="24"/>
      <c r="R70" s="24"/>
      <c r="S70" s="24"/>
      <c r="T70" s="24"/>
      <c r="U70" s="24"/>
      <c r="V70" s="24"/>
      <c r="W70" s="24"/>
      <c r="X70" s="24"/>
      <c r="Y70" s="24"/>
      <c r="Z70" s="24"/>
      <c r="AA70" s="24"/>
      <c r="AB70" s="24"/>
      <c r="AC70" s="24"/>
    </row>
    <row r="71" spans="1:29" ht="12.9">
      <c r="A71" s="24"/>
      <c r="B71" s="70"/>
      <c r="C71" s="24"/>
      <c r="D71" s="24"/>
      <c r="E71" s="24"/>
      <c r="F71" s="117"/>
      <c r="G71" s="117"/>
      <c r="H71" s="24"/>
      <c r="I71" s="24"/>
      <c r="J71" s="24"/>
      <c r="K71" s="24"/>
      <c r="L71" s="24"/>
      <c r="M71" s="24"/>
      <c r="N71" s="24"/>
      <c r="O71" s="24"/>
      <c r="P71" s="24"/>
      <c r="Q71" s="24"/>
      <c r="R71" s="24"/>
      <c r="S71" s="24"/>
      <c r="T71" s="24"/>
      <c r="U71" s="24"/>
      <c r="V71" s="24"/>
      <c r="W71" s="24"/>
      <c r="X71" s="24"/>
      <c r="Y71" s="24"/>
      <c r="Z71" s="24"/>
      <c r="AA71" s="24"/>
      <c r="AB71" s="24"/>
      <c r="AC71" s="24"/>
    </row>
    <row r="72" spans="1:29" ht="12.9">
      <c r="A72" s="24"/>
      <c r="B72" s="70"/>
      <c r="C72" s="24"/>
      <c r="D72" s="24"/>
      <c r="E72" s="24"/>
      <c r="F72" s="117"/>
      <c r="G72" s="117"/>
      <c r="H72" s="24"/>
      <c r="I72" s="24"/>
      <c r="J72" s="24"/>
      <c r="K72" s="24"/>
      <c r="L72" s="24"/>
      <c r="M72" s="24"/>
      <c r="N72" s="24"/>
      <c r="O72" s="24"/>
      <c r="P72" s="24"/>
      <c r="Q72" s="24"/>
      <c r="R72" s="24"/>
      <c r="S72" s="24"/>
      <c r="T72" s="24"/>
      <c r="U72" s="24"/>
      <c r="V72" s="24"/>
      <c r="W72" s="24"/>
      <c r="X72" s="24"/>
      <c r="Y72" s="24"/>
      <c r="Z72" s="24"/>
      <c r="AA72" s="24"/>
      <c r="AB72" s="24"/>
      <c r="AC72" s="24"/>
    </row>
    <row r="73" spans="1:29" ht="12.9">
      <c r="A73" s="24"/>
      <c r="B73" s="70"/>
      <c r="C73" s="24"/>
      <c r="D73" s="24"/>
      <c r="E73" s="24"/>
      <c r="F73" s="117"/>
      <c r="G73" s="117"/>
      <c r="H73" s="24"/>
      <c r="I73" s="24"/>
      <c r="J73" s="24"/>
      <c r="K73" s="24"/>
      <c r="L73" s="24"/>
      <c r="M73" s="24"/>
      <c r="N73" s="24"/>
      <c r="O73" s="24"/>
      <c r="P73" s="24"/>
      <c r="Q73" s="24"/>
      <c r="R73" s="24"/>
      <c r="S73" s="24"/>
      <c r="T73" s="24"/>
      <c r="U73" s="24"/>
      <c r="V73" s="24"/>
      <c r="W73" s="24"/>
      <c r="X73" s="24"/>
      <c r="Y73" s="24"/>
      <c r="Z73" s="24"/>
      <c r="AA73" s="24"/>
      <c r="AB73" s="24"/>
      <c r="AC73" s="24"/>
    </row>
    <row r="74" spans="1:29" ht="12.9">
      <c r="A74" s="24"/>
      <c r="B74" s="70"/>
      <c r="C74" s="24"/>
      <c r="D74" s="24"/>
      <c r="E74" s="24"/>
      <c r="F74" s="117"/>
      <c r="G74" s="117"/>
      <c r="H74" s="24"/>
      <c r="I74" s="24"/>
      <c r="J74" s="24"/>
      <c r="K74" s="24"/>
      <c r="L74" s="24"/>
      <c r="M74" s="24"/>
      <c r="N74" s="24"/>
      <c r="O74" s="24"/>
      <c r="P74" s="24"/>
      <c r="Q74" s="24"/>
      <c r="R74" s="24"/>
      <c r="S74" s="24"/>
      <c r="T74" s="24"/>
      <c r="U74" s="24"/>
      <c r="V74" s="24"/>
      <c r="W74" s="24"/>
      <c r="X74" s="24"/>
      <c r="Y74" s="24"/>
      <c r="Z74" s="24"/>
      <c r="AA74" s="24"/>
      <c r="AB74" s="24"/>
      <c r="AC74" s="24"/>
    </row>
    <row r="75" spans="1:29" ht="12.9">
      <c r="A75" s="24"/>
      <c r="B75" s="70"/>
      <c r="C75" s="24"/>
      <c r="D75" s="24"/>
      <c r="E75" s="24"/>
      <c r="F75" s="117"/>
      <c r="G75" s="117"/>
      <c r="H75" s="24"/>
      <c r="I75" s="24"/>
      <c r="J75" s="24"/>
      <c r="K75" s="24"/>
      <c r="L75" s="24"/>
      <c r="M75" s="24"/>
      <c r="N75" s="24"/>
      <c r="O75" s="24"/>
      <c r="P75" s="24"/>
      <c r="Q75" s="24"/>
      <c r="R75" s="24"/>
      <c r="S75" s="24"/>
      <c r="T75" s="24"/>
      <c r="U75" s="24"/>
      <c r="V75" s="24"/>
      <c r="W75" s="24"/>
      <c r="X75" s="24"/>
      <c r="Y75" s="24"/>
      <c r="Z75" s="24"/>
      <c r="AA75" s="24"/>
      <c r="AB75" s="24"/>
      <c r="AC75" s="24"/>
    </row>
    <row r="76" spans="1:29" ht="12.9">
      <c r="A76" s="24"/>
      <c r="B76" s="70"/>
      <c r="C76" s="24"/>
      <c r="D76" s="24"/>
      <c r="E76" s="24"/>
      <c r="F76" s="117"/>
      <c r="G76" s="117"/>
      <c r="H76" s="24"/>
      <c r="I76" s="24"/>
      <c r="J76" s="24"/>
      <c r="K76" s="24"/>
      <c r="L76" s="24"/>
      <c r="M76" s="24"/>
      <c r="N76" s="24"/>
      <c r="O76" s="24"/>
      <c r="P76" s="24"/>
      <c r="Q76" s="24"/>
      <c r="R76" s="24"/>
      <c r="S76" s="24"/>
      <c r="T76" s="24"/>
      <c r="U76" s="24"/>
      <c r="V76" s="24"/>
      <c r="W76" s="24"/>
      <c r="X76" s="24"/>
      <c r="Y76" s="24"/>
      <c r="Z76" s="24"/>
      <c r="AA76" s="24"/>
      <c r="AB76" s="24"/>
      <c r="AC76" s="24"/>
    </row>
    <row r="77" spans="1:29" ht="12.9">
      <c r="A77" s="24"/>
      <c r="B77" s="70"/>
      <c r="C77" s="24"/>
      <c r="D77" s="24"/>
      <c r="E77" s="24"/>
      <c r="F77" s="117"/>
      <c r="G77" s="117"/>
      <c r="H77" s="24"/>
      <c r="I77" s="24"/>
      <c r="J77" s="24"/>
      <c r="K77" s="24"/>
      <c r="L77" s="24"/>
      <c r="M77" s="24"/>
      <c r="N77" s="24"/>
      <c r="O77" s="24"/>
      <c r="P77" s="24"/>
      <c r="Q77" s="24"/>
      <c r="R77" s="24"/>
      <c r="S77" s="24"/>
      <c r="T77" s="24"/>
      <c r="U77" s="24"/>
      <c r="V77" s="24"/>
      <c r="W77" s="24"/>
      <c r="X77" s="24"/>
      <c r="Y77" s="24"/>
      <c r="Z77" s="24"/>
      <c r="AA77" s="24"/>
      <c r="AB77" s="24"/>
      <c r="AC77" s="24"/>
    </row>
    <row r="78" spans="1:29" ht="12.9">
      <c r="A78" s="24"/>
      <c r="B78" s="70"/>
      <c r="C78" s="24"/>
      <c r="D78" s="24"/>
      <c r="E78" s="24"/>
      <c r="F78" s="117"/>
      <c r="G78" s="117"/>
      <c r="H78" s="24"/>
      <c r="I78" s="24"/>
      <c r="J78" s="24"/>
      <c r="K78" s="24"/>
      <c r="L78" s="24"/>
      <c r="M78" s="24"/>
      <c r="N78" s="24"/>
      <c r="O78" s="24"/>
      <c r="P78" s="24"/>
      <c r="Q78" s="24"/>
      <c r="R78" s="24"/>
      <c r="S78" s="24"/>
      <c r="T78" s="24"/>
      <c r="U78" s="24"/>
      <c r="V78" s="24"/>
      <c r="W78" s="24"/>
      <c r="X78" s="24"/>
      <c r="Y78" s="24"/>
      <c r="Z78" s="24"/>
      <c r="AA78" s="24"/>
      <c r="AB78" s="24"/>
      <c r="AC78" s="24"/>
    </row>
    <row r="79" spans="1:29" ht="12.9">
      <c r="A79" s="24"/>
      <c r="B79" s="70"/>
      <c r="C79" s="24"/>
      <c r="D79" s="24"/>
      <c r="E79" s="24"/>
      <c r="F79" s="117"/>
      <c r="G79" s="117"/>
      <c r="H79" s="24"/>
      <c r="I79" s="24"/>
      <c r="J79" s="24"/>
      <c r="K79" s="24"/>
      <c r="L79" s="24"/>
      <c r="M79" s="24"/>
      <c r="N79" s="24"/>
      <c r="O79" s="24"/>
      <c r="P79" s="24"/>
      <c r="Q79" s="24"/>
      <c r="R79" s="24"/>
      <c r="S79" s="24"/>
      <c r="T79" s="24"/>
      <c r="U79" s="24"/>
      <c r="V79" s="24"/>
      <c r="W79" s="24"/>
      <c r="X79" s="24"/>
      <c r="Y79" s="24"/>
      <c r="Z79" s="24"/>
      <c r="AA79" s="24"/>
      <c r="AB79" s="24"/>
      <c r="AC79" s="24"/>
    </row>
    <row r="80" spans="1:29" ht="12.9">
      <c r="A80" s="24"/>
      <c r="B80" s="70"/>
      <c r="C80" s="24"/>
      <c r="D80" s="24"/>
      <c r="E80" s="24"/>
      <c r="F80" s="117"/>
      <c r="G80" s="117"/>
      <c r="H80" s="24"/>
      <c r="I80" s="24"/>
      <c r="J80" s="24"/>
      <c r="K80" s="24"/>
      <c r="L80" s="24"/>
      <c r="M80" s="24"/>
      <c r="N80" s="24"/>
      <c r="O80" s="24"/>
      <c r="P80" s="24"/>
      <c r="Q80" s="24"/>
      <c r="R80" s="24"/>
      <c r="S80" s="24"/>
      <c r="T80" s="24"/>
      <c r="U80" s="24"/>
      <c r="V80" s="24"/>
      <c r="W80" s="24"/>
      <c r="X80" s="24"/>
      <c r="Y80" s="24"/>
      <c r="Z80" s="24"/>
      <c r="AA80" s="24"/>
      <c r="AB80" s="24"/>
      <c r="AC80" s="24"/>
    </row>
    <row r="81" spans="1:29" ht="12.9">
      <c r="A81" s="24"/>
      <c r="B81" s="70"/>
      <c r="C81" s="24"/>
      <c r="D81" s="24"/>
      <c r="E81" s="24"/>
      <c r="F81" s="117"/>
      <c r="G81" s="117"/>
      <c r="H81" s="24"/>
      <c r="I81" s="24"/>
      <c r="J81" s="24"/>
      <c r="K81" s="24"/>
      <c r="L81" s="24"/>
      <c r="M81" s="24"/>
      <c r="N81" s="24"/>
      <c r="O81" s="24"/>
      <c r="P81" s="24"/>
      <c r="Q81" s="24"/>
      <c r="R81" s="24"/>
      <c r="S81" s="24"/>
      <c r="T81" s="24"/>
      <c r="U81" s="24"/>
      <c r="V81" s="24"/>
      <c r="W81" s="24"/>
      <c r="X81" s="24"/>
      <c r="Y81" s="24"/>
      <c r="Z81" s="24"/>
      <c r="AA81" s="24"/>
      <c r="AB81" s="24"/>
      <c r="AC81" s="24"/>
    </row>
    <row r="82" spans="1:29" ht="12.9">
      <c r="A82" s="24"/>
      <c r="B82" s="70"/>
      <c r="C82" s="24"/>
      <c r="D82" s="24"/>
      <c r="E82" s="24"/>
      <c r="F82" s="117"/>
      <c r="G82" s="117"/>
      <c r="H82" s="24"/>
      <c r="I82" s="24"/>
      <c r="J82" s="24"/>
      <c r="K82" s="24"/>
      <c r="L82" s="24"/>
      <c r="M82" s="24"/>
      <c r="N82" s="24"/>
      <c r="O82" s="24"/>
      <c r="P82" s="24"/>
      <c r="Q82" s="24"/>
      <c r="R82" s="24"/>
      <c r="S82" s="24"/>
      <c r="T82" s="24"/>
      <c r="U82" s="24"/>
      <c r="V82" s="24"/>
      <c r="W82" s="24"/>
      <c r="X82" s="24"/>
      <c r="Y82" s="24"/>
      <c r="Z82" s="24"/>
      <c r="AA82" s="24"/>
      <c r="AB82" s="24"/>
      <c r="AC82" s="24"/>
    </row>
    <row r="83" spans="1:29" ht="12.9">
      <c r="A83" s="24"/>
      <c r="B83" s="70"/>
      <c r="C83" s="24"/>
      <c r="D83" s="24"/>
      <c r="E83" s="24"/>
      <c r="F83" s="117"/>
      <c r="G83" s="117"/>
      <c r="H83" s="24"/>
      <c r="I83" s="24"/>
      <c r="J83" s="24"/>
      <c r="K83" s="24"/>
      <c r="L83" s="24"/>
      <c r="M83" s="24"/>
      <c r="N83" s="24"/>
      <c r="O83" s="24"/>
      <c r="P83" s="24"/>
      <c r="Q83" s="24"/>
      <c r="R83" s="24"/>
      <c r="S83" s="24"/>
      <c r="T83" s="24"/>
      <c r="U83" s="24"/>
      <c r="V83" s="24"/>
      <c r="W83" s="24"/>
      <c r="X83" s="24"/>
      <c r="Y83" s="24"/>
      <c r="Z83" s="24"/>
      <c r="AA83" s="24"/>
      <c r="AB83" s="24"/>
      <c r="AC83" s="24"/>
    </row>
    <row r="84" spans="1:29" ht="12.9">
      <c r="A84" s="24"/>
      <c r="B84" s="70"/>
      <c r="C84" s="24"/>
      <c r="D84" s="24"/>
      <c r="E84" s="24"/>
      <c r="F84" s="117"/>
      <c r="G84" s="117"/>
      <c r="H84" s="24"/>
      <c r="I84" s="24"/>
      <c r="J84" s="24"/>
      <c r="K84" s="24"/>
      <c r="L84" s="24"/>
      <c r="M84" s="24"/>
      <c r="N84" s="24"/>
      <c r="O84" s="24"/>
      <c r="P84" s="24"/>
      <c r="Q84" s="24"/>
      <c r="R84" s="24"/>
      <c r="S84" s="24"/>
      <c r="T84" s="24"/>
      <c r="U84" s="24"/>
      <c r="V84" s="24"/>
      <c r="W84" s="24"/>
      <c r="X84" s="24"/>
      <c r="Y84" s="24"/>
      <c r="Z84" s="24"/>
      <c r="AA84" s="24"/>
      <c r="AB84" s="24"/>
      <c r="AC84" s="24"/>
    </row>
    <row r="85" spans="1:29" ht="12.9">
      <c r="A85" s="24"/>
      <c r="B85" s="70"/>
      <c r="C85" s="24"/>
      <c r="D85" s="24"/>
      <c r="E85" s="24"/>
      <c r="F85" s="117"/>
      <c r="G85" s="117"/>
      <c r="H85" s="24"/>
      <c r="I85" s="24"/>
      <c r="J85" s="24"/>
      <c r="K85" s="24"/>
      <c r="L85" s="24"/>
      <c r="M85" s="24"/>
      <c r="N85" s="24"/>
      <c r="O85" s="24"/>
      <c r="P85" s="24"/>
      <c r="Q85" s="24"/>
      <c r="R85" s="24"/>
      <c r="S85" s="24"/>
      <c r="T85" s="24"/>
      <c r="U85" s="24"/>
      <c r="V85" s="24"/>
      <c r="W85" s="24"/>
      <c r="X85" s="24"/>
      <c r="Y85" s="24"/>
      <c r="Z85" s="24"/>
      <c r="AA85" s="24"/>
      <c r="AB85" s="24"/>
      <c r="AC85" s="24"/>
    </row>
    <row r="86" spans="1:29" ht="12.9">
      <c r="A86" s="24"/>
      <c r="B86" s="70"/>
      <c r="C86" s="24"/>
      <c r="D86" s="24"/>
      <c r="E86" s="24"/>
      <c r="F86" s="117"/>
      <c r="G86" s="117"/>
      <c r="H86" s="24"/>
      <c r="I86" s="24"/>
      <c r="J86" s="24"/>
      <c r="K86" s="24"/>
      <c r="L86" s="24"/>
      <c r="M86" s="24"/>
      <c r="N86" s="24"/>
      <c r="O86" s="24"/>
      <c r="P86" s="24"/>
      <c r="Q86" s="24"/>
      <c r="R86" s="24"/>
      <c r="S86" s="24"/>
      <c r="T86" s="24"/>
      <c r="U86" s="24"/>
      <c r="V86" s="24"/>
      <c r="W86" s="24"/>
      <c r="X86" s="24"/>
      <c r="Y86" s="24"/>
      <c r="Z86" s="24"/>
      <c r="AA86" s="24"/>
      <c r="AB86" s="24"/>
      <c r="AC86" s="24"/>
    </row>
    <row r="87" spans="1:29" ht="12.9">
      <c r="A87" s="24"/>
      <c r="B87" s="70"/>
      <c r="C87" s="24"/>
      <c r="D87" s="24"/>
      <c r="E87" s="24"/>
      <c r="F87" s="117"/>
      <c r="G87" s="117"/>
      <c r="H87" s="24"/>
      <c r="I87" s="24"/>
      <c r="J87" s="24"/>
      <c r="K87" s="24"/>
      <c r="L87" s="24"/>
      <c r="M87" s="24"/>
      <c r="N87" s="24"/>
      <c r="O87" s="24"/>
      <c r="P87" s="24"/>
      <c r="Q87" s="24"/>
      <c r="R87" s="24"/>
      <c r="S87" s="24"/>
      <c r="T87" s="24"/>
      <c r="U87" s="24"/>
      <c r="V87" s="24"/>
      <c r="W87" s="24"/>
      <c r="X87" s="24"/>
      <c r="Y87" s="24"/>
      <c r="Z87" s="24"/>
      <c r="AA87" s="24"/>
      <c r="AB87" s="24"/>
      <c r="AC87" s="24"/>
    </row>
    <row r="88" spans="1:29" ht="12.9">
      <c r="A88" s="24"/>
      <c r="B88" s="70"/>
      <c r="C88" s="24"/>
      <c r="D88" s="24"/>
      <c r="E88" s="24"/>
      <c r="F88" s="117"/>
      <c r="G88" s="117"/>
      <c r="H88" s="24"/>
      <c r="I88" s="24"/>
      <c r="J88" s="24"/>
      <c r="K88" s="24"/>
      <c r="L88" s="24"/>
      <c r="M88" s="24"/>
      <c r="N88" s="24"/>
      <c r="O88" s="24"/>
      <c r="P88" s="24"/>
      <c r="Q88" s="24"/>
      <c r="R88" s="24"/>
      <c r="S88" s="24"/>
      <c r="T88" s="24"/>
      <c r="U88" s="24"/>
      <c r="V88" s="24"/>
      <c r="W88" s="24"/>
      <c r="X88" s="24"/>
      <c r="Y88" s="24"/>
      <c r="Z88" s="24"/>
      <c r="AA88" s="24"/>
      <c r="AB88" s="24"/>
      <c r="AC88" s="24"/>
    </row>
    <row r="89" spans="1:29" ht="12.9">
      <c r="A89" s="24"/>
      <c r="B89" s="70"/>
      <c r="C89" s="24"/>
      <c r="D89" s="24"/>
      <c r="E89" s="24"/>
      <c r="F89" s="117"/>
      <c r="G89" s="117"/>
      <c r="H89" s="24"/>
      <c r="I89" s="24"/>
      <c r="J89" s="24"/>
      <c r="K89" s="24"/>
      <c r="L89" s="24"/>
      <c r="M89" s="24"/>
      <c r="N89" s="24"/>
      <c r="O89" s="24"/>
      <c r="P89" s="24"/>
      <c r="Q89" s="24"/>
      <c r="R89" s="24"/>
      <c r="S89" s="24"/>
      <c r="T89" s="24"/>
      <c r="U89" s="24"/>
      <c r="V89" s="24"/>
      <c r="W89" s="24"/>
      <c r="X89" s="24"/>
      <c r="Y89" s="24"/>
      <c r="Z89" s="24"/>
      <c r="AA89" s="24"/>
      <c r="AB89" s="24"/>
      <c r="AC89" s="24"/>
    </row>
    <row r="90" spans="1:29" ht="12.9">
      <c r="A90" s="24"/>
      <c r="B90" s="70"/>
      <c r="C90" s="24"/>
      <c r="D90" s="24"/>
      <c r="E90" s="24"/>
      <c r="F90" s="117"/>
      <c r="G90" s="117"/>
      <c r="H90" s="24"/>
      <c r="I90" s="24"/>
      <c r="J90" s="24"/>
      <c r="K90" s="24"/>
      <c r="L90" s="24"/>
      <c r="M90" s="24"/>
      <c r="N90" s="24"/>
      <c r="O90" s="24"/>
      <c r="P90" s="24"/>
      <c r="Q90" s="24"/>
      <c r="R90" s="24"/>
      <c r="S90" s="24"/>
      <c r="T90" s="24"/>
      <c r="U90" s="24"/>
      <c r="V90" s="24"/>
      <c r="W90" s="24"/>
      <c r="X90" s="24"/>
      <c r="Y90" s="24"/>
      <c r="Z90" s="24"/>
      <c r="AA90" s="24"/>
      <c r="AB90" s="24"/>
      <c r="AC90" s="24"/>
    </row>
    <row r="91" spans="1:29" ht="12.9">
      <c r="A91" s="24"/>
      <c r="B91" s="70"/>
      <c r="C91" s="24"/>
      <c r="D91" s="24"/>
      <c r="E91" s="24"/>
      <c r="F91" s="117"/>
      <c r="G91" s="117"/>
      <c r="H91" s="24"/>
      <c r="I91" s="24"/>
      <c r="J91" s="24"/>
      <c r="K91" s="24"/>
      <c r="L91" s="24"/>
      <c r="M91" s="24"/>
      <c r="N91" s="24"/>
      <c r="O91" s="24"/>
      <c r="P91" s="24"/>
      <c r="Q91" s="24"/>
      <c r="R91" s="24"/>
      <c r="S91" s="24"/>
      <c r="T91" s="24"/>
      <c r="U91" s="24"/>
      <c r="V91" s="24"/>
      <c r="W91" s="24"/>
      <c r="X91" s="24"/>
      <c r="Y91" s="24"/>
      <c r="Z91" s="24"/>
      <c r="AA91" s="24"/>
      <c r="AB91" s="24"/>
      <c r="AC91" s="24"/>
    </row>
    <row r="92" spans="1:29" ht="12.9">
      <c r="A92" s="24"/>
      <c r="B92" s="70"/>
      <c r="C92" s="24"/>
      <c r="D92" s="24"/>
      <c r="E92" s="24"/>
      <c r="F92" s="117"/>
      <c r="G92" s="117"/>
      <c r="H92" s="24"/>
      <c r="I92" s="24"/>
      <c r="J92" s="24"/>
      <c r="K92" s="24"/>
      <c r="L92" s="24"/>
      <c r="M92" s="24"/>
      <c r="N92" s="24"/>
      <c r="O92" s="24"/>
      <c r="P92" s="24"/>
      <c r="Q92" s="24"/>
      <c r="R92" s="24"/>
      <c r="S92" s="24"/>
      <c r="T92" s="24"/>
      <c r="U92" s="24"/>
      <c r="V92" s="24"/>
      <c r="W92" s="24"/>
      <c r="X92" s="24"/>
      <c r="Y92" s="24"/>
      <c r="Z92" s="24"/>
      <c r="AA92" s="24"/>
      <c r="AB92" s="24"/>
      <c r="AC92" s="24"/>
    </row>
    <row r="93" spans="1:29" ht="12.9">
      <c r="A93" s="24"/>
      <c r="B93" s="70"/>
      <c r="C93" s="24"/>
      <c r="D93" s="24"/>
      <c r="E93" s="24"/>
      <c r="F93" s="117"/>
      <c r="G93" s="117"/>
      <c r="H93" s="24"/>
      <c r="I93" s="24"/>
      <c r="J93" s="24"/>
      <c r="K93" s="24"/>
      <c r="L93" s="24"/>
      <c r="M93" s="24"/>
      <c r="N93" s="24"/>
      <c r="O93" s="24"/>
      <c r="P93" s="24"/>
      <c r="Q93" s="24"/>
      <c r="R93" s="24"/>
      <c r="S93" s="24"/>
      <c r="T93" s="24"/>
      <c r="U93" s="24"/>
      <c r="V93" s="24"/>
      <c r="W93" s="24"/>
      <c r="X93" s="24"/>
      <c r="Y93" s="24"/>
      <c r="Z93" s="24"/>
      <c r="AA93" s="24"/>
      <c r="AB93" s="24"/>
      <c r="AC93" s="24"/>
    </row>
    <row r="94" spans="1:29" ht="12.9">
      <c r="A94" s="24"/>
      <c r="B94" s="70"/>
      <c r="C94" s="24"/>
      <c r="D94" s="24"/>
      <c r="E94" s="24"/>
      <c r="F94" s="117"/>
      <c r="G94" s="117"/>
      <c r="H94" s="24"/>
      <c r="I94" s="24"/>
      <c r="J94" s="24"/>
      <c r="K94" s="24"/>
      <c r="L94" s="24"/>
      <c r="M94" s="24"/>
      <c r="N94" s="24"/>
      <c r="O94" s="24"/>
      <c r="P94" s="24"/>
      <c r="Q94" s="24"/>
      <c r="R94" s="24"/>
      <c r="S94" s="24"/>
      <c r="T94" s="24"/>
      <c r="U94" s="24"/>
      <c r="V94" s="24"/>
      <c r="W94" s="24"/>
      <c r="X94" s="24"/>
      <c r="Y94" s="24"/>
      <c r="Z94" s="24"/>
      <c r="AA94" s="24"/>
      <c r="AB94" s="24"/>
      <c r="AC94" s="24"/>
    </row>
    <row r="95" spans="1:29" ht="12.9">
      <c r="A95" s="24"/>
      <c r="B95" s="70"/>
      <c r="C95" s="24"/>
      <c r="D95" s="24"/>
      <c r="E95" s="24"/>
      <c r="F95" s="117"/>
      <c r="G95" s="117"/>
      <c r="H95" s="24"/>
      <c r="I95" s="24"/>
      <c r="J95" s="24"/>
      <c r="K95" s="24"/>
      <c r="L95" s="24"/>
      <c r="M95" s="24"/>
      <c r="N95" s="24"/>
      <c r="O95" s="24"/>
      <c r="P95" s="24"/>
      <c r="Q95" s="24"/>
      <c r="R95" s="24"/>
      <c r="S95" s="24"/>
      <c r="T95" s="24"/>
      <c r="U95" s="24"/>
      <c r="V95" s="24"/>
      <c r="W95" s="24"/>
      <c r="X95" s="24"/>
      <c r="Y95" s="24"/>
      <c r="Z95" s="24"/>
      <c r="AA95" s="24"/>
      <c r="AB95" s="24"/>
      <c r="AC95" s="24"/>
    </row>
    <row r="96" spans="1:29" ht="12.9">
      <c r="A96" s="24"/>
      <c r="B96" s="70"/>
      <c r="C96" s="24"/>
      <c r="D96" s="24"/>
      <c r="E96" s="24"/>
      <c r="F96" s="117"/>
      <c r="G96" s="117"/>
      <c r="H96" s="24"/>
      <c r="I96" s="24"/>
      <c r="J96" s="24"/>
      <c r="K96" s="24"/>
      <c r="L96" s="24"/>
      <c r="M96" s="24"/>
      <c r="N96" s="24"/>
      <c r="O96" s="24"/>
      <c r="P96" s="24"/>
      <c r="Q96" s="24"/>
      <c r="R96" s="24"/>
      <c r="S96" s="24"/>
      <c r="T96" s="24"/>
      <c r="U96" s="24"/>
      <c r="V96" s="24"/>
      <c r="W96" s="24"/>
      <c r="X96" s="24"/>
      <c r="Y96" s="24"/>
      <c r="Z96" s="24"/>
      <c r="AA96" s="24"/>
      <c r="AB96" s="24"/>
      <c r="AC96" s="24"/>
    </row>
    <row r="97" spans="1:29" ht="12.9">
      <c r="A97" s="24"/>
      <c r="B97" s="70"/>
      <c r="C97" s="24"/>
      <c r="D97" s="24"/>
      <c r="E97" s="24"/>
      <c r="F97" s="117"/>
      <c r="G97" s="117"/>
      <c r="H97" s="24"/>
      <c r="I97" s="24"/>
      <c r="J97" s="24"/>
      <c r="K97" s="24"/>
      <c r="L97" s="24"/>
      <c r="M97" s="24"/>
      <c r="N97" s="24"/>
      <c r="O97" s="24"/>
      <c r="P97" s="24"/>
      <c r="Q97" s="24"/>
      <c r="R97" s="24"/>
      <c r="S97" s="24"/>
      <c r="T97" s="24"/>
      <c r="U97" s="24"/>
      <c r="V97" s="24"/>
      <c r="W97" s="24"/>
      <c r="X97" s="24"/>
      <c r="Y97" s="24"/>
      <c r="Z97" s="24"/>
      <c r="AA97" s="24"/>
      <c r="AB97" s="24"/>
      <c r="AC97" s="24"/>
    </row>
    <row r="98" spans="1:29" ht="12.9">
      <c r="A98" s="24"/>
      <c r="B98" s="70"/>
      <c r="C98" s="24"/>
      <c r="D98" s="24"/>
      <c r="E98" s="24"/>
      <c r="F98" s="117"/>
      <c r="G98" s="117"/>
      <c r="H98" s="24"/>
      <c r="I98" s="24"/>
      <c r="J98" s="24"/>
      <c r="K98" s="24"/>
      <c r="L98" s="24"/>
      <c r="M98" s="24"/>
      <c r="N98" s="24"/>
      <c r="O98" s="24"/>
      <c r="P98" s="24"/>
      <c r="Q98" s="24"/>
      <c r="R98" s="24"/>
      <c r="S98" s="24"/>
      <c r="T98" s="24"/>
      <c r="U98" s="24"/>
      <c r="V98" s="24"/>
      <c r="W98" s="24"/>
      <c r="X98" s="24"/>
      <c r="Y98" s="24"/>
      <c r="Z98" s="24"/>
      <c r="AA98" s="24"/>
      <c r="AB98" s="24"/>
      <c r="AC98" s="24"/>
    </row>
    <row r="99" spans="1:29" ht="12.9">
      <c r="A99" s="24"/>
      <c r="B99" s="70"/>
      <c r="C99" s="24"/>
      <c r="D99" s="24"/>
      <c r="E99" s="24"/>
      <c r="F99" s="117"/>
      <c r="G99" s="117"/>
      <c r="H99" s="24"/>
      <c r="I99" s="24"/>
      <c r="J99" s="24"/>
      <c r="K99" s="24"/>
      <c r="L99" s="24"/>
      <c r="M99" s="24"/>
      <c r="N99" s="24"/>
      <c r="O99" s="24"/>
      <c r="P99" s="24"/>
      <c r="Q99" s="24"/>
      <c r="R99" s="24"/>
      <c r="S99" s="24"/>
      <c r="T99" s="24"/>
      <c r="U99" s="24"/>
      <c r="V99" s="24"/>
      <c r="W99" s="24"/>
      <c r="X99" s="24"/>
      <c r="Y99" s="24"/>
      <c r="Z99" s="24"/>
      <c r="AA99" s="24"/>
      <c r="AB99" s="24"/>
      <c r="AC99" s="24"/>
    </row>
    <row r="100" spans="1:29" ht="12.9">
      <c r="A100" s="24"/>
      <c r="B100" s="24"/>
      <c r="C100" s="24"/>
      <c r="D100" s="24"/>
      <c r="E100" s="24"/>
      <c r="F100" s="117"/>
      <c r="G100" s="117"/>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2.9">
      <c r="A101" s="24"/>
      <c r="B101" s="24"/>
      <c r="C101" s="24"/>
      <c r="D101" s="24"/>
      <c r="E101" s="24"/>
      <c r="F101" s="117"/>
      <c r="G101" s="117"/>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2.9">
      <c r="A102" s="24"/>
      <c r="B102" s="24"/>
      <c r="C102" s="24"/>
      <c r="D102" s="24"/>
      <c r="E102" s="24"/>
      <c r="F102" s="117"/>
      <c r="G102" s="117"/>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2.9">
      <c r="A103" s="24"/>
      <c r="B103" s="24"/>
      <c r="C103" s="24"/>
      <c r="D103" s="24"/>
      <c r="E103" s="24"/>
      <c r="F103" s="117"/>
      <c r="G103" s="117"/>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2.9">
      <c r="A104" s="24"/>
      <c r="B104" s="24"/>
      <c r="C104" s="24"/>
      <c r="D104" s="24"/>
      <c r="E104" s="24"/>
      <c r="F104" s="117"/>
      <c r="G104" s="117"/>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2.9">
      <c r="A105" s="24"/>
      <c r="B105" s="24"/>
      <c r="C105" s="24"/>
      <c r="D105" s="24"/>
      <c r="E105" s="24"/>
      <c r="F105" s="117"/>
      <c r="G105" s="117"/>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2.9">
      <c r="A106" s="24"/>
      <c r="B106" s="24"/>
      <c r="C106" s="24"/>
      <c r="D106" s="24"/>
      <c r="E106" s="24"/>
      <c r="F106" s="117"/>
      <c r="G106" s="117"/>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2.9">
      <c r="A107" s="24"/>
      <c r="B107" s="24"/>
      <c r="C107" s="24"/>
      <c r="D107" s="24"/>
      <c r="E107" s="24"/>
      <c r="F107" s="117"/>
      <c r="G107" s="117"/>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2.9">
      <c r="A108" s="24"/>
      <c r="B108" s="24"/>
      <c r="C108" s="24"/>
      <c r="D108" s="24"/>
      <c r="E108" s="24"/>
      <c r="F108" s="117"/>
      <c r="G108" s="117"/>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2.9">
      <c r="A109" s="24"/>
      <c r="B109" s="24"/>
      <c r="C109" s="24"/>
      <c r="D109" s="24"/>
      <c r="E109" s="24"/>
      <c r="F109" s="117"/>
      <c r="G109" s="117"/>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2.9">
      <c r="A110" s="24"/>
      <c r="B110" s="24"/>
      <c r="C110" s="24"/>
      <c r="D110" s="24"/>
      <c r="E110" s="24"/>
      <c r="F110" s="117"/>
      <c r="G110" s="117"/>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2.9">
      <c r="A111" s="24"/>
      <c r="B111" s="24"/>
      <c r="C111" s="24"/>
      <c r="D111" s="24"/>
      <c r="E111" s="24"/>
      <c r="F111" s="117"/>
      <c r="G111" s="117"/>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2.9">
      <c r="A112" s="24"/>
      <c r="B112" s="24"/>
      <c r="C112" s="24"/>
      <c r="D112" s="24"/>
      <c r="E112" s="24"/>
      <c r="F112" s="117"/>
      <c r="G112" s="117"/>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2.9">
      <c r="A113" s="24"/>
      <c r="B113" s="24"/>
      <c r="C113" s="24"/>
      <c r="D113" s="24"/>
      <c r="E113" s="24"/>
      <c r="F113" s="117"/>
      <c r="G113" s="117"/>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2.9">
      <c r="A114" s="24"/>
      <c r="B114" s="24"/>
      <c r="C114" s="24"/>
      <c r="D114" s="24"/>
      <c r="E114" s="24"/>
      <c r="F114" s="117"/>
      <c r="G114" s="117"/>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2.9">
      <c r="A115" s="24"/>
      <c r="B115" s="24"/>
      <c r="C115" s="24"/>
      <c r="D115" s="24"/>
      <c r="E115" s="24"/>
      <c r="F115" s="117"/>
      <c r="G115" s="117"/>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2.9">
      <c r="A116" s="24"/>
      <c r="B116" s="24"/>
      <c r="C116" s="24"/>
      <c r="D116" s="24"/>
      <c r="E116" s="24"/>
      <c r="F116" s="117"/>
      <c r="G116" s="117"/>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2.9">
      <c r="A117" s="24"/>
      <c r="B117" s="24"/>
      <c r="C117" s="24"/>
      <c r="D117" s="24"/>
      <c r="E117" s="24"/>
      <c r="F117" s="117"/>
      <c r="G117" s="117"/>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2.9">
      <c r="A118" s="24"/>
      <c r="B118" s="24"/>
      <c r="C118" s="24"/>
      <c r="D118" s="24"/>
      <c r="E118" s="24"/>
      <c r="F118" s="117"/>
      <c r="G118" s="117"/>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2.9">
      <c r="A119" s="24"/>
      <c r="B119" s="24"/>
      <c r="C119" s="24"/>
      <c r="D119" s="24"/>
      <c r="E119" s="24"/>
      <c r="F119" s="117"/>
      <c r="G119" s="117"/>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2.9">
      <c r="A120" s="24"/>
      <c r="B120" s="24"/>
      <c r="C120" s="24"/>
      <c r="D120" s="24"/>
      <c r="E120" s="24"/>
      <c r="F120" s="117"/>
      <c r="G120" s="117"/>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2.9">
      <c r="A121" s="24"/>
      <c r="B121" s="24"/>
      <c r="C121" s="24"/>
      <c r="D121" s="24"/>
      <c r="E121" s="24"/>
      <c r="F121" s="117"/>
      <c r="G121" s="117"/>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2.9">
      <c r="A122" s="24"/>
      <c r="B122" s="24"/>
      <c r="C122" s="24"/>
      <c r="D122" s="24"/>
      <c r="E122" s="24"/>
      <c r="F122" s="117"/>
      <c r="G122" s="117"/>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2.9">
      <c r="A123" s="24"/>
      <c r="B123" s="24"/>
      <c r="C123" s="24"/>
      <c r="D123" s="24"/>
      <c r="E123" s="24"/>
      <c r="F123" s="117"/>
      <c r="G123" s="117"/>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2.9">
      <c r="A124" s="24"/>
      <c r="B124" s="24"/>
      <c r="C124" s="24"/>
      <c r="D124" s="24"/>
      <c r="E124" s="24"/>
      <c r="F124" s="117"/>
      <c r="G124" s="117"/>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2.9">
      <c r="A125" s="24"/>
      <c r="B125" s="24"/>
      <c r="C125" s="24"/>
      <c r="D125" s="24"/>
      <c r="E125" s="24"/>
      <c r="F125" s="117"/>
      <c r="G125" s="117"/>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2.9">
      <c r="A126" s="24"/>
      <c r="B126" s="24"/>
      <c r="C126" s="24"/>
      <c r="D126" s="24"/>
      <c r="E126" s="24"/>
      <c r="F126" s="117"/>
      <c r="G126" s="117"/>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2.9">
      <c r="A127" s="24"/>
      <c r="B127" s="24"/>
      <c r="C127" s="24"/>
      <c r="D127" s="24"/>
      <c r="E127" s="24"/>
      <c r="F127" s="117"/>
      <c r="G127" s="117"/>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2.9">
      <c r="A128" s="24"/>
      <c r="B128" s="24"/>
      <c r="C128" s="24"/>
      <c r="D128" s="24"/>
      <c r="E128" s="24"/>
      <c r="F128" s="117"/>
      <c r="G128" s="117"/>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2.9">
      <c r="A129" s="24"/>
      <c r="B129" s="24"/>
      <c r="C129" s="24"/>
      <c r="D129" s="24"/>
      <c r="E129" s="24"/>
      <c r="F129" s="117"/>
      <c r="G129" s="117"/>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2.9">
      <c r="A130" s="24"/>
      <c r="B130" s="24"/>
      <c r="C130" s="24"/>
      <c r="D130" s="24"/>
      <c r="E130" s="24"/>
      <c r="F130" s="117"/>
      <c r="G130" s="117"/>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2.9">
      <c r="A131" s="24"/>
      <c r="B131" s="24"/>
      <c r="C131" s="24"/>
      <c r="D131" s="24"/>
      <c r="E131" s="24"/>
      <c r="F131" s="117"/>
      <c r="G131" s="117"/>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2.9">
      <c r="A132" s="24"/>
      <c r="B132" s="24"/>
      <c r="C132" s="24"/>
      <c r="D132" s="24"/>
      <c r="E132" s="24"/>
      <c r="F132" s="117"/>
      <c r="G132" s="117"/>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2.9">
      <c r="A133" s="24"/>
      <c r="B133" s="24"/>
      <c r="C133" s="24"/>
      <c r="D133" s="24"/>
      <c r="E133" s="24"/>
      <c r="F133" s="117"/>
      <c r="G133" s="117"/>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2.9">
      <c r="A134" s="24"/>
      <c r="B134" s="24"/>
      <c r="C134" s="24"/>
      <c r="D134" s="24"/>
      <c r="E134" s="24"/>
      <c r="F134" s="117"/>
      <c r="G134" s="117"/>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2.9">
      <c r="A135" s="24"/>
      <c r="B135" s="24"/>
      <c r="C135" s="24"/>
      <c r="D135" s="24"/>
      <c r="E135" s="24"/>
      <c r="F135" s="117"/>
      <c r="G135" s="117"/>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2.9">
      <c r="A136" s="24"/>
      <c r="B136" s="24"/>
      <c r="C136" s="24"/>
      <c r="D136" s="24"/>
      <c r="E136" s="24"/>
      <c r="F136" s="117"/>
      <c r="G136" s="117"/>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2.9">
      <c r="A137" s="24"/>
      <c r="B137" s="24"/>
      <c r="C137" s="24"/>
      <c r="D137" s="24"/>
      <c r="E137" s="24"/>
      <c r="F137" s="117"/>
      <c r="G137" s="117"/>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2.9">
      <c r="A138" s="24"/>
      <c r="B138" s="24"/>
      <c r="C138" s="24"/>
      <c r="D138" s="24"/>
      <c r="E138" s="24"/>
      <c r="F138" s="117"/>
      <c r="G138" s="117"/>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2.9">
      <c r="A139" s="24"/>
      <c r="B139" s="24"/>
      <c r="C139" s="24"/>
      <c r="D139" s="24"/>
      <c r="E139" s="24"/>
      <c r="F139" s="117"/>
      <c r="G139" s="117"/>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2.9">
      <c r="A140" s="24"/>
      <c r="B140" s="24"/>
      <c r="C140" s="24"/>
      <c r="D140" s="24"/>
      <c r="E140" s="24"/>
      <c r="F140" s="117"/>
      <c r="G140" s="117"/>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2.9">
      <c r="A141" s="24"/>
      <c r="B141" s="24"/>
      <c r="C141" s="24"/>
      <c r="D141" s="24"/>
      <c r="E141" s="24"/>
      <c r="F141" s="117"/>
      <c r="G141" s="117"/>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2.9">
      <c r="A142" s="24"/>
      <c r="B142" s="24"/>
      <c r="C142" s="24"/>
      <c r="D142" s="24"/>
      <c r="E142" s="24"/>
      <c r="F142" s="117"/>
      <c r="G142" s="117"/>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2.9">
      <c r="A143" s="24"/>
      <c r="B143" s="24"/>
      <c r="C143" s="24"/>
      <c r="D143" s="24"/>
      <c r="E143" s="24"/>
      <c r="F143" s="117"/>
      <c r="G143" s="117"/>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2.9">
      <c r="A144" s="24"/>
      <c r="B144" s="24"/>
      <c r="C144" s="24"/>
      <c r="D144" s="24"/>
      <c r="E144" s="24"/>
      <c r="F144" s="117"/>
      <c r="G144" s="117"/>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2.9">
      <c r="A145" s="24"/>
      <c r="B145" s="24"/>
      <c r="C145" s="24"/>
      <c r="D145" s="24"/>
      <c r="E145" s="24"/>
      <c r="F145" s="117"/>
      <c r="G145" s="117"/>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2.9">
      <c r="A146" s="24"/>
      <c r="B146" s="24"/>
      <c r="C146" s="24"/>
      <c r="D146" s="24"/>
      <c r="E146" s="24"/>
      <c r="F146" s="117"/>
      <c r="G146" s="117"/>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2.9">
      <c r="A147" s="24"/>
      <c r="B147" s="24"/>
      <c r="C147" s="24"/>
      <c r="D147" s="24"/>
      <c r="E147" s="24"/>
      <c r="F147" s="117"/>
      <c r="G147" s="117"/>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2.9">
      <c r="A148" s="24"/>
      <c r="B148" s="24"/>
      <c r="C148" s="24"/>
      <c r="D148" s="24"/>
      <c r="E148" s="24"/>
      <c r="F148" s="117"/>
      <c r="G148" s="117"/>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2.9">
      <c r="A149" s="24"/>
      <c r="B149" s="24"/>
      <c r="C149" s="24"/>
      <c r="D149" s="24"/>
      <c r="E149" s="24"/>
      <c r="F149" s="117"/>
      <c r="G149" s="117"/>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2.9">
      <c r="A150" s="24"/>
      <c r="B150" s="24"/>
      <c r="C150" s="24"/>
      <c r="D150" s="24"/>
      <c r="E150" s="24"/>
      <c r="F150" s="117"/>
      <c r="G150" s="117"/>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2.9">
      <c r="A151" s="24"/>
      <c r="B151" s="24"/>
      <c r="C151" s="24"/>
      <c r="D151" s="24"/>
      <c r="E151" s="24"/>
      <c r="F151" s="117"/>
      <c r="G151" s="117"/>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2.9">
      <c r="A152" s="24"/>
      <c r="B152" s="24"/>
      <c r="C152" s="24"/>
      <c r="D152" s="24"/>
      <c r="E152" s="24"/>
      <c r="F152" s="117"/>
      <c r="G152" s="117"/>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2.9">
      <c r="A153" s="24"/>
      <c r="B153" s="24"/>
      <c r="C153" s="24"/>
      <c r="D153" s="24"/>
      <c r="E153" s="24"/>
      <c r="F153" s="117"/>
      <c r="G153" s="117"/>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2.9">
      <c r="A154" s="24"/>
      <c r="B154" s="24"/>
      <c r="C154" s="24"/>
      <c r="D154" s="24"/>
      <c r="E154" s="24"/>
      <c r="F154" s="117"/>
      <c r="G154" s="117"/>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2.9">
      <c r="A155" s="24"/>
      <c r="B155" s="24"/>
      <c r="C155" s="24"/>
      <c r="D155" s="24"/>
      <c r="E155" s="24"/>
      <c r="F155" s="117"/>
      <c r="G155" s="117"/>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2.9">
      <c r="A156" s="24"/>
      <c r="B156" s="24"/>
      <c r="C156" s="24"/>
      <c r="D156" s="24"/>
      <c r="E156" s="24"/>
      <c r="F156" s="117"/>
      <c r="G156" s="117"/>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2.9">
      <c r="A157" s="24"/>
      <c r="B157" s="24"/>
      <c r="C157" s="24"/>
      <c r="D157" s="24"/>
      <c r="E157" s="24"/>
      <c r="F157" s="117"/>
      <c r="G157" s="117"/>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2.9">
      <c r="A158" s="24"/>
      <c r="B158" s="24"/>
      <c r="C158" s="24"/>
      <c r="D158" s="24"/>
      <c r="E158" s="24"/>
      <c r="F158" s="117"/>
      <c r="G158" s="117"/>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2.9">
      <c r="A159" s="24"/>
      <c r="B159" s="24"/>
      <c r="C159" s="24"/>
      <c r="D159" s="24"/>
      <c r="E159" s="24"/>
      <c r="F159" s="117"/>
      <c r="G159" s="117"/>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2.9">
      <c r="A160" s="24"/>
      <c r="B160" s="24"/>
      <c r="C160" s="24"/>
      <c r="D160" s="24"/>
      <c r="E160" s="24"/>
      <c r="F160" s="117"/>
      <c r="G160" s="117"/>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2.9">
      <c r="A161" s="24"/>
      <c r="B161" s="24"/>
      <c r="C161" s="24"/>
      <c r="D161" s="24"/>
      <c r="E161" s="24"/>
      <c r="F161" s="117"/>
      <c r="G161" s="117"/>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2.9">
      <c r="A162" s="24"/>
      <c r="B162" s="24"/>
      <c r="C162" s="24"/>
      <c r="D162" s="24"/>
      <c r="E162" s="24"/>
      <c r="F162" s="117"/>
      <c r="G162" s="117"/>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2.9">
      <c r="A163" s="24"/>
      <c r="B163" s="24"/>
      <c r="C163" s="24"/>
      <c r="D163" s="24"/>
      <c r="E163" s="24"/>
      <c r="F163" s="117"/>
      <c r="G163" s="117"/>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2.9">
      <c r="A164" s="24"/>
      <c r="B164" s="24"/>
      <c r="C164" s="24"/>
      <c r="D164" s="24"/>
      <c r="E164" s="24"/>
      <c r="F164" s="117"/>
      <c r="G164" s="117"/>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2.9">
      <c r="A165" s="24"/>
      <c r="B165" s="24"/>
      <c r="C165" s="24"/>
      <c r="D165" s="24"/>
      <c r="E165" s="24"/>
      <c r="F165" s="117"/>
      <c r="G165" s="117"/>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2.9">
      <c r="A166" s="24"/>
      <c r="B166" s="24"/>
      <c r="C166" s="24"/>
      <c r="D166" s="24"/>
      <c r="E166" s="24"/>
      <c r="F166" s="117"/>
      <c r="G166" s="117"/>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2.9">
      <c r="A167" s="24"/>
      <c r="B167" s="24"/>
      <c r="C167" s="24"/>
      <c r="D167" s="24"/>
      <c r="E167" s="24"/>
      <c r="F167" s="117"/>
      <c r="G167" s="117"/>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2.9">
      <c r="A168" s="24"/>
      <c r="B168" s="24"/>
      <c r="C168" s="24"/>
      <c r="D168" s="24"/>
      <c r="E168" s="24"/>
      <c r="F168" s="117"/>
      <c r="G168" s="117"/>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2.9">
      <c r="A169" s="24"/>
      <c r="B169" s="24"/>
      <c r="C169" s="24"/>
      <c r="D169" s="24"/>
      <c r="E169" s="24"/>
      <c r="F169" s="117"/>
      <c r="G169" s="117"/>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2.9">
      <c r="A170" s="24"/>
      <c r="B170" s="24"/>
      <c r="C170" s="24"/>
      <c r="D170" s="24"/>
      <c r="E170" s="24"/>
      <c r="F170" s="117"/>
      <c r="G170" s="117"/>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2.9">
      <c r="A171" s="24"/>
      <c r="B171" s="24"/>
      <c r="C171" s="24"/>
      <c r="D171" s="24"/>
      <c r="E171" s="24"/>
      <c r="F171" s="117"/>
      <c r="G171" s="117"/>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2.9">
      <c r="A172" s="24"/>
      <c r="B172" s="24"/>
      <c r="C172" s="24"/>
      <c r="D172" s="24"/>
      <c r="E172" s="24"/>
      <c r="F172" s="117"/>
      <c r="G172" s="117"/>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2.9">
      <c r="A173" s="24"/>
      <c r="B173" s="24"/>
      <c r="C173" s="24"/>
      <c r="D173" s="24"/>
      <c r="E173" s="24"/>
      <c r="F173" s="117"/>
      <c r="G173" s="117"/>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2.9">
      <c r="A174" s="24"/>
      <c r="B174" s="24"/>
      <c r="C174" s="24"/>
      <c r="D174" s="24"/>
      <c r="E174" s="24"/>
      <c r="F174" s="117"/>
      <c r="G174" s="117"/>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2.9">
      <c r="A175" s="24"/>
      <c r="B175" s="24"/>
      <c r="C175" s="24"/>
      <c r="D175" s="24"/>
      <c r="E175" s="24"/>
      <c r="F175" s="117"/>
      <c r="G175" s="117"/>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2.9">
      <c r="A176" s="24"/>
      <c r="B176" s="24"/>
      <c r="C176" s="24"/>
      <c r="D176" s="24"/>
      <c r="E176" s="24"/>
      <c r="F176" s="117"/>
      <c r="G176" s="117"/>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1:29" ht="12.9">
      <c r="A177" s="24"/>
      <c r="B177" s="24"/>
      <c r="C177" s="24"/>
      <c r="D177" s="24"/>
      <c r="E177" s="24"/>
      <c r="F177" s="117"/>
      <c r="G177" s="117"/>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spans="1:29" ht="12.9">
      <c r="A178" s="24"/>
      <c r="B178" s="24"/>
      <c r="C178" s="24"/>
      <c r="D178" s="24"/>
      <c r="E178" s="24"/>
      <c r="F178" s="117"/>
      <c r="G178" s="117"/>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spans="1:29" ht="12.9">
      <c r="A179" s="24"/>
      <c r="B179" s="24"/>
      <c r="C179" s="24"/>
      <c r="D179" s="24"/>
      <c r="E179" s="24"/>
      <c r="F179" s="117"/>
      <c r="G179" s="117"/>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spans="1:29" ht="12.9">
      <c r="A180" s="24"/>
      <c r="B180" s="24"/>
      <c r="C180" s="24"/>
      <c r="D180" s="24"/>
      <c r="E180" s="24"/>
      <c r="F180" s="117"/>
      <c r="G180" s="117"/>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spans="1:29" ht="12.9">
      <c r="A181" s="24"/>
      <c r="B181" s="24"/>
      <c r="C181" s="24"/>
      <c r="D181" s="24"/>
      <c r="E181" s="24"/>
      <c r="F181" s="117"/>
      <c r="G181" s="117"/>
      <c r="H181" s="24"/>
      <c r="I181" s="24"/>
      <c r="J181" s="24"/>
      <c r="K181" s="24"/>
      <c r="L181" s="24"/>
      <c r="M181" s="24"/>
      <c r="N181" s="24"/>
      <c r="O181" s="24"/>
      <c r="P181" s="24"/>
      <c r="Q181" s="24"/>
      <c r="R181" s="24"/>
      <c r="S181" s="24"/>
      <c r="T181" s="24"/>
      <c r="U181" s="24"/>
      <c r="V181" s="24"/>
      <c r="W181" s="24"/>
      <c r="X181" s="24"/>
      <c r="Y181" s="24"/>
      <c r="Z181" s="24"/>
      <c r="AA181" s="24"/>
      <c r="AB181" s="24"/>
      <c r="AC181" s="24"/>
    </row>
    <row r="182" spans="1:29" ht="12.9">
      <c r="A182" s="24"/>
      <c r="B182" s="24"/>
      <c r="C182" s="24"/>
      <c r="D182" s="24"/>
      <c r="E182" s="24"/>
      <c r="F182" s="117"/>
      <c r="G182" s="117"/>
      <c r="H182" s="24"/>
      <c r="I182" s="24"/>
      <c r="J182" s="24"/>
      <c r="K182" s="24"/>
      <c r="L182" s="24"/>
      <c r="M182" s="24"/>
      <c r="N182" s="24"/>
      <c r="O182" s="24"/>
      <c r="P182" s="24"/>
      <c r="Q182" s="24"/>
      <c r="R182" s="24"/>
      <c r="S182" s="24"/>
      <c r="T182" s="24"/>
      <c r="U182" s="24"/>
      <c r="V182" s="24"/>
      <c r="W182" s="24"/>
      <c r="X182" s="24"/>
      <c r="Y182" s="24"/>
      <c r="Z182" s="24"/>
      <c r="AA182" s="24"/>
      <c r="AB182" s="24"/>
      <c r="AC182" s="24"/>
    </row>
    <row r="183" spans="1:29" ht="12.9">
      <c r="A183" s="24"/>
      <c r="B183" s="24"/>
      <c r="C183" s="24"/>
      <c r="D183" s="24"/>
      <c r="E183" s="24"/>
      <c r="F183" s="117"/>
      <c r="G183" s="117"/>
      <c r="H183" s="24"/>
      <c r="I183" s="24"/>
      <c r="J183" s="24"/>
      <c r="K183" s="24"/>
      <c r="L183" s="24"/>
      <c r="M183" s="24"/>
      <c r="N183" s="24"/>
      <c r="O183" s="24"/>
      <c r="P183" s="24"/>
      <c r="Q183" s="24"/>
      <c r="R183" s="24"/>
      <c r="S183" s="24"/>
      <c r="T183" s="24"/>
      <c r="U183" s="24"/>
      <c r="V183" s="24"/>
      <c r="W183" s="24"/>
      <c r="X183" s="24"/>
      <c r="Y183" s="24"/>
      <c r="Z183" s="24"/>
      <c r="AA183" s="24"/>
      <c r="AB183" s="24"/>
      <c r="AC183" s="24"/>
    </row>
    <row r="184" spans="1:29" ht="12.9">
      <c r="A184" s="24"/>
      <c r="B184" s="24"/>
      <c r="C184" s="24"/>
      <c r="D184" s="24"/>
      <c r="E184" s="24"/>
      <c r="F184" s="117"/>
      <c r="G184" s="117"/>
      <c r="H184" s="24"/>
      <c r="I184" s="24"/>
      <c r="J184" s="24"/>
      <c r="K184" s="24"/>
      <c r="L184" s="24"/>
      <c r="M184" s="24"/>
      <c r="N184" s="24"/>
      <c r="O184" s="24"/>
      <c r="P184" s="24"/>
      <c r="Q184" s="24"/>
      <c r="R184" s="24"/>
      <c r="S184" s="24"/>
      <c r="T184" s="24"/>
      <c r="U184" s="24"/>
      <c r="V184" s="24"/>
      <c r="W184" s="24"/>
      <c r="X184" s="24"/>
      <c r="Y184" s="24"/>
      <c r="Z184" s="24"/>
      <c r="AA184" s="24"/>
      <c r="AB184" s="24"/>
      <c r="AC184" s="24"/>
    </row>
    <row r="185" spans="1:29" ht="12.9">
      <c r="A185" s="24"/>
      <c r="B185" s="24"/>
      <c r="C185" s="24"/>
      <c r="D185" s="24"/>
      <c r="E185" s="24"/>
      <c r="F185" s="117"/>
      <c r="G185" s="117"/>
      <c r="H185" s="24"/>
      <c r="I185" s="24"/>
      <c r="J185" s="24"/>
      <c r="K185" s="24"/>
      <c r="L185" s="24"/>
      <c r="M185" s="24"/>
      <c r="N185" s="24"/>
      <c r="O185" s="24"/>
      <c r="P185" s="24"/>
      <c r="Q185" s="24"/>
      <c r="R185" s="24"/>
      <c r="S185" s="24"/>
      <c r="T185" s="24"/>
      <c r="U185" s="24"/>
      <c r="V185" s="24"/>
      <c r="W185" s="24"/>
      <c r="X185" s="24"/>
      <c r="Y185" s="24"/>
      <c r="Z185" s="24"/>
      <c r="AA185" s="24"/>
      <c r="AB185" s="24"/>
      <c r="AC185" s="24"/>
    </row>
    <row r="186" spans="1:29" ht="12.9">
      <c r="A186" s="24"/>
      <c r="B186" s="24"/>
      <c r="C186" s="24"/>
      <c r="D186" s="24"/>
      <c r="E186" s="24"/>
      <c r="F186" s="117"/>
      <c r="G186" s="117"/>
      <c r="H186" s="24"/>
      <c r="I186" s="24"/>
      <c r="J186" s="24"/>
      <c r="K186" s="24"/>
      <c r="L186" s="24"/>
      <c r="M186" s="24"/>
      <c r="N186" s="24"/>
      <c r="O186" s="24"/>
      <c r="P186" s="24"/>
      <c r="Q186" s="24"/>
      <c r="R186" s="24"/>
      <c r="S186" s="24"/>
      <c r="T186" s="24"/>
      <c r="U186" s="24"/>
      <c r="V186" s="24"/>
      <c r="W186" s="24"/>
      <c r="X186" s="24"/>
      <c r="Y186" s="24"/>
      <c r="Z186" s="24"/>
      <c r="AA186" s="24"/>
      <c r="AB186" s="24"/>
      <c r="AC186" s="24"/>
    </row>
    <row r="187" spans="1:29" ht="12.9">
      <c r="A187" s="24"/>
      <c r="B187" s="24"/>
      <c r="C187" s="24"/>
      <c r="D187" s="24"/>
      <c r="E187" s="24"/>
      <c r="F187" s="117"/>
      <c r="G187" s="117"/>
      <c r="H187" s="24"/>
      <c r="I187" s="24"/>
      <c r="J187" s="24"/>
      <c r="K187" s="24"/>
      <c r="L187" s="24"/>
      <c r="M187" s="24"/>
      <c r="N187" s="24"/>
      <c r="O187" s="24"/>
      <c r="P187" s="24"/>
      <c r="Q187" s="24"/>
      <c r="R187" s="24"/>
      <c r="S187" s="24"/>
      <c r="T187" s="24"/>
      <c r="U187" s="24"/>
      <c r="V187" s="24"/>
      <c r="W187" s="24"/>
      <c r="X187" s="24"/>
      <c r="Y187" s="24"/>
      <c r="Z187" s="24"/>
      <c r="AA187" s="24"/>
      <c r="AB187" s="24"/>
      <c r="AC187" s="24"/>
    </row>
    <row r="188" spans="1:29" ht="12.9">
      <c r="A188" s="24"/>
      <c r="B188" s="24"/>
      <c r="C188" s="24"/>
      <c r="D188" s="24"/>
      <c r="E188" s="24"/>
      <c r="F188" s="117"/>
      <c r="G188" s="117"/>
      <c r="H188" s="24"/>
      <c r="I188" s="24"/>
      <c r="J188" s="24"/>
      <c r="K188" s="24"/>
      <c r="L188" s="24"/>
      <c r="M188" s="24"/>
      <c r="N188" s="24"/>
      <c r="O188" s="24"/>
      <c r="P188" s="24"/>
      <c r="Q188" s="24"/>
      <c r="R188" s="24"/>
      <c r="S188" s="24"/>
      <c r="T188" s="24"/>
      <c r="U188" s="24"/>
      <c r="V188" s="24"/>
      <c r="W188" s="24"/>
      <c r="X188" s="24"/>
      <c r="Y188" s="24"/>
      <c r="Z188" s="24"/>
      <c r="AA188" s="24"/>
      <c r="AB188" s="24"/>
      <c r="AC188" s="24"/>
    </row>
    <row r="189" spans="1:29" ht="12.9">
      <c r="A189" s="24"/>
      <c r="B189" s="24"/>
      <c r="C189" s="24"/>
      <c r="D189" s="24"/>
      <c r="E189" s="24"/>
      <c r="F189" s="117"/>
      <c r="G189" s="117"/>
      <c r="H189" s="24"/>
      <c r="I189" s="24"/>
      <c r="J189" s="24"/>
      <c r="K189" s="24"/>
      <c r="L189" s="24"/>
      <c r="M189" s="24"/>
      <c r="N189" s="24"/>
      <c r="O189" s="24"/>
      <c r="P189" s="24"/>
      <c r="Q189" s="24"/>
      <c r="R189" s="24"/>
      <c r="S189" s="24"/>
      <c r="T189" s="24"/>
      <c r="U189" s="24"/>
      <c r="V189" s="24"/>
      <c r="W189" s="24"/>
      <c r="X189" s="24"/>
      <c r="Y189" s="24"/>
      <c r="Z189" s="24"/>
      <c r="AA189" s="24"/>
      <c r="AB189" s="24"/>
      <c r="AC189" s="24"/>
    </row>
    <row r="190" spans="1:29" ht="12.9">
      <c r="A190" s="24"/>
      <c r="B190" s="24"/>
      <c r="C190" s="24"/>
      <c r="D190" s="24"/>
      <c r="E190" s="24"/>
      <c r="F190" s="117"/>
      <c r="G190" s="117"/>
      <c r="H190" s="24"/>
      <c r="I190" s="24"/>
      <c r="J190" s="24"/>
      <c r="K190" s="24"/>
      <c r="L190" s="24"/>
      <c r="M190" s="24"/>
      <c r="N190" s="24"/>
      <c r="O190" s="24"/>
      <c r="P190" s="24"/>
      <c r="Q190" s="24"/>
      <c r="R190" s="24"/>
      <c r="S190" s="24"/>
      <c r="T190" s="24"/>
      <c r="U190" s="24"/>
      <c r="V190" s="24"/>
      <c r="W190" s="24"/>
      <c r="X190" s="24"/>
      <c r="Y190" s="24"/>
      <c r="Z190" s="24"/>
      <c r="AA190" s="24"/>
      <c r="AB190" s="24"/>
      <c r="AC190" s="24"/>
    </row>
    <row r="191" spans="1:29" ht="12.9">
      <c r="A191" s="24"/>
      <c r="B191" s="24"/>
      <c r="C191" s="24"/>
      <c r="D191" s="24"/>
      <c r="E191" s="24"/>
      <c r="F191" s="117"/>
      <c r="G191" s="117"/>
      <c r="H191" s="24"/>
      <c r="I191" s="24"/>
      <c r="J191" s="24"/>
      <c r="K191" s="24"/>
      <c r="L191" s="24"/>
      <c r="M191" s="24"/>
      <c r="N191" s="24"/>
      <c r="O191" s="24"/>
      <c r="P191" s="24"/>
      <c r="Q191" s="24"/>
      <c r="R191" s="24"/>
      <c r="S191" s="24"/>
      <c r="T191" s="24"/>
      <c r="U191" s="24"/>
      <c r="V191" s="24"/>
      <c r="W191" s="24"/>
      <c r="X191" s="24"/>
      <c r="Y191" s="24"/>
      <c r="Z191" s="24"/>
      <c r="AA191" s="24"/>
      <c r="AB191" s="24"/>
      <c r="AC191" s="24"/>
    </row>
    <row r="192" spans="1:29" ht="12.9">
      <c r="A192" s="24"/>
      <c r="B192" s="24"/>
      <c r="C192" s="24"/>
      <c r="D192" s="24"/>
      <c r="E192" s="24"/>
      <c r="F192" s="117"/>
      <c r="G192" s="117"/>
      <c r="H192" s="24"/>
      <c r="I192" s="24"/>
      <c r="J192" s="24"/>
      <c r="K192" s="24"/>
      <c r="L192" s="24"/>
      <c r="M192" s="24"/>
      <c r="N192" s="24"/>
      <c r="O192" s="24"/>
      <c r="P192" s="24"/>
      <c r="Q192" s="24"/>
      <c r="R192" s="24"/>
      <c r="S192" s="24"/>
      <c r="T192" s="24"/>
      <c r="U192" s="24"/>
      <c r="V192" s="24"/>
      <c r="W192" s="24"/>
      <c r="X192" s="24"/>
      <c r="Y192" s="24"/>
      <c r="Z192" s="24"/>
      <c r="AA192" s="24"/>
      <c r="AB192" s="24"/>
      <c r="AC192" s="24"/>
    </row>
    <row r="193" spans="1:29" ht="12.9">
      <c r="A193" s="24"/>
      <c r="B193" s="24"/>
      <c r="C193" s="24"/>
      <c r="D193" s="24"/>
      <c r="E193" s="24"/>
      <c r="F193" s="117"/>
      <c r="G193" s="117"/>
      <c r="H193" s="24"/>
      <c r="I193" s="24"/>
      <c r="J193" s="24"/>
      <c r="K193" s="24"/>
      <c r="L193" s="24"/>
      <c r="M193" s="24"/>
      <c r="N193" s="24"/>
      <c r="O193" s="24"/>
      <c r="P193" s="24"/>
      <c r="Q193" s="24"/>
      <c r="R193" s="24"/>
      <c r="S193" s="24"/>
      <c r="T193" s="24"/>
      <c r="U193" s="24"/>
      <c r="V193" s="24"/>
      <c r="W193" s="24"/>
      <c r="X193" s="24"/>
      <c r="Y193" s="24"/>
      <c r="Z193" s="24"/>
      <c r="AA193" s="24"/>
      <c r="AB193" s="24"/>
      <c r="AC193" s="24"/>
    </row>
    <row r="194" spans="1:29" ht="12.9">
      <c r="A194" s="24"/>
      <c r="B194" s="24"/>
      <c r="C194" s="24"/>
      <c r="D194" s="24"/>
      <c r="E194" s="24"/>
      <c r="F194" s="117"/>
      <c r="G194" s="117"/>
      <c r="H194" s="24"/>
      <c r="I194" s="24"/>
      <c r="J194" s="24"/>
      <c r="K194" s="24"/>
      <c r="L194" s="24"/>
      <c r="M194" s="24"/>
      <c r="N194" s="24"/>
      <c r="O194" s="24"/>
      <c r="P194" s="24"/>
      <c r="Q194" s="24"/>
      <c r="R194" s="24"/>
      <c r="S194" s="24"/>
      <c r="T194" s="24"/>
      <c r="U194" s="24"/>
      <c r="V194" s="24"/>
      <c r="W194" s="24"/>
      <c r="X194" s="24"/>
      <c r="Y194" s="24"/>
      <c r="Z194" s="24"/>
      <c r="AA194" s="24"/>
      <c r="AB194" s="24"/>
      <c r="AC194" s="24"/>
    </row>
    <row r="195" spans="1:29" ht="12.9">
      <c r="A195" s="24"/>
      <c r="B195" s="24"/>
      <c r="C195" s="24"/>
      <c r="D195" s="24"/>
      <c r="E195" s="24"/>
      <c r="F195" s="117"/>
      <c r="G195" s="117"/>
      <c r="H195" s="24"/>
      <c r="I195" s="24"/>
      <c r="J195" s="24"/>
      <c r="K195" s="24"/>
      <c r="L195" s="24"/>
      <c r="M195" s="24"/>
      <c r="N195" s="24"/>
      <c r="O195" s="24"/>
      <c r="P195" s="24"/>
      <c r="Q195" s="24"/>
      <c r="R195" s="24"/>
      <c r="S195" s="24"/>
      <c r="T195" s="24"/>
      <c r="U195" s="24"/>
      <c r="V195" s="24"/>
      <c r="W195" s="24"/>
      <c r="X195" s="24"/>
      <c r="Y195" s="24"/>
      <c r="Z195" s="24"/>
      <c r="AA195" s="24"/>
      <c r="AB195" s="24"/>
      <c r="AC195" s="24"/>
    </row>
    <row r="196" spans="1:29" ht="12.9">
      <c r="A196" s="24"/>
      <c r="B196" s="24"/>
      <c r="C196" s="24"/>
      <c r="D196" s="24"/>
      <c r="E196" s="24"/>
      <c r="F196" s="117"/>
      <c r="G196" s="117"/>
      <c r="H196" s="24"/>
      <c r="I196" s="24"/>
      <c r="J196" s="24"/>
      <c r="K196" s="24"/>
      <c r="L196" s="24"/>
      <c r="M196" s="24"/>
      <c r="N196" s="24"/>
      <c r="O196" s="24"/>
      <c r="P196" s="24"/>
      <c r="Q196" s="24"/>
      <c r="R196" s="24"/>
      <c r="S196" s="24"/>
      <c r="T196" s="24"/>
      <c r="U196" s="24"/>
      <c r="V196" s="24"/>
      <c r="W196" s="24"/>
      <c r="X196" s="24"/>
      <c r="Y196" s="24"/>
      <c r="Z196" s="24"/>
      <c r="AA196" s="24"/>
      <c r="AB196" s="24"/>
      <c r="AC196" s="24"/>
    </row>
    <row r="197" spans="1:29" ht="12.9">
      <c r="A197" s="24"/>
      <c r="B197" s="24"/>
      <c r="C197" s="24"/>
      <c r="D197" s="24"/>
      <c r="E197" s="24"/>
      <c r="F197" s="117"/>
      <c r="G197" s="117"/>
      <c r="H197" s="24"/>
      <c r="I197" s="24"/>
      <c r="J197" s="24"/>
      <c r="K197" s="24"/>
      <c r="L197" s="24"/>
      <c r="M197" s="24"/>
      <c r="N197" s="24"/>
      <c r="O197" s="24"/>
      <c r="P197" s="24"/>
      <c r="Q197" s="24"/>
      <c r="R197" s="24"/>
      <c r="S197" s="24"/>
      <c r="T197" s="24"/>
      <c r="U197" s="24"/>
      <c r="V197" s="24"/>
      <c r="W197" s="24"/>
      <c r="X197" s="24"/>
      <c r="Y197" s="24"/>
      <c r="Z197" s="24"/>
      <c r="AA197" s="24"/>
      <c r="AB197" s="24"/>
      <c r="AC197" s="24"/>
    </row>
    <row r="198" spans="1:29" ht="12.9">
      <c r="A198" s="24"/>
      <c r="B198" s="24"/>
      <c r="C198" s="24"/>
      <c r="D198" s="24"/>
      <c r="E198" s="24"/>
      <c r="F198" s="117"/>
      <c r="G198" s="117"/>
      <c r="H198" s="24"/>
      <c r="I198" s="24"/>
      <c r="J198" s="24"/>
      <c r="K198" s="24"/>
      <c r="L198" s="24"/>
      <c r="M198" s="24"/>
      <c r="N198" s="24"/>
      <c r="O198" s="24"/>
      <c r="P198" s="24"/>
      <c r="Q198" s="24"/>
      <c r="R198" s="24"/>
      <c r="S198" s="24"/>
      <c r="T198" s="24"/>
      <c r="U198" s="24"/>
      <c r="V198" s="24"/>
      <c r="W198" s="24"/>
      <c r="X198" s="24"/>
      <c r="Y198" s="24"/>
      <c r="Z198" s="24"/>
      <c r="AA198" s="24"/>
      <c r="AB198" s="24"/>
      <c r="AC198" s="24"/>
    </row>
    <row r="199" spans="1:29" ht="12.9">
      <c r="A199" s="24"/>
      <c r="B199" s="24"/>
      <c r="C199" s="24"/>
      <c r="D199" s="24"/>
      <c r="E199" s="24"/>
      <c r="F199" s="117"/>
      <c r="G199" s="117"/>
      <c r="H199" s="24"/>
      <c r="I199" s="24"/>
      <c r="J199" s="24"/>
      <c r="K199" s="24"/>
      <c r="L199" s="24"/>
      <c r="M199" s="24"/>
      <c r="N199" s="24"/>
      <c r="O199" s="24"/>
      <c r="P199" s="24"/>
      <c r="Q199" s="24"/>
      <c r="R199" s="24"/>
      <c r="S199" s="24"/>
      <c r="T199" s="24"/>
      <c r="U199" s="24"/>
      <c r="V199" s="24"/>
      <c r="W199" s="24"/>
      <c r="X199" s="24"/>
      <c r="Y199" s="24"/>
      <c r="Z199" s="24"/>
      <c r="AA199" s="24"/>
      <c r="AB199" s="24"/>
      <c r="AC199" s="24"/>
    </row>
    <row r="200" spans="1:29" ht="12.9">
      <c r="A200" s="24"/>
      <c r="B200" s="24"/>
      <c r="C200" s="24"/>
      <c r="D200" s="24"/>
      <c r="E200" s="24"/>
      <c r="F200" s="117"/>
      <c r="G200" s="117"/>
      <c r="H200" s="24"/>
      <c r="I200" s="24"/>
      <c r="J200" s="24"/>
      <c r="K200" s="24"/>
      <c r="L200" s="24"/>
      <c r="M200" s="24"/>
      <c r="N200" s="24"/>
      <c r="O200" s="24"/>
      <c r="P200" s="24"/>
      <c r="Q200" s="24"/>
      <c r="R200" s="24"/>
      <c r="S200" s="24"/>
      <c r="T200" s="24"/>
      <c r="U200" s="24"/>
      <c r="V200" s="24"/>
      <c r="W200" s="24"/>
      <c r="X200" s="24"/>
      <c r="Y200" s="24"/>
      <c r="Z200" s="24"/>
      <c r="AA200" s="24"/>
      <c r="AB200" s="24"/>
      <c r="AC200" s="24"/>
    </row>
    <row r="201" spans="1:29" ht="12.9">
      <c r="A201" s="24"/>
      <c r="B201" s="24"/>
      <c r="C201" s="24"/>
      <c r="D201" s="24"/>
      <c r="E201" s="24"/>
      <c r="F201" s="117"/>
      <c r="G201" s="117"/>
      <c r="H201" s="24"/>
      <c r="I201" s="24"/>
      <c r="J201" s="24"/>
      <c r="K201" s="24"/>
      <c r="L201" s="24"/>
      <c r="M201" s="24"/>
      <c r="N201" s="24"/>
      <c r="O201" s="24"/>
      <c r="P201" s="24"/>
      <c r="Q201" s="24"/>
      <c r="R201" s="24"/>
      <c r="S201" s="24"/>
      <c r="T201" s="24"/>
      <c r="U201" s="24"/>
      <c r="V201" s="24"/>
      <c r="W201" s="24"/>
      <c r="X201" s="24"/>
      <c r="Y201" s="24"/>
      <c r="Z201" s="24"/>
      <c r="AA201" s="24"/>
      <c r="AB201" s="24"/>
      <c r="AC201" s="24"/>
    </row>
    <row r="202" spans="1:29" ht="12.9">
      <c r="A202" s="24"/>
      <c r="B202" s="24"/>
      <c r="C202" s="24"/>
      <c r="D202" s="24"/>
      <c r="E202" s="24"/>
      <c r="F202" s="117"/>
      <c r="G202" s="117"/>
      <c r="H202" s="24"/>
      <c r="I202" s="24"/>
      <c r="J202" s="24"/>
      <c r="K202" s="24"/>
      <c r="L202" s="24"/>
      <c r="M202" s="24"/>
      <c r="N202" s="24"/>
      <c r="O202" s="24"/>
      <c r="P202" s="24"/>
      <c r="Q202" s="24"/>
      <c r="R202" s="24"/>
      <c r="S202" s="24"/>
      <c r="T202" s="24"/>
      <c r="U202" s="24"/>
      <c r="V202" s="24"/>
      <c r="W202" s="24"/>
      <c r="X202" s="24"/>
      <c r="Y202" s="24"/>
      <c r="Z202" s="24"/>
      <c r="AA202" s="24"/>
      <c r="AB202" s="24"/>
      <c r="AC202" s="24"/>
    </row>
    <row r="203" spans="1:29" ht="12.9">
      <c r="A203" s="24"/>
      <c r="B203" s="24"/>
      <c r="C203" s="24"/>
      <c r="D203" s="24"/>
      <c r="E203" s="24"/>
      <c r="F203" s="117"/>
      <c r="G203" s="117"/>
      <c r="H203" s="24"/>
      <c r="I203" s="24"/>
      <c r="J203" s="24"/>
      <c r="K203" s="24"/>
      <c r="L203" s="24"/>
      <c r="M203" s="24"/>
      <c r="N203" s="24"/>
      <c r="O203" s="24"/>
      <c r="P203" s="24"/>
      <c r="Q203" s="24"/>
      <c r="R203" s="24"/>
      <c r="S203" s="24"/>
      <c r="T203" s="24"/>
      <c r="U203" s="24"/>
      <c r="V203" s="24"/>
      <c r="W203" s="24"/>
      <c r="X203" s="24"/>
      <c r="Y203" s="24"/>
      <c r="Z203" s="24"/>
      <c r="AA203" s="24"/>
      <c r="AB203" s="24"/>
      <c r="AC203" s="24"/>
    </row>
    <row r="204" spans="1:29" ht="12.9">
      <c r="A204" s="24"/>
      <c r="B204" s="24"/>
      <c r="C204" s="24"/>
      <c r="D204" s="24"/>
      <c r="E204" s="24"/>
      <c r="F204" s="117"/>
      <c r="G204" s="117"/>
      <c r="H204" s="24"/>
      <c r="I204" s="24"/>
      <c r="J204" s="24"/>
      <c r="K204" s="24"/>
      <c r="L204" s="24"/>
      <c r="M204" s="24"/>
      <c r="N204" s="24"/>
      <c r="O204" s="24"/>
      <c r="P204" s="24"/>
      <c r="Q204" s="24"/>
      <c r="R204" s="24"/>
      <c r="S204" s="24"/>
      <c r="T204" s="24"/>
      <c r="U204" s="24"/>
      <c r="V204" s="24"/>
      <c r="W204" s="24"/>
      <c r="X204" s="24"/>
      <c r="Y204" s="24"/>
      <c r="Z204" s="24"/>
      <c r="AA204" s="24"/>
      <c r="AB204" s="24"/>
      <c r="AC204" s="24"/>
    </row>
    <row r="205" spans="1:29" ht="12.9">
      <c r="A205" s="24"/>
      <c r="B205" s="24"/>
      <c r="C205" s="24"/>
      <c r="D205" s="24"/>
      <c r="E205" s="24"/>
      <c r="F205" s="117"/>
      <c r="G205" s="117"/>
      <c r="H205" s="24"/>
      <c r="I205" s="24"/>
      <c r="J205" s="24"/>
      <c r="K205" s="24"/>
      <c r="L205" s="24"/>
      <c r="M205" s="24"/>
      <c r="N205" s="24"/>
      <c r="O205" s="24"/>
      <c r="P205" s="24"/>
      <c r="Q205" s="24"/>
      <c r="R205" s="24"/>
      <c r="S205" s="24"/>
      <c r="T205" s="24"/>
      <c r="U205" s="24"/>
      <c r="V205" s="24"/>
      <c r="W205" s="24"/>
      <c r="X205" s="24"/>
      <c r="Y205" s="24"/>
      <c r="Z205" s="24"/>
      <c r="AA205" s="24"/>
      <c r="AB205" s="24"/>
      <c r="AC205" s="24"/>
    </row>
    <row r="206" spans="1:29" ht="12.9">
      <c r="A206" s="24"/>
      <c r="B206" s="24"/>
      <c r="C206" s="24"/>
      <c r="D206" s="24"/>
      <c r="E206" s="24"/>
      <c r="F206" s="117"/>
      <c r="G206" s="117"/>
      <c r="H206" s="24"/>
      <c r="I206" s="24"/>
      <c r="J206" s="24"/>
      <c r="K206" s="24"/>
      <c r="L206" s="24"/>
      <c r="M206" s="24"/>
      <c r="N206" s="24"/>
      <c r="O206" s="24"/>
      <c r="P206" s="24"/>
      <c r="Q206" s="24"/>
      <c r="R206" s="24"/>
      <c r="S206" s="24"/>
      <c r="T206" s="24"/>
      <c r="U206" s="24"/>
      <c r="V206" s="24"/>
      <c r="W206" s="24"/>
      <c r="X206" s="24"/>
      <c r="Y206" s="24"/>
      <c r="Z206" s="24"/>
      <c r="AA206" s="24"/>
      <c r="AB206" s="24"/>
      <c r="AC206" s="24"/>
    </row>
    <row r="207" spans="1:29" ht="12.9">
      <c r="A207" s="24"/>
      <c r="B207" s="24"/>
      <c r="C207" s="24"/>
      <c r="D207" s="24"/>
      <c r="E207" s="24"/>
      <c r="F207" s="117"/>
      <c r="G207" s="117"/>
      <c r="H207" s="24"/>
      <c r="I207" s="24"/>
      <c r="J207" s="24"/>
      <c r="K207" s="24"/>
      <c r="L207" s="24"/>
      <c r="M207" s="24"/>
      <c r="N207" s="24"/>
      <c r="O207" s="24"/>
      <c r="P207" s="24"/>
      <c r="Q207" s="24"/>
      <c r="R207" s="24"/>
      <c r="S207" s="24"/>
      <c r="T207" s="24"/>
      <c r="U207" s="24"/>
      <c r="V207" s="24"/>
      <c r="W207" s="24"/>
      <c r="X207" s="24"/>
      <c r="Y207" s="24"/>
      <c r="Z207" s="24"/>
      <c r="AA207" s="24"/>
      <c r="AB207" s="24"/>
      <c r="AC207" s="24"/>
    </row>
    <row r="208" spans="1:29" ht="12.9">
      <c r="A208" s="24"/>
      <c r="B208" s="24"/>
      <c r="C208" s="24"/>
      <c r="D208" s="24"/>
      <c r="E208" s="24"/>
      <c r="F208" s="117"/>
      <c r="G208" s="117"/>
      <c r="H208" s="24"/>
      <c r="I208" s="24"/>
      <c r="J208" s="24"/>
      <c r="K208" s="24"/>
      <c r="L208" s="24"/>
      <c r="M208" s="24"/>
      <c r="N208" s="24"/>
      <c r="O208" s="24"/>
      <c r="P208" s="24"/>
      <c r="Q208" s="24"/>
      <c r="R208" s="24"/>
      <c r="S208" s="24"/>
      <c r="T208" s="24"/>
      <c r="U208" s="24"/>
      <c r="V208" s="24"/>
      <c r="W208" s="24"/>
      <c r="X208" s="24"/>
      <c r="Y208" s="24"/>
      <c r="Z208" s="24"/>
      <c r="AA208" s="24"/>
      <c r="AB208" s="24"/>
      <c r="AC208" s="24"/>
    </row>
    <row r="209" spans="1:29" ht="12.9">
      <c r="A209" s="24"/>
      <c r="B209" s="24"/>
      <c r="C209" s="24"/>
      <c r="D209" s="24"/>
      <c r="E209" s="24"/>
      <c r="F209" s="117"/>
      <c r="G209" s="117"/>
      <c r="H209" s="24"/>
      <c r="I209" s="24"/>
      <c r="J209" s="24"/>
      <c r="K209" s="24"/>
      <c r="L209" s="24"/>
      <c r="M209" s="24"/>
      <c r="N209" s="24"/>
      <c r="O209" s="24"/>
      <c r="P209" s="24"/>
      <c r="Q209" s="24"/>
      <c r="R209" s="24"/>
      <c r="S209" s="24"/>
      <c r="T209" s="24"/>
      <c r="U209" s="24"/>
      <c r="V209" s="24"/>
      <c r="W209" s="24"/>
      <c r="X209" s="24"/>
      <c r="Y209" s="24"/>
      <c r="Z209" s="24"/>
      <c r="AA209" s="24"/>
      <c r="AB209" s="24"/>
      <c r="AC209" s="24"/>
    </row>
    <row r="210" spans="1:29" ht="12.9">
      <c r="A210" s="24"/>
      <c r="B210" s="24"/>
      <c r="C210" s="24"/>
      <c r="D210" s="24"/>
      <c r="E210" s="24"/>
      <c r="F210" s="117"/>
      <c r="G210" s="117"/>
      <c r="H210" s="24"/>
      <c r="I210" s="24"/>
      <c r="J210" s="24"/>
      <c r="K210" s="24"/>
      <c r="L210" s="24"/>
      <c r="M210" s="24"/>
      <c r="N210" s="24"/>
      <c r="O210" s="24"/>
      <c r="P210" s="24"/>
      <c r="Q210" s="24"/>
      <c r="R210" s="24"/>
      <c r="S210" s="24"/>
      <c r="T210" s="24"/>
      <c r="U210" s="24"/>
      <c r="V210" s="24"/>
      <c r="W210" s="24"/>
      <c r="X210" s="24"/>
      <c r="Y210" s="24"/>
      <c r="Z210" s="24"/>
      <c r="AA210" s="24"/>
      <c r="AB210" s="24"/>
      <c r="AC210" s="24"/>
    </row>
    <row r="211" spans="1:29" ht="12.9">
      <c r="A211" s="24"/>
      <c r="B211" s="24"/>
      <c r="C211" s="24"/>
      <c r="D211" s="24"/>
      <c r="E211" s="24"/>
      <c r="F211" s="117"/>
      <c r="G211" s="117"/>
      <c r="H211" s="24"/>
      <c r="I211" s="24"/>
      <c r="J211" s="24"/>
      <c r="K211" s="24"/>
      <c r="L211" s="24"/>
      <c r="M211" s="24"/>
      <c r="N211" s="24"/>
      <c r="O211" s="24"/>
      <c r="P211" s="24"/>
      <c r="Q211" s="24"/>
      <c r="R211" s="24"/>
      <c r="S211" s="24"/>
      <c r="T211" s="24"/>
      <c r="U211" s="24"/>
      <c r="V211" s="24"/>
      <c r="W211" s="24"/>
      <c r="X211" s="24"/>
      <c r="Y211" s="24"/>
      <c r="Z211" s="24"/>
      <c r="AA211" s="24"/>
      <c r="AB211" s="24"/>
      <c r="AC211" s="24"/>
    </row>
    <row r="212" spans="1:29" ht="12.9">
      <c r="A212" s="24"/>
      <c r="B212" s="24"/>
      <c r="C212" s="24"/>
      <c r="D212" s="24"/>
      <c r="E212" s="24"/>
      <c r="F212" s="117"/>
      <c r="G212" s="117"/>
      <c r="H212" s="24"/>
      <c r="I212" s="24"/>
      <c r="J212" s="24"/>
      <c r="K212" s="24"/>
      <c r="L212" s="24"/>
      <c r="M212" s="24"/>
      <c r="N212" s="24"/>
      <c r="O212" s="24"/>
      <c r="P212" s="24"/>
      <c r="Q212" s="24"/>
      <c r="R212" s="24"/>
      <c r="S212" s="24"/>
      <c r="T212" s="24"/>
      <c r="U212" s="24"/>
      <c r="V212" s="24"/>
      <c r="W212" s="24"/>
      <c r="X212" s="24"/>
      <c r="Y212" s="24"/>
      <c r="Z212" s="24"/>
      <c r="AA212" s="24"/>
      <c r="AB212" s="24"/>
      <c r="AC212" s="24"/>
    </row>
    <row r="213" spans="1:29" ht="12.9">
      <c r="A213" s="24"/>
      <c r="B213" s="24"/>
      <c r="C213" s="24"/>
      <c r="D213" s="24"/>
      <c r="E213" s="24"/>
      <c r="F213" s="117"/>
      <c r="G213" s="117"/>
      <c r="H213" s="24"/>
      <c r="I213" s="24"/>
      <c r="J213" s="24"/>
      <c r="K213" s="24"/>
      <c r="L213" s="24"/>
      <c r="M213" s="24"/>
      <c r="N213" s="24"/>
      <c r="O213" s="24"/>
      <c r="P213" s="24"/>
      <c r="Q213" s="24"/>
      <c r="R213" s="24"/>
      <c r="S213" s="24"/>
      <c r="T213" s="24"/>
      <c r="U213" s="24"/>
      <c r="V213" s="24"/>
      <c r="W213" s="24"/>
      <c r="X213" s="24"/>
      <c r="Y213" s="24"/>
      <c r="Z213" s="24"/>
      <c r="AA213" s="24"/>
      <c r="AB213" s="24"/>
      <c r="AC213" s="24"/>
    </row>
    <row r="214" spans="1:29" ht="12.9">
      <c r="A214" s="24"/>
      <c r="B214" s="24"/>
      <c r="C214" s="24"/>
      <c r="D214" s="24"/>
      <c r="E214" s="24"/>
      <c r="F214" s="117"/>
      <c r="G214" s="117"/>
      <c r="H214" s="24"/>
      <c r="I214" s="24"/>
      <c r="J214" s="24"/>
      <c r="K214" s="24"/>
      <c r="L214" s="24"/>
      <c r="M214" s="24"/>
      <c r="N214" s="24"/>
      <c r="O214" s="24"/>
      <c r="P214" s="24"/>
      <c r="Q214" s="24"/>
      <c r="R214" s="24"/>
      <c r="S214" s="24"/>
      <c r="T214" s="24"/>
      <c r="U214" s="24"/>
      <c r="V214" s="24"/>
      <c r="W214" s="24"/>
      <c r="X214" s="24"/>
      <c r="Y214" s="24"/>
      <c r="Z214" s="24"/>
      <c r="AA214" s="24"/>
      <c r="AB214" s="24"/>
      <c r="AC214" s="24"/>
    </row>
    <row r="215" spans="1:29" ht="12.9">
      <c r="A215" s="24"/>
      <c r="B215" s="24"/>
      <c r="C215" s="24"/>
      <c r="D215" s="24"/>
      <c r="E215" s="24"/>
      <c r="F215" s="117"/>
      <c r="G215" s="117"/>
      <c r="H215" s="24"/>
      <c r="I215" s="24"/>
      <c r="J215" s="24"/>
      <c r="K215" s="24"/>
      <c r="L215" s="24"/>
      <c r="M215" s="24"/>
      <c r="N215" s="24"/>
      <c r="O215" s="24"/>
      <c r="P215" s="24"/>
      <c r="Q215" s="24"/>
      <c r="R215" s="24"/>
      <c r="S215" s="24"/>
      <c r="T215" s="24"/>
      <c r="U215" s="24"/>
      <c r="V215" s="24"/>
      <c r="W215" s="24"/>
      <c r="X215" s="24"/>
      <c r="Y215" s="24"/>
      <c r="Z215" s="24"/>
      <c r="AA215" s="24"/>
      <c r="AB215" s="24"/>
      <c r="AC215" s="24"/>
    </row>
    <row r="216" spans="1:29" ht="12.9">
      <c r="A216" s="24"/>
      <c r="B216" s="24"/>
      <c r="C216" s="24"/>
      <c r="D216" s="24"/>
      <c r="E216" s="24"/>
      <c r="F216" s="117"/>
      <c r="G216" s="117"/>
      <c r="H216" s="24"/>
      <c r="I216" s="24"/>
      <c r="J216" s="24"/>
      <c r="K216" s="24"/>
      <c r="L216" s="24"/>
      <c r="M216" s="24"/>
      <c r="N216" s="24"/>
      <c r="O216" s="24"/>
      <c r="P216" s="24"/>
      <c r="Q216" s="24"/>
      <c r="R216" s="24"/>
      <c r="S216" s="24"/>
      <c r="T216" s="24"/>
      <c r="U216" s="24"/>
      <c r="V216" s="24"/>
      <c r="W216" s="24"/>
      <c r="X216" s="24"/>
      <c r="Y216" s="24"/>
      <c r="Z216" s="24"/>
      <c r="AA216" s="24"/>
      <c r="AB216" s="24"/>
      <c r="AC216" s="24"/>
    </row>
    <row r="217" spans="1:29" ht="12.9">
      <c r="A217" s="24"/>
      <c r="B217" s="24"/>
      <c r="C217" s="24"/>
      <c r="D217" s="24"/>
      <c r="E217" s="24"/>
      <c r="F217" s="117"/>
      <c r="G217" s="117"/>
      <c r="H217" s="24"/>
      <c r="I217" s="24"/>
      <c r="J217" s="24"/>
      <c r="K217" s="24"/>
      <c r="L217" s="24"/>
      <c r="M217" s="24"/>
      <c r="N217" s="24"/>
      <c r="O217" s="24"/>
      <c r="P217" s="24"/>
      <c r="Q217" s="24"/>
      <c r="R217" s="24"/>
      <c r="S217" s="24"/>
      <c r="T217" s="24"/>
      <c r="U217" s="24"/>
      <c r="V217" s="24"/>
      <c r="W217" s="24"/>
      <c r="X217" s="24"/>
      <c r="Y217" s="24"/>
      <c r="Z217" s="24"/>
      <c r="AA217" s="24"/>
      <c r="AB217" s="24"/>
      <c r="AC217" s="24"/>
    </row>
    <row r="218" spans="1:29" ht="12.9">
      <c r="A218" s="24"/>
      <c r="B218" s="24"/>
      <c r="C218" s="24"/>
      <c r="D218" s="24"/>
      <c r="E218" s="24"/>
      <c r="F218" s="117"/>
      <c r="G218" s="117"/>
      <c r="H218" s="24"/>
      <c r="I218" s="24"/>
      <c r="J218" s="24"/>
      <c r="K218" s="24"/>
      <c r="L218" s="24"/>
      <c r="M218" s="24"/>
      <c r="N218" s="24"/>
      <c r="O218" s="24"/>
      <c r="P218" s="24"/>
      <c r="Q218" s="24"/>
      <c r="R218" s="24"/>
      <c r="S218" s="24"/>
      <c r="T218" s="24"/>
      <c r="U218" s="24"/>
      <c r="V218" s="24"/>
      <c r="W218" s="24"/>
      <c r="X218" s="24"/>
      <c r="Y218" s="24"/>
      <c r="Z218" s="24"/>
      <c r="AA218" s="24"/>
      <c r="AB218" s="24"/>
      <c r="AC218" s="24"/>
    </row>
    <row r="219" spans="1:29" ht="12.9">
      <c r="A219" s="24"/>
      <c r="B219" s="24"/>
      <c r="C219" s="24"/>
      <c r="D219" s="24"/>
      <c r="E219" s="24"/>
      <c r="F219" s="117"/>
      <c r="G219" s="117"/>
      <c r="H219" s="24"/>
      <c r="I219" s="24"/>
      <c r="J219" s="24"/>
      <c r="K219" s="24"/>
      <c r="L219" s="24"/>
      <c r="M219" s="24"/>
      <c r="N219" s="24"/>
      <c r="O219" s="24"/>
      <c r="P219" s="24"/>
      <c r="Q219" s="24"/>
      <c r="R219" s="24"/>
      <c r="S219" s="24"/>
      <c r="T219" s="24"/>
      <c r="U219" s="24"/>
      <c r="V219" s="24"/>
      <c r="W219" s="24"/>
      <c r="X219" s="24"/>
      <c r="Y219" s="24"/>
      <c r="Z219" s="24"/>
      <c r="AA219" s="24"/>
      <c r="AB219" s="24"/>
      <c r="AC219" s="24"/>
    </row>
    <row r="220" spans="1:29" ht="12.9">
      <c r="A220" s="24"/>
      <c r="B220" s="24"/>
      <c r="C220" s="24"/>
      <c r="D220" s="24"/>
      <c r="E220" s="24"/>
      <c r="F220" s="117"/>
      <c r="G220" s="117"/>
      <c r="H220" s="24"/>
      <c r="I220" s="24"/>
      <c r="J220" s="24"/>
      <c r="K220" s="24"/>
      <c r="L220" s="24"/>
      <c r="M220" s="24"/>
      <c r="N220" s="24"/>
      <c r="O220" s="24"/>
      <c r="P220" s="24"/>
      <c r="Q220" s="24"/>
      <c r="R220" s="24"/>
      <c r="S220" s="24"/>
      <c r="T220" s="24"/>
      <c r="U220" s="24"/>
      <c r="V220" s="24"/>
      <c r="W220" s="24"/>
      <c r="X220" s="24"/>
      <c r="Y220" s="24"/>
      <c r="Z220" s="24"/>
      <c r="AA220" s="24"/>
      <c r="AB220" s="24"/>
      <c r="AC220" s="24"/>
    </row>
    <row r="221" spans="1:29" ht="12.9">
      <c r="A221" s="24"/>
      <c r="B221" s="24"/>
      <c r="C221" s="24"/>
      <c r="D221" s="24"/>
      <c r="E221" s="24"/>
      <c r="F221" s="117"/>
      <c r="G221" s="117"/>
      <c r="H221" s="24"/>
      <c r="I221" s="24"/>
      <c r="J221" s="24"/>
      <c r="K221" s="24"/>
      <c r="L221" s="24"/>
      <c r="M221" s="24"/>
      <c r="N221" s="24"/>
      <c r="O221" s="24"/>
      <c r="P221" s="24"/>
      <c r="Q221" s="24"/>
      <c r="R221" s="24"/>
      <c r="S221" s="24"/>
      <c r="T221" s="24"/>
      <c r="U221" s="24"/>
      <c r="V221" s="24"/>
      <c r="W221" s="24"/>
      <c r="X221" s="24"/>
      <c r="Y221" s="24"/>
      <c r="Z221" s="24"/>
      <c r="AA221" s="24"/>
      <c r="AB221" s="24"/>
      <c r="AC221" s="24"/>
    </row>
    <row r="222" spans="1:29" ht="12.9">
      <c r="A222" s="24"/>
      <c r="B222" s="24"/>
      <c r="C222" s="24"/>
      <c r="D222" s="24"/>
      <c r="E222" s="24"/>
      <c r="F222" s="117"/>
      <c r="G222" s="117"/>
      <c r="H222" s="24"/>
      <c r="I222" s="24"/>
      <c r="J222" s="24"/>
      <c r="K222" s="24"/>
      <c r="L222" s="24"/>
      <c r="M222" s="24"/>
      <c r="N222" s="24"/>
      <c r="O222" s="24"/>
      <c r="P222" s="24"/>
      <c r="Q222" s="24"/>
      <c r="R222" s="24"/>
      <c r="S222" s="24"/>
      <c r="T222" s="24"/>
      <c r="U222" s="24"/>
      <c r="V222" s="24"/>
      <c r="W222" s="24"/>
      <c r="X222" s="24"/>
      <c r="Y222" s="24"/>
      <c r="Z222" s="24"/>
      <c r="AA222" s="24"/>
      <c r="AB222" s="24"/>
      <c r="AC222" s="24"/>
    </row>
    <row r="223" spans="1:29" ht="12.9">
      <c r="A223" s="24"/>
      <c r="B223" s="24"/>
      <c r="C223" s="24"/>
      <c r="D223" s="24"/>
      <c r="E223" s="24"/>
      <c r="F223" s="117"/>
      <c r="G223" s="117"/>
      <c r="H223" s="24"/>
      <c r="I223" s="24"/>
      <c r="J223" s="24"/>
      <c r="K223" s="24"/>
      <c r="L223" s="24"/>
      <c r="M223" s="24"/>
      <c r="N223" s="24"/>
      <c r="O223" s="24"/>
      <c r="P223" s="24"/>
      <c r="Q223" s="24"/>
      <c r="R223" s="24"/>
      <c r="S223" s="24"/>
      <c r="T223" s="24"/>
      <c r="U223" s="24"/>
      <c r="V223" s="24"/>
      <c r="W223" s="24"/>
      <c r="X223" s="24"/>
      <c r="Y223" s="24"/>
      <c r="Z223" s="24"/>
      <c r="AA223" s="24"/>
      <c r="AB223" s="24"/>
      <c r="AC223" s="24"/>
    </row>
    <row r="224" spans="1:29" ht="12.9">
      <c r="A224" s="24"/>
      <c r="B224" s="24"/>
      <c r="C224" s="24"/>
      <c r="D224" s="24"/>
      <c r="E224" s="24"/>
      <c r="F224" s="117"/>
      <c r="G224" s="117"/>
      <c r="H224" s="24"/>
      <c r="I224" s="24"/>
      <c r="J224" s="24"/>
      <c r="K224" s="24"/>
      <c r="L224" s="24"/>
      <c r="M224" s="24"/>
      <c r="N224" s="24"/>
      <c r="O224" s="24"/>
      <c r="P224" s="24"/>
      <c r="Q224" s="24"/>
      <c r="R224" s="24"/>
      <c r="S224" s="24"/>
      <c r="T224" s="24"/>
      <c r="U224" s="24"/>
      <c r="V224" s="24"/>
      <c r="W224" s="24"/>
      <c r="X224" s="24"/>
      <c r="Y224" s="24"/>
      <c r="Z224" s="24"/>
      <c r="AA224" s="24"/>
      <c r="AB224" s="24"/>
      <c r="AC224" s="24"/>
    </row>
    <row r="225" spans="1:29" ht="12.9">
      <c r="A225" s="24"/>
      <c r="B225" s="24"/>
      <c r="C225" s="24"/>
      <c r="D225" s="24"/>
      <c r="E225" s="24"/>
      <c r="F225" s="117"/>
      <c r="G225" s="117"/>
      <c r="H225" s="24"/>
      <c r="I225" s="24"/>
      <c r="J225" s="24"/>
      <c r="K225" s="24"/>
      <c r="L225" s="24"/>
      <c r="M225" s="24"/>
      <c r="N225" s="24"/>
      <c r="O225" s="24"/>
      <c r="P225" s="24"/>
      <c r="Q225" s="24"/>
      <c r="R225" s="24"/>
      <c r="S225" s="24"/>
      <c r="T225" s="24"/>
      <c r="U225" s="24"/>
      <c r="V225" s="24"/>
      <c r="W225" s="24"/>
      <c r="X225" s="24"/>
      <c r="Y225" s="24"/>
      <c r="Z225" s="24"/>
      <c r="AA225" s="24"/>
      <c r="AB225" s="24"/>
      <c r="AC225" s="24"/>
    </row>
    <row r="226" spans="1:29" ht="12.9">
      <c r="A226" s="24"/>
      <c r="B226" s="24"/>
      <c r="C226" s="24"/>
      <c r="D226" s="24"/>
      <c r="E226" s="24"/>
      <c r="F226" s="117"/>
      <c r="G226" s="117"/>
      <c r="H226" s="24"/>
      <c r="I226" s="24"/>
      <c r="J226" s="24"/>
      <c r="K226" s="24"/>
      <c r="L226" s="24"/>
      <c r="M226" s="24"/>
      <c r="N226" s="24"/>
      <c r="O226" s="24"/>
      <c r="P226" s="24"/>
      <c r="Q226" s="24"/>
      <c r="R226" s="24"/>
      <c r="S226" s="24"/>
      <c r="T226" s="24"/>
      <c r="U226" s="24"/>
      <c r="V226" s="24"/>
      <c r="W226" s="24"/>
      <c r="X226" s="24"/>
      <c r="Y226" s="24"/>
      <c r="Z226" s="24"/>
      <c r="AA226" s="24"/>
      <c r="AB226" s="24"/>
      <c r="AC226" s="24"/>
    </row>
    <row r="227" spans="1:29" ht="12.9">
      <c r="A227" s="24"/>
      <c r="B227" s="24"/>
      <c r="C227" s="24"/>
      <c r="D227" s="24"/>
      <c r="E227" s="24"/>
      <c r="F227" s="117"/>
      <c r="G227" s="117"/>
      <c r="H227" s="24"/>
      <c r="I227" s="24"/>
      <c r="J227" s="24"/>
      <c r="K227" s="24"/>
      <c r="L227" s="24"/>
      <c r="M227" s="24"/>
      <c r="N227" s="24"/>
      <c r="O227" s="24"/>
      <c r="P227" s="24"/>
      <c r="Q227" s="24"/>
      <c r="R227" s="24"/>
      <c r="S227" s="24"/>
      <c r="T227" s="24"/>
      <c r="U227" s="24"/>
      <c r="V227" s="24"/>
      <c r="W227" s="24"/>
      <c r="X227" s="24"/>
      <c r="Y227" s="24"/>
      <c r="Z227" s="24"/>
      <c r="AA227" s="24"/>
      <c r="AB227" s="24"/>
      <c r="AC227" s="24"/>
    </row>
    <row r="228" spans="1:29" ht="12.9">
      <c r="A228" s="24"/>
      <c r="B228" s="24"/>
      <c r="C228" s="24"/>
      <c r="D228" s="24"/>
      <c r="E228" s="24"/>
      <c r="F228" s="117"/>
      <c r="G228" s="117"/>
      <c r="H228" s="24"/>
      <c r="I228" s="24"/>
      <c r="J228" s="24"/>
      <c r="K228" s="24"/>
      <c r="L228" s="24"/>
      <c r="M228" s="24"/>
      <c r="N228" s="24"/>
      <c r="O228" s="24"/>
      <c r="P228" s="24"/>
      <c r="Q228" s="24"/>
      <c r="R228" s="24"/>
      <c r="S228" s="24"/>
      <c r="T228" s="24"/>
      <c r="U228" s="24"/>
      <c r="V228" s="24"/>
      <c r="W228" s="24"/>
      <c r="X228" s="24"/>
      <c r="Y228" s="24"/>
      <c r="Z228" s="24"/>
      <c r="AA228" s="24"/>
      <c r="AB228" s="24"/>
      <c r="AC228" s="24"/>
    </row>
    <row r="229" spans="1:29" ht="12.9">
      <c r="A229" s="24"/>
      <c r="B229" s="24"/>
      <c r="C229" s="24"/>
      <c r="D229" s="24"/>
      <c r="E229" s="24"/>
      <c r="F229" s="117"/>
      <c r="G229" s="117"/>
      <c r="H229" s="24"/>
      <c r="I229" s="24"/>
      <c r="J229" s="24"/>
      <c r="K229" s="24"/>
      <c r="L229" s="24"/>
      <c r="M229" s="24"/>
      <c r="N229" s="24"/>
      <c r="O229" s="24"/>
      <c r="P229" s="24"/>
      <c r="Q229" s="24"/>
      <c r="R229" s="24"/>
      <c r="S229" s="24"/>
      <c r="T229" s="24"/>
      <c r="U229" s="24"/>
      <c r="V229" s="24"/>
      <c r="W229" s="24"/>
      <c r="X229" s="24"/>
      <c r="Y229" s="24"/>
      <c r="Z229" s="24"/>
      <c r="AA229" s="24"/>
      <c r="AB229" s="24"/>
      <c r="AC229" s="24"/>
    </row>
    <row r="230" spans="1:29" ht="12.9">
      <c r="A230" s="24"/>
      <c r="B230" s="24"/>
      <c r="C230" s="24"/>
      <c r="D230" s="24"/>
      <c r="E230" s="24"/>
      <c r="F230" s="117"/>
      <c r="G230" s="117"/>
      <c r="H230" s="24"/>
      <c r="I230" s="24"/>
      <c r="J230" s="24"/>
      <c r="K230" s="24"/>
      <c r="L230" s="24"/>
      <c r="M230" s="24"/>
      <c r="N230" s="24"/>
      <c r="O230" s="24"/>
      <c r="P230" s="24"/>
      <c r="Q230" s="24"/>
      <c r="R230" s="24"/>
      <c r="S230" s="24"/>
      <c r="T230" s="24"/>
      <c r="U230" s="24"/>
      <c r="V230" s="24"/>
      <c r="W230" s="24"/>
      <c r="X230" s="24"/>
      <c r="Y230" s="24"/>
      <c r="Z230" s="24"/>
      <c r="AA230" s="24"/>
      <c r="AB230" s="24"/>
      <c r="AC230" s="24"/>
    </row>
    <row r="231" spans="1:29" ht="12.9">
      <c r="A231" s="24"/>
      <c r="B231" s="24"/>
      <c r="C231" s="24"/>
      <c r="D231" s="24"/>
      <c r="E231" s="24"/>
      <c r="F231" s="117"/>
      <c r="G231" s="117"/>
      <c r="H231" s="24"/>
      <c r="I231" s="24"/>
      <c r="J231" s="24"/>
      <c r="K231" s="24"/>
      <c r="L231" s="24"/>
      <c r="M231" s="24"/>
      <c r="N231" s="24"/>
      <c r="O231" s="24"/>
      <c r="P231" s="24"/>
      <c r="Q231" s="24"/>
      <c r="R231" s="24"/>
      <c r="S231" s="24"/>
      <c r="T231" s="24"/>
      <c r="U231" s="24"/>
      <c r="V231" s="24"/>
      <c r="W231" s="24"/>
      <c r="X231" s="24"/>
      <c r="Y231" s="24"/>
      <c r="Z231" s="24"/>
      <c r="AA231" s="24"/>
      <c r="AB231" s="24"/>
      <c r="AC231" s="24"/>
    </row>
    <row r="232" spans="1:29" ht="12.9">
      <c r="A232" s="24"/>
      <c r="B232" s="24"/>
      <c r="C232" s="24"/>
      <c r="D232" s="24"/>
      <c r="E232" s="24"/>
      <c r="F232" s="117"/>
      <c r="G232" s="117"/>
      <c r="H232" s="24"/>
      <c r="I232" s="24"/>
      <c r="J232" s="24"/>
      <c r="K232" s="24"/>
      <c r="L232" s="24"/>
      <c r="M232" s="24"/>
      <c r="N232" s="24"/>
      <c r="O232" s="24"/>
      <c r="P232" s="24"/>
      <c r="Q232" s="24"/>
      <c r="R232" s="24"/>
      <c r="S232" s="24"/>
      <c r="T232" s="24"/>
      <c r="U232" s="24"/>
      <c r="V232" s="24"/>
      <c r="W232" s="24"/>
      <c r="X232" s="24"/>
      <c r="Y232" s="24"/>
      <c r="Z232" s="24"/>
      <c r="AA232" s="24"/>
      <c r="AB232" s="24"/>
      <c r="AC232" s="24"/>
    </row>
    <row r="233" spans="1:29" ht="12.9">
      <c r="A233" s="24"/>
      <c r="B233" s="24"/>
      <c r="C233" s="24"/>
      <c r="D233" s="24"/>
      <c r="E233" s="24"/>
      <c r="F233" s="117"/>
      <c r="G233" s="117"/>
      <c r="H233" s="24"/>
      <c r="I233" s="24"/>
      <c r="J233" s="24"/>
      <c r="K233" s="24"/>
      <c r="L233" s="24"/>
      <c r="M233" s="24"/>
      <c r="N233" s="24"/>
      <c r="O233" s="24"/>
      <c r="P233" s="24"/>
      <c r="Q233" s="24"/>
      <c r="R233" s="24"/>
      <c r="S233" s="24"/>
      <c r="T233" s="24"/>
      <c r="U233" s="24"/>
      <c r="V233" s="24"/>
      <c r="W233" s="24"/>
      <c r="X233" s="24"/>
      <c r="Y233" s="24"/>
      <c r="Z233" s="24"/>
      <c r="AA233" s="24"/>
      <c r="AB233" s="24"/>
      <c r="AC233" s="24"/>
    </row>
    <row r="234" spans="1:29" ht="12.9">
      <c r="A234" s="24"/>
      <c r="B234" s="24"/>
      <c r="C234" s="24"/>
      <c r="D234" s="24"/>
      <c r="E234" s="24"/>
      <c r="F234" s="117"/>
      <c r="G234" s="117"/>
      <c r="H234" s="24"/>
      <c r="I234" s="24"/>
      <c r="J234" s="24"/>
      <c r="K234" s="24"/>
      <c r="L234" s="24"/>
      <c r="M234" s="24"/>
      <c r="N234" s="24"/>
      <c r="O234" s="24"/>
      <c r="P234" s="24"/>
      <c r="Q234" s="24"/>
      <c r="R234" s="24"/>
      <c r="S234" s="24"/>
      <c r="T234" s="24"/>
      <c r="U234" s="24"/>
      <c r="V234" s="24"/>
      <c r="W234" s="24"/>
      <c r="X234" s="24"/>
      <c r="Y234" s="24"/>
      <c r="Z234" s="24"/>
      <c r="AA234" s="24"/>
      <c r="AB234" s="24"/>
      <c r="AC234" s="24"/>
    </row>
    <row r="235" spans="1:29" ht="12.9">
      <c r="A235" s="24"/>
      <c r="B235" s="24"/>
      <c r="C235" s="24"/>
      <c r="D235" s="24"/>
      <c r="E235" s="24"/>
      <c r="F235" s="117"/>
      <c r="G235" s="117"/>
      <c r="H235" s="24"/>
      <c r="I235" s="24"/>
      <c r="J235" s="24"/>
      <c r="K235" s="24"/>
      <c r="L235" s="24"/>
      <c r="M235" s="24"/>
      <c r="N235" s="24"/>
      <c r="O235" s="24"/>
      <c r="P235" s="24"/>
      <c r="Q235" s="24"/>
      <c r="R235" s="24"/>
      <c r="S235" s="24"/>
      <c r="T235" s="24"/>
      <c r="U235" s="24"/>
      <c r="V235" s="24"/>
      <c r="W235" s="24"/>
      <c r="X235" s="24"/>
      <c r="Y235" s="24"/>
      <c r="Z235" s="24"/>
      <c r="AA235" s="24"/>
      <c r="AB235" s="24"/>
      <c r="AC235" s="24"/>
    </row>
    <row r="236" spans="1:29" ht="12.9">
      <c r="A236" s="24"/>
      <c r="B236" s="24"/>
      <c r="C236" s="24"/>
      <c r="D236" s="24"/>
      <c r="E236" s="24"/>
      <c r="F236" s="117"/>
      <c r="G236" s="117"/>
      <c r="H236" s="24"/>
      <c r="I236" s="24"/>
      <c r="J236" s="24"/>
      <c r="K236" s="24"/>
      <c r="L236" s="24"/>
      <c r="M236" s="24"/>
      <c r="N236" s="24"/>
      <c r="O236" s="24"/>
      <c r="P236" s="24"/>
      <c r="Q236" s="24"/>
      <c r="R236" s="24"/>
      <c r="S236" s="24"/>
      <c r="T236" s="24"/>
      <c r="U236" s="24"/>
      <c r="V236" s="24"/>
      <c r="W236" s="24"/>
      <c r="X236" s="24"/>
      <c r="Y236" s="24"/>
      <c r="Z236" s="24"/>
      <c r="AA236" s="24"/>
      <c r="AB236" s="24"/>
      <c r="AC236" s="24"/>
    </row>
    <row r="237" spans="1:29" ht="12.9">
      <c r="A237" s="24"/>
      <c r="B237" s="24"/>
      <c r="C237" s="24"/>
      <c r="D237" s="24"/>
      <c r="E237" s="24"/>
      <c r="F237" s="117"/>
      <c r="G237" s="117"/>
      <c r="H237" s="24"/>
      <c r="I237" s="24"/>
      <c r="J237" s="24"/>
      <c r="K237" s="24"/>
      <c r="L237" s="24"/>
      <c r="M237" s="24"/>
      <c r="N237" s="24"/>
      <c r="O237" s="24"/>
      <c r="P237" s="24"/>
      <c r="Q237" s="24"/>
      <c r="R237" s="24"/>
      <c r="S237" s="24"/>
      <c r="T237" s="24"/>
      <c r="U237" s="24"/>
      <c r="V237" s="24"/>
      <c r="W237" s="24"/>
      <c r="X237" s="24"/>
      <c r="Y237" s="24"/>
      <c r="Z237" s="24"/>
      <c r="AA237" s="24"/>
      <c r="AB237" s="24"/>
      <c r="AC237" s="24"/>
    </row>
    <row r="238" spans="1:29" ht="12.9">
      <c r="A238" s="24"/>
      <c r="B238" s="24"/>
      <c r="C238" s="24"/>
      <c r="D238" s="24"/>
      <c r="E238" s="24"/>
      <c r="F238" s="117"/>
      <c r="G238" s="117"/>
      <c r="H238" s="24"/>
      <c r="I238" s="24"/>
      <c r="J238" s="24"/>
      <c r="K238" s="24"/>
      <c r="L238" s="24"/>
      <c r="M238" s="24"/>
      <c r="N238" s="24"/>
      <c r="O238" s="24"/>
      <c r="P238" s="24"/>
      <c r="Q238" s="24"/>
      <c r="R238" s="24"/>
      <c r="S238" s="24"/>
      <c r="T238" s="24"/>
      <c r="U238" s="24"/>
      <c r="V238" s="24"/>
      <c r="W238" s="24"/>
      <c r="X238" s="24"/>
      <c r="Y238" s="24"/>
      <c r="Z238" s="24"/>
      <c r="AA238" s="24"/>
      <c r="AB238" s="24"/>
      <c r="AC238" s="24"/>
    </row>
    <row r="239" spans="1:29" ht="12.9">
      <c r="A239" s="24"/>
      <c r="B239" s="24"/>
      <c r="C239" s="24"/>
      <c r="D239" s="24"/>
      <c r="E239" s="24"/>
      <c r="F239" s="117"/>
      <c r="G239" s="117"/>
      <c r="H239" s="24"/>
      <c r="I239" s="24"/>
      <c r="J239" s="24"/>
      <c r="K239" s="24"/>
      <c r="L239" s="24"/>
      <c r="M239" s="24"/>
      <c r="N239" s="24"/>
      <c r="O239" s="24"/>
      <c r="P239" s="24"/>
      <c r="Q239" s="24"/>
      <c r="R239" s="24"/>
      <c r="S239" s="24"/>
      <c r="T239" s="24"/>
      <c r="U239" s="24"/>
      <c r="V239" s="24"/>
      <c r="W239" s="24"/>
      <c r="X239" s="24"/>
      <c r="Y239" s="24"/>
      <c r="Z239" s="24"/>
      <c r="AA239" s="24"/>
      <c r="AB239" s="24"/>
      <c r="AC239" s="24"/>
    </row>
    <row r="240" spans="1:29" ht="12.9">
      <c r="A240" s="24"/>
      <c r="B240" s="24"/>
      <c r="C240" s="24"/>
      <c r="D240" s="24"/>
      <c r="E240" s="24"/>
      <c r="F240" s="117"/>
      <c r="G240" s="117"/>
      <c r="H240" s="24"/>
      <c r="I240" s="24"/>
      <c r="J240" s="24"/>
      <c r="K240" s="24"/>
      <c r="L240" s="24"/>
      <c r="M240" s="24"/>
      <c r="N240" s="24"/>
      <c r="O240" s="24"/>
      <c r="P240" s="24"/>
      <c r="Q240" s="24"/>
      <c r="R240" s="24"/>
      <c r="S240" s="24"/>
      <c r="T240" s="24"/>
      <c r="U240" s="24"/>
      <c r="V240" s="24"/>
      <c r="W240" s="24"/>
      <c r="X240" s="24"/>
      <c r="Y240" s="24"/>
      <c r="Z240" s="24"/>
      <c r="AA240" s="24"/>
      <c r="AB240" s="24"/>
      <c r="AC240" s="24"/>
    </row>
    <row r="241" spans="1:29" ht="12.9">
      <c r="A241" s="24"/>
      <c r="B241" s="24"/>
      <c r="C241" s="24"/>
      <c r="D241" s="24"/>
      <c r="E241" s="24"/>
      <c r="F241" s="117"/>
      <c r="G241" s="117"/>
      <c r="H241" s="24"/>
      <c r="I241" s="24"/>
      <c r="J241" s="24"/>
      <c r="K241" s="24"/>
      <c r="L241" s="24"/>
      <c r="M241" s="24"/>
      <c r="N241" s="24"/>
      <c r="O241" s="24"/>
      <c r="P241" s="24"/>
      <c r="Q241" s="24"/>
      <c r="R241" s="24"/>
      <c r="S241" s="24"/>
      <c r="T241" s="24"/>
      <c r="U241" s="24"/>
      <c r="V241" s="24"/>
      <c r="W241" s="24"/>
      <c r="X241" s="24"/>
      <c r="Y241" s="24"/>
      <c r="Z241" s="24"/>
      <c r="AA241" s="24"/>
      <c r="AB241" s="24"/>
      <c r="AC241" s="24"/>
    </row>
    <row r="242" spans="1:29" ht="12.9">
      <c r="A242" s="24"/>
      <c r="B242" s="24"/>
      <c r="C242" s="24"/>
      <c r="D242" s="24"/>
      <c r="E242" s="24"/>
      <c r="F242" s="117"/>
      <c r="G242" s="117"/>
      <c r="H242" s="24"/>
      <c r="I242" s="24"/>
      <c r="J242" s="24"/>
      <c r="K242" s="24"/>
      <c r="L242" s="24"/>
      <c r="M242" s="24"/>
      <c r="N242" s="24"/>
      <c r="O242" s="24"/>
      <c r="P242" s="24"/>
      <c r="Q242" s="24"/>
      <c r="R242" s="24"/>
      <c r="S242" s="24"/>
      <c r="T242" s="24"/>
      <c r="U242" s="24"/>
      <c r="V242" s="24"/>
      <c r="W242" s="24"/>
      <c r="X242" s="24"/>
      <c r="Y242" s="24"/>
      <c r="Z242" s="24"/>
      <c r="AA242" s="24"/>
      <c r="AB242" s="24"/>
      <c r="AC242" s="24"/>
    </row>
    <row r="243" spans="1:29" ht="12.9">
      <c r="A243" s="24"/>
      <c r="B243" s="24"/>
      <c r="C243" s="24"/>
      <c r="D243" s="24"/>
      <c r="E243" s="24"/>
      <c r="F243" s="117"/>
      <c r="G243" s="117"/>
      <c r="H243" s="24"/>
      <c r="I243" s="24"/>
      <c r="J243" s="24"/>
      <c r="K243" s="24"/>
      <c r="L243" s="24"/>
      <c r="M243" s="24"/>
      <c r="N243" s="24"/>
      <c r="O243" s="24"/>
      <c r="P243" s="24"/>
      <c r="Q243" s="24"/>
      <c r="R243" s="24"/>
      <c r="S243" s="24"/>
      <c r="T243" s="24"/>
      <c r="U243" s="24"/>
      <c r="V243" s="24"/>
      <c r="W243" s="24"/>
      <c r="X243" s="24"/>
      <c r="Y243" s="24"/>
      <c r="Z243" s="24"/>
      <c r="AA243" s="24"/>
      <c r="AB243" s="24"/>
      <c r="AC243" s="24"/>
    </row>
    <row r="244" spans="1:29" ht="12.9">
      <c r="A244" s="24"/>
      <c r="B244" s="24"/>
      <c r="C244" s="24"/>
      <c r="D244" s="24"/>
      <c r="E244" s="24"/>
      <c r="F244" s="117"/>
      <c r="G244" s="117"/>
      <c r="H244" s="24"/>
      <c r="I244" s="24"/>
      <c r="J244" s="24"/>
      <c r="K244" s="24"/>
      <c r="L244" s="24"/>
      <c r="M244" s="24"/>
      <c r="N244" s="24"/>
      <c r="O244" s="24"/>
      <c r="P244" s="24"/>
      <c r="Q244" s="24"/>
      <c r="R244" s="24"/>
      <c r="S244" s="24"/>
      <c r="T244" s="24"/>
      <c r="U244" s="24"/>
      <c r="V244" s="24"/>
      <c r="W244" s="24"/>
      <c r="X244" s="24"/>
      <c r="Y244" s="24"/>
      <c r="Z244" s="24"/>
      <c r="AA244" s="24"/>
      <c r="AB244" s="24"/>
      <c r="AC244" s="24"/>
    </row>
    <row r="245" spans="1:29" ht="12.9">
      <c r="A245" s="24"/>
      <c r="B245" s="24"/>
      <c r="C245" s="24"/>
      <c r="D245" s="24"/>
      <c r="E245" s="24"/>
      <c r="F245" s="117"/>
      <c r="G245" s="117"/>
      <c r="H245" s="24"/>
      <c r="I245" s="24"/>
      <c r="J245" s="24"/>
      <c r="K245" s="24"/>
      <c r="L245" s="24"/>
      <c r="M245" s="24"/>
      <c r="N245" s="24"/>
      <c r="O245" s="24"/>
      <c r="P245" s="24"/>
      <c r="Q245" s="24"/>
      <c r="R245" s="24"/>
      <c r="S245" s="24"/>
      <c r="T245" s="24"/>
      <c r="U245" s="24"/>
      <c r="V245" s="24"/>
      <c r="W245" s="24"/>
      <c r="X245" s="24"/>
      <c r="Y245" s="24"/>
      <c r="Z245" s="24"/>
      <c r="AA245" s="24"/>
      <c r="AB245" s="24"/>
      <c r="AC245" s="24"/>
    </row>
    <row r="246" spans="1:29" ht="12.9">
      <c r="A246" s="24"/>
      <c r="B246" s="24"/>
      <c r="C246" s="24"/>
      <c r="D246" s="24"/>
      <c r="E246" s="24"/>
      <c r="F246" s="117"/>
      <c r="G246" s="117"/>
      <c r="H246" s="24"/>
      <c r="I246" s="24"/>
      <c r="J246" s="24"/>
      <c r="K246" s="24"/>
      <c r="L246" s="24"/>
      <c r="M246" s="24"/>
      <c r="N246" s="24"/>
      <c r="O246" s="24"/>
      <c r="P246" s="24"/>
      <c r="Q246" s="24"/>
      <c r="R246" s="24"/>
      <c r="S246" s="24"/>
      <c r="T246" s="24"/>
      <c r="U246" s="24"/>
      <c r="V246" s="24"/>
      <c r="W246" s="24"/>
      <c r="X246" s="24"/>
      <c r="Y246" s="24"/>
      <c r="Z246" s="24"/>
      <c r="AA246" s="24"/>
      <c r="AB246" s="24"/>
      <c r="AC246" s="24"/>
    </row>
    <row r="247" spans="1:29" ht="12.9">
      <c r="A247" s="24"/>
      <c r="B247" s="24"/>
      <c r="C247" s="24"/>
      <c r="D247" s="24"/>
      <c r="E247" s="24"/>
      <c r="F247" s="117"/>
      <c r="G247" s="117"/>
      <c r="H247" s="24"/>
      <c r="I247" s="24"/>
      <c r="J247" s="24"/>
      <c r="K247" s="24"/>
      <c r="L247" s="24"/>
      <c r="M247" s="24"/>
      <c r="N247" s="24"/>
      <c r="O247" s="24"/>
      <c r="P247" s="24"/>
      <c r="Q247" s="24"/>
      <c r="R247" s="24"/>
      <c r="S247" s="24"/>
      <c r="T247" s="24"/>
      <c r="U247" s="24"/>
      <c r="V247" s="24"/>
      <c r="W247" s="24"/>
      <c r="X247" s="24"/>
      <c r="Y247" s="24"/>
      <c r="Z247" s="24"/>
      <c r="AA247" s="24"/>
      <c r="AB247" s="24"/>
      <c r="AC247" s="24"/>
    </row>
    <row r="248" spans="1:29" ht="12.9">
      <c r="A248" s="24"/>
      <c r="B248" s="24"/>
      <c r="C248" s="24"/>
      <c r="D248" s="24"/>
      <c r="E248" s="24"/>
      <c r="F248" s="117"/>
      <c r="G248" s="117"/>
      <c r="H248" s="24"/>
      <c r="I248" s="24"/>
      <c r="J248" s="24"/>
      <c r="K248" s="24"/>
      <c r="L248" s="24"/>
      <c r="M248" s="24"/>
      <c r="N248" s="24"/>
      <c r="O248" s="24"/>
      <c r="P248" s="24"/>
      <c r="Q248" s="24"/>
      <c r="R248" s="24"/>
      <c r="S248" s="24"/>
      <c r="T248" s="24"/>
      <c r="U248" s="24"/>
      <c r="V248" s="24"/>
      <c r="W248" s="24"/>
      <c r="X248" s="24"/>
      <c r="Y248" s="24"/>
      <c r="Z248" s="24"/>
      <c r="AA248" s="24"/>
      <c r="AB248" s="24"/>
      <c r="AC248" s="24"/>
    </row>
    <row r="249" spans="1:29" ht="12.9">
      <c r="A249" s="24"/>
      <c r="B249" s="24"/>
      <c r="C249" s="24"/>
      <c r="D249" s="24"/>
      <c r="E249" s="24"/>
      <c r="F249" s="117"/>
      <c r="G249" s="117"/>
      <c r="H249" s="24"/>
      <c r="I249" s="24"/>
      <c r="J249" s="24"/>
      <c r="K249" s="24"/>
      <c r="L249" s="24"/>
      <c r="M249" s="24"/>
      <c r="N249" s="24"/>
      <c r="O249" s="24"/>
      <c r="P249" s="24"/>
      <c r="Q249" s="24"/>
      <c r="R249" s="24"/>
      <c r="S249" s="24"/>
      <c r="T249" s="24"/>
      <c r="U249" s="24"/>
      <c r="V249" s="24"/>
      <c r="W249" s="24"/>
      <c r="X249" s="24"/>
      <c r="Y249" s="24"/>
      <c r="Z249" s="24"/>
      <c r="AA249" s="24"/>
      <c r="AB249" s="24"/>
      <c r="AC249" s="24"/>
    </row>
    <row r="250" spans="1:29" ht="12.9">
      <c r="A250" s="24"/>
      <c r="B250" s="24"/>
      <c r="C250" s="24"/>
      <c r="D250" s="24"/>
      <c r="E250" s="24"/>
      <c r="F250" s="117"/>
      <c r="G250" s="117"/>
      <c r="H250" s="24"/>
      <c r="I250" s="24"/>
      <c r="J250" s="24"/>
      <c r="K250" s="24"/>
      <c r="L250" s="24"/>
      <c r="M250" s="24"/>
      <c r="N250" s="24"/>
      <c r="O250" s="24"/>
      <c r="P250" s="24"/>
      <c r="Q250" s="24"/>
      <c r="R250" s="24"/>
      <c r="S250" s="24"/>
      <c r="T250" s="24"/>
      <c r="U250" s="24"/>
      <c r="V250" s="24"/>
      <c r="W250" s="24"/>
      <c r="X250" s="24"/>
      <c r="Y250" s="24"/>
      <c r="Z250" s="24"/>
      <c r="AA250" s="24"/>
      <c r="AB250" s="24"/>
      <c r="AC250" s="24"/>
    </row>
    <row r="251" spans="1:29" ht="12.9">
      <c r="A251" s="24"/>
      <c r="B251" s="24"/>
      <c r="C251" s="24"/>
      <c r="D251" s="24"/>
      <c r="E251" s="24"/>
      <c r="F251" s="117"/>
      <c r="G251" s="117"/>
      <c r="H251" s="24"/>
      <c r="I251" s="24"/>
      <c r="J251" s="24"/>
      <c r="K251" s="24"/>
      <c r="L251" s="24"/>
      <c r="M251" s="24"/>
      <c r="N251" s="24"/>
      <c r="O251" s="24"/>
      <c r="P251" s="24"/>
      <c r="Q251" s="24"/>
      <c r="R251" s="24"/>
      <c r="S251" s="24"/>
      <c r="T251" s="24"/>
      <c r="U251" s="24"/>
      <c r="V251" s="24"/>
      <c r="W251" s="24"/>
      <c r="X251" s="24"/>
      <c r="Y251" s="24"/>
      <c r="Z251" s="24"/>
      <c r="AA251" s="24"/>
      <c r="AB251" s="24"/>
      <c r="AC251" s="24"/>
    </row>
    <row r="252" spans="1:29" ht="12.9">
      <c r="A252" s="24"/>
      <c r="B252" s="24"/>
      <c r="C252" s="24"/>
      <c r="D252" s="24"/>
      <c r="E252" s="24"/>
      <c r="F252" s="117"/>
      <c r="G252" s="117"/>
      <c r="H252" s="24"/>
      <c r="I252" s="24"/>
      <c r="J252" s="24"/>
      <c r="K252" s="24"/>
      <c r="L252" s="24"/>
      <c r="M252" s="24"/>
      <c r="N252" s="24"/>
      <c r="O252" s="24"/>
      <c r="P252" s="24"/>
      <c r="Q252" s="24"/>
      <c r="R252" s="24"/>
      <c r="S252" s="24"/>
      <c r="T252" s="24"/>
      <c r="U252" s="24"/>
      <c r="V252" s="24"/>
      <c r="W252" s="24"/>
      <c r="X252" s="24"/>
      <c r="Y252" s="24"/>
      <c r="Z252" s="24"/>
      <c r="AA252" s="24"/>
      <c r="AB252" s="24"/>
      <c r="AC252" s="24"/>
    </row>
    <row r="253" spans="1:29" ht="12.9">
      <c r="A253" s="24"/>
      <c r="B253" s="24"/>
      <c r="C253" s="24"/>
      <c r="D253" s="24"/>
      <c r="E253" s="24"/>
      <c r="F253" s="117"/>
      <c r="G253" s="117"/>
      <c r="H253" s="24"/>
      <c r="I253" s="24"/>
      <c r="J253" s="24"/>
      <c r="K253" s="24"/>
      <c r="L253" s="24"/>
      <c r="M253" s="24"/>
      <c r="N253" s="24"/>
      <c r="O253" s="24"/>
      <c r="P253" s="24"/>
      <c r="Q253" s="24"/>
      <c r="R253" s="24"/>
      <c r="S253" s="24"/>
      <c r="T253" s="24"/>
      <c r="U253" s="24"/>
      <c r="V253" s="24"/>
      <c r="W253" s="24"/>
      <c r="X253" s="24"/>
      <c r="Y253" s="24"/>
      <c r="Z253" s="24"/>
      <c r="AA253" s="24"/>
      <c r="AB253" s="24"/>
      <c r="AC253" s="24"/>
    </row>
    <row r="254" spans="1:29" ht="12.9">
      <c r="A254" s="24"/>
      <c r="B254" s="24"/>
      <c r="C254" s="24"/>
      <c r="D254" s="24"/>
      <c r="E254" s="24"/>
      <c r="F254" s="117"/>
      <c r="G254" s="117"/>
      <c r="H254" s="24"/>
      <c r="I254" s="24"/>
      <c r="J254" s="24"/>
      <c r="K254" s="24"/>
      <c r="L254" s="24"/>
      <c r="M254" s="24"/>
      <c r="N254" s="24"/>
      <c r="O254" s="24"/>
      <c r="P254" s="24"/>
      <c r="Q254" s="24"/>
      <c r="R254" s="24"/>
      <c r="S254" s="24"/>
      <c r="T254" s="24"/>
      <c r="U254" s="24"/>
      <c r="V254" s="24"/>
      <c r="W254" s="24"/>
      <c r="X254" s="24"/>
      <c r="Y254" s="24"/>
      <c r="Z254" s="24"/>
      <c r="AA254" s="24"/>
      <c r="AB254" s="24"/>
      <c r="AC254" s="24"/>
    </row>
    <row r="255" spans="1:29" ht="12.9">
      <c r="A255" s="24"/>
      <c r="B255" s="24"/>
      <c r="C255" s="24"/>
      <c r="D255" s="24"/>
      <c r="E255" s="24"/>
      <c r="F255" s="117"/>
      <c r="G255" s="117"/>
      <c r="H255" s="24"/>
      <c r="I255" s="24"/>
      <c r="J255" s="24"/>
      <c r="K255" s="24"/>
      <c r="L255" s="24"/>
      <c r="M255" s="24"/>
      <c r="N255" s="24"/>
      <c r="O255" s="24"/>
      <c r="P255" s="24"/>
      <c r="Q255" s="24"/>
      <c r="R255" s="24"/>
      <c r="S255" s="24"/>
      <c r="T255" s="24"/>
      <c r="U255" s="24"/>
      <c r="V255" s="24"/>
      <c r="W255" s="24"/>
      <c r="X255" s="24"/>
      <c r="Y255" s="24"/>
      <c r="Z255" s="24"/>
      <c r="AA255" s="24"/>
      <c r="AB255" s="24"/>
      <c r="AC255" s="24"/>
    </row>
    <row r="256" spans="1:29" ht="12.9">
      <c r="A256" s="24"/>
      <c r="B256" s="24"/>
      <c r="C256" s="24"/>
      <c r="D256" s="24"/>
      <c r="E256" s="24"/>
      <c r="F256" s="117"/>
      <c r="G256" s="117"/>
      <c r="H256" s="24"/>
      <c r="I256" s="24"/>
      <c r="J256" s="24"/>
      <c r="K256" s="24"/>
      <c r="L256" s="24"/>
      <c r="M256" s="24"/>
      <c r="N256" s="24"/>
      <c r="O256" s="24"/>
      <c r="P256" s="24"/>
      <c r="Q256" s="24"/>
      <c r="R256" s="24"/>
      <c r="S256" s="24"/>
      <c r="T256" s="24"/>
      <c r="U256" s="24"/>
      <c r="V256" s="24"/>
      <c r="W256" s="24"/>
      <c r="X256" s="24"/>
      <c r="Y256" s="24"/>
      <c r="Z256" s="24"/>
      <c r="AA256" s="24"/>
      <c r="AB256" s="24"/>
      <c r="AC256" s="24"/>
    </row>
    <row r="257" spans="1:29" ht="12.9">
      <c r="A257" s="24"/>
      <c r="B257" s="24"/>
      <c r="C257" s="24"/>
      <c r="D257" s="24"/>
      <c r="E257" s="24"/>
      <c r="F257" s="117"/>
      <c r="G257" s="117"/>
      <c r="H257" s="24"/>
      <c r="I257" s="24"/>
      <c r="J257" s="24"/>
      <c r="K257" s="24"/>
      <c r="L257" s="24"/>
      <c r="M257" s="24"/>
      <c r="N257" s="24"/>
      <c r="O257" s="24"/>
      <c r="P257" s="24"/>
      <c r="Q257" s="24"/>
      <c r="R257" s="24"/>
      <c r="S257" s="24"/>
      <c r="T257" s="24"/>
      <c r="U257" s="24"/>
      <c r="V257" s="24"/>
      <c r="W257" s="24"/>
      <c r="X257" s="24"/>
      <c r="Y257" s="24"/>
      <c r="Z257" s="24"/>
      <c r="AA257" s="24"/>
      <c r="AB257" s="24"/>
      <c r="AC257" s="24"/>
    </row>
    <row r="258" spans="1:29" ht="12.9">
      <c r="A258" s="24"/>
      <c r="B258" s="24"/>
      <c r="C258" s="24"/>
      <c r="D258" s="24"/>
      <c r="E258" s="24"/>
      <c r="F258" s="117"/>
      <c r="G258" s="117"/>
      <c r="H258" s="24"/>
      <c r="I258" s="24"/>
      <c r="J258" s="24"/>
      <c r="K258" s="24"/>
      <c r="L258" s="24"/>
      <c r="M258" s="24"/>
      <c r="N258" s="24"/>
      <c r="O258" s="24"/>
      <c r="P258" s="24"/>
      <c r="Q258" s="24"/>
      <c r="R258" s="24"/>
      <c r="S258" s="24"/>
      <c r="T258" s="24"/>
      <c r="U258" s="24"/>
      <c r="V258" s="24"/>
      <c r="W258" s="24"/>
      <c r="X258" s="24"/>
      <c r="Y258" s="24"/>
      <c r="Z258" s="24"/>
      <c r="AA258" s="24"/>
      <c r="AB258" s="24"/>
      <c r="AC258" s="24"/>
    </row>
    <row r="259" spans="1:29" ht="12.9">
      <c r="A259" s="24"/>
      <c r="B259" s="24"/>
      <c r="C259" s="24"/>
      <c r="D259" s="24"/>
      <c r="E259" s="24"/>
      <c r="F259" s="117"/>
      <c r="G259" s="117"/>
      <c r="H259" s="24"/>
      <c r="I259" s="24"/>
      <c r="J259" s="24"/>
      <c r="K259" s="24"/>
      <c r="L259" s="24"/>
      <c r="M259" s="24"/>
      <c r="N259" s="24"/>
      <c r="O259" s="24"/>
      <c r="P259" s="24"/>
      <c r="Q259" s="24"/>
      <c r="R259" s="24"/>
      <c r="S259" s="24"/>
      <c r="T259" s="24"/>
      <c r="U259" s="24"/>
      <c r="V259" s="24"/>
      <c r="W259" s="24"/>
      <c r="X259" s="24"/>
      <c r="Y259" s="24"/>
      <c r="Z259" s="24"/>
      <c r="AA259" s="24"/>
      <c r="AB259" s="24"/>
      <c r="AC259" s="24"/>
    </row>
    <row r="260" spans="1:29" ht="12.9">
      <c r="A260" s="24"/>
      <c r="B260" s="24"/>
      <c r="C260" s="24"/>
      <c r="D260" s="24"/>
      <c r="E260" s="24"/>
      <c r="F260" s="117"/>
      <c r="G260" s="117"/>
      <c r="H260" s="24"/>
      <c r="I260" s="24"/>
      <c r="J260" s="24"/>
      <c r="K260" s="24"/>
      <c r="L260" s="24"/>
      <c r="M260" s="24"/>
      <c r="N260" s="24"/>
      <c r="O260" s="24"/>
      <c r="P260" s="24"/>
      <c r="Q260" s="24"/>
      <c r="R260" s="24"/>
      <c r="S260" s="24"/>
      <c r="T260" s="24"/>
      <c r="U260" s="24"/>
      <c r="V260" s="24"/>
      <c r="W260" s="24"/>
      <c r="X260" s="24"/>
      <c r="Y260" s="24"/>
      <c r="Z260" s="24"/>
      <c r="AA260" s="24"/>
      <c r="AB260" s="24"/>
      <c r="AC260" s="24"/>
    </row>
    <row r="261" spans="1:29" ht="12.9">
      <c r="A261" s="24"/>
      <c r="B261" s="24"/>
      <c r="C261" s="24"/>
      <c r="D261" s="24"/>
      <c r="E261" s="24"/>
      <c r="F261" s="117"/>
      <c r="G261" s="117"/>
      <c r="H261" s="24"/>
      <c r="I261" s="24"/>
      <c r="J261" s="24"/>
      <c r="K261" s="24"/>
      <c r="L261" s="24"/>
      <c r="M261" s="24"/>
      <c r="N261" s="24"/>
      <c r="O261" s="24"/>
      <c r="P261" s="24"/>
      <c r="Q261" s="24"/>
      <c r="R261" s="24"/>
      <c r="S261" s="24"/>
      <c r="T261" s="24"/>
      <c r="U261" s="24"/>
      <c r="V261" s="24"/>
      <c r="W261" s="24"/>
      <c r="X261" s="24"/>
      <c r="Y261" s="24"/>
      <c r="Z261" s="24"/>
      <c r="AA261" s="24"/>
      <c r="AB261" s="24"/>
      <c r="AC261" s="24"/>
    </row>
    <row r="262" spans="1:29" ht="12.9">
      <c r="A262" s="24"/>
      <c r="B262" s="24"/>
      <c r="C262" s="24"/>
      <c r="D262" s="24"/>
      <c r="E262" s="24"/>
      <c r="F262" s="117"/>
      <c r="G262" s="117"/>
      <c r="H262" s="24"/>
      <c r="I262" s="24"/>
      <c r="J262" s="24"/>
      <c r="K262" s="24"/>
      <c r="L262" s="24"/>
      <c r="M262" s="24"/>
      <c r="N262" s="24"/>
      <c r="O262" s="24"/>
      <c r="P262" s="24"/>
      <c r="Q262" s="24"/>
      <c r="R262" s="24"/>
      <c r="S262" s="24"/>
      <c r="T262" s="24"/>
      <c r="U262" s="24"/>
      <c r="V262" s="24"/>
      <c r="W262" s="24"/>
      <c r="X262" s="24"/>
      <c r="Y262" s="24"/>
      <c r="Z262" s="24"/>
      <c r="AA262" s="24"/>
      <c r="AB262" s="24"/>
      <c r="AC262" s="24"/>
    </row>
    <row r="263" spans="1:29" ht="12.9">
      <c r="A263" s="24"/>
      <c r="B263" s="24"/>
      <c r="C263" s="24"/>
      <c r="D263" s="24"/>
      <c r="E263" s="24"/>
      <c r="F263" s="117"/>
      <c r="G263" s="117"/>
      <c r="H263" s="24"/>
      <c r="I263" s="24"/>
      <c r="J263" s="24"/>
      <c r="K263" s="24"/>
      <c r="L263" s="24"/>
      <c r="M263" s="24"/>
      <c r="N263" s="24"/>
      <c r="O263" s="24"/>
      <c r="P263" s="24"/>
      <c r="Q263" s="24"/>
      <c r="R263" s="24"/>
      <c r="S263" s="24"/>
      <c r="T263" s="24"/>
      <c r="U263" s="24"/>
      <c r="V263" s="24"/>
      <c r="W263" s="24"/>
      <c r="X263" s="24"/>
      <c r="Y263" s="24"/>
      <c r="Z263" s="24"/>
      <c r="AA263" s="24"/>
      <c r="AB263" s="24"/>
      <c r="AC263" s="24"/>
    </row>
    <row r="264" spans="1:29" ht="12.9">
      <c r="A264" s="24"/>
      <c r="B264" s="24"/>
      <c r="C264" s="24"/>
      <c r="D264" s="24"/>
      <c r="E264" s="24"/>
      <c r="F264" s="117"/>
      <c r="G264" s="117"/>
      <c r="H264" s="24"/>
      <c r="I264" s="24"/>
      <c r="J264" s="24"/>
      <c r="K264" s="24"/>
      <c r="L264" s="24"/>
      <c r="M264" s="24"/>
      <c r="N264" s="24"/>
      <c r="O264" s="24"/>
      <c r="P264" s="24"/>
      <c r="Q264" s="24"/>
      <c r="R264" s="24"/>
      <c r="S264" s="24"/>
      <c r="T264" s="24"/>
      <c r="U264" s="24"/>
      <c r="V264" s="24"/>
      <c r="W264" s="24"/>
      <c r="X264" s="24"/>
      <c r="Y264" s="24"/>
      <c r="Z264" s="24"/>
      <c r="AA264" s="24"/>
      <c r="AB264" s="24"/>
      <c r="AC264" s="24"/>
    </row>
    <row r="265" spans="1:29" ht="12.9">
      <c r="A265" s="24"/>
      <c r="B265" s="24"/>
      <c r="C265" s="24"/>
      <c r="D265" s="24"/>
      <c r="E265" s="24"/>
      <c r="F265" s="117"/>
      <c r="G265" s="117"/>
      <c r="H265" s="24"/>
      <c r="I265" s="24"/>
      <c r="J265" s="24"/>
      <c r="K265" s="24"/>
      <c r="L265" s="24"/>
      <c r="M265" s="24"/>
      <c r="N265" s="24"/>
      <c r="O265" s="24"/>
      <c r="P265" s="24"/>
      <c r="Q265" s="24"/>
      <c r="R265" s="24"/>
      <c r="S265" s="24"/>
      <c r="T265" s="24"/>
      <c r="U265" s="24"/>
      <c r="V265" s="24"/>
      <c r="W265" s="24"/>
      <c r="X265" s="24"/>
      <c r="Y265" s="24"/>
      <c r="Z265" s="24"/>
      <c r="AA265" s="24"/>
      <c r="AB265" s="24"/>
      <c r="AC265" s="24"/>
    </row>
    <row r="266" spans="1:29" ht="12.9">
      <c r="A266" s="24"/>
      <c r="B266" s="24"/>
      <c r="C266" s="24"/>
      <c r="D266" s="24"/>
      <c r="E266" s="24"/>
      <c r="F266" s="117"/>
      <c r="G266" s="117"/>
      <c r="H266" s="24"/>
      <c r="I266" s="24"/>
      <c r="J266" s="24"/>
      <c r="K266" s="24"/>
      <c r="L266" s="24"/>
      <c r="M266" s="24"/>
      <c r="N266" s="24"/>
      <c r="O266" s="24"/>
      <c r="P266" s="24"/>
      <c r="Q266" s="24"/>
      <c r="R266" s="24"/>
      <c r="S266" s="24"/>
      <c r="T266" s="24"/>
      <c r="U266" s="24"/>
      <c r="V266" s="24"/>
      <c r="W266" s="24"/>
      <c r="X266" s="24"/>
      <c r="Y266" s="24"/>
      <c r="Z266" s="24"/>
      <c r="AA266" s="24"/>
      <c r="AB266" s="24"/>
      <c r="AC266" s="24"/>
    </row>
    <row r="267" spans="1:29" ht="12.9">
      <c r="A267" s="24"/>
      <c r="B267" s="24"/>
      <c r="C267" s="24"/>
      <c r="D267" s="24"/>
      <c r="E267" s="24"/>
      <c r="F267" s="117"/>
      <c r="G267" s="117"/>
      <c r="H267" s="24"/>
      <c r="I267" s="24"/>
      <c r="J267" s="24"/>
      <c r="K267" s="24"/>
      <c r="L267" s="24"/>
      <c r="M267" s="24"/>
      <c r="N267" s="24"/>
      <c r="O267" s="24"/>
      <c r="P267" s="24"/>
      <c r="Q267" s="24"/>
      <c r="R267" s="24"/>
      <c r="S267" s="24"/>
      <c r="T267" s="24"/>
      <c r="U267" s="24"/>
      <c r="V267" s="24"/>
      <c r="W267" s="24"/>
      <c r="X267" s="24"/>
      <c r="Y267" s="24"/>
      <c r="Z267" s="24"/>
      <c r="AA267" s="24"/>
      <c r="AB267" s="24"/>
      <c r="AC267" s="24"/>
    </row>
    <row r="268" spans="1:29" ht="12.9">
      <c r="A268" s="24"/>
      <c r="B268" s="24"/>
      <c r="C268" s="24"/>
      <c r="D268" s="24"/>
      <c r="E268" s="24"/>
      <c r="F268" s="117"/>
      <c r="G268" s="117"/>
      <c r="H268" s="24"/>
      <c r="I268" s="24"/>
      <c r="J268" s="24"/>
      <c r="K268" s="24"/>
      <c r="L268" s="24"/>
      <c r="M268" s="24"/>
      <c r="N268" s="24"/>
      <c r="O268" s="24"/>
      <c r="P268" s="24"/>
      <c r="Q268" s="24"/>
      <c r="R268" s="24"/>
      <c r="S268" s="24"/>
      <c r="T268" s="24"/>
      <c r="U268" s="24"/>
      <c r="V268" s="24"/>
      <c r="W268" s="24"/>
      <c r="X268" s="24"/>
      <c r="Y268" s="24"/>
      <c r="Z268" s="24"/>
      <c r="AA268" s="24"/>
      <c r="AB268" s="24"/>
      <c r="AC268" s="24"/>
    </row>
    <row r="269" spans="1:29" ht="12.9">
      <c r="A269" s="24"/>
      <c r="B269" s="24"/>
      <c r="C269" s="24"/>
      <c r="D269" s="24"/>
      <c r="E269" s="24"/>
      <c r="F269" s="117"/>
      <c r="G269" s="117"/>
      <c r="H269" s="24"/>
      <c r="I269" s="24"/>
      <c r="J269" s="24"/>
      <c r="K269" s="24"/>
      <c r="L269" s="24"/>
      <c r="M269" s="24"/>
      <c r="N269" s="24"/>
      <c r="O269" s="24"/>
      <c r="P269" s="24"/>
      <c r="Q269" s="24"/>
      <c r="R269" s="24"/>
      <c r="S269" s="24"/>
      <c r="T269" s="24"/>
      <c r="U269" s="24"/>
      <c r="V269" s="24"/>
      <c r="W269" s="24"/>
      <c r="X269" s="24"/>
      <c r="Y269" s="24"/>
      <c r="Z269" s="24"/>
      <c r="AA269" s="24"/>
      <c r="AB269" s="24"/>
      <c r="AC269" s="24"/>
    </row>
    <row r="270" spans="1:29" ht="12.9">
      <c r="A270" s="24"/>
      <c r="B270" s="24"/>
      <c r="C270" s="24"/>
      <c r="D270" s="24"/>
      <c r="E270" s="24"/>
      <c r="F270" s="117"/>
      <c r="G270" s="117"/>
      <c r="H270" s="24"/>
      <c r="I270" s="24"/>
      <c r="J270" s="24"/>
      <c r="K270" s="24"/>
      <c r="L270" s="24"/>
      <c r="M270" s="24"/>
      <c r="N270" s="24"/>
      <c r="O270" s="24"/>
      <c r="P270" s="24"/>
      <c r="Q270" s="24"/>
      <c r="R270" s="24"/>
      <c r="S270" s="24"/>
      <c r="T270" s="24"/>
      <c r="U270" s="24"/>
      <c r="V270" s="24"/>
      <c r="W270" s="24"/>
      <c r="X270" s="24"/>
      <c r="Y270" s="24"/>
      <c r="Z270" s="24"/>
      <c r="AA270" s="24"/>
      <c r="AB270" s="24"/>
      <c r="AC270" s="24"/>
    </row>
    <row r="271" spans="1:29" ht="12.9">
      <c r="A271" s="24"/>
      <c r="B271" s="24"/>
      <c r="C271" s="24"/>
      <c r="D271" s="24"/>
      <c r="E271" s="24"/>
      <c r="F271" s="117"/>
      <c r="G271" s="117"/>
      <c r="H271" s="24"/>
      <c r="I271" s="24"/>
      <c r="J271" s="24"/>
      <c r="K271" s="24"/>
      <c r="L271" s="24"/>
      <c r="M271" s="24"/>
      <c r="N271" s="24"/>
      <c r="O271" s="24"/>
      <c r="P271" s="24"/>
      <c r="Q271" s="24"/>
      <c r="R271" s="24"/>
      <c r="S271" s="24"/>
      <c r="T271" s="24"/>
      <c r="U271" s="24"/>
      <c r="V271" s="24"/>
      <c r="W271" s="24"/>
      <c r="X271" s="24"/>
      <c r="Y271" s="24"/>
      <c r="Z271" s="24"/>
      <c r="AA271" s="24"/>
      <c r="AB271" s="24"/>
      <c r="AC271" s="24"/>
    </row>
    <row r="272" spans="1:29" ht="12.9">
      <c r="A272" s="24"/>
      <c r="B272" s="24"/>
      <c r="C272" s="24"/>
      <c r="D272" s="24"/>
      <c r="E272" s="24"/>
      <c r="F272" s="117"/>
      <c r="G272" s="117"/>
      <c r="H272" s="24"/>
      <c r="I272" s="24"/>
      <c r="J272" s="24"/>
      <c r="K272" s="24"/>
      <c r="L272" s="24"/>
      <c r="M272" s="24"/>
      <c r="N272" s="24"/>
      <c r="O272" s="24"/>
      <c r="P272" s="24"/>
      <c r="Q272" s="24"/>
      <c r="R272" s="24"/>
      <c r="S272" s="24"/>
      <c r="T272" s="24"/>
      <c r="U272" s="24"/>
      <c r="V272" s="24"/>
      <c r="W272" s="24"/>
      <c r="X272" s="24"/>
      <c r="Y272" s="24"/>
      <c r="Z272" s="24"/>
      <c r="AA272" s="24"/>
      <c r="AB272" s="24"/>
      <c r="AC272" s="24"/>
    </row>
    <row r="273" spans="1:29" ht="12.9">
      <c r="A273" s="24"/>
      <c r="B273" s="24"/>
      <c r="C273" s="24"/>
      <c r="D273" s="24"/>
      <c r="E273" s="24"/>
      <c r="F273" s="117"/>
      <c r="G273" s="117"/>
      <c r="H273" s="24"/>
      <c r="I273" s="24"/>
      <c r="J273" s="24"/>
      <c r="K273" s="24"/>
      <c r="L273" s="24"/>
      <c r="M273" s="24"/>
      <c r="N273" s="24"/>
      <c r="O273" s="24"/>
      <c r="P273" s="24"/>
      <c r="Q273" s="24"/>
      <c r="R273" s="24"/>
      <c r="S273" s="24"/>
      <c r="T273" s="24"/>
      <c r="U273" s="24"/>
      <c r="V273" s="24"/>
      <c r="W273" s="24"/>
      <c r="X273" s="24"/>
      <c r="Y273" s="24"/>
      <c r="Z273" s="24"/>
      <c r="AA273" s="24"/>
      <c r="AB273" s="24"/>
      <c r="AC273" s="24"/>
    </row>
    <row r="274" spans="1:29" ht="12.9">
      <c r="A274" s="24"/>
      <c r="B274" s="24"/>
      <c r="C274" s="24"/>
      <c r="D274" s="24"/>
      <c r="E274" s="24"/>
      <c r="F274" s="117"/>
      <c r="G274" s="117"/>
      <c r="H274" s="24"/>
      <c r="I274" s="24"/>
      <c r="J274" s="24"/>
      <c r="K274" s="24"/>
      <c r="L274" s="24"/>
      <c r="M274" s="24"/>
      <c r="N274" s="24"/>
      <c r="O274" s="24"/>
      <c r="P274" s="24"/>
      <c r="Q274" s="24"/>
      <c r="R274" s="24"/>
      <c r="S274" s="24"/>
      <c r="T274" s="24"/>
      <c r="U274" s="24"/>
      <c r="V274" s="24"/>
      <c r="W274" s="24"/>
      <c r="X274" s="24"/>
      <c r="Y274" s="24"/>
      <c r="Z274" s="24"/>
      <c r="AA274" s="24"/>
      <c r="AB274" s="24"/>
      <c r="AC274" s="24"/>
    </row>
    <row r="275" spans="1:29" ht="12.9">
      <c r="A275" s="24"/>
      <c r="B275" s="24"/>
      <c r="C275" s="24"/>
      <c r="D275" s="24"/>
      <c r="E275" s="24"/>
      <c r="F275" s="117"/>
      <c r="G275" s="117"/>
      <c r="H275" s="24"/>
      <c r="I275" s="24"/>
      <c r="J275" s="24"/>
      <c r="K275" s="24"/>
      <c r="L275" s="24"/>
      <c r="M275" s="24"/>
      <c r="N275" s="24"/>
      <c r="O275" s="24"/>
      <c r="P275" s="24"/>
      <c r="Q275" s="24"/>
      <c r="R275" s="24"/>
      <c r="S275" s="24"/>
      <c r="T275" s="24"/>
      <c r="U275" s="24"/>
      <c r="V275" s="24"/>
      <c r="W275" s="24"/>
      <c r="X275" s="24"/>
      <c r="Y275" s="24"/>
      <c r="Z275" s="24"/>
      <c r="AA275" s="24"/>
      <c r="AB275" s="24"/>
      <c r="AC275" s="24"/>
    </row>
    <row r="276" spans="1:29" ht="12.9">
      <c r="A276" s="24"/>
      <c r="B276" s="24"/>
      <c r="C276" s="24"/>
      <c r="D276" s="24"/>
      <c r="E276" s="24"/>
      <c r="F276" s="117"/>
      <c r="G276" s="117"/>
      <c r="H276" s="24"/>
      <c r="I276" s="24"/>
      <c r="J276" s="24"/>
      <c r="K276" s="24"/>
      <c r="L276" s="24"/>
      <c r="M276" s="24"/>
      <c r="N276" s="24"/>
      <c r="O276" s="24"/>
      <c r="P276" s="24"/>
      <c r="Q276" s="24"/>
      <c r="R276" s="24"/>
      <c r="S276" s="24"/>
      <c r="T276" s="24"/>
      <c r="U276" s="24"/>
      <c r="V276" s="24"/>
      <c r="W276" s="24"/>
      <c r="X276" s="24"/>
      <c r="Y276" s="24"/>
      <c r="Z276" s="24"/>
      <c r="AA276" s="24"/>
      <c r="AB276" s="24"/>
      <c r="AC276" s="24"/>
    </row>
    <row r="277" spans="1:29" ht="12.9">
      <c r="A277" s="24"/>
      <c r="B277" s="24"/>
      <c r="C277" s="24"/>
      <c r="D277" s="24"/>
      <c r="E277" s="24"/>
      <c r="F277" s="117"/>
      <c r="G277" s="117"/>
      <c r="H277" s="24"/>
      <c r="I277" s="24"/>
      <c r="J277" s="24"/>
      <c r="K277" s="24"/>
      <c r="L277" s="24"/>
      <c r="M277" s="24"/>
      <c r="N277" s="24"/>
      <c r="O277" s="24"/>
      <c r="P277" s="24"/>
      <c r="Q277" s="24"/>
      <c r="R277" s="24"/>
      <c r="S277" s="24"/>
      <c r="T277" s="24"/>
      <c r="U277" s="24"/>
      <c r="V277" s="24"/>
      <c r="W277" s="24"/>
      <c r="X277" s="24"/>
      <c r="Y277" s="24"/>
      <c r="Z277" s="24"/>
      <c r="AA277" s="24"/>
      <c r="AB277" s="24"/>
      <c r="AC277" s="24"/>
    </row>
    <row r="278" spans="1:29" ht="12.9">
      <c r="A278" s="24"/>
      <c r="B278" s="24"/>
      <c r="C278" s="24"/>
      <c r="D278" s="24"/>
      <c r="E278" s="24"/>
      <c r="F278" s="117"/>
      <c r="G278" s="117"/>
      <c r="H278" s="24"/>
      <c r="I278" s="24"/>
      <c r="J278" s="24"/>
      <c r="K278" s="24"/>
      <c r="L278" s="24"/>
      <c r="M278" s="24"/>
      <c r="N278" s="24"/>
      <c r="O278" s="24"/>
      <c r="P278" s="24"/>
      <c r="Q278" s="24"/>
      <c r="R278" s="24"/>
      <c r="S278" s="24"/>
      <c r="T278" s="24"/>
      <c r="U278" s="24"/>
      <c r="V278" s="24"/>
      <c r="W278" s="24"/>
      <c r="X278" s="24"/>
      <c r="Y278" s="24"/>
      <c r="Z278" s="24"/>
      <c r="AA278" s="24"/>
      <c r="AB278" s="24"/>
      <c r="AC278" s="24"/>
    </row>
    <row r="279" spans="1:29" ht="12.9">
      <c r="A279" s="24"/>
      <c r="B279" s="24"/>
      <c r="C279" s="24"/>
      <c r="D279" s="24"/>
      <c r="E279" s="24"/>
      <c r="F279" s="117"/>
      <c r="G279" s="117"/>
      <c r="H279" s="24"/>
      <c r="I279" s="24"/>
      <c r="J279" s="24"/>
      <c r="K279" s="24"/>
      <c r="L279" s="24"/>
      <c r="M279" s="24"/>
      <c r="N279" s="24"/>
      <c r="O279" s="24"/>
      <c r="P279" s="24"/>
      <c r="Q279" s="24"/>
      <c r="R279" s="24"/>
      <c r="S279" s="24"/>
      <c r="T279" s="24"/>
      <c r="U279" s="24"/>
      <c r="V279" s="24"/>
      <c r="W279" s="24"/>
      <c r="X279" s="24"/>
      <c r="Y279" s="24"/>
      <c r="Z279" s="24"/>
      <c r="AA279" s="24"/>
      <c r="AB279" s="24"/>
      <c r="AC279" s="24"/>
    </row>
    <row r="280" spans="1:29" ht="12.9">
      <c r="A280" s="24"/>
      <c r="B280" s="24"/>
      <c r="C280" s="24"/>
      <c r="D280" s="24"/>
      <c r="E280" s="24"/>
      <c r="F280" s="117"/>
      <c r="G280" s="117"/>
      <c r="H280" s="24"/>
      <c r="I280" s="24"/>
      <c r="J280" s="24"/>
      <c r="K280" s="24"/>
      <c r="L280" s="24"/>
      <c r="M280" s="24"/>
      <c r="N280" s="24"/>
      <c r="O280" s="24"/>
      <c r="P280" s="24"/>
      <c r="Q280" s="24"/>
      <c r="R280" s="24"/>
      <c r="S280" s="24"/>
      <c r="T280" s="24"/>
      <c r="U280" s="24"/>
      <c r="V280" s="24"/>
      <c r="W280" s="24"/>
      <c r="X280" s="24"/>
      <c r="Y280" s="24"/>
      <c r="Z280" s="24"/>
      <c r="AA280" s="24"/>
      <c r="AB280" s="24"/>
      <c r="AC280" s="24"/>
    </row>
    <row r="281" spans="1:29" ht="12.9">
      <c r="A281" s="24"/>
      <c r="B281" s="24"/>
      <c r="C281" s="24"/>
      <c r="D281" s="24"/>
      <c r="E281" s="24"/>
      <c r="F281" s="117"/>
      <c r="G281" s="117"/>
      <c r="H281" s="24"/>
      <c r="I281" s="24"/>
      <c r="J281" s="24"/>
      <c r="K281" s="24"/>
      <c r="L281" s="24"/>
      <c r="M281" s="24"/>
      <c r="N281" s="24"/>
      <c r="O281" s="24"/>
      <c r="P281" s="24"/>
      <c r="Q281" s="24"/>
      <c r="R281" s="24"/>
      <c r="S281" s="24"/>
      <c r="T281" s="24"/>
      <c r="U281" s="24"/>
      <c r="V281" s="24"/>
      <c r="W281" s="24"/>
      <c r="X281" s="24"/>
      <c r="Y281" s="24"/>
      <c r="Z281" s="24"/>
      <c r="AA281" s="24"/>
      <c r="AB281" s="24"/>
      <c r="AC281" s="24"/>
    </row>
    <row r="282" spans="1:29" ht="12.9">
      <c r="A282" s="24"/>
      <c r="B282" s="24"/>
      <c r="C282" s="24"/>
      <c r="D282" s="24"/>
      <c r="E282" s="24"/>
      <c r="F282" s="117"/>
      <c r="G282" s="117"/>
      <c r="H282" s="24"/>
      <c r="I282" s="24"/>
      <c r="J282" s="24"/>
      <c r="K282" s="24"/>
      <c r="L282" s="24"/>
      <c r="M282" s="24"/>
      <c r="N282" s="24"/>
      <c r="O282" s="24"/>
      <c r="P282" s="24"/>
      <c r="Q282" s="24"/>
      <c r="R282" s="24"/>
      <c r="S282" s="24"/>
      <c r="T282" s="24"/>
      <c r="U282" s="24"/>
      <c r="V282" s="24"/>
      <c r="W282" s="24"/>
      <c r="X282" s="24"/>
      <c r="Y282" s="24"/>
      <c r="Z282" s="24"/>
      <c r="AA282" s="24"/>
      <c r="AB282" s="24"/>
      <c r="AC282" s="24"/>
    </row>
    <row r="283" spans="1:29" ht="12.9">
      <c r="A283" s="24"/>
      <c r="B283" s="24"/>
      <c r="C283" s="24"/>
      <c r="D283" s="24"/>
      <c r="E283" s="24"/>
      <c r="F283" s="117"/>
      <c r="G283" s="117"/>
      <c r="H283" s="24"/>
      <c r="I283" s="24"/>
      <c r="J283" s="24"/>
      <c r="K283" s="24"/>
      <c r="L283" s="24"/>
      <c r="M283" s="24"/>
      <c r="N283" s="24"/>
      <c r="O283" s="24"/>
      <c r="P283" s="24"/>
      <c r="Q283" s="24"/>
      <c r="R283" s="24"/>
      <c r="S283" s="24"/>
      <c r="T283" s="24"/>
      <c r="U283" s="24"/>
      <c r="V283" s="24"/>
      <c r="W283" s="24"/>
      <c r="X283" s="24"/>
      <c r="Y283" s="24"/>
      <c r="Z283" s="24"/>
      <c r="AA283" s="24"/>
      <c r="AB283" s="24"/>
      <c r="AC283" s="24"/>
    </row>
    <row r="284" spans="1:29" ht="12.9">
      <c r="A284" s="24"/>
      <c r="B284" s="24"/>
      <c r="C284" s="24"/>
      <c r="D284" s="24"/>
      <c r="E284" s="24"/>
      <c r="F284" s="117"/>
      <c r="G284" s="117"/>
      <c r="H284" s="24"/>
      <c r="I284" s="24"/>
      <c r="J284" s="24"/>
      <c r="K284" s="24"/>
      <c r="L284" s="24"/>
      <c r="M284" s="24"/>
      <c r="N284" s="24"/>
      <c r="O284" s="24"/>
      <c r="P284" s="24"/>
      <c r="Q284" s="24"/>
      <c r="R284" s="24"/>
      <c r="S284" s="24"/>
      <c r="T284" s="24"/>
      <c r="U284" s="24"/>
      <c r="V284" s="24"/>
      <c r="W284" s="24"/>
      <c r="X284" s="24"/>
      <c r="Y284" s="24"/>
      <c r="Z284" s="24"/>
      <c r="AA284" s="24"/>
      <c r="AB284" s="24"/>
      <c r="AC284" s="24"/>
    </row>
    <row r="285" spans="1:29" ht="12.9">
      <c r="A285" s="24"/>
      <c r="B285" s="24"/>
      <c r="C285" s="24"/>
      <c r="D285" s="24"/>
      <c r="E285" s="24"/>
      <c r="F285" s="117"/>
      <c r="G285" s="117"/>
      <c r="H285" s="24"/>
      <c r="I285" s="24"/>
      <c r="J285" s="24"/>
      <c r="K285" s="24"/>
      <c r="L285" s="24"/>
      <c r="M285" s="24"/>
      <c r="N285" s="24"/>
      <c r="O285" s="24"/>
      <c r="P285" s="24"/>
      <c r="Q285" s="24"/>
      <c r="R285" s="24"/>
      <c r="S285" s="24"/>
      <c r="T285" s="24"/>
      <c r="U285" s="24"/>
      <c r="V285" s="24"/>
      <c r="W285" s="24"/>
      <c r="X285" s="24"/>
      <c r="Y285" s="24"/>
      <c r="Z285" s="24"/>
      <c r="AA285" s="24"/>
      <c r="AB285" s="24"/>
      <c r="AC285" s="24"/>
    </row>
    <row r="286" spans="1:29" ht="12.9">
      <c r="A286" s="24"/>
      <c r="B286" s="24"/>
      <c r="C286" s="24"/>
      <c r="D286" s="24"/>
      <c r="E286" s="24"/>
      <c r="F286" s="117"/>
      <c r="G286" s="117"/>
      <c r="H286" s="24"/>
      <c r="I286" s="24"/>
      <c r="J286" s="24"/>
      <c r="K286" s="24"/>
      <c r="L286" s="24"/>
      <c r="M286" s="24"/>
      <c r="N286" s="24"/>
      <c r="O286" s="24"/>
      <c r="P286" s="24"/>
      <c r="Q286" s="24"/>
      <c r="R286" s="24"/>
      <c r="S286" s="24"/>
      <c r="T286" s="24"/>
      <c r="U286" s="24"/>
      <c r="V286" s="24"/>
      <c r="W286" s="24"/>
      <c r="X286" s="24"/>
      <c r="Y286" s="24"/>
      <c r="Z286" s="24"/>
      <c r="AA286" s="24"/>
      <c r="AB286" s="24"/>
      <c r="AC286" s="24"/>
    </row>
    <row r="287" spans="1:29" ht="12.9">
      <c r="A287" s="24"/>
      <c r="B287" s="24"/>
      <c r="C287" s="24"/>
      <c r="D287" s="24"/>
      <c r="E287" s="24"/>
      <c r="F287" s="117"/>
      <c r="G287" s="117"/>
      <c r="H287" s="24"/>
      <c r="I287" s="24"/>
      <c r="J287" s="24"/>
      <c r="K287" s="24"/>
      <c r="L287" s="24"/>
      <c r="M287" s="24"/>
      <c r="N287" s="24"/>
      <c r="O287" s="24"/>
      <c r="P287" s="24"/>
      <c r="Q287" s="24"/>
      <c r="R287" s="24"/>
      <c r="S287" s="24"/>
      <c r="T287" s="24"/>
      <c r="U287" s="24"/>
      <c r="V287" s="24"/>
      <c r="W287" s="24"/>
      <c r="X287" s="24"/>
      <c r="Y287" s="24"/>
      <c r="Z287" s="24"/>
      <c r="AA287" s="24"/>
      <c r="AB287" s="24"/>
      <c r="AC287" s="24"/>
    </row>
    <row r="288" spans="1:29" ht="12.9">
      <c r="A288" s="24"/>
      <c r="B288" s="24"/>
      <c r="C288" s="24"/>
      <c r="D288" s="24"/>
      <c r="E288" s="24"/>
      <c r="F288" s="117"/>
      <c r="G288" s="117"/>
      <c r="H288" s="24"/>
      <c r="I288" s="24"/>
      <c r="J288" s="24"/>
      <c r="K288" s="24"/>
      <c r="L288" s="24"/>
      <c r="M288" s="24"/>
      <c r="N288" s="24"/>
      <c r="O288" s="24"/>
      <c r="P288" s="24"/>
      <c r="Q288" s="24"/>
      <c r="R288" s="24"/>
      <c r="S288" s="24"/>
      <c r="T288" s="24"/>
      <c r="U288" s="24"/>
      <c r="V288" s="24"/>
      <c r="W288" s="24"/>
      <c r="X288" s="24"/>
      <c r="Y288" s="24"/>
      <c r="Z288" s="24"/>
      <c r="AA288" s="24"/>
      <c r="AB288" s="24"/>
      <c r="AC288" s="24"/>
    </row>
    <row r="289" spans="1:29" ht="12.9">
      <c r="A289" s="24"/>
      <c r="B289" s="24"/>
      <c r="C289" s="24"/>
      <c r="D289" s="24"/>
      <c r="E289" s="24"/>
      <c r="F289" s="117"/>
      <c r="G289" s="117"/>
      <c r="H289" s="24"/>
      <c r="I289" s="24"/>
      <c r="J289" s="24"/>
      <c r="K289" s="24"/>
      <c r="L289" s="24"/>
      <c r="M289" s="24"/>
      <c r="N289" s="24"/>
      <c r="O289" s="24"/>
      <c r="P289" s="24"/>
      <c r="Q289" s="24"/>
      <c r="R289" s="24"/>
      <c r="S289" s="24"/>
      <c r="T289" s="24"/>
      <c r="U289" s="24"/>
      <c r="V289" s="24"/>
      <c r="W289" s="24"/>
      <c r="X289" s="24"/>
      <c r="Y289" s="24"/>
      <c r="Z289" s="24"/>
      <c r="AA289" s="24"/>
      <c r="AB289" s="24"/>
      <c r="AC289" s="24"/>
    </row>
    <row r="290" spans="1:29" ht="12.9">
      <c r="A290" s="24"/>
      <c r="B290" s="24"/>
      <c r="C290" s="24"/>
      <c r="D290" s="24"/>
      <c r="E290" s="24"/>
      <c r="F290" s="117"/>
      <c r="G290" s="117"/>
      <c r="H290" s="24"/>
      <c r="I290" s="24"/>
      <c r="J290" s="24"/>
      <c r="K290" s="24"/>
      <c r="L290" s="24"/>
      <c r="M290" s="24"/>
      <c r="N290" s="24"/>
      <c r="O290" s="24"/>
      <c r="P290" s="24"/>
      <c r="Q290" s="24"/>
      <c r="R290" s="24"/>
      <c r="S290" s="24"/>
      <c r="T290" s="24"/>
      <c r="U290" s="24"/>
      <c r="V290" s="24"/>
      <c r="W290" s="24"/>
      <c r="X290" s="24"/>
      <c r="Y290" s="24"/>
      <c r="Z290" s="24"/>
      <c r="AA290" s="24"/>
      <c r="AB290" s="24"/>
      <c r="AC290" s="24"/>
    </row>
    <row r="291" spans="1:29" ht="12.9">
      <c r="A291" s="24"/>
      <c r="B291" s="24"/>
      <c r="C291" s="24"/>
      <c r="D291" s="24"/>
      <c r="E291" s="24"/>
      <c r="F291" s="117"/>
      <c r="G291" s="117"/>
      <c r="H291" s="24"/>
      <c r="I291" s="24"/>
      <c r="J291" s="24"/>
      <c r="K291" s="24"/>
      <c r="L291" s="24"/>
      <c r="M291" s="24"/>
      <c r="N291" s="24"/>
      <c r="O291" s="24"/>
      <c r="P291" s="24"/>
      <c r="Q291" s="24"/>
      <c r="R291" s="24"/>
      <c r="S291" s="24"/>
      <c r="T291" s="24"/>
      <c r="U291" s="24"/>
      <c r="V291" s="24"/>
      <c r="W291" s="24"/>
      <c r="X291" s="24"/>
      <c r="Y291" s="24"/>
      <c r="Z291" s="24"/>
      <c r="AA291" s="24"/>
      <c r="AB291" s="24"/>
      <c r="AC291" s="24"/>
    </row>
    <row r="292" spans="1:29" ht="12.9">
      <c r="A292" s="24"/>
      <c r="B292" s="24"/>
      <c r="C292" s="24"/>
      <c r="D292" s="24"/>
      <c r="E292" s="24"/>
      <c r="F292" s="117"/>
      <c r="G292" s="117"/>
      <c r="H292" s="24"/>
      <c r="I292" s="24"/>
      <c r="J292" s="24"/>
      <c r="K292" s="24"/>
      <c r="L292" s="24"/>
      <c r="M292" s="24"/>
      <c r="N292" s="24"/>
      <c r="O292" s="24"/>
      <c r="P292" s="24"/>
      <c r="Q292" s="24"/>
      <c r="R292" s="24"/>
      <c r="S292" s="24"/>
      <c r="T292" s="24"/>
      <c r="U292" s="24"/>
      <c r="V292" s="24"/>
      <c r="W292" s="24"/>
      <c r="X292" s="24"/>
      <c r="Y292" s="24"/>
      <c r="Z292" s="24"/>
      <c r="AA292" s="24"/>
      <c r="AB292" s="24"/>
      <c r="AC292" s="24"/>
    </row>
    <row r="293" spans="1:29" ht="12.9">
      <c r="A293" s="24"/>
      <c r="B293" s="24"/>
      <c r="C293" s="24"/>
      <c r="D293" s="24"/>
      <c r="E293" s="24"/>
      <c r="F293" s="117"/>
      <c r="G293" s="117"/>
      <c r="H293" s="24"/>
      <c r="I293" s="24"/>
      <c r="J293" s="24"/>
      <c r="K293" s="24"/>
      <c r="L293" s="24"/>
      <c r="M293" s="24"/>
      <c r="N293" s="24"/>
      <c r="O293" s="24"/>
      <c r="P293" s="24"/>
      <c r="Q293" s="24"/>
      <c r="R293" s="24"/>
      <c r="S293" s="24"/>
      <c r="T293" s="24"/>
      <c r="U293" s="24"/>
      <c r="V293" s="24"/>
      <c r="W293" s="24"/>
      <c r="X293" s="24"/>
      <c r="Y293" s="24"/>
      <c r="Z293" s="24"/>
      <c r="AA293" s="24"/>
      <c r="AB293" s="24"/>
      <c r="AC293" s="24"/>
    </row>
    <row r="294" spans="1:29" ht="12.9">
      <c r="A294" s="24"/>
      <c r="B294" s="24"/>
      <c r="C294" s="24"/>
      <c r="D294" s="24"/>
      <c r="E294" s="24"/>
      <c r="F294" s="117"/>
      <c r="G294" s="117"/>
      <c r="H294" s="24"/>
      <c r="I294" s="24"/>
      <c r="J294" s="24"/>
      <c r="K294" s="24"/>
      <c r="L294" s="24"/>
      <c r="M294" s="24"/>
      <c r="N294" s="24"/>
      <c r="O294" s="24"/>
      <c r="P294" s="24"/>
      <c r="Q294" s="24"/>
      <c r="R294" s="24"/>
      <c r="S294" s="24"/>
      <c r="T294" s="24"/>
      <c r="U294" s="24"/>
      <c r="V294" s="24"/>
      <c r="W294" s="24"/>
      <c r="X294" s="24"/>
      <c r="Y294" s="24"/>
      <c r="Z294" s="24"/>
      <c r="AA294" s="24"/>
      <c r="AB294" s="24"/>
      <c r="AC294" s="24"/>
    </row>
    <row r="295" spans="1:29" ht="12.9">
      <c r="A295" s="24"/>
      <c r="B295" s="24"/>
      <c r="C295" s="24"/>
      <c r="D295" s="24"/>
      <c r="E295" s="24"/>
      <c r="F295" s="117"/>
      <c r="G295" s="117"/>
      <c r="H295" s="24"/>
      <c r="I295" s="24"/>
      <c r="J295" s="24"/>
      <c r="K295" s="24"/>
      <c r="L295" s="24"/>
      <c r="M295" s="24"/>
      <c r="N295" s="24"/>
      <c r="O295" s="24"/>
      <c r="P295" s="24"/>
      <c r="Q295" s="24"/>
      <c r="R295" s="24"/>
      <c r="S295" s="24"/>
      <c r="T295" s="24"/>
      <c r="U295" s="24"/>
      <c r="V295" s="24"/>
      <c r="W295" s="24"/>
      <c r="X295" s="24"/>
      <c r="Y295" s="24"/>
      <c r="Z295" s="24"/>
      <c r="AA295" s="24"/>
      <c r="AB295" s="24"/>
      <c r="AC295" s="24"/>
    </row>
    <row r="296" spans="1:29" ht="12.9">
      <c r="A296" s="24"/>
      <c r="B296" s="24"/>
      <c r="C296" s="24"/>
      <c r="D296" s="24"/>
      <c r="E296" s="24"/>
      <c r="F296" s="117"/>
      <c r="G296" s="117"/>
      <c r="H296" s="24"/>
      <c r="I296" s="24"/>
      <c r="J296" s="24"/>
      <c r="K296" s="24"/>
      <c r="L296" s="24"/>
      <c r="M296" s="24"/>
      <c r="N296" s="24"/>
      <c r="O296" s="24"/>
      <c r="P296" s="24"/>
      <c r="Q296" s="24"/>
      <c r="R296" s="24"/>
      <c r="S296" s="24"/>
      <c r="T296" s="24"/>
      <c r="U296" s="24"/>
      <c r="V296" s="24"/>
      <c r="W296" s="24"/>
      <c r="X296" s="24"/>
      <c r="Y296" s="24"/>
      <c r="Z296" s="24"/>
      <c r="AA296" s="24"/>
      <c r="AB296" s="24"/>
      <c r="AC296" s="24"/>
    </row>
    <row r="297" spans="1:29" ht="12.9">
      <c r="A297" s="24"/>
      <c r="B297" s="24"/>
      <c r="C297" s="24"/>
      <c r="D297" s="24"/>
      <c r="E297" s="24"/>
      <c r="F297" s="117"/>
      <c r="G297" s="117"/>
      <c r="H297" s="24"/>
      <c r="I297" s="24"/>
      <c r="J297" s="24"/>
      <c r="K297" s="24"/>
      <c r="L297" s="24"/>
      <c r="M297" s="24"/>
      <c r="N297" s="24"/>
      <c r="O297" s="24"/>
      <c r="P297" s="24"/>
      <c r="Q297" s="24"/>
      <c r="R297" s="24"/>
      <c r="S297" s="24"/>
      <c r="T297" s="24"/>
      <c r="U297" s="24"/>
      <c r="V297" s="24"/>
      <c r="W297" s="24"/>
      <c r="X297" s="24"/>
      <c r="Y297" s="24"/>
      <c r="Z297" s="24"/>
      <c r="AA297" s="24"/>
      <c r="AB297" s="24"/>
      <c r="AC297" s="24"/>
    </row>
    <row r="298" spans="1:29" ht="12.9">
      <c r="A298" s="24"/>
      <c r="B298" s="24"/>
      <c r="C298" s="24"/>
      <c r="D298" s="24"/>
      <c r="E298" s="24"/>
      <c r="F298" s="117"/>
      <c r="G298" s="117"/>
      <c r="H298" s="24"/>
      <c r="I298" s="24"/>
      <c r="J298" s="24"/>
      <c r="K298" s="24"/>
      <c r="L298" s="24"/>
      <c r="M298" s="24"/>
      <c r="N298" s="24"/>
      <c r="O298" s="24"/>
      <c r="P298" s="24"/>
      <c r="Q298" s="24"/>
      <c r="R298" s="24"/>
      <c r="S298" s="24"/>
      <c r="T298" s="24"/>
      <c r="U298" s="24"/>
      <c r="V298" s="24"/>
      <c r="W298" s="24"/>
      <c r="X298" s="24"/>
      <c r="Y298" s="24"/>
      <c r="Z298" s="24"/>
      <c r="AA298" s="24"/>
      <c r="AB298" s="24"/>
      <c r="AC298" s="24"/>
    </row>
    <row r="299" spans="1:29" ht="12.9">
      <c r="A299" s="24"/>
      <c r="B299" s="24"/>
      <c r="C299" s="24"/>
      <c r="D299" s="24"/>
      <c r="E299" s="24"/>
      <c r="F299" s="117"/>
      <c r="G299" s="117"/>
      <c r="H299" s="24"/>
      <c r="I299" s="24"/>
      <c r="J299" s="24"/>
      <c r="K299" s="24"/>
      <c r="L299" s="24"/>
      <c r="M299" s="24"/>
      <c r="N299" s="24"/>
      <c r="O299" s="24"/>
      <c r="P299" s="24"/>
      <c r="Q299" s="24"/>
      <c r="R299" s="24"/>
      <c r="S299" s="24"/>
      <c r="T299" s="24"/>
      <c r="U299" s="24"/>
      <c r="V299" s="24"/>
      <c r="W299" s="24"/>
      <c r="X299" s="24"/>
      <c r="Y299" s="24"/>
      <c r="Z299" s="24"/>
      <c r="AA299" s="24"/>
      <c r="AB299" s="24"/>
      <c r="AC299" s="24"/>
    </row>
    <row r="300" spans="1:29" ht="12.9">
      <c r="A300" s="24"/>
      <c r="B300" s="24"/>
      <c r="C300" s="24"/>
      <c r="D300" s="24"/>
      <c r="E300" s="24"/>
      <c r="F300" s="117"/>
      <c r="G300" s="117"/>
      <c r="H300" s="24"/>
      <c r="I300" s="24"/>
      <c r="J300" s="24"/>
      <c r="K300" s="24"/>
      <c r="L300" s="24"/>
      <c r="M300" s="24"/>
      <c r="N300" s="24"/>
      <c r="O300" s="24"/>
      <c r="P300" s="24"/>
      <c r="Q300" s="24"/>
      <c r="R300" s="24"/>
      <c r="S300" s="24"/>
      <c r="T300" s="24"/>
      <c r="U300" s="24"/>
      <c r="V300" s="24"/>
      <c r="W300" s="24"/>
      <c r="X300" s="24"/>
      <c r="Y300" s="24"/>
      <c r="Z300" s="24"/>
      <c r="AA300" s="24"/>
      <c r="AB300" s="24"/>
      <c r="AC300" s="24"/>
    </row>
    <row r="301" spans="1:29" ht="12.9">
      <c r="A301" s="24"/>
      <c r="B301" s="24"/>
      <c r="C301" s="24"/>
      <c r="D301" s="24"/>
      <c r="E301" s="24"/>
      <c r="F301" s="117"/>
      <c r="G301" s="117"/>
      <c r="H301" s="24"/>
      <c r="I301" s="24"/>
      <c r="J301" s="24"/>
      <c r="K301" s="24"/>
      <c r="L301" s="24"/>
      <c r="M301" s="24"/>
      <c r="N301" s="24"/>
      <c r="O301" s="24"/>
      <c r="P301" s="24"/>
      <c r="Q301" s="24"/>
      <c r="R301" s="24"/>
      <c r="S301" s="24"/>
      <c r="T301" s="24"/>
      <c r="U301" s="24"/>
      <c r="V301" s="24"/>
      <c r="W301" s="24"/>
      <c r="X301" s="24"/>
      <c r="Y301" s="24"/>
      <c r="Z301" s="24"/>
      <c r="AA301" s="24"/>
      <c r="AB301" s="24"/>
      <c r="AC301" s="24"/>
    </row>
    <row r="302" spans="1:29" ht="12.9">
      <c r="A302" s="24"/>
      <c r="B302" s="24"/>
      <c r="C302" s="24"/>
      <c r="D302" s="24"/>
      <c r="E302" s="24"/>
      <c r="F302" s="117"/>
      <c r="G302" s="117"/>
      <c r="H302" s="24"/>
      <c r="I302" s="24"/>
      <c r="J302" s="24"/>
      <c r="K302" s="24"/>
      <c r="L302" s="24"/>
      <c r="M302" s="24"/>
      <c r="N302" s="24"/>
      <c r="O302" s="24"/>
      <c r="P302" s="24"/>
      <c r="Q302" s="24"/>
      <c r="R302" s="24"/>
      <c r="S302" s="24"/>
      <c r="T302" s="24"/>
      <c r="U302" s="24"/>
      <c r="V302" s="24"/>
      <c r="W302" s="24"/>
      <c r="X302" s="24"/>
      <c r="Y302" s="24"/>
      <c r="Z302" s="24"/>
      <c r="AA302" s="24"/>
      <c r="AB302" s="24"/>
      <c r="AC302" s="24"/>
    </row>
    <row r="303" spans="1:29" ht="12.9">
      <c r="A303" s="24"/>
      <c r="B303" s="24"/>
      <c r="C303" s="24"/>
      <c r="D303" s="24"/>
      <c r="E303" s="24"/>
      <c r="F303" s="117"/>
      <c r="G303" s="117"/>
      <c r="H303" s="24"/>
      <c r="I303" s="24"/>
      <c r="J303" s="24"/>
      <c r="K303" s="24"/>
      <c r="L303" s="24"/>
      <c r="M303" s="24"/>
      <c r="N303" s="24"/>
      <c r="O303" s="24"/>
      <c r="P303" s="24"/>
      <c r="Q303" s="24"/>
      <c r="R303" s="24"/>
      <c r="S303" s="24"/>
      <c r="T303" s="24"/>
      <c r="U303" s="24"/>
      <c r="V303" s="24"/>
      <c r="W303" s="24"/>
      <c r="X303" s="24"/>
      <c r="Y303" s="24"/>
      <c r="Z303" s="24"/>
      <c r="AA303" s="24"/>
      <c r="AB303" s="24"/>
      <c r="AC303" s="24"/>
    </row>
    <row r="304" spans="1:29" ht="12.9">
      <c r="A304" s="24"/>
      <c r="B304" s="24"/>
      <c r="C304" s="24"/>
      <c r="D304" s="24"/>
      <c r="E304" s="24"/>
      <c r="F304" s="117"/>
      <c r="G304" s="117"/>
      <c r="H304" s="24"/>
      <c r="I304" s="24"/>
      <c r="J304" s="24"/>
      <c r="K304" s="24"/>
      <c r="L304" s="24"/>
      <c r="M304" s="24"/>
      <c r="N304" s="24"/>
      <c r="O304" s="24"/>
      <c r="P304" s="24"/>
      <c r="Q304" s="24"/>
      <c r="R304" s="24"/>
      <c r="S304" s="24"/>
      <c r="T304" s="24"/>
      <c r="U304" s="24"/>
      <c r="V304" s="24"/>
      <c r="W304" s="24"/>
      <c r="X304" s="24"/>
      <c r="Y304" s="24"/>
      <c r="Z304" s="24"/>
      <c r="AA304" s="24"/>
      <c r="AB304" s="24"/>
      <c r="AC304" s="24"/>
    </row>
    <row r="305" spans="1:29" ht="12.9">
      <c r="A305" s="24"/>
      <c r="B305" s="24"/>
      <c r="C305" s="24"/>
      <c r="D305" s="24"/>
      <c r="E305" s="24"/>
      <c r="F305" s="117"/>
      <c r="G305" s="117"/>
      <c r="H305" s="24"/>
      <c r="I305" s="24"/>
      <c r="J305" s="24"/>
      <c r="K305" s="24"/>
      <c r="L305" s="24"/>
      <c r="M305" s="24"/>
      <c r="N305" s="24"/>
      <c r="O305" s="24"/>
      <c r="P305" s="24"/>
      <c r="Q305" s="24"/>
      <c r="R305" s="24"/>
      <c r="S305" s="24"/>
      <c r="T305" s="24"/>
      <c r="U305" s="24"/>
      <c r="V305" s="24"/>
      <c r="W305" s="24"/>
      <c r="X305" s="24"/>
      <c r="Y305" s="24"/>
      <c r="Z305" s="24"/>
      <c r="AA305" s="24"/>
      <c r="AB305" s="24"/>
      <c r="AC305" s="24"/>
    </row>
    <row r="306" spans="1:29" ht="12.9">
      <c r="A306" s="24"/>
      <c r="B306" s="24"/>
      <c r="C306" s="24"/>
      <c r="D306" s="24"/>
      <c r="E306" s="24"/>
      <c r="F306" s="117"/>
      <c r="G306" s="117"/>
      <c r="H306" s="24"/>
      <c r="I306" s="24"/>
      <c r="J306" s="24"/>
      <c r="K306" s="24"/>
      <c r="L306" s="24"/>
      <c r="M306" s="24"/>
      <c r="N306" s="24"/>
      <c r="O306" s="24"/>
      <c r="P306" s="24"/>
      <c r="Q306" s="24"/>
      <c r="R306" s="24"/>
      <c r="S306" s="24"/>
      <c r="T306" s="24"/>
      <c r="U306" s="24"/>
      <c r="V306" s="24"/>
      <c r="W306" s="24"/>
      <c r="X306" s="24"/>
      <c r="Y306" s="24"/>
      <c r="Z306" s="24"/>
      <c r="AA306" s="24"/>
      <c r="AB306" s="24"/>
      <c r="AC306" s="24"/>
    </row>
    <row r="307" spans="1:29" ht="12.9">
      <c r="A307" s="24"/>
      <c r="B307" s="24"/>
      <c r="C307" s="24"/>
      <c r="D307" s="24"/>
      <c r="E307" s="24"/>
      <c r="F307" s="117"/>
      <c r="G307" s="117"/>
      <c r="H307" s="24"/>
      <c r="I307" s="24"/>
      <c r="J307" s="24"/>
      <c r="K307" s="24"/>
      <c r="L307" s="24"/>
      <c r="M307" s="24"/>
      <c r="N307" s="24"/>
      <c r="O307" s="24"/>
      <c r="P307" s="24"/>
      <c r="Q307" s="24"/>
      <c r="R307" s="24"/>
      <c r="S307" s="24"/>
      <c r="T307" s="24"/>
      <c r="U307" s="24"/>
      <c r="V307" s="24"/>
      <c r="W307" s="24"/>
      <c r="X307" s="24"/>
      <c r="Y307" s="24"/>
      <c r="Z307" s="24"/>
      <c r="AA307" s="24"/>
      <c r="AB307" s="24"/>
      <c r="AC307" s="24"/>
    </row>
    <row r="308" spans="1:29" ht="12.9">
      <c r="A308" s="24"/>
      <c r="B308" s="24"/>
      <c r="C308" s="24"/>
      <c r="D308" s="24"/>
      <c r="E308" s="24"/>
      <c r="F308" s="117"/>
      <c r="G308" s="117"/>
      <c r="H308" s="24"/>
      <c r="I308" s="24"/>
      <c r="J308" s="24"/>
      <c r="K308" s="24"/>
      <c r="L308" s="24"/>
      <c r="M308" s="24"/>
      <c r="N308" s="24"/>
      <c r="O308" s="24"/>
      <c r="P308" s="24"/>
      <c r="Q308" s="24"/>
      <c r="R308" s="24"/>
      <c r="S308" s="24"/>
      <c r="T308" s="24"/>
      <c r="U308" s="24"/>
      <c r="V308" s="24"/>
      <c r="W308" s="24"/>
      <c r="X308" s="24"/>
      <c r="Y308" s="24"/>
      <c r="Z308" s="24"/>
      <c r="AA308" s="24"/>
      <c r="AB308" s="24"/>
      <c r="AC308" s="24"/>
    </row>
    <row r="309" spans="1:29" ht="12.9">
      <c r="A309" s="24"/>
      <c r="B309" s="24"/>
      <c r="C309" s="24"/>
      <c r="D309" s="24"/>
      <c r="E309" s="24"/>
      <c r="F309" s="117"/>
      <c r="G309" s="117"/>
      <c r="H309" s="24"/>
      <c r="I309" s="24"/>
      <c r="J309" s="24"/>
      <c r="K309" s="24"/>
      <c r="L309" s="24"/>
      <c r="M309" s="24"/>
      <c r="N309" s="24"/>
      <c r="O309" s="24"/>
      <c r="P309" s="24"/>
      <c r="Q309" s="24"/>
      <c r="R309" s="24"/>
      <c r="S309" s="24"/>
      <c r="T309" s="24"/>
      <c r="U309" s="24"/>
      <c r="V309" s="24"/>
      <c r="W309" s="24"/>
      <c r="X309" s="24"/>
      <c r="Y309" s="24"/>
      <c r="Z309" s="24"/>
      <c r="AA309" s="24"/>
      <c r="AB309" s="24"/>
      <c r="AC309" s="24"/>
    </row>
    <row r="310" spans="1:29" ht="12.9">
      <c r="A310" s="24"/>
      <c r="B310" s="24"/>
      <c r="C310" s="24"/>
      <c r="D310" s="24"/>
      <c r="E310" s="24"/>
      <c r="F310" s="117"/>
      <c r="G310" s="117"/>
      <c r="H310" s="24"/>
      <c r="I310" s="24"/>
      <c r="J310" s="24"/>
      <c r="K310" s="24"/>
      <c r="L310" s="24"/>
      <c r="M310" s="24"/>
      <c r="N310" s="24"/>
      <c r="O310" s="24"/>
      <c r="P310" s="24"/>
      <c r="Q310" s="24"/>
      <c r="R310" s="24"/>
      <c r="S310" s="24"/>
      <c r="T310" s="24"/>
      <c r="U310" s="24"/>
      <c r="V310" s="24"/>
      <c r="W310" s="24"/>
      <c r="X310" s="24"/>
      <c r="Y310" s="24"/>
      <c r="Z310" s="24"/>
      <c r="AA310" s="24"/>
      <c r="AB310" s="24"/>
      <c r="AC310" s="24"/>
    </row>
    <row r="311" spans="1:29" ht="12.9">
      <c r="A311" s="24"/>
      <c r="B311" s="24"/>
      <c r="C311" s="24"/>
      <c r="D311" s="24"/>
      <c r="E311" s="24"/>
      <c r="F311" s="117"/>
      <c r="G311" s="117"/>
      <c r="H311" s="24"/>
      <c r="I311" s="24"/>
      <c r="J311" s="24"/>
      <c r="K311" s="24"/>
      <c r="L311" s="24"/>
      <c r="M311" s="24"/>
      <c r="N311" s="24"/>
      <c r="O311" s="24"/>
      <c r="P311" s="24"/>
      <c r="Q311" s="24"/>
      <c r="R311" s="24"/>
      <c r="S311" s="24"/>
      <c r="T311" s="24"/>
      <c r="U311" s="24"/>
      <c r="V311" s="24"/>
      <c r="W311" s="24"/>
      <c r="X311" s="24"/>
      <c r="Y311" s="24"/>
      <c r="Z311" s="24"/>
      <c r="AA311" s="24"/>
      <c r="AB311" s="24"/>
      <c r="AC311" s="24"/>
    </row>
    <row r="312" spans="1:29" ht="12.9">
      <c r="A312" s="24"/>
      <c r="B312" s="24"/>
      <c r="C312" s="24"/>
      <c r="D312" s="24"/>
      <c r="E312" s="24"/>
      <c r="F312" s="117"/>
      <c r="G312" s="117"/>
      <c r="H312" s="24"/>
      <c r="I312" s="24"/>
      <c r="J312" s="24"/>
      <c r="K312" s="24"/>
      <c r="L312" s="24"/>
      <c r="M312" s="24"/>
      <c r="N312" s="24"/>
      <c r="O312" s="24"/>
      <c r="P312" s="24"/>
      <c r="Q312" s="24"/>
      <c r="R312" s="24"/>
      <c r="S312" s="24"/>
      <c r="T312" s="24"/>
      <c r="U312" s="24"/>
      <c r="V312" s="24"/>
      <c r="W312" s="24"/>
      <c r="X312" s="24"/>
      <c r="Y312" s="24"/>
      <c r="Z312" s="24"/>
      <c r="AA312" s="24"/>
      <c r="AB312" s="24"/>
      <c r="AC312" s="24"/>
    </row>
    <row r="313" spans="1:29" ht="12.9">
      <c r="A313" s="24"/>
      <c r="B313" s="24"/>
      <c r="C313" s="24"/>
      <c r="D313" s="24"/>
      <c r="E313" s="24"/>
      <c r="F313" s="117"/>
      <c r="G313" s="117"/>
      <c r="H313" s="24"/>
      <c r="I313" s="24"/>
      <c r="J313" s="24"/>
      <c r="K313" s="24"/>
      <c r="L313" s="24"/>
      <c r="M313" s="24"/>
      <c r="N313" s="24"/>
      <c r="O313" s="24"/>
      <c r="P313" s="24"/>
      <c r="Q313" s="24"/>
      <c r="R313" s="24"/>
      <c r="S313" s="24"/>
      <c r="T313" s="24"/>
      <c r="U313" s="24"/>
      <c r="V313" s="24"/>
      <c r="W313" s="24"/>
      <c r="X313" s="24"/>
      <c r="Y313" s="24"/>
      <c r="Z313" s="24"/>
      <c r="AA313" s="24"/>
      <c r="AB313" s="24"/>
      <c r="AC313" s="24"/>
    </row>
    <row r="314" spans="1:29" ht="12.9">
      <c r="A314" s="24"/>
      <c r="B314" s="24"/>
      <c r="C314" s="24"/>
      <c r="D314" s="24"/>
      <c r="E314" s="24"/>
      <c r="F314" s="117"/>
      <c r="G314" s="117"/>
      <c r="H314" s="24"/>
      <c r="I314" s="24"/>
      <c r="J314" s="24"/>
      <c r="K314" s="24"/>
      <c r="L314" s="24"/>
      <c r="M314" s="24"/>
      <c r="N314" s="24"/>
      <c r="O314" s="24"/>
      <c r="P314" s="24"/>
      <c r="Q314" s="24"/>
      <c r="R314" s="24"/>
      <c r="S314" s="24"/>
      <c r="T314" s="24"/>
      <c r="U314" s="24"/>
      <c r="V314" s="24"/>
      <c r="W314" s="24"/>
      <c r="X314" s="24"/>
      <c r="Y314" s="24"/>
      <c r="Z314" s="24"/>
      <c r="AA314" s="24"/>
      <c r="AB314" s="24"/>
      <c r="AC314" s="24"/>
    </row>
    <row r="315" spans="1:29" ht="12.9">
      <c r="A315" s="24"/>
      <c r="B315" s="24"/>
      <c r="C315" s="24"/>
      <c r="D315" s="24"/>
      <c r="E315" s="24"/>
      <c r="F315" s="117"/>
      <c r="G315" s="117"/>
      <c r="H315" s="24"/>
      <c r="I315" s="24"/>
      <c r="J315" s="24"/>
      <c r="K315" s="24"/>
      <c r="L315" s="24"/>
      <c r="M315" s="24"/>
      <c r="N315" s="24"/>
      <c r="O315" s="24"/>
      <c r="P315" s="24"/>
      <c r="Q315" s="24"/>
      <c r="R315" s="24"/>
      <c r="S315" s="24"/>
      <c r="T315" s="24"/>
      <c r="U315" s="24"/>
      <c r="V315" s="24"/>
      <c r="W315" s="24"/>
      <c r="X315" s="24"/>
      <c r="Y315" s="24"/>
      <c r="Z315" s="24"/>
      <c r="AA315" s="24"/>
      <c r="AB315" s="24"/>
      <c r="AC315" s="24"/>
    </row>
    <row r="316" spans="1:29" ht="12.9">
      <c r="A316" s="24"/>
      <c r="B316" s="24"/>
      <c r="C316" s="24"/>
      <c r="D316" s="24"/>
      <c r="E316" s="24"/>
      <c r="F316" s="117"/>
      <c r="G316" s="117"/>
      <c r="H316" s="24"/>
      <c r="I316" s="24"/>
      <c r="J316" s="24"/>
      <c r="K316" s="24"/>
      <c r="L316" s="24"/>
      <c r="M316" s="24"/>
      <c r="N316" s="24"/>
      <c r="O316" s="24"/>
      <c r="P316" s="24"/>
      <c r="Q316" s="24"/>
      <c r="R316" s="24"/>
      <c r="S316" s="24"/>
      <c r="T316" s="24"/>
      <c r="U316" s="24"/>
      <c r="V316" s="24"/>
      <c r="W316" s="24"/>
      <c r="X316" s="24"/>
      <c r="Y316" s="24"/>
      <c r="Z316" s="24"/>
      <c r="AA316" s="24"/>
      <c r="AB316" s="24"/>
      <c r="AC316" s="24"/>
    </row>
    <row r="317" spans="1:29" ht="12.9">
      <c r="A317" s="24"/>
      <c r="B317" s="24"/>
      <c r="C317" s="24"/>
      <c r="D317" s="24"/>
      <c r="E317" s="24"/>
      <c r="F317" s="117"/>
      <c r="G317" s="117"/>
      <c r="H317" s="24"/>
      <c r="I317" s="24"/>
      <c r="J317" s="24"/>
      <c r="K317" s="24"/>
      <c r="L317" s="24"/>
      <c r="M317" s="24"/>
      <c r="N317" s="24"/>
      <c r="O317" s="24"/>
      <c r="P317" s="24"/>
      <c r="Q317" s="24"/>
      <c r="R317" s="24"/>
      <c r="S317" s="24"/>
      <c r="T317" s="24"/>
      <c r="U317" s="24"/>
      <c r="V317" s="24"/>
      <c r="W317" s="24"/>
      <c r="X317" s="24"/>
      <c r="Y317" s="24"/>
      <c r="Z317" s="24"/>
      <c r="AA317" s="24"/>
      <c r="AB317" s="24"/>
      <c r="AC317" s="24"/>
    </row>
    <row r="318" spans="1:29" ht="12.9">
      <c r="A318" s="24"/>
      <c r="B318" s="24"/>
      <c r="C318" s="24"/>
      <c r="D318" s="24"/>
      <c r="E318" s="24"/>
      <c r="F318" s="117"/>
      <c r="G318" s="117"/>
      <c r="H318" s="24"/>
      <c r="I318" s="24"/>
      <c r="J318" s="24"/>
      <c r="K318" s="24"/>
      <c r="L318" s="24"/>
      <c r="M318" s="24"/>
      <c r="N318" s="24"/>
      <c r="O318" s="24"/>
      <c r="P318" s="24"/>
      <c r="Q318" s="24"/>
      <c r="R318" s="24"/>
      <c r="S318" s="24"/>
      <c r="T318" s="24"/>
      <c r="U318" s="24"/>
      <c r="V318" s="24"/>
      <c r="W318" s="24"/>
      <c r="X318" s="24"/>
      <c r="Y318" s="24"/>
      <c r="Z318" s="24"/>
      <c r="AA318" s="24"/>
      <c r="AB318" s="24"/>
      <c r="AC318" s="24"/>
    </row>
    <row r="319" spans="1:29" ht="12.9">
      <c r="A319" s="24"/>
      <c r="B319" s="24"/>
      <c r="C319" s="24"/>
      <c r="D319" s="24"/>
      <c r="E319" s="24"/>
      <c r="F319" s="117"/>
      <c r="G319" s="117"/>
      <c r="H319" s="24"/>
      <c r="I319" s="24"/>
      <c r="J319" s="24"/>
      <c r="K319" s="24"/>
      <c r="L319" s="24"/>
      <c r="M319" s="24"/>
      <c r="N319" s="24"/>
      <c r="O319" s="24"/>
      <c r="P319" s="24"/>
      <c r="Q319" s="24"/>
      <c r="R319" s="24"/>
      <c r="S319" s="24"/>
      <c r="T319" s="24"/>
      <c r="U319" s="24"/>
      <c r="V319" s="24"/>
      <c r="W319" s="24"/>
      <c r="X319" s="24"/>
      <c r="Y319" s="24"/>
      <c r="Z319" s="24"/>
      <c r="AA319" s="24"/>
      <c r="AB319" s="24"/>
      <c r="AC319" s="24"/>
    </row>
    <row r="320" spans="1:29" ht="12.9">
      <c r="A320" s="24"/>
      <c r="B320" s="24"/>
      <c r="C320" s="24"/>
      <c r="D320" s="24"/>
      <c r="E320" s="24"/>
      <c r="F320" s="117"/>
      <c r="G320" s="117"/>
      <c r="H320" s="24"/>
      <c r="I320" s="24"/>
      <c r="J320" s="24"/>
      <c r="K320" s="24"/>
      <c r="L320" s="24"/>
      <c r="M320" s="24"/>
      <c r="N320" s="24"/>
      <c r="O320" s="24"/>
      <c r="P320" s="24"/>
      <c r="Q320" s="24"/>
      <c r="R320" s="24"/>
      <c r="S320" s="24"/>
      <c r="T320" s="24"/>
      <c r="U320" s="24"/>
      <c r="V320" s="24"/>
      <c r="W320" s="24"/>
      <c r="X320" s="24"/>
      <c r="Y320" s="24"/>
      <c r="Z320" s="24"/>
      <c r="AA320" s="24"/>
      <c r="AB320" s="24"/>
      <c r="AC320" s="24"/>
    </row>
    <row r="321" spans="1:29" ht="12.9">
      <c r="A321" s="24"/>
      <c r="B321" s="24"/>
      <c r="C321" s="24"/>
      <c r="D321" s="24"/>
      <c r="E321" s="24"/>
      <c r="F321" s="117"/>
      <c r="G321" s="117"/>
      <c r="H321" s="24"/>
      <c r="I321" s="24"/>
      <c r="J321" s="24"/>
      <c r="K321" s="24"/>
      <c r="L321" s="24"/>
      <c r="M321" s="24"/>
      <c r="N321" s="24"/>
      <c r="O321" s="24"/>
      <c r="P321" s="24"/>
      <c r="Q321" s="24"/>
      <c r="R321" s="24"/>
      <c r="S321" s="24"/>
      <c r="T321" s="24"/>
      <c r="U321" s="24"/>
      <c r="V321" s="24"/>
      <c r="W321" s="24"/>
      <c r="X321" s="24"/>
      <c r="Y321" s="24"/>
      <c r="Z321" s="24"/>
      <c r="AA321" s="24"/>
      <c r="AB321" s="24"/>
      <c r="AC321" s="24"/>
    </row>
    <row r="322" spans="1:29" ht="12.9">
      <c r="A322" s="24"/>
      <c r="B322" s="24"/>
      <c r="C322" s="24"/>
      <c r="D322" s="24"/>
      <c r="E322" s="24"/>
      <c r="F322" s="117"/>
      <c r="G322" s="117"/>
      <c r="H322" s="24"/>
      <c r="I322" s="24"/>
      <c r="J322" s="24"/>
      <c r="K322" s="24"/>
      <c r="L322" s="24"/>
      <c r="M322" s="24"/>
      <c r="N322" s="24"/>
      <c r="O322" s="24"/>
      <c r="P322" s="24"/>
      <c r="Q322" s="24"/>
      <c r="R322" s="24"/>
      <c r="S322" s="24"/>
      <c r="T322" s="24"/>
      <c r="U322" s="24"/>
      <c r="V322" s="24"/>
      <c r="W322" s="24"/>
      <c r="X322" s="24"/>
      <c r="Y322" s="24"/>
      <c r="Z322" s="24"/>
      <c r="AA322" s="24"/>
      <c r="AB322" s="24"/>
      <c r="AC322" s="24"/>
    </row>
    <row r="323" spans="1:29" ht="12.9">
      <c r="A323" s="24"/>
      <c r="B323" s="24"/>
      <c r="C323" s="24"/>
      <c r="D323" s="24"/>
      <c r="E323" s="24"/>
      <c r="F323" s="117"/>
      <c r="G323" s="117"/>
      <c r="H323" s="24"/>
      <c r="I323" s="24"/>
      <c r="J323" s="24"/>
      <c r="K323" s="24"/>
      <c r="L323" s="24"/>
      <c r="M323" s="24"/>
      <c r="N323" s="24"/>
      <c r="O323" s="24"/>
      <c r="P323" s="24"/>
      <c r="Q323" s="24"/>
      <c r="R323" s="24"/>
      <c r="S323" s="24"/>
      <c r="T323" s="24"/>
      <c r="U323" s="24"/>
      <c r="V323" s="24"/>
      <c r="W323" s="24"/>
      <c r="X323" s="24"/>
      <c r="Y323" s="24"/>
      <c r="Z323" s="24"/>
      <c r="AA323" s="24"/>
      <c r="AB323" s="24"/>
      <c r="AC323" s="24"/>
    </row>
    <row r="324" spans="1:29" ht="12.9">
      <c r="A324" s="24"/>
      <c r="B324" s="24"/>
      <c r="C324" s="24"/>
      <c r="D324" s="24"/>
      <c r="E324" s="24"/>
      <c r="F324" s="117"/>
      <c r="G324" s="117"/>
      <c r="H324" s="24"/>
      <c r="I324" s="24"/>
      <c r="J324" s="24"/>
      <c r="K324" s="24"/>
      <c r="L324" s="24"/>
      <c r="M324" s="24"/>
      <c r="N324" s="24"/>
      <c r="O324" s="24"/>
      <c r="P324" s="24"/>
      <c r="Q324" s="24"/>
      <c r="R324" s="24"/>
      <c r="S324" s="24"/>
      <c r="T324" s="24"/>
      <c r="U324" s="24"/>
      <c r="V324" s="24"/>
      <c r="W324" s="24"/>
      <c r="X324" s="24"/>
      <c r="Y324" s="24"/>
      <c r="Z324" s="24"/>
      <c r="AA324" s="24"/>
      <c r="AB324" s="24"/>
      <c r="AC324" s="24"/>
    </row>
    <row r="325" spans="1:29" ht="12.9">
      <c r="A325" s="24"/>
      <c r="B325" s="24"/>
      <c r="C325" s="24"/>
      <c r="D325" s="24"/>
      <c r="E325" s="24"/>
      <c r="F325" s="117"/>
      <c r="G325" s="117"/>
      <c r="H325" s="24"/>
      <c r="I325" s="24"/>
      <c r="J325" s="24"/>
      <c r="K325" s="24"/>
      <c r="L325" s="24"/>
      <c r="M325" s="24"/>
      <c r="N325" s="24"/>
      <c r="O325" s="24"/>
      <c r="P325" s="24"/>
      <c r="Q325" s="24"/>
      <c r="R325" s="24"/>
      <c r="S325" s="24"/>
      <c r="T325" s="24"/>
      <c r="U325" s="24"/>
      <c r="V325" s="24"/>
      <c r="W325" s="24"/>
      <c r="X325" s="24"/>
      <c r="Y325" s="24"/>
      <c r="Z325" s="24"/>
      <c r="AA325" s="24"/>
      <c r="AB325" s="24"/>
      <c r="AC325" s="24"/>
    </row>
    <row r="326" spans="1:29" ht="12.9">
      <c r="A326" s="24"/>
      <c r="B326" s="24"/>
      <c r="C326" s="24"/>
      <c r="D326" s="24"/>
      <c r="E326" s="24"/>
      <c r="F326" s="117"/>
      <c r="G326" s="117"/>
      <c r="H326" s="24"/>
      <c r="I326" s="24"/>
      <c r="J326" s="24"/>
      <c r="K326" s="24"/>
      <c r="L326" s="24"/>
      <c r="M326" s="24"/>
      <c r="N326" s="24"/>
      <c r="O326" s="24"/>
      <c r="P326" s="24"/>
      <c r="Q326" s="24"/>
      <c r="R326" s="24"/>
      <c r="S326" s="24"/>
      <c r="T326" s="24"/>
      <c r="U326" s="24"/>
      <c r="V326" s="24"/>
      <c r="W326" s="24"/>
      <c r="X326" s="24"/>
      <c r="Y326" s="24"/>
      <c r="Z326" s="24"/>
      <c r="AA326" s="24"/>
      <c r="AB326" s="24"/>
      <c r="AC326" s="24"/>
    </row>
    <row r="327" spans="1:29" ht="12.9">
      <c r="A327" s="24"/>
      <c r="B327" s="24"/>
      <c r="C327" s="24"/>
      <c r="D327" s="24"/>
      <c r="E327" s="24"/>
      <c r="F327" s="117"/>
      <c r="G327" s="117"/>
      <c r="H327" s="24"/>
      <c r="I327" s="24"/>
      <c r="J327" s="24"/>
      <c r="K327" s="24"/>
      <c r="L327" s="24"/>
      <c r="M327" s="24"/>
      <c r="N327" s="24"/>
      <c r="O327" s="24"/>
      <c r="P327" s="24"/>
      <c r="Q327" s="24"/>
      <c r="R327" s="24"/>
      <c r="S327" s="24"/>
      <c r="T327" s="24"/>
      <c r="U327" s="24"/>
      <c r="V327" s="24"/>
      <c r="W327" s="24"/>
      <c r="X327" s="24"/>
      <c r="Y327" s="24"/>
      <c r="Z327" s="24"/>
      <c r="AA327" s="24"/>
      <c r="AB327" s="24"/>
      <c r="AC327" s="24"/>
    </row>
    <row r="328" spans="1:29" ht="12.9">
      <c r="A328" s="24"/>
      <c r="B328" s="24"/>
      <c r="C328" s="24"/>
      <c r="D328" s="24"/>
      <c r="E328" s="24"/>
      <c r="F328" s="117"/>
      <c r="G328" s="117"/>
      <c r="H328" s="24"/>
      <c r="I328" s="24"/>
      <c r="J328" s="24"/>
      <c r="K328" s="24"/>
      <c r="L328" s="24"/>
      <c r="M328" s="24"/>
      <c r="N328" s="24"/>
      <c r="O328" s="24"/>
      <c r="P328" s="24"/>
      <c r="Q328" s="24"/>
      <c r="R328" s="24"/>
      <c r="S328" s="24"/>
      <c r="T328" s="24"/>
      <c r="U328" s="24"/>
      <c r="V328" s="24"/>
      <c r="W328" s="24"/>
      <c r="X328" s="24"/>
      <c r="Y328" s="24"/>
      <c r="Z328" s="24"/>
      <c r="AA328" s="24"/>
      <c r="AB328" s="24"/>
      <c r="AC328" s="24"/>
    </row>
    <row r="329" spans="1:29" ht="12.9">
      <c r="A329" s="24"/>
      <c r="B329" s="24"/>
      <c r="C329" s="24"/>
      <c r="D329" s="24"/>
      <c r="E329" s="24"/>
      <c r="F329" s="117"/>
      <c r="G329" s="117"/>
      <c r="H329" s="24"/>
      <c r="I329" s="24"/>
      <c r="J329" s="24"/>
      <c r="K329" s="24"/>
      <c r="L329" s="24"/>
      <c r="M329" s="24"/>
      <c r="N329" s="24"/>
      <c r="O329" s="24"/>
      <c r="P329" s="24"/>
      <c r="Q329" s="24"/>
      <c r="R329" s="24"/>
      <c r="S329" s="24"/>
      <c r="T329" s="24"/>
      <c r="U329" s="24"/>
      <c r="V329" s="24"/>
      <c r="W329" s="24"/>
      <c r="X329" s="24"/>
      <c r="Y329" s="24"/>
      <c r="Z329" s="24"/>
      <c r="AA329" s="24"/>
      <c r="AB329" s="24"/>
      <c r="AC329" s="24"/>
    </row>
    <row r="330" spans="1:29" ht="12.9">
      <c r="A330" s="24"/>
      <c r="B330" s="24"/>
      <c r="C330" s="24"/>
      <c r="D330" s="24"/>
      <c r="E330" s="24"/>
      <c r="F330" s="117"/>
      <c r="G330" s="117"/>
      <c r="H330" s="24"/>
      <c r="I330" s="24"/>
      <c r="J330" s="24"/>
      <c r="K330" s="24"/>
      <c r="L330" s="24"/>
      <c r="M330" s="24"/>
      <c r="N330" s="24"/>
      <c r="O330" s="24"/>
      <c r="P330" s="24"/>
      <c r="Q330" s="24"/>
      <c r="R330" s="24"/>
      <c r="S330" s="24"/>
      <c r="T330" s="24"/>
      <c r="U330" s="24"/>
      <c r="V330" s="24"/>
      <c r="W330" s="24"/>
      <c r="X330" s="24"/>
      <c r="Y330" s="24"/>
      <c r="Z330" s="24"/>
      <c r="AA330" s="24"/>
      <c r="AB330" s="24"/>
      <c r="AC330" s="24"/>
    </row>
    <row r="331" spans="1:29" ht="12.9">
      <c r="A331" s="24"/>
      <c r="B331" s="24"/>
      <c r="C331" s="24"/>
      <c r="D331" s="24"/>
      <c r="E331" s="24"/>
      <c r="F331" s="117"/>
      <c r="G331" s="117"/>
      <c r="H331" s="24"/>
      <c r="I331" s="24"/>
      <c r="J331" s="24"/>
      <c r="K331" s="24"/>
      <c r="L331" s="24"/>
      <c r="M331" s="24"/>
      <c r="N331" s="24"/>
      <c r="O331" s="24"/>
      <c r="P331" s="24"/>
      <c r="Q331" s="24"/>
      <c r="R331" s="24"/>
      <c r="S331" s="24"/>
      <c r="T331" s="24"/>
      <c r="U331" s="24"/>
      <c r="V331" s="24"/>
      <c r="W331" s="24"/>
      <c r="X331" s="24"/>
      <c r="Y331" s="24"/>
      <c r="Z331" s="24"/>
      <c r="AA331" s="24"/>
      <c r="AB331" s="24"/>
      <c r="AC331" s="24"/>
    </row>
    <row r="332" spans="1:29" ht="12.9">
      <c r="A332" s="24"/>
      <c r="B332" s="24"/>
      <c r="C332" s="24"/>
      <c r="D332" s="24"/>
      <c r="E332" s="24"/>
      <c r="F332" s="117"/>
      <c r="G332" s="117"/>
      <c r="H332" s="24"/>
      <c r="I332" s="24"/>
      <c r="J332" s="24"/>
      <c r="K332" s="24"/>
      <c r="L332" s="24"/>
      <c r="M332" s="24"/>
      <c r="N332" s="24"/>
      <c r="O332" s="24"/>
      <c r="P332" s="24"/>
      <c r="Q332" s="24"/>
      <c r="R332" s="24"/>
      <c r="S332" s="24"/>
      <c r="T332" s="24"/>
      <c r="U332" s="24"/>
      <c r="V332" s="24"/>
      <c r="W332" s="24"/>
      <c r="X332" s="24"/>
      <c r="Y332" s="24"/>
      <c r="Z332" s="24"/>
      <c r="AA332" s="24"/>
      <c r="AB332" s="24"/>
      <c r="AC332" s="24"/>
    </row>
    <row r="333" spans="1:29" ht="12.9">
      <c r="A333" s="24"/>
      <c r="B333" s="24"/>
      <c r="C333" s="24"/>
      <c r="D333" s="24"/>
      <c r="E333" s="24"/>
      <c r="F333" s="117"/>
      <c r="G333" s="117"/>
      <c r="H333" s="24"/>
      <c r="I333" s="24"/>
      <c r="J333" s="24"/>
      <c r="K333" s="24"/>
      <c r="L333" s="24"/>
      <c r="M333" s="24"/>
      <c r="N333" s="24"/>
      <c r="O333" s="24"/>
      <c r="P333" s="24"/>
      <c r="Q333" s="24"/>
      <c r="R333" s="24"/>
      <c r="S333" s="24"/>
      <c r="T333" s="24"/>
      <c r="U333" s="24"/>
      <c r="V333" s="24"/>
      <c r="W333" s="24"/>
      <c r="X333" s="24"/>
      <c r="Y333" s="24"/>
      <c r="Z333" s="24"/>
      <c r="AA333" s="24"/>
      <c r="AB333" s="24"/>
      <c r="AC333" s="24"/>
    </row>
    <row r="334" spans="1:29" ht="12.9">
      <c r="A334" s="24"/>
      <c r="B334" s="24"/>
      <c r="C334" s="24"/>
      <c r="D334" s="24"/>
      <c r="E334" s="24"/>
      <c r="F334" s="117"/>
      <c r="G334" s="117"/>
      <c r="H334" s="24"/>
      <c r="I334" s="24"/>
      <c r="J334" s="24"/>
      <c r="K334" s="24"/>
      <c r="L334" s="24"/>
      <c r="M334" s="24"/>
      <c r="N334" s="24"/>
      <c r="O334" s="24"/>
      <c r="P334" s="24"/>
      <c r="Q334" s="24"/>
      <c r="R334" s="24"/>
      <c r="S334" s="24"/>
      <c r="T334" s="24"/>
      <c r="U334" s="24"/>
      <c r="V334" s="24"/>
      <c r="W334" s="24"/>
      <c r="X334" s="24"/>
      <c r="Y334" s="24"/>
      <c r="Z334" s="24"/>
      <c r="AA334" s="24"/>
      <c r="AB334" s="24"/>
      <c r="AC334" s="24"/>
    </row>
    <row r="335" spans="1:29" ht="12.9">
      <c r="A335" s="24"/>
      <c r="B335" s="24"/>
      <c r="C335" s="24"/>
      <c r="D335" s="24"/>
      <c r="E335" s="24"/>
      <c r="F335" s="117"/>
      <c r="G335" s="117"/>
      <c r="H335" s="24"/>
      <c r="I335" s="24"/>
      <c r="J335" s="24"/>
      <c r="K335" s="24"/>
      <c r="L335" s="24"/>
      <c r="M335" s="24"/>
      <c r="N335" s="24"/>
      <c r="O335" s="24"/>
      <c r="P335" s="24"/>
      <c r="Q335" s="24"/>
      <c r="R335" s="24"/>
      <c r="S335" s="24"/>
      <c r="T335" s="24"/>
      <c r="U335" s="24"/>
      <c r="V335" s="24"/>
      <c r="W335" s="24"/>
      <c r="X335" s="24"/>
      <c r="Y335" s="24"/>
      <c r="Z335" s="24"/>
      <c r="AA335" s="24"/>
      <c r="AB335" s="24"/>
      <c r="AC335" s="24"/>
    </row>
    <row r="336" spans="1:29" ht="12.9">
      <c r="A336" s="24"/>
      <c r="B336" s="24"/>
      <c r="C336" s="24"/>
      <c r="D336" s="24"/>
      <c r="E336" s="24"/>
      <c r="F336" s="117"/>
      <c r="G336" s="117"/>
      <c r="H336" s="24"/>
      <c r="I336" s="24"/>
      <c r="J336" s="24"/>
      <c r="K336" s="24"/>
      <c r="L336" s="24"/>
      <c r="M336" s="24"/>
      <c r="N336" s="24"/>
      <c r="O336" s="24"/>
      <c r="P336" s="24"/>
      <c r="Q336" s="24"/>
      <c r="R336" s="24"/>
      <c r="S336" s="24"/>
      <c r="T336" s="24"/>
      <c r="U336" s="24"/>
      <c r="V336" s="24"/>
      <c r="W336" s="24"/>
      <c r="X336" s="24"/>
      <c r="Y336" s="24"/>
      <c r="Z336" s="24"/>
      <c r="AA336" s="24"/>
      <c r="AB336" s="24"/>
      <c r="AC336" s="24"/>
    </row>
    <row r="337" spans="1:29" ht="12.9">
      <c r="A337" s="24"/>
      <c r="B337" s="24"/>
      <c r="C337" s="24"/>
      <c r="D337" s="24"/>
      <c r="E337" s="24"/>
      <c r="F337" s="117"/>
      <c r="G337" s="117"/>
      <c r="H337" s="24"/>
      <c r="I337" s="24"/>
      <c r="J337" s="24"/>
      <c r="K337" s="24"/>
      <c r="L337" s="24"/>
      <c r="M337" s="24"/>
      <c r="N337" s="24"/>
      <c r="O337" s="24"/>
      <c r="P337" s="24"/>
      <c r="Q337" s="24"/>
      <c r="R337" s="24"/>
      <c r="S337" s="24"/>
      <c r="T337" s="24"/>
      <c r="U337" s="24"/>
      <c r="V337" s="24"/>
      <c r="W337" s="24"/>
      <c r="X337" s="24"/>
      <c r="Y337" s="24"/>
      <c r="Z337" s="24"/>
      <c r="AA337" s="24"/>
      <c r="AB337" s="24"/>
      <c r="AC337" s="24"/>
    </row>
    <row r="338" spans="1:29" ht="12.9">
      <c r="A338" s="24"/>
      <c r="B338" s="24"/>
      <c r="C338" s="24"/>
      <c r="D338" s="24"/>
      <c r="E338" s="24"/>
      <c r="F338" s="117"/>
      <c r="G338" s="117"/>
      <c r="H338" s="24"/>
      <c r="I338" s="24"/>
      <c r="J338" s="24"/>
      <c r="K338" s="24"/>
      <c r="L338" s="24"/>
      <c r="M338" s="24"/>
      <c r="N338" s="24"/>
      <c r="O338" s="24"/>
      <c r="P338" s="24"/>
      <c r="Q338" s="24"/>
      <c r="R338" s="24"/>
      <c r="S338" s="24"/>
      <c r="T338" s="24"/>
      <c r="U338" s="24"/>
      <c r="V338" s="24"/>
      <c r="W338" s="24"/>
      <c r="X338" s="24"/>
      <c r="Y338" s="24"/>
      <c r="Z338" s="24"/>
      <c r="AA338" s="24"/>
      <c r="AB338" s="24"/>
      <c r="AC338" s="24"/>
    </row>
    <row r="339" spans="1:29" ht="12.9">
      <c r="A339" s="24"/>
      <c r="B339" s="24"/>
      <c r="C339" s="24"/>
      <c r="D339" s="24"/>
      <c r="E339" s="24"/>
      <c r="F339" s="117"/>
      <c r="G339" s="117"/>
      <c r="H339" s="24"/>
      <c r="I339" s="24"/>
      <c r="J339" s="24"/>
      <c r="K339" s="24"/>
      <c r="L339" s="24"/>
      <c r="M339" s="24"/>
      <c r="N339" s="24"/>
      <c r="O339" s="24"/>
      <c r="P339" s="24"/>
      <c r="Q339" s="24"/>
      <c r="R339" s="24"/>
      <c r="S339" s="24"/>
      <c r="T339" s="24"/>
      <c r="U339" s="24"/>
      <c r="V339" s="24"/>
      <c r="W339" s="24"/>
      <c r="X339" s="24"/>
      <c r="Y339" s="24"/>
      <c r="Z339" s="24"/>
      <c r="AA339" s="24"/>
      <c r="AB339" s="24"/>
      <c r="AC339" s="24"/>
    </row>
    <row r="340" spans="1:29" ht="12.9">
      <c r="A340" s="24"/>
      <c r="B340" s="24"/>
      <c r="C340" s="24"/>
      <c r="D340" s="24"/>
      <c r="E340" s="24"/>
      <c r="F340" s="117"/>
      <c r="G340" s="117"/>
      <c r="H340" s="24"/>
      <c r="I340" s="24"/>
      <c r="J340" s="24"/>
      <c r="K340" s="24"/>
      <c r="L340" s="24"/>
      <c r="M340" s="24"/>
      <c r="N340" s="24"/>
      <c r="O340" s="24"/>
      <c r="P340" s="24"/>
      <c r="Q340" s="24"/>
      <c r="R340" s="24"/>
      <c r="S340" s="24"/>
      <c r="T340" s="24"/>
      <c r="U340" s="24"/>
      <c r="V340" s="24"/>
      <c r="W340" s="24"/>
      <c r="X340" s="24"/>
      <c r="Y340" s="24"/>
      <c r="Z340" s="24"/>
      <c r="AA340" s="24"/>
      <c r="AB340" s="24"/>
      <c r="AC340" s="24"/>
    </row>
    <row r="341" spans="1:29" ht="12.9">
      <c r="A341" s="24"/>
      <c r="B341" s="24"/>
      <c r="C341" s="24"/>
      <c r="D341" s="24"/>
      <c r="E341" s="24"/>
      <c r="F341" s="117"/>
      <c r="G341" s="117"/>
      <c r="H341" s="24"/>
      <c r="I341" s="24"/>
      <c r="J341" s="24"/>
      <c r="K341" s="24"/>
      <c r="L341" s="24"/>
      <c r="M341" s="24"/>
      <c r="N341" s="24"/>
      <c r="O341" s="24"/>
      <c r="P341" s="24"/>
      <c r="Q341" s="24"/>
      <c r="R341" s="24"/>
      <c r="S341" s="24"/>
      <c r="T341" s="24"/>
      <c r="U341" s="24"/>
      <c r="V341" s="24"/>
      <c r="W341" s="24"/>
      <c r="X341" s="24"/>
      <c r="Y341" s="24"/>
      <c r="Z341" s="24"/>
      <c r="AA341" s="24"/>
      <c r="AB341" s="24"/>
      <c r="AC341" s="24"/>
    </row>
    <row r="342" spans="1:29" ht="12.9">
      <c r="A342" s="24"/>
      <c r="B342" s="24"/>
      <c r="C342" s="24"/>
      <c r="D342" s="24"/>
      <c r="E342" s="24"/>
      <c r="F342" s="117"/>
      <c r="G342" s="117"/>
      <c r="H342" s="24"/>
      <c r="I342" s="24"/>
      <c r="J342" s="24"/>
      <c r="K342" s="24"/>
      <c r="L342" s="24"/>
      <c r="M342" s="24"/>
      <c r="N342" s="24"/>
      <c r="O342" s="24"/>
      <c r="P342" s="24"/>
      <c r="Q342" s="24"/>
      <c r="R342" s="24"/>
      <c r="S342" s="24"/>
      <c r="T342" s="24"/>
      <c r="U342" s="24"/>
      <c r="V342" s="24"/>
      <c r="W342" s="24"/>
      <c r="X342" s="24"/>
      <c r="Y342" s="24"/>
      <c r="Z342" s="24"/>
      <c r="AA342" s="24"/>
      <c r="AB342" s="24"/>
      <c r="AC342" s="24"/>
    </row>
    <row r="343" spans="1:29" ht="12.9">
      <c r="A343" s="24"/>
      <c r="B343" s="24"/>
      <c r="C343" s="24"/>
      <c r="D343" s="24"/>
      <c r="E343" s="24"/>
      <c r="F343" s="117"/>
      <c r="G343" s="117"/>
      <c r="H343" s="24"/>
      <c r="I343" s="24"/>
      <c r="J343" s="24"/>
      <c r="K343" s="24"/>
      <c r="L343" s="24"/>
      <c r="M343" s="24"/>
      <c r="N343" s="24"/>
      <c r="O343" s="24"/>
      <c r="P343" s="24"/>
      <c r="Q343" s="24"/>
      <c r="R343" s="24"/>
      <c r="S343" s="24"/>
      <c r="T343" s="24"/>
      <c r="U343" s="24"/>
      <c r="V343" s="24"/>
      <c r="W343" s="24"/>
      <c r="X343" s="24"/>
      <c r="Y343" s="24"/>
      <c r="Z343" s="24"/>
      <c r="AA343" s="24"/>
      <c r="AB343" s="24"/>
      <c r="AC343" s="24"/>
    </row>
    <row r="344" spans="1:29" ht="12.9">
      <c r="A344" s="24"/>
      <c r="B344" s="24"/>
      <c r="C344" s="24"/>
      <c r="D344" s="24"/>
      <c r="E344" s="24"/>
      <c r="F344" s="117"/>
      <c r="G344" s="117"/>
      <c r="H344" s="24"/>
      <c r="I344" s="24"/>
      <c r="J344" s="24"/>
      <c r="K344" s="24"/>
      <c r="L344" s="24"/>
      <c r="M344" s="24"/>
      <c r="N344" s="24"/>
      <c r="O344" s="24"/>
      <c r="P344" s="24"/>
      <c r="Q344" s="24"/>
      <c r="R344" s="24"/>
      <c r="S344" s="24"/>
      <c r="T344" s="24"/>
      <c r="U344" s="24"/>
      <c r="V344" s="24"/>
      <c r="W344" s="24"/>
      <c r="X344" s="24"/>
      <c r="Y344" s="24"/>
      <c r="Z344" s="24"/>
      <c r="AA344" s="24"/>
      <c r="AB344" s="24"/>
      <c r="AC344" s="24"/>
    </row>
    <row r="345" spans="1:29" ht="12.9">
      <c r="A345" s="24"/>
      <c r="B345" s="24"/>
      <c r="C345" s="24"/>
      <c r="D345" s="24"/>
      <c r="E345" s="24"/>
      <c r="F345" s="117"/>
      <c r="G345" s="117"/>
      <c r="H345" s="24"/>
      <c r="I345" s="24"/>
      <c r="J345" s="24"/>
      <c r="K345" s="24"/>
      <c r="L345" s="24"/>
      <c r="M345" s="24"/>
      <c r="N345" s="24"/>
      <c r="O345" s="24"/>
      <c r="P345" s="24"/>
      <c r="Q345" s="24"/>
      <c r="R345" s="24"/>
      <c r="S345" s="24"/>
      <c r="T345" s="24"/>
      <c r="U345" s="24"/>
      <c r="V345" s="24"/>
      <c r="W345" s="24"/>
      <c r="X345" s="24"/>
      <c r="Y345" s="24"/>
      <c r="Z345" s="24"/>
      <c r="AA345" s="24"/>
      <c r="AB345" s="24"/>
      <c r="AC345" s="24"/>
    </row>
    <row r="346" spans="1:29" ht="12.9">
      <c r="A346" s="24"/>
      <c r="B346" s="24"/>
      <c r="C346" s="24"/>
      <c r="D346" s="24"/>
      <c r="E346" s="24"/>
      <c r="F346" s="117"/>
      <c r="G346" s="117"/>
      <c r="H346" s="24"/>
      <c r="I346" s="24"/>
      <c r="J346" s="24"/>
      <c r="K346" s="24"/>
      <c r="L346" s="24"/>
      <c r="M346" s="24"/>
      <c r="N346" s="24"/>
      <c r="O346" s="24"/>
      <c r="P346" s="24"/>
      <c r="Q346" s="24"/>
      <c r="R346" s="24"/>
      <c r="S346" s="24"/>
      <c r="T346" s="24"/>
      <c r="U346" s="24"/>
      <c r="V346" s="24"/>
      <c r="W346" s="24"/>
      <c r="X346" s="24"/>
      <c r="Y346" s="24"/>
      <c r="Z346" s="24"/>
      <c r="AA346" s="24"/>
      <c r="AB346" s="24"/>
      <c r="AC346" s="24"/>
    </row>
    <row r="347" spans="1:29" ht="12.9">
      <c r="A347" s="24"/>
      <c r="B347" s="24"/>
      <c r="C347" s="24"/>
      <c r="D347" s="24"/>
      <c r="E347" s="24"/>
      <c r="F347" s="117"/>
      <c r="G347" s="117"/>
      <c r="H347" s="24"/>
      <c r="I347" s="24"/>
      <c r="J347" s="24"/>
      <c r="K347" s="24"/>
      <c r="L347" s="24"/>
      <c r="M347" s="24"/>
      <c r="N347" s="24"/>
      <c r="O347" s="24"/>
      <c r="P347" s="24"/>
      <c r="Q347" s="24"/>
      <c r="R347" s="24"/>
      <c r="S347" s="24"/>
      <c r="T347" s="24"/>
      <c r="U347" s="24"/>
      <c r="V347" s="24"/>
      <c r="W347" s="24"/>
      <c r="X347" s="24"/>
      <c r="Y347" s="24"/>
      <c r="Z347" s="24"/>
      <c r="AA347" s="24"/>
      <c r="AB347" s="24"/>
      <c r="AC347" s="24"/>
    </row>
    <row r="348" spans="1:29" ht="12.9">
      <c r="A348" s="24"/>
      <c r="B348" s="24"/>
      <c r="C348" s="24"/>
      <c r="D348" s="24"/>
      <c r="E348" s="24"/>
      <c r="F348" s="117"/>
      <c r="G348" s="117"/>
      <c r="H348" s="24"/>
      <c r="I348" s="24"/>
      <c r="J348" s="24"/>
      <c r="K348" s="24"/>
      <c r="L348" s="24"/>
      <c r="M348" s="24"/>
      <c r="N348" s="24"/>
      <c r="O348" s="24"/>
      <c r="P348" s="24"/>
      <c r="Q348" s="24"/>
      <c r="R348" s="24"/>
      <c r="S348" s="24"/>
      <c r="T348" s="24"/>
      <c r="U348" s="24"/>
      <c r="V348" s="24"/>
      <c r="W348" s="24"/>
      <c r="X348" s="24"/>
      <c r="Y348" s="24"/>
      <c r="Z348" s="24"/>
      <c r="AA348" s="24"/>
      <c r="AB348" s="24"/>
      <c r="AC348" s="24"/>
    </row>
    <row r="349" spans="1:29" ht="12.9">
      <c r="A349" s="24"/>
      <c r="B349" s="24"/>
      <c r="C349" s="24"/>
      <c r="D349" s="24"/>
      <c r="E349" s="24"/>
      <c r="F349" s="117"/>
      <c r="G349" s="117"/>
      <c r="H349" s="24"/>
      <c r="I349" s="24"/>
      <c r="J349" s="24"/>
      <c r="K349" s="24"/>
      <c r="L349" s="24"/>
      <c r="M349" s="24"/>
      <c r="N349" s="24"/>
      <c r="O349" s="24"/>
      <c r="P349" s="24"/>
      <c r="Q349" s="24"/>
      <c r="R349" s="24"/>
      <c r="S349" s="24"/>
      <c r="T349" s="24"/>
      <c r="U349" s="24"/>
      <c r="V349" s="24"/>
      <c r="W349" s="24"/>
      <c r="X349" s="24"/>
      <c r="Y349" s="24"/>
      <c r="Z349" s="24"/>
      <c r="AA349" s="24"/>
      <c r="AB349" s="24"/>
      <c r="AC349" s="24"/>
    </row>
    <row r="350" spans="1:29" ht="12.9">
      <c r="A350" s="24"/>
      <c r="B350" s="24"/>
      <c r="C350" s="24"/>
      <c r="D350" s="24"/>
      <c r="E350" s="24"/>
      <c r="F350" s="117"/>
      <c r="G350" s="117"/>
      <c r="H350" s="24"/>
      <c r="I350" s="24"/>
      <c r="J350" s="24"/>
      <c r="K350" s="24"/>
      <c r="L350" s="24"/>
      <c r="M350" s="24"/>
      <c r="N350" s="24"/>
      <c r="O350" s="24"/>
      <c r="P350" s="24"/>
      <c r="Q350" s="24"/>
      <c r="R350" s="24"/>
      <c r="S350" s="24"/>
      <c r="T350" s="24"/>
      <c r="U350" s="24"/>
      <c r="V350" s="24"/>
      <c r="W350" s="24"/>
      <c r="X350" s="24"/>
      <c r="Y350" s="24"/>
      <c r="Z350" s="24"/>
      <c r="AA350" s="24"/>
      <c r="AB350" s="24"/>
      <c r="AC350" s="24"/>
    </row>
    <row r="351" spans="1:29" ht="12.9">
      <c r="A351" s="24"/>
      <c r="B351" s="24"/>
      <c r="C351" s="24"/>
      <c r="D351" s="24"/>
      <c r="E351" s="24"/>
      <c r="F351" s="117"/>
      <c r="G351" s="117"/>
      <c r="H351" s="24"/>
      <c r="I351" s="24"/>
      <c r="J351" s="24"/>
      <c r="K351" s="24"/>
      <c r="L351" s="24"/>
      <c r="M351" s="24"/>
      <c r="N351" s="24"/>
      <c r="O351" s="24"/>
      <c r="P351" s="24"/>
      <c r="Q351" s="24"/>
      <c r="R351" s="24"/>
      <c r="S351" s="24"/>
      <c r="T351" s="24"/>
      <c r="U351" s="24"/>
      <c r="V351" s="24"/>
      <c r="W351" s="24"/>
      <c r="X351" s="24"/>
      <c r="Y351" s="24"/>
      <c r="Z351" s="24"/>
      <c r="AA351" s="24"/>
      <c r="AB351" s="24"/>
      <c r="AC351" s="24"/>
    </row>
    <row r="352" spans="1:29" ht="12.9">
      <c r="A352" s="24"/>
      <c r="B352" s="24"/>
      <c r="C352" s="24"/>
      <c r="D352" s="24"/>
      <c r="E352" s="24"/>
      <c r="F352" s="117"/>
      <c r="G352" s="117"/>
      <c r="H352" s="24"/>
      <c r="I352" s="24"/>
      <c r="J352" s="24"/>
      <c r="K352" s="24"/>
      <c r="L352" s="24"/>
      <c r="M352" s="24"/>
      <c r="N352" s="24"/>
      <c r="O352" s="24"/>
      <c r="P352" s="24"/>
      <c r="Q352" s="24"/>
      <c r="R352" s="24"/>
      <c r="S352" s="24"/>
      <c r="T352" s="24"/>
      <c r="U352" s="24"/>
      <c r="V352" s="24"/>
      <c r="W352" s="24"/>
      <c r="X352" s="24"/>
      <c r="Y352" s="24"/>
      <c r="Z352" s="24"/>
      <c r="AA352" s="24"/>
      <c r="AB352" s="24"/>
      <c r="AC352" s="24"/>
    </row>
    <row r="353" spans="1:29" ht="12.9">
      <c r="A353" s="24"/>
      <c r="B353" s="24"/>
      <c r="C353" s="24"/>
      <c r="D353" s="24"/>
      <c r="E353" s="24"/>
      <c r="F353" s="117"/>
      <c r="G353" s="117"/>
      <c r="H353" s="24"/>
      <c r="I353" s="24"/>
      <c r="J353" s="24"/>
      <c r="K353" s="24"/>
      <c r="L353" s="24"/>
      <c r="M353" s="24"/>
      <c r="N353" s="24"/>
      <c r="O353" s="24"/>
      <c r="P353" s="24"/>
      <c r="Q353" s="24"/>
      <c r="R353" s="24"/>
      <c r="S353" s="24"/>
      <c r="T353" s="24"/>
      <c r="U353" s="24"/>
      <c r="V353" s="24"/>
      <c r="W353" s="24"/>
      <c r="X353" s="24"/>
      <c r="Y353" s="24"/>
      <c r="Z353" s="24"/>
      <c r="AA353" s="24"/>
      <c r="AB353" s="24"/>
      <c r="AC353" s="24"/>
    </row>
    <row r="354" spans="1:29" ht="12.9">
      <c r="A354" s="24"/>
      <c r="B354" s="24"/>
      <c r="C354" s="24"/>
      <c r="D354" s="24"/>
      <c r="E354" s="24"/>
      <c r="F354" s="117"/>
      <c r="G354" s="117"/>
      <c r="H354" s="24"/>
      <c r="I354" s="24"/>
      <c r="J354" s="24"/>
      <c r="K354" s="24"/>
      <c r="L354" s="24"/>
      <c r="M354" s="24"/>
      <c r="N354" s="24"/>
      <c r="O354" s="24"/>
      <c r="P354" s="24"/>
      <c r="Q354" s="24"/>
      <c r="R354" s="24"/>
      <c r="S354" s="24"/>
      <c r="T354" s="24"/>
      <c r="U354" s="24"/>
      <c r="V354" s="24"/>
      <c r="W354" s="24"/>
      <c r="X354" s="24"/>
      <c r="Y354" s="24"/>
      <c r="Z354" s="24"/>
      <c r="AA354" s="24"/>
      <c r="AB354" s="24"/>
      <c r="AC354" s="24"/>
    </row>
    <row r="355" spans="1:29" ht="12.9">
      <c r="A355" s="24"/>
      <c r="B355" s="24"/>
      <c r="C355" s="24"/>
      <c r="D355" s="24"/>
      <c r="E355" s="24"/>
      <c r="F355" s="117"/>
      <c r="G355" s="117"/>
      <c r="H355" s="24"/>
      <c r="I355" s="24"/>
      <c r="J355" s="24"/>
      <c r="K355" s="24"/>
      <c r="L355" s="24"/>
      <c r="M355" s="24"/>
      <c r="N355" s="24"/>
      <c r="O355" s="24"/>
      <c r="P355" s="24"/>
      <c r="Q355" s="24"/>
      <c r="R355" s="24"/>
      <c r="S355" s="24"/>
      <c r="T355" s="24"/>
      <c r="U355" s="24"/>
      <c r="V355" s="24"/>
      <c r="W355" s="24"/>
      <c r="X355" s="24"/>
      <c r="Y355" s="24"/>
      <c r="Z355" s="24"/>
      <c r="AA355" s="24"/>
      <c r="AB355" s="24"/>
      <c r="AC355" s="24"/>
    </row>
    <row r="356" spans="1:29" ht="12.9">
      <c r="A356" s="24"/>
      <c r="B356" s="24"/>
      <c r="C356" s="24"/>
      <c r="D356" s="24"/>
      <c r="E356" s="24"/>
      <c r="F356" s="117"/>
      <c r="G356" s="117"/>
      <c r="H356" s="24"/>
      <c r="I356" s="24"/>
      <c r="J356" s="24"/>
      <c r="K356" s="24"/>
      <c r="L356" s="24"/>
      <c r="M356" s="24"/>
      <c r="N356" s="24"/>
      <c r="O356" s="24"/>
      <c r="P356" s="24"/>
      <c r="Q356" s="24"/>
      <c r="R356" s="24"/>
      <c r="S356" s="24"/>
      <c r="T356" s="24"/>
      <c r="U356" s="24"/>
      <c r="V356" s="24"/>
      <c r="W356" s="24"/>
      <c r="X356" s="24"/>
      <c r="Y356" s="24"/>
      <c r="Z356" s="24"/>
      <c r="AA356" s="24"/>
      <c r="AB356" s="24"/>
      <c r="AC356" s="24"/>
    </row>
    <row r="357" spans="1:29" ht="12.9">
      <c r="A357" s="24"/>
      <c r="B357" s="24"/>
      <c r="C357" s="24"/>
      <c r="D357" s="24"/>
      <c r="E357" s="24"/>
      <c r="F357" s="117"/>
      <c r="G357" s="117"/>
      <c r="H357" s="24"/>
      <c r="I357" s="24"/>
      <c r="J357" s="24"/>
      <c r="K357" s="24"/>
      <c r="L357" s="24"/>
      <c r="M357" s="24"/>
      <c r="N357" s="24"/>
      <c r="O357" s="24"/>
      <c r="P357" s="24"/>
      <c r="Q357" s="24"/>
      <c r="R357" s="24"/>
      <c r="S357" s="24"/>
      <c r="T357" s="24"/>
      <c r="U357" s="24"/>
      <c r="V357" s="24"/>
      <c r="W357" s="24"/>
      <c r="X357" s="24"/>
      <c r="Y357" s="24"/>
      <c r="Z357" s="24"/>
      <c r="AA357" s="24"/>
      <c r="AB357" s="24"/>
      <c r="AC357" s="24"/>
    </row>
    <row r="358" spans="1:29" ht="12.9">
      <c r="A358" s="24"/>
      <c r="B358" s="24"/>
      <c r="C358" s="24"/>
      <c r="D358" s="24"/>
      <c r="E358" s="24"/>
      <c r="F358" s="117"/>
      <c r="G358" s="117"/>
      <c r="H358" s="24"/>
      <c r="I358" s="24"/>
      <c r="J358" s="24"/>
      <c r="K358" s="24"/>
      <c r="L358" s="24"/>
      <c r="M358" s="24"/>
      <c r="N358" s="24"/>
      <c r="O358" s="24"/>
      <c r="P358" s="24"/>
      <c r="Q358" s="24"/>
      <c r="R358" s="24"/>
      <c r="S358" s="24"/>
      <c r="T358" s="24"/>
      <c r="U358" s="24"/>
      <c r="V358" s="24"/>
      <c r="W358" s="24"/>
      <c r="X358" s="24"/>
      <c r="Y358" s="24"/>
      <c r="Z358" s="24"/>
      <c r="AA358" s="24"/>
      <c r="AB358" s="24"/>
      <c r="AC358" s="24"/>
    </row>
    <row r="359" spans="1:29" ht="12.9">
      <c r="A359" s="24"/>
      <c r="B359" s="24"/>
      <c r="C359" s="24"/>
      <c r="D359" s="24"/>
      <c r="E359" s="24"/>
      <c r="F359" s="117"/>
      <c r="G359" s="117"/>
      <c r="H359" s="24"/>
      <c r="I359" s="24"/>
      <c r="J359" s="24"/>
      <c r="K359" s="24"/>
      <c r="L359" s="24"/>
      <c r="M359" s="24"/>
      <c r="N359" s="24"/>
      <c r="O359" s="24"/>
      <c r="P359" s="24"/>
      <c r="Q359" s="24"/>
      <c r="R359" s="24"/>
      <c r="S359" s="24"/>
      <c r="T359" s="24"/>
      <c r="U359" s="24"/>
      <c r="V359" s="24"/>
      <c r="W359" s="24"/>
      <c r="X359" s="24"/>
      <c r="Y359" s="24"/>
      <c r="Z359" s="24"/>
      <c r="AA359" s="24"/>
      <c r="AB359" s="24"/>
      <c r="AC359" s="24"/>
    </row>
    <row r="360" spans="1:29" ht="12.9">
      <c r="A360" s="24"/>
      <c r="B360" s="24"/>
      <c r="C360" s="24"/>
      <c r="D360" s="24"/>
      <c r="E360" s="24"/>
      <c r="F360" s="117"/>
      <c r="G360" s="117"/>
      <c r="H360" s="24"/>
      <c r="I360" s="24"/>
      <c r="J360" s="24"/>
      <c r="K360" s="24"/>
      <c r="L360" s="24"/>
      <c r="M360" s="24"/>
      <c r="N360" s="24"/>
      <c r="O360" s="24"/>
      <c r="P360" s="24"/>
      <c r="Q360" s="24"/>
      <c r="R360" s="24"/>
      <c r="S360" s="24"/>
      <c r="T360" s="24"/>
      <c r="U360" s="24"/>
      <c r="V360" s="24"/>
      <c r="W360" s="24"/>
      <c r="X360" s="24"/>
      <c r="Y360" s="24"/>
      <c r="Z360" s="24"/>
      <c r="AA360" s="24"/>
      <c r="AB360" s="24"/>
      <c r="AC360" s="24"/>
    </row>
    <row r="361" spans="1:29" ht="12.9">
      <c r="A361" s="24"/>
      <c r="B361" s="24"/>
      <c r="C361" s="24"/>
      <c r="D361" s="24"/>
      <c r="E361" s="24"/>
      <c r="F361" s="117"/>
      <c r="G361" s="117"/>
      <c r="H361" s="24"/>
      <c r="I361" s="24"/>
      <c r="J361" s="24"/>
      <c r="K361" s="24"/>
      <c r="L361" s="24"/>
      <c r="M361" s="24"/>
      <c r="N361" s="24"/>
      <c r="O361" s="24"/>
      <c r="P361" s="24"/>
      <c r="Q361" s="24"/>
      <c r="R361" s="24"/>
      <c r="S361" s="24"/>
      <c r="T361" s="24"/>
      <c r="U361" s="24"/>
      <c r="V361" s="24"/>
      <c r="W361" s="24"/>
      <c r="X361" s="24"/>
      <c r="Y361" s="24"/>
      <c r="Z361" s="24"/>
      <c r="AA361" s="24"/>
      <c r="AB361" s="24"/>
      <c r="AC361" s="24"/>
    </row>
    <row r="362" spans="1:29" ht="12.9">
      <c r="A362" s="24"/>
      <c r="B362" s="24"/>
      <c r="C362" s="24"/>
      <c r="D362" s="24"/>
      <c r="E362" s="24"/>
      <c r="F362" s="117"/>
      <c r="G362" s="117"/>
      <c r="H362" s="24"/>
      <c r="I362" s="24"/>
      <c r="J362" s="24"/>
      <c r="K362" s="24"/>
      <c r="L362" s="24"/>
      <c r="M362" s="24"/>
      <c r="N362" s="24"/>
      <c r="O362" s="24"/>
      <c r="P362" s="24"/>
      <c r="Q362" s="24"/>
      <c r="R362" s="24"/>
      <c r="S362" s="24"/>
      <c r="T362" s="24"/>
      <c r="U362" s="24"/>
      <c r="V362" s="24"/>
      <c r="W362" s="24"/>
      <c r="X362" s="24"/>
      <c r="Y362" s="24"/>
      <c r="Z362" s="24"/>
      <c r="AA362" s="24"/>
      <c r="AB362" s="24"/>
      <c r="AC362" s="24"/>
    </row>
    <row r="363" spans="1:29" ht="12.9">
      <c r="A363" s="24"/>
      <c r="B363" s="24"/>
      <c r="C363" s="24"/>
      <c r="D363" s="24"/>
      <c r="E363" s="24"/>
      <c r="F363" s="117"/>
      <c r="G363" s="117"/>
      <c r="H363" s="24"/>
      <c r="I363" s="24"/>
      <c r="J363" s="24"/>
      <c r="K363" s="24"/>
      <c r="L363" s="24"/>
      <c r="M363" s="24"/>
      <c r="N363" s="24"/>
      <c r="O363" s="24"/>
      <c r="P363" s="24"/>
      <c r="Q363" s="24"/>
      <c r="R363" s="24"/>
      <c r="S363" s="24"/>
      <c r="T363" s="24"/>
      <c r="U363" s="24"/>
      <c r="V363" s="24"/>
      <c r="W363" s="24"/>
      <c r="X363" s="24"/>
      <c r="Y363" s="24"/>
      <c r="Z363" s="24"/>
      <c r="AA363" s="24"/>
      <c r="AB363" s="24"/>
      <c r="AC363" s="24"/>
    </row>
    <row r="364" spans="1:29" ht="12.9">
      <c r="A364" s="24"/>
      <c r="B364" s="24"/>
      <c r="C364" s="24"/>
      <c r="D364" s="24"/>
      <c r="E364" s="24"/>
      <c r="F364" s="117"/>
      <c r="G364" s="117"/>
      <c r="H364" s="24"/>
      <c r="I364" s="24"/>
      <c r="J364" s="24"/>
      <c r="K364" s="24"/>
      <c r="L364" s="24"/>
      <c r="M364" s="24"/>
      <c r="N364" s="24"/>
      <c r="O364" s="24"/>
      <c r="P364" s="24"/>
      <c r="Q364" s="24"/>
      <c r="R364" s="24"/>
      <c r="S364" s="24"/>
      <c r="T364" s="24"/>
      <c r="U364" s="24"/>
      <c r="V364" s="24"/>
      <c r="W364" s="24"/>
      <c r="X364" s="24"/>
      <c r="Y364" s="24"/>
      <c r="Z364" s="24"/>
      <c r="AA364" s="24"/>
      <c r="AB364" s="24"/>
      <c r="AC364" s="24"/>
    </row>
    <row r="365" spans="1:29" ht="12.9">
      <c r="A365" s="24"/>
      <c r="B365" s="24"/>
      <c r="C365" s="24"/>
      <c r="D365" s="24"/>
      <c r="E365" s="24"/>
      <c r="F365" s="117"/>
      <c r="G365" s="117"/>
      <c r="H365" s="24"/>
      <c r="I365" s="24"/>
      <c r="J365" s="24"/>
      <c r="K365" s="24"/>
      <c r="L365" s="24"/>
      <c r="M365" s="24"/>
      <c r="N365" s="24"/>
      <c r="O365" s="24"/>
      <c r="P365" s="24"/>
      <c r="Q365" s="24"/>
      <c r="R365" s="24"/>
      <c r="S365" s="24"/>
      <c r="T365" s="24"/>
      <c r="U365" s="24"/>
      <c r="V365" s="24"/>
      <c r="W365" s="24"/>
      <c r="X365" s="24"/>
      <c r="Y365" s="24"/>
      <c r="Z365" s="24"/>
      <c r="AA365" s="24"/>
      <c r="AB365" s="24"/>
      <c r="AC365" s="24"/>
    </row>
    <row r="366" spans="1:29" ht="12.9">
      <c r="A366" s="24"/>
      <c r="B366" s="24"/>
      <c r="C366" s="24"/>
      <c r="D366" s="24"/>
      <c r="E366" s="24"/>
      <c r="F366" s="117"/>
      <c r="G366" s="117"/>
      <c r="H366" s="24"/>
      <c r="I366" s="24"/>
      <c r="J366" s="24"/>
      <c r="K366" s="24"/>
      <c r="L366" s="24"/>
      <c r="M366" s="24"/>
      <c r="N366" s="24"/>
      <c r="O366" s="24"/>
      <c r="P366" s="24"/>
      <c r="Q366" s="24"/>
      <c r="R366" s="24"/>
      <c r="S366" s="24"/>
      <c r="T366" s="24"/>
      <c r="U366" s="24"/>
      <c r="V366" s="24"/>
      <c r="W366" s="24"/>
      <c r="X366" s="24"/>
      <c r="Y366" s="24"/>
      <c r="Z366" s="24"/>
      <c r="AA366" s="24"/>
      <c r="AB366" s="24"/>
      <c r="AC366" s="24"/>
    </row>
    <row r="367" spans="1:29" ht="12.9">
      <c r="A367" s="24"/>
      <c r="B367" s="24"/>
      <c r="C367" s="24"/>
      <c r="D367" s="24"/>
      <c r="E367" s="24"/>
      <c r="F367" s="117"/>
      <c r="G367" s="117"/>
      <c r="H367" s="24"/>
      <c r="I367" s="24"/>
      <c r="J367" s="24"/>
      <c r="K367" s="24"/>
      <c r="L367" s="24"/>
      <c r="M367" s="24"/>
      <c r="N367" s="24"/>
      <c r="O367" s="24"/>
      <c r="P367" s="24"/>
      <c r="Q367" s="24"/>
      <c r="R367" s="24"/>
      <c r="S367" s="24"/>
      <c r="T367" s="24"/>
      <c r="U367" s="24"/>
      <c r="V367" s="24"/>
      <c r="W367" s="24"/>
      <c r="X367" s="24"/>
      <c r="Y367" s="24"/>
      <c r="Z367" s="24"/>
      <c r="AA367" s="24"/>
      <c r="AB367" s="24"/>
      <c r="AC367" s="24"/>
    </row>
    <row r="368" spans="1:29" ht="12.9">
      <c r="A368" s="24"/>
      <c r="B368" s="24"/>
      <c r="C368" s="24"/>
      <c r="D368" s="24"/>
      <c r="E368" s="24"/>
      <c r="F368" s="117"/>
      <c r="G368" s="117"/>
      <c r="H368" s="24"/>
      <c r="I368" s="24"/>
      <c r="J368" s="24"/>
      <c r="K368" s="24"/>
      <c r="L368" s="24"/>
      <c r="M368" s="24"/>
      <c r="N368" s="24"/>
      <c r="O368" s="24"/>
      <c r="P368" s="24"/>
      <c r="Q368" s="24"/>
      <c r="R368" s="24"/>
      <c r="S368" s="24"/>
      <c r="T368" s="24"/>
      <c r="U368" s="24"/>
      <c r="V368" s="24"/>
      <c r="W368" s="24"/>
      <c r="X368" s="24"/>
      <c r="Y368" s="24"/>
      <c r="Z368" s="24"/>
      <c r="AA368" s="24"/>
      <c r="AB368" s="24"/>
      <c r="AC368" s="24"/>
    </row>
    <row r="369" spans="1:29" ht="12.9">
      <c r="A369" s="24"/>
      <c r="B369" s="24"/>
      <c r="C369" s="24"/>
      <c r="D369" s="24"/>
      <c r="E369" s="24"/>
      <c r="F369" s="117"/>
      <c r="G369" s="117"/>
      <c r="H369" s="24"/>
      <c r="I369" s="24"/>
      <c r="J369" s="24"/>
      <c r="K369" s="24"/>
      <c r="L369" s="24"/>
      <c r="M369" s="24"/>
      <c r="N369" s="24"/>
      <c r="O369" s="24"/>
      <c r="P369" s="24"/>
      <c r="Q369" s="24"/>
      <c r="R369" s="24"/>
      <c r="S369" s="24"/>
      <c r="T369" s="24"/>
      <c r="U369" s="24"/>
      <c r="V369" s="24"/>
      <c r="W369" s="24"/>
      <c r="X369" s="24"/>
      <c r="Y369" s="24"/>
      <c r="Z369" s="24"/>
      <c r="AA369" s="24"/>
      <c r="AB369" s="24"/>
      <c r="AC369" s="24"/>
    </row>
    <row r="370" spans="1:29" ht="12.9">
      <c r="A370" s="24"/>
      <c r="B370" s="24"/>
      <c r="C370" s="24"/>
      <c r="D370" s="24"/>
      <c r="E370" s="24"/>
      <c r="F370" s="117"/>
      <c r="G370" s="117"/>
      <c r="H370" s="24"/>
      <c r="I370" s="24"/>
      <c r="J370" s="24"/>
      <c r="K370" s="24"/>
      <c r="L370" s="24"/>
      <c r="M370" s="24"/>
      <c r="N370" s="24"/>
      <c r="O370" s="24"/>
      <c r="P370" s="24"/>
      <c r="Q370" s="24"/>
      <c r="R370" s="24"/>
      <c r="S370" s="24"/>
      <c r="T370" s="24"/>
      <c r="U370" s="24"/>
      <c r="V370" s="24"/>
      <c r="W370" s="24"/>
      <c r="X370" s="24"/>
      <c r="Y370" s="24"/>
      <c r="Z370" s="24"/>
      <c r="AA370" s="24"/>
      <c r="AB370" s="24"/>
      <c r="AC370" s="24"/>
    </row>
    <row r="371" spans="1:29" ht="12.9">
      <c r="A371" s="24"/>
      <c r="B371" s="24"/>
      <c r="C371" s="24"/>
      <c r="D371" s="24"/>
      <c r="E371" s="24"/>
      <c r="F371" s="117"/>
      <c r="G371" s="117"/>
      <c r="H371" s="24"/>
      <c r="I371" s="24"/>
      <c r="J371" s="24"/>
      <c r="K371" s="24"/>
      <c r="L371" s="24"/>
      <c r="M371" s="24"/>
      <c r="N371" s="24"/>
      <c r="O371" s="24"/>
      <c r="P371" s="24"/>
      <c r="Q371" s="24"/>
      <c r="R371" s="24"/>
      <c r="S371" s="24"/>
      <c r="T371" s="24"/>
      <c r="U371" s="24"/>
      <c r="V371" s="24"/>
      <c r="W371" s="24"/>
      <c r="X371" s="24"/>
      <c r="Y371" s="24"/>
      <c r="Z371" s="24"/>
      <c r="AA371" s="24"/>
      <c r="AB371" s="24"/>
      <c r="AC371" s="24"/>
    </row>
    <row r="372" spans="1:29" ht="12.9">
      <c r="A372" s="24"/>
      <c r="B372" s="24"/>
      <c r="C372" s="24"/>
      <c r="D372" s="24"/>
      <c r="E372" s="24"/>
      <c r="F372" s="117"/>
      <c r="G372" s="117"/>
      <c r="H372" s="24"/>
      <c r="I372" s="24"/>
      <c r="J372" s="24"/>
      <c r="K372" s="24"/>
      <c r="L372" s="24"/>
      <c r="M372" s="24"/>
      <c r="N372" s="24"/>
      <c r="O372" s="24"/>
      <c r="P372" s="24"/>
      <c r="Q372" s="24"/>
      <c r="R372" s="24"/>
      <c r="S372" s="24"/>
      <c r="T372" s="24"/>
      <c r="U372" s="24"/>
      <c r="V372" s="24"/>
      <c r="W372" s="24"/>
      <c r="X372" s="24"/>
      <c r="Y372" s="24"/>
      <c r="Z372" s="24"/>
      <c r="AA372" s="24"/>
      <c r="AB372" s="24"/>
      <c r="AC372" s="24"/>
    </row>
    <row r="373" spans="1:29" ht="12.9">
      <c r="A373" s="24"/>
      <c r="B373" s="24"/>
      <c r="C373" s="24"/>
      <c r="D373" s="24"/>
      <c r="E373" s="24"/>
      <c r="F373" s="117"/>
      <c r="G373" s="117"/>
      <c r="H373" s="24"/>
      <c r="I373" s="24"/>
      <c r="J373" s="24"/>
      <c r="K373" s="24"/>
      <c r="L373" s="24"/>
      <c r="M373" s="24"/>
      <c r="N373" s="24"/>
      <c r="O373" s="24"/>
      <c r="P373" s="24"/>
      <c r="Q373" s="24"/>
      <c r="R373" s="24"/>
      <c r="S373" s="24"/>
      <c r="T373" s="24"/>
      <c r="U373" s="24"/>
      <c r="V373" s="24"/>
      <c r="W373" s="24"/>
      <c r="X373" s="24"/>
      <c r="Y373" s="24"/>
      <c r="Z373" s="24"/>
      <c r="AA373" s="24"/>
      <c r="AB373" s="24"/>
      <c r="AC373" s="24"/>
    </row>
    <row r="374" spans="1:29" ht="12.9">
      <c r="A374" s="24"/>
      <c r="B374" s="24"/>
      <c r="C374" s="24"/>
      <c r="D374" s="24"/>
      <c r="E374" s="24"/>
      <c r="F374" s="117"/>
      <c r="G374" s="117"/>
      <c r="H374" s="24"/>
      <c r="I374" s="24"/>
      <c r="J374" s="24"/>
      <c r="K374" s="24"/>
      <c r="L374" s="24"/>
      <c r="M374" s="24"/>
      <c r="N374" s="24"/>
      <c r="O374" s="24"/>
      <c r="P374" s="24"/>
      <c r="Q374" s="24"/>
      <c r="R374" s="24"/>
      <c r="S374" s="24"/>
      <c r="T374" s="24"/>
      <c r="U374" s="24"/>
      <c r="V374" s="24"/>
      <c r="W374" s="24"/>
      <c r="X374" s="24"/>
      <c r="Y374" s="24"/>
      <c r="Z374" s="24"/>
      <c r="AA374" s="24"/>
      <c r="AB374" s="24"/>
      <c r="AC374" s="24"/>
    </row>
    <row r="375" spans="1:29" ht="12.9">
      <c r="A375" s="24"/>
      <c r="B375" s="24"/>
      <c r="C375" s="24"/>
      <c r="D375" s="24"/>
      <c r="E375" s="24"/>
      <c r="F375" s="117"/>
      <c r="G375" s="117"/>
      <c r="H375" s="24"/>
      <c r="I375" s="24"/>
      <c r="J375" s="24"/>
      <c r="K375" s="24"/>
      <c r="L375" s="24"/>
      <c r="M375" s="24"/>
      <c r="N375" s="24"/>
      <c r="O375" s="24"/>
      <c r="P375" s="24"/>
      <c r="Q375" s="24"/>
      <c r="R375" s="24"/>
      <c r="S375" s="24"/>
      <c r="T375" s="24"/>
      <c r="U375" s="24"/>
      <c r="V375" s="24"/>
      <c r="W375" s="24"/>
      <c r="X375" s="24"/>
      <c r="Y375" s="24"/>
      <c r="Z375" s="24"/>
      <c r="AA375" s="24"/>
      <c r="AB375" s="24"/>
      <c r="AC375" s="24"/>
    </row>
    <row r="376" spans="1:29" ht="12.9">
      <c r="A376" s="24"/>
      <c r="B376" s="24"/>
      <c r="C376" s="24"/>
      <c r="D376" s="24"/>
      <c r="E376" s="24"/>
      <c r="F376" s="117"/>
      <c r="G376" s="117"/>
      <c r="H376" s="24"/>
      <c r="I376" s="24"/>
      <c r="J376" s="24"/>
      <c r="K376" s="24"/>
      <c r="L376" s="24"/>
      <c r="M376" s="24"/>
      <c r="N376" s="24"/>
      <c r="O376" s="24"/>
      <c r="P376" s="24"/>
      <c r="Q376" s="24"/>
      <c r="R376" s="24"/>
      <c r="S376" s="24"/>
      <c r="T376" s="24"/>
      <c r="U376" s="24"/>
      <c r="V376" s="24"/>
      <c r="W376" s="24"/>
      <c r="X376" s="24"/>
      <c r="Y376" s="24"/>
      <c r="Z376" s="24"/>
      <c r="AA376" s="24"/>
      <c r="AB376" s="24"/>
      <c r="AC376" s="24"/>
    </row>
    <row r="377" spans="1:29" ht="12.9">
      <c r="A377" s="24"/>
      <c r="B377" s="24"/>
      <c r="C377" s="24"/>
      <c r="D377" s="24"/>
      <c r="E377" s="24"/>
      <c r="F377" s="117"/>
      <c r="G377" s="117"/>
      <c r="H377" s="24"/>
      <c r="I377" s="24"/>
      <c r="J377" s="24"/>
      <c r="K377" s="24"/>
      <c r="L377" s="24"/>
      <c r="M377" s="24"/>
      <c r="N377" s="24"/>
      <c r="O377" s="24"/>
      <c r="P377" s="24"/>
      <c r="Q377" s="24"/>
      <c r="R377" s="24"/>
      <c r="S377" s="24"/>
      <c r="T377" s="24"/>
      <c r="U377" s="24"/>
      <c r="V377" s="24"/>
      <c r="W377" s="24"/>
      <c r="X377" s="24"/>
      <c r="Y377" s="24"/>
      <c r="Z377" s="24"/>
      <c r="AA377" s="24"/>
      <c r="AB377" s="24"/>
      <c r="AC377" s="24"/>
    </row>
    <row r="378" spans="1:29" ht="12.9">
      <c r="A378" s="24"/>
      <c r="B378" s="24"/>
      <c r="C378" s="24"/>
      <c r="D378" s="24"/>
      <c r="E378" s="24"/>
      <c r="F378" s="117"/>
      <c r="G378" s="117"/>
      <c r="H378" s="24"/>
      <c r="I378" s="24"/>
      <c r="J378" s="24"/>
      <c r="K378" s="24"/>
      <c r="L378" s="24"/>
      <c r="M378" s="24"/>
      <c r="N378" s="24"/>
      <c r="O378" s="24"/>
      <c r="P378" s="24"/>
      <c r="Q378" s="24"/>
      <c r="R378" s="24"/>
      <c r="S378" s="24"/>
      <c r="T378" s="24"/>
      <c r="U378" s="24"/>
      <c r="V378" s="24"/>
      <c r="W378" s="24"/>
      <c r="X378" s="24"/>
      <c r="Y378" s="24"/>
      <c r="Z378" s="24"/>
      <c r="AA378" s="24"/>
      <c r="AB378" s="24"/>
      <c r="AC378" s="24"/>
    </row>
    <row r="379" spans="1:29" ht="12.9">
      <c r="A379" s="24"/>
      <c r="B379" s="24"/>
      <c r="C379" s="24"/>
      <c r="D379" s="24"/>
      <c r="E379" s="24"/>
      <c r="F379" s="117"/>
      <c r="G379" s="117"/>
      <c r="H379" s="24"/>
      <c r="I379" s="24"/>
      <c r="J379" s="24"/>
      <c r="K379" s="24"/>
      <c r="L379" s="24"/>
      <c r="M379" s="24"/>
      <c r="N379" s="24"/>
      <c r="O379" s="24"/>
      <c r="P379" s="24"/>
      <c r="Q379" s="24"/>
      <c r="R379" s="24"/>
      <c r="S379" s="24"/>
      <c r="T379" s="24"/>
      <c r="U379" s="24"/>
      <c r="V379" s="24"/>
      <c r="W379" s="24"/>
      <c r="X379" s="24"/>
      <c r="Y379" s="24"/>
      <c r="Z379" s="24"/>
      <c r="AA379" s="24"/>
      <c r="AB379" s="24"/>
      <c r="AC379" s="24"/>
    </row>
    <row r="380" spans="1:29" ht="12.9">
      <c r="A380" s="24"/>
      <c r="B380" s="24"/>
      <c r="C380" s="24"/>
      <c r="D380" s="24"/>
      <c r="E380" s="24"/>
      <c r="F380" s="117"/>
      <c r="G380" s="117"/>
      <c r="H380" s="24"/>
      <c r="I380" s="24"/>
      <c r="J380" s="24"/>
      <c r="K380" s="24"/>
      <c r="L380" s="24"/>
      <c r="M380" s="24"/>
      <c r="N380" s="24"/>
      <c r="O380" s="24"/>
      <c r="P380" s="24"/>
      <c r="Q380" s="24"/>
      <c r="R380" s="24"/>
      <c r="S380" s="24"/>
      <c r="T380" s="24"/>
      <c r="U380" s="24"/>
      <c r="V380" s="24"/>
      <c r="W380" s="24"/>
      <c r="X380" s="24"/>
      <c r="Y380" s="24"/>
      <c r="Z380" s="24"/>
      <c r="AA380" s="24"/>
      <c r="AB380" s="24"/>
      <c r="AC380" s="24"/>
    </row>
    <row r="381" spans="1:29" ht="12.9">
      <c r="A381" s="24"/>
      <c r="B381" s="24"/>
      <c r="C381" s="24"/>
      <c r="D381" s="24"/>
      <c r="E381" s="24"/>
      <c r="F381" s="117"/>
      <c r="G381" s="117"/>
      <c r="H381" s="24"/>
      <c r="I381" s="24"/>
      <c r="J381" s="24"/>
      <c r="K381" s="24"/>
      <c r="L381" s="24"/>
      <c r="M381" s="24"/>
      <c r="N381" s="24"/>
      <c r="O381" s="24"/>
      <c r="P381" s="24"/>
      <c r="Q381" s="24"/>
      <c r="R381" s="24"/>
      <c r="S381" s="24"/>
      <c r="T381" s="24"/>
      <c r="U381" s="24"/>
      <c r="V381" s="24"/>
      <c r="W381" s="24"/>
      <c r="X381" s="24"/>
      <c r="Y381" s="24"/>
      <c r="Z381" s="24"/>
      <c r="AA381" s="24"/>
      <c r="AB381" s="24"/>
      <c r="AC381" s="24"/>
    </row>
    <row r="382" spans="1:29" ht="12.9">
      <c r="A382" s="24"/>
      <c r="B382" s="24"/>
      <c r="C382" s="24"/>
      <c r="D382" s="24"/>
      <c r="E382" s="24"/>
      <c r="F382" s="117"/>
      <c r="G382" s="117"/>
      <c r="H382" s="24"/>
      <c r="I382" s="24"/>
      <c r="J382" s="24"/>
      <c r="K382" s="24"/>
      <c r="L382" s="24"/>
      <c r="M382" s="24"/>
      <c r="N382" s="24"/>
      <c r="O382" s="24"/>
      <c r="P382" s="24"/>
      <c r="Q382" s="24"/>
      <c r="R382" s="24"/>
      <c r="S382" s="24"/>
      <c r="T382" s="24"/>
      <c r="U382" s="24"/>
      <c r="V382" s="24"/>
      <c r="W382" s="24"/>
      <c r="X382" s="24"/>
      <c r="Y382" s="24"/>
      <c r="Z382" s="24"/>
      <c r="AA382" s="24"/>
      <c r="AB382" s="24"/>
      <c r="AC382" s="24"/>
    </row>
    <row r="383" spans="1:29" ht="12.9">
      <c r="A383" s="24"/>
      <c r="B383" s="24"/>
      <c r="C383" s="24"/>
      <c r="D383" s="24"/>
      <c r="E383" s="24"/>
      <c r="F383" s="117"/>
      <c r="G383" s="117"/>
      <c r="H383" s="24"/>
      <c r="I383" s="24"/>
      <c r="J383" s="24"/>
      <c r="K383" s="24"/>
      <c r="L383" s="24"/>
      <c r="M383" s="24"/>
      <c r="N383" s="24"/>
      <c r="O383" s="24"/>
      <c r="P383" s="24"/>
      <c r="Q383" s="24"/>
      <c r="R383" s="24"/>
      <c r="S383" s="24"/>
      <c r="T383" s="24"/>
      <c r="U383" s="24"/>
      <c r="V383" s="24"/>
      <c r="W383" s="24"/>
      <c r="X383" s="24"/>
      <c r="Y383" s="24"/>
      <c r="Z383" s="24"/>
      <c r="AA383" s="24"/>
      <c r="AB383" s="24"/>
      <c r="AC383" s="24"/>
    </row>
    <row r="384" spans="1:29" ht="12.9">
      <c r="A384" s="24"/>
      <c r="B384" s="24"/>
      <c r="C384" s="24"/>
      <c r="D384" s="24"/>
      <c r="E384" s="24"/>
      <c r="F384" s="117"/>
      <c r="G384" s="117"/>
      <c r="H384" s="24"/>
      <c r="I384" s="24"/>
      <c r="J384" s="24"/>
      <c r="K384" s="24"/>
      <c r="L384" s="24"/>
      <c r="M384" s="24"/>
      <c r="N384" s="24"/>
      <c r="O384" s="24"/>
      <c r="P384" s="24"/>
      <c r="Q384" s="24"/>
      <c r="R384" s="24"/>
      <c r="S384" s="24"/>
      <c r="T384" s="24"/>
      <c r="U384" s="24"/>
      <c r="V384" s="24"/>
      <c r="W384" s="24"/>
      <c r="X384" s="24"/>
      <c r="Y384" s="24"/>
      <c r="Z384" s="24"/>
      <c r="AA384" s="24"/>
      <c r="AB384" s="24"/>
      <c r="AC384" s="24"/>
    </row>
    <row r="385" spans="1:29" ht="12.9">
      <c r="A385" s="24"/>
      <c r="B385" s="24"/>
      <c r="C385" s="24"/>
      <c r="D385" s="24"/>
      <c r="E385" s="24"/>
      <c r="F385" s="117"/>
      <c r="G385" s="117"/>
      <c r="H385" s="24"/>
      <c r="I385" s="24"/>
      <c r="J385" s="24"/>
      <c r="K385" s="24"/>
      <c r="L385" s="24"/>
      <c r="M385" s="24"/>
      <c r="N385" s="24"/>
      <c r="O385" s="24"/>
      <c r="P385" s="24"/>
      <c r="Q385" s="24"/>
      <c r="R385" s="24"/>
      <c r="S385" s="24"/>
      <c r="T385" s="24"/>
      <c r="U385" s="24"/>
      <c r="V385" s="24"/>
      <c r="W385" s="24"/>
      <c r="X385" s="24"/>
      <c r="Y385" s="24"/>
      <c r="Z385" s="24"/>
      <c r="AA385" s="24"/>
      <c r="AB385" s="24"/>
      <c r="AC385" s="24"/>
    </row>
    <row r="386" spans="1:29" ht="12.9">
      <c r="A386" s="24"/>
      <c r="B386" s="24"/>
      <c r="C386" s="24"/>
      <c r="D386" s="24"/>
      <c r="E386" s="24"/>
      <c r="F386" s="117"/>
      <c r="G386" s="117"/>
      <c r="H386" s="24"/>
      <c r="I386" s="24"/>
      <c r="J386" s="24"/>
      <c r="K386" s="24"/>
      <c r="L386" s="24"/>
      <c r="M386" s="24"/>
      <c r="N386" s="24"/>
      <c r="O386" s="24"/>
      <c r="P386" s="24"/>
      <c r="Q386" s="24"/>
      <c r="R386" s="24"/>
      <c r="S386" s="24"/>
      <c r="T386" s="24"/>
      <c r="U386" s="24"/>
      <c r="V386" s="24"/>
      <c r="W386" s="24"/>
      <c r="X386" s="24"/>
      <c r="Y386" s="24"/>
      <c r="Z386" s="24"/>
      <c r="AA386" s="24"/>
      <c r="AB386" s="24"/>
      <c r="AC386" s="24"/>
    </row>
    <row r="387" spans="1:29" ht="12.9">
      <c r="A387" s="24"/>
      <c r="B387" s="24"/>
      <c r="C387" s="24"/>
      <c r="D387" s="24"/>
      <c r="E387" s="24"/>
      <c r="F387" s="117"/>
      <c r="G387" s="117"/>
      <c r="H387" s="24"/>
      <c r="I387" s="24"/>
      <c r="J387" s="24"/>
      <c r="K387" s="24"/>
      <c r="L387" s="24"/>
      <c r="M387" s="24"/>
      <c r="N387" s="24"/>
      <c r="O387" s="24"/>
      <c r="P387" s="24"/>
      <c r="Q387" s="24"/>
      <c r="R387" s="24"/>
      <c r="S387" s="24"/>
      <c r="T387" s="24"/>
      <c r="U387" s="24"/>
      <c r="V387" s="24"/>
      <c r="W387" s="24"/>
      <c r="X387" s="24"/>
      <c r="Y387" s="24"/>
      <c r="Z387" s="24"/>
      <c r="AA387" s="24"/>
      <c r="AB387" s="24"/>
      <c r="AC387" s="24"/>
    </row>
    <row r="388" spans="1:29" ht="12.9">
      <c r="A388" s="24"/>
      <c r="B388" s="24"/>
      <c r="C388" s="24"/>
      <c r="D388" s="24"/>
      <c r="E388" s="24"/>
      <c r="F388" s="117"/>
      <c r="G388" s="117"/>
      <c r="H388" s="24"/>
      <c r="I388" s="24"/>
      <c r="J388" s="24"/>
      <c r="K388" s="24"/>
      <c r="L388" s="24"/>
      <c r="M388" s="24"/>
      <c r="N388" s="24"/>
      <c r="O388" s="24"/>
      <c r="P388" s="24"/>
      <c r="Q388" s="24"/>
      <c r="R388" s="24"/>
      <c r="S388" s="24"/>
      <c r="T388" s="24"/>
      <c r="U388" s="24"/>
      <c r="V388" s="24"/>
      <c r="W388" s="24"/>
      <c r="X388" s="24"/>
      <c r="Y388" s="24"/>
      <c r="Z388" s="24"/>
      <c r="AA388" s="24"/>
      <c r="AB388" s="24"/>
      <c r="AC388" s="24"/>
    </row>
    <row r="389" spans="1:29" ht="12.9">
      <c r="A389" s="24"/>
      <c r="B389" s="24"/>
      <c r="C389" s="24"/>
      <c r="D389" s="24"/>
      <c r="E389" s="24"/>
      <c r="F389" s="117"/>
      <c r="G389" s="117"/>
      <c r="H389" s="24"/>
      <c r="I389" s="24"/>
      <c r="J389" s="24"/>
      <c r="K389" s="24"/>
      <c r="L389" s="24"/>
      <c r="M389" s="24"/>
      <c r="N389" s="24"/>
      <c r="O389" s="24"/>
      <c r="P389" s="24"/>
      <c r="Q389" s="24"/>
      <c r="R389" s="24"/>
      <c r="S389" s="24"/>
      <c r="T389" s="24"/>
      <c r="U389" s="24"/>
      <c r="V389" s="24"/>
      <c r="W389" s="24"/>
      <c r="X389" s="24"/>
      <c r="Y389" s="24"/>
      <c r="Z389" s="24"/>
      <c r="AA389" s="24"/>
      <c r="AB389" s="24"/>
      <c r="AC389" s="24"/>
    </row>
    <row r="390" spans="1:29" ht="12.9">
      <c r="A390" s="24"/>
      <c r="B390" s="24"/>
      <c r="C390" s="24"/>
      <c r="D390" s="24"/>
      <c r="E390" s="24"/>
      <c r="F390" s="117"/>
      <c r="G390" s="117"/>
      <c r="H390" s="24"/>
      <c r="I390" s="24"/>
      <c r="J390" s="24"/>
      <c r="K390" s="24"/>
      <c r="L390" s="24"/>
      <c r="M390" s="24"/>
      <c r="N390" s="24"/>
      <c r="O390" s="24"/>
      <c r="P390" s="24"/>
      <c r="Q390" s="24"/>
      <c r="R390" s="24"/>
      <c r="S390" s="24"/>
      <c r="T390" s="24"/>
      <c r="U390" s="24"/>
      <c r="V390" s="24"/>
      <c r="W390" s="24"/>
      <c r="X390" s="24"/>
      <c r="Y390" s="24"/>
      <c r="Z390" s="24"/>
      <c r="AA390" s="24"/>
      <c r="AB390" s="24"/>
      <c r="AC390" s="24"/>
    </row>
    <row r="391" spans="1:29" ht="12.9">
      <c r="A391" s="24"/>
      <c r="B391" s="24"/>
      <c r="C391" s="24"/>
      <c r="D391" s="24"/>
      <c r="E391" s="24"/>
      <c r="F391" s="117"/>
      <c r="G391" s="117"/>
      <c r="H391" s="24"/>
      <c r="I391" s="24"/>
      <c r="J391" s="24"/>
      <c r="K391" s="24"/>
      <c r="L391" s="24"/>
      <c r="M391" s="24"/>
      <c r="N391" s="24"/>
      <c r="O391" s="24"/>
      <c r="P391" s="24"/>
      <c r="Q391" s="24"/>
      <c r="R391" s="24"/>
      <c r="S391" s="24"/>
      <c r="T391" s="24"/>
      <c r="U391" s="24"/>
      <c r="V391" s="24"/>
      <c r="W391" s="24"/>
      <c r="X391" s="24"/>
      <c r="Y391" s="24"/>
      <c r="Z391" s="24"/>
      <c r="AA391" s="24"/>
      <c r="AB391" s="24"/>
      <c r="AC391" s="24"/>
    </row>
    <row r="392" spans="1:29" ht="12.9">
      <c r="A392" s="24"/>
      <c r="B392" s="24"/>
      <c r="C392" s="24"/>
      <c r="D392" s="24"/>
      <c r="E392" s="24"/>
      <c r="F392" s="117"/>
      <c r="G392" s="117"/>
      <c r="H392" s="24"/>
      <c r="I392" s="24"/>
      <c r="J392" s="24"/>
      <c r="K392" s="24"/>
      <c r="L392" s="24"/>
      <c r="M392" s="24"/>
      <c r="N392" s="24"/>
      <c r="O392" s="24"/>
      <c r="P392" s="24"/>
      <c r="Q392" s="24"/>
      <c r="R392" s="24"/>
      <c r="S392" s="24"/>
      <c r="T392" s="24"/>
      <c r="U392" s="24"/>
      <c r="V392" s="24"/>
      <c r="W392" s="24"/>
      <c r="X392" s="24"/>
      <c r="Y392" s="24"/>
      <c r="Z392" s="24"/>
      <c r="AA392" s="24"/>
      <c r="AB392" s="24"/>
      <c r="AC392" s="24"/>
    </row>
    <row r="393" spans="1:29" ht="12.9">
      <c r="A393" s="24"/>
      <c r="B393" s="24"/>
      <c r="C393" s="24"/>
      <c r="D393" s="24"/>
      <c r="E393" s="24"/>
      <c r="F393" s="117"/>
      <c r="G393" s="117"/>
      <c r="H393" s="24"/>
      <c r="I393" s="24"/>
      <c r="J393" s="24"/>
      <c r="K393" s="24"/>
      <c r="L393" s="24"/>
      <c r="M393" s="24"/>
      <c r="N393" s="24"/>
      <c r="O393" s="24"/>
      <c r="P393" s="24"/>
      <c r="Q393" s="24"/>
      <c r="R393" s="24"/>
      <c r="S393" s="24"/>
      <c r="T393" s="24"/>
      <c r="U393" s="24"/>
      <c r="V393" s="24"/>
      <c r="W393" s="24"/>
      <c r="X393" s="24"/>
      <c r="Y393" s="24"/>
      <c r="Z393" s="24"/>
      <c r="AA393" s="24"/>
      <c r="AB393" s="24"/>
      <c r="AC393" s="24"/>
    </row>
    <row r="394" spans="1:29" ht="12.9">
      <c r="A394" s="24"/>
      <c r="B394" s="24"/>
      <c r="C394" s="24"/>
      <c r="D394" s="24"/>
      <c r="E394" s="24"/>
      <c r="F394" s="117"/>
      <c r="G394" s="117"/>
      <c r="H394" s="24"/>
      <c r="I394" s="24"/>
      <c r="J394" s="24"/>
      <c r="K394" s="24"/>
      <c r="L394" s="24"/>
      <c r="M394" s="24"/>
      <c r="N394" s="24"/>
      <c r="O394" s="24"/>
      <c r="P394" s="24"/>
      <c r="Q394" s="24"/>
      <c r="R394" s="24"/>
      <c r="S394" s="24"/>
      <c r="T394" s="24"/>
      <c r="U394" s="24"/>
      <c r="V394" s="24"/>
      <c r="W394" s="24"/>
      <c r="X394" s="24"/>
      <c r="Y394" s="24"/>
      <c r="Z394" s="24"/>
      <c r="AA394" s="24"/>
      <c r="AB394" s="24"/>
      <c r="AC394" s="24"/>
    </row>
    <row r="395" spans="1:29" ht="12.9">
      <c r="A395" s="24"/>
      <c r="B395" s="24"/>
      <c r="C395" s="24"/>
      <c r="D395" s="24"/>
      <c r="E395" s="24"/>
      <c r="F395" s="117"/>
      <c r="G395" s="117"/>
      <c r="H395" s="24"/>
      <c r="I395" s="24"/>
      <c r="J395" s="24"/>
      <c r="K395" s="24"/>
      <c r="L395" s="24"/>
      <c r="M395" s="24"/>
      <c r="N395" s="24"/>
      <c r="O395" s="24"/>
      <c r="P395" s="24"/>
      <c r="Q395" s="24"/>
      <c r="R395" s="24"/>
      <c r="S395" s="24"/>
      <c r="T395" s="24"/>
      <c r="U395" s="24"/>
      <c r="V395" s="24"/>
      <c r="W395" s="24"/>
      <c r="X395" s="24"/>
      <c r="Y395" s="24"/>
      <c r="Z395" s="24"/>
      <c r="AA395" s="24"/>
      <c r="AB395" s="24"/>
      <c r="AC395" s="24"/>
    </row>
    <row r="396" spans="1:29" ht="12.9">
      <c r="A396" s="24"/>
      <c r="B396" s="24"/>
      <c r="C396" s="24"/>
      <c r="D396" s="24"/>
      <c r="E396" s="24"/>
      <c r="F396" s="117"/>
      <c r="G396" s="117"/>
      <c r="H396" s="24"/>
      <c r="I396" s="24"/>
      <c r="J396" s="24"/>
      <c r="K396" s="24"/>
      <c r="L396" s="24"/>
      <c r="M396" s="24"/>
      <c r="N396" s="24"/>
      <c r="O396" s="24"/>
      <c r="P396" s="24"/>
      <c r="Q396" s="24"/>
      <c r="R396" s="24"/>
      <c r="S396" s="24"/>
      <c r="T396" s="24"/>
      <c r="U396" s="24"/>
      <c r="V396" s="24"/>
      <c r="W396" s="24"/>
      <c r="X396" s="24"/>
      <c r="Y396" s="24"/>
      <c r="Z396" s="24"/>
      <c r="AA396" s="24"/>
      <c r="AB396" s="24"/>
      <c r="AC396" s="24"/>
    </row>
    <row r="397" spans="1:29" ht="12.9">
      <c r="A397" s="24"/>
      <c r="B397" s="24"/>
      <c r="C397" s="24"/>
      <c r="D397" s="24"/>
      <c r="E397" s="24"/>
      <c r="F397" s="117"/>
      <c r="G397" s="117"/>
      <c r="H397" s="24"/>
      <c r="I397" s="24"/>
      <c r="J397" s="24"/>
      <c r="K397" s="24"/>
      <c r="L397" s="24"/>
      <c r="M397" s="24"/>
      <c r="N397" s="24"/>
      <c r="O397" s="24"/>
      <c r="P397" s="24"/>
      <c r="Q397" s="24"/>
      <c r="R397" s="24"/>
      <c r="S397" s="24"/>
      <c r="T397" s="24"/>
      <c r="U397" s="24"/>
      <c r="V397" s="24"/>
      <c r="W397" s="24"/>
      <c r="X397" s="24"/>
      <c r="Y397" s="24"/>
      <c r="Z397" s="24"/>
      <c r="AA397" s="24"/>
      <c r="AB397" s="24"/>
      <c r="AC397" s="24"/>
    </row>
    <row r="398" spans="1:29" ht="12.9">
      <c r="A398" s="24"/>
      <c r="B398" s="24"/>
      <c r="C398" s="24"/>
      <c r="D398" s="24"/>
      <c r="E398" s="24"/>
      <c r="F398" s="117"/>
      <c r="G398" s="117"/>
      <c r="H398" s="24"/>
      <c r="I398" s="24"/>
      <c r="J398" s="24"/>
      <c r="K398" s="24"/>
      <c r="L398" s="24"/>
      <c r="M398" s="24"/>
      <c r="N398" s="24"/>
      <c r="O398" s="24"/>
      <c r="P398" s="24"/>
      <c r="Q398" s="24"/>
      <c r="R398" s="24"/>
      <c r="S398" s="24"/>
      <c r="T398" s="24"/>
      <c r="U398" s="24"/>
      <c r="V398" s="24"/>
      <c r="W398" s="24"/>
      <c r="X398" s="24"/>
      <c r="Y398" s="24"/>
      <c r="Z398" s="24"/>
      <c r="AA398" s="24"/>
      <c r="AB398" s="24"/>
      <c r="AC398" s="24"/>
    </row>
    <row r="399" spans="1:29" ht="12.9">
      <c r="A399" s="24"/>
      <c r="B399" s="24"/>
      <c r="C399" s="24"/>
      <c r="D399" s="24"/>
      <c r="E399" s="24"/>
      <c r="F399" s="117"/>
      <c r="G399" s="117"/>
      <c r="H399" s="24"/>
      <c r="I399" s="24"/>
      <c r="J399" s="24"/>
      <c r="K399" s="24"/>
      <c r="L399" s="24"/>
      <c r="M399" s="24"/>
      <c r="N399" s="24"/>
      <c r="O399" s="24"/>
      <c r="P399" s="24"/>
      <c r="Q399" s="24"/>
      <c r="R399" s="24"/>
      <c r="S399" s="24"/>
      <c r="T399" s="24"/>
      <c r="U399" s="24"/>
      <c r="V399" s="24"/>
      <c r="W399" s="24"/>
      <c r="X399" s="24"/>
      <c r="Y399" s="24"/>
      <c r="Z399" s="24"/>
      <c r="AA399" s="24"/>
      <c r="AB399" s="24"/>
      <c r="AC399" s="24"/>
    </row>
    <row r="400" spans="1:29" ht="12.9">
      <c r="A400" s="24"/>
      <c r="B400" s="24"/>
      <c r="C400" s="24"/>
      <c r="D400" s="24"/>
      <c r="E400" s="24"/>
      <c r="F400" s="117"/>
      <c r="G400" s="117"/>
      <c r="H400" s="24"/>
      <c r="I400" s="24"/>
      <c r="J400" s="24"/>
      <c r="K400" s="24"/>
      <c r="L400" s="24"/>
      <c r="M400" s="24"/>
      <c r="N400" s="24"/>
      <c r="O400" s="24"/>
      <c r="P400" s="24"/>
      <c r="Q400" s="24"/>
      <c r="R400" s="24"/>
      <c r="S400" s="24"/>
      <c r="T400" s="24"/>
      <c r="U400" s="24"/>
      <c r="V400" s="24"/>
      <c r="W400" s="24"/>
      <c r="X400" s="24"/>
      <c r="Y400" s="24"/>
      <c r="Z400" s="24"/>
      <c r="AA400" s="24"/>
      <c r="AB400" s="24"/>
      <c r="AC400" s="24"/>
    </row>
    <row r="401" spans="1:29" ht="12.9">
      <c r="A401" s="24"/>
      <c r="B401" s="24"/>
      <c r="C401" s="24"/>
      <c r="D401" s="24"/>
      <c r="E401" s="24"/>
      <c r="F401" s="117"/>
      <c r="G401" s="117"/>
      <c r="H401" s="24"/>
      <c r="I401" s="24"/>
      <c r="J401" s="24"/>
      <c r="K401" s="24"/>
      <c r="L401" s="24"/>
      <c r="M401" s="24"/>
      <c r="N401" s="24"/>
      <c r="O401" s="24"/>
      <c r="P401" s="24"/>
      <c r="Q401" s="24"/>
      <c r="R401" s="24"/>
      <c r="S401" s="24"/>
      <c r="T401" s="24"/>
      <c r="U401" s="24"/>
      <c r="V401" s="24"/>
      <c r="W401" s="24"/>
      <c r="X401" s="24"/>
      <c r="Y401" s="24"/>
      <c r="Z401" s="24"/>
      <c r="AA401" s="24"/>
      <c r="AB401" s="24"/>
      <c r="AC401" s="24"/>
    </row>
    <row r="402" spans="1:29" ht="12.9">
      <c r="A402" s="24"/>
      <c r="B402" s="24"/>
      <c r="C402" s="24"/>
      <c r="D402" s="24"/>
      <c r="E402" s="24"/>
      <c r="F402" s="117"/>
      <c r="G402" s="117"/>
      <c r="H402" s="24"/>
      <c r="I402" s="24"/>
      <c r="J402" s="24"/>
      <c r="K402" s="24"/>
      <c r="L402" s="24"/>
      <c r="M402" s="24"/>
      <c r="N402" s="24"/>
      <c r="O402" s="24"/>
      <c r="P402" s="24"/>
      <c r="Q402" s="24"/>
      <c r="R402" s="24"/>
      <c r="S402" s="24"/>
      <c r="T402" s="24"/>
      <c r="U402" s="24"/>
      <c r="V402" s="24"/>
      <c r="W402" s="24"/>
      <c r="X402" s="24"/>
      <c r="Y402" s="24"/>
      <c r="Z402" s="24"/>
      <c r="AA402" s="24"/>
      <c r="AB402" s="24"/>
      <c r="AC402" s="24"/>
    </row>
    <row r="403" spans="1:29" ht="12.9">
      <c r="A403" s="24"/>
      <c r="B403" s="24"/>
      <c r="C403" s="24"/>
      <c r="D403" s="24"/>
      <c r="E403" s="24"/>
      <c r="F403" s="117"/>
      <c r="G403" s="117"/>
      <c r="H403" s="24"/>
      <c r="I403" s="24"/>
      <c r="J403" s="24"/>
      <c r="K403" s="24"/>
      <c r="L403" s="24"/>
      <c r="M403" s="24"/>
      <c r="N403" s="24"/>
      <c r="O403" s="24"/>
      <c r="P403" s="24"/>
      <c r="Q403" s="24"/>
      <c r="R403" s="24"/>
      <c r="S403" s="24"/>
      <c r="T403" s="24"/>
      <c r="U403" s="24"/>
      <c r="V403" s="24"/>
      <c r="W403" s="24"/>
      <c r="X403" s="24"/>
      <c r="Y403" s="24"/>
      <c r="Z403" s="24"/>
      <c r="AA403" s="24"/>
      <c r="AB403" s="24"/>
      <c r="AC403" s="24"/>
    </row>
    <row r="404" spans="1:29" ht="12.9">
      <c r="A404" s="24"/>
      <c r="B404" s="24"/>
      <c r="C404" s="24"/>
      <c r="D404" s="24"/>
      <c r="E404" s="24"/>
      <c r="F404" s="117"/>
      <c r="G404" s="117"/>
      <c r="H404" s="24"/>
      <c r="I404" s="24"/>
      <c r="J404" s="24"/>
      <c r="K404" s="24"/>
      <c r="L404" s="24"/>
      <c r="M404" s="24"/>
      <c r="N404" s="24"/>
      <c r="O404" s="24"/>
      <c r="P404" s="24"/>
      <c r="Q404" s="24"/>
      <c r="R404" s="24"/>
      <c r="S404" s="24"/>
      <c r="T404" s="24"/>
      <c r="U404" s="24"/>
      <c r="V404" s="24"/>
      <c r="W404" s="24"/>
      <c r="X404" s="24"/>
      <c r="Y404" s="24"/>
      <c r="Z404" s="24"/>
      <c r="AA404" s="24"/>
      <c r="AB404" s="24"/>
      <c r="AC404" s="24"/>
    </row>
    <row r="405" spans="1:29" ht="12.9">
      <c r="A405" s="24"/>
      <c r="B405" s="24"/>
      <c r="C405" s="24"/>
      <c r="D405" s="24"/>
      <c r="E405" s="24"/>
      <c r="F405" s="117"/>
      <c r="G405" s="117"/>
      <c r="H405" s="24"/>
      <c r="I405" s="24"/>
      <c r="J405" s="24"/>
      <c r="K405" s="24"/>
      <c r="L405" s="24"/>
      <c r="M405" s="24"/>
      <c r="N405" s="24"/>
      <c r="O405" s="24"/>
      <c r="P405" s="24"/>
      <c r="Q405" s="24"/>
      <c r="R405" s="24"/>
      <c r="S405" s="24"/>
      <c r="T405" s="24"/>
      <c r="U405" s="24"/>
      <c r="V405" s="24"/>
      <c r="W405" s="24"/>
      <c r="X405" s="24"/>
      <c r="Y405" s="24"/>
      <c r="Z405" s="24"/>
      <c r="AA405" s="24"/>
      <c r="AB405" s="24"/>
      <c r="AC405" s="24"/>
    </row>
    <row r="406" spans="1:29" ht="12.9">
      <c r="A406" s="24"/>
      <c r="B406" s="24"/>
      <c r="C406" s="24"/>
      <c r="D406" s="24"/>
      <c r="E406" s="24"/>
      <c r="F406" s="117"/>
      <c r="G406" s="117"/>
      <c r="H406" s="24"/>
      <c r="I406" s="24"/>
      <c r="J406" s="24"/>
      <c r="K406" s="24"/>
      <c r="L406" s="24"/>
      <c r="M406" s="24"/>
      <c r="N406" s="24"/>
      <c r="O406" s="24"/>
      <c r="P406" s="24"/>
      <c r="Q406" s="24"/>
      <c r="R406" s="24"/>
      <c r="S406" s="24"/>
      <c r="T406" s="24"/>
      <c r="U406" s="24"/>
      <c r="V406" s="24"/>
      <c r="W406" s="24"/>
      <c r="X406" s="24"/>
      <c r="Y406" s="24"/>
      <c r="Z406" s="24"/>
      <c r="AA406" s="24"/>
      <c r="AB406" s="24"/>
      <c r="AC406" s="24"/>
    </row>
    <row r="407" spans="1:29" ht="12.9">
      <c r="A407" s="24"/>
      <c r="B407" s="24"/>
      <c r="C407" s="24"/>
      <c r="D407" s="24"/>
      <c r="E407" s="24"/>
      <c r="F407" s="117"/>
      <c r="G407" s="117"/>
      <c r="H407" s="24"/>
      <c r="I407" s="24"/>
      <c r="J407" s="24"/>
      <c r="K407" s="24"/>
      <c r="L407" s="24"/>
      <c r="M407" s="24"/>
      <c r="N407" s="24"/>
      <c r="O407" s="24"/>
      <c r="P407" s="24"/>
      <c r="Q407" s="24"/>
      <c r="R407" s="24"/>
      <c r="S407" s="24"/>
      <c r="T407" s="24"/>
      <c r="U407" s="24"/>
      <c r="V407" s="24"/>
      <c r="W407" s="24"/>
      <c r="X407" s="24"/>
      <c r="Y407" s="24"/>
      <c r="Z407" s="24"/>
      <c r="AA407" s="24"/>
      <c r="AB407" s="24"/>
      <c r="AC407" s="24"/>
    </row>
    <row r="408" spans="1:29" ht="12.9">
      <c r="A408" s="24"/>
      <c r="B408" s="24"/>
      <c r="C408" s="24"/>
      <c r="D408" s="24"/>
      <c r="E408" s="24"/>
      <c r="F408" s="117"/>
      <c r="G408" s="117"/>
      <c r="H408" s="24"/>
      <c r="I408" s="24"/>
      <c r="J408" s="24"/>
      <c r="K408" s="24"/>
      <c r="L408" s="24"/>
      <c r="M408" s="24"/>
      <c r="N408" s="24"/>
      <c r="O408" s="24"/>
      <c r="P408" s="24"/>
      <c r="Q408" s="24"/>
      <c r="R408" s="24"/>
      <c r="S408" s="24"/>
      <c r="T408" s="24"/>
      <c r="U408" s="24"/>
      <c r="V408" s="24"/>
      <c r="W408" s="24"/>
      <c r="X408" s="24"/>
      <c r="Y408" s="24"/>
      <c r="Z408" s="24"/>
      <c r="AA408" s="24"/>
      <c r="AB408" s="24"/>
      <c r="AC408" s="24"/>
    </row>
    <row r="409" spans="1:29" ht="12.9">
      <c r="A409" s="24"/>
      <c r="B409" s="24"/>
      <c r="C409" s="24"/>
      <c r="D409" s="24"/>
      <c r="E409" s="24"/>
      <c r="F409" s="117"/>
      <c r="G409" s="117"/>
      <c r="H409" s="24"/>
      <c r="I409" s="24"/>
      <c r="J409" s="24"/>
      <c r="K409" s="24"/>
      <c r="L409" s="24"/>
      <c r="M409" s="24"/>
      <c r="N409" s="24"/>
      <c r="O409" s="24"/>
      <c r="P409" s="24"/>
      <c r="Q409" s="24"/>
      <c r="R409" s="24"/>
      <c r="S409" s="24"/>
      <c r="T409" s="24"/>
      <c r="U409" s="24"/>
      <c r="V409" s="24"/>
      <c r="W409" s="24"/>
      <c r="X409" s="24"/>
      <c r="Y409" s="24"/>
      <c r="Z409" s="24"/>
      <c r="AA409" s="24"/>
      <c r="AB409" s="24"/>
      <c r="AC409" s="24"/>
    </row>
    <row r="410" spans="1:29" ht="12.9">
      <c r="A410" s="24"/>
      <c r="B410" s="24"/>
      <c r="C410" s="24"/>
      <c r="D410" s="24"/>
      <c r="E410" s="24"/>
      <c r="F410" s="117"/>
      <c r="G410" s="117"/>
      <c r="H410" s="24"/>
      <c r="I410" s="24"/>
      <c r="J410" s="24"/>
      <c r="K410" s="24"/>
      <c r="L410" s="24"/>
      <c r="M410" s="24"/>
      <c r="N410" s="24"/>
      <c r="O410" s="24"/>
      <c r="P410" s="24"/>
      <c r="Q410" s="24"/>
      <c r="R410" s="24"/>
      <c r="S410" s="24"/>
      <c r="T410" s="24"/>
      <c r="U410" s="24"/>
      <c r="V410" s="24"/>
      <c r="W410" s="24"/>
      <c r="X410" s="24"/>
      <c r="Y410" s="24"/>
      <c r="Z410" s="24"/>
      <c r="AA410" s="24"/>
      <c r="AB410" s="24"/>
      <c r="AC410" s="24"/>
    </row>
    <row r="411" spans="1:29" ht="12.9">
      <c r="A411" s="24"/>
      <c r="B411" s="24"/>
      <c r="C411" s="24"/>
      <c r="D411" s="24"/>
      <c r="E411" s="24"/>
      <c r="F411" s="117"/>
      <c r="G411" s="117"/>
      <c r="H411" s="24"/>
      <c r="I411" s="24"/>
      <c r="J411" s="24"/>
      <c r="K411" s="24"/>
      <c r="L411" s="24"/>
      <c r="M411" s="24"/>
      <c r="N411" s="24"/>
      <c r="O411" s="24"/>
      <c r="P411" s="24"/>
      <c r="Q411" s="24"/>
      <c r="R411" s="24"/>
      <c r="S411" s="24"/>
      <c r="T411" s="24"/>
      <c r="U411" s="24"/>
      <c r="V411" s="24"/>
      <c r="W411" s="24"/>
      <c r="X411" s="24"/>
      <c r="Y411" s="24"/>
      <c r="Z411" s="24"/>
      <c r="AA411" s="24"/>
      <c r="AB411" s="24"/>
      <c r="AC411" s="24"/>
    </row>
    <row r="412" spans="1:29" ht="12.9">
      <c r="A412" s="24"/>
      <c r="B412" s="24"/>
      <c r="C412" s="24"/>
      <c r="D412" s="24"/>
      <c r="E412" s="24"/>
      <c r="F412" s="117"/>
      <c r="G412" s="117"/>
      <c r="H412" s="24"/>
      <c r="I412" s="24"/>
      <c r="J412" s="24"/>
      <c r="K412" s="24"/>
      <c r="L412" s="24"/>
      <c r="M412" s="24"/>
      <c r="N412" s="24"/>
      <c r="O412" s="24"/>
      <c r="P412" s="24"/>
      <c r="Q412" s="24"/>
      <c r="R412" s="24"/>
      <c r="S412" s="24"/>
      <c r="T412" s="24"/>
      <c r="U412" s="24"/>
      <c r="V412" s="24"/>
      <c r="W412" s="24"/>
      <c r="X412" s="24"/>
      <c r="Y412" s="24"/>
      <c r="Z412" s="24"/>
      <c r="AA412" s="24"/>
      <c r="AB412" s="24"/>
      <c r="AC412" s="24"/>
    </row>
    <row r="413" spans="1:29" ht="12.9">
      <c r="A413" s="24"/>
      <c r="B413" s="24"/>
      <c r="C413" s="24"/>
      <c r="D413" s="24"/>
      <c r="E413" s="24"/>
      <c r="F413" s="117"/>
      <c r="G413" s="117"/>
      <c r="H413" s="24"/>
      <c r="I413" s="24"/>
      <c r="J413" s="24"/>
      <c r="K413" s="24"/>
      <c r="L413" s="24"/>
      <c r="M413" s="24"/>
      <c r="N413" s="24"/>
      <c r="O413" s="24"/>
      <c r="P413" s="24"/>
      <c r="Q413" s="24"/>
      <c r="R413" s="24"/>
      <c r="S413" s="24"/>
      <c r="T413" s="24"/>
      <c r="U413" s="24"/>
      <c r="V413" s="24"/>
      <c r="W413" s="24"/>
      <c r="X413" s="24"/>
      <c r="Y413" s="24"/>
      <c r="Z413" s="24"/>
      <c r="AA413" s="24"/>
      <c r="AB413" s="24"/>
      <c r="AC413" s="24"/>
    </row>
    <row r="414" spans="1:29" ht="12.9">
      <c r="A414" s="24"/>
      <c r="B414" s="24"/>
      <c r="C414" s="24"/>
      <c r="D414" s="24"/>
      <c r="E414" s="24"/>
      <c r="F414" s="117"/>
      <c r="G414" s="117"/>
      <c r="H414" s="24"/>
      <c r="I414" s="24"/>
      <c r="J414" s="24"/>
      <c r="K414" s="24"/>
      <c r="L414" s="24"/>
      <c r="M414" s="24"/>
      <c r="N414" s="24"/>
      <c r="O414" s="24"/>
      <c r="P414" s="24"/>
      <c r="Q414" s="24"/>
      <c r="R414" s="24"/>
      <c r="S414" s="24"/>
      <c r="T414" s="24"/>
      <c r="U414" s="24"/>
      <c r="V414" s="24"/>
      <c r="W414" s="24"/>
      <c r="X414" s="24"/>
      <c r="Y414" s="24"/>
      <c r="Z414" s="24"/>
      <c r="AA414" s="24"/>
      <c r="AB414" s="24"/>
      <c r="AC414" s="24"/>
    </row>
    <row r="415" spans="1:29" ht="12.9">
      <c r="A415" s="24"/>
      <c r="B415" s="24"/>
      <c r="C415" s="24"/>
      <c r="D415" s="24"/>
      <c r="E415" s="24"/>
      <c r="F415" s="117"/>
      <c r="G415" s="117"/>
      <c r="H415" s="24"/>
      <c r="I415" s="24"/>
      <c r="J415" s="24"/>
      <c r="K415" s="24"/>
      <c r="L415" s="24"/>
      <c r="M415" s="24"/>
      <c r="N415" s="24"/>
      <c r="O415" s="24"/>
      <c r="P415" s="24"/>
      <c r="Q415" s="24"/>
      <c r="R415" s="24"/>
      <c r="S415" s="24"/>
      <c r="T415" s="24"/>
      <c r="U415" s="24"/>
      <c r="V415" s="24"/>
      <c r="W415" s="24"/>
      <c r="X415" s="24"/>
      <c r="Y415" s="24"/>
      <c r="Z415" s="24"/>
      <c r="AA415" s="24"/>
      <c r="AB415" s="24"/>
      <c r="AC415" s="24"/>
    </row>
    <row r="416" spans="1:29" ht="12.9">
      <c r="A416" s="24"/>
      <c r="B416" s="24"/>
      <c r="C416" s="24"/>
      <c r="D416" s="24"/>
      <c r="E416" s="24"/>
      <c r="F416" s="117"/>
      <c r="G416" s="117"/>
      <c r="H416" s="24"/>
      <c r="I416" s="24"/>
      <c r="J416" s="24"/>
      <c r="K416" s="24"/>
      <c r="L416" s="24"/>
      <c r="M416" s="24"/>
      <c r="N416" s="24"/>
      <c r="O416" s="24"/>
      <c r="P416" s="24"/>
      <c r="Q416" s="24"/>
      <c r="R416" s="24"/>
      <c r="S416" s="24"/>
      <c r="T416" s="24"/>
      <c r="U416" s="24"/>
      <c r="V416" s="24"/>
      <c r="W416" s="24"/>
      <c r="X416" s="24"/>
      <c r="Y416" s="24"/>
      <c r="Z416" s="24"/>
      <c r="AA416" s="24"/>
      <c r="AB416" s="24"/>
      <c r="AC416" s="24"/>
    </row>
    <row r="417" spans="1:29" ht="12.9">
      <c r="A417" s="24"/>
      <c r="B417" s="24"/>
      <c r="C417" s="24"/>
      <c r="D417" s="24"/>
      <c r="E417" s="24"/>
      <c r="F417" s="117"/>
      <c r="G417" s="117"/>
      <c r="H417" s="24"/>
      <c r="I417" s="24"/>
      <c r="J417" s="24"/>
      <c r="K417" s="24"/>
      <c r="L417" s="24"/>
      <c r="M417" s="24"/>
      <c r="N417" s="24"/>
      <c r="O417" s="24"/>
      <c r="P417" s="24"/>
      <c r="Q417" s="24"/>
      <c r="R417" s="24"/>
      <c r="S417" s="24"/>
      <c r="T417" s="24"/>
      <c r="U417" s="24"/>
      <c r="V417" s="24"/>
      <c r="W417" s="24"/>
      <c r="X417" s="24"/>
      <c r="Y417" s="24"/>
      <c r="Z417" s="24"/>
      <c r="AA417" s="24"/>
      <c r="AB417" s="24"/>
      <c r="AC417" s="24"/>
    </row>
    <row r="418" spans="1:29" ht="12.9">
      <c r="A418" s="24"/>
      <c r="B418" s="24"/>
      <c r="C418" s="24"/>
      <c r="D418" s="24"/>
      <c r="E418" s="24"/>
      <c r="F418" s="117"/>
      <c r="G418" s="117"/>
      <c r="H418" s="24"/>
      <c r="I418" s="24"/>
      <c r="J418" s="24"/>
      <c r="K418" s="24"/>
      <c r="L418" s="24"/>
      <c r="M418" s="24"/>
      <c r="N418" s="24"/>
      <c r="O418" s="24"/>
      <c r="P418" s="24"/>
      <c r="Q418" s="24"/>
      <c r="R418" s="24"/>
      <c r="S418" s="24"/>
      <c r="T418" s="24"/>
      <c r="U418" s="24"/>
      <c r="V418" s="24"/>
      <c r="W418" s="24"/>
      <c r="X418" s="24"/>
      <c r="Y418" s="24"/>
      <c r="Z418" s="24"/>
      <c r="AA418" s="24"/>
      <c r="AB418" s="24"/>
      <c r="AC418" s="24"/>
    </row>
    <row r="419" spans="1:29" ht="12.9">
      <c r="A419" s="24"/>
      <c r="B419" s="24"/>
      <c r="C419" s="24"/>
      <c r="D419" s="24"/>
      <c r="E419" s="24"/>
      <c r="F419" s="117"/>
      <c r="G419" s="117"/>
      <c r="H419" s="24"/>
      <c r="I419" s="24"/>
      <c r="J419" s="24"/>
      <c r="K419" s="24"/>
      <c r="L419" s="24"/>
      <c r="M419" s="24"/>
      <c r="N419" s="24"/>
      <c r="O419" s="24"/>
      <c r="P419" s="24"/>
      <c r="Q419" s="24"/>
      <c r="R419" s="24"/>
      <c r="S419" s="24"/>
      <c r="T419" s="24"/>
      <c r="U419" s="24"/>
      <c r="V419" s="24"/>
      <c r="W419" s="24"/>
      <c r="X419" s="24"/>
      <c r="Y419" s="24"/>
      <c r="Z419" s="24"/>
      <c r="AA419" s="24"/>
      <c r="AB419" s="24"/>
      <c r="AC419" s="24"/>
    </row>
    <row r="420" spans="1:29" ht="12.9">
      <c r="A420" s="24"/>
      <c r="B420" s="24"/>
      <c r="C420" s="24"/>
      <c r="D420" s="24"/>
      <c r="E420" s="24"/>
      <c r="F420" s="117"/>
      <c r="G420" s="117"/>
      <c r="H420" s="24"/>
      <c r="I420" s="24"/>
      <c r="J420" s="24"/>
      <c r="K420" s="24"/>
      <c r="L420" s="24"/>
      <c r="M420" s="24"/>
      <c r="N420" s="24"/>
      <c r="O420" s="24"/>
      <c r="P420" s="24"/>
      <c r="Q420" s="24"/>
      <c r="R420" s="24"/>
      <c r="S420" s="24"/>
      <c r="T420" s="24"/>
      <c r="U420" s="24"/>
      <c r="V420" s="24"/>
      <c r="W420" s="24"/>
      <c r="X420" s="24"/>
      <c r="Y420" s="24"/>
      <c r="Z420" s="24"/>
      <c r="AA420" s="24"/>
      <c r="AB420" s="24"/>
      <c r="AC420" s="24"/>
    </row>
    <row r="421" spans="1:29" ht="12.9">
      <c r="A421" s="24"/>
      <c r="B421" s="24"/>
      <c r="C421" s="24"/>
      <c r="D421" s="24"/>
      <c r="E421" s="24"/>
      <c r="F421" s="117"/>
      <c r="G421" s="117"/>
      <c r="H421" s="24"/>
      <c r="I421" s="24"/>
      <c r="J421" s="24"/>
      <c r="K421" s="24"/>
      <c r="L421" s="24"/>
      <c r="M421" s="24"/>
      <c r="N421" s="24"/>
      <c r="O421" s="24"/>
      <c r="P421" s="24"/>
      <c r="Q421" s="24"/>
      <c r="R421" s="24"/>
      <c r="S421" s="24"/>
      <c r="T421" s="24"/>
      <c r="U421" s="24"/>
      <c r="V421" s="24"/>
      <c r="W421" s="24"/>
      <c r="X421" s="24"/>
      <c r="Y421" s="24"/>
      <c r="Z421" s="24"/>
      <c r="AA421" s="24"/>
      <c r="AB421" s="24"/>
      <c r="AC421" s="24"/>
    </row>
    <row r="422" spans="1:29" ht="12.9">
      <c r="A422" s="24"/>
      <c r="B422" s="24"/>
      <c r="C422" s="24"/>
      <c r="D422" s="24"/>
      <c r="E422" s="24"/>
      <c r="F422" s="117"/>
      <c r="G422" s="117"/>
      <c r="H422" s="24"/>
      <c r="I422" s="24"/>
      <c r="J422" s="24"/>
      <c r="K422" s="24"/>
      <c r="L422" s="24"/>
      <c r="M422" s="24"/>
      <c r="N422" s="24"/>
      <c r="O422" s="24"/>
      <c r="P422" s="24"/>
      <c r="Q422" s="24"/>
      <c r="R422" s="24"/>
      <c r="S422" s="24"/>
      <c r="T422" s="24"/>
      <c r="U422" s="24"/>
      <c r="V422" s="24"/>
      <c r="W422" s="24"/>
      <c r="X422" s="24"/>
      <c r="Y422" s="24"/>
      <c r="Z422" s="24"/>
      <c r="AA422" s="24"/>
      <c r="AB422" s="24"/>
      <c r="AC422" s="24"/>
    </row>
    <row r="423" spans="1:29" ht="12.9">
      <c r="A423" s="24"/>
      <c r="B423" s="24"/>
      <c r="C423" s="24"/>
      <c r="D423" s="24"/>
      <c r="E423" s="24"/>
      <c r="F423" s="117"/>
      <c r="G423" s="117"/>
      <c r="H423" s="24"/>
      <c r="I423" s="24"/>
      <c r="J423" s="24"/>
      <c r="K423" s="24"/>
      <c r="L423" s="24"/>
      <c r="M423" s="24"/>
      <c r="N423" s="24"/>
      <c r="O423" s="24"/>
      <c r="P423" s="24"/>
      <c r="Q423" s="24"/>
      <c r="R423" s="24"/>
      <c r="S423" s="24"/>
      <c r="T423" s="24"/>
      <c r="U423" s="24"/>
      <c r="V423" s="24"/>
      <c r="W423" s="24"/>
      <c r="X423" s="24"/>
      <c r="Y423" s="24"/>
      <c r="Z423" s="24"/>
      <c r="AA423" s="24"/>
      <c r="AB423" s="24"/>
      <c r="AC423" s="24"/>
    </row>
    <row r="424" spans="1:29" ht="12.9">
      <c r="A424" s="24"/>
      <c r="B424" s="24"/>
      <c r="C424" s="24"/>
      <c r="D424" s="24"/>
      <c r="E424" s="24"/>
      <c r="F424" s="117"/>
      <c r="G424" s="117"/>
      <c r="H424" s="24"/>
      <c r="I424" s="24"/>
      <c r="J424" s="24"/>
      <c r="K424" s="24"/>
      <c r="L424" s="24"/>
      <c r="M424" s="24"/>
      <c r="N424" s="24"/>
      <c r="O424" s="24"/>
      <c r="P424" s="24"/>
      <c r="Q424" s="24"/>
      <c r="R424" s="24"/>
      <c r="S424" s="24"/>
      <c r="T424" s="24"/>
      <c r="U424" s="24"/>
      <c r="V424" s="24"/>
      <c r="W424" s="24"/>
      <c r="X424" s="24"/>
      <c r="Y424" s="24"/>
      <c r="Z424" s="24"/>
      <c r="AA424" s="24"/>
      <c r="AB424" s="24"/>
      <c r="AC424" s="24"/>
    </row>
    <row r="425" spans="1:29" ht="12.9">
      <c r="A425" s="24"/>
      <c r="B425" s="24"/>
      <c r="C425" s="24"/>
      <c r="D425" s="24"/>
      <c r="E425" s="24"/>
      <c r="F425" s="117"/>
      <c r="G425" s="117"/>
      <c r="H425" s="24"/>
      <c r="I425" s="24"/>
      <c r="J425" s="24"/>
      <c r="K425" s="24"/>
      <c r="L425" s="24"/>
      <c r="M425" s="24"/>
      <c r="N425" s="24"/>
      <c r="O425" s="24"/>
      <c r="P425" s="24"/>
      <c r="Q425" s="24"/>
      <c r="R425" s="24"/>
      <c r="S425" s="24"/>
      <c r="T425" s="24"/>
      <c r="U425" s="24"/>
      <c r="V425" s="24"/>
      <c r="W425" s="24"/>
      <c r="X425" s="24"/>
      <c r="Y425" s="24"/>
      <c r="Z425" s="24"/>
      <c r="AA425" s="24"/>
      <c r="AB425" s="24"/>
      <c r="AC425" s="24"/>
    </row>
    <row r="426" spans="1:29" ht="12.9">
      <c r="A426" s="24"/>
      <c r="B426" s="24"/>
      <c r="C426" s="24"/>
      <c r="D426" s="24"/>
      <c r="E426" s="24"/>
      <c r="F426" s="117"/>
      <c r="G426" s="117"/>
      <c r="H426" s="24"/>
      <c r="I426" s="24"/>
      <c r="J426" s="24"/>
      <c r="K426" s="24"/>
      <c r="L426" s="24"/>
      <c r="M426" s="24"/>
      <c r="N426" s="24"/>
      <c r="O426" s="24"/>
      <c r="P426" s="24"/>
      <c r="Q426" s="24"/>
      <c r="R426" s="24"/>
      <c r="S426" s="24"/>
      <c r="T426" s="24"/>
      <c r="U426" s="24"/>
      <c r="V426" s="24"/>
      <c r="W426" s="24"/>
      <c r="X426" s="24"/>
      <c r="Y426" s="24"/>
      <c r="Z426" s="24"/>
      <c r="AA426" s="24"/>
      <c r="AB426" s="24"/>
      <c r="AC426" s="24"/>
    </row>
    <row r="427" spans="1:29" ht="12.9">
      <c r="A427" s="24"/>
      <c r="B427" s="24"/>
      <c r="C427" s="24"/>
      <c r="D427" s="24"/>
      <c r="E427" s="24"/>
      <c r="F427" s="117"/>
      <c r="G427" s="117"/>
      <c r="H427" s="24"/>
      <c r="I427" s="24"/>
      <c r="J427" s="24"/>
      <c r="K427" s="24"/>
      <c r="L427" s="24"/>
      <c r="M427" s="24"/>
      <c r="N427" s="24"/>
      <c r="O427" s="24"/>
      <c r="P427" s="24"/>
      <c r="Q427" s="24"/>
      <c r="R427" s="24"/>
      <c r="S427" s="24"/>
      <c r="T427" s="24"/>
      <c r="U427" s="24"/>
      <c r="V427" s="24"/>
      <c r="W427" s="24"/>
      <c r="X427" s="24"/>
      <c r="Y427" s="24"/>
      <c r="Z427" s="24"/>
      <c r="AA427" s="24"/>
      <c r="AB427" s="24"/>
      <c r="AC427" s="24"/>
    </row>
    <row r="428" spans="1:29" ht="12.9">
      <c r="A428" s="24"/>
      <c r="B428" s="24"/>
      <c r="C428" s="24"/>
      <c r="D428" s="24"/>
      <c r="E428" s="24"/>
      <c r="F428" s="117"/>
      <c r="G428" s="117"/>
      <c r="H428" s="24"/>
      <c r="I428" s="24"/>
      <c r="J428" s="24"/>
      <c r="K428" s="24"/>
      <c r="L428" s="24"/>
      <c r="M428" s="24"/>
      <c r="N428" s="24"/>
      <c r="O428" s="24"/>
      <c r="P428" s="24"/>
      <c r="Q428" s="24"/>
      <c r="R428" s="24"/>
      <c r="S428" s="24"/>
      <c r="T428" s="24"/>
      <c r="U428" s="24"/>
      <c r="V428" s="24"/>
      <c r="W428" s="24"/>
      <c r="X428" s="24"/>
      <c r="Y428" s="24"/>
      <c r="Z428" s="24"/>
      <c r="AA428" s="24"/>
      <c r="AB428" s="24"/>
      <c r="AC428" s="24"/>
    </row>
    <row r="429" spans="1:29" ht="12.9">
      <c r="A429" s="24"/>
      <c r="B429" s="24"/>
      <c r="C429" s="24"/>
      <c r="D429" s="24"/>
      <c r="E429" s="24"/>
      <c r="F429" s="117"/>
      <c r="G429" s="117"/>
      <c r="H429" s="24"/>
      <c r="I429" s="24"/>
      <c r="J429" s="24"/>
      <c r="K429" s="24"/>
      <c r="L429" s="24"/>
      <c r="M429" s="24"/>
      <c r="N429" s="24"/>
      <c r="O429" s="24"/>
      <c r="P429" s="24"/>
      <c r="Q429" s="24"/>
      <c r="R429" s="24"/>
      <c r="S429" s="24"/>
      <c r="T429" s="24"/>
      <c r="U429" s="24"/>
      <c r="V429" s="24"/>
      <c r="W429" s="24"/>
      <c r="X429" s="24"/>
      <c r="Y429" s="24"/>
      <c r="Z429" s="24"/>
      <c r="AA429" s="24"/>
      <c r="AB429" s="24"/>
      <c r="AC429" s="24"/>
    </row>
    <row r="430" spans="1:29" ht="12.9">
      <c r="A430" s="24"/>
      <c r="B430" s="24"/>
      <c r="C430" s="24"/>
      <c r="D430" s="24"/>
      <c r="E430" s="24"/>
      <c r="F430" s="117"/>
      <c r="G430" s="117"/>
      <c r="H430" s="24"/>
      <c r="I430" s="24"/>
      <c r="J430" s="24"/>
      <c r="K430" s="24"/>
      <c r="L430" s="24"/>
      <c r="M430" s="24"/>
      <c r="N430" s="24"/>
      <c r="O430" s="24"/>
      <c r="P430" s="24"/>
      <c r="Q430" s="24"/>
      <c r="R430" s="24"/>
      <c r="S430" s="24"/>
      <c r="T430" s="24"/>
      <c r="U430" s="24"/>
      <c r="V430" s="24"/>
      <c r="W430" s="24"/>
      <c r="X430" s="24"/>
      <c r="Y430" s="24"/>
      <c r="Z430" s="24"/>
      <c r="AA430" s="24"/>
      <c r="AB430" s="24"/>
      <c r="AC430" s="24"/>
    </row>
    <row r="431" spans="1:29" ht="12.9">
      <c r="A431" s="24"/>
      <c r="B431" s="24"/>
      <c r="C431" s="24"/>
      <c r="D431" s="24"/>
      <c r="E431" s="24"/>
      <c r="F431" s="117"/>
      <c r="G431" s="117"/>
      <c r="H431" s="24"/>
      <c r="I431" s="24"/>
      <c r="J431" s="24"/>
      <c r="K431" s="24"/>
      <c r="L431" s="24"/>
      <c r="M431" s="24"/>
      <c r="N431" s="24"/>
      <c r="O431" s="24"/>
      <c r="P431" s="24"/>
      <c r="Q431" s="24"/>
      <c r="R431" s="24"/>
      <c r="S431" s="24"/>
      <c r="T431" s="24"/>
      <c r="U431" s="24"/>
      <c r="V431" s="24"/>
      <c r="W431" s="24"/>
      <c r="X431" s="24"/>
      <c r="Y431" s="24"/>
      <c r="Z431" s="24"/>
      <c r="AA431" s="24"/>
      <c r="AB431" s="24"/>
      <c r="AC431" s="24"/>
    </row>
    <row r="432" spans="1:29" ht="12.9">
      <c r="A432" s="24"/>
      <c r="B432" s="24"/>
      <c r="C432" s="24"/>
      <c r="D432" s="24"/>
      <c r="E432" s="24"/>
      <c r="F432" s="117"/>
      <c r="G432" s="117"/>
      <c r="H432" s="24"/>
      <c r="I432" s="24"/>
      <c r="J432" s="24"/>
      <c r="K432" s="24"/>
      <c r="L432" s="24"/>
      <c r="M432" s="24"/>
      <c r="N432" s="24"/>
      <c r="O432" s="24"/>
      <c r="P432" s="24"/>
      <c r="Q432" s="24"/>
      <c r="R432" s="24"/>
      <c r="S432" s="24"/>
      <c r="T432" s="24"/>
      <c r="U432" s="24"/>
      <c r="V432" s="24"/>
      <c r="W432" s="24"/>
      <c r="X432" s="24"/>
      <c r="Y432" s="24"/>
      <c r="Z432" s="24"/>
      <c r="AA432" s="24"/>
      <c r="AB432" s="24"/>
      <c r="AC432" s="24"/>
    </row>
    <row r="433" spans="1:29" ht="12.9">
      <c r="A433" s="24"/>
      <c r="B433" s="24"/>
      <c r="C433" s="24"/>
      <c r="D433" s="24"/>
      <c r="E433" s="24"/>
      <c r="F433" s="117"/>
      <c r="G433" s="117"/>
      <c r="H433" s="24"/>
      <c r="I433" s="24"/>
      <c r="J433" s="24"/>
      <c r="K433" s="24"/>
      <c r="L433" s="24"/>
      <c r="M433" s="24"/>
      <c r="N433" s="24"/>
      <c r="O433" s="24"/>
      <c r="P433" s="24"/>
      <c r="Q433" s="24"/>
      <c r="R433" s="24"/>
      <c r="S433" s="24"/>
      <c r="T433" s="24"/>
      <c r="U433" s="24"/>
      <c r="V433" s="24"/>
      <c r="W433" s="24"/>
      <c r="X433" s="24"/>
      <c r="Y433" s="24"/>
      <c r="Z433" s="24"/>
      <c r="AA433" s="24"/>
      <c r="AB433" s="24"/>
      <c r="AC433" s="24"/>
    </row>
    <row r="434" spans="1:29" ht="12.9">
      <c r="A434" s="24"/>
      <c r="B434" s="24"/>
      <c r="C434" s="24"/>
      <c r="D434" s="24"/>
      <c r="E434" s="24"/>
      <c r="F434" s="117"/>
      <c r="G434" s="117"/>
      <c r="H434" s="24"/>
      <c r="I434" s="24"/>
      <c r="J434" s="24"/>
      <c r="K434" s="24"/>
      <c r="L434" s="24"/>
      <c r="M434" s="24"/>
      <c r="N434" s="24"/>
      <c r="O434" s="24"/>
      <c r="P434" s="24"/>
      <c r="Q434" s="24"/>
      <c r="R434" s="24"/>
      <c r="S434" s="24"/>
      <c r="T434" s="24"/>
      <c r="U434" s="24"/>
      <c r="V434" s="24"/>
      <c r="W434" s="24"/>
      <c r="X434" s="24"/>
      <c r="Y434" s="24"/>
      <c r="Z434" s="24"/>
      <c r="AA434" s="24"/>
      <c r="AB434" s="24"/>
      <c r="AC434" s="24"/>
    </row>
    <row r="435" spans="1:29" ht="12.9">
      <c r="A435" s="24"/>
      <c r="B435" s="24"/>
      <c r="C435" s="24"/>
      <c r="D435" s="24"/>
      <c r="E435" s="24"/>
      <c r="F435" s="117"/>
      <c r="G435" s="117"/>
      <c r="H435" s="24"/>
      <c r="I435" s="24"/>
      <c r="J435" s="24"/>
      <c r="K435" s="24"/>
      <c r="L435" s="24"/>
      <c r="M435" s="24"/>
      <c r="N435" s="24"/>
      <c r="O435" s="24"/>
      <c r="P435" s="24"/>
      <c r="Q435" s="24"/>
      <c r="R435" s="24"/>
      <c r="S435" s="24"/>
      <c r="T435" s="24"/>
      <c r="U435" s="24"/>
      <c r="V435" s="24"/>
      <c r="W435" s="24"/>
      <c r="X435" s="24"/>
      <c r="Y435" s="24"/>
      <c r="Z435" s="24"/>
      <c r="AA435" s="24"/>
      <c r="AB435" s="24"/>
      <c r="AC435" s="24"/>
    </row>
    <row r="436" spans="1:29" ht="12.9">
      <c r="A436" s="24"/>
      <c r="B436" s="24"/>
      <c r="C436" s="24"/>
      <c r="D436" s="24"/>
      <c r="E436" s="24"/>
      <c r="F436" s="117"/>
      <c r="G436" s="117"/>
      <c r="H436" s="24"/>
      <c r="I436" s="24"/>
      <c r="J436" s="24"/>
      <c r="K436" s="24"/>
      <c r="L436" s="24"/>
      <c r="M436" s="24"/>
      <c r="N436" s="24"/>
      <c r="O436" s="24"/>
      <c r="P436" s="24"/>
      <c r="Q436" s="24"/>
      <c r="R436" s="24"/>
      <c r="S436" s="24"/>
      <c r="T436" s="24"/>
      <c r="U436" s="24"/>
      <c r="V436" s="24"/>
      <c r="W436" s="24"/>
      <c r="X436" s="24"/>
      <c r="Y436" s="24"/>
      <c r="Z436" s="24"/>
      <c r="AA436" s="24"/>
      <c r="AB436" s="24"/>
      <c r="AC436" s="24"/>
    </row>
    <row r="437" spans="1:29" ht="12.9">
      <c r="A437" s="24"/>
      <c r="B437" s="24"/>
      <c r="C437" s="24"/>
      <c r="D437" s="24"/>
      <c r="E437" s="24"/>
      <c r="F437" s="117"/>
      <c r="G437" s="117"/>
      <c r="H437" s="24"/>
      <c r="I437" s="24"/>
      <c r="J437" s="24"/>
      <c r="K437" s="24"/>
      <c r="L437" s="24"/>
      <c r="M437" s="24"/>
      <c r="N437" s="24"/>
      <c r="O437" s="24"/>
      <c r="P437" s="24"/>
      <c r="Q437" s="24"/>
      <c r="R437" s="24"/>
      <c r="S437" s="24"/>
      <c r="T437" s="24"/>
      <c r="U437" s="24"/>
      <c r="V437" s="24"/>
      <c r="W437" s="24"/>
      <c r="X437" s="24"/>
      <c r="Y437" s="24"/>
      <c r="Z437" s="24"/>
      <c r="AA437" s="24"/>
      <c r="AB437" s="24"/>
      <c r="AC437" s="24"/>
    </row>
    <row r="438" spans="1:29" ht="12.9">
      <c r="A438" s="24"/>
      <c r="B438" s="24"/>
      <c r="C438" s="24"/>
      <c r="D438" s="24"/>
      <c r="E438" s="24"/>
      <c r="F438" s="117"/>
      <c r="G438" s="117"/>
      <c r="H438" s="24"/>
      <c r="I438" s="24"/>
      <c r="J438" s="24"/>
      <c r="K438" s="24"/>
      <c r="L438" s="24"/>
      <c r="M438" s="24"/>
      <c r="N438" s="24"/>
      <c r="O438" s="24"/>
      <c r="P438" s="24"/>
      <c r="Q438" s="24"/>
      <c r="R438" s="24"/>
      <c r="S438" s="24"/>
      <c r="T438" s="24"/>
      <c r="U438" s="24"/>
      <c r="V438" s="24"/>
      <c r="W438" s="24"/>
      <c r="X438" s="24"/>
      <c r="Y438" s="24"/>
      <c r="Z438" s="24"/>
      <c r="AA438" s="24"/>
      <c r="AB438" s="24"/>
      <c r="AC438" s="24"/>
    </row>
    <row r="439" spans="1:29" ht="12.9">
      <c r="A439" s="24"/>
      <c r="B439" s="24"/>
      <c r="C439" s="24"/>
      <c r="D439" s="24"/>
      <c r="E439" s="24"/>
      <c r="F439" s="117"/>
      <c r="G439" s="117"/>
      <c r="H439" s="24"/>
      <c r="I439" s="24"/>
      <c r="J439" s="24"/>
      <c r="K439" s="24"/>
      <c r="L439" s="24"/>
      <c r="M439" s="24"/>
      <c r="N439" s="24"/>
      <c r="O439" s="24"/>
      <c r="P439" s="24"/>
      <c r="Q439" s="24"/>
      <c r="R439" s="24"/>
      <c r="S439" s="24"/>
      <c r="T439" s="24"/>
      <c r="U439" s="24"/>
      <c r="V439" s="24"/>
      <c r="W439" s="24"/>
      <c r="X439" s="24"/>
      <c r="Y439" s="24"/>
      <c r="Z439" s="24"/>
      <c r="AA439" s="24"/>
      <c r="AB439" s="24"/>
      <c r="AC439" s="24"/>
    </row>
    <row r="440" spans="1:29" ht="12.9">
      <c r="A440" s="24"/>
      <c r="B440" s="24"/>
      <c r="C440" s="24"/>
      <c r="D440" s="24"/>
      <c r="E440" s="24"/>
      <c r="F440" s="117"/>
      <c r="G440" s="117"/>
      <c r="H440" s="24"/>
      <c r="I440" s="24"/>
      <c r="J440" s="24"/>
      <c r="K440" s="24"/>
      <c r="L440" s="24"/>
      <c r="M440" s="24"/>
      <c r="N440" s="24"/>
      <c r="O440" s="24"/>
      <c r="P440" s="24"/>
      <c r="Q440" s="24"/>
      <c r="R440" s="24"/>
      <c r="S440" s="24"/>
      <c r="T440" s="24"/>
      <c r="U440" s="24"/>
      <c r="V440" s="24"/>
      <c r="W440" s="24"/>
      <c r="X440" s="24"/>
      <c r="Y440" s="24"/>
      <c r="Z440" s="24"/>
      <c r="AA440" s="24"/>
      <c r="AB440" s="24"/>
      <c r="AC440" s="24"/>
    </row>
    <row r="441" spans="1:29" ht="12.9">
      <c r="A441" s="24"/>
      <c r="B441" s="24"/>
      <c r="C441" s="24"/>
      <c r="D441" s="24"/>
      <c r="E441" s="24"/>
      <c r="F441" s="117"/>
      <c r="G441" s="117"/>
      <c r="H441" s="24"/>
      <c r="I441" s="24"/>
      <c r="J441" s="24"/>
      <c r="K441" s="24"/>
      <c r="L441" s="24"/>
      <c r="M441" s="24"/>
      <c r="N441" s="24"/>
      <c r="O441" s="24"/>
      <c r="P441" s="24"/>
      <c r="Q441" s="24"/>
      <c r="R441" s="24"/>
      <c r="S441" s="24"/>
      <c r="T441" s="24"/>
      <c r="U441" s="24"/>
      <c r="V441" s="24"/>
      <c r="W441" s="24"/>
      <c r="X441" s="24"/>
      <c r="Y441" s="24"/>
      <c r="Z441" s="24"/>
      <c r="AA441" s="24"/>
      <c r="AB441" s="24"/>
      <c r="AC441" s="24"/>
    </row>
    <row r="442" spans="1:29" ht="12.9">
      <c r="A442" s="24"/>
      <c r="B442" s="24"/>
      <c r="C442" s="24"/>
      <c r="D442" s="24"/>
      <c r="E442" s="24"/>
      <c r="F442" s="117"/>
      <c r="G442" s="117"/>
      <c r="H442" s="24"/>
      <c r="I442" s="24"/>
      <c r="J442" s="24"/>
      <c r="K442" s="24"/>
      <c r="L442" s="24"/>
      <c r="M442" s="24"/>
      <c r="N442" s="24"/>
      <c r="O442" s="24"/>
      <c r="P442" s="24"/>
      <c r="Q442" s="24"/>
      <c r="R442" s="24"/>
      <c r="S442" s="24"/>
      <c r="T442" s="24"/>
      <c r="U442" s="24"/>
      <c r="V442" s="24"/>
      <c r="W442" s="24"/>
      <c r="X442" s="24"/>
      <c r="Y442" s="24"/>
      <c r="Z442" s="24"/>
      <c r="AA442" s="24"/>
      <c r="AB442" s="24"/>
      <c r="AC442" s="24"/>
    </row>
    <row r="443" spans="1:29" ht="12.9">
      <c r="A443" s="24"/>
      <c r="B443" s="24"/>
      <c r="C443" s="24"/>
      <c r="D443" s="24"/>
      <c r="E443" s="24"/>
      <c r="F443" s="117"/>
      <c r="G443" s="117"/>
      <c r="H443" s="24"/>
      <c r="I443" s="24"/>
      <c r="J443" s="24"/>
      <c r="K443" s="24"/>
      <c r="L443" s="24"/>
      <c r="M443" s="24"/>
      <c r="N443" s="24"/>
      <c r="O443" s="24"/>
      <c r="P443" s="24"/>
      <c r="Q443" s="24"/>
      <c r="R443" s="24"/>
      <c r="S443" s="24"/>
      <c r="T443" s="24"/>
      <c r="U443" s="24"/>
      <c r="V443" s="24"/>
      <c r="W443" s="24"/>
      <c r="X443" s="24"/>
      <c r="Y443" s="24"/>
      <c r="Z443" s="24"/>
      <c r="AA443" s="24"/>
      <c r="AB443" s="24"/>
      <c r="AC443" s="24"/>
    </row>
    <row r="444" spans="1:29" ht="12.9">
      <c r="A444" s="24"/>
      <c r="B444" s="24"/>
      <c r="C444" s="24"/>
      <c r="D444" s="24"/>
      <c r="E444" s="24"/>
      <c r="F444" s="117"/>
      <c r="G444" s="117"/>
      <c r="H444" s="24"/>
      <c r="I444" s="24"/>
      <c r="J444" s="24"/>
      <c r="K444" s="24"/>
      <c r="L444" s="24"/>
      <c r="M444" s="24"/>
      <c r="N444" s="24"/>
      <c r="O444" s="24"/>
      <c r="P444" s="24"/>
      <c r="Q444" s="24"/>
      <c r="R444" s="24"/>
      <c r="S444" s="24"/>
      <c r="T444" s="24"/>
      <c r="U444" s="24"/>
      <c r="V444" s="24"/>
      <c r="W444" s="24"/>
      <c r="X444" s="24"/>
      <c r="Y444" s="24"/>
      <c r="Z444" s="24"/>
      <c r="AA444" s="24"/>
      <c r="AB444" s="24"/>
      <c r="AC444" s="24"/>
    </row>
    <row r="445" spans="1:29" ht="12.9">
      <c r="A445" s="24"/>
      <c r="B445" s="24"/>
      <c r="C445" s="24"/>
      <c r="D445" s="24"/>
      <c r="E445" s="24"/>
      <c r="F445" s="117"/>
      <c r="G445" s="117"/>
      <c r="H445" s="24"/>
      <c r="I445" s="24"/>
      <c r="J445" s="24"/>
      <c r="K445" s="24"/>
      <c r="L445" s="24"/>
      <c r="M445" s="24"/>
      <c r="N445" s="24"/>
      <c r="O445" s="24"/>
      <c r="P445" s="24"/>
      <c r="Q445" s="24"/>
      <c r="R445" s="24"/>
      <c r="S445" s="24"/>
      <c r="T445" s="24"/>
      <c r="U445" s="24"/>
      <c r="V445" s="24"/>
      <c r="W445" s="24"/>
      <c r="X445" s="24"/>
      <c r="Y445" s="24"/>
      <c r="Z445" s="24"/>
      <c r="AA445" s="24"/>
      <c r="AB445" s="24"/>
      <c r="AC445" s="24"/>
    </row>
    <row r="446" spans="1:29" ht="12.9">
      <c r="A446" s="24"/>
      <c r="B446" s="24"/>
      <c r="C446" s="24"/>
      <c r="D446" s="24"/>
      <c r="E446" s="24"/>
      <c r="F446" s="117"/>
      <c r="G446" s="117"/>
      <c r="H446" s="24"/>
      <c r="I446" s="24"/>
      <c r="J446" s="24"/>
      <c r="K446" s="24"/>
      <c r="L446" s="24"/>
      <c r="M446" s="24"/>
      <c r="N446" s="24"/>
      <c r="O446" s="24"/>
      <c r="P446" s="24"/>
      <c r="Q446" s="24"/>
      <c r="R446" s="24"/>
      <c r="S446" s="24"/>
      <c r="T446" s="24"/>
      <c r="U446" s="24"/>
      <c r="V446" s="24"/>
      <c r="W446" s="24"/>
      <c r="X446" s="24"/>
      <c r="Y446" s="24"/>
      <c r="Z446" s="24"/>
      <c r="AA446" s="24"/>
      <c r="AB446" s="24"/>
      <c r="AC446" s="24"/>
    </row>
    <row r="447" spans="1:29" ht="12.9">
      <c r="A447" s="24"/>
      <c r="B447" s="24"/>
      <c r="C447" s="24"/>
      <c r="D447" s="24"/>
      <c r="E447" s="24"/>
      <c r="F447" s="117"/>
      <c r="G447" s="117"/>
      <c r="H447" s="24"/>
      <c r="I447" s="24"/>
      <c r="J447" s="24"/>
      <c r="K447" s="24"/>
      <c r="L447" s="24"/>
      <c r="M447" s="24"/>
      <c r="N447" s="24"/>
      <c r="O447" s="24"/>
      <c r="P447" s="24"/>
      <c r="Q447" s="24"/>
      <c r="R447" s="24"/>
      <c r="S447" s="24"/>
      <c r="T447" s="24"/>
      <c r="U447" s="24"/>
      <c r="V447" s="24"/>
      <c r="W447" s="24"/>
      <c r="X447" s="24"/>
      <c r="Y447" s="24"/>
      <c r="Z447" s="24"/>
      <c r="AA447" s="24"/>
      <c r="AB447" s="24"/>
      <c r="AC447" s="24"/>
    </row>
    <row r="448" spans="1:29" ht="12.9">
      <c r="A448" s="24"/>
      <c r="B448" s="24"/>
      <c r="C448" s="24"/>
      <c r="D448" s="24"/>
      <c r="E448" s="24"/>
      <c r="F448" s="117"/>
      <c r="G448" s="117"/>
      <c r="H448" s="24"/>
      <c r="I448" s="24"/>
      <c r="J448" s="24"/>
      <c r="K448" s="24"/>
      <c r="L448" s="24"/>
      <c r="M448" s="24"/>
      <c r="N448" s="24"/>
      <c r="O448" s="24"/>
      <c r="P448" s="24"/>
      <c r="Q448" s="24"/>
      <c r="R448" s="24"/>
      <c r="S448" s="24"/>
      <c r="T448" s="24"/>
      <c r="U448" s="24"/>
      <c r="V448" s="24"/>
      <c r="W448" s="24"/>
      <c r="X448" s="24"/>
      <c r="Y448" s="24"/>
      <c r="Z448" s="24"/>
      <c r="AA448" s="24"/>
      <c r="AB448" s="24"/>
      <c r="AC448" s="24"/>
    </row>
    <row r="449" spans="1:29" ht="12.9">
      <c r="A449" s="24"/>
      <c r="B449" s="24"/>
      <c r="C449" s="24"/>
      <c r="D449" s="24"/>
      <c r="E449" s="24"/>
      <c r="F449" s="117"/>
      <c r="G449" s="117"/>
      <c r="H449" s="24"/>
      <c r="I449" s="24"/>
      <c r="J449" s="24"/>
      <c r="K449" s="24"/>
      <c r="L449" s="24"/>
      <c r="M449" s="24"/>
      <c r="N449" s="24"/>
      <c r="O449" s="24"/>
      <c r="P449" s="24"/>
      <c r="Q449" s="24"/>
      <c r="R449" s="24"/>
      <c r="S449" s="24"/>
      <c r="T449" s="24"/>
      <c r="U449" s="24"/>
      <c r="V449" s="24"/>
      <c r="W449" s="24"/>
      <c r="X449" s="24"/>
      <c r="Y449" s="24"/>
      <c r="Z449" s="24"/>
      <c r="AA449" s="24"/>
      <c r="AB449" s="24"/>
      <c r="AC449" s="24"/>
    </row>
    <row r="450" spans="1:29" ht="12.9">
      <c r="A450" s="24"/>
      <c r="B450" s="24"/>
      <c r="C450" s="24"/>
      <c r="D450" s="24"/>
      <c r="E450" s="24"/>
      <c r="F450" s="117"/>
      <c r="G450" s="117"/>
      <c r="H450" s="24"/>
      <c r="I450" s="24"/>
      <c r="J450" s="24"/>
      <c r="K450" s="24"/>
      <c r="L450" s="24"/>
      <c r="M450" s="24"/>
      <c r="N450" s="24"/>
      <c r="O450" s="24"/>
      <c r="P450" s="24"/>
      <c r="Q450" s="24"/>
      <c r="R450" s="24"/>
      <c r="S450" s="24"/>
      <c r="T450" s="24"/>
      <c r="U450" s="24"/>
      <c r="V450" s="24"/>
      <c r="W450" s="24"/>
      <c r="X450" s="24"/>
      <c r="Y450" s="24"/>
      <c r="Z450" s="24"/>
      <c r="AA450" s="24"/>
      <c r="AB450" s="24"/>
      <c r="AC450" s="24"/>
    </row>
    <row r="451" spans="1:29" ht="12.9">
      <c r="A451" s="24"/>
      <c r="B451" s="24"/>
      <c r="C451" s="24"/>
      <c r="D451" s="24"/>
      <c r="E451" s="24"/>
      <c r="F451" s="117"/>
      <c r="G451" s="117"/>
      <c r="H451" s="24"/>
      <c r="I451" s="24"/>
      <c r="J451" s="24"/>
      <c r="K451" s="24"/>
      <c r="L451" s="24"/>
      <c r="M451" s="24"/>
      <c r="N451" s="24"/>
      <c r="O451" s="24"/>
      <c r="P451" s="24"/>
      <c r="Q451" s="24"/>
      <c r="R451" s="24"/>
      <c r="S451" s="24"/>
      <c r="T451" s="24"/>
      <c r="U451" s="24"/>
      <c r="V451" s="24"/>
      <c r="W451" s="24"/>
      <c r="X451" s="24"/>
      <c r="Y451" s="24"/>
      <c r="Z451" s="24"/>
      <c r="AA451" s="24"/>
      <c r="AB451" s="24"/>
      <c r="AC451" s="24"/>
    </row>
    <row r="452" spans="1:29" ht="12.9">
      <c r="A452" s="24"/>
      <c r="B452" s="24"/>
      <c r="C452" s="24"/>
      <c r="D452" s="24"/>
      <c r="E452" s="24"/>
      <c r="F452" s="117"/>
      <c r="G452" s="117"/>
      <c r="H452" s="24"/>
      <c r="I452" s="24"/>
      <c r="J452" s="24"/>
      <c r="K452" s="24"/>
      <c r="L452" s="24"/>
      <c r="M452" s="24"/>
      <c r="N452" s="24"/>
      <c r="O452" s="24"/>
      <c r="P452" s="24"/>
      <c r="Q452" s="24"/>
      <c r="R452" s="24"/>
      <c r="S452" s="24"/>
      <c r="T452" s="24"/>
      <c r="U452" s="24"/>
      <c r="V452" s="24"/>
      <c r="W452" s="24"/>
      <c r="X452" s="24"/>
      <c r="Y452" s="24"/>
      <c r="Z452" s="24"/>
      <c r="AA452" s="24"/>
      <c r="AB452" s="24"/>
      <c r="AC452" s="24"/>
    </row>
    <row r="453" spans="1:29" ht="12.9">
      <c r="A453" s="24"/>
      <c r="B453" s="24"/>
      <c r="C453" s="24"/>
      <c r="D453" s="24"/>
      <c r="E453" s="24"/>
      <c r="F453" s="117"/>
      <c r="G453" s="117"/>
      <c r="H453" s="24"/>
      <c r="I453" s="24"/>
      <c r="J453" s="24"/>
      <c r="K453" s="24"/>
      <c r="L453" s="24"/>
      <c r="M453" s="24"/>
      <c r="N453" s="24"/>
      <c r="O453" s="24"/>
      <c r="P453" s="24"/>
      <c r="Q453" s="24"/>
      <c r="R453" s="24"/>
      <c r="S453" s="24"/>
      <c r="T453" s="24"/>
      <c r="U453" s="24"/>
      <c r="V453" s="24"/>
      <c r="W453" s="24"/>
      <c r="X453" s="24"/>
      <c r="Y453" s="24"/>
      <c r="Z453" s="24"/>
      <c r="AA453" s="24"/>
      <c r="AB453" s="24"/>
      <c r="AC453" s="24"/>
    </row>
    <row r="454" spans="1:29" ht="12.9">
      <c r="A454" s="24"/>
      <c r="B454" s="24"/>
      <c r="C454" s="24"/>
      <c r="D454" s="24"/>
      <c r="E454" s="24"/>
      <c r="F454" s="117"/>
      <c r="G454" s="117"/>
      <c r="H454" s="24"/>
      <c r="I454" s="24"/>
      <c r="J454" s="24"/>
      <c r="K454" s="24"/>
      <c r="L454" s="24"/>
      <c r="M454" s="24"/>
      <c r="N454" s="24"/>
      <c r="O454" s="24"/>
      <c r="P454" s="24"/>
      <c r="Q454" s="24"/>
      <c r="R454" s="24"/>
      <c r="S454" s="24"/>
      <c r="T454" s="24"/>
      <c r="U454" s="24"/>
      <c r="V454" s="24"/>
      <c r="W454" s="24"/>
      <c r="X454" s="24"/>
      <c r="Y454" s="24"/>
      <c r="Z454" s="24"/>
      <c r="AA454" s="24"/>
      <c r="AB454" s="24"/>
      <c r="AC454" s="24"/>
    </row>
    <row r="455" spans="1:29" ht="12.9">
      <c r="A455" s="24"/>
      <c r="B455" s="24"/>
      <c r="C455" s="24"/>
      <c r="D455" s="24"/>
      <c r="E455" s="24"/>
      <c r="F455" s="117"/>
      <c r="G455" s="117"/>
      <c r="H455" s="24"/>
      <c r="I455" s="24"/>
      <c r="J455" s="24"/>
      <c r="K455" s="24"/>
      <c r="L455" s="24"/>
      <c r="M455" s="24"/>
      <c r="N455" s="24"/>
      <c r="O455" s="24"/>
      <c r="P455" s="24"/>
      <c r="Q455" s="24"/>
      <c r="R455" s="24"/>
      <c r="S455" s="24"/>
      <c r="T455" s="24"/>
      <c r="U455" s="24"/>
      <c r="V455" s="24"/>
      <c r="W455" s="24"/>
      <c r="X455" s="24"/>
      <c r="Y455" s="24"/>
      <c r="Z455" s="24"/>
      <c r="AA455" s="24"/>
      <c r="AB455" s="24"/>
      <c r="AC455" s="24"/>
    </row>
    <row r="456" spans="1:29" ht="12.9">
      <c r="A456" s="24"/>
      <c r="B456" s="24"/>
      <c r="C456" s="24"/>
      <c r="D456" s="24"/>
      <c r="E456" s="24"/>
      <c r="F456" s="117"/>
      <c r="G456" s="117"/>
      <c r="H456" s="24"/>
      <c r="I456" s="24"/>
      <c r="J456" s="24"/>
      <c r="K456" s="24"/>
      <c r="L456" s="24"/>
      <c r="M456" s="24"/>
      <c r="N456" s="24"/>
      <c r="O456" s="24"/>
      <c r="P456" s="24"/>
      <c r="Q456" s="24"/>
      <c r="R456" s="24"/>
      <c r="S456" s="24"/>
      <c r="T456" s="24"/>
      <c r="U456" s="24"/>
      <c r="V456" s="24"/>
      <c r="W456" s="24"/>
      <c r="X456" s="24"/>
      <c r="Y456" s="24"/>
      <c r="Z456" s="24"/>
      <c r="AA456" s="24"/>
      <c r="AB456" s="24"/>
      <c r="AC456" s="24"/>
    </row>
    <row r="457" spans="1:29" ht="12.9">
      <c r="A457" s="24"/>
      <c r="B457" s="24"/>
      <c r="C457" s="24"/>
      <c r="D457" s="24"/>
      <c r="E457" s="24"/>
      <c r="F457" s="117"/>
      <c r="G457" s="117"/>
      <c r="H457" s="24"/>
      <c r="I457" s="24"/>
      <c r="J457" s="24"/>
      <c r="K457" s="24"/>
      <c r="L457" s="24"/>
      <c r="M457" s="24"/>
      <c r="N457" s="24"/>
      <c r="O457" s="24"/>
      <c r="P457" s="24"/>
      <c r="Q457" s="24"/>
      <c r="R457" s="24"/>
      <c r="S457" s="24"/>
      <c r="T457" s="24"/>
      <c r="U457" s="24"/>
      <c r="V457" s="24"/>
      <c r="W457" s="24"/>
      <c r="X457" s="24"/>
      <c r="Y457" s="24"/>
      <c r="Z457" s="24"/>
      <c r="AA457" s="24"/>
      <c r="AB457" s="24"/>
      <c r="AC457" s="24"/>
    </row>
    <row r="458" spans="1:29" ht="12.9">
      <c r="A458" s="24"/>
      <c r="B458" s="24"/>
      <c r="C458" s="24"/>
      <c r="D458" s="24"/>
      <c r="E458" s="24"/>
      <c r="F458" s="117"/>
      <c r="G458" s="117"/>
      <c r="H458" s="24"/>
      <c r="I458" s="24"/>
      <c r="J458" s="24"/>
      <c r="K458" s="24"/>
      <c r="L458" s="24"/>
      <c r="M458" s="24"/>
      <c r="N458" s="24"/>
      <c r="O458" s="24"/>
      <c r="P458" s="24"/>
      <c r="Q458" s="24"/>
      <c r="R458" s="24"/>
      <c r="S458" s="24"/>
      <c r="T458" s="24"/>
      <c r="U458" s="24"/>
      <c r="V458" s="24"/>
      <c r="W458" s="24"/>
      <c r="X458" s="24"/>
      <c r="Y458" s="24"/>
      <c r="Z458" s="24"/>
      <c r="AA458" s="24"/>
      <c r="AB458" s="24"/>
      <c r="AC458" s="24"/>
    </row>
    <row r="459" spans="1:29" ht="12.9">
      <c r="A459" s="24"/>
      <c r="B459" s="24"/>
      <c r="C459" s="24"/>
      <c r="D459" s="24"/>
      <c r="E459" s="24"/>
      <c r="F459" s="117"/>
      <c r="G459" s="117"/>
      <c r="H459" s="24"/>
      <c r="I459" s="24"/>
      <c r="J459" s="24"/>
      <c r="K459" s="24"/>
      <c r="L459" s="24"/>
      <c r="M459" s="24"/>
      <c r="N459" s="24"/>
      <c r="O459" s="24"/>
      <c r="P459" s="24"/>
      <c r="Q459" s="24"/>
      <c r="R459" s="24"/>
      <c r="S459" s="24"/>
      <c r="T459" s="24"/>
      <c r="U459" s="24"/>
      <c r="V459" s="24"/>
      <c r="W459" s="24"/>
      <c r="X459" s="24"/>
      <c r="Y459" s="24"/>
      <c r="Z459" s="24"/>
      <c r="AA459" s="24"/>
      <c r="AB459" s="24"/>
      <c r="AC459" s="24"/>
    </row>
    <row r="460" spans="1:29" ht="12.9">
      <c r="A460" s="24"/>
      <c r="B460" s="24"/>
      <c r="C460" s="24"/>
      <c r="D460" s="24"/>
      <c r="E460" s="24"/>
      <c r="F460" s="117"/>
      <c r="G460" s="117"/>
      <c r="H460" s="24"/>
      <c r="I460" s="24"/>
      <c r="J460" s="24"/>
      <c r="K460" s="24"/>
      <c r="L460" s="24"/>
      <c r="M460" s="24"/>
      <c r="N460" s="24"/>
      <c r="O460" s="24"/>
      <c r="P460" s="24"/>
      <c r="Q460" s="24"/>
      <c r="R460" s="24"/>
      <c r="S460" s="24"/>
      <c r="T460" s="24"/>
      <c r="U460" s="24"/>
      <c r="V460" s="24"/>
      <c r="W460" s="24"/>
      <c r="X460" s="24"/>
      <c r="Y460" s="24"/>
      <c r="Z460" s="24"/>
      <c r="AA460" s="24"/>
      <c r="AB460" s="24"/>
      <c r="AC460" s="24"/>
    </row>
    <row r="461" spans="1:29" ht="12.9">
      <c r="A461" s="24"/>
      <c r="B461" s="24"/>
      <c r="C461" s="24"/>
      <c r="D461" s="24"/>
      <c r="E461" s="24"/>
      <c r="F461" s="117"/>
      <c r="G461" s="117"/>
      <c r="H461" s="24"/>
      <c r="I461" s="24"/>
      <c r="J461" s="24"/>
      <c r="K461" s="24"/>
      <c r="L461" s="24"/>
      <c r="M461" s="24"/>
      <c r="N461" s="24"/>
      <c r="O461" s="24"/>
      <c r="P461" s="24"/>
      <c r="Q461" s="24"/>
      <c r="R461" s="24"/>
      <c r="S461" s="24"/>
      <c r="T461" s="24"/>
      <c r="U461" s="24"/>
      <c r="V461" s="24"/>
      <c r="W461" s="24"/>
      <c r="X461" s="24"/>
      <c r="Y461" s="24"/>
      <c r="Z461" s="24"/>
      <c r="AA461" s="24"/>
      <c r="AB461" s="24"/>
      <c r="AC461" s="24"/>
    </row>
    <row r="462" spans="1:29" ht="12.9">
      <c r="A462" s="24"/>
      <c r="B462" s="24"/>
      <c r="C462" s="24"/>
      <c r="D462" s="24"/>
      <c r="E462" s="24"/>
      <c r="F462" s="117"/>
      <c r="G462" s="117"/>
      <c r="H462" s="24"/>
      <c r="I462" s="24"/>
      <c r="J462" s="24"/>
      <c r="K462" s="24"/>
      <c r="L462" s="24"/>
      <c r="M462" s="24"/>
      <c r="N462" s="24"/>
      <c r="O462" s="24"/>
      <c r="P462" s="24"/>
      <c r="Q462" s="24"/>
      <c r="R462" s="24"/>
      <c r="S462" s="24"/>
      <c r="T462" s="24"/>
      <c r="U462" s="24"/>
      <c r="V462" s="24"/>
      <c r="W462" s="24"/>
      <c r="X462" s="24"/>
      <c r="Y462" s="24"/>
      <c r="Z462" s="24"/>
      <c r="AA462" s="24"/>
      <c r="AB462" s="24"/>
      <c r="AC462" s="24"/>
    </row>
    <row r="463" spans="1:29" ht="12.9">
      <c r="A463" s="24"/>
      <c r="B463" s="24"/>
      <c r="C463" s="24"/>
      <c r="D463" s="24"/>
      <c r="E463" s="24"/>
      <c r="F463" s="117"/>
      <c r="G463" s="117"/>
      <c r="H463" s="24"/>
      <c r="I463" s="24"/>
      <c r="J463" s="24"/>
      <c r="K463" s="24"/>
      <c r="L463" s="24"/>
      <c r="M463" s="24"/>
      <c r="N463" s="24"/>
      <c r="O463" s="24"/>
      <c r="P463" s="24"/>
      <c r="Q463" s="24"/>
      <c r="R463" s="24"/>
      <c r="S463" s="24"/>
      <c r="T463" s="24"/>
      <c r="U463" s="24"/>
      <c r="V463" s="24"/>
      <c r="W463" s="24"/>
      <c r="X463" s="24"/>
      <c r="Y463" s="24"/>
      <c r="Z463" s="24"/>
      <c r="AA463" s="24"/>
      <c r="AB463" s="24"/>
      <c r="AC463" s="24"/>
    </row>
    <row r="464" spans="1:29" ht="12.9">
      <c r="A464" s="24"/>
      <c r="B464" s="24"/>
      <c r="C464" s="24"/>
      <c r="D464" s="24"/>
      <c r="E464" s="24"/>
      <c r="F464" s="117"/>
      <c r="G464" s="117"/>
      <c r="H464" s="24"/>
      <c r="I464" s="24"/>
      <c r="J464" s="24"/>
      <c r="K464" s="24"/>
      <c r="L464" s="24"/>
      <c r="M464" s="24"/>
      <c r="N464" s="24"/>
      <c r="O464" s="24"/>
      <c r="P464" s="24"/>
      <c r="Q464" s="24"/>
      <c r="R464" s="24"/>
      <c r="S464" s="24"/>
      <c r="T464" s="24"/>
      <c r="U464" s="24"/>
      <c r="V464" s="24"/>
      <c r="W464" s="24"/>
      <c r="X464" s="24"/>
      <c r="Y464" s="24"/>
      <c r="Z464" s="24"/>
      <c r="AA464" s="24"/>
      <c r="AB464" s="24"/>
      <c r="AC464" s="24"/>
    </row>
    <row r="465" spans="1:29" ht="12.9">
      <c r="A465" s="24"/>
      <c r="B465" s="24"/>
      <c r="C465" s="24"/>
      <c r="D465" s="24"/>
      <c r="E465" s="24"/>
      <c r="F465" s="117"/>
      <c r="G465" s="117"/>
      <c r="H465" s="24"/>
      <c r="I465" s="24"/>
      <c r="J465" s="24"/>
      <c r="K465" s="24"/>
      <c r="L465" s="24"/>
      <c r="M465" s="24"/>
      <c r="N465" s="24"/>
      <c r="O465" s="24"/>
      <c r="P465" s="24"/>
      <c r="Q465" s="24"/>
      <c r="R465" s="24"/>
      <c r="S465" s="24"/>
      <c r="T465" s="24"/>
      <c r="U465" s="24"/>
      <c r="V465" s="24"/>
      <c r="W465" s="24"/>
      <c r="X465" s="24"/>
      <c r="Y465" s="24"/>
      <c r="Z465" s="24"/>
      <c r="AA465" s="24"/>
      <c r="AB465" s="24"/>
      <c r="AC465" s="24"/>
    </row>
    <row r="466" spans="1:29" ht="12.9">
      <c r="A466" s="24"/>
      <c r="B466" s="24"/>
      <c r="C466" s="24"/>
      <c r="D466" s="24"/>
      <c r="E466" s="24"/>
      <c r="F466" s="117"/>
      <c r="G466" s="117"/>
      <c r="H466" s="24"/>
      <c r="I466" s="24"/>
      <c r="J466" s="24"/>
      <c r="K466" s="24"/>
      <c r="L466" s="24"/>
      <c r="M466" s="24"/>
      <c r="N466" s="24"/>
      <c r="O466" s="24"/>
      <c r="P466" s="24"/>
      <c r="Q466" s="24"/>
      <c r="R466" s="24"/>
      <c r="S466" s="24"/>
      <c r="T466" s="24"/>
      <c r="U466" s="24"/>
      <c r="V466" s="24"/>
      <c r="W466" s="24"/>
      <c r="X466" s="24"/>
      <c r="Y466" s="24"/>
      <c r="Z466" s="24"/>
      <c r="AA466" s="24"/>
      <c r="AB466" s="24"/>
      <c r="AC466" s="24"/>
    </row>
    <row r="467" spans="1:29" ht="12.9">
      <c r="A467" s="24"/>
      <c r="B467" s="24"/>
      <c r="C467" s="24"/>
      <c r="D467" s="24"/>
      <c r="E467" s="24"/>
      <c r="F467" s="117"/>
      <c r="G467" s="117"/>
      <c r="H467" s="24"/>
      <c r="I467" s="24"/>
      <c r="J467" s="24"/>
      <c r="K467" s="24"/>
      <c r="L467" s="24"/>
      <c r="M467" s="24"/>
      <c r="N467" s="24"/>
      <c r="O467" s="24"/>
      <c r="P467" s="24"/>
      <c r="Q467" s="24"/>
      <c r="R467" s="24"/>
      <c r="S467" s="24"/>
      <c r="T467" s="24"/>
      <c r="U467" s="24"/>
      <c r="V467" s="24"/>
      <c r="W467" s="24"/>
      <c r="X467" s="24"/>
      <c r="Y467" s="24"/>
      <c r="Z467" s="24"/>
      <c r="AA467" s="24"/>
      <c r="AB467" s="24"/>
      <c r="AC467" s="24"/>
    </row>
    <row r="468" spans="1:29" ht="12.9">
      <c r="A468" s="24"/>
      <c r="B468" s="24"/>
      <c r="C468" s="24"/>
      <c r="D468" s="24"/>
      <c r="E468" s="24"/>
      <c r="F468" s="117"/>
      <c r="G468" s="117"/>
      <c r="H468" s="24"/>
      <c r="I468" s="24"/>
      <c r="J468" s="24"/>
      <c r="K468" s="24"/>
      <c r="L468" s="24"/>
      <c r="M468" s="24"/>
      <c r="N468" s="24"/>
      <c r="O468" s="24"/>
      <c r="P468" s="24"/>
      <c r="Q468" s="24"/>
      <c r="R468" s="24"/>
      <c r="S468" s="24"/>
      <c r="T468" s="24"/>
      <c r="U468" s="24"/>
      <c r="V468" s="24"/>
      <c r="W468" s="24"/>
      <c r="X468" s="24"/>
      <c r="Y468" s="24"/>
      <c r="Z468" s="24"/>
      <c r="AA468" s="24"/>
      <c r="AB468" s="24"/>
      <c r="AC468" s="24"/>
    </row>
    <row r="469" spans="1:29" ht="12.9">
      <c r="A469" s="24"/>
      <c r="B469" s="24"/>
      <c r="C469" s="24"/>
      <c r="D469" s="24"/>
      <c r="E469" s="24"/>
      <c r="F469" s="117"/>
      <c r="G469" s="117"/>
      <c r="H469" s="24"/>
      <c r="I469" s="24"/>
      <c r="J469" s="24"/>
      <c r="K469" s="24"/>
      <c r="L469" s="24"/>
      <c r="M469" s="24"/>
      <c r="N469" s="24"/>
      <c r="O469" s="24"/>
      <c r="P469" s="24"/>
      <c r="Q469" s="24"/>
      <c r="R469" s="24"/>
      <c r="S469" s="24"/>
      <c r="T469" s="24"/>
      <c r="U469" s="24"/>
      <c r="V469" s="24"/>
      <c r="W469" s="24"/>
      <c r="X469" s="24"/>
      <c r="Y469" s="24"/>
      <c r="Z469" s="24"/>
      <c r="AA469" s="24"/>
      <c r="AB469" s="24"/>
      <c r="AC469" s="24"/>
    </row>
    <row r="470" spans="1:29" ht="12.9">
      <c r="A470" s="24"/>
      <c r="B470" s="24"/>
      <c r="C470" s="24"/>
      <c r="D470" s="24"/>
      <c r="E470" s="24"/>
      <c r="F470" s="117"/>
      <c r="G470" s="117"/>
      <c r="H470" s="24"/>
      <c r="I470" s="24"/>
      <c r="J470" s="24"/>
      <c r="K470" s="24"/>
      <c r="L470" s="24"/>
      <c r="M470" s="24"/>
      <c r="N470" s="24"/>
      <c r="O470" s="24"/>
      <c r="P470" s="24"/>
      <c r="Q470" s="24"/>
      <c r="R470" s="24"/>
      <c r="S470" s="24"/>
      <c r="T470" s="24"/>
      <c r="U470" s="24"/>
      <c r="V470" s="24"/>
      <c r="W470" s="24"/>
      <c r="X470" s="24"/>
      <c r="Y470" s="24"/>
      <c r="Z470" s="24"/>
      <c r="AA470" s="24"/>
      <c r="AB470" s="24"/>
      <c r="AC470" s="24"/>
    </row>
    <row r="471" spans="1:29" ht="12.9">
      <c r="A471" s="24"/>
      <c r="B471" s="24"/>
      <c r="C471" s="24"/>
      <c r="D471" s="24"/>
      <c r="E471" s="24"/>
      <c r="F471" s="117"/>
      <c r="G471" s="117"/>
      <c r="H471" s="24"/>
      <c r="I471" s="24"/>
      <c r="J471" s="24"/>
      <c r="K471" s="24"/>
      <c r="L471" s="24"/>
      <c r="M471" s="24"/>
      <c r="N471" s="24"/>
      <c r="O471" s="24"/>
      <c r="P471" s="24"/>
      <c r="Q471" s="24"/>
      <c r="R471" s="24"/>
      <c r="S471" s="24"/>
      <c r="T471" s="24"/>
      <c r="U471" s="24"/>
      <c r="V471" s="24"/>
      <c r="W471" s="24"/>
      <c r="X471" s="24"/>
      <c r="Y471" s="24"/>
      <c r="Z471" s="24"/>
      <c r="AA471" s="24"/>
      <c r="AB471" s="24"/>
      <c r="AC471" s="24"/>
    </row>
    <row r="472" spans="1:29" ht="12.9">
      <c r="A472" s="24"/>
      <c r="B472" s="24"/>
      <c r="C472" s="24"/>
      <c r="D472" s="24"/>
      <c r="E472" s="24"/>
      <c r="F472" s="117"/>
      <c r="G472" s="117"/>
      <c r="H472" s="24"/>
      <c r="I472" s="24"/>
      <c r="J472" s="24"/>
      <c r="K472" s="24"/>
      <c r="L472" s="24"/>
      <c r="M472" s="24"/>
      <c r="N472" s="24"/>
      <c r="O472" s="24"/>
      <c r="P472" s="24"/>
      <c r="Q472" s="24"/>
      <c r="R472" s="24"/>
      <c r="S472" s="24"/>
      <c r="T472" s="24"/>
      <c r="U472" s="24"/>
      <c r="V472" s="24"/>
      <c r="W472" s="24"/>
      <c r="X472" s="24"/>
      <c r="Y472" s="24"/>
      <c r="Z472" s="24"/>
      <c r="AA472" s="24"/>
      <c r="AB472" s="24"/>
      <c r="AC472" s="24"/>
    </row>
    <row r="473" spans="1:29" ht="12.9">
      <c r="A473" s="24"/>
      <c r="B473" s="24"/>
      <c r="C473" s="24"/>
      <c r="D473" s="24"/>
      <c r="E473" s="24"/>
      <c r="F473" s="117"/>
      <c r="G473" s="117"/>
      <c r="H473" s="24"/>
      <c r="I473" s="24"/>
      <c r="J473" s="24"/>
      <c r="K473" s="24"/>
      <c r="L473" s="24"/>
      <c r="M473" s="24"/>
      <c r="N473" s="24"/>
      <c r="O473" s="24"/>
      <c r="P473" s="24"/>
      <c r="Q473" s="24"/>
      <c r="R473" s="24"/>
      <c r="S473" s="24"/>
      <c r="T473" s="24"/>
      <c r="U473" s="24"/>
      <c r="V473" s="24"/>
      <c r="W473" s="24"/>
      <c r="X473" s="24"/>
      <c r="Y473" s="24"/>
      <c r="Z473" s="24"/>
      <c r="AA473" s="24"/>
      <c r="AB473" s="24"/>
      <c r="AC473" s="24"/>
    </row>
    <row r="474" spans="1:29" ht="12.9">
      <c r="A474" s="24"/>
      <c r="B474" s="24"/>
      <c r="C474" s="24"/>
      <c r="D474" s="24"/>
      <c r="E474" s="24"/>
      <c r="F474" s="117"/>
      <c r="G474" s="117"/>
      <c r="H474" s="24"/>
      <c r="I474" s="24"/>
      <c r="J474" s="24"/>
      <c r="K474" s="24"/>
      <c r="L474" s="24"/>
      <c r="M474" s="24"/>
      <c r="N474" s="24"/>
      <c r="O474" s="24"/>
      <c r="P474" s="24"/>
      <c r="Q474" s="24"/>
      <c r="R474" s="24"/>
      <c r="S474" s="24"/>
      <c r="T474" s="24"/>
      <c r="U474" s="24"/>
      <c r="V474" s="24"/>
      <c r="W474" s="24"/>
      <c r="X474" s="24"/>
      <c r="Y474" s="24"/>
      <c r="Z474" s="24"/>
      <c r="AA474" s="24"/>
      <c r="AB474" s="24"/>
      <c r="AC474" s="24"/>
    </row>
    <row r="475" spans="1:29" ht="12.9">
      <c r="A475" s="24"/>
      <c r="B475" s="24"/>
      <c r="C475" s="24"/>
      <c r="D475" s="24"/>
      <c r="E475" s="24"/>
      <c r="F475" s="117"/>
      <c r="G475" s="117"/>
      <c r="H475" s="24"/>
      <c r="I475" s="24"/>
      <c r="J475" s="24"/>
      <c r="K475" s="24"/>
      <c r="L475" s="24"/>
      <c r="M475" s="24"/>
      <c r="N475" s="24"/>
      <c r="O475" s="24"/>
      <c r="P475" s="24"/>
      <c r="Q475" s="24"/>
      <c r="R475" s="24"/>
      <c r="S475" s="24"/>
      <c r="T475" s="24"/>
      <c r="U475" s="24"/>
      <c r="V475" s="24"/>
      <c r="W475" s="24"/>
      <c r="X475" s="24"/>
      <c r="Y475" s="24"/>
      <c r="Z475" s="24"/>
      <c r="AA475" s="24"/>
      <c r="AB475" s="24"/>
      <c r="AC475" s="24"/>
    </row>
    <row r="476" spans="1:29" ht="12.9">
      <c r="A476" s="24"/>
      <c r="B476" s="24"/>
      <c r="C476" s="24"/>
      <c r="D476" s="24"/>
      <c r="E476" s="24"/>
      <c r="F476" s="117"/>
      <c r="G476" s="117"/>
      <c r="H476" s="24"/>
      <c r="I476" s="24"/>
      <c r="J476" s="24"/>
      <c r="K476" s="24"/>
      <c r="L476" s="24"/>
      <c r="M476" s="24"/>
      <c r="N476" s="24"/>
      <c r="O476" s="24"/>
      <c r="P476" s="24"/>
      <c r="Q476" s="24"/>
      <c r="R476" s="24"/>
      <c r="S476" s="24"/>
      <c r="T476" s="24"/>
      <c r="U476" s="24"/>
      <c r="V476" s="24"/>
      <c r="W476" s="24"/>
      <c r="X476" s="24"/>
      <c r="Y476" s="24"/>
      <c r="Z476" s="24"/>
      <c r="AA476" s="24"/>
      <c r="AB476" s="24"/>
      <c r="AC476" s="24"/>
    </row>
    <row r="477" spans="1:29" ht="12.9">
      <c r="A477" s="24"/>
      <c r="B477" s="24"/>
      <c r="C477" s="24"/>
      <c r="D477" s="24"/>
      <c r="E477" s="24"/>
      <c r="F477" s="117"/>
      <c r="G477" s="117"/>
      <c r="H477" s="24"/>
      <c r="I477" s="24"/>
      <c r="J477" s="24"/>
      <c r="K477" s="24"/>
      <c r="L477" s="24"/>
      <c r="M477" s="24"/>
      <c r="N477" s="24"/>
      <c r="O477" s="24"/>
      <c r="P477" s="24"/>
      <c r="Q477" s="24"/>
      <c r="R477" s="24"/>
      <c r="S477" s="24"/>
      <c r="T477" s="24"/>
      <c r="U477" s="24"/>
      <c r="V477" s="24"/>
      <c r="W477" s="24"/>
      <c r="X477" s="24"/>
      <c r="Y477" s="24"/>
      <c r="Z477" s="24"/>
      <c r="AA477" s="24"/>
      <c r="AB477" s="24"/>
      <c r="AC477" s="24"/>
    </row>
    <row r="478" spans="1:29" ht="12.9">
      <c r="A478" s="24"/>
      <c r="B478" s="24"/>
      <c r="C478" s="24"/>
      <c r="D478" s="24"/>
      <c r="E478" s="24"/>
      <c r="F478" s="117"/>
      <c r="G478" s="117"/>
      <c r="H478" s="24"/>
      <c r="I478" s="24"/>
      <c r="J478" s="24"/>
      <c r="K478" s="24"/>
      <c r="L478" s="24"/>
      <c r="M478" s="24"/>
      <c r="N478" s="24"/>
      <c r="O478" s="24"/>
      <c r="P478" s="24"/>
      <c r="Q478" s="24"/>
      <c r="R478" s="24"/>
      <c r="S478" s="24"/>
      <c r="T478" s="24"/>
      <c r="U478" s="24"/>
      <c r="V478" s="24"/>
      <c r="W478" s="24"/>
      <c r="X478" s="24"/>
      <c r="Y478" s="24"/>
      <c r="Z478" s="24"/>
      <c r="AA478" s="24"/>
      <c r="AB478" s="24"/>
      <c r="AC478" s="24"/>
    </row>
    <row r="479" spans="1:29" ht="12.9">
      <c r="A479" s="24"/>
      <c r="B479" s="24"/>
      <c r="C479" s="24"/>
      <c r="D479" s="24"/>
      <c r="E479" s="24"/>
      <c r="F479" s="117"/>
      <c r="G479" s="117"/>
      <c r="H479" s="24"/>
      <c r="I479" s="24"/>
      <c r="J479" s="24"/>
      <c r="K479" s="24"/>
      <c r="L479" s="24"/>
      <c r="M479" s="24"/>
      <c r="N479" s="24"/>
      <c r="O479" s="24"/>
      <c r="P479" s="24"/>
      <c r="Q479" s="24"/>
      <c r="R479" s="24"/>
      <c r="S479" s="24"/>
      <c r="T479" s="24"/>
      <c r="U479" s="24"/>
      <c r="V479" s="24"/>
      <c r="W479" s="24"/>
      <c r="X479" s="24"/>
      <c r="Y479" s="24"/>
      <c r="Z479" s="24"/>
      <c r="AA479" s="24"/>
      <c r="AB479" s="24"/>
      <c r="AC479" s="24"/>
    </row>
    <row r="480" spans="1:29" ht="12.9">
      <c r="A480" s="24"/>
      <c r="B480" s="24"/>
      <c r="C480" s="24"/>
      <c r="D480" s="24"/>
      <c r="E480" s="24"/>
      <c r="F480" s="117"/>
      <c r="G480" s="117"/>
      <c r="H480" s="24"/>
      <c r="I480" s="24"/>
      <c r="J480" s="24"/>
      <c r="K480" s="24"/>
      <c r="L480" s="24"/>
      <c r="M480" s="24"/>
      <c r="N480" s="24"/>
      <c r="O480" s="24"/>
      <c r="P480" s="24"/>
      <c r="Q480" s="24"/>
      <c r="R480" s="24"/>
      <c r="S480" s="24"/>
      <c r="T480" s="24"/>
      <c r="U480" s="24"/>
      <c r="V480" s="24"/>
      <c r="W480" s="24"/>
      <c r="X480" s="24"/>
      <c r="Y480" s="24"/>
      <c r="Z480" s="24"/>
      <c r="AA480" s="24"/>
      <c r="AB480" s="24"/>
      <c r="AC480" s="24"/>
    </row>
    <row r="481" spans="1:29" ht="12.9">
      <c r="A481" s="24"/>
      <c r="B481" s="24"/>
      <c r="C481" s="24"/>
      <c r="D481" s="24"/>
      <c r="E481" s="24"/>
      <c r="F481" s="117"/>
      <c r="G481" s="117"/>
      <c r="H481" s="24"/>
      <c r="I481" s="24"/>
      <c r="J481" s="24"/>
      <c r="K481" s="24"/>
      <c r="L481" s="24"/>
      <c r="M481" s="24"/>
      <c r="N481" s="24"/>
      <c r="O481" s="24"/>
      <c r="P481" s="24"/>
      <c r="Q481" s="24"/>
      <c r="R481" s="24"/>
      <c r="S481" s="24"/>
      <c r="T481" s="24"/>
      <c r="U481" s="24"/>
      <c r="V481" s="24"/>
      <c r="W481" s="24"/>
      <c r="X481" s="24"/>
      <c r="Y481" s="24"/>
      <c r="Z481" s="24"/>
      <c r="AA481" s="24"/>
      <c r="AB481" s="24"/>
      <c r="AC481" s="24"/>
    </row>
    <row r="482" spans="1:29" ht="12.9">
      <c r="A482" s="24"/>
      <c r="B482" s="24"/>
      <c r="C482" s="24"/>
      <c r="D482" s="24"/>
      <c r="E482" s="24"/>
      <c r="F482" s="117"/>
      <c r="G482" s="117"/>
      <c r="H482" s="24"/>
      <c r="I482" s="24"/>
      <c r="J482" s="24"/>
      <c r="K482" s="24"/>
      <c r="L482" s="24"/>
      <c r="M482" s="24"/>
      <c r="N482" s="24"/>
      <c r="O482" s="24"/>
      <c r="P482" s="24"/>
      <c r="Q482" s="24"/>
      <c r="R482" s="24"/>
      <c r="S482" s="24"/>
      <c r="T482" s="24"/>
      <c r="U482" s="24"/>
      <c r="V482" s="24"/>
      <c r="W482" s="24"/>
      <c r="X482" s="24"/>
      <c r="Y482" s="24"/>
      <c r="Z482" s="24"/>
      <c r="AA482" s="24"/>
      <c r="AB482" s="24"/>
      <c r="AC482" s="24"/>
    </row>
    <row r="483" spans="1:29" ht="12.9">
      <c r="A483" s="24"/>
      <c r="B483" s="24"/>
      <c r="C483" s="24"/>
      <c r="D483" s="24"/>
      <c r="E483" s="24"/>
      <c r="F483" s="117"/>
      <c r="G483" s="117"/>
      <c r="H483" s="24"/>
      <c r="I483" s="24"/>
      <c r="J483" s="24"/>
      <c r="K483" s="24"/>
      <c r="L483" s="24"/>
      <c r="M483" s="24"/>
      <c r="N483" s="24"/>
      <c r="O483" s="24"/>
      <c r="P483" s="24"/>
      <c r="Q483" s="24"/>
      <c r="R483" s="24"/>
      <c r="S483" s="24"/>
      <c r="T483" s="24"/>
      <c r="U483" s="24"/>
      <c r="V483" s="24"/>
      <c r="W483" s="24"/>
      <c r="X483" s="24"/>
      <c r="Y483" s="24"/>
      <c r="Z483" s="24"/>
      <c r="AA483" s="24"/>
      <c r="AB483" s="24"/>
      <c r="AC483" s="24"/>
    </row>
    <row r="484" spans="1:29" ht="12.9">
      <c r="A484" s="24"/>
      <c r="B484" s="24"/>
      <c r="C484" s="24"/>
      <c r="D484" s="24"/>
      <c r="E484" s="24"/>
      <c r="F484" s="117"/>
      <c r="G484" s="117"/>
      <c r="H484" s="24"/>
      <c r="I484" s="24"/>
      <c r="J484" s="24"/>
      <c r="K484" s="24"/>
      <c r="L484" s="24"/>
      <c r="M484" s="24"/>
      <c r="N484" s="24"/>
      <c r="O484" s="24"/>
      <c r="P484" s="24"/>
      <c r="Q484" s="24"/>
      <c r="R484" s="24"/>
      <c r="S484" s="24"/>
      <c r="T484" s="24"/>
      <c r="U484" s="24"/>
      <c r="V484" s="24"/>
      <c r="W484" s="24"/>
      <c r="X484" s="24"/>
      <c r="Y484" s="24"/>
      <c r="Z484" s="24"/>
      <c r="AA484" s="24"/>
      <c r="AB484" s="24"/>
      <c r="AC484" s="24"/>
    </row>
    <row r="485" spans="1:29" ht="12.9">
      <c r="A485" s="24"/>
      <c r="B485" s="24"/>
      <c r="C485" s="24"/>
      <c r="D485" s="24"/>
      <c r="E485" s="24"/>
      <c r="F485" s="117"/>
      <c r="G485" s="117"/>
      <c r="H485" s="24"/>
      <c r="I485" s="24"/>
      <c r="J485" s="24"/>
      <c r="K485" s="24"/>
      <c r="L485" s="24"/>
      <c r="M485" s="24"/>
      <c r="N485" s="24"/>
      <c r="O485" s="24"/>
      <c r="P485" s="24"/>
      <c r="Q485" s="24"/>
      <c r="R485" s="24"/>
      <c r="S485" s="24"/>
      <c r="T485" s="24"/>
      <c r="U485" s="24"/>
      <c r="V485" s="24"/>
      <c r="W485" s="24"/>
      <c r="X485" s="24"/>
      <c r="Y485" s="24"/>
      <c r="Z485" s="24"/>
      <c r="AA485" s="24"/>
      <c r="AB485" s="24"/>
      <c r="AC485" s="24"/>
    </row>
    <row r="486" spans="1:29" ht="12.9">
      <c r="A486" s="24"/>
      <c r="B486" s="24"/>
      <c r="C486" s="24"/>
      <c r="D486" s="24"/>
      <c r="E486" s="24"/>
      <c r="F486" s="117"/>
      <c r="G486" s="117"/>
      <c r="H486" s="24"/>
      <c r="I486" s="24"/>
      <c r="J486" s="24"/>
      <c r="K486" s="24"/>
      <c r="L486" s="24"/>
      <c r="M486" s="24"/>
      <c r="N486" s="24"/>
      <c r="O486" s="24"/>
      <c r="P486" s="24"/>
      <c r="Q486" s="24"/>
      <c r="R486" s="24"/>
      <c r="S486" s="24"/>
      <c r="T486" s="24"/>
      <c r="U486" s="24"/>
      <c r="V486" s="24"/>
      <c r="W486" s="24"/>
      <c r="X486" s="24"/>
      <c r="Y486" s="24"/>
      <c r="Z486" s="24"/>
      <c r="AA486" s="24"/>
      <c r="AB486" s="24"/>
      <c r="AC486" s="24"/>
    </row>
    <row r="487" spans="1:29" ht="12.9">
      <c r="A487" s="24"/>
      <c r="B487" s="24"/>
      <c r="C487" s="24"/>
      <c r="D487" s="24"/>
      <c r="E487" s="24"/>
      <c r="F487" s="117"/>
      <c r="G487" s="117"/>
      <c r="H487" s="24"/>
      <c r="I487" s="24"/>
      <c r="J487" s="24"/>
      <c r="K487" s="24"/>
      <c r="L487" s="24"/>
      <c r="M487" s="24"/>
      <c r="N487" s="24"/>
      <c r="O487" s="24"/>
      <c r="P487" s="24"/>
      <c r="Q487" s="24"/>
      <c r="R487" s="24"/>
      <c r="S487" s="24"/>
      <c r="T487" s="24"/>
      <c r="U487" s="24"/>
      <c r="V487" s="24"/>
      <c r="W487" s="24"/>
      <c r="X487" s="24"/>
      <c r="Y487" s="24"/>
      <c r="Z487" s="24"/>
      <c r="AA487" s="24"/>
      <c r="AB487" s="24"/>
      <c r="AC487" s="24"/>
    </row>
    <row r="488" spans="1:29" ht="12.9">
      <c r="A488" s="24"/>
      <c r="B488" s="24"/>
      <c r="C488" s="24"/>
      <c r="D488" s="24"/>
      <c r="E488" s="24"/>
      <c r="F488" s="117"/>
      <c r="G488" s="117"/>
      <c r="H488" s="24"/>
      <c r="I488" s="24"/>
      <c r="J488" s="24"/>
      <c r="K488" s="24"/>
      <c r="L488" s="24"/>
      <c r="M488" s="24"/>
      <c r="N488" s="24"/>
      <c r="O488" s="24"/>
      <c r="P488" s="24"/>
      <c r="Q488" s="24"/>
      <c r="R488" s="24"/>
      <c r="S488" s="24"/>
      <c r="T488" s="24"/>
      <c r="U488" s="24"/>
      <c r="V488" s="24"/>
      <c r="W488" s="24"/>
      <c r="X488" s="24"/>
      <c r="Y488" s="24"/>
      <c r="Z488" s="24"/>
      <c r="AA488" s="24"/>
      <c r="AB488" s="24"/>
      <c r="AC488" s="24"/>
    </row>
    <row r="489" spans="1:29" ht="12.9">
      <c r="A489" s="24"/>
      <c r="B489" s="24"/>
      <c r="C489" s="24"/>
      <c r="D489" s="24"/>
      <c r="E489" s="24"/>
      <c r="F489" s="117"/>
      <c r="G489" s="117"/>
      <c r="H489" s="24"/>
      <c r="I489" s="24"/>
      <c r="J489" s="24"/>
      <c r="K489" s="24"/>
      <c r="L489" s="24"/>
      <c r="M489" s="24"/>
      <c r="N489" s="24"/>
      <c r="O489" s="24"/>
      <c r="P489" s="24"/>
      <c r="Q489" s="24"/>
      <c r="R489" s="24"/>
      <c r="S489" s="24"/>
      <c r="T489" s="24"/>
      <c r="U489" s="24"/>
      <c r="V489" s="24"/>
      <c r="W489" s="24"/>
      <c r="X489" s="24"/>
      <c r="Y489" s="24"/>
      <c r="Z489" s="24"/>
      <c r="AA489" s="24"/>
      <c r="AB489" s="24"/>
      <c r="AC489" s="24"/>
    </row>
    <row r="490" spans="1:29" ht="12.9">
      <c r="A490" s="24"/>
      <c r="B490" s="24"/>
      <c r="C490" s="24"/>
      <c r="D490" s="24"/>
      <c r="E490" s="24"/>
      <c r="F490" s="117"/>
      <c r="G490" s="117"/>
      <c r="H490" s="24"/>
      <c r="I490" s="24"/>
      <c r="J490" s="24"/>
      <c r="K490" s="24"/>
      <c r="L490" s="24"/>
      <c r="M490" s="24"/>
      <c r="N490" s="24"/>
      <c r="O490" s="24"/>
      <c r="P490" s="24"/>
      <c r="Q490" s="24"/>
      <c r="R490" s="24"/>
      <c r="S490" s="24"/>
      <c r="T490" s="24"/>
      <c r="U490" s="24"/>
      <c r="V490" s="24"/>
      <c r="W490" s="24"/>
      <c r="X490" s="24"/>
      <c r="Y490" s="24"/>
      <c r="Z490" s="24"/>
      <c r="AA490" s="24"/>
      <c r="AB490" s="24"/>
      <c r="AC490" s="24"/>
    </row>
    <row r="491" spans="1:29" ht="12.9">
      <c r="A491" s="24"/>
      <c r="B491" s="24"/>
      <c r="C491" s="24"/>
      <c r="D491" s="24"/>
      <c r="E491" s="24"/>
      <c r="F491" s="117"/>
      <c r="G491" s="117"/>
      <c r="H491" s="24"/>
      <c r="I491" s="24"/>
      <c r="J491" s="24"/>
      <c r="K491" s="24"/>
      <c r="L491" s="24"/>
      <c r="M491" s="24"/>
      <c r="N491" s="24"/>
      <c r="O491" s="24"/>
      <c r="P491" s="24"/>
      <c r="Q491" s="24"/>
      <c r="R491" s="24"/>
      <c r="S491" s="24"/>
      <c r="T491" s="24"/>
      <c r="U491" s="24"/>
      <c r="V491" s="24"/>
      <c r="W491" s="24"/>
      <c r="X491" s="24"/>
      <c r="Y491" s="24"/>
      <c r="Z491" s="24"/>
      <c r="AA491" s="24"/>
      <c r="AB491" s="24"/>
      <c r="AC491" s="24"/>
    </row>
    <row r="492" spans="1:29" ht="12.9">
      <c r="A492" s="24"/>
      <c r="B492" s="24"/>
      <c r="C492" s="24"/>
      <c r="D492" s="24"/>
      <c r="E492" s="24"/>
      <c r="F492" s="117"/>
      <c r="G492" s="117"/>
      <c r="H492" s="24"/>
      <c r="I492" s="24"/>
      <c r="J492" s="24"/>
      <c r="K492" s="24"/>
      <c r="L492" s="24"/>
      <c r="M492" s="24"/>
      <c r="N492" s="24"/>
      <c r="O492" s="24"/>
      <c r="P492" s="24"/>
      <c r="Q492" s="24"/>
      <c r="R492" s="24"/>
      <c r="S492" s="24"/>
      <c r="T492" s="24"/>
      <c r="U492" s="24"/>
      <c r="V492" s="24"/>
      <c r="W492" s="24"/>
      <c r="X492" s="24"/>
      <c r="Y492" s="24"/>
      <c r="Z492" s="24"/>
      <c r="AA492" s="24"/>
      <c r="AB492" s="24"/>
      <c r="AC492" s="24"/>
    </row>
    <row r="493" spans="1:29" ht="12.9">
      <c r="A493" s="24"/>
      <c r="B493" s="24"/>
      <c r="C493" s="24"/>
      <c r="D493" s="24"/>
      <c r="E493" s="24"/>
      <c r="F493" s="117"/>
      <c r="G493" s="117"/>
      <c r="H493" s="24"/>
      <c r="I493" s="24"/>
      <c r="J493" s="24"/>
      <c r="K493" s="24"/>
      <c r="L493" s="24"/>
      <c r="M493" s="24"/>
      <c r="N493" s="24"/>
      <c r="O493" s="24"/>
      <c r="P493" s="24"/>
      <c r="Q493" s="24"/>
      <c r="R493" s="24"/>
      <c r="S493" s="24"/>
      <c r="T493" s="24"/>
      <c r="U493" s="24"/>
      <c r="V493" s="24"/>
      <c r="W493" s="24"/>
      <c r="X493" s="24"/>
      <c r="Y493" s="24"/>
      <c r="Z493" s="24"/>
      <c r="AA493" s="24"/>
      <c r="AB493" s="24"/>
      <c r="AC493" s="24"/>
    </row>
    <row r="494" spans="1:29" ht="12.9">
      <c r="A494" s="24"/>
      <c r="B494" s="24"/>
      <c r="C494" s="24"/>
      <c r="D494" s="24"/>
      <c r="E494" s="24"/>
      <c r="F494" s="117"/>
      <c r="G494" s="117"/>
      <c r="H494" s="24"/>
      <c r="I494" s="24"/>
      <c r="J494" s="24"/>
      <c r="K494" s="24"/>
      <c r="L494" s="24"/>
      <c r="M494" s="24"/>
      <c r="N494" s="24"/>
      <c r="O494" s="24"/>
      <c r="P494" s="24"/>
      <c r="Q494" s="24"/>
      <c r="R494" s="24"/>
      <c r="S494" s="24"/>
      <c r="T494" s="24"/>
      <c r="U494" s="24"/>
      <c r="V494" s="24"/>
      <c r="W494" s="24"/>
      <c r="X494" s="24"/>
      <c r="Y494" s="24"/>
      <c r="Z494" s="24"/>
      <c r="AA494" s="24"/>
      <c r="AB494" s="24"/>
      <c r="AC494" s="24"/>
    </row>
    <row r="495" spans="1:29" ht="12.9">
      <c r="A495" s="24"/>
      <c r="B495" s="24"/>
      <c r="C495" s="24"/>
      <c r="D495" s="24"/>
      <c r="E495" s="24"/>
      <c r="F495" s="117"/>
      <c r="G495" s="117"/>
      <c r="H495" s="24"/>
      <c r="I495" s="24"/>
      <c r="J495" s="24"/>
      <c r="K495" s="24"/>
      <c r="L495" s="24"/>
      <c r="M495" s="24"/>
      <c r="N495" s="24"/>
      <c r="O495" s="24"/>
      <c r="P495" s="24"/>
      <c r="Q495" s="24"/>
      <c r="R495" s="24"/>
      <c r="S495" s="24"/>
      <c r="T495" s="24"/>
      <c r="U495" s="24"/>
      <c r="V495" s="24"/>
      <c r="W495" s="24"/>
      <c r="X495" s="24"/>
      <c r="Y495" s="24"/>
      <c r="Z495" s="24"/>
      <c r="AA495" s="24"/>
      <c r="AB495" s="24"/>
      <c r="AC495" s="24"/>
    </row>
    <row r="496" spans="1:29" ht="12.9">
      <c r="A496" s="24"/>
      <c r="B496" s="24"/>
      <c r="C496" s="24"/>
      <c r="D496" s="24"/>
      <c r="E496" s="24"/>
      <c r="F496" s="117"/>
      <c r="G496" s="117"/>
      <c r="H496" s="24"/>
      <c r="I496" s="24"/>
      <c r="J496" s="24"/>
      <c r="K496" s="24"/>
      <c r="L496" s="24"/>
      <c r="M496" s="24"/>
      <c r="N496" s="24"/>
      <c r="O496" s="24"/>
      <c r="P496" s="24"/>
      <c r="Q496" s="24"/>
      <c r="R496" s="24"/>
      <c r="S496" s="24"/>
      <c r="T496" s="24"/>
      <c r="U496" s="24"/>
      <c r="V496" s="24"/>
      <c r="W496" s="24"/>
      <c r="X496" s="24"/>
      <c r="Y496" s="24"/>
      <c r="Z496" s="24"/>
      <c r="AA496" s="24"/>
      <c r="AB496" s="24"/>
      <c r="AC496" s="24"/>
    </row>
    <row r="497" spans="1:29" ht="12.9">
      <c r="A497" s="24"/>
      <c r="B497" s="24"/>
      <c r="C497" s="24"/>
      <c r="D497" s="24"/>
      <c r="E497" s="24"/>
      <c r="F497" s="117"/>
      <c r="G497" s="117"/>
      <c r="H497" s="24"/>
      <c r="I497" s="24"/>
      <c r="J497" s="24"/>
      <c r="K497" s="24"/>
      <c r="L497" s="24"/>
      <c r="M497" s="24"/>
      <c r="N497" s="24"/>
      <c r="O497" s="24"/>
      <c r="P497" s="24"/>
      <c r="Q497" s="24"/>
      <c r="R497" s="24"/>
      <c r="S497" s="24"/>
      <c r="T497" s="24"/>
      <c r="U497" s="24"/>
      <c r="V497" s="24"/>
      <c r="W497" s="24"/>
      <c r="X497" s="24"/>
      <c r="Y497" s="24"/>
      <c r="Z497" s="24"/>
      <c r="AA497" s="24"/>
      <c r="AB497" s="24"/>
      <c r="AC497" s="24"/>
    </row>
    <row r="498" spans="1:29" ht="12.9">
      <c r="A498" s="24"/>
      <c r="B498" s="24"/>
      <c r="C498" s="24"/>
      <c r="D498" s="24"/>
      <c r="E498" s="24"/>
      <c r="F498" s="117"/>
      <c r="G498" s="117"/>
      <c r="H498" s="24"/>
      <c r="I498" s="24"/>
      <c r="J498" s="24"/>
      <c r="K498" s="24"/>
      <c r="L498" s="24"/>
      <c r="M498" s="24"/>
      <c r="N498" s="24"/>
      <c r="O498" s="24"/>
      <c r="P498" s="24"/>
      <c r="Q498" s="24"/>
      <c r="R498" s="24"/>
      <c r="S498" s="24"/>
      <c r="T498" s="24"/>
      <c r="U498" s="24"/>
      <c r="V498" s="24"/>
      <c r="W498" s="24"/>
      <c r="X498" s="24"/>
      <c r="Y498" s="24"/>
      <c r="Z498" s="24"/>
      <c r="AA498" s="24"/>
      <c r="AB498" s="24"/>
      <c r="AC498" s="24"/>
    </row>
    <row r="499" spans="1:29" ht="12.9">
      <c r="A499" s="24"/>
      <c r="B499" s="24"/>
      <c r="C499" s="24"/>
      <c r="D499" s="24"/>
      <c r="E499" s="24"/>
      <c r="F499" s="117"/>
      <c r="G499" s="117"/>
      <c r="H499" s="24"/>
      <c r="I499" s="24"/>
      <c r="J499" s="24"/>
      <c r="K499" s="24"/>
      <c r="L499" s="24"/>
      <c r="M499" s="24"/>
      <c r="N499" s="24"/>
      <c r="O499" s="24"/>
      <c r="P499" s="24"/>
      <c r="Q499" s="24"/>
      <c r="R499" s="24"/>
      <c r="S499" s="24"/>
      <c r="T499" s="24"/>
      <c r="U499" s="24"/>
      <c r="V499" s="24"/>
      <c r="W499" s="24"/>
      <c r="X499" s="24"/>
      <c r="Y499" s="24"/>
      <c r="Z499" s="24"/>
      <c r="AA499" s="24"/>
      <c r="AB499" s="24"/>
      <c r="AC499" s="24"/>
    </row>
    <row r="500" spans="1:29" ht="12.9">
      <c r="A500" s="24"/>
      <c r="B500" s="24"/>
      <c r="C500" s="24"/>
      <c r="D500" s="24"/>
      <c r="E500" s="24"/>
      <c r="F500" s="117"/>
      <c r="G500" s="117"/>
      <c r="H500" s="24"/>
      <c r="I500" s="24"/>
      <c r="J500" s="24"/>
      <c r="K500" s="24"/>
      <c r="L500" s="24"/>
      <c r="M500" s="24"/>
      <c r="N500" s="24"/>
      <c r="O500" s="24"/>
      <c r="P500" s="24"/>
      <c r="Q500" s="24"/>
      <c r="R500" s="24"/>
      <c r="S500" s="24"/>
      <c r="T500" s="24"/>
      <c r="U500" s="24"/>
      <c r="V500" s="24"/>
      <c r="W500" s="24"/>
      <c r="X500" s="24"/>
      <c r="Y500" s="24"/>
      <c r="Z500" s="24"/>
      <c r="AA500" s="24"/>
      <c r="AB500" s="24"/>
      <c r="AC500" s="24"/>
    </row>
    <row r="501" spans="1:29" ht="12.9">
      <c r="A501" s="24"/>
      <c r="B501" s="24"/>
      <c r="C501" s="24"/>
      <c r="D501" s="24"/>
      <c r="E501" s="24"/>
      <c r="F501" s="117"/>
      <c r="G501" s="117"/>
      <c r="H501" s="24"/>
      <c r="I501" s="24"/>
      <c r="J501" s="24"/>
      <c r="K501" s="24"/>
      <c r="L501" s="24"/>
      <c r="M501" s="24"/>
      <c r="N501" s="24"/>
      <c r="O501" s="24"/>
      <c r="P501" s="24"/>
      <c r="Q501" s="24"/>
      <c r="R501" s="24"/>
      <c r="S501" s="24"/>
      <c r="T501" s="24"/>
      <c r="U501" s="24"/>
      <c r="V501" s="24"/>
      <c r="W501" s="24"/>
      <c r="X501" s="24"/>
      <c r="Y501" s="24"/>
      <c r="Z501" s="24"/>
      <c r="AA501" s="24"/>
      <c r="AB501" s="24"/>
      <c r="AC501" s="24"/>
    </row>
    <row r="502" spans="1:29" ht="12.9">
      <c r="A502" s="24"/>
      <c r="B502" s="24"/>
      <c r="C502" s="24"/>
      <c r="D502" s="24"/>
      <c r="E502" s="24"/>
      <c r="F502" s="117"/>
      <c r="G502" s="117"/>
      <c r="H502" s="24"/>
      <c r="I502" s="24"/>
      <c r="J502" s="24"/>
      <c r="K502" s="24"/>
      <c r="L502" s="24"/>
      <c r="M502" s="24"/>
      <c r="N502" s="24"/>
      <c r="O502" s="24"/>
      <c r="P502" s="24"/>
      <c r="Q502" s="24"/>
      <c r="R502" s="24"/>
      <c r="S502" s="24"/>
      <c r="T502" s="24"/>
      <c r="U502" s="24"/>
      <c r="V502" s="24"/>
      <c r="W502" s="24"/>
      <c r="X502" s="24"/>
      <c r="Y502" s="24"/>
      <c r="Z502" s="24"/>
      <c r="AA502" s="24"/>
      <c r="AB502" s="24"/>
      <c r="AC502" s="24"/>
    </row>
    <row r="503" spans="1:29" ht="12.9">
      <c r="A503" s="24"/>
      <c r="B503" s="24"/>
      <c r="C503" s="24"/>
      <c r="D503" s="24"/>
      <c r="E503" s="24"/>
      <c r="F503" s="117"/>
      <c r="G503" s="117"/>
      <c r="H503" s="24"/>
      <c r="I503" s="24"/>
      <c r="J503" s="24"/>
      <c r="K503" s="24"/>
      <c r="L503" s="24"/>
      <c r="M503" s="24"/>
      <c r="N503" s="24"/>
      <c r="O503" s="24"/>
      <c r="P503" s="24"/>
      <c r="Q503" s="24"/>
      <c r="R503" s="24"/>
      <c r="S503" s="24"/>
      <c r="T503" s="24"/>
      <c r="U503" s="24"/>
      <c r="V503" s="24"/>
      <c r="W503" s="24"/>
      <c r="X503" s="24"/>
      <c r="Y503" s="24"/>
      <c r="Z503" s="24"/>
      <c r="AA503" s="24"/>
      <c r="AB503" s="24"/>
      <c r="AC503" s="24"/>
    </row>
    <row r="504" spans="1:29" ht="12.9">
      <c r="A504" s="24"/>
      <c r="B504" s="24"/>
      <c r="C504" s="24"/>
      <c r="D504" s="24"/>
      <c r="E504" s="24"/>
      <c r="F504" s="117"/>
      <c r="G504" s="117"/>
      <c r="H504" s="24"/>
      <c r="I504" s="24"/>
      <c r="J504" s="24"/>
      <c r="K504" s="24"/>
      <c r="L504" s="24"/>
      <c r="M504" s="24"/>
      <c r="N504" s="24"/>
      <c r="O504" s="24"/>
      <c r="P504" s="24"/>
      <c r="Q504" s="24"/>
      <c r="R504" s="24"/>
      <c r="S504" s="24"/>
      <c r="T504" s="24"/>
      <c r="U504" s="24"/>
      <c r="V504" s="24"/>
      <c r="W504" s="24"/>
      <c r="X504" s="24"/>
      <c r="Y504" s="24"/>
      <c r="Z504" s="24"/>
      <c r="AA504" s="24"/>
      <c r="AB504" s="24"/>
      <c r="AC504" s="24"/>
    </row>
    <row r="505" spans="1:29" ht="12.9">
      <c r="A505" s="24"/>
      <c r="B505" s="24"/>
      <c r="C505" s="24"/>
      <c r="D505" s="24"/>
      <c r="E505" s="24"/>
      <c r="F505" s="117"/>
      <c r="G505" s="117"/>
      <c r="H505" s="24"/>
      <c r="I505" s="24"/>
      <c r="J505" s="24"/>
      <c r="K505" s="24"/>
      <c r="L505" s="24"/>
      <c r="M505" s="24"/>
      <c r="N505" s="24"/>
      <c r="O505" s="24"/>
      <c r="P505" s="24"/>
      <c r="Q505" s="24"/>
      <c r="R505" s="24"/>
      <c r="S505" s="24"/>
      <c r="T505" s="24"/>
      <c r="U505" s="24"/>
      <c r="V505" s="24"/>
      <c r="W505" s="24"/>
      <c r="X505" s="24"/>
      <c r="Y505" s="24"/>
      <c r="Z505" s="24"/>
      <c r="AA505" s="24"/>
      <c r="AB505" s="24"/>
      <c r="AC505" s="24"/>
    </row>
    <row r="506" spans="1:29" ht="12.9">
      <c r="A506" s="24"/>
      <c r="B506" s="24"/>
      <c r="C506" s="24"/>
      <c r="D506" s="24"/>
      <c r="E506" s="24"/>
      <c r="F506" s="117"/>
      <c r="G506" s="117"/>
      <c r="H506" s="24"/>
      <c r="I506" s="24"/>
      <c r="J506" s="24"/>
      <c r="K506" s="24"/>
      <c r="L506" s="24"/>
      <c r="M506" s="24"/>
      <c r="N506" s="24"/>
      <c r="O506" s="24"/>
      <c r="P506" s="24"/>
      <c r="Q506" s="24"/>
      <c r="R506" s="24"/>
      <c r="S506" s="24"/>
      <c r="T506" s="24"/>
      <c r="U506" s="24"/>
      <c r="V506" s="24"/>
      <c r="W506" s="24"/>
      <c r="X506" s="24"/>
      <c r="Y506" s="24"/>
      <c r="Z506" s="24"/>
      <c r="AA506" s="24"/>
      <c r="AB506" s="24"/>
      <c r="AC506" s="24"/>
    </row>
    <row r="507" spans="1:29" ht="12.9">
      <c r="A507" s="24"/>
      <c r="B507" s="24"/>
      <c r="C507" s="24"/>
      <c r="D507" s="24"/>
      <c r="E507" s="24"/>
      <c r="F507" s="117"/>
      <c r="G507" s="117"/>
      <c r="H507" s="24"/>
      <c r="I507" s="24"/>
      <c r="J507" s="24"/>
      <c r="K507" s="24"/>
      <c r="L507" s="24"/>
      <c r="M507" s="24"/>
      <c r="N507" s="24"/>
      <c r="O507" s="24"/>
      <c r="P507" s="24"/>
      <c r="Q507" s="24"/>
      <c r="R507" s="24"/>
      <c r="S507" s="24"/>
      <c r="T507" s="24"/>
      <c r="U507" s="24"/>
      <c r="V507" s="24"/>
      <c r="W507" s="24"/>
      <c r="X507" s="24"/>
      <c r="Y507" s="24"/>
      <c r="Z507" s="24"/>
      <c r="AA507" s="24"/>
      <c r="AB507" s="24"/>
      <c r="AC507" s="24"/>
    </row>
    <row r="508" spans="1:29" ht="12.9">
      <c r="A508" s="24"/>
      <c r="B508" s="24"/>
      <c r="C508" s="24"/>
      <c r="D508" s="24"/>
      <c r="E508" s="24"/>
      <c r="F508" s="117"/>
      <c r="G508" s="117"/>
      <c r="H508" s="24"/>
      <c r="I508" s="24"/>
      <c r="J508" s="24"/>
      <c r="K508" s="24"/>
      <c r="L508" s="24"/>
      <c r="M508" s="24"/>
      <c r="N508" s="24"/>
      <c r="O508" s="24"/>
      <c r="P508" s="24"/>
      <c r="Q508" s="24"/>
      <c r="R508" s="24"/>
      <c r="S508" s="24"/>
      <c r="T508" s="24"/>
      <c r="U508" s="24"/>
      <c r="V508" s="24"/>
      <c r="W508" s="24"/>
      <c r="X508" s="24"/>
      <c r="Y508" s="24"/>
      <c r="Z508" s="24"/>
      <c r="AA508" s="24"/>
      <c r="AB508" s="24"/>
      <c r="AC508" s="24"/>
    </row>
    <row r="509" spans="1:29" ht="12.9">
      <c r="A509" s="24"/>
      <c r="B509" s="24"/>
      <c r="C509" s="24"/>
      <c r="D509" s="24"/>
      <c r="E509" s="24"/>
      <c r="F509" s="117"/>
      <c r="G509" s="117"/>
      <c r="H509" s="24"/>
      <c r="I509" s="24"/>
      <c r="J509" s="24"/>
      <c r="K509" s="24"/>
      <c r="L509" s="24"/>
      <c r="M509" s="24"/>
      <c r="N509" s="24"/>
      <c r="O509" s="24"/>
      <c r="P509" s="24"/>
      <c r="Q509" s="24"/>
      <c r="R509" s="24"/>
      <c r="S509" s="24"/>
      <c r="T509" s="24"/>
      <c r="U509" s="24"/>
      <c r="V509" s="24"/>
      <c r="W509" s="24"/>
      <c r="X509" s="24"/>
      <c r="Y509" s="24"/>
      <c r="Z509" s="24"/>
      <c r="AA509" s="24"/>
      <c r="AB509" s="24"/>
      <c r="AC509" s="24"/>
    </row>
    <row r="510" spans="1:29" ht="12.9">
      <c r="A510" s="24"/>
      <c r="B510" s="24"/>
      <c r="C510" s="24"/>
      <c r="D510" s="24"/>
      <c r="E510" s="24"/>
      <c r="F510" s="117"/>
      <c r="G510" s="117"/>
      <c r="H510" s="24"/>
      <c r="I510" s="24"/>
      <c r="J510" s="24"/>
      <c r="K510" s="24"/>
      <c r="L510" s="24"/>
      <c r="M510" s="24"/>
      <c r="N510" s="24"/>
      <c r="O510" s="24"/>
      <c r="P510" s="24"/>
      <c r="Q510" s="24"/>
      <c r="R510" s="24"/>
      <c r="S510" s="24"/>
      <c r="T510" s="24"/>
      <c r="U510" s="24"/>
      <c r="V510" s="24"/>
      <c r="W510" s="24"/>
      <c r="X510" s="24"/>
      <c r="Y510" s="24"/>
      <c r="Z510" s="24"/>
      <c r="AA510" s="24"/>
      <c r="AB510" s="24"/>
      <c r="AC510" s="24"/>
    </row>
    <row r="511" spans="1:29" ht="12.9">
      <c r="A511" s="24"/>
      <c r="B511" s="24"/>
      <c r="C511" s="24"/>
      <c r="D511" s="24"/>
      <c r="E511" s="24"/>
      <c r="F511" s="117"/>
      <c r="G511" s="117"/>
      <c r="H511" s="24"/>
      <c r="I511" s="24"/>
      <c r="J511" s="24"/>
      <c r="K511" s="24"/>
      <c r="L511" s="24"/>
      <c r="M511" s="24"/>
      <c r="N511" s="24"/>
      <c r="O511" s="24"/>
      <c r="P511" s="24"/>
      <c r="Q511" s="24"/>
      <c r="R511" s="24"/>
      <c r="S511" s="24"/>
      <c r="T511" s="24"/>
      <c r="U511" s="24"/>
      <c r="V511" s="24"/>
      <c r="W511" s="24"/>
      <c r="X511" s="24"/>
      <c r="Y511" s="24"/>
      <c r="Z511" s="24"/>
      <c r="AA511" s="24"/>
      <c r="AB511" s="24"/>
      <c r="AC511" s="24"/>
    </row>
    <row r="512" spans="1:29" ht="12.9">
      <c r="A512" s="24"/>
      <c r="B512" s="24"/>
      <c r="C512" s="24"/>
      <c r="D512" s="24"/>
      <c r="E512" s="24"/>
      <c r="F512" s="117"/>
      <c r="G512" s="117"/>
      <c r="H512" s="24"/>
      <c r="I512" s="24"/>
      <c r="J512" s="24"/>
      <c r="K512" s="24"/>
      <c r="L512" s="24"/>
      <c r="M512" s="24"/>
      <c r="N512" s="24"/>
      <c r="O512" s="24"/>
      <c r="P512" s="24"/>
      <c r="Q512" s="24"/>
      <c r="R512" s="24"/>
      <c r="S512" s="24"/>
      <c r="T512" s="24"/>
      <c r="U512" s="24"/>
      <c r="V512" s="24"/>
      <c r="W512" s="24"/>
      <c r="X512" s="24"/>
      <c r="Y512" s="24"/>
      <c r="Z512" s="24"/>
      <c r="AA512" s="24"/>
      <c r="AB512" s="24"/>
      <c r="AC512" s="24"/>
    </row>
    <row r="513" spans="1:29" ht="12.9">
      <c r="A513" s="24"/>
      <c r="B513" s="24"/>
      <c r="C513" s="24"/>
      <c r="D513" s="24"/>
      <c r="E513" s="24"/>
      <c r="F513" s="117"/>
      <c r="G513" s="117"/>
      <c r="H513" s="24"/>
      <c r="I513" s="24"/>
      <c r="J513" s="24"/>
      <c r="K513" s="24"/>
      <c r="L513" s="24"/>
      <c r="M513" s="24"/>
      <c r="N513" s="24"/>
      <c r="O513" s="24"/>
      <c r="P513" s="24"/>
      <c r="Q513" s="24"/>
      <c r="R513" s="24"/>
      <c r="S513" s="24"/>
      <c r="T513" s="24"/>
      <c r="U513" s="24"/>
      <c r="V513" s="24"/>
      <c r="W513" s="24"/>
      <c r="X513" s="24"/>
      <c r="Y513" s="24"/>
      <c r="Z513" s="24"/>
      <c r="AA513" s="24"/>
      <c r="AB513" s="24"/>
      <c r="AC513" s="24"/>
    </row>
    <row r="514" spans="1:29" ht="12.9">
      <c r="A514" s="24"/>
      <c r="B514" s="24"/>
      <c r="C514" s="24"/>
      <c r="D514" s="24"/>
      <c r="E514" s="24"/>
      <c r="F514" s="117"/>
      <c r="G514" s="117"/>
      <c r="H514" s="24"/>
      <c r="I514" s="24"/>
      <c r="J514" s="24"/>
      <c r="K514" s="24"/>
      <c r="L514" s="24"/>
      <c r="M514" s="24"/>
      <c r="N514" s="24"/>
      <c r="O514" s="24"/>
      <c r="P514" s="24"/>
      <c r="Q514" s="24"/>
      <c r="R514" s="24"/>
      <c r="S514" s="24"/>
      <c r="T514" s="24"/>
      <c r="U514" s="24"/>
      <c r="V514" s="24"/>
      <c r="W514" s="24"/>
      <c r="X514" s="24"/>
      <c r="Y514" s="24"/>
      <c r="Z514" s="24"/>
      <c r="AA514" s="24"/>
      <c r="AB514" s="24"/>
      <c r="AC514" s="24"/>
    </row>
    <row r="515" spans="1:29" ht="12.9">
      <c r="A515" s="24"/>
      <c r="B515" s="24"/>
      <c r="C515" s="24"/>
      <c r="D515" s="24"/>
      <c r="E515" s="24"/>
      <c r="F515" s="117"/>
      <c r="G515" s="117"/>
      <c r="H515" s="24"/>
      <c r="I515" s="24"/>
      <c r="J515" s="24"/>
      <c r="K515" s="24"/>
      <c r="L515" s="24"/>
      <c r="M515" s="24"/>
      <c r="N515" s="24"/>
      <c r="O515" s="24"/>
      <c r="P515" s="24"/>
      <c r="Q515" s="24"/>
      <c r="R515" s="24"/>
      <c r="S515" s="24"/>
      <c r="T515" s="24"/>
      <c r="U515" s="24"/>
      <c r="V515" s="24"/>
      <c r="W515" s="24"/>
      <c r="X515" s="24"/>
      <c r="Y515" s="24"/>
      <c r="Z515" s="24"/>
      <c r="AA515" s="24"/>
      <c r="AB515" s="24"/>
      <c r="AC515" s="24"/>
    </row>
    <row r="516" spans="1:29" ht="12.9">
      <c r="A516" s="24"/>
      <c r="B516" s="24"/>
      <c r="C516" s="24"/>
      <c r="D516" s="24"/>
      <c r="E516" s="24"/>
      <c r="F516" s="117"/>
      <c r="G516" s="117"/>
      <c r="H516" s="24"/>
      <c r="I516" s="24"/>
      <c r="J516" s="24"/>
      <c r="K516" s="24"/>
      <c r="L516" s="24"/>
      <c r="M516" s="24"/>
      <c r="N516" s="24"/>
      <c r="O516" s="24"/>
      <c r="P516" s="24"/>
      <c r="Q516" s="24"/>
      <c r="R516" s="24"/>
      <c r="S516" s="24"/>
      <c r="T516" s="24"/>
      <c r="U516" s="24"/>
      <c r="V516" s="24"/>
      <c r="W516" s="24"/>
      <c r="X516" s="24"/>
      <c r="Y516" s="24"/>
      <c r="Z516" s="24"/>
      <c r="AA516" s="24"/>
      <c r="AB516" s="24"/>
      <c r="AC516" s="24"/>
    </row>
    <row r="517" spans="1:29" ht="12.9">
      <c r="A517" s="24"/>
      <c r="B517" s="24"/>
      <c r="C517" s="24"/>
      <c r="D517" s="24"/>
      <c r="E517" s="24"/>
      <c r="F517" s="117"/>
      <c r="G517" s="117"/>
      <c r="H517" s="24"/>
      <c r="I517" s="24"/>
      <c r="J517" s="24"/>
      <c r="K517" s="24"/>
      <c r="L517" s="24"/>
      <c r="M517" s="24"/>
      <c r="N517" s="24"/>
      <c r="O517" s="24"/>
      <c r="P517" s="24"/>
      <c r="Q517" s="24"/>
      <c r="R517" s="24"/>
      <c r="S517" s="24"/>
      <c r="T517" s="24"/>
      <c r="U517" s="24"/>
      <c r="V517" s="24"/>
      <c r="W517" s="24"/>
      <c r="X517" s="24"/>
      <c r="Y517" s="24"/>
      <c r="Z517" s="24"/>
      <c r="AA517" s="24"/>
      <c r="AB517" s="24"/>
      <c r="AC517" s="24"/>
    </row>
    <row r="518" spans="1:29" ht="12.9">
      <c r="A518" s="24"/>
      <c r="B518" s="24"/>
      <c r="C518" s="24"/>
      <c r="D518" s="24"/>
      <c r="E518" s="24"/>
      <c r="F518" s="117"/>
      <c r="G518" s="117"/>
      <c r="H518" s="24"/>
      <c r="I518" s="24"/>
      <c r="J518" s="24"/>
      <c r="K518" s="24"/>
      <c r="L518" s="24"/>
      <c r="M518" s="24"/>
      <c r="N518" s="24"/>
      <c r="O518" s="24"/>
      <c r="P518" s="24"/>
      <c r="Q518" s="24"/>
      <c r="R518" s="24"/>
      <c r="S518" s="24"/>
      <c r="T518" s="24"/>
      <c r="U518" s="24"/>
      <c r="V518" s="24"/>
      <c r="W518" s="24"/>
      <c r="X518" s="24"/>
      <c r="Y518" s="24"/>
      <c r="Z518" s="24"/>
      <c r="AA518" s="24"/>
      <c r="AB518" s="24"/>
      <c r="AC518" s="24"/>
    </row>
    <row r="519" spans="1:29" ht="12.9">
      <c r="A519" s="24"/>
      <c r="B519" s="24"/>
      <c r="C519" s="24"/>
      <c r="D519" s="24"/>
      <c r="E519" s="24"/>
      <c r="F519" s="117"/>
      <c r="G519" s="117"/>
      <c r="H519" s="24"/>
      <c r="I519" s="24"/>
      <c r="J519" s="24"/>
      <c r="K519" s="24"/>
      <c r="L519" s="24"/>
      <c r="M519" s="24"/>
      <c r="N519" s="24"/>
      <c r="O519" s="24"/>
      <c r="P519" s="24"/>
      <c r="Q519" s="24"/>
      <c r="R519" s="24"/>
      <c r="S519" s="24"/>
      <c r="T519" s="24"/>
      <c r="U519" s="24"/>
      <c r="V519" s="24"/>
      <c r="W519" s="24"/>
      <c r="X519" s="24"/>
      <c r="Y519" s="24"/>
      <c r="Z519" s="24"/>
      <c r="AA519" s="24"/>
      <c r="AB519" s="24"/>
      <c r="AC519" s="24"/>
    </row>
    <row r="520" spans="1:29" ht="12.9">
      <c r="A520" s="24"/>
      <c r="B520" s="24"/>
      <c r="C520" s="24"/>
      <c r="D520" s="24"/>
      <c r="E520" s="24"/>
      <c r="F520" s="117"/>
      <c r="G520" s="117"/>
      <c r="H520" s="24"/>
      <c r="I520" s="24"/>
      <c r="J520" s="24"/>
      <c r="K520" s="24"/>
      <c r="L520" s="24"/>
      <c r="M520" s="24"/>
      <c r="N520" s="24"/>
      <c r="O520" s="24"/>
      <c r="P520" s="24"/>
      <c r="Q520" s="24"/>
      <c r="R520" s="24"/>
      <c r="S520" s="24"/>
      <c r="T520" s="24"/>
      <c r="U520" s="24"/>
      <c r="V520" s="24"/>
      <c r="W520" s="24"/>
      <c r="X520" s="24"/>
      <c r="Y520" s="24"/>
      <c r="Z520" s="24"/>
      <c r="AA520" s="24"/>
      <c r="AB520" s="24"/>
      <c r="AC520" s="24"/>
    </row>
    <row r="521" spans="1:29" ht="12.9">
      <c r="A521" s="24"/>
      <c r="B521" s="24"/>
      <c r="C521" s="24"/>
      <c r="D521" s="24"/>
      <c r="E521" s="24"/>
      <c r="F521" s="117"/>
      <c r="G521" s="117"/>
      <c r="H521" s="24"/>
      <c r="I521" s="24"/>
      <c r="J521" s="24"/>
      <c r="K521" s="24"/>
      <c r="L521" s="24"/>
      <c r="M521" s="24"/>
      <c r="N521" s="24"/>
      <c r="O521" s="24"/>
      <c r="P521" s="24"/>
      <c r="Q521" s="24"/>
      <c r="R521" s="24"/>
      <c r="S521" s="24"/>
      <c r="T521" s="24"/>
      <c r="U521" s="24"/>
      <c r="V521" s="24"/>
      <c r="W521" s="24"/>
      <c r="X521" s="24"/>
      <c r="Y521" s="24"/>
      <c r="Z521" s="24"/>
      <c r="AA521" s="24"/>
      <c r="AB521" s="24"/>
      <c r="AC521" s="24"/>
    </row>
    <row r="522" spans="1:29" ht="12.9">
      <c r="A522" s="24"/>
      <c r="B522" s="24"/>
      <c r="C522" s="24"/>
      <c r="D522" s="24"/>
      <c r="E522" s="24"/>
      <c r="F522" s="117"/>
      <c r="G522" s="117"/>
      <c r="H522" s="24"/>
      <c r="I522" s="24"/>
      <c r="J522" s="24"/>
      <c r="K522" s="24"/>
      <c r="L522" s="24"/>
      <c r="M522" s="24"/>
      <c r="N522" s="24"/>
      <c r="O522" s="24"/>
      <c r="P522" s="24"/>
      <c r="Q522" s="24"/>
      <c r="R522" s="24"/>
      <c r="S522" s="24"/>
      <c r="T522" s="24"/>
      <c r="U522" s="24"/>
      <c r="V522" s="24"/>
      <c r="W522" s="24"/>
      <c r="X522" s="24"/>
      <c r="Y522" s="24"/>
      <c r="Z522" s="24"/>
      <c r="AA522" s="24"/>
      <c r="AB522" s="24"/>
      <c r="AC522" s="24"/>
    </row>
    <row r="523" spans="1:29" ht="12.9">
      <c r="A523" s="24"/>
      <c r="B523" s="24"/>
      <c r="C523" s="24"/>
      <c r="D523" s="24"/>
      <c r="E523" s="24"/>
      <c r="F523" s="117"/>
      <c r="G523" s="117"/>
      <c r="H523" s="24"/>
      <c r="I523" s="24"/>
      <c r="J523" s="24"/>
      <c r="K523" s="24"/>
      <c r="L523" s="24"/>
      <c r="M523" s="24"/>
      <c r="N523" s="24"/>
      <c r="O523" s="24"/>
      <c r="P523" s="24"/>
      <c r="Q523" s="24"/>
      <c r="R523" s="24"/>
      <c r="S523" s="24"/>
      <c r="T523" s="24"/>
      <c r="U523" s="24"/>
      <c r="V523" s="24"/>
      <c r="W523" s="24"/>
      <c r="X523" s="24"/>
      <c r="Y523" s="24"/>
      <c r="Z523" s="24"/>
      <c r="AA523" s="24"/>
      <c r="AB523" s="24"/>
      <c r="AC523" s="24"/>
    </row>
    <row r="524" spans="1:29" ht="12.9">
      <c r="A524" s="24"/>
      <c r="B524" s="24"/>
      <c r="C524" s="24"/>
      <c r="D524" s="24"/>
      <c r="E524" s="24"/>
      <c r="F524" s="117"/>
      <c r="G524" s="117"/>
      <c r="H524" s="24"/>
      <c r="I524" s="24"/>
      <c r="J524" s="24"/>
      <c r="K524" s="24"/>
      <c r="L524" s="24"/>
      <c r="M524" s="24"/>
      <c r="N524" s="24"/>
      <c r="O524" s="24"/>
      <c r="P524" s="24"/>
      <c r="Q524" s="24"/>
      <c r="R524" s="24"/>
      <c r="S524" s="24"/>
      <c r="T524" s="24"/>
      <c r="U524" s="24"/>
      <c r="V524" s="24"/>
      <c r="W524" s="24"/>
      <c r="X524" s="24"/>
      <c r="Y524" s="24"/>
      <c r="Z524" s="24"/>
      <c r="AA524" s="24"/>
      <c r="AB524" s="24"/>
      <c r="AC524" s="24"/>
    </row>
    <row r="525" spans="1:29" ht="12.9">
      <c r="A525" s="24"/>
      <c r="B525" s="24"/>
      <c r="C525" s="24"/>
      <c r="D525" s="24"/>
      <c r="E525" s="24"/>
      <c r="F525" s="117"/>
      <c r="G525" s="117"/>
      <c r="H525" s="24"/>
      <c r="I525" s="24"/>
      <c r="J525" s="24"/>
      <c r="K525" s="24"/>
      <c r="L525" s="24"/>
      <c r="M525" s="24"/>
      <c r="N525" s="24"/>
      <c r="O525" s="24"/>
      <c r="P525" s="24"/>
      <c r="Q525" s="24"/>
      <c r="R525" s="24"/>
      <c r="S525" s="24"/>
      <c r="T525" s="24"/>
      <c r="U525" s="24"/>
      <c r="V525" s="24"/>
      <c r="W525" s="24"/>
      <c r="X525" s="24"/>
      <c r="Y525" s="24"/>
      <c r="Z525" s="24"/>
      <c r="AA525" s="24"/>
      <c r="AB525" s="24"/>
      <c r="AC525" s="24"/>
    </row>
    <row r="526" spans="1:29" ht="12.9">
      <c r="A526" s="24"/>
      <c r="B526" s="24"/>
      <c r="C526" s="24"/>
      <c r="D526" s="24"/>
      <c r="E526" s="24"/>
      <c r="F526" s="117"/>
      <c r="G526" s="117"/>
      <c r="H526" s="24"/>
      <c r="I526" s="24"/>
      <c r="J526" s="24"/>
      <c r="K526" s="24"/>
      <c r="L526" s="24"/>
      <c r="M526" s="24"/>
      <c r="N526" s="24"/>
      <c r="O526" s="24"/>
      <c r="P526" s="24"/>
      <c r="Q526" s="24"/>
      <c r="R526" s="24"/>
      <c r="S526" s="24"/>
      <c r="T526" s="24"/>
      <c r="U526" s="24"/>
      <c r="V526" s="24"/>
      <c r="W526" s="24"/>
      <c r="X526" s="24"/>
      <c r="Y526" s="24"/>
      <c r="Z526" s="24"/>
      <c r="AA526" s="24"/>
      <c r="AB526" s="24"/>
      <c r="AC526" s="24"/>
    </row>
    <row r="527" spans="1:29" ht="12.9">
      <c r="A527" s="24"/>
      <c r="B527" s="24"/>
      <c r="C527" s="24"/>
      <c r="D527" s="24"/>
      <c r="E527" s="24"/>
      <c r="F527" s="117"/>
      <c r="G527" s="117"/>
      <c r="H527" s="24"/>
      <c r="I527" s="24"/>
      <c r="J527" s="24"/>
      <c r="K527" s="24"/>
      <c r="L527" s="24"/>
      <c r="M527" s="24"/>
      <c r="N527" s="24"/>
      <c r="O527" s="24"/>
      <c r="P527" s="24"/>
      <c r="Q527" s="24"/>
      <c r="R527" s="24"/>
      <c r="S527" s="24"/>
      <c r="T527" s="24"/>
      <c r="U527" s="24"/>
      <c r="V527" s="24"/>
      <c r="W527" s="24"/>
      <c r="X527" s="24"/>
      <c r="Y527" s="24"/>
      <c r="Z527" s="24"/>
      <c r="AA527" s="24"/>
      <c r="AB527" s="24"/>
      <c r="AC527" s="24"/>
    </row>
    <row r="528" spans="1:29" ht="12.9">
      <c r="A528" s="24"/>
      <c r="B528" s="24"/>
      <c r="C528" s="24"/>
      <c r="D528" s="24"/>
      <c r="E528" s="24"/>
      <c r="F528" s="117"/>
      <c r="G528" s="117"/>
      <c r="H528" s="24"/>
      <c r="I528" s="24"/>
      <c r="J528" s="24"/>
      <c r="K528" s="24"/>
      <c r="L528" s="24"/>
      <c r="M528" s="24"/>
      <c r="N528" s="24"/>
      <c r="O528" s="24"/>
      <c r="P528" s="24"/>
      <c r="Q528" s="24"/>
      <c r="R528" s="24"/>
      <c r="S528" s="24"/>
      <c r="T528" s="24"/>
      <c r="U528" s="24"/>
      <c r="V528" s="24"/>
      <c r="W528" s="24"/>
      <c r="X528" s="24"/>
      <c r="Y528" s="24"/>
      <c r="Z528" s="24"/>
      <c r="AA528" s="24"/>
      <c r="AB528" s="24"/>
      <c r="AC528" s="24"/>
    </row>
    <row r="529" spans="1:29" ht="12.9">
      <c r="A529" s="24"/>
      <c r="B529" s="24"/>
      <c r="C529" s="24"/>
      <c r="D529" s="24"/>
      <c r="E529" s="24"/>
      <c r="F529" s="117"/>
      <c r="G529" s="117"/>
      <c r="H529" s="24"/>
      <c r="I529" s="24"/>
      <c r="J529" s="24"/>
      <c r="K529" s="24"/>
      <c r="L529" s="24"/>
      <c r="M529" s="24"/>
      <c r="N529" s="24"/>
      <c r="O529" s="24"/>
      <c r="P529" s="24"/>
      <c r="Q529" s="24"/>
      <c r="R529" s="24"/>
      <c r="S529" s="24"/>
      <c r="T529" s="24"/>
      <c r="U529" s="24"/>
      <c r="V529" s="24"/>
      <c r="W529" s="24"/>
      <c r="X529" s="24"/>
      <c r="Y529" s="24"/>
      <c r="Z529" s="24"/>
      <c r="AA529" s="24"/>
      <c r="AB529" s="24"/>
      <c r="AC529" s="24"/>
    </row>
    <row r="530" spans="1:29" ht="12.9">
      <c r="A530" s="24"/>
      <c r="B530" s="24"/>
      <c r="C530" s="24"/>
      <c r="D530" s="24"/>
      <c r="E530" s="24"/>
      <c r="F530" s="117"/>
      <c r="G530" s="117"/>
      <c r="H530" s="24"/>
      <c r="I530" s="24"/>
      <c r="J530" s="24"/>
      <c r="K530" s="24"/>
      <c r="L530" s="24"/>
      <c r="M530" s="24"/>
      <c r="N530" s="24"/>
      <c r="O530" s="24"/>
      <c r="P530" s="24"/>
      <c r="Q530" s="24"/>
      <c r="R530" s="24"/>
      <c r="S530" s="24"/>
      <c r="T530" s="24"/>
      <c r="U530" s="24"/>
      <c r="V530" s="24"/>
      <c r="W530" s="24"/>
      <c r="X530" s="24"/>
      <c r="Y530" s="24"/>
      <c r="Z530" s="24"/>
      <c r="AA530" s="24"/>
      <c r="AB530" s="24"/>
      <c r="AC530" s="24"/>
    </row>
    <row r="531" spans="1:29" ht="12.9">
      <c r="A531" s="24"/>
      <c r="B531" s="24"/>
      <c r="C531" s="24"/>
      <c r="D531" s="24"/>
      <c r="E531" s="24"/>
      <c r="F531" s="117"/>
      <c r="G531" s="117"/>
      <c r="H531" s="24"/>
      <c r="I531" s="24"/>
      <c r="J531" s="24"/>
      <c r="K531" s="24"/>
      <c r="L531" s="24"/>
      <c r="M531" s="24"/>
      <c r="N531" s="24"/>
      <c r="O531" s="24"/>
      <c r="P531" s="24"/>
      <c r="Q531" s="24"/>
      <c r="R531" s="24"/>
      <c r="S531" s="24"/>
      <c r="T531" s="24"/>
      <c r="U531" s="24"/>
      <c r="V531" s="24"/>
      <c r="W531" s="24"/>
      <c r="X531" s="24"/>
      <c r="Y531" s="24"/>
      <c r="Z531" s="24"/>
      <c r="AA531" s="24"/>
      <c r="AB531" s="24"/>
      <c r="AC531" s="24"/>
    </row>
    <row r="532" spans="1:29" ht="12.9">
      <c r="A532" s="24"/>
      <c r="B532" s="24"/>
      <c r="C532" s="24"/>
      <c r="D532" s="24"/>
      <c r="E532" s="24"/>
      <c r="F532" s="117"/>
      <c r="G532" s="117"/>
      <c r="H532" s="24"/>
      <c r="I532" s="24"/>
      <c r="J532" s="24"/>
      <c r="K532" s="24"/>
      <c r="L532" s="24"/>
      <c r="M532" s="24"/>
      <c r="N532" s="24"/>
      <c r="O532" s="24"/>
      <c r="P532" s="24"/>
      <c r="Q532" s="24"/>
      <c r="R532" s="24"/>
      <c r="S532" s="24"/>
      <c r="T532" s="24"/>
      <c r="U532" s="24"/>
      <c r="V532" s="24"/>
      <c r="W532" s="24"/>
      <c r="X532" s="24"/>
      <c r="Y532" s="24"/>
      <c r="Z532" s="24"/>
      <c r="AA532" s="24"/>
      <c r="AB532" s="24"/>
      <c r="AC532" s="24"/>
    </row>
    <row r="533" spans="1:29" ht="12.9">
      <c r="A533" s="24"/>
      <c r="B533" s="24"/>
      <c r="C533" s="24"/>
      <c r="D533" s="24"/>
      <c r="E533" s="24"/>
      <c r="F533" s="117"/>
      <c r="G533" s="117"/>
      <c r="H533" s="24"/>
      <c r="I533" s="24"/>
      <c r="J533" s="24"/>
      <c r="K533" s="24"/>
      <c r="L533" s="24"/>
      <c r="M533" s="24"/>
      <c r="N533" s="24"/>
      <c r="O533" s="24"/>
      <c r="P533" s="24"/>
      <c r="Q533" s="24"/>
      <c r="R533" s="24"/>
      <c r="S533" s="24"/>
      <c r="T533" s="24"/>
      <c r="U533" s="24"/>
      <c r="V533" s="24"/>
      <c r="W533" s="24"/>
      <c r="X533" s="24"/>
      <c r="Y533" s="24"/>
      <c r="Z533" s="24"/>
      <c r="AA533" s="24"/>
      <c r="AB533" s="24"/>
      <c r="AC533" s="24"/>
    </row>
    <row r="534" spans="1:29" ht="12.9">
      <c r="A534" s="24"/>
      <c r="B534" s="24"/>
      <c r="C534" s="24"/>
      <c r="D534" s="24"/>
      <c r="E534" s="24"/>
      <c r="F534" s="117"/>
      <c r="G534" s="117"/>
      <c r="H534" s="24"/>
      <c r="I534" s="24"/>
      <c r="J534" s="24"/>
      <c r="K534" s="24"/>
      <c r="L534" s="24"/>
      <c r="M534" s="24"/>
      <c r="N534" s="24"/>
      <c r="O534" s="24"/>
      <c r="P534" s="24"/>
      <c r="Q534" s="24"/>
      <c r="R534" s="24"/>
      <c r="S534" s="24"/>
      <c r="T534" s="24"/>
      <c r="U534" s="24"/>
      <c r="V534" s="24"/>
      <c r="W534" s="24"/>
      <c r="X534" s="24"/>
      <c r="Y534" s="24"/>
      <c r="Z534" s="24"/>
      <c r="AA534" s="24"/>
      <c r="AB534" s="24"/>
      <c r="AC534" s="24"/>
    </row>
    <row r="535" spans="1:29" ht="12.9">
      <c r="A535" s="24"/>
      <c r="B535" s="24"/>
      <c r="C535" s="24"/>
      <c r="D535" s="24"/>
      <c r="E535" s="24"/>
      <c r="F535" s="117"/>
      <c r="G535" s="117"/>
      <c r="H535" s="24"/>
      <c r="I535" s="24"/>
      <c r="J535" s="24"/>
      <c r="K535" s="24"/>
      <c r="L535" s="24"/>
      <c r="M535" s="24"/>
      <c r="N535" s="24"/>
      <c r="O535" s="24"/>
      <c r="P535" s="24"/>
      <c r="Q535" s="24"/>
      <c r="R535" s="24"/>
      <c r="S535" s="24"/>
      <c r="T535" s="24"/>
      <c r="U535" s="24"/>
      <c r="V535" s="24"/>
      <c r="W535" s="24"/>
      <c r="X535" s="24"/>
      <c r="Y535" s="24"/>
      <c r="Z535" s="24"/>
      <c r="AA535" s="24"/>
      <c r="AB535" s="24"/>
      <c r="AC535" s="24"/>
    </row>
    <row r="536" spans="1:29" ht="12.9">
      <c r="A536" s="24"/>
      <c r="B536" s="24"/>
      <c r="C536" s="24"/>
      <c r="D536" s="24"/>
      <c r="E536" s="24"/>
      <c r="F536" s="117"/>
      <c r="G536" s="117"/>
      <c r="H536" s="24"/>
      <c r="I536" s="24"/>
      <c r="J536" s="24"/>
      <c r="K536" s="24"/>
      <c r="L536" s="24"/>
      <c r="M536" s="24"/>
      <c r="N536" s="24"/>
      <c r="O536" s="24"/>
      <c r="P536" s="24"/>
      <c r="Q536" s="24"/>
      <c r="R536" s="24"/>
      <c r="S536" s="24"/>
      <c r="T536" s="24"/>
      <c r="U536" s="24"/>
      <c r="V536" s="24"/>
      <c r="W536" s="24"/>
      <c r="X536" s="24"/>
      <c r="Y536" s="24"/>
      <c r="Z536" s="24"/>
      <c r="AA536" s="24"/>
      <c r="AB536" s="24"/>
      <c r="AC536" s="24"/>
    </row>
    <row r="537" spans="1:29" ht="12.9">
      <c r="A537" s="24"/>
      <c r="B537" s="24"/>
      <c r="C537" s="24"/>
      <c r="D537" s="24"/>
      <c r="E537" s="24"/>
      <c r="F537" s="117"/>
      <c r="G537" s="117"/>
      <c r="H537" s="24"/>
      <c r="I537" s="24"/>
      <c r="J537" s="24"/>
      <c r="K537" s="24"/>
      <c r="L537" s="24"/>
      <c r="M537" s="24"/>
      <c r="N537" s="24"/>
      <c r="O537" s="24"/>
      <c r="P537" s="24"/>
      <c r="Q537" s="24"/>
      <c r="R537" s="24"/>
      <c r="S537" s="24"/>
      <c r="T537" s="24"/>
      <c r="U537" s="24"/>
      <c r="V537" s="24"/>
      <c r="W537" s="24"/>
      <c r="X537" s="24"/>
      <c r="Y537" s="24"/>
      <c r="Z537" s="24"/>
      <c r="AA537" s="24"/>
      <c r="AB537" s="24"/>
      <c r="AC537" s="24"/>
    </row>
    <row r="538" spans="1:29" ht="12.9">
      <c r="A538" s="24"/>
      <c r="B538" s="24"/>
      <c r="C538" s="24"/>
      <c r="D538" s="24"/>
      <c r="E538" s="24"/>
      <c r="F538" s="117"/>
      <c r="G538" s="117"/>
      <c r="H538" s="24"/>
      <c r="I538" s="24"/>
      <c r="J538" s="24"/>
      <c r="K538" s="24"/>
      <c r="L538" s="24"/>
      <c r="M538" s="24"/>
      <c r="N538" s="24"/>
      <c r="O538" s="24"/>
      <c r="P538" s="24"/>
      <c r="Q538" s="24"/>
      <c r="R538" s="24"/>
      <c r="S538" s="24"/>
      <c r="T538" s="24"/>
      <c r="U538" s="24"/>
      <c r="V538" s="24"/>
      <c r="W538" s="24"/>
      <c r="X538" s="24"/>
      <c r="Y538" s="24"/>
      <c r="Z538" s="24"/>
      <c r="AA538" s="24"/>
      <c r="AB538" s="24"/>
      <c r="AC538" s="24"/>
    </row>
    <row r="539" spans="1:29" ht="12.9">
      <c r="A539" s="24"/>
      <c r="B539" s="24"/>
      <c r="C539" s="24"/>
      <c r="D539" s="24"/>
      <c r="E539" s="24"/>
      <c r="F539" s="117"/>
      <c r="G539" s="117"/>
      <c r="H539" s="24"/>
      <c r="I539" s="24"/>
      <c r="J539" s="24"/>
      <c r="K539" s="24"/>
      <c r="L539" s="24"/>
      <c r="M539" s="24"/>
      <c r="N539" s="24"/>
      <c r="O539" s="24"/>
      <c r="P539" s="24"/>
      <c r="Q539" s="24"/>
      <c r="R539" s="24"/>
      <c r="S539" s="24"/>
      <c r="T539" s="24"/>
      <c r="U539" s="24"/>
      <c r="V539" s="24"/>
      <c r="W539" s="24"/>
      <c r="X539" s="24"/>
      <c r="Y539" s="24"/>
      <c r="Z539" s="24"/>
      <c r="AA539" s="24"/>
      <c r="AB539" s="24"/>
      <c r="AC539" s="24"/>
    </row>
    <row r="540" spans="1:29" ht="12.9">
      <c r="A540" s="24"/>
      <c r="B540" s="24"/>
      <c r="C540" s="24"/>
      <c r="D540" s="24"/>
      <c r="E540" s="24"/>
      <c r="F540" s="117"/>
      <c r="G540" s="117"/>
      <c r="H540" s="24"/>
      <c r="I540" s="24"/>
      <c r="J540" s="24"/>
      <c r="K540" s="24"/>
      <c r="L540" s="24"/>
      <c r="M540" s="24"/>
      <c r="N540" s="24"/>
      <c r="O540" s="24"/>
      <c r="P540" s="24"/>
      <c r="Q540" s="24"/>
      <c r="R540" s="24"/>
      <c r="S540" s="24"/>
      <c r="T540" s="24"/>
      <c r="U540" s="24"/>
      <c r="V540" s="24"/>
      <c r="W540" s="24"/>
      <c r="X540" s="24"/>
      <c r="Y540" s="24"/>
      <c r="Z540" s="24"/>
      <c r="AA540" s="24"/>
      <c r="AB540" s="24"/>
      <c r="AC540" s="24"/>
    </row>
    <row r="541" spans="1:29" ht="12.9">
      <c r="A541" s="24"/>
      <c r="B541" s="24"/>
      <c r="C541" s="24"/>
      <c r="D541" s="24"/>
      <c r="E541" s="24"/>
      <c r="F541" s="117"/>
      <c r="G541" s="117"/>
      <c r="H541" s="24"/>
      <c r="I541" s="24"/>
      <c r="J541" s="24"/>
      <c r="K541" s="24"/>
      <c r="L541" s="24"/>
      <c r="M541" s="24"/>
      <c r="N541" s="24"/>
      <c r="O541" s="24"/>
      <c r="P541" s="24"/>
      <c r="Q541" s="24"/>
      <c r="R541" s="24"/>
      <c r="S541" s="24"/>
      <c r="T541" s="24"/>
      <c r="U541" s="24"/>
      <c r="V541" s="24"/>
      <c r="W541" s="24"/>
      <c r="X541" s="24"/>
      <c r="Y541" s="24"/>
      <c r="Z541" s="24"/>
      <c r="AA541" s="24"/>
      <c r="AB541" s="24"/>
      <c r="AC541" s="24"/>
    </row>
    <row r="542" spans="1:29" ht="12.9">
      <c r="A542" s="24"/>
      <c r="B542" s="24"/>
      <c r="C542" s="24"/>
      <c r="D542" s="24"/>
      <c r="E542" s="24"/>
      <c r="F542" s="117"/>
      <c r="G542" s="117"/>
      <c r="H542" s="24"/>
      <c r="I542" s="24"/>
      <c r="J542" s="24"/>
      <c r="K542" s="24"/>
      <c r="L542" s="24"/>
      <c r="M542" s="24"/>
      <c r="N542" s="24"/>
      <c r="O542" s="24"/>
      <c r="P542" s="24"/>
      <c r="Q542" s="24"/>
      <c r="R542" s="24"/>
      <c r="S542" s="24"/>
      <c r="T542" s="24"/>
      <c r="U542" s="24"/>
      <c r="V542" s="24"/>
      <c r="W542" s="24"/>
      <c r="X542" s="24"/>
      <c r="Y542" s="24"/>
      <c r="Z542" s="24"/>
      <c r="AA542" s="24"/>
      <c r="AB542" s="24"/>
      <c r="AC542" s="24"/>
    </row>
    <row r="543" spans="1:29" ht="12.9">
      <c r="A543" s="24"/>
      <c r="B543" s="24"/>
      <c r="C543" s="24"/>
      <c r="D543" s="24"/>
      <c r="E543" s="24"/>
      <c r="F543" s="117"/>
      <c r="G543" s="117"/>
      <c r="H543" s="24"/>
      <c r="I543" s="24"/>
      <c r="J543" s="24"/>
      <c r="K543" s="24"/>
      <c r="L543" s="24"/>
      <c r="M543" s="24"/>
      <c r="N543" s="24"/>
      <c r="O543" s="24"/>
      <c r="P543" s="24"/>
      <c r="Q543" s="24"/>
      <c r="R543" s="24"/>
      <c r="S543" s="24"/>
      <c r="T543" s="24"/>
      <c r="U543" s="24"/>
      <c r="V543" s="24"/>
      <c r="W543" s="24"/>
      <c r="X543" s="24"/>
      <c r="Y543" s="24"/>
      <c r="Z543" s="24"/>
      <c r="AA543" s="24"/>
      <c r="AB543" s="24"/>
      <c r="AC543" s="24"/>
    </row>
    <row r="544" spans="1:29" ht="12.9">
      <c r="A544" s="24"/>
      <c r="B544" s="24"/>
      <c r="C544" s="24"/>
      <c r="D544" s="24"/>
      <c r="E544" s="24"/>
      <c r="F544" s="117"/>
      <c r="G544" s="117"/>
      <c r="H544" s="24"/>
      <c r="I544" s="24"/>
      <c r="J544" s="24"/>
      <c r="K544" s="24"/>
      <c r="L544" s="24"/>
      <c r="M544" s="24"/>
      <c r="N544" s="24"/>
      <c r="O544" s="24"/>
      <c r="P544" s="24"/>
      <c r="Q544" s="24"/>
      <c r="R544" s="24"/>
      <c r="S544" s="24"/>
      <c r="T544" s="24"/>
      <c r="U544" s="24"/>
      <c r="V544" s="24"/>
      <c r="W544" s="24"/>
      <c r="X544" s="24"/>
      <c r="Y544" s="24"/>
      <c r="Z544" s="24"/>
      <c r="AA544" s="24"/>
      <c r="AB544" s="24"/>
      <c r="AC544" s="24"/>
    </row>
    <row r="545" spans="1:29" ht="12.9">
      <c r="A545" s="24"/>
      <c r="B545" s="24"/>
      <c r="C545" s="24"/>
      <c r="D545" s="24"/>
      <c r="E545" s="24"/>
      <c r="F545" s="117"/>
      <c r="G545" s="117"/>
      <c r="H545" s="24"/>
      <c r="I545" s="24"/>
      <c r="J545" s="24"/>
      <c r="K545" s="24"/>
      <c r="L545" s="24"/>
      <c r="M545" s="24"/>
      <c r="N545" s="24"/>
      <c r="O545" s="24"/>
      <c r="P545" s="24"/>
      <c r="Q545" s="24"/>
      <c r="R545" s="24"/>
      <c r="S545" s="24"/>
      <c r="T545" s="24"/>
      <c r="U545" s="24"/>
      <c r="V545" s="24"/>
      <c r="W545" s="24"/>
      <c r="X545" s="24"/>
      <c r="Y545" s="24"/>
      <c r="Z545" s="24"/>
      <c r="AA545" s="24"/>
      <c r="AB545" s="24"/>
      <c r="AC545" s="24"/>
    </row>
    <row r="546" spans="1:29" ht="12.9">
      <c r="A546" s="24"/>
      <c r="B546" s="24"/>
      <c r="C546" s="24"/>
      <c r="D546" s="24"/>
      <c r="E546" s="24"/>
      <c r="F546" s="117"/>
      <c r="G546" s="117"/>
      <c r="H546" s="24"/>
      <c r="I546" s="24"/>
      <c r="J546" s="24"/>
      <c r="K546" s="24"/>
      <c r="L546" s="24"/>
      <c r="M546" s="24"/>
      <c r="N546" s="24"/>
      <c r="O546" s="24"/>
      <c r="P546" s="24"/>
      <c r="Q546" s="24"/>
      <c r="R546" s="24"/>
      <c r="S546" s="24"/>
      <c r="T546" s="24"/>
      <c r="U546" s="24"/>
      <c r="V546" s="24"/>
      <c r="W546" s="24"/>
      <c r="X546" s="24"/>
      <c r="Y546" s="24"/>
      <c r="Z546" s="24"/>
      <c r="AA546" s="24"/>
      <c r="AB546" s="24"/>
      <c r="AC546" s="24"/>
    </row>
    <row r="547" spans="1:29" ht="12.9">
      <c r="A547" s="24"/>
      <c r="B547" s="24"/>
      <c r="C547" s="24"/>
      <c r="D547" s="24"/>
      <c r="E547" s="24"/>
      <c r="F547" s="117"/>
      <c r="G547" s="117"/>
      <c r="H547" s="24"/>
      <c r="I547" s="24"/>
      <c r="J547" s="24"/>
      <c r="K547" s="24"/>
      <c r="L547" s="24"/>
      <c r="M547" s="24"/>
      <c r="N547" s="24"/>
      <c r="O547" s="24"/>
      <c r="P547" s="24"/>
      <c r="Q547" s="24"/>
      <c r="R547" s="24"/>
      <c r="S547" s="24"/>
      <c r="T547" s="24"/>
      <c r="U547" s="24"/>
      <c r="V547" s="24"/>
      <c r="W547" s="24"/>
      <c r="X547" s="24"/>
      <c r="Y547" s="24"/>
      <c r="Z547" s="24"/>
      <c r="AA547" s="24"/>
      <c r="AB547" s="24"/>
      <c r="AC547" s="24"/>
    </row>
    <row r="548" spans="1:29" ht="12.9">
      <c r="A548" s="24"/>
      <c r="B548" s="24"/>
      <c r="C548" s="24"/>
      <c r="D548" s="24"/>
      <c r="E548" s="24"/>
      <c r="F548" s="117"/>
      <c r="G548" s="117"/>
      <c r="H548" s="24"/>
      <c r="I548" s="24"/>
      <c r="J548" s="24"/>
      <c r="K548" s="24"/>
      <c r="L548" s="24"/>
      <c r="M548" s="24"/>
      <c r="N548" s="24"/>
      <c r="O548" s="24"/>
      <c r="P548" s="24"/>
      <c r="Q548" s="24"/>
      <c r="R548" s="24"/>
      <c r="S548" s="24"/>
      <c r="T548" s="24"/>
      <c r="U548" s="24"/>
      <c r="V548" s="24"/>
      <c r="W548" s="24"/>
      <c r="X548" s="24"/>
      <c r="Y548" s="24"/>
      <c r="Z548" s="24"/>
      <c r="AA548" s="24"/>
      <c r="AB548" s="24"/>
      <c r="AC548" s="24"/>
    </row>
    <row r="549" spans="1:29" ht="12.9">
      <c r="A549" s="24"/>
      <c r="B549" s="24"/>
      <c r="C549" s="24"/>
      <c r="D549" s="24"/>
      <c r="E549" s="24"/>
      <c r="F549" s="117"/>
      <c r="G549" s="117"/>
      <c r="H549" s="24"/>
      <c r="I549" s="24"/>
      <c r="J549" s="24"/>
      <c r="K549" s="24"/>
      <c r="L549" s="24"/>
      <c r="M549" s="24"/>
      <c r="N549" s="24"/>
      <c r="O549" s="24"/>
      <c r="P549" s="24"/>
      <c r="Q549" s="24"/>
      <c r="R549" s="24"/>
      <c r="S549" s="24"/>
      <c r="T549" s="24"/>
      <c r="U549" s="24"/>
      <c r="V549" s="24"/>
      <c r="W549" s="24"/>
      <c r="X549" s="24"/>
      <c r="Y549" s="24"/>
      <c r="Z549" s="24"/>
      <c r="AA549" s="24"/>
      <c r="AB549" s="24"/>
      <c r="AC549" s="24"/>
    </row>
    <row r="550" spans="1:29" ht="12.9">
      <c r="A550" s="24"/>
      <c r="B550" s="24"/>
      <c r="C550" s="24"/>
      <c r="D550" s="24"/>
      <c r="E550" s="24"/>
      <c r="F550" s="117"/>
      <c r="G550" s="117"/>
      <c r="H550" s="24"/>
      <c r="I550" s="24"/>
      <c r="J550" s="24"/>
      <c r="K550" s="24"/>
      <c r="L550" s="24"/>
      <c r="M550" s="24"/>
      <c r="N550" s="24"/>
      <c r="O550" s="24"/>
      <c r="P550" s="24"/>
      <c r="Q550" s="24"/>
      <c r="R550" s="24"/>
      <c r="S550" s="24"/>
      <c r="T550" s="24"/>
      <c r="U550" s="24"/>
      <c r="V550" s="24"/>
      <c r="W550" s="24"/>
      <c r="X550" s="24"/>
      <c r="Y550" s="24"/>
      <c r="Z550" s="24"/>
      <c r="AA550" s="24"/>
      <c r="AB550" s="24"/>
      <c r="AC550" s="24"/>
    </row>
    <row r="551" spans="1:29" ht="12.9">
      <c r="A551" s="24"/>
      <c r="B551" s="24"/>
      <c r="C551" s="24"/>
      <c r="D551" s="24"/>
      <c r="E551" s="24"/>
      <c r="F551" s="117"/>
      <c r="G551" s="117"/>
      <c r="H551" s="24"/>
      <c r="I551" s="24"/>
      <c r="J551" s="24"/>
      <c r="K551" s="24"/>
      <c r="L551" s="24"/>
      <c r="M551" s="24"/>
      <c r="N551" s="24"/>
      <c r="O551" s="24"/>
      <c r="P551" s="24"/>
      <c r="Q551" s="24"/>
      <c r="R551" s="24"/>
      <c r="S551" s="24"/>
      <c r="T551" s="24"/>
      <c r="U551" s="24"/>
      <c r="V551" s="24"/>
      <c r="W551" s="24"/>
      <c r="X551" s="24"/>
      <c r="Y551" s="24"/>
      <c r="Z551" s="24"/>
      <c r="AA551" s="24"/>
      <c r="AB551" s="24"/>
      <c r="AC551" s="24"/>
    </row>
    <row r="552" spans="1:29" ht="12.9">
      <c r="A552" s="24"/>
      <c r="B552" s="24"/>
      <c r="C552" s="24"/>
      <c r="D552" s="24"/>
      <c r="E552" s="24"/>
      <c r="F552" s="117"/>
      <c r="G552" s="117"/>
      <c r="H552" s="24"/>
      <c r="I552" s="24"/>
      <c r="J552" s="24"/>
      <c r="K552" s="24"/>
      <c r="L552" s="24"/>
      <c r="M552" s="24"/>
      <c r="N552" s="24"/>
      <c r="O552" s="24"/>
      <c r="P552" s="24"/>
      <c r="Q552" s="24"/>
      <c r="R552" s="24"/>
      <c r="S552" s="24"/>
      <c r="T552" s="24"/>
      <c r="U552" s="24"/>
      <c r="V552" s="24"/>
      <c r="W552" s="24"/>
      <c r="X552" s="24"/>
      <c r="Y552" s="24"/>
      <c r="Z552" s="24"/>
      <c r="AA552" s="24"/>
      <c r="AB552" s="24"/>
      <c r="AC552" s="24"/>
    </row>
    <row r="553" spans="1:29" ht="12.9">
      <c r="A553" s="24"/>
      <c r="B553" s="24"/>
      <c r="C553" s="24"/>
      <c r="D553" s="24"/>
      <c r="E553" s="24"/>
      <c r="F553" s="117"/>
      <c r="G553" s="117"/>
      <c r="H553" s="24"/>
      <c r="I553" s="24"/>
      <c r="J553" s="24"/>
      <c r="K553" s="24"/>
      <c r="L553" s="24"/>
      <c r="M553" s="24"/>
      <c r="N553" s="24"/>
      <c r="O553" s="24"/>
      <c r="P553" s="24"/>
      <c r="Q553" s="24"/>
      <c r="R553" s="24"/>
      <c r="S553" s="24"/>
      <c r="T553" s="24"/>
      <c r="U553" s="24"/>
      <c r="V553" s="24"/>
      <c r="W553" s="24"/>
      <c r="X553" s="24"/>
      <c r="Y553" s="24"/>
      <c r="Z553" s="24"/>
      <c r="AA553" s="24"/>
      <c r="AB553" s="24"/>
      <c r="AC553" s="24"/>
    </row>
    <row r="554" spans="1:29" ht="12.9">
      <c r="A554" s="24"/>
      <c r="B554" s="24"/>
      <c r="C554" s="24"/>
      <c r="D554" s="24"/>
      <c r="E554" s="24"/>
      <c r="F554" s="117"/>
      <c r="G554" s="117"/>
      <c r="H554" s="24"/>
      <c r="I554" s="24"/>
      <c r="J554" s="24"/>
      <c r="K554" s="24"/>
      <c r="L554" s="24"/>
      <c r="M554" s="24"/>
      <c r="N554" s="24"/>
      <c r="O554" s="24"/>
      <c r="P554" s="24"/>
      <c r="Q554" s="24"/>
      <c r="R554" s="24"/>
      <c r="S554" s="24"/>
      <c r="T554" s="24"/>
      <c r="U554" s="24"/>
      <c r="V554" s="24"/>
      <c r="W554" s="24"/>
      <c r="X554" s="24"/>
      <c r="Y554" s="24"/>
      <c r="Z554" s="24"/>
      <c r="AA554" s="24"/>
      <c r="AB554" s="24"/>
      <c r="AC554" s="24"/>
    </row>
    <row r="555" spans="1:29" ht="12.9">
      <c r="A555" s="24"/>
      <c r="B555" s="24"/>
      <c r="C555" s="24"/>
      <c r="D555" s="24"/>
      <c r="E555" s="24"/>
      <c r="F555" s="117"/>
      <c r="G555" s="117"/>
      <c r="H555" s="24"/>
      <c r="I555" s="24"/>
      <c r="J555" s="24"/>
      <c r="K555" s="24"/>
      <c r="L555" s="24"/>
      <c r="M555" s="24"/>
      <c r="N555" s="24"/>
      <c r="O555" s="24"/>
      <c r="P555" s="24"/>
      <c r="Q555" s="24"/>
      <c r="R555" s="24"/>
      <c r="S555" s="24"/>
      <c r="T555" s="24"/>
      <c r="U555" s="24"/>
      <c r="V555" s="24"/>
      <c r="W555" s="24"/>
      <c r="X555" s="24"/>
      <c r="Y555" s="24"/>
      <c r="Z555" s="24"/>
      <c r="AA555" s="24"/>
      <c r="AB555" s="24"/>
      <c r="AC555" s="24"/>
    </row>
    <row r="556" spans="1:29" ht="12.9">
      <c r="A556" s="24"/>
      <c r="B556" s="24"/>
      <c r="C556" s="24"/>
      <c r="D556" s="24"/>
      <c r="E556" s="24"/>
      <c r="F556" s="117"/>
      <c r="G556" s="117"/>
      <c r="H556" s="24"/>
      <c r="I556" s="24"/>
      <c r="J556" s="24"/>
      <c r="K556" s="24"/>
      <c r="L556" s="24"/>
      <c r="M556" s="24"/>
      <c r="N556" s="24"/>
      <c r="O556" s="24"/>
      <c r="P556" s="24"/>
      <c r="Q556" s="24"/>
      <c r="R556" s="24"/>
      <c r="S556" s="24"/>
      <c r="T556" s="24"/>
      <c r="U556" s="24"/>
      <c r="V556" s="24"/>
      <c r="W556" s="24"/>
      <c r="X556" s="24"/>
      <c r="Y556" s="24"/>
      <c r="Z556" s="24"/>
      <c r="AA556" s="24"/>
      <c r="AB556" s="24"/>
      <c r="AC556" s="24"/>
    </row>
    <row r="557" spans="1:29" ht="12.9">
      <c r="A557" s="24"/>
      <c r="B557" s="24"/>
      <c r="C557" s="24"/>
      <c r="D557" s="24"/>
      <c r="E557" s="24"/>
      <c r="F557" s="117"/>
      <c r="G557" s="117"/>
      <c r="H557" s="24"/>
      <c r="I557" s="24"/>
      <c r="J557" s="24"/>
      <c r="K557" s="24"/>
      <c r="L557" s="24"/>
      <c r="M557" s="24"/>
      <c r="N557" s="24"/>
      <c r="O557" s="24"/>
      <c r="P557" s="24"/>
      <c r="Q557" s="24"/>
      <c r="R557" s="24"/>
      <c r="S557" s="24"/>
      <c r="T557" s="24"/>
      <c r="U557" s="24"/>
      <c r="V557" s="24"/>
      <c r="W557" s="24"/>
      <c r="X557" s="24"/>
      <c r="Y557" s="24"/>
      <c r="Z557" s="24"/>
      <c r="AA557" s="24"/>
      <c r="AB557" s="24"/>
      <c r="AC557" s="24"/>
    </row>
    <row r="558" spans="1:29" ht="12.9">
      <c r="A558" s="24"/>
      <c r="B558" s="24"/>
      <c r="C558" s="24"/>
      <c r="D558" s="24"/>
      <c r="E558" s="24"/>
      <c r="F558" s="117"/>
      <c r="G558" s="117"/>
      <c r="H558" s="24"/>
      <c r="I558" s="24"/>
      <c r="J558" s="24"/>
      <c r="K558" s="24"/>
      <c r="L558" s="24"/>
      <c r="M558" s="24"/>
      <c r="N558" s="24"/>
      <c r="O558" s="24"/>
      <c r="P558" s="24"/>
      <c r="Q558" s="24"/>
      <c r="R558" s="24"/>
      <c r="S558" s="24"/>
      <c r="T558" s="24"/>
      <c r="U558" s="24"/>
      <c r="V558" s="24"/>
      <c r="W558" s="24"/>
      <c r="X558" s="24"/>
      <c r="Y558" s="24"/>
      <c r="Z558" s="24"/>
      <c r="AA558" s="24"/>
      <c r="AB558" s="24"/>
      <c r="AC558" s="24"/>
    </row>
    <row r="559" spans="1:29" ht="12.9">
      <c r="A559" s="24"/>
      <c r="B559" s="24"/>
      <c r="C559" s="24"/>
      <c r="D559" s="24"/>
      <c r="E559" s="24"/>
      <c r="F559" s="117"/>
      <c r="G559" s="117"/>
      <c r="H559" s="24"/>
      <c r="I559" s="24"/>
      <c r="J559" s="24"/>
      <c r="K559" s="24"/>
      <c r="L559" s="24"/>
      <c r="M559" s="24"/>
      <c r="N559" s="24"/>
      <c r="O559" s="24"/>
      <c r="P559" s="24"/>
      <c r="Q559" s="24"/>
      <c r="R559" s="24"/>
      <c r="S559" s="24"/>
      <c r="T559" s="24"/>
      <c r="U559" s="24"/>
      <c r="V559" s="24"/>
      <c r="W559" s="24"/>
      <c r="X559" s="24"/>
      <c r="Y559" s="24"/>
      <c r="Z559" s="24"/>
      <c r="AA559" s="24"/>
      <c r="AB559" s="24"/>
      <c r="AC559" s="24"/>
    </row>
    <row r="560" spans="1:29" ht="12.9">
      <c r="A560" s="24"/>
      <c r="B560" s="24"/>
      <c r="C560" s="24"/>
      <c r="D560" s="24"/>
      <c r="E560" s="24"/>
      <c r="F560" s="117"/>
      <c r="G560" s="117"/>
      <c r="H560" s="24"/>
      <c r="I560" s="24"/>
      <c r="J560" s="24"/>
      <c r="K560" s="24"/>
      <c r="L560" s="24"/>
      <c r="M560" s="24"/>
      <c r="N560" s="24"/>
      <c r="O560" s="24"/>
      <c r="P560" s="24"/>
      <c r="Q560" s="24"/>
      <c r="R560" s="24"/>
      <c r="S560" s="24"/>
      <c r="T560" s="24"/>
      <c r="U560" s="24"/>
      <c r="V560" s="24"/>
      <c r="W560" s="24"/>
      <c r="X560" s="24"/>
      <c r="Y560" s="24"/>
      <c r="Z560" s="24"/>
      <c r="AA560" s="24"/>
      <c r="AB560" s="24"/>
      <c r="AC560" s="24"/>
    </row>
    <row r="561" spans="1:29" ht="12.9">
      <c r="A561" s="24"/>
      <c r="B561" s="24"/>
      <c r="C561" s="24"/>
      <c r="D561" s="24"/>
      <c r="E561" s="24"/>
      <c r="F561" s="117"/>
      <c r="G561" s="117"/>
      <c r="H561" s="24"/>
      <c r="I561" s="24"/>
      <c r="J561" s="24"/>
      <c r="K561" s="24"/>
      <c r="L561" s="24"/>
      <c r="M561" s="24"/>
      <c r="N561" s="24"/>
      <c r="O561" s="24"/>
      <c r="P561" s="24"/>
      <c r="Q561" s="24"/>
      <c r="R561" s="24"/>
      <c r="S561" s="24"/>
      <c r="T561" s="24"/>
      <c r="U561" s="24"/>
      <c r="V561" s="24"/>
      <c r="W561" s="24"/>
      <c r="X561" s="24"/>
      <c r="Y561" s="24"/>
      <c r="Z561" s="24"/>
      <c r="AA561" s="24"/>
      <c r="AB561" s="24"/>
      <c r="AC561" s="24"/>
    </row>
    <row r="562" spans="1:29" ht="12.9">
      <c r="A562" s="24"/>
      <c r="B562" s="24"/>
      <c r="C562" s="24"/>
      <c r="D562" s="24"/>
      <c r="E562" s="24"/>
      <c r="F562" s="117"/>
      <c r="G562" s="117"/>
      <c r="H562" s="24"/>
      <c r="I562" s="24"/>
      <c r="J562" s="24"/>
      <c r="K562" s="24"/>
      <c r="L562" s="24"/>
      <c r="M562" s="24"/>
      <c r="N562" s="24"/>
      <c r="O562" s="24"/>
      <c r="P562" s="24"/>
      <c r="Q562" s="24"/>
      <c r="R562" s="24"/>
      <c r="S562" s="24"/>
      <c r="T562" s="24"/>
      <c r="U562" s="24"/>
      <c r="V562" s="24"/>
      <c r="W562" s="24"/>
      <c r="X562" s="24"/>
      <c r="Y562" s="24"/>
      <c r="Z562" s="24"/>
      <c r="AA562" s="24"/>
      <c r="AB562" s="24"/>
      <c r="AC562" s="24"/>
    </row>
    <row r="563" spans="1:29" ht="12.9">
      <c r="A563" s="24"/>
      <c r="B563" s="24"/>
      <c r="C563" s="24"/>
      <c r="D563" s="24"/>
      <c r="E563" s="24"/>
      <c r="F563" s="117"/>
      <c r="G563" s="117"/>
      <c r="H563" s="24"/>
      <c r="I563" s="24"/>
      <c r="J563" s="24"/>
      <c r="K563" s="24"/>
      <c r="L563" s="24"/>
      <c r="M563" s="24"/>
      <c r="N563" s="24"/>
      <c r="O563" s="24"/>
      <c r="P563" s="24"/>
      <c r="Q563" s="24"/>
      <c r="R563" s="24"/>
      <c r="S563" s="24"/>
      <c r="T563" s="24"/>
      <c r="U563" s="24"/>
      <c r="V563" s="24"/>
      <c r="W563" s="24"/>
      <c r="X563" s="24"/>
      <c r="Y563" s="24"/>
      <c r="Z563" s="24"/>
      <c r="AA563" s="24"/>
      <c r="AB563" s="24"/>
      <c r="AC563" s="24"/>
    </row>
    <row r="564" spans="1:29" ht="12.9">
      <c r="A564" s="24"/>
      <c r="B564" s="24"/>
      <c r="C564" s="24"/>
      <c r="D564" s="24"/>
      <c r="E564" s="24"/>
      <c r="F564" s="117"/>
      <c r="G564" s="117"/>
      <c r="H564" s="24"/>
      <c r="I564" s="24"/>
      <c r="J564" s="24"/>
      <c r="K564" s="24"/>
      <c r="L564" s="24"/>
      <c r="M564" s="24"/>
      <c r="N564" s="24"/>
      <c r="O564" s="24"/>
      <c r="P564" s="24"/>
      <c r="Q564" s="24"/>
      <c r="R564" s="24"/>
      <c r="S564" s="24"/>
      <c r="T564" s="24"/>
      <c r="U564" s="24"/>
      <c r="V564" s="24"/>
      <c r="W564" s="24"/>
      <c r="X564" s="24"/>
      <c r="Y564" s="24"/>
      <c r="Z564" s="24"/>
      <c r="AA564" s="24"/>
      <c r="AB564" s="24"/>
      <c r="AC564" s="24"/>
    </row>
    <row r="565" spans="1:29" ht="12.9">
      <c r="A565" s="24"/>
      <c r="B565" s="24"/>
      <c r="C565" s="24"/>
      <c r="D565" s="24"/>
      <c r="E565" s="24"/>
      <c r="F565" s="117"/>
      <c r="G565" s="117"/>
      <c r="H565" s="24"/>
      <c r="I565" s="24"/>
      <c r="J565" s="24"/>
      <c r="K565" s="24"/>
      <c r="L565" s="24"/>
      <c r="M565" s="24"/>
      <c r="N565" s="24"/>
      <c r="O565" s="24"/>
      <c r="P565" s="24"/>
      <c r="Q565" s="24"/>
      <c r="R565" s="24"/>
      <c r="S565" s="24"/>
      <c r="T565" s="24"/>
      <c r="U565" s="24"/>
      <c r="V565" s="24"/>
      <c r="W565" s="24"/>
      <c r="X565" s="24"/>
      <c r="Y565" s="24"/>
      <c r="Z565" s="24"/>
      <c r="AA565" s="24"/>
      <c r="AB565" s="24"/>
      <c r="AC565" s="24"/>
    </row>
    <row r="566" spans="1:29" ht="12.9">
      <c r="A566" s="24"/>
      <c r="B566" s="24"/>
      <c r="C566" s="24"/>
      <c r="D566" s="24"/>
      <c r="E566" s="24"/>
      <c r="F566" s="117"/>
      <c r="G566" s="117"/>
      <c r="H566" s="24"/>
      <c r="I566" s="24"/>
      <c r="J566" s="24"/>
      <c r="K566" s="24"/>
      <c r="L566" s="24"/>
      <c r="M566" s="24"/>
      <c r="N566" s="24"/>
      <c r="O566" s="24"/>
      <c r="P566" s="24"/>
      <c r="Q566" s="24"/>
      <c r="R566" s="24"/>
      <c r="S566" s="24"/>
      <c r="T566" s="24"/>
      <c r="U566" s="24"/>
      <c r="V566" s="24"/>
      <c r="W566" s="24"/>
      <c r="X566" s="24"/>
      <c r="Y566" s="24"/>
      <c r="Z566" s="24"/>
      <c r="AA566" s="24"/>
      <c r="AB566" s="24"/>
      <c r="AC566" s="24"/>
    </row>
    <row r="567" spans="1:29" ht="12.9">
      <c r="A567" s="24"/>
      <c r="B567" s="24"/>
      <c r="C567" s="24"/>
      <c r="D567" s="24"/>
      <c r="E567" s="24"/>
      <c r="F567" s="117"/>
      <c r="G567" s="117"/>
      <c r="H567" s="24"/>
      <c r="I567" s="24"/>
      <c r="J567" s="24"/>
      <c r="K567" s="24"/>
      <c r="L567" s="24"/>
      <c r="M567" s="24"/>
      <c r="N567" s="24"/>
      <c r="O567" s="24"/>
      <c r="P567" s="24"/>
      <c r="Q567" s="24"/>
      <c r="R567" s="24"/>
      <c r="S567" s="24"/>
      <c r="T567" s="24"/>
      <c r="U567" s="24"/>
      <c r="V567" s="24"/>
      <c r="W567" s="24"/>
      <c r="X567" s="24"/>
      <c r="Y567" s="24"/>
      <c r="Z567" s="24"/>
      <c r="AA567" s="24"/>
      <c r="AB567" s="24"/>
      <c r="AC567" s="24"/>
    </row>
    <row r="568" spans="1:29" ht="12.9">
      <c r="A568" s="24"/>
      <c r="B568" s="24"/>
      <c r="C568" s="24"/>
      <c r="D568" s="24"/>
      <c r="E568" s="24"/>
      <c r="F568" s="117"/>
      <c r="G568" s="117"/>
      <c r="H568" s="24"/>
      <c r="I568" s="24"/>
      <c r="J568" s="24"/>
      <c r="K568" s="24"/>
      <c r="L568" s="24"/>
      <c r="M568" s="24"/>
      <c r="N568" s="24"/>
      <c r="O568" s="24"/>
      <c r="P568" s="24"/>
      <c r="Q568" s="24"/>
      <c r="R568" s="24"/>
      <c r="S568" s="24"/>
      <c r="T568" s="24"/>
      <c r="U568" s="24"/>
      <c r="V568" s="24"/>
      <c r="W568" s="24"/>
      <c r="X568" s="24"/>
      <c r="Y568" s="24"/>
      <c r="Z568" s="24"/>
      <c r="AA568" s="24"/>
      <c r="AB568" s="24"/>
      <c r="AC568" s="24"/>
    </row>
    <row r="569" spans="1:29" ht="12.9">
      <c r="A569" s="24"/>
      <c r="B569" s="24"/>
      <c r="C569" s="24"/>
      <c r="D569" s="24"/>
      <c r="E569" s="24"/>
      <c r="F569" s="117"/>
      <c r="G569" s="117"/>
      <c r="H569" s="24"/>
      <c r="I569" s="24"/>
      <c r="J569" s="24"/>
      <c r="K569" s="24"/>
      <c r="L569" s="24"/>
      <c r="M569" s="24"/>
      <c r="N569" s="24"/>
      <c r="O569" s="24"/>
      <c r="P569" s="24"/>
      <c r="Q569" s="24"/>
      <c r="R569" s="24"/>
      <c r="S569" s="24"/>
      <c r="T569" s="24"/>
      <c r="U569" s="24"/>
      <c r="V569" s="24"/>
      <c r="W569" s="24"/>
      <c r="X569" s="24"/>
      <c r="Y569" s="24"/>
      <c r="Z569" s="24"/>
      <c r="AA569" s="24"/>
      <c r="AB569" s="24"/>
      <c r="AC569" s="24"/>
    </row>
    <row r="570" spans="1:29" ht="12.9">
      <c r="A570" s="24"/>
      <c r="B570" s="24"/>
      <c r="C570" s="24"/>
      <c r="D570" s="24"/>
      <c r="E570" s="24"/>
      <c r="F570" s="117"/>
      <c r="G570" s="117"/>
      <c r="H570" s="24"/>
      <c r="I570" s="24"/>
      <c r="J570" s="24"/>
      <c r="K570" s="24"/>
      <c r="L570" s="24"/>
      <c r="M570" s="24"/>
      <c r="N570" s="24"/>
      <c r="O570" s="24"/>
      <c r="P570" s="24"/>
      <c r="Q570" s="24"/>
      <c r="R570" s="24"/>
      <c r="S570" s="24"/>
      <c r="T570" s="24"/>
      <c r="U570" s="24"/>
      <c r="V570" s="24"/>
      <c r="W570" s="24"/>
      <c r="X570" s="24"/>
      <c r="Y570" s="24"/>
      <c r="Z570" s="24"/>
      <c r="AA570" s="24"/>
      <c r="AB570" s="24"/>
      <c r="AC570" s="24"/>
    </row>
    <row r="571" spans="1:29" ht="12.9">
      <c r="A571" s="24"/>
      <c r="B571" s="24"/>
      <c r="C571" s="24"/>
      <c r="D571" s="24"/>
      <c r="E571" s="24"/>
      <c r="F571" s="117"/>
      <c r="G571" s="117"/>
      <c r="H571" s="24"/>
      <c r="I571" s="24"/>
      <c r="J571" s="24"/>
      <c r="K571" s="24"/>
      <c r="L571" s="24"/>
      <c r="M571" s="24"/>
      <c r="N571" s="24"/>
      <c r="O571" s="24"/>
      <c r="P571" s="24"/>
      <c r="Q571" s="24"/>
      <c r="R571" s="24"/>
      <c r="S571" s="24"/>
      <c r="T571" s="24"/>
      <c r="U571" s="24"/>
      <c r="V571" s="24"/>
      <c r="W571" s="24"/>
      <c r="X571" s="24"/>
      <c r="Y571" s="24"/>
      <c r="Z571" s="24"/>
      <c r="AA571" s="24"/>
      <c r="AB571" s="24"/>
      <c r="AC571" s="24"/>
    </row>
    <row r="572" spans="1:29" ht="12.9">
      <c r="A572" s="24"/>
      <c r="B572" s="24"/>
      <c r="C572" s="24"/>
      <c r="D572" s="24"/>
      <c r="E572" s="24"/>
      <c r="F572" s="117"/>
      <c r="G572" s="117"/>
      <c r="H572" s="24"/>
      <c r="I572" s="24"/>
      <c r="J572" s="24"/>
      <c r="K572" s="24"/>
      <c r="L572" s="24"/>
      <c r="M572" s="24"/>
      <c r="N572" s="24"/>
      <c r="O572" s="24"/>
      <c r="P572" s="24"/>
      <c r="Q572" s="24"/>
      <c r="R572" s="24"/>
      <c r="S572" s="24"/>
      <c r="T572" s="24"/>
      <c r="U572" s="24"/>
      <c r="V572" s="24"/>
      <c r="W572" s="24"/>
      <c r="X572" s="24"/>
      <c r="Y572" s="24"/>
      <c r="Z572" s="24"/>
      <c r="AA572" s="24"/>
      <c r="AB572" s="24"/>
      <c r="AC572" s="24"/>
    </row>
    <row r="573" spans="1:29" ht="12.9">
      <c r="A573" s="24"/>
      <c r="B573" s="24"/>
      <c r="C573" s="24"/>
      <c r="D573" s="24"/>
      <c r="E573" s="24"/>
      <c r="F573" s="117"/>
      <c r="G573" s="117"/>
      <c r="H573" s="24"/>
      <c r="I573" s="24"/>
      <c r="J573" s="24"/>
      <c r="K573" s="24"/>
      <c r="L573" s="24"/>
      <c r="M573" s="24"/>
      <c r="N573" s="24"/>
      <c r="O573" s="24"/>
      <c r="P573" s="24"/>
      <c r="Q573" s="24"/>
      <c r="R573" s="24"/>
      <c r="S573" s="24"/>
      <c r="T573" s="24"/>
      <c r="U573" s="24"/>
      <c r="V573" s="24"/>
      <c r="W573" s="24"/>
      <c r="X573" s="24"/>
      <c r="Y573" s="24"/>
      <c r="Z573" s="24"/>
      <c r="AA573" s="24"/>
      <c r="AB573" s="24"/>
      <c r="AC573" s="24"/>
    </row>
    <row r="574" spans="1:29" ht="12.9">
      <c r="A574" s="24"/>
      <c r="B574" s="24"/>
      <c r="C574" s="24"/>
      <c r="D574" s="24"/>
      <c r="E574" s="24"/>
      <c r="F574" s="117"/>
      <c r="G574" s="117"/>
      <c r="H574" s="24"/>
      <c r="I574" s="24"/>
      <c r="J574" s="24"/>
      <c r="K574" s="24"/>
      <c r="L574" s="24"/>
      <c r="M574" s="24"/>
      <c r="N574" s="24"/>
      <c r="O574" s="24"/>
      <c r="P574" s="24"/>
      <c r="Q574" s="24"/>
      <c r="R574" s="24"/>
      <c r="S574" s="24"/>
      <c r="T574" s="24"/>
      <c r="U574" s="24"/>
      <c r="V574" s="24"/>
      <c r="W574" s="24"/>
      <c r="X574" s="24"/>
      <c r="Y574" s="24"/>
      <c r="Z574" s="24"/>
      <c r="AA574" s="24"/>
      <c r="AB574" s="24"/>
      <c r="AC574" s="24"/>
    </row>
    <row r="575" spans="1:29" ht="12.9">
      <c r="A575" s="24"/>
      <c r="B575" s="24"/>
      <c r="C575" s="24"/>
      <c r="D575" s="24"/>
      <c r="E575" s="24"/>
      <c r="F575" s="117"/>
      <c r="G575" s="117"/>
      <c r="H575" s="24"/>
      <c r="I575" s="24"/>
      <c r="J575" s="24"/>
      <c r="K575" s="24"/>
      <c r="L575" s="24"/>
      <c r="M575" s="24"/>
      <c r="N575" s="24"/>
      <c r="O575" s="24"/>
      <c r="P575" s="24"/>
      <c r="Q575" s="24"/>
      <c r="R575" s="24"/>
      <c r="S575" s="24"/>
      <c r="T575" s="24"/>
      <c r="U575" s="24"/>
      <c r="V575" s="24"/>
      <c r="W575" s="24"/>
      <c r="X575" s="24"/>
      <c r="Y575" s="24"/>
      <c r="Z575" s="24"/>
      <c r="AA575" s="24"/>
      <c r="AB575" s="24"/>
      <c r="AC575" s="24"/>
    </row>
    <row r="576" spans="1:29" ht="12.9">
      <c r="A576" s="24"/>
      <c r="B576" s="24"/>
      <c r="C576" s="24"/>
      <c r="D576" s="24"/>
      <c r="E576" s="24"/>
      <c r="F576" s="117"/>
      <c r="G576" s="117"/>
      <c r="H576" s="24"/>
      <c r="I576" s="24"/>
      <c r="J576" s="24"/>
      <c r="K576" s="24"/>
      <c r="L576" s="24"/>
      <c r="M576" s="24"/>
      <c r="N576" s="24"/>
      <c r="O576" s="24"/>
      <c r="P576" s="24"/>
      <c r="Q576" s="24"/>
      <c r="R576" s="24"/>
      <c r="S576" s="24"/>
      <c r="T576" s="24"/>
      <c r="U576" s="24"/>
      <c r="V576" s="24"/>
      <c r="W576" s="24"/>
      <c r="X576" s="24"/>
      <c r="Y576" s="24"/>
      <c r="Z576" s="24"/>
      <c r="AA576" s="24"/>
      <c r="AB576" s="24"/>
      <c r="AC576" s="24"/>
    </row>
    <row r="577" spans="1:29" ht="12.9">
      <c r="A577" s="24"/>
      <c r="B577" s="24"/>
      <c r="C577" s="24"/>
      <c r="D577" s="24"/>
      <c r="E577" s="24"/>
      <c r="F577" s="117"/>
      <c r="G577" s="117"/>
      <c r="H577" s="24"/>
      <c r="I577" s="24"/>
      <c r="J577" s="24"/>
      <c r="K577" s="24"/>
      <c r="L577" s="24"/>
      <c r="M577" s="24"/>
      <c r="N577" s="24"/>
      <c r="O577" s="24"/>
      <c r="P577" s="24"/>
      <c r="Q577" s="24"/>
      <c r="R577" s="24"/>
      <c r="S577" s="24"/>
      <c r="T577" s="24"/>
      <c r="U577" s="24"/>
      <c r="V577" s="24"/>
      <c r="W577" s="24"/>
      <c r="X577" s="24"/>
      <c r="Y577" s="24"/>
      <c r="Z577" s="24"/>
      <c r="AA577" s="24"/>
      <c r="AB577" s="24"/>
      <c r="AC577" s="24"/>
    </row>
    <row r="578" spans="1:29" ht="12.9">
      <c r="A578" s="24"/>
      <c r="B578" s="24"/>
      <c r="C578" s="24"/>
      <c r="D578" s="24"/>
      <c r="E578" s="24"/>
      <c r="F578" s="117"/>
      <c r="G578" s="117"/>
      <c r="H578" s="24"/>
      <c r="I578" s="24"/>
      <c r="J578" s="24"/>
      <c r="K578" s="24"/>
      <c r="L578" s="24"/>
      <c r="M578" s="24"/>
      <c r="N578" s="24"/>
      <c r="O578" s="24"/>
      <c r="P578" s="24"/>
      <c r="Q578" s="24"/>
      <c r="R578" s="24"/>
      <c r="S578" s="24"/>
      <c r="T578" s="24"/>
      <c r="U578" s="24"/>
      <c r="V578" s="24"/>
      <c r="W578" s="24"/>
      <c r="X578" s="24"/>
      <c r="Y578" s="24"/>
      <c r="Z578" s="24"/>
      <c r="AA578" s="24"/>
      <c r="AB578" s="24"/>
      <c r="AC578" s="24"/>
    </row>
    <row r="579" spans="1:29" ht="12.9">
      <c r="A579" s="24"/>
      <c r="B579" s="24"/>
      <c r="C579" s="24"/>
      <c r="D579" s="24"/>
      <c r="E579" s="24"/>
      <c r="F579" s="117"/>
      <c r="G579" s="117"/>
      <c r="H579" s="24"/>
      <c r="I579" s="24"/>
      <c r="J579" s="24"/>
      <c r="K579" s="24"/>
      <c r="L579" s="24"/>
      <c r="M579" s="24"/>
      <c r="N579" s="24"/>
      <c r="O579" s="24"/>
      <c r="P579" s="24"/>
      <c r="Q579" s="24"/>
      <c r="R579" s="24"/>
      <c r="S579" s="24"/>
      <c r="T579" s="24"/>
      <c r="U579" s="24"/>
      <c r="V579" s="24"/>
      <c r="W579" s="24"/>
      <c r="X579" s="24"/>
      <c r="Y579" s="24"/>
      <c r="Z579" s="24"/>
      <c r="AA579" s="24"/>
      <c r="AB579" s="24"/>
      <c r="AC579" s="24"/>
    </row>
    <row r="580" spans="1:29" ht="12.9">
      <c r="A580" s="24"/>
      <c r="B580" s="24"/>
      <c r="C580" s="24"/>
      <c r="D580" s="24"/>
      <c r="E580" s="24"/>
      <c r="F580" s="117"/>
      <c r="G580" s="117"/>
      <c r="H580" s="24"/>
      <c r="I580" s="24"/>
      <c r="J580" s="24"/>
      <c r="K580" s="24"/>
      <c r="L580" s="24"/>
      <c r="M580" s="24"/>
      <c r="N580" s="24"/>
      <c r="O580" s="24"/>
      <c r="P580" s="24"/>
      <c r="Q580" s="24"/>
      <c r="R580" s="24"/>
      <c r="S580" s="24"/>
      <c r="T580" s="24"/>
      <c r="U580" s="24"/>
      <c r="V580" s="24"/>
      <c r="W580" s="24"/>
      <c r="X580" s="24"/>
      <c r="Y580" s="24"/>
      <c r="Z580" s="24"/>
      <c r="AA580" s="24"/>
      <c r="AB580" s="24"/>
      <c r="AC580" s="24"/>
    </row>
    <row r="581" spans="1:29" ht="12.9">
      <c r="A581" s="24"/>
      <c r="B581" s="24"/>
      <c r="C581" s="24"/>
      <c r="D581" s="24"/>
      <c r="E581" s="24"/>
      <c r="F581" s="117"/>
      <c r="G581" s="117"/>
      <c r="H581" s="24"/>
      <c r="I581" s="24"/>
      <c r="J581" s="24"/>
      <c r="K581" s="24"/>
      <c r="L581" s="24"/>
      <c r="M581" s="24"/>
      <c r="N581" s="24"/>
      <c r="O581" s="24"/>
      <c r="P581" s="24"/>
      <c r="Q581" s="24"/>
      <c r="R581" s="24"/>
      <c r="S581" s="24"/>
      <c r="T581" s="24"/>
      <c r="U581" s="24"/>
      <c r="V581" s="24"/>
      <c r="W581" s="24"/>
      <c r="X581" s="24"/>
      <c r="Y581" s="24"/>
      <c r="Z581" s="24"/>
      <c r="AA581" s="24"/>
      <c r="AB581" s="24"/>
      <c r="AC581" s="24"/>
    </row>
    <row r="582" spans="1:29" ht="12.9">
      <c r="A582" s="24"/>
      <c r="B582" s="24"/>
      <c r="C582" s="24"/>
      <c r="D582" s="24"/>
      <c r="E582" s="24"/>
      <c r="F582" s="117"/>
      <c r="G582" s="117"/>
      <c r="H582" s="24"/>
      <c r="I582" s="24"/>
      <c r="J582" s="24"/>
      <c r="K582" s="24"/>
      <c r="L582" s="24"/>
      <c r="M582" s="24"/>
      <c r="N582" s="24"/>
      <c r="O582" s="24"/>
      <c r="P582" s="24"/>
      <c r="Q582" s="24"/>
      <c r="R582" s="24"/>
      <c r="S582" s="24"/>
      <c r="T582" s="24"/>
      <c r="U582" s="24"/>
      <c r="V582" s="24"/>
      <c r="W582" s="24"/>
      <c r="X582" s="24"/>
      <c r="Y582" s="24"/>
      <c r="Z582" s="24"/>
      <c r="AA582" s="24"/>
      <c r="AB582" s="24"/>
      <c r="AC582" s="24"/>
    </row>
    <row r="583" spans="1:29" ht="12.9">
      <c r="A583" s="24"/>
      <c r="B583" s="24"/>
      <c r="C583" s="24"/>
      <c r="D583" s="24"/>
      <c r="E583" s="24"/>
      <c r="F583" s="117"/>
      <c r="G583" s="117"/>
      <c r="H583" s="24"/>
      <c r="I583" s="24"/>
      <c r="J583" s="24"/>
      <c r="K583" s="24"/>
      <c r="L583" s="24"/>
      <c r="M583" s="24"/>
      <c r="N583" s="24"/>
      <c r="O583" s="24"/>
      <c r="P583" s="24"/>
      <c r="Q583" s="24"/>
      <c r="R583" s="24"/>
      <c r="S583" s="24"/>
      <c r="T583" s="24"/>
      <c r="U583" s="24"/>
      <c r="V583" s="24"/>
      <c r="W583" s="24"/>
      <c r="X583" s="24"/>
      <c r="Y583" s="24"/>
      <c r="Z583" s="24"/>
      <c r="AA583" s="24"/>
      <c r="AB583" s="24"/>
      <c r="AC583" s="24"/>
    </row>
    <row r="584" spans="1:29" ht="12.9">
      <c r="A584" s="24"/>
      <c r="B584" s="24"/>
      <c r="C584" s="24"/>
      <c r="D584" s="24"/>
      <c r="E584" s="24"/>
      <c r="F584" s="117"/>
      <c r="G584" s="117"/>
      <c r="H584" s="24"/>
      <c r="I584" s="24"/>
      <c r="J584" s="24"/>
      <c r="K584" s="24"/>
      <c r="L584" s="24"/>
      <c r="M584" s="24"/>
      <c r="N584" s="24"/>
      <c r="O584" s="24"/>
      <c r="P584" s="24"/>
      <c r="Q584" s="24"/>
      <c r="R584" s="24"/>
      <c r="S584" s="24"/>
      <c r="T584" s="24"/>
      <c r="U584" s="24"/>
      <c r="V584" s="24"/>
      <c r="W584" s="24"/>
      <c r="X584" s="24"/>
      <c r="Y584" s="24"/>
      <c r="Z584" s="24"/>
      <c r="AA584" s="24"/>
      <c r="AB584" s="24"/>
      <c r="AC584" s="24"/>
    </row>
    <row r="585" spans="1:29" ht="12.9">
      <c r="A585" s="24"/>
      <c r="B585" s="24"/>
      <c r="C585" s="24"/>
      <c r="D585" s="24"/>
      <c r="E585" s="24"/>
      <c r="F585" s="117"/>
      <c r="G585" s="117"/>
      <c r="H585" s="24"/>
      <c r="I585" s="24"/>
      <c r="J585" s="24"/>
      <c r="K585" s="24"/>
      <c r="L585" s="24"/>
      <c r="M585" s="24"/>
      <c r="N585" s="24"/>
      <c r="O585" s="24"/>
      <c r="P585" s="24"/>
      <c r="Q585" s="24"/>
      <c r="R585" s="24"/>
      <c r="S585" s="24"/>
      <c r="T585" s="24"/>
      <c r="U585" s="24"/>
      <c r="V585" s="24"/>
      <c r="W585" s="24"/>
      <c r="X585" s="24"/>
      <c r="Y585" s="24"/>
      <c r="Z585" s="24"/>
      <c r="AA585" s="24"/>
      <c r="AB585" s="24"/>
      <c r="AC585" s="24"/>
    </row>
    <row r="586" spans="1:29" ht="12.9">
      <c r="A586" s="24"/>
      <c r="B586" s="24"/>
      <c r="C586" s="24"/>
      <c r="D586" s="24"/>
      <c r="E586" s="24"/>
      <c r="F586" s="117"/>
      <c r="G586" s="117"/>
      <c r="H586" s="24"/>
      <c r="I586" s="24"/>
      <c r="J586" s="24"/>
      <c r="K586" s="24"/>
      <c r="L586" s="24"/>
      <c r="M586" s="24"/>
      <c r="N586" s="24"/>
      <c r="O586" s="24"/>
      <c r="P586" s="24"/>
      <c r="Q586" s="24"/>
      <c r="R586" s="24"/>
      <c r="S586" s="24"/>
      <c r="T586" s="24"/>
      <c r="U586" s="24"/>
      <c r="V586" s="24"/>
      <c r="W586" s="24"/>
      <c r="X586" s="24"/>
      <c r="Y586" s="24"/>
      <c r="Z586" s="24"/>
      <c r="AA586" s="24"/>
      <c r="AB586" s="24"/>
      <c r="AC586" s="24"/>
    </row>
    <row r="587" spans="1:29" ht="12.9">
      <c r="A587" s="24"/>
      <c r="B587" s="24"/>
      <c r="C587" s="24"/>
      <c r="D587" s="24"/>
      <c r="E587" s="24"/>
      <c r="F587" s="117"/>
      <c r="G587" s="117"/>
      <c r="H587" s="24"/>
      <c r="I587" s="24"/>
      <c r="J587" s="24"/>
      <c r="K587" s="24"/>
      <c r="L587" s="24"/>
      <c r="M587" s="24"/>
      <c r="N587" s="24"/>
      <c r="O587" s="24"/>
      <c r="P587" s="24"/>
      <c r="Q587" s="24"/>
      <c r="R587" s="24"/>
      <c r="S587" s="24"/>
      <c r="T587" s="24"/>
      <c r="U587" s="24"/>
      <c r="V587" s="24"/>
      <c r="W587" s="24"/>
      <c r="X587" s="24"/>
      <c r="Y587" s="24"/>
      <c r="Z587" s="24"/>
      <c r="AA587" s="24"/>
      <c r="AB587" s="24"/>
      <c r="AC587" s="24"/>
    </row>
    <row r="588" spans="1:29" ht="12.9">
      <c r="A588" s="24"/>
      <c r="B588" s="24"/>
      <c r="C588" s="24"/>
      <c r="D588" s="24"/>
      <c r="E588" s="24"/>
      <c r="F588" s="117"/>
      <c r="G588" s="117"/>
      <c r="H588" s="24"/>
      <c r="I588" s="24"/>
      <c r="J588" s="24"/>
      <c r="K588" s="24"/>
      <c r="L588" s="24"/>
      <c r="M588" s="24"/>
      <c r="N588" s="24"/>
      <c r="O588" s="24"/>
      <c r="P588" s="24"/>
      <c r="Q588" s="24"/>
      <c r="R588" s="24"/>
      <c r="S588" s="24"/>
      <c r="T588" s="24"/>
      <c r="U588" s="24"/>
      <c r="V588" s="24"/>
      <c r="W588" s="24"/>
      <c r="X588" s="24"/>
      <c r="Y588" s="24"/>
      <c r="Z588" s="24"/>
      <c r="AA588" s="24"/>
      <c r="AB588" s="24"/>
      <c r="AC588" s="24"/>
    </row>
    <row r="589" spans="1:29" ht="12.9">
      <c r="A589" s="24"/>
      <c r="B589" s="24"/>
      <c r="C589" s="24"/>
      <c r="D589" s="24"/>
      <c r="E589" s="24"/>
      <c r="F589" s="117"/>
      <c r="G589" s="117"/>
      <c r="H589" s="24"/>
      <c r="I589" s="24"/>
      <c r="J589" s="24"/>
      <c r="K589" s="24"/>
      <c r="L589" s="24"/>
      <c r="M589" s="24"/>
      <c r="N589" s="24"/>
      <c r="O589" s="24"/>
      <c r="P589" s="24"/>
      <c r="Q589" s="24"/>
      <c r="R589" s="24"/>
      <c r="S589" s="24"/>
      <c r="T589" s="24"/>
      <c r="U589" s="24"/>
      <c r="V589" s="24"/>
      <c r="W589" s="24"/>
      <c r="X589" s="24"/>
      <c r="Y589" s="24"/>
      <c r="Z589" s="24"/>
      <c r="AA589" s="24"/>
      <c r="AB589" s="24"/>
      <c r="AC589" s="24"/>
    </row>
    <row r="590" spans="1:29" ht="12.9">
      <c r="A590" s="24"/>
      <c r="B590" s="24"/>
      <c r="C590" s="24"/>
      <c r="D590" s="24"/>
      <c r="E590" s="24"/>
      <c r="F590" s="117"/>
      <c r="G590" s="117"/>
      <c r="H590" s="24"/>
      <c r="I590" s="24"/>
      <c r="J590" s="24"/>
      <c r="K590" s="24"/>
      <c r="L590" s="24"/>
      <c r="M590" s="24"/>
      <c r="N590" s="24"/>
      <c r="O590" s="24"/>
      <c r="P590" s="24"/>
      <c r="Q590" s="24"/>
      <c r="R590" s="24"/>
      <c r="S590" s="24"/>
      <c r="T590" s="24"/>
      <c r="U590" s="24"/>
      <c r="V590" s="24"/>
      <c r="W590" s="24"/>
      <c r="X590" s="24"/>
      <c r="Y590" s="24"/>
      <c r="Z590" s="24"/>
      <c r="AA590" s="24"/>
      <c r="AB590" s="24"/>
      <c r="AC590" s="24"/>
    </row>
    <row r="591" spans="1:29" ht="12.9">
      <c r="A591" s="24"/>
      <c r="B591" s="24"/>
      <c r="C591" s="24"/>
      <c r="D591" s="24"/>
      <c r="E591" s="24"/>
      <c r="F591" s="117"/>
      <c r="G591" s="117"/>
      <c r="H591" s="24"/>
      <c r="I591" s="24"/>
      <c r="J591" s="24"/>
      <c r="K591" s="24"/>
      <c r="L591" s="24"/>
      <c r="M591" s="24"/>
      <c r="N591" s="24"/>
      <c r="O591" s="24"/>
      <c r="P591" s="24"/>
      <c r="Q591" s="24"/>
      <c r="R591" s="24"/>
      <c r="S591" s="24"/>
      <c r="T591" s="24"/>
      <c r="U591" s="24"/>
      <c r="V591" s="24"/>
      <c r="W591" s="24"/>
      <c r="X591" s="24"/>
      <c r="Y591" s="24"/>
      <c r="Z591" s="24"/>
      <c r="AA591" s="24"/>
      <c r="AB591" s="24"/>
      <c r="AC591" s="24"/>
    </row>
    <row r="592" spans="1:29" ht="12.9">
      <c r="A592" s="24"/>
      <c r="B592" s="24"/>
      <c r="C592" s="24"/>
      <c r="D592" s="24"/>
      <c r="E592" s="24"/>
      <c r="F592" s="117"/>
      <c r="G592" s="117"/>
      <c r="H592" s="24"/>
      <c r="I592" s="24"/>
      <c r="J592" s="24"/>
      <c r="K592" s="24"/>
      <c r="L592" s="24"/>
      <c r="M592" s="24"/>
      <c r="N592" s="24"/>
      <c r="O592" s="24"/>
      <c r="P592" s="24"/>
      <c r="Q592" s="24"/>
      <c r="R592" s="24"/>
      <c r="S592" s="24"/>
      <c r="T592" s="24"/>
      <c r="U592" s="24"/>
      <c r="V592" s="24"/>
      <c r="W592" s="24"/>
      <c r="X592" s="24"/>
      <c r="Y592" s="24"/>
      <c r="Z592" s="24"/>
      <c r="AA592" s="24"/>
      <c r="AB592" s="24"/>
      <c r="AC592" s="24"/>
    </row>
    <row r="593" spans="1:29" ht="12.9">
      <c r="A593" s="24"/>
      <c r="B593" s="24"/>
      <c r="C593" s="24"/>
      <c r="D593" s="24"/>
      <c r="E593" s="24"/>
      <c r="F593" s="117"/>
      <c r="G593" s="117"/>
      <c r="H593" s="24"/>
      <c r="I593" s="24"/>
      <c r="J593" s="24"/>
      <c r="K593" s="24"/>
      <c r="L593" s="24"/>
      <c r="M593" s="24"/>
      <c r="N593" s="24"/>
      <c r="O593" s="24"/>
      <c r="P593" s="24"/>
      <c r="Q593" s="24"/>
      <c r="R593" s="24"/>
      <c r="S593" s="24"/>
      <c r="T593" s="24"/>
      <c r="U593" s="24"/>
      <c r="V593" s="24"/>
      <c r="W593" s="24"/>
      <c r="X593" s="24"/>
      <c r="Y593" s="24"/>
      <c r="Z593" s="24"/>
      <c r="AA593" s="24"/>
      <c r="AB593" s="24"/>
      <c r="AC593" s="24"/>
    </row>
    <row r="594" spans="1:29" ht="12.9">
      <c r="A594" s="24"/>
      <c r="B594" s="24"/>
      <c r="C594" s="24"/>
      <c r="D594" s="24"/>
      <c r="E594" s="24"/>
      <c r="F594" s="117"/>
      <c r="G594" s="117"/>
      <c r="H594" s="24"/>
      <c r="I594" s="24"/>
      <c r="J594" s="24"/>
      <c r="K594" s="24"/>
      <c r="L594" s="24"/>
      <c r="M594" s="24"/>
      <c r="N594" s="24"/>
      <c r="O594" s="24"/>
      <c r="P594" s="24"/>
      <c r="Q594" s="24"/>
      <c r="R594" s="24"/>
      <c r="S594" s="24"/>
      <c r="T594" s="24"/>
      <c r="U594" s="24"/>
      <c r="V594" s="24"/>
      <c r="W594" s="24"/>
      <c r="X594" s="24"/>
      <c r="Y594" s="24"/>
      <c r="Z594" s="24"/>
      <c r="AA594" s="24"/>
      <c r="AB594" s="24"/>
      <c r="AC594" s="24"/>
    </row>
    <row r="595" spans="1:29" ht="12.9">
      <c r="A595" s="24"/>
      <c r="B595" s="24"/>
      <c r="C595" s="24"/>
      <c r="D595" s="24"/>
      <c r="E595" s="24"/>
      <c r="F595" s="117"/>
      <c r="G595" s="117"/>
      <c r="H595" s="24"/>
      <c r="I595" s="24"/>
      <c r="J595" s="24"/>
      <c r="K595" s="24"/>
      <c r="L595" s="24"/>
      <c r="M595" s="24"/>
      <c r="N595" s="24"/>
      <c r="O595" s="24"/>
      <c r="P595" s="24"/>
      <c r="Q595" s="24"/>
      <c r="R595" s="24"/>
      <c r="S595" s="24"/>
      <c r="T595" s="24"/>
      <c r="U595" s="24"/>
      <c r="V595" s="24"/>
      <c r="W595" s="24"/>
      <c r="X595" s="24"/>
      <c r="Y595" s="24"/>
      <c r="Z595" s="24"/>
      <c r="AA595" s="24"/>
      <c r="AB595" s="24"/>
      <c r="AC595" s="24"/>
    </row>
    <row r="596" spans="1:29" ht="12.9">
      <c r="A596" s="24"/>
      <c r="B596" s="24"/>
      <c r="C596" s="24"/>
      <c r="D596" s="24"/>
      <c r="E596" s="24"/>
      <c r="F596" s="117"/>
      <c r="G596" s="117"/>
      <c r="H596" s="24"/>
      <c r="I596" s="24"/>
      <c r="J596" s="24"/>
      <c r="K596" s="24"/>
      <c r="L596" s="24"/>
      <c r="M596" s="24"/>
      <c r="N596" s="24"/>
      <c r="O596" s="24"/>
      <c r="P596" s="24"/>
      <c r="Q596" s="24"/>
      <c r="R596" s="24"/>
      <c r="S596" s="24"/>
      <c r="T596" s="24"/>
      <c r="U596" s="24"/>
      <c r="V596" s="24"/>
      <c r="W596" s="24"/>
      <c r="X596" s="24"/>
      <c r="Y596" s="24"/>
      <c r="Z596" s="24"/>
      <c r="AA596" s="24"/>
      <c r="AB596" s="24"/>
      <c r="AC596" s="24"/>
    </row>
    <row r="597" spans="1:29" ht="12.9">
      <c r="A597" s="24"/>
      <c r="B597" s="24"/>
      <c r="C597" s="24"/>
      <c r="D597" s="24"/>
      <c r="E597" s="24"/>
      <c r="F597" s="117"/>
      <c r="G597" s="117"/>
      <c r="H597" s="24"/>
      <c r="I597" s="24"/>
      <c r="J597" s="24"/>
      <c r="K597" s="24"/>
      <c r="L597" s="24"/>
      <c r="M597" s="24"/>
      <c r="N597" s="24"/>
      <c r="O597" s="24"/>
      <c r="P597" s="24"/>
      <c r="Q597" s="24"/>
      <c r="R597" s="24"/>
      <c r="S597" s="24"/>
      <c r="T597" s="24"/>
      <c r="U597" s="24"/>
      <c r="V597" s="24"/>
      <c r="W597" s="24"/>
      <c r="X597" s="24"/>
      <c r="Y597" s="24"/>
      <c r="Z597" s="24"/>
      <c r="AA597" s="24"/>
      <c r="AB597" s="24"/>
      <c r="AC597" s="24"/>
    </row>
    <row r="598" spans="1:29" ht="12.9">
      <c r="A598" s="24"/>
      <c r="B598" s="24"/>
      <c r="C598" s="24"/>
      <c r="D598" s="24"/>
      <c r="E598" s="24"/>
      <c r="F598" s="117"/>
      <c r="G598" s="117"/>
      <c r="H598" s="24"/>
      <c r="I598" s="24"/>
      <c r="J598" s="24"/>
      <c r="K598" s="24"/>
      <c r="L598" s="24"/>
      <c r="M598" s="24"/>
      <c r="N598" s="24"/>
      <c r="O598" s="24"/>
      <c r="P598" s="24"/>
      <c r="Q598" s="24"/>
      <c r="R598" s="24"/>
      <c r="S598" s="24"/>
      <c r="T598" s="24"/>
      <c r="U598" s="24"/>
      <c r="V598" s="24"/>
      <c r="W598" s="24"/>
      <c r="X598" s="24"/>
      <c r="Y598" s="24"/>
      <c r="Z598" s="24"/>
      <c r="AA598" s="24"/>
      <c r="AB598" s="24"/>
      <c r="AC598" s="24"/>
    </row>
    <row r="599" spans="1:29" ht="12.9">
      <c r="A599" s="24"/>
      <c r="B599" s="24"/>
      <c r="C599" s="24"/>
      <c r="D599" s="24"/>
      <c r="E599" s="24"/>
      <c r="F599" s="117"/>
      <c r="G599" s="117"/>
      <c r="H599" s="24"/>
      <c r="I599" s="24"/>
      <c r="J599" s="24"/>
      <c r="K599" s="24"/>
      <c r="L599" s="24"/>
      <c r="M599" s="24"/>
      <c r="N599" s="24"/>
      <c r="O599" s="24"/>
      <c r="P599" s="24"/>
      <c r="Q599" s="24"/>
      <c r="R599" s="24"/>
      <c r="S599" s="24"/>
      <c r="T599" s="24"/>
      <c r="U599" s="24"/>
      <c r="V599" s="24"/>
      <c r="W599" s="24"/>
      <c r="X599" s="24"/>
      <c r="Y599" s="24"/>
      <c r="Z599" s="24"/>
      <c r="AA599" s="24"/>
      <c r="AB599" s="24"/>
      <c r="AC599" s="24"/>
    </row>
    <row r="600" spans="1:29" ht="12.9">
      <c r="A600" s="24"/>
      <c r="B600" s="24"/>
      <c r="C600" s="24"/>
      <c r="D600" s="24"/>
      <c r="E600" s="24"/>
      <c r="F600" s="117"/>
      <c r="G600" s="117"/>
      <c r="H600" s="24"/>
      <c r="I600" s="24"/>
      <c r="J600" s="24"/>
      <c r="K600" s="24"/>
      <c r="L600" s="24"/>
      <c r="M600" s="24"/>
      <c r="N600" s="24"/>
      <c r="O600" s="24"/>
      <c r="P600" s="24"/>
      <c r="Q600" s="24"/>
      <c r="R600" s="24"/>
      <c r="S600" s="24"/>
      <c r="T600" s="24"/>
      <c r="U600" s="24"/>
      <c r="V600" s="24"/>
      <c r="W600" s="24"/>
      <c r="X600" s="24"/>
      <c r="Y600" s="24"/>
      <c r="Z600" s="24"/>
      <c r="AA600" s="24"/>
      <c r="AB600" s="24"/>
      <c r="AC600" s="24"/>
    </row>
    <row r="601" spans="1:29" ht="12.9">
      <c r="A601" s="24"/>
      <c r="B601" s="24"/>
      <c r="C601" s="24"/>
      <c r="D601" s="24"/>
      <c r="E601" s="24"/>
      <c r="F601" s="117"/>
      <c r="G601" s="117"/>
      <c r="H601" s="24"/>
      <c r="I601" s="24"/>
      <c r="J601" s="24"/>
      <c r="K601" s="24"/>
      <c r="L601" s="24"/>
      <c r="M601" s="24"/>
      <c r="N601" s="24"/>
      <c r="O601" s="24"/>
      <c r="P601" s="24"/>
      <c r="Q601" s="24"/>
      <c r="R601" s="24"/>
      <c r="S601" s="24"/>
      <c r="T601" s="24"/>
      <c r="U601" s="24"/>
      <c r="V601" s="24"/>
      <c r="W601" s="24"/>
      <c r="X601" s="24"/>
      <c r="Y601" s="24"/>
      <c r="Z601" s="24"/>
      <c r="AA601" s="24"/>
      <c r="AB601" s="24"/>
      <c r="AC601" s="24"/>
    </row>
    <row r="602" spans="1:29" ht="12.9">
      <c r="A602" s="24"/>
      <c r="B602" s="24"/>
      <c r="C602" s="24"/>
      <c r="D602" s="24"/>
      <c r="E602" s="24"/>
      <c r="F602" s="117"/>
      <c r="G602" s="117"/>
      <c r="H602" s="24"/>
      <c r="I602" s="24"/>
      <c r="J602" s="24"/>
      <c r="K602" s="24"/>
      <c r="L602" s="24"/>
      <c r="M602" s="24"/>
      <c r="N602" s="24"/>
      <c r="O602" s="24"/>
      <c r="P602" s="24"/>
      <c r="Q602" s="24"/>
      <c r="R602" s="24"/>
      <c r="S602" s="24"/>
      <c r="T602" s="24"/>
      <c r="U602" s="24"/>
      <c r="V602" s="24"/>
      <c r="W602" s="24"/>
      <c r="X602" s="24"/>
      <c r="Y602" s="24"/>
      <c r="Z602" s="24"/>
      <c r="AA602" s="24"/>
      <c r="AB602" s="24"/>
      <c r="AC602" s="24"/>
    </row>
    <row r="603" spans="1:29" ht="12.9">
      <c r="A603" s="24"/>
      <c r="B603" s="24"/>
      <c r="C603" s="24"/>
      <c r="D603" s="24"/>
      <c r="E603" s="24"/>
      <c r="F603" s="117"/>
      <c r="G603" s="117"/>
      <c r="H603" s="24"/>
      <c r="I603" s="24"/>
      <c r="J603" s="24"/>
      <c r="K603" s="24"/>
      <c r="L603" s="24"/>
      <c r="M603" s="24"/>
      <c r="N603" s="24"/>
      <c r="O603" s="24"/>
      <c r="P603" s="24"/>
      <c r="Q603" s="24"/>
      <c r="R603" s="24"/>
      <c r="S603" s="24"/>
      <c r="T603" s="24"/>
      <c r="U603" s="24"/>
      <c r="V603" s="24"/>
      <c r="W603" s="24"/>
      <c r="X603" s="24"/>
      <c r="Y603" s="24"/>
      <c r="Z603" s="24"/>
      <c r="AA603" s="24"/>
      <c r="AB603" s="24"/>
      <c r="AC603" s="24"/>
    </row>
    <row r="604" spans="1:29" ht="12.9">
      <c r="A604" s="24"/>
      <c r="B604" s="24"/>
      <c r="C604" s="24"/>
      <c r="D604" s="24"/>
      <c r="E604" s="24"/>
      <c r="F604" s="117"/>
      <c r="G604" s="117"/>
      <c r="H604" s="24"/>
      <c r="I604" s="24"/>
      <c r="J604" s="24"/>
      <c r="K604" s="24"/>
      <c r="L604" s="24"/>
      <c r="M604" s="24"/>
      <c r="N604" s="24"/>
      <c r="O604" s="24"/>
      <c r="P604" s="24"/>
      <c r="Q604" s="24"/>
      <c r="R604" s="24"/>
      <c r="S604" s="24"/>
      <c r="T604" s="24"/>
      <c r="U604" s="24"/>
      <c r="V604" s="24"/>
      <c r="W604" s="24"/>
      <c r="X604" s="24"/>
      <c r="Y604" s="24"/>
      <c r="Z604" s="24"/>
      <c r="AA604" s="24"/>
      <c r="AB604" s="24"/>
      <c r="AC604" s="24"/>
    </row>
    <row r="605" spans="1:29" ht="12.9">
      <c r="A605" s="24"/>
      <c r="B605" s="24"/>
      <c r="C605" s="24"/>
      <c r="D605" s="24"/>
      <c r="E605" s="24"/>
      <c r="F605" s="117"/>
      <c r="G605" s="117"/>
      <c r="H605" s="24"/>
      <c r="I605" s="24"/>
      <c r="J605" s="24"/>
      <c r="K605" s="24"/>
      <c r="L605" s="24"/>
      <c r="M605" s="24"/>
      <c r="N605" s="24"/>
      <c r="O605" s="24"/>
      <c r="P605" s="24"/>
      <c r="Q605" s="24"/>
      <c r="R605" s="24"/>
      <c r="S605" s="24"/>
      <c r="T605" s="24"/>
      <c r="U605" s="24"/>
      <c r="V605" s="24"/>
      <c r="W605" s="24"/>
      <c r="X605" s="24"/>
      <c r="Y605" s="24"/>
      <c r="Z605" s="24"/>
      <c r="AA605" s="24"/>
      <c r="AB605" s="24"/>
      <c r="AC605" s="24"/>
    </row>
    <row r="606" spans="1:29" ht="12.9">
      <c r="A606" s="24"/>
      <c r="B606" s="24"/>
      <c r="C606" s="24"/>
      <c r="D606" s="24"/>
      <c r="E606" s="24"/>
      <c r="F606" s="117"/>
      <c r="G606" s="117"/>
      <c r="H606" s="24"/>
      <c r="I606" s="24"/>
      <c r="J606" s="24"/>
      <c r="K606" s="24"/>
      <c r="L606" s="24"/>
      <c r="M606" s="24"/>
      <c r="N606" s="24"/>
      <c r="O606" s="24"/>
      <c r="P606" s="24"/>
      <c r="Q606" s="24"/>
      <c r="R606" s="24"/>
      <c r="S606" s="24"/>
      <c r="T606" s="24"/>
      <c r="U606" s="24"/>
      <c r="V606" s="24"/>
      <c r="W606" s="24"/>
      <c r="X606" s="24"/>
      <c r="Y606" s="24"/>
      <c r="Z606" s="24"/>
      <c r="AA606" s="24"/>
      <c r="AB606" s="24"/>
      <c r="AC606" s="24"/>
    </row>
    <row r="607" spans="1:29" ht="12.9">
      <c r="A607" s="24"/>
      <c r="B607" s="24"/>
      <c r="C607" s="24"/>
      <c r="D607" s="24"/>
      <c r="E607" s="24"/>
      <c r="F607" s="117"/>
      <c r="G607" s="117"/>
      <c r="H607" s="24"/>
      <c r="I607" s="24"/>
      <c r="J607" s="24"/>
      <c r="K607" s="24"/>
      <c r="L607" s="24"/>
      <c r="M607" s="24"/>
      <c r="N607" s="24"/>
      <c r="O607" s="24"/>
      <c r="P607" s="24"/>
      <c r="Q607" s="24"/>
      <c r="R607" s="24"/>
      <c r="S607" s="24"/>
      <c r="T607" s="24"/>
      <c r="U607" s="24"/>
      <c r="V607" s="24"/>
      <c r="W607" s="24"/>
      <c r="X607" s="24"/>
      <c r="Y607" s="24"/>
      <c r="Z607" s="24"/>
      <c r="AA607" s="24"/>
      <c r="AB607" s="24"/>
      <c r="AC607" s="24"/>
    </row>
    <row r="608" spans="1:29" ht="12.9">
      <c r="A608" s="24"/>
      <c r="B608" s="24"/>
      <c r="C608" s="24"/>
      <c r="D608" s="24"/>
      <c r="E608" s="24"/>
      <c r="F608" s="117"/>
      <c r="G608" s="117"/>
      <c r="H608" s="24"/>
      <c r="I608" s="24"/>
      <c r="J608" s="24"/>
      <c r="K608" s="24"/>
      <c r="L608" s="24"/>
      <c r="M608" s="24"/>
      <c r="N608" s="24"/>
      <c r="O608" s="24"/>
      <c r="P608" s="24"/>
      <c r="Q608" s="24"/>
      <c r="R608" s="24"/>
      <c r="S608" s="24"/>
      <c r="T608" s="24"/>
      <c r="U608" s="24"/>
      <c r="V608" s="24"/>
      <c r="W608" s="24"/>
      <c r="X608" s="24"/>
      <c r="Y608" s="24"/>
      <c r="Z608" s="24"/>
      <c r="AA608" s="24"/>
      <c r="AB608" s="24"/>
      <c r="AC608" s="24"/>
    </row>
    <row r="609" spans="1:29" ht="12.9">
      <c r="A609" s="24"/>
      <c r="B609" s="24"/>
      <c r="C609" s="24"/>
      <c r="D609" s="24"/>
      <c r="E609" s="24"/>
      <c r="F609" s="117"/>
      <c r="G609" s="117"/>
      <c r="H609" s="24"/>
      <c r="I609" s="24"/>
      <c r="J609" s="24"/>
      <c r="K609" s="24"/>
      <c r="L609" s="24"/>
      <c r="M609" s="24"/>
      <c r="N609" s="24"/>
      <c r="O609" s="24"/>
      <c r="P609" s="24"/>
      <c r="Q609" s="24"/>
      <c r="R609" s="24"/>
      <c r="S609" s="24"/>
      <c r="T609" s="24"/>
      <c r="U609" s="24"/>
      <c r="V609" s="24"/>
      <c r="W609" s="24"/>
      <c r="X609" s="24"/>
      <c r="Y609" s="24"/>
      <c r="Z609" s="24"/>
      <c r="AA609" s="24"/>
      <c r="AB609" s="24"/>
      <c r="AC609" s="24"/>
    </row>
    <row r="610" spans="1:29" ht="12.9">
      <c r="A610" s="24"/>
      <c r="B610" s="24"/>
      <c r="C610" s="24"/>
      <c r="D610" s="24"/>
      <c r="E610" s="24"/>
      <c r="F610" s="117"/>
      <c r="G610" s="117"/>
      <c r="H610" s="24"/>
      <c r="I610" s="24"/>
      <c r="J610" s="24"/>
      <c r="K610" s="24"/>
      <c r="L610" s="24"/>
      <c r="M610" s="24"/>
      <c r="N610" s="24"/>
      <c r="O610" s="24"/>
      <c r="P610" s="24"/>
      <c r="Q610" s="24"/>
      <c r="R610" s="24"/>
      <c r="S610" s="24"/>
      <c r="T610" s="24"/>
      <c r="U610" s="24"/>
      <c r="V610" s="24"/>
      <c r="W610" s="24"/>
      <c r="X610" s="24"/>
      <c r="Y610" s="24"/>
      <c r="Z610" s="24"/>
      <c r="AA610" s="24"/>
      <c r="AB610" s="24"/>
      <c r="AC610" s="24"/>
    </row>
    <row r="611" spans="1:29" ht="12.9">
      <c r="A611" s="24"/>
      <c r="B611" s="24"/>
      <c r="C611" s="24"/>
      <c r="D611" s="24"/>
      <c r="E611" s="24"/>
      <c r="F611" s="117"/>
      <c r="G611" s="117"/>
      <c r="H611" s="24"/>
      <c r="I611" s="24"/>
      <c r="J611" s="24"/>
      <c r="K611" s="24"/>
      <c r="L611" s="24"/>
      <c r="M611" s="24"/>
      <c r="N611" s="24"/>
      <c r="O611" s="24"/>
      <c r="P611" s="24"/>
      <c r="Q611" s="24"/>
      <c r="R611" s="24"/>
      <c r="S611" s="24"/>
      <c r="T611" s="24"/>
      <c r="U611" s="24"/>
      <c r="V611" s="24"/>
      <c r="W611" s="24"/>
      <c r="X611" s="24"/>
      <c r="Y611" s="24"/>
      <c r="Z611" s="24"/>
      <c r="AA611" s="24"/>
      <c r="AB611" s="24"/>
      <c r="AC611" s="24"/>
    </row>
    <row r="612" spans="1:29" ht="12.9">
      <c r="A612" s="24"/>
      <c r="B612" s="24"/>
      <c r="C612" s="24"/>
      <c r="D612" s="24"/>
      <c r="E612" s="24"/>
      <c r="F612" s="117"/>
      <c r="G612" s="117"/>
      <c r="H612" s="24"/>
      <c r="I612" s="24"/>
      <c r="J612" s="24"/>
      <c r="K612" s="24"/>
      <c r="L612" s="24"/>
      <c r="M612" s="24"/>
      <c r="N612" s="24"/>
      <c r="O612" s="24"/>
      <c r="P612" s="24"/>
      <c r="Q612" s="24"/>
      <c r="R612" s="24"/>
      <c r="S612" s="24"/>
      <c r="T612" s="24"/>
      <c r="U612" s="24"/>
      <c r="V612" s="24"/>
      <c r="W612" s="24"/>
      <c r="X612" s="24"/>
      <c r="Y612" s="24"/>
      <c r="Z612" s="24"/>
      <c r="AA612" s="24"/>
      <c r="AB612" s="24"/>
      <c r="AC612" s="24"/>
    </row>
    <row r="613" spans="1:29" ht="12.9">
      <c r="A613" s="24"/>
      <c r="B613" s="24"/>
      <c r="C613" s="24"/>
      <c r="D613" s="24"/>
      <c r="E613" s="24"/>
      <c r="F613" s="117"/>
      <c r="G613" s="117"/>
      <c r="H613" s="24"/>
      <c r="I613" s="24"/>
      <c r="J613" s="24"/>
      <c r="K613" s="24"/>
      <c r="L613" s="24"/>
      <c r="M613" s="24"/>
      <c r="N613" s="24"/>
      <c r="O613" s="24"/>
      <c r="P613" s="24"/>
      <c r="Q613" s="24"/>
      <c r="R613" s="24"/>
      <c r="S613" s="24"/>
      <c r="T613" s="24"/>
      <c r="U613" s="24"/>
      <c r="V613" s="24"/>
      <c r="W613" s="24"/>
      <c r="X613" s="24"/>
      <c r="Y613" s="24"/>
      <c r="Z613" s="24"/>
      <c r="AA613" s="24"/>
      <c r="AB613" s="24"/>
      <c r="AC613" s="24"/>
    </row>
    <row r="614" spans="1:29" ht="12.9">
      <c r="A614" s="24"/>
      <c r="B614" s="24"/>
      <c r="C614" s="24"/>
      <c r="D614" s="24"/>
      <c r="E614" s="24"/>
      <c r="F614" s="117"/>
      <c r="G614" s="117"/>
      <c r="H614" s="24"/>
      <c r="I614" s="24"/>
      <c r="J614" s="24"/>
      <c r="K614" s="24"/>
      <c r="L614" s="24"/>
      <c r="M614" s="24"/>
      <c r="N614" s="24"/>
      <c r="O614" s="24"/>
      <c r="P614" s="24"/>
      <c r="Q614" s="24"/>
      <c r="R614" s="24"/>
      <c r="S614" s="24"/>
      <c r="T614" s="24"/>
      <c r="U614" s="24"/>
      <c r="V614" s="24"/>
      <c r="W614" s="24"/>
      <c r="X614" s="24"/>
      <c r="Y614" s="24"/>
      <c r="Z614" s="24"/>
      <c r="AA614" s="24"/>
      <c r="AB614" s="24"/>
      <c r="AC614" s="24"/>
    </row>
    <row r="615" spans="1:29" ht="12.9">
      <c r="A615" s="24"/>
      <c r="B615" s="24"/>
      <c r="C615" s="24"/>
      <c r="D615" s="24"/>
      <c r="E615" s="24"/>
      <c r="F615" s="117"/>
      <c r="G615" s="117"/>
      <c r="H615" s="24"/>
      <c r="I615" s="24"/>
      <c r="J615" s="24"/>
      <c r="K615" s="24"/>
      <c r="L615" s="24"/>
      <c r="M615" s="24"/>
      <c r="N615" s="24"/>
      <c r="O615" s="24"/>
      <c r="P615" s="24"/>
      <c r="Q615" s="24"/>
      <c r="R615" s="24"/>
      <c r="S615" s="24"/>
      <c r="T615" s="24"/>
      <c r="U615" s="24"/>
      <c r="V615" s="24"/>
      <c r="W615" s="24"/>
      <c r="X615" s="24"/>
      <c r="Y615" s="24"/>
      <c r="Z615" s="24"/>
      <c r="AA615" s="24"/>
      <c r="AB615" s="24"/>
      <c r="AC615" s="24"/>
    </row>
    <row r="616" spans="1:29" ht="12.9">
      <c r="A616" s="24"/>
      <c r="B616" s="24"/>
      <c r="C616" s="24"/>
      <c r="D616" s="24"/>
      <c r="E616" s="24"/>
      <c r="F616" s="117"/>
      <c r="G616" s="117"/>
      <c r="H616" s="24"/>
      <c r="I616" s="24"/>
      <c r="J616" s="24"/>
      <c r="K616" s="24"/>
      <c r="L616" s="24"/>
      <c r="M616" s="24"/>
      <c r="N616" s="24"/>
      <c r="O616" s="24"/>
      <c r="P616" s="24"/>
      <c r="Q616" s="24"/>
      <c r="R616" s="24"/>
      <c r="S616" s="24"/>
      <c r="T616" s="24"/>
      <c r="U616" s="24"/>
      <c r="V616" s="24"/>
      <c r="W616" s="24"/>
      <c r="X616" s="24"/>
      <c r="Y616" s="24"/>
      <c r="Z616" s="24"/>
      <c r="AA616" s="24"/>
      <c r="AB616" s="24"/>
      <c r="AC616" s="24"/>
    </row>
    <row r="617" spans="1:29" ht="12.9">
      <c r="A617" s="24"/>
      <c r="B617" s="24"/>
      <c r="C617" s="24"/>
      <c r="D617" s="24"/>
      <c r="E617" s="24"/>
      <c r="F617" s="117"/>
      <c r="G617" s="117"/>
      <c r="H617" s="24"/>
      <c r="I617" s="24"/>
      <c r="J617" s="24"/>
      <c r="K617" s="24"/>
      <c r="L617" s="24"/>
      <c r="M617" s="24"/>
      <c r="N617" s="24"/>
      <c r="O617" s="24"/>
      <c r="P617" s="24"/>
      <c r="Q617" s="24"/>
      <c r="R617" s="24"/>
      <c r="S617" s="24"/>
      <c r="T617" s="24"/>
      <c r="U617" s="24"/>
      <c r="V617" s="24"/>
      <c r="W617" s="24"/>
      <c r="X617" s="24"/>
      <c r="Y617" s="24"/>
      <c r="Z617" s="24"/>
      <c r="AA617" s="24"/>
      <c r="AB617" s="24"/>
      <c r="AC617" s="24"/>
    </row>
    <row r="618" spans="1:29" ht="12.9">
      <c r="A618" s="24"/>
      <c r="B618" s="24"/>
      <c r="C618" s="24"/>
      <c r="D618" s="24"/>
      <c r="E618" s="24"/>
      <c r="F618" s="117"/>
      <c r="G618" s="117"/>
      <c r="H618" s="24"/>
      <c r="I618" s="24"/>
      <c r="J618" s="24"/>
      <c r="K618" s="24"/>
      <c r="L618" s="24"/>
      <c r="M618" s="24"/>
      <c r="N618" s="24"/>
      <c r="O618" s="24"/>
      <c r="P618" s="24"/>
      <c r="Q618" s="24"/>
      <c r="R618" s="24"/>
      <c r="S618" s="24"/>
      <c r="T618" s="24"/>
      <c r="U618" s="24"/>
      <c r="V618" s="24"/>
      <c r="W618" s="24"/>
      <c r="X618" s="24"/>
      <c r="Y618" s="24"/>
      <c r="Z618" s="24"/>
      <c r="AA618" s="24"/>
      <c r="AB618" s="24"/>
      <c r="AC618" s="24"/>
    </row>
    <row r="619" spans="1:29" ht="12.9">
      <c r="A619" s="24"/>
      <c r="B619" s="24"/>
      <c r="C619" s="24"/>
      <c r="D619" s="24"/>
      <c r="E619" s="24"/>
      <c r="F619" s="117"/>
      <c r="G619" s="117"/>
      <c r="H619" s="24"/>
      <c r="I619" s="24"/>
      <c r="J619" s="24"/>
      <c r="K619" s="24"/>
      <c r="L619" s="24"/>
      <c r="M619" s="24"/>
      <c r="N619" s="24"/>
      <c r="O619" s="24"/>
      <c r="P619" s="24"/>
      <c r="Q619" s="24"/>
      <c r="R619" s="24"/>
      <c r="S619" s="24"/>
      <c r="T619" s="24"/>
      <c r="U619" s="24"/>
      <c r="V619" s="24"/>
      <c r="W619" s="24"/>
      <c r="X619" s="24"/>
      <c r="Y619" s="24"/>
      <c r="Z619" s="24"/>
      <c r="AA619" s="24"/>
      <c r="AB619" s="24"/>
      <c r="AC619" s="24"/>
    </row>
    <row r="620" spans="1:29" ht="12.9">
      <c r="A620" s="24"/>
      <c r="B620" s="24"/>
      <c r="C620" s="24"/>
      <c r="D620" s="24"/>
      <c r="E620" s="24"/>
      <c r="F620" s="117"/>
      <c r="G620" s="117"/>
      <c r="H620" s="24"/>
      <c r="I620" s="24"/>
      <c r="J620" s="24"/>
      <c r="K620" s="24"/>
      <c r="L620" s="24"/>
      <c r="M620" s="24"/>
      <c r="N620" s="24"/>
      <c r="O620" s="24"/>
      <c r="P620" s="24"/>
      <c r="Q620" s="24"/>
      <c r="R620" s="24"/>
      <c r="S620" s="24"/>
      <c r="T620" s="24"/>
      <c r="U620" s="24"/>
      <c r="V620" s="24"/>
      <c r="W620" s="24"/>
      <c r="X620" s="24"/>
      <c r="Y620" s="24"/>
      <c r="Z620" s="24"/>
      <c r="AA620" s="24"/>
      <c r="AB620" s="24"/>
      <c r="AC620" s="24"/>
    </row>
    <row r="621" spans="1:29" ht="12.9">
      <c r="A621" s="24"/>
      <c r="B621" s="24"/>
      <c r="C621" s="24"/>
      <c r="D621" s="24"/>
      <c r="E621" s="24"/>
      <c r="F621" s="117"/>
      <c r="G621" s="117"/>
      <c r="H621" s="24"/>
      <c r="I621" s="24"/>
      <c r="J621" s="24"/>
      <c r="K621" s="24"/>
      <c r="L621" s="24"/>
      <c r="M621" s="24"/>
      <c r="N621" s="24"/>
      <c r="O621" s="24"/>
      <c r="P621" s="24"/>
      <c r="Q621" s="24"/>
      <c r="R621" s="24"/>
      <c r="S621" s="24"/>
      <c r="T621" s="24"/>
      <c r="U621" s="24"/>
      <c r="V621" s="24"/>
      <c r="W621" s="24"/>
      <c r="X621" s="24"/>
      <c r="Y621" s="24"/>
      <c r="Z621" s="24"/>
      <c r="AA621" s="24"/>
      <c r="AB621" s="24"/>
      <c r="AC621" s="24"/>
    </row>
    <row r="622" spans="1:29" ht="12.9">
      <c r="A622" s="24"/>
      <c r="B622" s="24"/>
      <c r="C622" s="24"/>
      <c r="D622" s="24"/>
      <c r="E622" s="24"/>
      <c r="F622" s="117"/>
      <c r="G622" s="117"/>
      <c r="H622" s="24"/>
      <c r="I622" s="24"/>
      <c r="J622" s="24"/>
      <c r="K622" s="24"/>
      <c r="L622" s="24"/>
      <c r="M622" s="24"/>
      <c r="N622" s="24"/>
      <c r="O622" s="24"/>
      <c r="P622" s="24"/>
      <c r="Q622" s="24"/>
      <c r="R622" s="24"/>
      <c r="S622" s="24"/>
      <c r="T622" s="24"/>
      <c r="U622" s="24"/>
      <c r="V622" s="24"/>
      <c r="W622" s="24"/>
      <c r="X622" s="24"/>
      <c r="Y622" s="24"/>
      <c r="Z622" s="24"/>
      <c r="AA622" s="24"/>
      <c r="AB622" s="24"/>
      <c r="AC622" s="24"/>
    </row>
    <row r="623" spans="1:29" ht="12.9">
      <c r="A623" s="24"/>
      <c r="B623" s="24"/>
      <c r="C623" s="24"/>
      <c r="D623" s="24"/>
      <c r="E623" s="24"/>
      <c r="F623" s="117"/>
      <c r="G623" s="117"/>
      <c r="H623" s="24"/>
      <c r="I623" s="24"/>
      <c r="J623" s="24"/>
      <c r="K623" s="24"/>
      <c r="L623" s="24"/>
      <c r="M623" s="24"/>
      <c r="N623" s="24"/>
      <c r="O623" s="24"/>
      <c r="P623" s="24"/>
      <c r="Q623" s="24"/>
      <c r="R623" s="24"/>
      <c r="S623" s="24"/>
      <c r="T623" s="24"/>
      <c r="U623" s="24"/>
      <c r="V623" s="24"/>
      <c r="W623" s="24"/>
      <c r="X623" s="24"/>
      <c r="Y623" s="24"/>
      <c r="Z623" s="24"/>
      <c r="AA623" s="24"/>
      <c r="AB623" s="24"/>
      <c r="AC623" s="24"/>
    </row>
    <row r="624" spans="1:29" ht="12.9">
      <c r="A624" s="24"/>
      <c r="B624" s="24"/>
      <c r="C624" s="24"/>
      <c r="D624" s="24"/>
      <c r="E624" s="24"/>
      <c r="F624" s="117"/>
      <c r="G624" s="117"/>
      <c r="H624" s="24"/>
      <c r="I624" s="24"/>
      <c r="J624" s="24"/>
      <c r="K624" s="24"/>
      <c r="L624" s="24"/>
      <c r="M624" s="24"/>
      <c r="N624" s="24"/>
      <c r="O624" s="24"/>
      <c r="P624" s="24"/>
      <c r="Q624" s="24"/>
      <c r="R624" s="24"/>
      <c r="S624" s="24"/>
      <c r="T624" s="24"/>
      <c r="U624" s="24"/>
      <c r="V624" s="24"/>
      <c r="W624" s="24"/>
      <c r="X624" s="24"/>
      <c r="Y624" s="24"/>
      <c r="Z624" s="24"/>
      <c r="AA624" s="24"/>
      <c r="AB624" s="24"/>
      <c r="AC624" s="24"/>
    </row>
    <row r="625" spans="1:29" ht="12.9">
      <c r="A625" s="24"/>
      <c r="B625" s="24"/>
      <c r="C625" s="24"/>
      <c r="D625" s="24"/>
      <c r="E625" s="24"/>
      <c r="F625" s="117"/>
      <c r="G625" s="117"/>
      <c r="H625" s="24"/>
      <c r="I625" s="24"/>
      <c r="J625" s="24"/>
      <c r="K625" s="24"/>
      <c r="L625" s="24"/>
      <c r="M625" s="24"/>
      <c r="N625" s="24"/>
      <c r="O625" s="24"/>
      <c r="P625" s="24"/>
      <c r="Q625" s="24"/>
      <c r="R625" s="24"/>
      <c r="S625" s="24"/>
      <c r="T625" s="24"/>
      <c r="U625" s="24"/>
      <c r="V625" s="24"/>
      <c r="W625" s="24"/>
      <c r="X625" s="24"/>
      <c r="Y625" s="24"/>
      <c r="Z625" s="24"/>
      <c r="AA625" s="24"/>
      <c r="AB625" s="24"/>
      <c r="AC625" s="24"/>
    </row>
    <row r="626" spans="1:29" ht="12.9">
      <c r="A626" s="24"/>
      <c r="B626" s="24"/>
      <c r="C626" s="24"/>
      <c r="D626" s="24"/>
      <c r="E626" s="24"/>
      <c r="F626" s="117"/>
      <c r="G626" s="117"/>
      <c r="H626" s="24"/>
      <c r="I626" s="24"/>
      <c r="J626" s="24"/>
      <c r="K626" s="24"/>
      <c r="L626" s="24"/>
      <c r="M626" s="24"/>
      <c r="N626" s="24"/>
      <c r="O626" s="24"/>
      <c r="P626" s="24"/>
      <c r="Q626" s="24"/>
      <c r="R626" s="24"/>
      <c r="S626" s="24"/>
      <c r="T626" s="24"/>
      <c r="U626" s="24"/>
      <c r="V626" s="24"/>
      <c r="W626" s="24"/>
      <c r="X626" s="24"/>
      <c r="Y626" s="24"/>
      <c r="Z626" s="24"/>
      <c r="AA626" s="24"/>
      <c r="AB626" s="24"/>
      <c r="AC626" s="24"/>
    </row>
    <row r="627" spans="1:29" ht="12.9">
      <c r="A627" s="24"/>
      <c r="B627" s="24"/>
      <c r="C627" s="24"/>
      <c r="D627" s="24"/>
      <c r="E627" s="24"/>
      <c r="F627" s="117"/>
      <c r="G627" s="117"/>
      <c r="H627" s="24"/>
      <c r="I627" s="24"/>
      <c r="J627" s="24"/>
      <c r="K627" s="24"/>
      <c r="L627" s="24"/>
      <c r="M627" s="24"/>
      <c r="N627" s="24"/>
      <c r="O627" s="24"/>
      <c r="P627" s="24"/>
      <c r="Q627" s="24"/>
      <c r="R627" s="24"/>
      <c r="S627" s="24"/>
      <c r="T627" s="24"/>
      <c r="U627" s="24"/>
      <c r="V627" s="24"/>
      <c r="W627" s="24"/>
      <c r="X627" s="24"/>
      <c r="Y627" s="24"/>
      <c r="Z627" s="24"/>
      <c r="AA627" s="24"/>
      <c r="AB627" s="24"/>
      <c r="AC627" s="24"/>
    </row>
    <row r="628" spans="1:29" ht="12.9">
      <c r="A628" s="24"/>
      <c r="B628" s="24"/>
      <c r="C628" s="24"/>
      <c r="D628" s="24"/>
      <c r="E628" s="24"/>
      <c r="F628" s="117"/>
      <c r="G628" s="117"/>
      <c r="H628" s="24"/>
      <c r="I628" s="24"/>
      <c r="J628" s="24"/>
      <c r="K628" s="24"/>
      <c r="L628" s="24"/>
      <c r="M628" s="24"/>
      <c r="N628" s="24"/>
      <c r="O628" s="24"/>
      <c r="P628" s="24"/>
      <c r="Q628" s="24"/>
      <c r="R628" s="24"/>
      <c r="S628" s="24"/>
      <c r="T628" s="24"/>
      <c r="U628" s="24"/>
      <c r="V628" s="24"/>
      <c r="W628" s="24"/>
      <c r="X628" s="24"/>
      <c r="Y628" s="24"/>
      <c r="Z628" s="24"/>
      <c r="AA628" s="24"/>
      <c r="AB628" s="24"/>
      <c r="AC628" s="24"/>
    </row>
    <row r="629" spans="1:29" ht="12.9">
      <c r="A629" s="24"/>
      <c r="B629" s="24"/>
      <c r="C629" s="24"/>
      <c r="D629" s="24"/>
      <c r="E629" s="24"/>
      <c r="F629" s="117"/>
      <c r="G629" s="117"/>
      <c r="H629" s="24"/>
      <c r="I629" s="24"/>
      <c r="J629" s="24"/>
      <c r="K629" s="24"/>
      <c r="L629" s="24"/>
      <c r="M629" s="24"/>
      <c r="N629" s="24"/>
      <c r="O629" s="24"/>
      <c r="P629" s="24"/>
      <c r="Q629" s="24"/>
      <c r="R629" s="24"/>
      <c r="S629" s="24"/>
      <c r="T629" s="24"/>
      <c r="U629" s="24"/>
      <c r="V629" s="24"/>
      <c r="W629" s="24"/>
      <c r="X629" s="24"/>
      <c r="Y629" s="24"/>
      <c r="Z629" s="24"/>
      <c r="AA629" s="24"/>
      <c r="AB629" s="24"/>
      <c r="AC629" s="24"/>
    </row>
    <row r="630" spans="1:29" ht="12.9">
      <c r="A630" s="24"/>
      <c r="B630" s="24"/>
      <c r="C630" s="24"/>
      <c r="D630" s="24"/>
      <c r="E630" s="24"/>
      <c r="F630" s="117"/>
      <c r="G630" s="117"/>
      <c r="H630" s="24"/>
      <c r="I630" s="24"/>
      <c r="J630" s="24"/>
      <c r="K630" s="24"/>
      <c r="L630" s="24"/>
      <c r="M630" s="24"/>
      <c r="N630" s="24"/>
      <c r="O630" s="24"/>
      <c r="P630" s="24"/>
      <c r="Q630" s="24"/>
      <c r="R630" s="24"/>
      <c r="S630" s="24"/>
      <c r="T630" s="24"/>
      <c r="U630" s="24"/>
      <c r="V630" s="24"/>
      <c r="W630" s="24"/>
      <c r="X630" s="24"/>
      <c r="Y630" s="24"/>
      <c r="Z630" s="24"/>
      <c r="AA630" s="24"/>
      <c r="AB630" s="24"/>
      <c r="AC630" s="24"/>
    </row>
    <row r="631" spans="1:29" ht="12.9">
      <c r="A631" s="24"/>
      <c r="B631" s="24"/>
      <c r="C631" s="24"/>
      <c r="D631" s="24"/>
      <c r="E631" s="24"/>
      <c r="F631" s="117"/>
      <c r="G631" s="117"/>
      <c r="H631" s="24"/>
      <c r="I631" s="24"/>
      <c r="J631" s="24"/>
      <c r="K631" s="24"/>
      <c r="L631" s="24"/>
      <c r="M631" s="24"/>
      <c r="N631" s="24"/>
      <c r="O631" s="24"/>
      <c r="P631" s="24"/>
      <c r="Q631" s="24"/>
      <c r="R631" s="24"/>
      <c r="S631" s="24"/>
      <c r="T631" s="24"/>
      <c r="U631" s="24"/>
      <c r="V631" s="24"/>
      <c r="W631" s="24"/>
      <c r="X631" s="24"/>
      <c r="Y631" s="24"/>
      <c r="Z631" s="24"/>
      <c r="AA631" s="24"/>
      <c r="AB631" s="24"/>
      <c r="AC631" s="24"/>
    </row>
    <row r="632" spans="1:29" ht="12.9">
      <c r="A632" s="24"/>
      <c r="B632" s="24"/>
      <c r="C632" s="24"/>
      <c r="D632" s="24"/>
      <c r="E632" s="24"/>
      <c r="F632" s="117"/>
      <c r="G632" s="117"/>
      <c r="H632" s="24"/>
      <c r="I632" s="24"/>
      <c r="J632" s="24"/>
      <c r="K632" s="24"/>
      <c r="L632" s="24"/>
      <c r="M632" s="24"/>
      <c r="N632" s="24"/>
      <c r="O632" s="24"/>
      <c r="P632" s="24"/>
      <c r="Q632" s="24"/>
      <c r="R632" s="24"/>
      <c r="S632" s="24"/>
      <c r="T632" s="24"/>
      <c r="U632" s="24"/>
      <c r="V632" s="24"/>
      <c r="W632" s="24"/>
      <c r="X632" s="24"/>
      <c r="Y632" s="24"/>
      <c r="Z632" s="24"/>
      <c r="AA632" s="24"/>
      <c r="AB632" s="24"/>
      <c r="AC632" s="24"/>
    </row>
    <row r="633" spans="1:29" ht="12.9">
      <c r="A633" s="24"/>
      <c r="B633" s="24"/>
      <c r="C633" s="24"/>
      <c r="D633" s="24"/>
      <c r="E633" s="24"/>
      <c r="F633" s="117"/>
      <c r="G633" s="117"/>
      <c r="H633" s="24"/>
      <c r="I633" s="24"/>
      <c r="J633" s="24"/>
      <c r="K633" s="24"/>
      <c r="L633" s="24"/>
      <c r="M633" s="24"/>
      <c r="N633" s="24"/>
      <c r="O633" s="24"/>
      <c r="P633" s="24"/>
      <c r="Q633" s="24"/>
      <c r="R633" s="24"/>
      <c r="S633" s="24"/>
      <c r="T633" s="24"/>
      <c r="U633" s="24"/>
      <c r="V633" s="24"/>
      <c r="W633" s="24"/>
      <c r="X633" s="24"/>
      <c r="Y633" s="24"/>
      <c r="Z633" s="24"/>
      <c r="AA633" s="24"/>
      <c r="AB633" s="24"/>
      <c r="AC633" s="24"/>
    </row>
    <row r="634" spans="1:29" ht="12.9">
      <c r="A634" s="24"/>
      <c r="B634" s="24"/>
      <c r="C634" s="24"/>
      <c r="D634" s="24"/>
      <c r="E634" s="24"/>
      <c r="F634" s="117"/>
      <c r="G634" s="117"/>
      <c r="H634" s="24"/>
      <c r="I634" s="24"/>
      <c r="J634" s="24"/>
      <c r="K634" s="24"/>
      <c r="L634" s="24"/>
      <c r="M634" s="24"/>
      <c r="N634" s="24"/>
      <c r="O634" s="24"/>
      <c r="P634" s="24"/>
      <c r="Q634" s="24"/>
      <c r="R634" s="24"/>
      <c r="S634" s="24"/>
      <c r="T634" s="24"/>
      <c r="U634" s="24"/>
      <c r="V634" s="24"/>
      <c r="W634" s="24"/>
      <c r="X634" s="24"/>
      <c r="Y634" s="24"/>
      <c r="Z634" s="24"/>
      <c r="AA634" s="24"/>
      <c r="AB634" s="24"/>
      <c r="AC634" s="24"/>
    </row>
    <row r="635" spans="1:29" ht="12.9">
      <c r="A635" s="24"/>
      <c r="B635" s="24"/>
      <c r="C635" s="24"/>
      <c r="D635" s="24"/>
      <c r="E635" s="24"/>
      <c r="F635" s="117"/>
      <c r="G635" s="117"/>
      <c r="H635" s="24"/>
      <c r="I635" s="24"/>
      <c r="J635" s="24"/>
      <c r="K635" s="24"/>
      <c r="L635" s="24"/>
      <c r="M635" s="24"/>
      <c r="N635" s="24"/>
      <c r="O635" s="24"/>
      <c r="P635" s="24"/>
      <c r="Q635" s="24"/>
      <c r="R635" s="24"/>
      <c r="S635" s="24"/>
      <c r="T635" s="24"/>
      <c r="U635" s="24"/>
      <c r="V635" s="24"/>
      <c r="W635" s="24"/>
      <c r="X635" s="24"/>
      <c r="Y635" s="24"/>
      <c r="Z635" s="24"/>
      <c r="AA635" s="24"/>
      <c r="AB635" s="24"/>
      <c r="AC635" s="24"/>
    </row>
    <row r="636" spans="1:29" ht="12.9">
      <c r="A636" s="24"/>
      <c r="B636" s="24"/>
      <c r="C636" s="24"/>
      <c r="D636" s="24"/>
      <c r="E636" s="24"/>
      <c r="F636" s="117"/>
      <c r="G636" s="117"/>
      <c r="H636" s="24"/>
      <c r="I636" s="24"/>
      <c r="J636" s="24"/>
      <c r="K636" s="24"/>
      <c r="L636" s="24"/>
      <c r="M636" s="24"/>
      <c r="N636" s="24"/>
      <c r="O636" s="24"/>
      <c r="P636" s="24"/>
      <c r="Q636" s="24"/>
      <c r="R636" s="24"/>
      <c r="S636" s="24"/>
      <c r="T636" s="24"/>
      <c r="U636" s="24"/>
      <c r="V636" s="24"/>
      <c r="W636" s="24"/>
      <c r="X636" s="24"/>
      <c r="Y636" s="24"/>
      <c r="Z636" s="24"/>
      <c r="AA636" s="24"/>
      <c r="AB636" s="24"/>
      <c r="AC636" s="24"/>
    </row>
    <row r="637" spans="1:29" ht="12.9">
      <c r="A637" s="24"/>
      <c r="B637" s="24"/>
      <c r="C637" s="24"/>
      <c r="D637" s="24"/>
      <c r="E637" s="24"/>
      <c r="F637" s="117"/>
      <c r="G637" s="117"/>
      <c r="H637" s="24"/>
      <c r="I637" s="24"/>
      <c r="J637" s="24"/>
      <c r="K637" s="24"/>
      <c r="L637" s="24"/>
      <c r="M637" s="24"/>
      <c r="N637" s="24"/>
      <c r="O637" s="24"/>
      <c r="P637" s="24"/>
      <c r="Q637" s="24"/>
      <c r="R637" s="24"/>
      <c r="S637" s="24"/>
      <c r="T637" s="24"/>
      <c r="U637" s="24"/>
      <c r="V637" s="24"/>
      <c r="W637" s="24"/>
      <c r="X637" s="24"/>
      <c r="Y637" s="24"/>
      <c r="Z637" s="24"/>
      <c r="AA637" s="24"/>
      <c r="AB637" s="24"/>
      <c r="AC637" s="24"/>
    </row>
    <row r="638" spans="1:29" ht="12.9">
      <c r="A638" s="24"/>
      <c r="B638" s="24"/>
      <c r="C638" s="24"/>
      <c r="D638" s="24"/>
      <c r="E638" s="24"/>
      <c r="F638" s="117"/>
      <c r="G638" s="117"/>
      <c r="H638" s="24"/>
      <c r="I638" s="24"/>
      <c r="J638" s="24"/>
      <c r="K638" s="24"/>
      <c r="L638" s="24"/>
      <c r="M638" s="24"/>
      <c r="N638" s="24"/>
      <c r="O638" s="24"/>
      <c r="P638" s="24"/>
      <c r="Q638" s="24"/>
      <c r="R638" s="24"/>
      <c r="S638" s="24"/>
      <c r="T638" s="24"/>
      <c r="U638" s="24"/>
      <c r="V638" s="24"/>
      <c r="W638" s="24"/>
      <c r="X638" s="24"/>
      <c r="Y638" s="24"/>
      <c r="Z638" s="24"/>
      <c r="AA638" s="24"/>
      <c r="AB638" s="24"/>
      <c r="AC638" s="24"/>
    </row>
    <row r="639" spans="1:29" ht="12.9">
      <c r="A639" s="24"/>
      <c r="B639" s="24"/>
      <c r="C639" s="24"/>
      <c r="D639" s="24"/>
      <c r="E639" s="24"/>
      <c r="F639" s="117"/>
      <c r="G639" s="117"/>
      <c r="H639" s="24"/>
      <c r="I639" s="24"/>
      <c r="J639" s="24"/>
      <c r="K639" s="24"/>
      <c r="L639" s="24"/>
      <c r="M639" s="24"/>
      <c r="N639" s="24"/>
      <c r="O639" s="24"/>
      <c r="P639" s="24"/>
      <c r="Q639" s="24"/>
      <c r="R639" s="24"/>
      <c r="S639" s="24"/>
      <c r="T639" s="24"/>
      <c r="U639" s="24"/>
      <c r="V639" s="24"/>
      <c r="W639" s="24"/>
      <c r="X639" s="24"/>
      <c r="Y639" s="24"/>
      <c r="Z639" s="24"/>
      <c r="AA639" s="24"/>
      <c r="AB639" s="24"/>
      <c r="AC639" s="24"/>
    </row>
    <row r="640" spans="1:29" ht="12.9">
      <c r="A640" s="24"/>
      <c r="B640" s="24"/>
      <c r="C640" s="24"/>
      <c r="D640" s="24"/>
      <c r="E640" s="24"/>
      <c r="F640" s="117"/>
      <c r="G640" s="117"/>
      <c r="H640" s="24"/>
      <c r="I640" s="24"/>
      <c r="J640" s="24"/>
      <c r="K640" s="24"/>
      <c r="L640" s="24"/>
      <c r="M640" s="24"/>
      <c r="N640" s="24"/>
      <c r="O640" s="24"/>
      <c r="P640" s="24"/>
      <c r="Q640" s="24"/>
      <c r="R640" s="24"/>
      <c r="S640" s="24"/>
      <c r="T640" s="24"/>
      <c r="U640" s="24"/>
      <c r="V640" s="24"/>
      <c r="W640" s="24"/>
      <c r="X640" s="24"/>
      <c r="Y640" s="24"/>
      <c r="Z640" s="24"/>
      <c r="AA640" s="24"/>
      <c r="AB640" s="24"/>
      <c r="AC640" s="24"/>
    </row>
    <row r="641" spans="1:29" ht="12.9">
      <c r="A641" s="24"/>
      <c r="B641" s="24"/>
      <c r="C641" s="24"/>
      <c r="D641" s="24"/>
      <c r="E641" s="24"/>
      <c r="F641" s="117"/>
      <c r="G641" s="117"/>
      <c r="H641" s="24"/>
      <c r="I641" s="24"/>
      <c r="J641" s="24"/>
      <c r="K641" s="24"/>
      <c r="L641" s="24"/>
      <c r="M641" s="24"/>
      <c r="N641" s="24"/>
      <c r="O641" s="24"/>
      <c r="P641" s="24"/>
      <c r="Q641" s="24"/>
      <c r="R641" s="24"/>
      <c r="S641" s="24"/>
      <c r="T641" s="24"/>
      <c r="U641" s="24"/>
      <c r="V641" s="24"/>
      <c r="W641" s="24"/>
      <c r="X641" s="24"/>
      <c r="Y641" s="24"/>
      <c r="Z641" s="24"/>
      <c r="AA641" s="24"/>
      <c r="AB641" s="24"/>
      <c r="AC641" s="24"/>
    </row>
    <row r="642" spans="1:29" ht="12.9">
      <c r="A642" s="24"/>
      <c r="B642" s="24"/>
      <c r="C642" s="24"/>
      <c r="D642" s="24"/>
      <c r="E642" s="24"/>
      <c r="F642" s="117"/>
      <c r="G642" s="117"/>
      <c r="H642" s="24"/>
      <c r="I642" s="24"/>
      <c r="J642" s="24"/>
      <c r="K642" s="24"/>
      <c r="L642" s="24"/>
      <c r="M642" s="24"/>
      <c r="N642" s="24"/>
      <c r="O642" s="24"/>
      <c r="P642" s="24"/>
      <c r="Q642" s="24"/>
      <c r="R642" s="24"/>
      <c r="S642" s="24"/>
      <c r="T642" s="24"/>
      <c r="U642" s="24"/>
      <c r="V642" s="24"/>
      <c r="W642" s="24"/>
      <c r="X642" s="24"/>
      <c r="Y642" s="24"/>
      <c r="Z642" s="24"/>
      <c r="AA642" s="24"/>
      <c r="AB642" s="24"/>
      <c r="AC642" s="24"/>
    </row>
    <row r="643" spans="1:29" ht="12.9">
      <c r="A643" s="24"/>
      <c r="B643" s="24"/>
      <c r="C643" s="24"/>
      <c r="D643" s="24"/>
      <c r="E643" s="24"/>
      <c r="F643" s="117"/>
      <c r="G643" s="117"/>
      <c r="H643" s="24"/>
      <c r="I643" s="24"/>
      <c r="J643" s="24"/>
      <c r="K643" s="24"/>
      <c r="L643" s="24"/>
      <c r="M643" s="24"/>
      <c r="N643" s="24"/>
      <c r="O643" s="24"/>
      <c r="P643" s="24"/>
      <c r="Q643" s="24"/>
      <c r="R643" s="24"/>
      <c r="S643" s="24"/>
      <c r="T643" s="24"/>
      <c r="U643" s="24"/>
      <c r="V643" s="24"/>
      <c r="W643" s="24"/>
      <c r="X643" s="24"/>
      <c r="Y643" s="24"/>
      <c r="Z643" s="24"/>
      <c r="AA643" s="24"/>
      <c r="AB643" s="24"/>
      <c r="AC643" s="24"/>
    </row>
    <row r="644" spans="1:29" ht="12.9">
      <c r="A644" s="24"/>
      <c r="B644" s="24"/>
      <c r="C644" s="24"/>
      <c r="D644" s="24"/>
      <c r="E644" s="24"/>
      <c r="F644" s="117"/>
      <c r="G644" s="117"/>
      <c r="H644" s="24"/>
      <c r="I644" s="24"/>
      <c r="J644" s="24"/>
      <c r="K644" s="24"/>
      <c r="L644" s="24"/>
      <c r="M644" s="24"/>
      <c r="N644" s="24"/>
      <c r="O644" s="24"/>
      <c r="P644" s="24"/>
      <c r="Q644" s="24"/>
      <c r="R644" s="24"/>
      <c r="S644" s="24"/>
      <c r="T644" s="24"/>
      <c r="U644" s="24"/>
      <c r="V644" s="24"/>
      <c r="W644" s="24"/>
      <c r="X644" s="24"/>
      <c r="Y644" s="24"/>
      <c r="Z644" s="24"/>
      <c r="AA644" s="24"/>
      <c r="AB644" s="24"/>
      <c r="AC644" s="24"/>
    </row>
    <row r="645" spans="1:29" ht="12.9">
      <c r="A645" s="24"/>
      <c r="B645" s="24"/>
      <c r="C645" s="24"/>
      <c r="D645" s="24"/>
      <c r="E645" s="24"/>
      <c r="F645" s="117"/>
      <c r="G645" s="117"/>
      <c r="H645" s="24"/>
      <c r="I645" s="24"/>
      <c r="J645" s="24"/>
      <c r="K645" s="24"/>
      <c r="L645" s="24"/>
      <c r="M645" s="24"/>
      <c r="N645" s="24"/>
      <c r="O645" s="24"/>
      <c r="P645" s="24"/>
      <c r="Q645" s="24"/>
      <c r="R645" s="24"/>
      <c r="S645" s="24"/>
      <c r="T645" s="24"/>
      <c r="U645" s="24"/>
      <c r="V645" s="24"/>
      <c r="W645" s="24"/>
      <c r="X645" s="24"/>
      <c r="Y645" s="24"/>
      <c r="Z645" s="24"/>
      <c r="AA645" s="24"/>
      <c r="AB645" s="24"/>
      <c r="AC645" s="24"/>
    </row>
    <row r="646" spans="1:29" ht="12.9">
      <c r="A646" s="24"/>
      <c r="B646" s="24"/>
      <c r="C646" s="24"/>
      <c r="D646" s="24"/>
      <c r="E646" s="24"/>
      <c r="F646" s="117"/>
      <c r="G646" s="117"/>
      <c r="H646" s="24"/>
      <c r="I646" s="24"/>
      <c r="J646" s="24"/>
      <c r="K646" s="24"/>
      <c r="L646" s="24"/>
      <c r="M646" s="24"/>
      <c r="N646" s="24"/>
      <c r="O646" s="24"/>
      <c r="P646" s="24"/>
      <c r="Q646" s="24"/>
      <c r="R646" s="24"/>
      <c r="S646" s="24"/>
      <c r="T646" s="24"/>
      <c r="U646" s="24"/>
      <c r="V646" s="24"/>
      <c r="W646" s="24"/>
      <c r="X646" s="24"/>
      <c r="Y646" s="24"/>
      <c r="Z646" s="24"/>
      <c r="AA646" s="24"/>
      <c r="AB646" s="24"/>
      <c r="AC646" s="24"/>
    </row>
    <row r="647" spans="1:29" ht="12.9">
      <c r="A647" s="24"/>
      <c r="B647" s="24"/>
      <c r="C647" s="24"/>
      <c r="D647" s="24"/>
      <c r="E647" s="24"/>
      <c r="F647" s="117"/>
      <c r="G647" s="117"/>
      <c r="H647" s="24"/>
      <c r="I647" s="24"/>
      <c r="J647" s="24"/>
      <c r="K647" s="24"/>
      <c r="L647" s="24"/>
      <c r="M647" s="24"/>
      <c r="N647" s="24"/>
      <c r="O647" s="24"/>
      <c r="P647" s="24"/>
      <c r="Q647" s="24"/>
      <c r="R647" s="24"/>
      <c r="S647" s="24"/>
      <c r="T647" s="24"/>
      <c r="U647" s="24"/>
      <c r="V647" s="24"/>
      <c r="W647" s="24"/>
      <c r="X647" s="24"/>
      <c r="Y647" s="24"/>
      <c r="Z647" s="24"/>
      <c r="AA647" s="24"/>
      <c r="AB647" s="24"/>
      <c r="AC647" s="24"/>
    </row>
    <row r="648" spans="1:29" ht="12.9">
      <c r="A648" s="24"/>
      <c r="B648" s="24"/>
      <c r="C648" s="24"/>
      <c r="D648" s="24"/>
      <c r="E648" s="24"/>
      <c r="F648" s="117"/>
      <c r="G648" s="117"/>
      <c r="H648" s="24"/>
      <c r="I648" s="24"/>
      <c r="J648" s="24"/>
      <c r="K648" s="24"/>
      <c r="L648" s="24"/>
      <c r="M648" s="24"/>
      <c r="N648" s="24"/>
      <c r="O648" s="24"/>
      <c r="P648" s="24"/>
      <c r="Q648" s="24"/>
      <c r="R648" s="24"/>
      <c r="S648" s="24"/>
      <c r="T648" s="24"/>
      <c r="U648" s="24"/>
      <c r="V648" s="24"/>
      <c r="W648" s="24"/>
      <c r="X648" s="24"/>
      <c r="Y648" s="24"/>
      <c r="Z648" s="24"/>
      <c r="AA648" s="24"/>
      <c r="AB648" s="24"/>
      <c r="AC648" s="24"/>
    </row>
    <row r="649" spans="1:29" ht="12.9">
      <c r="A649" s="24"/>
      <c r="B649" s="24"/>
      <c r="C649" s="24"/>
      <c r="D649" s="24"/>
      <c r="E649" s="24"/>
      <c r="F649" s="117"/>
      <c r="G649" s="117"/>
      <c r="H649" s="24"/>
      <c r="I649" s="24"/>
      <c r="J649" s="24"/>
      <c r="K649" s="24"/>
      <c r="L649" s="24"/>
      <c r="M649" s="24"/>
      <c r="N649" s="24"/>
      <c r="O649" s="24"/>
      <c r="P649" s="24"/>
      <c r="Q649" s="24"/>
      <c r="R649" s="24"/>
      <c r="S649" s="24"/>
      <c r="T649" s="24"/>
      <c r="U649" s="24"/>
      <c r="V649" s="24"/>
      <c r="W649" s="24"/>
      <c r="X649" s="24"/>
      <c r="Y649" s="24"/>
      <c r="Z649" s="24"/>
      <c r="AA649" s="24"/>
      <c r="AB649" s="24"/>
      <c r="AC649" s="24"/>
    </row>
    <row r="650" spans="1:29" ht="12.9">
      <c r="A650" s="24"/>
      <c r="B650" s="24"/>
      <c r="C650" s="24"/>
      <c r="D650" s="24"/>
      <c r="E650" s="24"/>
      <c r="F650" s="117"/>
      <c r="G650" s="117"/>
      <c r="H650" s="24"/>
      <c r="I650" s="24"/>
      <c r="J650" s="24"/>
      <c r="K650" s="24"/>
      <c r="L650" s="24"/>
      <c r="M650" s="24"/>
      <c r="N650" s="24"/>
      <c r="O650" s="24"/>
      <c r="P650" s="24"/>
      <c r="Q650" s="24"/>
      <c r="R650" s="24"/>
      <c r="S650" s="24"/>
      <c r="T650" s="24"/>
      <c r="U650" s="24"/>
      <c r="V650" s="24"/>
      <c r="W650" s="24"/>
      <c r="X650" s="24"/>
      <c r="Y650" s="24"/>
      <c r="Z650" s="24"/>
      <c r="AA650" s="24"/>
      <c r="AB650" s="24"/>
      <c r="AC650" s="24"/>
    </row>
    <row r="651" spans="1:29" ht="12.9">
      <c r="A651" s="24"/>
      <c r="B651" s="24"/>
      <c r="C651" s="24"/>
      <c r="D651" s="24"/>
      <c r="E651" s="24"/>
      <c r="F651" s="117"/>
      <c r="G651" s="117"/>
      <c r="H651" s="24"/>
      <c r="I651" s="24"/>
      <c r="J651" s="24"/>
      <c r="K651" s="24"/>
      <c r="L651" s="24"/>
      <c r="M651" s="24"/>
      <c r="N651" s="24"/>
      <c r="O651" s="24"/>
      <c r="P651" s="24"/>
      <c r="Q651" s="24"/>
      <c r="R651" s="24"/>
      <c r="S651" s="24"/>
      <c r="T651" s="24"/>
      <c r="U651" s="24"/>
      <c r="V651" s="24"/>
      <c r="W651" s="24"/>
      <c r="X651" s="24"/>
      <c r="Y651" s="24"/>
      <c r="Z651" s="24"/>
      <c r="AA651" s="24"/>
      <c r="AB651" s="24"/>
      <c r="AC651" s="24"/>
    </row>
    <row r="652" spans="1:29" ht="12.9">
      <c r="A652" s="24"/>
      <c r="B652" s="24"/>
      <c r="C652" s="24"/>
      <c r="D652" s="24"/>
      <c r="E652" s="24"/>
      <c r="F652" s="117"/>
      <c r="G652" s="117"/>
      <c r="H652" s="24"/>
      <c r="I652" s="24"/>
      <c r="J652" s="24"/>
      <c r="K652" s="24"/>
      <c r="L652" s="24"/>
      <c r="M652" s="24"/>
      <c r="N652" s="24"/>
      <c r="O652" s="24"/>
      <c r="P652" s="24"/>
      <c r="Q652" s="24"/>
      <c r="R652" s="24"/>
      <c r="S652" s="24"/>
      <c r="T652" s="24"/>
      <c r="U652" s="24"/>
      <c r="V652" s="24"/>
      <c r="W652" s="24"/>
      <c r="X652" s="24"/>
      <c r="Y652" s="24"/>
      <c r="Z652" s="24"/>
      <c r="AA652" s="24"/>
      <c r="AB652" s="24"/>
      <c r="AC652" s="24"/>
    </row>
    <row r="653" spans="1:29" ht="12.9">
      <c r="A653" s="24"/>
      <c r="B653" s="24"/>
      <c r="C653" s="24"/>
      <c r="D653" s="24"/>
      <c r="E653" s="24"/>
      <c r="F653" s="117"/>
      <c r="G653" s="117"/>
      <c r="H653" s="24"/>
      <c r="I653" s="24"/>
      <c r="J653" s="24"/>
      <c r="K653" s="24"/>
      <c r="L653" s="24"/>
      <c r="M653" s="24"/>
      <c r="N653" s="24"/>
      <c r="O653" s="24"/>
      <c r="P653" s="24"/>
      <c r="Q653" s="24"/>
      <c r="R653" s="24"/>
      <c r="S653" s="24"/>
      <c r="T653" s="24"/>
      <c r="U653" s="24"/>
      <c r="V653" s="24"/>
      <c r="W653" s="24"/>
      <c r="X653" s="24"/>
      <c r="Y653" s="24"/>
      <c r="Z653" s="24"/>
      <c r="AA653" s="24"/>
      <c r="AB653" s="24"/>
      <c r="AC653" s="24"/>
    </row>
    <row r="654" spans="1:29" ht="12.9">
      <c r="A654" s="24"/>
      <c r="B654" s="24"/>
      <c r="C654" s="24"/>
      <c r="D654" s="24"/>
      <c r="E654" s="24"/>
      <c r="F654" s="117"/>
      <c r="G654" s="117"/>
      <c r="H654" s="24"/>
      <c r="I654" s="24"/>
      <c r="J654" s="24"/>
      <c r="K654" s="24"/>
      <c r="L654" s="24"/>
      <c r="M654" s="24"/>
      <c r="N654" s="24"/>
      <c r="O654" s="24"/>
      <c r="P654" s="24"/>
      <c r="Q654" s="24"/>
      <c r="R654" s="24"/>
      <c r="S654" s="24"/>
      <c r="T654" s="24"/>
      <c r="U654" s="24"/>
      <c r="V654" s="24"/>
      <c r="W654" s="24"/>
      <c r="X654" s="24"/>
      <c r="Y654" s="24"/>
      <c r="Z654" s="24"/>
      <c r="AA654" s="24"/>
      <c r="AB654" s="24"/>
      <c r="AC654" s="24"/>
    </row>
    <row r="655" spans="1:29" ht="12.9">
      <c r="A655" s="24"/>
      <c r="B655" s="24"/>
      <c r="C655" s="24"/>
      <c r="D655" s="24"/>
      <c r="E655" s="24"/>
      <c r="F655" s="117"/>
      <c r="G655" s="117"/>
      <c r="H655" s="24"/>
      <c r="I655" s="24"/>
      <c r="J655" s="24"/>
      <c r="K655" s="24"/>
      <c r="L655" s="24"/>
      <c r="M655" s="24"/>
      <c r="N655" s="24"/>
      <c r="O655" s="24"/>
      <c r="P655" s="24"/>
      <c r="Q655" s="24"/>
      <c r="R655" s="24"/>
      <c r="S655" s="24"/>
      <c r="T655" s="24"/>
      <c r="U655" s="24"/>
      <c r="V655" s="24"/>
      <c r="W655" s="24"/>
      <c r="X655" s="24"/>
      <c r="Y655" s="24"/>
      <c r="Z655" s="24"/>
      <c r="AA655" s="24"/>
      <c r="AB655" s="24"/>
      <c r="AC655" s="24"/>
    </row>
    <row r="656" spans="1:29" ht="12.9">
      <c r="A656" s="24"/>
      <c r="B656" s="24"/>
      <c r="C656" s="24"/>
      <c r="D656" s="24"/>
      <c r="E656" s="24"/>
      <c r="F656" s="117"/>
      <c r="G656" s="117"/>
      <c r="H656" s="24"/>
      <c r="I656" s="24"/>
      <c r="J656" s="24"/>
      <c r="K656" s="24"/>
      <c r="L656" s="24"/>
      <c r="M656" s="24"/>
      <c r="N656" s="24"/>
      <c r="O656" s="24"/>
      <c r="P656" s="24"/>
      <c r="Q656" s="24"/>
      <c r="R656" s="24"/>
      <c r="S656" s="24"/>
      <c r="T656" s="24"/>
      <c r="U656" s="24"/>
      <c r="V656" s="24"/>
      <c r="W656" s="24"/>
      <c r="X656" s="24"/>
      <c r="Y656" s="24"/>
      <c r="Z656" s="24"/>
      <c r="AA656" s="24"/>
      <c r="AB656" s="24"/>
      <c r="AC656" s="24"/>
    </row>
    <row r="657" spans="1:29" ht="12.9">
      <c r="A657" s="24"/>
      <c r="B657" s="24"/>
      <c r="C657" s="24"/>
      <c r="D657" s="24"/>
      <c r="E657" s="24"/>
      <c r="F657" s="117"/>
      <c r="G657" s="117"/>
      <c r="H657" s="24"/>
      <c r="I657" s="24"/>
      <c r="J657" s="24"/>
      <c r="K657" s="24"/>
      <c r="L657" s="24"/>
      <c r="M657" s="24"/>
      <c r="N657" s="24"/>
      <c r="O657" s="24"/>
      <c r="P657" s="24"/>
      <c r="Q657" s="24"/>
      <c r="R657" s="24"/>
      <c r="S657" s="24"/>
      <c r="T657" s="24"/>
      <c r="U657" s="24"/>
      <c r="V657" s="24"/>
      <c r="W657" s="24"/>
      <c r="X657" s="24"/>
      <c r="Y657" s="24"/>
      <c r="Z657" s="24"/>
      <c r="AA657" s="24"/>
      <c r="AB657" s="24"/>
      <c r="AC657" s="24"/>
    </row>
    <row r="658" spans="1:29" ht="12.9">
      <c r="A658" s="24"/>
      <c r="B658" s="24"/>
      <c r="C658" s="24"/>
      <c r="D658" s="24"/>
      <c r="E658" s="24"/>
      <c r="F658" s="117"/>
      <c r="G658" s="117"/>
      <c r="H658" s="24"/>
      <c r="I658" s="24"/>
      <c r="J658" s="24"/>
      <c r="K658" s="24"/>
      <c r="L658" s="24"/>
      <c r="M658" s="24"/>
      <c r="N658" s="24"/>
      <c r="O658" s="24"/>
      <c r="P658" s="24"/>
      <c r="Q658" s="24"/>
      <c r="R658" s="24"/>
      <c r="S658" s="24"/>
      <c r="T658" s="24"/>
      <c r="U658" s="24"/>
      <c r="V658" s="24"/>
      <c r="W658" s="24"/>
      <c r="X658" s="24"/>
      <c r="Y658" s="24"/>
      <c r="Z658" s="24"/>
      <c r="AA658" s="24"/>
      <c r="AB658" s="24"/>
      <c r="AC658" s="24"/>
    </row>
    <row r="659" spans="1:29" ht="12.9">
      <c r="A659" s="24"/>
      <c r="B659" s="24"/>
      <c r="C659" s="24"/>
      <c r="D659" s="24"/>
      <c r="E659" s="24"/>
      <c r="F659" s="117"/>
      <c r="G659" s="117"/>
      <c r="H659" s="24"/>
      <c r="I659" s="24"/>
      <c r="J659" s="24"/>
      <c r="K659" s="24"/>
      <c r="L659" s="24"/>
      <c r="M659" s="24"/>
      <c r="N659" s="24"/>
      <c r="O659" s="24"/>
      <c r="P659" s="24"/>
      <c r="Q659" s="24"/>
      <c r="R659" s="24"/>
      <c r="S659" s="24"/>
      <c r="T659" s="24"/>
      <c r="U659" s="24"/>
      <c r="V659" s="24"/>
      <c r="W659" s="24"/>
      <c r="X659" s="24"/>
      <c r="Y659" s="24"/>
      <c r="Z659" s="24"/>
      <c r="AA659" s="24"/>
      <c r="AB659" s="24"/>
      <c r="AC659" s="24"/>
    </row>
    <row r="660" spans="1:29" ht="12.9">
      <c r="A660" s="24"/>
      <c r="B660" s="24"/>
      <c r="C660" s="24"/>
      <c r="D660" s="24"/>
      <c r="E660" s="24"/>
      <c r="F660" s="117"/>
      <c r="G660" s="117"/>
      <c r="H660" s="24"/>
      <c r="I660" s="24"/>
      <c r="J660" s="24"/>
      <c r="K660" s="24"/>
      <c r="L660" s="24"/>
      <c r="M660" s="24"/>
      <c r="N660" s="24"/>
      <c r="O660" s="24"/>
      <c r="P660" s="24"/>
      <c r="Q660" s="24"/>
      <c r="R660" s="24"/>
      <c r="S660" s="24"/>
      <c r="T660" s="24"/>
      <c r="U660" s="24"/>
      <c r="V660" s="24"/>
      <c r="W660" s="24"/>
      <c r="X660" s="24"/>
      <c r="Y660" s="24"/>
      <c r="Z660" s="24"/>
      <c r="AA660" s="24"/>
      <c r="AB660" s="24"/>
      <c r="AC660" s="24"/>
    </row>
    <row r="661" spans="1:29" ht="12.9">
      <c r="A661" s="24"/>
      <c r="B661" s="24"/>
      <c r="C661" s="24"/>
      <c r="D661" s="24"/>
      <c r="E661" s="24"/>
      <c r="F661" s="117"/>
      <c r="G661" s="117"/>
      <c r="H661" s="24"/>
      <c r="I661" s="24"/>
      <c r="J661" s="24"/>
      <c r="K661" s="24"/>
      <c r="L661" s="24"/>
      <c r="M661" s="24"/>
      <c r="N661" s="24"/>
      <c r="O661" s="24"/>
      <c r="P661" s="24"/>
      <c r="Q661" s="24"/>
      <c r="R661" s="24"/>
      <c r="S661" s="24"/>
      <c r="T661" s="24"/>
      <c r="U661" s="24"/>
      <c r="V661" s="24"/>
      <c r="W661" s="24"/>
      <c r="X661" s="24"/>
      <c r="Y661" s="24"/>
      <c r="Z661" s="24"/>
      <c r="AA661" s="24"/>
      <c r="AB661" s="24"/>
      <c r="AC661" s="24"/>
    </row>
    <row r="662" spans="1:29" ht="12.9">
      <c r="A662" s="24"/>
      <c r="B662" s="24"/>
      <c r="C662" s="24"/>
      <c r="D662" s="24"/>
      <c r="E662" s="24"/>
      <c r="F662" s="117"/>
      <c r="G662" s="117"/>
      <c r="H662" s="24"/>
      <c r="I662" s="24"/>
      <c r="J662" s="24"/>
      <c r="K662" s="24"/>
      <c r="L662" s="24"/>
      <c r="M662" s="24"/>
      <c r="N662" s="24"/>
      <c r="O662" s="24"/>
      <c r="P662" s="24"/>
      <c r="Q662" s="24"/>
      <c r="R662" s="24"/>
      <c r="S662" s="24"/>
      <c r="T662" s="24"/>
      <c r="U662" s="24"/>
      <c r="V662" s="24"/>
      <c r="W662" s="24"/>
      <c r="X662" s="24"/>
      <c r="Y662" s="24"/>
      <c r="Z662" s="24"/>
      <c r="AA662" s="24"/>
      <c r="AB662" s="24"/>
      <c r="AC662" s="24"/>
    </row>
    <row r="663" spans="1:29" ht="12.9">
      <c r="A663" s="24"/>
      <c r="B663" s="24"/>
      <c r="C663" s="24"/>
      <c r="D663" s="24"/>
      <c r="E663" s="24"/>
      <c r="F663" s="117"/>
      <c r="G663" s="117"/>
      <c r="H663" s="24"/>
      <c r="I663" s="24"/>
      <c r="J663" s="24"/>
      <c r="K663" s="24"/>
      <c r="L663" s="24"/>
      <c r="M663" s="24"/>
      <c r="N663" s="24"/>
      <c r="O663" s="24"/>
      <c r="P663" s="24"/>
      <c r="Q663" s="24"/>
      <c r="R663" s="24"/>
      <c r="S663" s="24"/>
      <c r="T663" s="24"/>
      <c r="U663" s="24"/>
      <c r="V663" s="24"/>
      <c r="W663" s="24"/>
      <c r="X663" s="24"/>
      <c r="Y663" s="24"/>
      <c r="Z663" s="24"/>
      <c r="AA663" s="24"/>
      <c r="AB663" s="24"/>
      <c r="AC663" s="24"/>
    </row>
    <row r="664" spans="1:29" ht="12.9">
      <c r="A664" s="24"/>
      <c r="B664" s="24"/>
      <c r="C664" s="24"/>
      <c r="D664" s="24"/>
      <c r="E664" s="24"/>
      <c r="F664" s="117"/>
      <c r="G664" s="117"/>
      <c r="H664" s="24"/>
      <c r="I664" s="24"/>
      <c r="J664" s="24"/>
      <c r="K664" s="24"/>
      <c r="L664" s="24"/>
      <c r="M664" s="24"/>
      <c r="N664" s="24"/>
      <c r="O664" s="24"/>
      <c r="P664" s="24"/>
      <c r="Q664" s="24"/>
      <c r="R664" s="24"/>
      <c r="S664" s="24"/>
      <c r="T664" s="24"/>
      <c r="U664" s="24"/>
      <c r="V664" s="24"/>
      <c r="W664" s="24"/>
      <c r="X664" s="24"/>
      <c r="Y664" s="24"/>
      <c r="Z664" s="24"/>
      <c r="AA664" s="24"/>
      <c r="AB664" s="24"/>
      <c r="AC664" s="24"/>
    </row>
    <row r="665" spans="1:29" ht="12.9">
      <c r="A665" s="24"/>
      <c r="B665" s="24"/>
      <c r="C665" s="24"/>
      <c r="D665" s="24"/>
      <c r="E665" s="24"/>
      <c r="F665" s="117"/>
      <c r="G665" s="117"/>
      <c r="H665" s="24"/>
      <c r="I665" s="24"/>
      <c r="J665" s="24"/>
      <c r="K665" s="24"/>
      <c r="L665" s="24"/>
      <c r="M665" s="24"/>
      <c r="N665" s="24"/>
      <c r="O665" s="24"/>
      <c r="P665" s="24"/>
      <c r="Q665" s="24"/>
      <c r="R665" s="24"/>
      <c r="S665" s="24"/>
      <c r="T665" s="24"/>
      <c r="U665" s="24"/>
      <c r="V665" s="24"/>
      <c r="W665" s="24"/>
      <c r="X665" s="24"/>
      <c r="Y665" s="24"/>
      <c r="Z665" s="24"/>
      <c r="AA665" s="24"/>
      <c r="AB665" s="24"/>
      <c r="AC665" s="24"/>
    </row>
    <row r="666" spans="1:29" ht="12.9">
      <c r="A666" s="24"/>
      <c r="B666" s="24"/>
      <c r="C666" s="24"/>
      <c r="D666" s="24"/>
      <c r="E666" s="24"/>
      <c r="F666" s="117"/>
      <c r="G666" s="117"/>
      <c r="H666" s="24"/>
      <c r="I666" s="24"/>
      <c r="J666" s="24"/>
      <c r="K666" s="24"/>
      <c r="L666" s="24"/>
      <c r="M666" s="24"/>
      <c r="N666" s="24"/>
      <c r="O666" s="24"/>
      <c r="P666" s="24"/>
      <c r="Q666" s="24"/>
      <c r="R666" s="24"/>
      <c r="S666" s="24"/>
      <c r="T666" s="24"/>
      <c r="U666" s="24"/>
      <c r="V666" s="24"/>
      <c r="W666" s="24"/>
      <c r="X666" s="24"/>
      <c r="Y666" s="24"/>
      <c r="Z666" s="24"/>
      <c r="AA666" s="24"/>
      <c r="AB666" s="24"/>
      <c r="AC666" s="24"/>
    </row>
    <row r="667" spans="1:29" ht="12.9">
      <c r="A667" s="24"/>
      <c r="B667" s="24"/>
      <c r="C667" s="24"/>
      <c r="D667" s="24"/>
      <c r="E667" s="24"/>
      <c r="F667" s="117"/>
      <c r="G667" s="117"/>
      <c r="H667" s="24"/>
      <c r="I667" s="24"/>
      <c r="J667" s="24"/>
      <c r="K667" s="24"/>
      <c r="L667" s="24"/>
      <c r="M667" s="24"/>
      <c r="N667" s="24"/>
      <c r="O667" s="24"/>
      <c r="P667" s="24"/>
      <c r="Q667" s="24"/>
      <c r="R667" s="24"/>
      <c r="S667" s="24"/>
      <c r="T667" s="24"/>
      <c r="U667" s="24"/>
      <c r="V667" s="24"/>
      <c r="W667" s="24"/>
      <c r="X667" s="24"/>
      <c r="Y667" s="24"/>
      <c r="Z667" s="24"/>
      <c r="AA667" s="24"/>
      <c r="AB667" s="24"/>
      <c r="AC667" s="24"/>
    </row>
    <row r="668" spans="1:29" ht="12.9">
      <c r="A668" s="24"/>
      <c r="B668" s="24"/>
      <c r="C668" s="24"/>
      <c r="D668" s="24"/>
      <c r="E668" s="24"/>
      <c r="F668" s="117"/>
      <c r="G668" s="117"/>
      <c r="H668" s="24"/>
      <c r="I668" s="24"/>
      <c r="J668" s="24"/>
      <c r="K668" s="24"/>
      <c r="L668" s="24"/>
      <c r="M668" s="24"/>
      <c r="N668" s="24"/>
      <c r="O668" s="24"/>
      <c r="P668" s="24"/>
      <c r="Q668" s="24"/>
      <c r="R668" s="24"/>
      <c r="S668" s="24"/>
      <c r="T668" s="24"/>
      <c r="U668" s="24"/>
      <c r="V668" s="24"/>
      <c r="W668" s="24"/>
      <c r="X668" s="24"/>
      <c r="Y668" s="24"/>
      <c r="Z668" s="24"/>
      <c r="AA668" s="24"/>
      <c r="AB668" s="24"/>
      <c r="AC668" s="24"/>
    </row>
    <row r="669" spans="1:29" ht="12.9">
      <c r="A669" s="24"/>
      <c r="B669" s="24"/>
      <c r="C669" s="24"/>
      <c r="D669" s="24"/>
      <c r="E669" s="24"/>
      <c r="F669" s="117"/>
      <c r="G669" s="117"/>
      <c r="H669" s="24"/>
      <c r="I669" s="24"/>
      <c r="J669" s="24"/>
      <c r="K669" s="24"/>
      <c r="L669" s="24"/>
      <c r="M669" s="24"/>
      <c r="N669" s="24"/>
      <c r="O669" s="24"/>
      <c r="P669" s="24"/>
      <c r="Q669" s="24"/>
      <c r="R669" s="24"/>
      <c r="S669" s="24"/>
      <c r="T669" s="24"/>
      <c r="U669" s="24"/>
      <c r="V669" s="24"/>
      <c r="W669" s="24"/>
      <c r="X669" s="24"/>
      <c r="Y669" s="24"/>
      <c r="Z669" s="24"/>
      <c r="AA669" s="24"/>
      <c r="AB669" s="24"/>
      <c r="AC669" s="24"/>
    </row>
    <row r="670" spans="1:29" ht="12.9">
      <c r="A670" s="24"/>
      <c r="B670" s="24"/>
      <c r="C670" s="24"/>
      <c r="D670" s="24"/>
      <c r="E670" s="24"/>
      <c r="F670" s="117"/>
      <c r="G670" s="117"/>
      <c r="H670" s="24"/>
      <c r="I670" s="24"/>
      <c r="J670" s="24"/>
      <c r="K670" s="24"/>
      <c r="L670" s="24"/>
      <c r="M670" s="24"/>
      <c r="N670" s="24"/>
      <c r="O670" s="24"/>
      <c r="P670" s="24"/>
      <c r="Q670" s="24"/>
      <c r="R670" s="24"/>
      <c r="S670" s="24"/>
      <c r="T670" s="24"/>
      <c r="U670" s="24"/>
      <c r="V670" s="24"/>
      <c r="W670" s="24"/>
      <c r="X670" s="24"/>
      <c r="Y670" s="24"/>
      <c r="Z670" s="24"/>
      <c r="AA670" s="24"/>
      <c r="AB670" s="24"/>
      <c r="AC670" s="24"/>
    </row>
    <row r="671" spans="1:29" ht="12.9">
      <c r="A671" s="24"/>
      <c r="B671" s="24"/>
      <c r="C671" s="24"/>
      <c r="D671" s="24"/>
      <c r="E671" s="24"/>
      <c r="F671" s="117"/>
      <c r="G671" s="117"/>
      <c r="H671" s="24"/>
      <c r="I671" s="24"/>
      <c r="J671" s="24"/>
      <c r="K671" s="24"/>
      <c r="L671" s="24"/>
      <c r="M671" s="24"/>
      <c r="N671" s="24"/>
      <c r="O671" s="24"/>
      <c r="P671" s="24"/>
      <c r="Q671" s="24"/>
      <c r="R671" s="24"/>
      <c r="S671" s="24"/>
      <c r="T671" s="24"/>
      <c r="U671" s="24"/>
      <c r="V671" s="24"/>
      <c r="W671" s="24"/>
      <c r="X671" s="24"/>
      <c r="Y671" s="24"/>
      <c r="Z671" s="24"/>
      <c r="AA671" s="24"/>
      <c r="AB671" s="24"/>
      <c r="AC671" s="24"/>
    </row>
    <row r="672" spans="1:29" ht="12.9">
      <c r="A672" s="24"/>
      <c r="B672" s="24"/>
      <c r="C672" s="24"/>
      <c r="D672" s="24"/>
      <c r="E672" s="24"/>
      <c r="F672" s="117"/>
      <c r="G672" s="117"/>
      <c r="H672" s="24"/>
      <c r="I672" s="24"/>
      <c r="J672" s="24"/>
      <c r="K672" s="24"/>
      <c r="L672" s="24"/>
      <c r="M672" s="24"/>
      <c r="N672" s="24"/>
      <c r="O672" s="24"/>
      <c r="P672" s="24"/>
      <c r="Q672" s="24"/>
      <c r="R672" s="24"/>
      <c r="S672" s="24"/>
      <c r="T672" s="24"/>
      <c r="U672" s="24"/>
      <c r="V672" s="24"/>
      <c r="W672" s="24"/>
      <c r="X672" s="24"/>
      <c r="Y672" s="24"/>
      <c r="Z672" s="24"/>
      <c r="AA672" s="24"/>
      <c r="AB672" s="24"/>
      <c r="AC672" s="24"/>
    </row>
    <row r="673" spans="1:29" ht="12.9">
      <c r="A673" s="24"/>
      <c r="B673" s="24"/>
      <c r="C673" s="24"/>
      <c r="D673" s="24"/>
      <c r="E673" s="24"/>
      <c r="F673" s="117"/>
      <c r="G673" s="117"/>
      <c r="H673" s="24"/>
      <c r="I673" s="24"/>
      <c r="J673" s="24"/>
      <c r="K673" s="24"/>
      <c r="L673" s="24"/>
      <c r="M673" s="24"/>
      <c r="N673" s="24"/>
      <c r="O673" s="24"/>
      <c r="P673" s="24"/>
      <c r="Q673" s="24"/>
      <c r="R673" s="24"/>
      <c r="S673" s="24"/>
      <c r="T673" s="24"/>
      <c r="U673" s="24"/>
      <c r="V673" s="24"/>
      <c r="W673" s="24"/>
      <c r="X673" s="24"/>
      <c r="Y673" s="24"/>
      <c r="Z673" s="24"/>
      <c r="AA673" s="24"/>
      <c r="AB673" s="24"/>
      <c r="AC673" s="24"/>
    </row>
    <row r="674" spans="1:29" ht="12.9">
      <c r="A674" s="24"/>
      <c r="B674" s="24"/>
      <c r="C674" s="24"/>
      <c r="D674" s="24"/>
      <c r="E674" s="24"/>
      <c r="F674" s="117"/>
      <c r="G674" s="117"/>
      <c r="H674" s="24"/>
      <c r="I674" s="24"/>
      <c r="J674" s="24"/>
      <c r="K674" s="24"/>
      <c r="L674" s="24"/>
      <c r="M674" s="24"/>
      <c r="N674" s="24"/>
      <c r="O674" s="24"/>
      <c r="P674" s="24"/>
      <c r="Q674" s="24"/>
      <c r="R674" s="24"/>
      <c r="S674" s="24"/>
      <c r="T674" s="24"/>
      <c r="U674" s="24"/>
      <c r="V674" s="24"/>
      <c r="W674" s="24"/>
      <c r="X674" s="24"/>
      <c r="Y674" s="24"/>
      <c r="Z674" s="24"/>
      <c r="AA674" s="24"/>
      <c r="AB674" s="24"/>
      <c r="AC674" s="24"/>
    </row>
    <row r="675" spans="1:29" ht="12.9">
      <c r="A675" s="24"/>
      <c r="B675" s="24"/>
      <c r="C675" s="24"/>
      <c r="D675" s="24"/>
      <c r="E675" s="24"/>
      <c r="F675" s="117"/>
      <c r="G675" s="117"/>
      <c r="H675" s="24"/>
      <c r="I675" s="24"/>
      <c r="J675" s="24"/>
      <c r="K675" s="24"/>
      <c r="L675" s="24"/>
      <c r="M675" s="24"/>
      <c r="N675" s="24"/>
      <c r="O675" s="24"/>
      <c r="P675" s="24"/>
      <c r="Q675" s="24"/>
      <c r="R675" s="24"/>
      <c r="S675" s="24"/>
      <c r="T675" s="24"/>
      <c r="U675" s="24"/>
      <c r="V675" s="24"/>
      <c r="W675" s="24"/>
      <c r="X675" s="24"/>
      <c r="Y675" s="24"/>
      <c r="Z675" s="24"/>
      <c r="AA675" s="24"/>
      <c r="AB675" s="24"/>
      <c r="AC675" s="24"/>
    </row>
    <row r="676" spans="1:29" ht="12.9">
      <c r="A676" s="24"/>
      <c r="B676" s="24"/>
      <c r="C676" s="24"/>
      <c r="D676" s="24"/>
      <c r="E676" s="24"/>
      <c r="F676" s="117"/>
      <c r="G676" s="117"/>
      <c r="H676" s="24"/>
      <c r="I676" s="24"/>
      <c r="J676" s="24"/>
      <c r="K676" s="24"/>
      <c r="L676" s="24"/>
      <c r="M676" s="24"/>
      <c r="N676" s="24"/>
      <c r="O676" s="24"/>
      <c r="P676" s="24"/>
      <c r="Q676" s="24"/>
      <c r="R676" s="24"/>
      <c r="S676" s="24"/>
      <c r="T676" s="24"/>
      <c r="U676" s="24"/>
      <c r="V676" s="24"/>
      <c r="W676" s="24"/>
      <c r="X676" s="24"/>
      <c r="Y676" s="24"/>
      <c r="Z676" s="24"/>
      <c r="AA676" s="24"/>
      <c r="AB676" s="24"/>
      <c r="AC676" s="24"/>
    </row>
    <row r="677" spans="1:29" ht="12.9">
      <c r="A677" s="24"/>
      <c r="B677" s="24"/>
      <c r="C677" s="24"/>
      <c r="D677" s="24"/>
      <c r="E677" s="24"/>
      <c r="F677" s="117"/>
      <c r="G677" s="117"/>
      <c r="H677" s="24"/>
      <c r="I677" s="24"/>
      <c r="J677" s="24"/>
      <c r="K677" s="24"/>
      <c r="L677" s="24"/>
      <c r="M677" s="24"/>
      <c r="N677" s="24"/>
      <c r="O677" s="24"/>
      <c r="P677" s="24"/>
      <c r="Q677" s="24"/>
      <c r="R677" s="24"/>
      <c r="S677" s="24"/>
      <c r="T677" s="24"/>
      <c r="U677" s="24"/>
      <c r="V677" s="24"/>
      <c r="W677" s="24"/>
      <c r="X677" s="24"/>
      <c r="Y677" s="24"/>
      <c r="Z677" s="24"/>
      <c r="AA677" s="24"/>
      <c r="AB677" s="24"/>
      <c r="AC677" s="24"/>
    </row>
    <row r="678" spans="1:29" ht="12.9">
      <c r="A678" s="24"/>
      <c r="B678" s="24"/>
      <c r="C678" s="24"/>
      <c r="D678" s="24"/>
      <c r="E678" s="24"/>
      <c r="F678" s="117"/>
      <c r="G678" s="117"/>
      <c r="H678" s="24"/>
      <c r="I678" s="24"/>
      <c r="J678" s="24"/>
      <c r="K678" s="24"/>
      <c r="L678" s="24"/>
      <c r="M678" s="24"/>
      <c r="N678" s="24"/>
      <c r="O678" s="24"/>
      <c r="P678" s="24"/>
      <c r="Q678" s="24"/>
      <c r="R678" s="24"/>
      <c r="S678" s="24"/>
      <c r="T678" s="24"/>
      <c r="U678" s="24"/>
      <c r="V678" s="24"/>
      <c r="W678" s="24"/>
      <c r="X678" s="24"/>
      <c r="Y678" s="24"/>
      <c r="Z678" s="24"/>
      <c r="AA678" s="24"/>
      <c r="AB678" s="24"/>
      <c r="AC678" s="24"/>
    </row>
    <row r="679" spans="1:29" ht="12.9">
      <c r="A679" s="24"/>
      <c r="B679" s="24"/>
      <c r="C679" s="24"/>
      <c r="D679" s="24"/>
      <c r="E679" s="24"/>
      <c r="F679" s="117"/>
      <c r="G679" s="117"/>
      <c r="H679" s="24"/>
      <c r="I679" s="24"/>
      <c r="J679" s="24"/>
      <c r="K679" s="24"/>
      <c r="L679" s="24"/>
      <c r="M679" s="24"/>
      <c r="N679" s="24"/>
      <c r="O679" s="24"/>
      <c r="P679" s="24"/>
      <c r="Q679" s="24"/>
      <c r="R679" s="24"/>
      <c r="S679" s="24"/>
      <c r="T679" s="24"/>
      <c r="U679" s="24"/>
      <c r="V679" s="24"/>
      <c r="W679" s="24"/>
      <c r="X679" s="24"/>
      <c r="Y679" s="24"/>
      <c r="Z679" s="24"/>
      <c r="AA679" s="24"/>
      <c r="AB679" s="24"/>
      <c r="AC679" s="24"/>
    </row>
    <row r="680" spans="1:29" ht="12.9">
      <c r="A680" s="24"/>
      <c r="B680" s="24"/>
      <c r="C680" s="24"/>
      <c r="D680" s="24"/>
      <c r="E680" s="24"/>
      <c r="F680" s="117"/>
      <c r="G680" s="117"/>
      <c r="H680" s="24"/>
      <c r="I680" s="24"/>
      <c r="J680" s="24"/>
      <c r="K680" s="24"/>
      <c r="L680" s="24"/>
      <c r="M680" s="24"/>
      <c r="N680" s="24"/>
      <c r="O680" s="24"/>
      <c r="P680" s="24"/>
      <c r="Q680" s="24"/>
      <c r="R680" s="24"/>
      <c r="S680" s="24"/>
      <c r="T680" s="24"/>
      <c r="U680" s="24"/>
      <c r="V680" s="24"/>
      <c r="W680" s="24"/>
      <c r="X680" s="24"/>
      <c r="Y680" s="24"/>
      <c r="Z680" s="24"/>
      <c r="AA680" s="24"/>
      <c r="AB680" s="24"/>
      <c r="AC680" s="24"/>
    </row>
    <row r="681" spans="1:29" ht="12.9">
      <c r="A681" s="24"/>
      <c r="B681" s="24"/>
      <c r="C681" s="24"/>
      <c r="D681" s="24"/>
      <c r="E681" s="24"/>
      <c r="F681" s="117"/>
      <c r="G681" s="117"/>
      <c r="H681" s="24"/>
      <c r="I681" s="24"/>
      <c r="J681" s="24"/>
      <c r="K681" s="24"/>
      <c r="L681" s="24"/>
      <c r="M681" s="24"/>
      <c r="N681" s="24"/>
      <c r="O681" s="24"/>
      <c r="P681" s="24"/>
      <c r="Q681" s="24"/>
      <c r="R681" s="24"/>
      <c r="S681" s="24"/>
      <c r="T681" s="24"/>
      <c r="U681" s="24"/>
      <c r="V681" s="24"/>
      <c r="W681" s="24"/>
      <c r="X681" s="24"/>
      <c r="Y681" s="24"/>
      <c r="Z681" s="24"/>
      <c r="AA681" s="24"/>
      <c r="AB681" s="24"/>
      <c r="AC681" s="24"/>
    </row>
    <row r="682" spans="1:29" ht="12.9">
      <c r="A682" s="24"/>
      <c r="B682" s="24"/>
      <c r="C682" s="24"/>
      <c r="D682" s="24"/>
      <c r="E682" s="24"/>
      <c r="F682" s="117"/>
      <c r="G682" s="117"/>
      <c r="H682" s="24"/>
      <c r="I682" s="24"/>
      <c r="J682" s="24"/>
      <c r="K682" s="24"/>
      <c r="L682" s="24"/>
      <c r="M682" s="24"/>
      <c r="N682" s="24"/>
      <c r="O682" s="24"/>
      <c r="P682" s="24"/>
      <c r="Q682" s="24"/>
      <c r="R682" s="24"/>
      <c r="S682" s="24"/>
      <c r="T682" s="24"/>
      <c r="U682" s="24"/>
      <c r="V682" s="24"/>
      <c r="W682" s="24"/>
      <c r="X682" s="24"/>
      <c r="Y682" s="24"/>
      <c r="Z682" s="24"/>
      <c r="AA682" s="24"/>
      <c r="AB682" s="24"/>
      <c r="AC682" s="24"/>
    </row>
    <row r="683" spans="1:29" ht="12.9">
      <c r="A683" s="24"/>
      <c r="B683" s="24"/>
      <c r="C683" s="24"/>
      <c r="D683" s="24"/>
      <c r="E683" s="24"/>
      <c r="F683" s="117"/>
      <c r="G683" s="117"/>
      <c r="H683" s="24"/>
      <c r="I683" s="24"/>
      <c r="J683" s="24"/>
      <c r="K683" s="24"/>
      <c r="L683" s="24"/>
      <c r="M683" s="24"/>
      <c r="N683" s="24"/>
      <c r="O683" s="24"/>
      <c r="P683" s="24"/>
      <c r="Q683" s="24"/>
      <c r="R683" s="24"/>
      <c r="S683" s="24"/>
      <c r="T683" s="24"/>
      <c r="U683" s="24"/>
      <c r="V683" s="24"/>
      <c r="W683" s="24"/>
      <c r="X683" s="24"/>
      <c r="Y683" s="24"/>
      <c r="Z683" s="24"/>
      <c r="AA683" s="24"/>
      <c r="AB683" s="24"/>
      <c r="AC683" s="24"/>
    </row>
    <row r="684" spans="1:29" ht="12.9">
      <c r="A684" s="24"/>
      <c r="B684" s="24"/>
      <c r="C684" s="24"/>
      <c r="D684" s="24"/>
      <c r="E684" s="24"/>
      <c r="F684" s="117"/>
      <c r="G684" s="117"/>
      <c r="H684" s="24"/>
      <c r="I684" s="24"/>
      <c r="J684" s="24"/>
      <c r="K684" s="24"/>
      <c r="L684" s="24"/>
      <c r="M684" s="24"/>
      <c r="N684" s="24"/>
      <c r="O684" s="24"/>
      <c r="P684" s="24"/>
      <c r="Q684" s="24"/>
      <c r="R684" s="24"/>
      <c r="S684" s="24"/>
      <c r="T684" s="24"/>
      <c r="U684" s="24"/>
      <c r="V684" s="24"/>
      <c r="W684" s="24"/>
      <c r="X684" s="24"/>
      <c r="Y684" s="24"/>
      <c r="Z684" s="24"/>
      <c r="AA684" s="24"/>
      <c r="AB684" s="24"/>
      <c r="AC684" s="24"/>
    </row>
    <row r="685" spans="1:29" ht="12.9">
      <c r="A685" s="24"/>
      <c r="B685" s="24"/>
      <c r="C685" s="24"/>
      <c r="D685" s="24"/>
      <c r="E685" s="24"/>
      <c r="F685" s="117"/>
      <c r="G685" s="117"/>
      <c r="H685" s="24"/>
      <c r="I685" s="24"/>
      <c r="J685" s="24"/>
      <c r="K685" s="24"/>
      <c r="L685" s="24"/>
      <c r="M685" s="24"/>
      <c r="N685" s="24"/>
      <c r="O685" s="24"/>
      <c r="P685" s="24"/>
      <c r="Q685" s="24"/>
      <c r="R685" s="24"/>
      <c r="S685" s="24"/>
      <c r="T685" s="24"/>
      <c r="U685" s="24"/>
      <c r="V685" s="24"/>
      <c r="W685" s="24"/>
      <c r="X685" s="24"/>
      <c r="Y685" s="24"/>
      <c r="Z685" s="24"/>
      <c r="AA685" s="24"/>
      <c r="AB685" s="24"/>
      <c r="AC685" s="24"/>
    </row>
    <row r="686" spans="1:29" ht="12.9">
      <c r="A686" s="24"/>
      <c r="B686" s="24"/>
      <c r="C686" s="24"/>
      <c r="D686" s="24"/>
      <c r="E686" s="24"/>
      <c r="F686" s="117"/>
      <c r="G686" s="117"/>
      <c r="H686" s="24"/>
      <c r="I686" s="24"/>
      <c r="J686" s="24"/>
      <c r="K686" s="24"/>
      <c r="L686" s="24"/>
      <c r="M686" s="24"/>
      <c r="N686" s="24"/>
      <c r="O686" s="24"/>
      <c r="P686" s="24"/>
      <c r="Q686" s="24"/>
      <c r="R686" s="24"/>
      <c r="S686" s="24"/>
      <c r="T686" s="24"/>
      <c r="U686" s="24"/>
      <c r="V686" s="24"/>
      <c r="W686" s="24"/>
      <c r="X686" s="24"/>
      <c r="Y686" s="24"/>
      <c r="Z686" s="24"/>
      <c r="AA686" s="24"/>
      <c r="AB686" s="24"/>
      <c r="AC686" s="24"/>
    </row>
    <row r="687" spans="1:29" ht="12.9">
      <c r="A687" s="24"/>
      <c r="B687" s="24"/>
      <c r="C687" s="24"/>
      <c r="D687" s="24"/>
      <c r="E687" s="24"/>
      <c r="F687" s="117"/>
      <c r="G687" s="117"/>
      <c r="H687" s="24"/>
      <c r="I687" s="24"/>
      <c r="J687" s="24"/>
      <c r="K687" s="24"/>
      <c r="L687" s="24"/>
      <c r="M687" s="24"/>
      <c r="N687" s="24"/>
      <c r="O687" s="24"/>
      <c r="P687" s="24"/>
      <c r="Q687" s="24"/>
      <c r="R687" s="24"/>
      <c r="S687" s="24"/>
      <c r="T687" s="24"/>
      <c r="U687" s="24"/>
      <c r="V687" s="24"/>
      <c r="W687" s="24"/>
      <c r="X687" s="24"/>
      <c r="Y687" s="24"/>
      <c r="Z687" s="24"/>
      <c r="AA687" s="24"/>
      <c r="AB687" s="24"/>
      <c r="AC687" s="24"/>
    </row>
    <row r="688" spans="1:29" ht="12.9">
      <c r="A688" s="24"/>
      <c r="B688" s="24"/>
      <c r="C688" s="24"/>
      <c r="D688" s="24"/>
      <c r="E688" s="24"/>
      <c r="F688" s="117"/>
      <c r="G688" s="117"/>
      <c r="H688" s="24"/>
      <c r="I688" s="24"/>
      <c r="J688" s="24"/>
      <c r="K688" s="24"/>
      <c r="L688" s="24"/>
      <c r="M688" s="24"/>
      <c r="N688" s="24"/>
      <c r="O688" s="24"/>
      <c r="P688" s="24"/>
      <c r="Q688" s="24"/>
      <c r="R688" s="24"/>
      <c r="S688" s="24"/>
      <c r="T688" s="24"/>
      <c r="U688" s="24"/>
      <c r="V688" s="24"/>
      <c r="W688" s="24"/>
      <c r="X688" s="24"/>
      <c r="Y688" s="24"/>
      <c r="Z688" s="24"/>
      <c r="AA688" s="24"/>
      <c r="AB688" s="24"/>
      <c r="AC688" s="24"/>
    </row>
    <row r="689" spans="1:29" ht="12.9">
      <c r="A689" s="24"/>
      <c r="B689" s="24"/>
      <c r="C689" s="24"/>
      <c r="D689" s="24"/>
      <c r="E689" s="24"/>
      <c r="F689" s="117"/>
      <c r="G689" s="117"/>
      <c r="H689" s="24"/>
      <c r="I689" s="24"/>
      <c r="J689" s="24"/>
      <c r="K689" s="24"/>
      <c r="L689" s="24"/>
      <c r="M689" s="24"/>
      <c r="N689" s="24"/>
      <c r="O689" s="24"/>
      <c r="P689" s="24"/>
      <c r="Q689" s="24"/>
      <c r="R689" s="24"/>
      <c r="S689" s="24"/>
      <c r="T689" s="24"/>
      <c r="U689" s="24"/>
      <c r="V689" s="24"/>
      <c r="W689" s="24"/>
      <c r="X689" s="24"/>
      <c r="Y689" s="24"/>
      <c r="Z689" s="24"/>
      <c r="AA689" s="24"/>
      <c r="AB689" s="24"/>
      <c r="AC689" s="24"/>
    </row>
    <row r="690" spans="1:29" ht="12.9">
      <c r="A690" s="24"/>
      <c r="B690" s="24"/>
      <c r="C690" s="24"/>
      <c r="D690" s="24"/>
      <c r="E690" s="24"/>
      <c r="F690" s="117"/>
      <c r="G690" s="117"/>
      <c r="H690" s="24"/>
      <c r="I690" s="24"/>
      <c r="J690" s="24"/>
      <c r="K690" s="24"/>
      <c r="L690" s="24"/>
      <c r="M690" s="24"/>
      <c r="N690" s="24"/>
      <c r="O690" s="24"/>
      <c r="P690" s="24"/>
      <c r="Q690" s="24"/>
      <c r="R690" s="24"/>
      <c r="S690" s="24"/>
      <c r="T690" s="24"/>
      <c r="U690" s="24"/>
      <c r="V690" s="24"/>
      <c r="W690" s="24"/>
      <c r="X690" s="24"/>
      <c r="Y690" s="24"/>
      <c r="Z690" s="24"/>
      <c r="AA690" s="24"/>
      <c r="AB690" s="24"/>
      <c r="AC690" s="24"/>
    </row>
    <row r="691" spans="1:29" ht="12.9">
      <c r="A691" s="24"/>
      <c r="B691" s="24"/>
      <c r="C691" s="24"/>
      <c r="D691" s="24"/>
      <c r="E691" s="24"/>
      <c r="F691" s="117"/>
      <c r="G691" s="117"/>
      <c r="H691" s="24"/>
      <c r="I691" s="24"/>
      <c r="J691" s="24"/>
      <c r="K691" s="24"/>
      <c r="L691" s="24"/>
      <c r="M691" s="24"/>
      <c r="N691" s="24"/>
      <c r="O691" s="24"/>
      <c r="P691" s="24"/>
      <c r="Q691" s="24"/>
      <c r="R691" s="24"/>
      <c r="S691" s="24"/>
      <c r="T691" s="24"/>
      <c r="U691" s="24"/>
      <c r="V691" s="24"/>
      <c r="W691" s="24"/>
      <c r="X691" s="24"/>
      <c r="Y691" s="24"/>
      <c r="Z691" s="24"/>
      <c r="AA691" s="24"/>
      <c r="AB691" s="24"/>
      <c r="AC691" s="24"/>
    </row>
    <row r="692" spans="1:29" ht="12.9">
      <c r="A692" s="24"/>
      <c r="B692" s="24"/>
      <c r="C692" s="24"/>
      <c r="D692" s="24"/>
      <c r="E692" s="24"/>
      <c r="F692" s="117"/>
      <c r="G692" s="117"/>
      <c r="H692" s="24"/>
      <c r="I692" s="24"/>
      <c r="J692" s="24"/>
      <c r="K692" s="24"/>
      <c r="L692" s="24"/>
      <c r="M692" s="24"/>
      <c r="N692" s="24"/>
      <c r="O692" s="24"/>
      <c r="P692" s="24"/>
      <c r="Q692" s="24"/>
      <c r="R692" s="24"/>
      <c r="S692" s="24"/>
      <c r="T692" s="24"/>
      <c r="U692" s="24"/>
      <c r="V692" s="24"/>
      <c r="W692" s="24"/>
      <c r="X692" s="24"/>
      <c r="Y692" s="24"/>
      <c r="Z692" s="24"/>
      <c r="AA692" s="24"/>
      <c r="AB692" s="24"/>
      <c r="AC692" s="24"/>
    </row>
    <row r="693" spans="1:29" ht="12.9">
      <c r="A693" s="24"/>
      <c r="B693" s="24"/>
      <c r="C693" s="24"/>
      <c r="D693" s="24"/>
      <c r="E693" s="24"/>
      <c r="F693" s="117"/>
      <c r="G693" s="117"/>
      <c r="H693" s="24"/>
      <c r="I693" s="24"/>
      <c r="J693" s="24"/>
      <c r="K693" s="24"/>
      <c r="L693" s="24"/>
      <c r="M693" s="24"/>
      <c r="N693" s="24"/>
      <c r="O693" s="24"/>
      <c r="P693" s="24"/>
      <c r="Q693" s="24"/>
      <c r="R693" s="24"/>
      <c r="S693" s="24"/>
      <c r="T693" s="24"/>
      <c r="U693" s="24"/>
      <c r="V693" s="24"/>
      <c r="W693" s="24"/>
      <c r="X693" s="24"/>
      <c r="Y693" s="24"/>
      <c r="Z693" s="24"/>
      <c r="AA693" s="24"/>
      <c r="AB693" s="24"/>
      <c r="AC693" s="24"/>
    </row>
    <row r="694" spans="1:29" ht="12.9">
      <c r="A694" s="24"/>
      <c r="B694" s="24"/>
      <c r="C694" s="24"/>
      <c r="D694" s="24"/>
      <c r="E694" s="24"/>
      <c r="F694" s="117"/>
      <c r="G694" s="117"/>
      <c r="H694" s="24"/>
      <c r="I694" s="24"/>
      <c r="J694" s="24"/>
      <c r="K694" s="24"/>
      <c r="L694" s="24"/>
      <c r="M694" s="24"/>
      <c r="N694" s="24"/>
      <c r="O694" s="24"/>
      <c r="P694" s="24"/>
      <c r="Q694" s="24"/>
      <c r="R694" s="24"/>
      <c r="S694" s="24"/>
      <c r="T694" s="24"/>
      <c r="U694" s="24"/>
      <c r="V694" s="24"/>
      <c r="W694" s="24"/>
      <c r="X694" s="24"/>
      <c r="Y694" s="24"/>
      <c r="Z694" s="24"/>
      <c r="AA694" s="24"/>
      <c r="AB694" s="24"/>
      <c r="AC694" s="24"/>
    </row>
    <row r="695" spans="1:29" ht="12.9">
      <c r="A695" s="24"/>
      <c r="B695" s="24"/>
      <c r="C695" s="24"/>
      <c r="D695" s="24"/>
      <c r="E695" s="24"/>
      <c r="F695" s="117"/>
      <c r="G695" s="117"/>
      <c r="H695" s="24"/>
      <c r="I695" s="24"/>
      <c r="J695" s="24"/>
      <c r="K695" s="24"/>
      <c r="L695" s="24"/>
      <c r="M695" s="24"/>
      <c r="N695" s="24"/>
      <c r="O695" s="24"/>
      <c r="P695" s="24"/>
      <c r="Q695" s="24"/>
      <c r="R695" s="24"/>
      <c r="S695" s="24"/>
      <c r="T695" s="24"/>
      <c r="U695" s="24"/>
      <c r="V695" s="24"/>
      <c r="W695" s="24"/>
      <c r="X695" s="24"/>
      <c r="Y695" s="24"/>
      <c r="Z695" s="24"/>
      <c r="AA695" s="24"/>
      <c r="AB695" s="24"/>
      <c r="AC695" s="24"/>
    </row>
    <row r="696" spans="1:29" ht="12.9">
      <c r="A696" s="24"/>
      <c r="B696" s="24"/>
      <c r="C696" s="24"/>
      <c r="D696" s="24"/>
      <c r="E696" s="24"/>
      <c r="F696" s="117"/>
      <c r="G696" s="117"/>
      <c r="H696" s="24"/>
      <c r="I696" s="24"/>
      <c r="J696" s="24"/>
      <c r="K696" s="24"/>
      <c r="L696" s="24"/>
      <c r="M696" s="24"/>
      <c r="N696" s="24"/>
      <c r="O696" s="24"/>
      <c r="P696" s="24"/>
      <c r="Q696" s="24"/>
      <c r="R696" s="24"/>
      <c r="S696" s="24"/>
      <c r="T696" s="24"/>
      <c r="U696" s="24"/>
      <c r="V696" s="24"/>
      <c r="W696" s="24"/>
      <c r="X696" s="24"/>
      <c r="Y696" s="24"/>
      <c r="Z696" s="24"/>
      <c r="AA696" s="24"/>
      <c r="AB696" s="24"/>
      <c r="AC696" s="24"/>
    </row>
    <row r="697" spans="1:29" ht="12.9">
      <c r="A697" s="24"/>
      <c r="B697" s="24"/>
      <c r="C697" s="24"/>
      <c r="D697" s="24"/>
      <c r="E697" s="24"/>
      <c r="F697" s="117"/>
      <c r="G697" s="117"/>
      <c r="H697" s="24"/>
      <c r="I697" s="24"/>
      <c r="J697" s="24"/>
      <c r="K697" s="24"/>
      <c r="L697" s="24"/>
      <c r="M697" s="24"/>
      <c r="N697" s="24"/>
      <c r="O697" s="24"/>
      <c r="P697" s="24"/>
      <c r="Q697" s="24"/>
      <c r="R697" s="24"/>
      <c r="S697" s="24"/>
      <c r="T697" s="24"/>
      <c r="U697" s="24"/>
      <c r="V697" s="24"/>
      <c r="W697" s="24"/>
      <c r="X697" s="24"/>
      <c r="Y697" s="24"/>
      <c r="Z697" s="24"/>
      <c r="AA697" s="24"/>
      <c r="AB697" s="24"/>
      <c r="AC697" s="24"/>
    </row>
    <row r="698" spans="1:29" ht="12.9">
      <c r="A698" s="24"/>
      <c r="B698" s="24"/>
      <c r="C698" s="24"/>
      <c r="D698" s="24"/>
      <c r="E698" s="24"/>
      <c r="F698" s="117"/>
      <c r="G698" s="117"/>
      <c r="H698" s="24"/>
      <c r="I698" s="24"/>
      <c r="J698" s="24"/>
      <c r="K698" s="24"/>
      <c r="L698" s="24"/>
      <c r="M698" s="24"/>
      <c r="N698" s="24"/>
      <c r="O698" s="24"/>
      <c r="P698" s="24"/>
      <c r="Q698" s="24"/>
      <c r="R698" s="24"/>
      <c r="S698" s="24"/>
      <c r="T698" s="24"/>
      <c r="U698" s="24"/>
      <c r="V698" s="24"/>
      <c r="W698" s="24"/>
      <c r="X698" s="24"/>
      <c r="Y698" s="24"/>
      <c r="Z698" s="24"/>
      <c r="AA698" s="24"/>
      <c r="AB698" s="24"/>
      <c r="AC698" s="24"/>
    </row>
    <row r="699" spans="1:29" ht="12.9">
      <c r="A699" s="24"/>
      <c r="B699" s="24"/>
      <c r="C699" s="24"/>
      <c r="D699" s="24"/>
      <c r="E699" s="24"/>
      <c r="F699" s="117"/>
      <c r="G699" s="117"/>
      <c r="H699" s="24"/>
      <c r="I699" s="24"/>
      <c r="J699" s="24"/>
      <c r="K699" s="24"/>
      <c r="L699" s="24"/>
      <c r="M699" s="24"/>
      <c r="N699" s="24"/>
      <c r="O699" s="24"/>
      <c r="P699" s="24"/>
      <c r="Q699" s="24"/>
      <c r="R699" s="24"/>
      <c r="S699" s="24"/>
      <c r="T699" s="24"/>
      <c r="U699" s="24"/>
      <c r="V699" s="24"/>
      <c r="W699" s="24"/>
      <c r="X699" s="24"/>
      <c r="Y699" s="24"/>
      <c r="Z699" s="24"/>
      <c r="AA699" s="24"/>
      <c r="AB699" s="24"/>
      <c r="AC699" s="24"/>
    </row>
    <row r="700" spans="1:29" ht="12.9">
      <c r="A700" s="24"/>
      <c r="B700" s="24"/>
      <c r="C700" s="24"/>
      <c r="D700" s="24"/>
      <c r="E700" s="24"/>
      <c r="F700" s="117"/>
      <c r="G700" s="117"/>
      <c r="H700" s="24"/>
      <c r="I700" s="24"/>
      <c r="J700" s="24"/>
      <c r="K700" s="24"/>
      <c r="L700" s="24"/>
      <c r="M700" s="24"/>
      <c r="N700" s="24"/>
      <c r="O700" s="24"/>
      <c r="P700" s="24"/>
      <c r="Q700" s="24"/>
      <c r="R700" s="24"/>
      <c r="S700" s="24"/>
      <c r="T700" s="24"/>
      <c r="U700" s="24"/>
      <c r="V700" s="24"/>
      <c r="W700" s="24"/>
      <c r="X700" s="24"/>
      <c r="Y700" s="24"/>
      <c r="Z700" s="24"/>
      <c r="AA700" s="24"/>
      <c r="AB700" s="24"/>
      <c r="AC700" s="24"/>
    </row>
    <row r="701" spans="1:29" ht="12.9">
      <c r="A701" s="24"/>
      <c r="B701" s="24"/>
      <c r="C701" s="24"/>
      <c r="D701" s="24"/>
      <c r="E701" s="24"/>
      <c r="F701" s="117"/>
      <c r="G701" s="117"/>
      <c r="H701" s="24"/>
      <c r="I701" s="24"/>
      <c r="J701" s="24"/>
      <c r="K701" s="24"/>
      <c r="L701" s="24"/>
      <c r="M701" s="24"/>
      <c r="N701" s="24"/>
      <c r="O701" s="24"/>
      <c r="P701" s="24"/>
      <c r="Q701" s="24"/>
      <c r="R701" s="24"/>
      <c r="S701" s="24"/>
      <c r="T701" s="24"/>
      <c r="U701" s="24"/>
      <c r="V701" s="24"/>
      <c r="W701" s="24"/>
      <c r="X701" s="24"/>
      <c r="Y701" s="24"/>
      <c r="Z701" s="24"/>
      <c r="AA701" s="24"/>
      <c r="AB701" s="24"/>
      <c r="AC701" s="24"/>
    </row>
    <row r="702" spans="1:29" ht="12.9">
      <c r="A702" s="24"/>
      <c r="B702" s="24"/>
      <c r="C702" s="24"/>
      <c r="D702" s="24"/>
      <c r="E702" s="24"/>
      <c r="F702" s="117"/>
      <c r="G702" s="117"/>
      <c r="H702" s="24"/>
      <c r="I702" s="24"/>
      <c r="J702" s="24"/>
      <c r="K702" s="24"/>
      <c r="L702" s="24"/>
      <c r="M702" s="24"/>
      <c r="N702" s="24"/>
      <c r="O702" s="24"/>
      <c r="P702" s="24"/>
      <c r="Q702" s="24"/>
      <c r="R702" s="24"/>
      <c r="S702" s="24"/>
      <c r="T702" s="24"/>
      <c r="U702" s="24"/>
      <c r="V702" s="24"/>
      <c r="W702" s="24"/>
      <c r="X702" s="24"/>
      <c r="Y702" s="24"/>
      <c r="Z702" s="24"/>
      <c r="AA702" s="24"/>
      <c r="AB702" s="24"/>
      <c r="AC702" s="24"/>
    </row>
    <row r="703" spans="1:29" ht="12.9">
      <c r="A703" s="24"/>
      <c r="B703" s="24"/>
      <c r="C703" s="24"/>
      <c r="D703" s="24"/>
      <c r="E703" s="24"/>
      <c r="F703" s="117"/>
      <c r="G703" s="117"/>
      <c r="H703" s="24"/>
      <c r="I703" s="24"/>
      <c r="J703" s="24"/>
      <c r="K703" s="24"/>
      <c r="L703" s="24"/>
      <c r="M703" s="24"/>
      <c r="N703" s="24"/>
      <c r="O703" s="24"/>
      <c r="P703" s="24"/>
      <c r="Q703" s="24"/>
      <c r="R703" s="24"/>
      <c r="S703" s="24"/>
      <c r="T703" s="24"/>
      <c r="U703" s="24"/>
      <c r="V703" s="24"/>
      <c r="W703" s="24"/>
      <c r="X703" s="24"/>
      <c r="Y703" s="24"/>
      <c r="Z703" s="24"/>
      <c r="AA703" s="24"/>
      <c r="AB703" s="24"/>
      <c r="AC703" s="24"/>
    </row>
    <row r="704" spans="1:29" ht="12.9">
      <c r="A704" s="24"/>
      <c r="B704" s="24"/>
      <c r="C704" s="24"/>
      <c r="D704" s="24"/>
      <c r="E704" s="24"/>
      <c r="F704" s="117"/>
      <c r="G704" s="117"/>
      <c r="H704" s="24"/>
      <c r="I704" s="24"/>
      <c r="J704" s="24"/>
      <c r="K704" s="24"/>
      <c r="L704" s="24"/>
      <c r="M704" s="24"/>
      <c r="N704" s="24"/>
      <c r="O704" s="24"/>
      <c r="P704" s="24"/>
      <c r="Q704" s="24"/>
      <c r="R704" s="24"/>
      <c r="S704" s="24"/>
      <c r="T704" s="24"/>
      <c r="U704" s="24"/>
      <c r="V704" s="24"/>
      <c r="W704" s="24"/>
      <c r="X704" s="24"/>
      <c r="Y704" s="24"/>
      <c r="Z704" s="24"/>
      <c r="AA704" s="24"/>
      <c r="AB704" s="24"/>
      <c r="AC704" s="24"/>
    </row>
    <row r="705" spans="1:29" ht="12.9">
      <c r="A705" s="24"/>
      <c r="B705" s="24"/>
      <c r="C705" s="24"/>
      <c r="D705" s="24"/>
      <c r="E705" s="24"/>
      <c r="F705" s="117"/>
      <c r="G705" s="117"/>
      <c r="H705" s="24"/>
      <c r="I705" s="24"/>
      <c r="J705" s="24"/>
      <c r="K705" s="24"/>
      <c r="L705" s="24"/>
      <c r="M705" s="24"/>
      <c r="N705" s="24"/>
      <c r="O705" s="24"/>
      <c r="P705" s="24"/>
      <c r="Q705" s="24"/>
      <c r="R705" s="24"/>
      <c r="S705" s="24"/>
      <c r="T705" s="24"/>
      <c r="U705" s="24"/>
      <c r="V705" s="24"/>
      <c r="W705" s="24"/>
      <c r="X705" s="24"/>
      <c r="Y705" s="24"/>
      <c r="Z705" s="24"/>
      <c r="AA705" s="24"/>
      <c r="AB705" s="24"/>
      <c r="AC705" s="24"/>
    </row>
    <row r="706" spans="1:29" ht="12.9">
      <c r="A706" s="24"/>
      <c r="B706" s="24"/>
      <c r="C706" s="24"/>
      <c r="D706" s="24"/>
      <c r="E706" s="24"/>
      <c r="F706" s="117"/>
      <c r="G706" s="117"/>
      <c r="H706" s="24"/>
      <c r="I706" s="24"/>
      <c r="J706" s="24"/>
      <c r="K706" s="24"/>
      <c r="L706" s="24"/>
      <c r="M706" s="24"/>
      <c r="N706" s="24"/>
      <c r="O706" s="24"/>
      <c r="P706" s="24"/>
      <c r="Q706" s="24"/>
      <c r="R706" s="24"/>
      <c r="S706" s="24"/>
      <c r="T706" s="24"/>
      <c r="U706" s="24"/>
      <c r="V706" s="24"/>
      <c r="W706" s="24"/>
      <c r="X706" s="24"/>
      <c r="Y706" s="24"/>
      <c r="Z706" s="24"/>
      <c r="AA706" s="24"/>
      <c r="AB706" s="24"/>
      <c r="AC706" s="24"/>
    </row>
    <row r="707" spans="1:29" ht="12.9">
      <c r="A707" s="24"/>
      <c r="B707" s="24"/>
      <c r="C707" s="24"/>
      <c r="D707" s="24"/>
      <c r="E707" s="24"/>
      <c r="F707" s="117"/>
      <c r="G707" s="117"/>
      <c r="H707" s="24"/>
      <c r="I707" s="24"/>
      <c r="J707" s="24"/>
      <c r="K707" s="24"/>
      <c r="L707" s="24"/>
      <c r="M707" s="24"/>
      <c r="N707" s="24"/>
      <c r="O707" s="24"/>
      <c r="P707" s="24"/>
      <c r="Q707" s="24"/>
      <c r="R707" s="24"/>
      <c r="S707" s="24"/>
      <c r="T707" s="24"/>
      <c r="U707" s="24"/>
      <c r="V707" s="24"/>
      <c r="W707" s="24"/>
      <c r="X707" s="24"/>
      <c r="Y707" s="24"/>
      <c r="Z707" s="24"/>
      <c r="AA707" s="24"/>
      <c r="AB707" s="24"/>
      <c r="AC707" s="24"/>
    </row>
    <row r="708" spans="1:29" ht="12.9">
      <c r="A708" s="24"/>
      <c r="B708" s="24"/>
      <c r="C708" s="24"/>
      <c r="D708" s="24"/>
      <c r="E708" s="24"/>
      <c r="F708" s="117"/>
      <c r="G708" s="117"/>
      <c r="H708" s="24"/>
      <c r="I708" s="24"/>
      <c r="J708" s="24"/>
      <c r="K708" s="24"/>
      <c r="L708" s="24"/>
      <c r="M708" s="24"/>
      <c r="N708" s="24"/>
      <c r="O708" s="24"/>
      <c r="P708" s="24"/>
      <c r="Q708" s="24"/>
      <c r="R708" s="24"/>
      <c r="S708" s="24"/>
      <c r="T708" s="24"/>
      <c r="U708" s="24"/>
      <c r="V708" s="24"/>
      <c r="W708" s="24"/>
      <c r="X708" s="24"/>
      <c r="Y708" s="24"/>
      <c r="Z708" s="24"/>
      <c r="AA708" s="24"/>
      <c r="AB708" s="24"/>
      <c r="AC708" s="24"/>
    </row>
    <row r="709" spans="1:29" ht="12.9">
      <c r="A709" s="24"/>
      <c r="B709" s="24"/>
      <c r="C709" s="24"/>
      <c r="D709" s="24"/>
      <c r="E709" s="24"/>
      <c r="F709" s="117"/>
      <c r="G709" s="117"/>
      <c r="H709" s="24"/>
      <c r="I709" s="24"/>
      <c r="J709" s="24"/>
      <c r="K709" s="24"/>
      <c r="L709" s="24"/>
      <c r="M709" s="24"/>
      <c r="N709" s="24"/>
      <c r="O709" s="24"/>
      <c r="P709" s="24"/>
      <c r="Q709" s="24"/>
      <c r="R709" s="24"/>
      <c r="S709" s="24"/>
      <c r="T709" s="24"/>
      <c r="U709" s="24"/>
      <c r="V709" s="24"/>
      <c r="W709" s="24"/>
      <c r="X709" s="24"/>
      <c r="Y709" s="24"/>
      <c r="Z709" s="24"/>
      <c r="AA709" s="24"/>
      <c r="AB709" s="24"/>
      <c r="AC709" s="24"/>
    </row>
    <row r="710" spans="1:29" ht="12.9">
      <c r="A710" s="24"/>
      <c r="B710" s="24"/>
      <c r="C710" s="24"/>
      <c r="D710" s="24"/>
      <c r="E710" s="24"/>
      <c r="F710" s="117"/>
      <c r="G710" s="117"/>
      <c r="H710" s="24"/>
      <c r="I710" s="24"/>
      <c r="J710" s="24"/>
      <c r="K710" s="24"/>
      <c r="L710" s="24"/>
      <c r="M710" s="24"/>
      <c r="N710" s="24"/>
      <c r="O710" s="24"/>
      <c r="P710" s="24"/>
      <c r="Q710" s="24"/>
      <c r="R710" s="24"/>
      <c r="S710" s="24"/>
      <c r="T710" s="24"/>
      <c r="U710" s="24"/>
      <c r="V710" s="24"/>
      <c r="W710" s="24"/>
      <c r="X710" s="24"/>
      <c r="Y710" s="24"/>
      <c r="Z710" s="24"/>
      <c r="AA710" s="24"/>
      <c r="AB710" s="24"/>
      <c r="AC710" s="24"/>
    </row>
    <row r="711" spans="1:29" ht="12.9">
      <c r="A711" s="24"/>
      <c r="B711" s="24"/>
      <c r="C711" s="24"/>
      <c r="D711" s="24"/>
      <c r="E711" s="24"/>
      <c r="F711" s="117"/>
      <c r="G711" s="117"/>
      <c r="H711" s="24"/>
      <c r="I711" s="24"/>
      <c r="J711" s="24"/>
      <c r="K711" s="24"/>
      <c r="L711" s="24"/>
      <c r="M711" s="24"/>
      <c r="N711" s="24"/>
      <c r="O711" s="24"/>
      <c r="P711" s="24"/>
      <c r="Q711" s="24"/>
      <c r="R711" s="24"/>
      <c r="S711" s="24"/>
      <c r="T711" s="24"/>
      <c r="U711" s="24"/>
      <c r="V711" s="24"/>
      <c r="W711" s="24"/>
      <c r="X711" s="24"/>
      <c r="Y711" s="24"/>
      <c r="Z711" s="24"/>
      <c r="AA711" s="24"/>
      <c r="AB711" s="24"/>
      <c r="AC711" s="24"/>
    </row>
    <row r="712" spans="1:29" ht="12.9">
      <c r="A712" s="24"/>
      <c r="B712" s="24"/>
      <c r="C712" s="24"/>
      <c r="D712" s="24"/>
      <c r="E712" s="24"/>
      <c r="F712" s="117"/>
      <c r="G712" s="117"/>
      <c r="H712" s="24"/>
      <c r="I712" s="24"/>
      <c r="J712" s="24"/>
      <c r="K712" s="24"/>
      <c r="L712" s="24"/>
      <c r="M712" s="24"/>
      <c r="N712" s="24"/>
      <c r="O712" s="24"/>
      <c r="P712" s="24"/>
      <c r="Q712" s="24"/>
      <c r="R712" s="24"/>
      <c r="S712" s="24"/>
      <c r="T712" s="24"/>
      <c r="U712" s="24"/>
      <c r="V712" s="24"/>
      <c r="W712" s="24"/>
      <c r="X712" s="24"/>
      <c r="Y712" s="24"/>
      <c r="Z712" s="24"/>
      <c r="AA712" s="24"/>
      <c r="AB712" s="24"/>
      <c r="AC712" s="24"/>
    </row>
    <row r="713" spans="1:29" ht="12.9">
      <c r="A713" s="24"/>
      <c r="B713" s="24"/>
      <c r="C713" s="24"/>
      <c r="D713" s="24"/>
      <c r="E713" s="24"/>
      <c r="F713" s="117"/>
      <c r="G713" s="117"/>
      <c r="H713" s="24"/>
      <c r="I713" s="24"/>
      <c r="J713" s="24"/>
      <c r="K713" s="24"/>
      <c r="L713" s="24"/>
      <c r="M713" s="24"/>
      <c r="N713" s="24"/>
      <c r="O713" s="24"/>
      <c r="P713" s="24"/>
      <c r="Q713" s="24"/>
      <c r="R713" s="24"/>
      <c r="S713" s="24"/>
      <c r="T713" s="24"/>
      <c r="U713" s="24"/>
      <c r="V713" s="24"/>
      <c r="W713" s="24"/>
      <c r="X713" s="24"/>
      <c r="Y713" s="24"/>
      <c r="Z713" s="24"/>
      <c r="AA713" s="24"/>
      <c r="AB713" s="24"/>
      <c r="AC713" s="24"/>
    </row>
    <row r="714" spans="1:29" ht="12.9">
      <c r="A714" s="24"/>
      <c r="B714" s="24"/>
      <c r="C714" s="24"/>
      <c r="D714" s="24"/>
      <c r="E714" s="24"/>
      <c r="F714" s="117"/>
      <c r="G714" s="117"/>
      <c r="H714" s="24"/>
      <c r="I714" s="24"/>
      <c r="J714" s="24"/>
      <c r="K714" s="24"/>
      <c r="L714" s="24"/>
      <c r="M714" s="24"/>
      <c r="N714" s="24"/>
      <c r="O714" s="24"/>
      <c r="P714" s="24"/>
      <c r="Q714" s="24"/>
      <c r="R714" s="24"/>
      <c r="S714" s="24"/>
      <c r="T714" s="24"/>
      <c r="U714" s="24"/>
      <c r="V714" s="24"/>
      <c r="W714" s="24"/>
      <c r="X714" s="24"/>
      <c r="Y714" s="24"/>
      <c r="Z714" s="24"/>
      <c r="AA714" s="24"/>
      <c r="AB714" s="24"/>
      <c r="AC714" s="24"/>
    </row>
    <row r="715" spans="1:29" ht="12.9">
      <c r="A715" s="24"/>
      <c r="B715" s="24"/>
      <c r="C715" s="24"/>
      <c r="D715" s="24"/>
      <c r="E715" s="24"/>
      <c r="F715" s="117"/>
      <c r="G715" s="117"/>
      <c r="H715" s="24"/>
      <c r="I715" s="24"/>
      <c r="J715" s="24"/>
      <c r="K715" s="24"/>
      <c r="L715" s="24"/>
      <c r="M715" s="24"/>
      <c r="N715" s="24"/>
      <c r="O715" s="24"/>
      <c r="P715" s="24"/>
      <c r="Q715" s="24"/>
      <c r="R715" s="24"/>
      <c r="S715" s="24"/>
      <c r="T715" s="24"/>
      <c r="U715" s="24"/>
      <c r="V715" s="24"/>
      <c r="W715" s="24"/>
      <c r="X715" s="24"/>
      <c r="Y715" s="24"/>
      <c r="Z715" s="24"/>
      <c r="AA715" s="24"/>
      <c r="AB715" s="24"/>
      <c r="AC715" s="24"/>
    </row>
    <row r="716" spans="1:29" ht="12.9">
      <c r="A716" s="24"/>
      <c r="B716" s="24"/>
      <c r="C716" s="24"/>
      <c r="D716" s="24"/>
      <c r="E716" s="24"/>
      <c r="F716" s="117"/>
      <c r="G716" s="117"/>
      <c r="H716" s="24"/>
      <c r="I716" s="24"/>
      <c r="J716" s="24"/>
      <c r="K716" s="24"/>
      <c r="L716" s="24"/>
      <c r="M716" s="24"/>
      <c r="N716" s="24"/>
      <c r="O716" s="24"/>
      <c r="P716" s="24"/>
      <c r="Q716" s="24"/>
      <c r="R716" s="24"/>
      <c r="S716" s="24"/>
      <c r="T716" s="24"/>
      <c r="U716" s="24"/>
      <c r="V716" s="24"/>
      <c r="W716" s="24"/>
      <c r="X716" s="24"/>
      <c r="Y716" s="24"/>
      <c r="Z716" s="24"/>
      <c r="AA716" s="24"/>
      <c r="AB716" s="24"/>
      <c r="AC716" s="24"/>
    </row>
    <row r="717" spans="1:29" ht="12.9">
      <c r="A717" s="24"/>
      <c r="B717" s="24"/>
      <c r="C717" s="24"/>
      <c r="D717" s="24"/>
      <c r="E717" s="24"/>
      <c r="F717" s="117"/>
      <c r="G717" s="117"/>
      <c r="H717" s="24"/>
      <c r="I717" s="24"/>
      <c r="J717" s="24"/>
      <c r="K717" s="24"/>
      <c r="L717" s="24"/>
      <c r="M717" s="24"/>
      <c r="N717" s="24"/>
      <c r="O717" s="24"/>
      <c r="P717" s="24"/>
      <c r="Q717" s="24"/>
      <c r="R717" s="24"/>
      <c r="S717" s="24"/>
      <c r="T717" s="24"/>
      <c r="U717" s="24"/>
      <c r="V717" s="24"/>
      <c r="W717" s="24"/>
      <c r="X717" s="24"/>
      <c r="Y717" s="24"/>
      <c r="Z717" s="24"/>
      <c r="AA717" s="24"/>
      <c r="AB717" s="24"/>
      <c r="AC717" s="24"/>
    </row>
    <row r="718" spans="1:29" ht="12.9">
      <c r="A718" s="24"/>
      <c r="B718" s="24"/>
      <c r="C718" s="24"/>
      <c r="D718" s="24"/>
      <c r="E718" s="24"/>
      <c r="F718" s="117"/>
      <c r="G718" s="117"/>
      <c r="H718" s="24"/>
      <c r="I718" s="24"/>
      <c r="J718" s="24"/>
      <c r="K718" s="24"/>
      <c r="L718" s="24"/>
      <c r="M718" s="24"/>
      <c r="N718" s="24"/>
      <c r="O718" s="24"/>
      <c r="P718" s="24"/>
      <c r="Q718" s="24"/>
      <c r="R718" s="24"/>
      <c r="S718" s="24"/>
      <c r="T718" s="24"/>
      <c r="U718" s="24"/>
      <c r="V718" s="24"/>
      <c r="W718" s="24"/>
      <c r="X718" s="24"/>
      <c r="Y718" s="24"/>
      <c r="Z718" s="24"/>
      <c r="AA718" s="24"/>
      <c r="AB718" s="24"/>
      <c r="AC718" s="24"/>
    </row>
    <row r="719" spans="1:29" ht="12.9">
      <c r="A719" s="24"/>
      <c r="B719" s="24"/>
      <c r="C719" s="24"/>
      <c r="D719" s="24"/>
      <c r="E719" s="24"/>
      <c r="F719" s="117"/>
      <c r="G719" s="117"/>
      <c r="H719" s="24"/>
      <c r="I719" s="24"/>
      <c r="J719" s="24"/>
      <c r="K719" s="24"/>
      <c r="L719" s="24"/>
      <c r="M719" s="24"/>
      <c r="N719" s="24"/>
      <c r="O719" s="24"/>
      <c r="P719" s="24"/>
      <c r="Q719" s="24"/>
      <c r="R719" s="24"/>
      <c r="S719" s="24"/>
      <c r="T719" s="24"/>
      <c r="U719" s="24"/>
      <c r="V719" s="24"/>
      <c r="W719" s="24"/>
      <c r="X719" s="24"/>
      <c r="Y719" s="24"/>
      <c r="Z719" s="24"/>
      <c r="AA719" s="24"/>
      <c r="AB719" s="24"/>
      <c r="AC719" s="24"/>
    </row>
    <row r="720" spans="1:29" ht="12.9">
      <c r="A720" s="24"/>
      <c r="B720" s="24"/>
      <c r="C720" s="24"/>
      <c r="D720" s="24"/>
      <c r="E720" s="24"/>
      <c r="F720" s="117"/>
      <c r="G720" s="117"/>
      <c r="H720" s="24"/>
      <c r="I720" s="24"/>
      <c r="J720" s="24"/>
      <c r="K720" s="24"/>
      <c r="L720" s="24"/>
      <c r="M720" s="24"/>
      <c r="N720" s="24"/>
      <c r="O720" s="24"/>
      <c r="P720" s="24"/>
      <c r="Q720" s="24"/>
      <c r="R720" s="24"/>
      <c r="S720" s="24"/>
      <c r="T720" s="24"/>
      <c r="U720" s="24"/>
      <c r="V720" s="24"/>
      <c r="W720" s="24"/>
      <c r="X720" s="24"/>
      <c r="Y720" s="24"/>
      <c r="Z720" s="24"/>
      <c r="AA720" s="24"/>
      <c r="AB720" s="24"/>
      <c r="AC720" s="24"/>
    </row>
    <row r="721" spans="1:29" ht="12.9">
      <c r="A721" s="24"/>
      <c r="B721" s="24"/>
      <c r="C721" s="24"/>
      <c r="D721" s="24"/>
      <c r="E721" s="24"/>
      <c r="F721" s="117"/>
      <c r="G721" s="117"/>
      <c r="H721" s="24"/>
      <c r="I721" s="24"/>
      <c r="J721" s="24"/>
      <c r="K721" s="24"/>
      <c r="L721" s="24"/>
      <c r="M721" s="24"/>
      <c r="N721" s="24"/>
      <c r="O721" s="24"/>
      <c r="P721" s="24"/>
      <c r="Q721" s="24"/>
      <c r="R721" s="24"/>
      <c r="S721" s="24"/>
      <c r="T721" s="24"/>
      <c r="U721" s="24"/>
      <c r="V721" s="24"/>
      <c r="W721" s="24"/>
      <c r="X721" s="24"/>
      <c r="Y721" s="24"/>
      <c r="Z721" s="24"/>
      <c r="AA721" s="24"/>
      <c r="AB721" s="24"/>
      <c r="AC721" s="24"/>
    </row>
    <row r="722" spans="1:29" ht="12.9">
      <c r="A722" s="24"/>
      <c r="B722" s="24"/>
      <c r="C722" s="24"/>
      <c r="D722" s="24"/>
      <c r="E722" s="24"/>
      <c r="F722" s="117"/>
      <c r="G722" s="117"/>
      <c r="H722" s="24"/>
      <c r="I722" s="24"/>
      <c r="J722" s="24"/>
      <c r="K722" s="24"/>
      <c r="L722" s="24"/>
      <c r="M722" s="24"/>
      <c r="N722" s="24"/>
      <c r="O722" s="24"/>
      <c r="P722" s="24"/>
      <c r="Q722" s="24"/>
      <c r="R722" s="24"/>
      <c r="S722" s="24"/>
      <c r="T722" s="24"/>
      <c r="U722" s="24"/>
      <c r="V722" s="24"/>
      <c r="W722" s="24"/>
      <c r="X722" s="24"/>
      <c r="Y722" s="24"/>
      <c r="Z722" s="24"/>
      <c r="AA722" s="24"/>
      <c r="AB722" s="24"/>
      <c r="AC722" s="24"/>
    </row>
    <row r="723" spans="1:29" ht="12.9">
      <c r="A723" s="24"/>
      <c r="B723" s="24"/>
      <c r="C723" s="24"/>
      <c r="D723" s="24"/>
      <c r="E723" s="24"/>
      <c r="F723" s="117"/>
      <c r="G723" s="117"/>
      <c r="H723" s="24"/>
      <c r="I723" s="24"/>
      <c r="J723" s="24"/>
      <c r="K723" s="24"/>
      <c r="L723" s="24"/>
      <c r="M723" s="24"/>
      <c r="N723" s="24"/>
      <c r="O723" s="24"/>
      <c r="P723" s="24"/>
      <c r="Q723" s="24"/>
      <c r="R723" s="24"/>
      <c r="S723" s="24"/>
      <c r="T723" s="24"/>
      <c r="U723" s="24"/>
      <c r="V723" s="24"/>
      <c r="W723" s="24"/>
      <c r="X723" s="24"/>
      <c r="Y723" s="24"/>
      <c r="Z723" s="24"/>
      <c r="AA723" s="24"/>
      <c r="AB723" s="24"/>
      <c r="AC723" s="24"/>
    </row>
    <row r="724" spans="1:29" ht="12.9">
      <c r="A724" s="24"/>
      <c r="B724" s="24"/>
      <c r="C724" s="24"/>
      <c r="D724" s="24"/>
      <c r="E724" s="24"/>
      <c r="F724" s="117"/>
      <c r="G724" s="117"/>
      <c r="H724" s="24"/>
      <c r="I724" s="24"/>
      <c r="J724" s="24"/>
      <c r="K724" s="24"/>
      <c r="L724" s="24"/>
      <c r="M724" s="24"/>
      <c r="N724" s="24"/>
      <c r="O724" s="24"/>
      <c r="P724" s="24"/>
      <c r="Q724" s="24"/>
      <c r="R724" s="24"/>
      <c r="S724" s="24"/>
      <c r="T724" s="24"/>
      <c r="U724" s="24"/>
      <c r="V724" s="24"/>
      <c r="W724" s="24"/>
      <c r="X724" s="24"/>
      <c r="Y724" s="24"/>
      <c r="Z724" s="24"/>
      <c r="AA724" s="24"/>
      <c r="AB724" s="24"/>
      <c r="AC724" s="24"/>
    </row>
    <row r="725" spans="1:29" ht="12.9">
      <c r="A725" s="24"/>
      <c r="B725" s="24"/>
      <c r="C725" s="24"/>
      <c r="D725" s="24"/>
      <c r="E725" s="24"/>
      <c r="F725" s="117"/>
      <c r="G725" s="117"/>
      <c r="H725" s="24"/>
      <c r="I725" s="24"/>
      <c r="J725" s="24"/>
      <c r="K725" s="24"/>
      <c r="L725" s="24"/>
      <c r="M725" s="24"/>
      <c r="N725" s="24"/>
      <c r="O725" s="24"/>
      <c r="P725" s="24"/>
      <c r="Q725" s="24"/>
      <c r="R725" s="24"/>
      <c r="S725" s="24"/>
      <c r="T725" s="24"/>
      <c r="U725" s="24"/>
      <c r="V725" s="24"/>
      <c r="W725" s="24"/>
      <c r="X725" s="24"/>
      <c r="Y725" s="24"/>
      <c r="Z725" s="24"/>
      <c r="AA725" s="24"/>
      <c r="AB725" s="24"/>
      <c r="AC725" s="24"/>
    </row>
    <row r="726" spans="1:29" ht="12.9">
      <c r="A726" s="24"/>
      <c r="B726" s="24"/>
      <c r="C726" s="24"/>
      <c r="D726" s="24"/>
      <c r="E726" s="24"/>
      <c r="F726" s="117"/>
      <c r="G726" s="117"/>
      <c r="H726" s="24"/>
      <c r="I726" s="24"/>
      <c r="J726" s="24"/>
      <c r="K726" s="24"/>
      <c r="L726" s="24"/>
      <c r="M726" s="24"/>
      <c r="N726" s="24"/>
      <c r="O726" s="24"/>
      <c r="P726" s="24"/>
      <c r="Q726" s="24"/>
      <c r="R726" s="24"/>
      <c r="S726" s="24"/>
      <c r="T726" s="24"/>
      <c r="U726" s="24"/>
      <c r="V726" s="24"/>
      <c r="W726" s="24"/>
      <c r="X726" s="24"/>
      <c r="Y726" s="24"/>
      <c r="Z726" s="24"/>
      <c r="AA726" s="24"/>
      <c r="AB726" s="24"/>
      <c r="AC726" s="24"/>
    </row>
    <row r="727" spans="1:29" ht="12.9">
      <c r="A727" s="24"/>
      <c r="B727" s="24"/>
      <c r="C727" s="24"/>
      <c r="D727" s="24"/>
      <c r="E727" s="24"/>
      <c r="F727" s="117"/>
      <c r="G727" s="117"/>
      <c r="H727" s="24"/>
      <c r="I727" s="24"/>
      <c r="J727" s="24"/>
      <c r="K727" s="24"/>
      <c r="L727" s="24"/>
      <c r="M727" s="24"/>
      <c r="N727" s="24"/>
      <c r="O727" s="24"/>
      <c r="P727" s="24"/>
      <c r="Q727" s="24"/>
      <c r="R727" s="24"/>
      <c r="S727" s="24"/>
      <c r="T727" s="24"/>
      <c r="U727" s="24"/>
      <c r="V727" s="24"/>
      <c r="W727" s="24"/>
      <c r="X727" s="24"/>
      <c r="Y727" s="24"/>
      <c r="Z727" s="24"/>
      <c r="AA727" s="24"/>
      <c r="AB727" s="24"/>
      <c r="AC727" s="24"/>
    </row>
    <row r="728" spans="1:29" ht="12.9">
      <c r="A728" s="24"/>
      <c r="B728" s="24"/>
      <c r="C728" s="24"/>
      <c r="D728" s="24"/>
      <c r="E728" s="24"/>
      <c r="F728" s="117"/>
      <c r="G728" s="117"/>
      <c r="H728" s="24"/>
      <c r="I728" s="24"/>
      <c r="J728" s="24"/>
      <c r="K728" s="24"/>
      <c r="L728" s="24"/>
      <c r="M728" s="24"/>
      <c r="N728" s="24"/>
      <c r="O728" s="24"/>
      <c r="P728" s="24"/>
      <c r="Q728" s="24"/>
      <c r="R728" s="24"/>
      <c r="S728" s="24"/>
      <c r="T728" s="24"/>
      <c r="U728" s="24"/>
      <c r="V728" s="24"/>
      <c r="W728" s="24"/>
      <c r="X728" s="24"/>
      <c r="Y728" s="24"/>
      <c r="Z728" s="24"/>
      <c r="AA728" s="24"/>
      <c r="AB728" s="24"/>
      <c r="AC728" s="24"/>
    </row>
    <row r="729" spans="1:29" ht="12.9">
      <c r="A729" s="24"/>
      <c r="B729" s="24"/>
      <c r="C729" s="24"/>
      <c r="D729" s="24"/>
      <c r="E729" s="24"/>
      <c r="F729" s="117"/>
      <c r="G729" s="117"/>
      <c r="H729" s="24"/>
      <c r="I729" s="24"/>
      <c r="J729" s="24"/>
      <c r="K729" s="24"/>
      <c r="L729" s="24"/>
      <c r="M729" s="24"/>
      <c r="N729" s="24"/>
      <c r="O729" s="24"/>
      <c r="P729" s="24"/>
      <c r="Q729" s="24"/>
      <c r="R729" s="24"/>
      <c r="S729" s="24"/>
      <c r="T729" s="24"/>
      <c r="U729" s="24"/>
      <c r="V729" s="24"/>
      <c r="W729" s="24"/>
      <c r="X729" s="24"/>
      <c r="Y729" s="24"/>
      <c r="Z729" s="24"/>
      <c r="AA729" s="24"/>
      <c r="AB729" s="24"/>
      <c r="AC729" s="24"/>
    </row>
    <row r="730" spans="1:29" ht="12.9">
      <c r="A730" s="24"/>
      <c r="B730" s="24"/>
      <c r="C730" s="24"/>
      <c r="D730" s="24"/>
      <c r="E730" s="24"/>
      <c r="F730" s="117"/>
      <c r="G730" s="117"/>
      <c r="H730" s="24"/>
      <c r="I730" s="24"/>
      <c r="J730" s="24"/>
      <c r="K730" s="24"/>
      <c r="L730" s="24"/>
      <c r="M730" s="24"/>
      <c r="N730" s="24"/>
      <c r="O730" s="24"/>
      <c r="P730" s="24"/>
      <c r="Q730" s="24"/>
      <c r="R730" s="24"/>
      <c r="S730" s="24"/>
      <c r="T730" s="24"/>
      <c r="U730" s="24"/>
      <c r="V730" s="24"/>
      <c r="W730" s="24"/>
      <c r="X730" s="24"/>
      <c r="Y730" s="24"/>
      <c r="Z730" s="24"/>
      <c r="AA730" s="24"/>
      <c r="AB730" s="24"/>
      <c r="AC730" s="24"/>
    </row>
    <row r="731" spans="1:29" ht="12.9">
      <c r="A731" s="24"/>
      <c r="B731" s="24"/>
      <c r="C731" s="24"/>
      <c r="D731" s="24"/>
      <c r="E731" s="24"/>
      <c r="F731" s="117"/>
      <c r="G731" s="117"/>
      <c r="H731" s="24"/>
      <c r="I731" s="24"/>
      <c r="J731" s="24"/>
      <c r="K731" s="24"/>
      <c r="L731" s="24"/>
      <c r="M731" s="24"/>
      <c r="N731" s="24"/>
      <c r="O731" s="24"/>
      <c r="P731" s="24"/>
      <c r="Q731" s="24"/>
      <c r="R731" s="24"/>
      <c r="S731" s="24"/>
      <c r="T731" s="24"/>
      <c r="U731" s="24"/>
      <c r="V731" s="24"/>
      <c r="W731" s="24"/>
      <c r="X731" s="24"/>
      <c r="Y731" s="24"/>
      <c r="Z731" s="24"/>
      <c r="AA731" s="24"/>
      <c r="AB731" s="24"/>
      <c r="AC731" s="24"/>
    </row>
    <row r="732" spans="1:29" ht="12.9">
      <c r="A732" s="24"/>
      <c r="B732" s="24"/>
      <c r="C732" s="24"/>
      <c r="D732" s="24"/>
      <c r="E732" s="24"/>
      <c r="F732" s="117"/>
      <c r="G732" s="117"/>
      <c r="H732" s="24"/>
      <c r="I732" s="24"/>
      <c r="J732" s="24"/>
      <c r="K732" s="24"/>
      <c r="L732" s="24"/>
      <c r="M732" s="24"/>
      <c r="N732" s="24"/>
      <c r="O732" s="24"/>
      <c r="P732" s="24"/>
      <c r="Q732" s="24"/>
      <c r="R732" s="24"/>
      <c r="S732" s="24"/>
      <c r="T732" s="24"/>
      <c r="U732" s="24"/>
      <c r="V732" s="24"/>
      <c r="W732" s="24"/>
      <c r="X732" s="24"/>
      <c r="Y732" s="24"/>
      <c r="Z732" s="24"/>
      <c r="AA732" s="24"/>
      <c r="AB732" s="24"/>
      <c r="AC732" s="24"/>
    </row>
    <row r="733" spans="1:29" ht="12.9">
      <c r="A733" s="24"/>
      <c r="B733" s="24"/>
      <c r="C733" s="24"/>
      <c r="D733" s="24"/>
      <c r="E733" s="24"/>
      <c r="F733" s="117"/>
      <c r="G733" s="117"/>
      <c r="H733" s="24"/>
      <c r="I733" s="24"/>
      <c r="J733" s="24"/>
      <c r="K733" s="24"/>
      <c r="L733" s="24"/>
      <c r="M733" s="24"/>
      <c r="N733" s="24"/>
      <c r="O733" s="24"/>
      <c r="P733" s="24"/>
      <c r="Q733" s="24"/>
      <c r="R733" s="24"/>
      <c r="S733" s="24"/>
      <c r="T733" s="24"/>
      <c r="U733" s="24"/>
      <c r="V733" s="24"/>
      <c r="W733" s="24"/>
      <c r="X733" s="24"/>
      <c r="Y733" s="24"/>
      <c r="Z733" s="24"/>
      <c r="AA733" s="24"/>
      <c r="AB733" s="24"/>
      <c r="AC733" s="24"/>
    </row>
    <row r="734" spans="1:29" ht="12.9">
      <c r="A734" s="24"/>
      <c r="B734" s="24"/>
      <c r="C734" s="24"/>
      <c r="D734" s="24"/>
      <c r="E734" s="24"/>
      <c r="F734" s="117"/>
      <c r="G734" s="117"/>
      <c r="H734" s="24"/>
      <c r="I734" s="24"/>
      <c r="J734" s="24"/>
      <c r="K734" s="24"/>
      <c r="L734" s="24"/>
      <c r="M734" s="24"/>
      <c r="N734" s="24"/>
      <c r="O734" s="24"/>
      <c r="P734" s="24"/>
      <c r="Q734" s="24"/>
      <c r="R734" s="24"/>
      <c r="S734" s="24"/>
      <c r="T734" s="24"/>
      <c r="U734" s="24"/>
      <c r="V734" s="24"/>
      <c r="W734" s="24"/>
      <c r="X734" s="24"/>
      <c r="Y734" s="24"/>
      <c r="Z734" s="24"/>
      <c r="AA734" s="24"/>
      <c r="AB734" s="24"/>
      <c r="AC734" s="24"/>
    </row>
    <row r="735" spans="1:29" ht="12.9">
      <c r="A735" s="24"/>
      <c r="B735" s="24"/>
      <c r="C735" s="24"/>
      <c r="D735" s="24"/>
      <c r="E735" s="24"/>
      <c r="F735" s="117"/>
      <c r="G735" s="117"/>
      <c r="H735" s="24"/>
      <c r="I735" s="24"/>
      <c r="J735" s="24"/>
      <c r="K735" s="24"/>
      <c r="L735" s="24"/>
      <c r="M735" s="24"/>
      <c r="N735" s="24"/>
      <c r="O735" s="24"/>
      <c r="P735" s="24"/>
      <c r="Q735" s="24"/>
      <c r="R735" s="24"/>
      <c r="S735" s="24"/>
      <c r="T735" s="24"/>
      <c r="U735" s="24"/>
      <c r="V735" s="24"/>
      <c r="W735" s="24"/>
      <c r="X735" s="24"/>
      <c r="Y735" s="24"/>
      <c r="Z735" s="24"/>
      <c r="AA735" s="24"/>
      <c r="AB735" s="24"/>
      <c r="AC735" s="24"/>
    </row>
    <row r="736" spans="1:29" ht="12.9">
      <c r="A736" s="24"/>
      <c r="B736" s="24"/>
      <c r="C736" s="24"/>
      <c r="D736" s="24"/>
      <c r="E736" s="24"/>
      <c r="F736" s="117"/>
      <c r="G736" s="117"/>
      <c r="H736" s="24"/>
      <c r="I736" s="24"/>
      <c r="J736" s="24"/>
      <c r="K736" s="24"/>
      <c r="L736" s="24"/>
      <c r="M736" s="24"/>
      <c r="N736" s="24"/>
      <c r="O736" s="24"/>
      <c r="P736" s="24"/>
      <c r="Q736" s="24"/>
      <c r="R736" s="24"/>
      <c r="S736" s="24"/>
      <c r="T736" s="24"/>
      <c r="U736" s="24"/>
      <c r="V736" s="24"/>
      <c r="W736" s="24"/>
      <c r="X736" s="24"/>
      <c r="Y736" s="24"/>
      <c r="Z736" s="24"/>
      <c r="AA736" s="24"/>
      <c r="AB736" s="24"/>
      <c r="AC736" s="24"/>
    </row>
    <row r="737" spans="1:29" ht="12.9">
      <c r="A737" s="24"/>
      <c r="B737" s="24"/>
      <c r="C737" s="24"/>
      <c r="D737" s="24"/>
      <c r="E737" s="24"/>
      <c r="F737" s="117"/>
      <c r="G737" s="117"/>
      <c r="H737" s="24"/>
      <c r="I737" s="24"/>
      <c r="J737" s="24"/>
      <c r="K737" s="24"/>
      <c r="L737" s="24"/>
      <c r="M737" s="24"/>
      <c r="N737" s="24"/>
      <c r="O737" s="24"/>
      <c r="P737" s="24"/>
      <c r="Q737" s="24"/>
      <c r="R737" s="24"/>
      <c r="S737" s="24"/>
      <c r="T737" s="24"/>
      <c r="U737" s="24"/>
      <c r="V737" s="24"/>
      <c r="W737" s="24"/>
      <c r="X737" s="24"/>
      <c r="Y737" s="24"/>
      <c r="Z737" s="24"/>
      <c r="AA737" s="24"/>
      <c r="AB737" s="24"/>
      <c r="AC737" s="24"/>
    </row>
    <row r="738" spans="1:29" ht="12.9">
      <c r="A738" s="24"/>
      <c r="B738" s="24"/>
      <c r="C738" s="24"/>
      <c r="D738" s="24"/>
      <c r="E738" s="24"/>
      <c r="F738" s="117"/>
      <c r="G738" s="117"/>
      <c r="H738" s="24"/>
      <c r="I738" s="24"/>
      <c r="J738" s="24"/>
      <c r="K738" s="24"/>
      <c r="L738" s="24"/>
      <c r="M738" s="24"/>
      <c r="N738" s="24"/>
      <c r="O738" s="24"/>
      <c r="P738" s="24"/>
      <c r="Q738" s="24"/>
      <c r="R738" s="24"/>
      <c r="S738" s="24"/>
      <c r="T738" s="24"/>
      <c r="U738" s="24"/>
      <c r="V738" s="24"/>
      <c r="W738" s="24"/>
      <c r="X738" s="24"/>
      <c r="Y738" s="24"/>
      <c r="Z738" s="24"/>
      <c r="AA738" s="24"/>
      <c r="AB738" s="24"/>
      <c r="AC738" s="24"/>
    </row>
    <row r="739" spans="1:29" ht="12.9">
      <c r="A739" s="24"/>
      <c r="B739" s="24"/>
      <c r="C739" s="24"/>
      <c r="D739" s="24"/>
      <c r="E739" s="24"/>
      <c r="F739" s="117"/>
      <c r="G739" s="117"/>
      <c r="H739" s="24"/>
      <c r="I739" s="24"/>
      <c r="J739" s="24"/>
      <c r="K739" s="24"/>
      <c r="L739" s="24"/>
      <c r="M739" s="24"/>
      <c r="N739" s="24"/>
      <c r="O739" s="24"/>
      <c r="P739" s="24"/>
      <c r="Q739" s="24"/>
      <c r="R739" s="24"/>
      <c r="S739" s="24"/>
      <c r="T739" s="24"/>
      <c r="U739" s="24"/>
      <c r="V739" s="24"/>
      <c r="W739" s="24"/>
      <c r="X739" s="24"/>
      <c r="Y739" s="24"/>
      <c r="Z739" s="24"/>
      <c r="AA739" s="24"/>
      <c r="AB739" s="24"/>
      <c r="AC739" s="24"/>
    </row>
    <row r="740" spans="1:29" ht="12.9">
      <c r="A740" s="24"/>
      <c r="B740" s="24"/>
      <c r="C740" s="24"/>
      <c r="D740" s="24"/>
      <c r="E740" s="24"/>
      <c r="F740" s="117"/>
      <c r="G740" s="117"/>
      <c r="H740" s="24"/>
      <c r="I740" s="24"/>
      <c r="J740" s="24"/>
      <c r="K740" s="24"/>
      <c r="L740" s="24"/>
      <c r="M740" s="24"/>
      <c r="N740" s="24"/>
      <c r="O740" s="24"/>
      <c r="P740" s="24"/>
      <c r="Q740" s="24"/>
      <c r="R740" s="24"/>
      <c r="S740" s="24"/>
      <c r="T740" s="24"/>
      <c r="U740" s="24"/>
      <c r="V740" s="24"/>
      <c r="W740" s="24"/>
      <c r="X740" s="24"/>
      <c r="Y740" s="24"/>
      <c r="Z740" s="24"/>
      <c r="AA740" s="24"/>
      <c r="AB740" s="24"/>
      <c r="AC740" s="24"/>
    </row>
    <row r="741" spans="1:29" ht="12.9">
      <c r="A741" s="24"/>
      <c r="B741" s="24"/>
      <c r="C741" s="24"/>
      <c r="D741" s="24"/>
      <c r="E741" s="24"/>
      <c r="F741" s="117"/>
      <c r="G741" s="117"/>
      <c r="H741" s="24"/>
      <c r="I741" s="24"/>
      <c r="J741" s="24"/>
      <c r="K741" s="24"/>
      <c r="L741" s="24"/>
      <c r="M741" s="24"/>
      <c r="N741" s="24"/>
      <c r="O741" s="24"/>
      <c r="P741" s="24"/>
      <c r="Q741" s="24"/>
      <c r="R741" s="24"/>
      <c r="S741" s="24"/>
      <c r="T741" s="24"/>
      <c r="U741" s="24"/>
      <c r="V741" s="24"/>
      <c r="W741" s="24"/>
      <c r="X741" s="24"/>
      <c r="Y741" s="24"/>
      <c r="Z741" s="24"/>
      <c r="AA741" s="24"/>
      <c r="AB741" s="24"/>
      <c r="AC741" s="24"/>
    </row>
    <row r="742" spans="1:29" ht="12.9">
      <c r="A742" s="24"/>
      <c r="B742" s="24"/>
      <c r="C742" s="24"/>
      <c r="D742" s="24"/>
      <c r="E742" s="24"/>
      <c r="F742" s="117"/>
      <c r="G742" s="117"/>
      <c r="H742" s="24"/>
      <c r="I742" s="24"/>
      <c r="J742" s="24"/>
      <c r="K742" s="24"/>
      <c r="L742" s="24"/>
      <c r="M742" s="24"/>
      <c r="N742" s="24"/>
      <c r="O742" s="24"/>
      <c r="P742" s="24"/>
      <c r="Q742" s="24"/>
      <c r="R742" s="24"/>
      <c r="S742" s="24"/>
      <c r="T742" s="24"/>
      <c r="U742" s="24"/>
      <c r="V742" s="24"/>
      <c r="W742" s="24"/>
      <c r="X742" s="24"/>
      <c r="Y742" s="24"/>
      <c r="Z742" s="24"/>
      <c r="AA742" s="24"/>
      <c r="AB742" s="24"/>
      <c r="AC742" s="24"/>
    </row>
    <row r="743" spans="1:29" ht="12.9">
      <c r="A743" s="24"/>
      <c r="B743" s="24"/>
      <c r="C743" s="24"/>
      <c r="D743" s="24"/>
      <c r="E743" s="24"/>
      <c r="F743" s="117"/>
      <c r="G743" s="117"/>
      <c r="H743" s="24"/>
      <c r="I743" s="24"/>
      <c r="J743" s="24"/>
      <c r="K743" s="24"/>
      <c r="L743" s="24"/>
      <c r="M743" s="24"/>
      <c r="N743" s="24"/>
      <c r="O743" s="24"/>
      <c r="P743" s="24"/>
      <c r="Q743" s="24"/>
      <c r="R743" s="24"/>
      <c r="S743" s="24"/>
      <c r="T743" s="24"/>
      <c r="U743" s="24"/>
      <c r="V743" s="24"/>
      <c r="W743" s="24"/>
      <c r="X743" s="24"/>
      <c r="Y743" s="24"/>
      <c r="Z743" s="24"/>
      <c r="AA743" s="24"/>
      <c r="AB743" s="24"/>
      <c r="AC743" s="24"/>
    </row>
    <row r="744" spans="1:29" ht="12.9">
      <c r="A744" s="24"/>
      <c r="B744" s="24"/>
      <c r="C744" s="24"/>
      <c r="D744" s="24"/>
      <c r="E744" s="24"/>
      <c r="F744" s="117"/>
      <c r="G744" s="117"/>
      <c r="H744" s="24"/>
      <c r="I744" s="24"/>
      <c r="J744" s="24"/>
      <c r="K744" s="24"/>
      <c r="L744" s="24"/>
      <c r="M744" s="24"/>
      <c r="N744" s="24"/>
      <c r="O744" s="24"/>
      <c r="P744" s="24"/>
      <c r="Q744" s="24"/>
      <c r="R744" s="24"/>
      <c r="S744" s="24"/>
      <c r="T744" s="24"/>
      <c r="U744" s="24"/>
      <c r="V744" s="24"/>
      <c r="W744" s="24"/>
      <c r="X744" s="24"/>
      <c r="Y744" s="24"/>
      <c r="Z744" s="24"/>
      <c r="AA744" s="24"/>
      <c r="AB744" s="24"/>
      <c r="AC744" s="24"/>
    </row>
    <row r="745" spans="1:29" ht="12.9">
      <c r="A745" s="24"/>
      <c r="B745" s="24"/>
      <c r="C745" s="24"/>
      <c r="D745" s="24"/>
      <c r="E745" s="24"/>
      <c r="F745" s="117"/>
      <c r="G745" s="117"/>
      <c r="H745" s="24"/>
      <c r="I745" s="24"/>
      <c r="J745" s="24"/>
      <c r="K745" s="24"/>
      <c r="L745" s="24"/>
      <c r="M745" s="24"/>
      <c r="N745" s="24"/>
      <c r="O745" s="24"/>
      <c r="P745" s="24"/>
      <c r="Q745" s="24"/>
      <c r="R745" s="24"/>
      <c r="S745" s="24"/>
      <c r="T745" s="24"/>
      <c r="U745" s="24"/>
      <c r="V745" s="24"/>
      <c r="W745" s="24"/>
      <c r="X745" s="24"/>
      <c r="Y745" s="24"/>
      <c r="Z745" s="24"/>
      <c r="AA745" s="24"/>
      <c r="AB745" s="24"/>
      <c r="AC745" s="24"/>
    </row>
    <row r="746" spans="1:29" ht="12.9">
      <c r="A746" s="24"/>
      <c r="B746" s="24"/>
      <c r="C746" s="24"/>
      <c r="D746" s="24"/>
      <c r="E746" s="24"/>
      <c r="F746" s="117"/>
      <c r="G746" s="117"/>
      <c r="H746" s="24"/>
      <c r="I746" s="24"/>
      <c r="J746" s="24"/>
      <c r="K746" s="24"/>
      <c r="L746" s="24"/>
      <c r="M746" s="24"/>
      <c r="N746" s="24"/>
      <c r="O746" s="24"/>
      <c r="P746" s="24"/>
      <c r="Q746" s="24"/>
      <c r="R746" s="24"/>
      <c r="S746" s="24"/>
      <c r="T746" s="24"/>
      <c r="U746" s="24"/>
      <c r="V746" s="24"/>
      <c r="W746" s="24"/>
      <c r="X746" s="24"/>
      <c r="Y746" s="24"/>
      <c r="Z746" s="24"/>
      <c r="AA746" s="24"/>
      <c r="AB746" s="24"/>
      <c r="AC746" s="24"/>
    </row>
    <row r="747" spans="1:29" ht="12.9">
      <c r="A747" s="24"/>
      <c r="B747" s="24"/>
      <c r="C747" s="24"/>
      <c r="D747" s="24"/>
      <c r="E747" s="24"/>
      <c r="F747" s="117"/>
      <c r="G747" s="117"/>
      <c r="H747" s="24"/>
      <c r="I747" s="24"/>
      <c r="J747" s="24"/>
      <c r="K747" s="24"/>
      <c r="L747" s="24"/>
      <c r="M747" s="24"/>
      <c r="N747" s="24"/>
      <c r="O747" s="24"/>
      <c r="P747" s="24"/>
      <c r="Q747" s="24"/>
      <c r="R747" s="24"/>
      <c r="S747" s="24"/>
      <c r="T747" s="24"/>
      <c r="U747" s="24"/>
      <c r="V747" s="24"/>
      <c r="W747" s="24"/>
      <c r="X747" s="24"/>
      <c r="Y747" s="24"/>
      <c r="Z747" s="24"/>
      <c r="AA747" s="24"/>
      <c r="AB747" s="24"/>
      <c r="AC747" s="24"/>
    </row>
    <row r="748" spans="1:29" ht="12.9">
      <c r="A748" s="24"/>
      <c r="B748" s="24"/>
      <c r="C748" s="24"/>
      <c r="D748" s="24"/>
      <c r="E748" s="24"/>
      <c r="F748" s="117"/>
      <c r="G748" s="117"/>
      <c r="H748" s="24"/>
      <c r="I748" s="24"/>
      <c r="J748" s="24"/>
      <c r="K748" s="24"/>
      <c r="L748" s="24"/>
      <c r="M748" s="24"/>
      <c r="N748" s="24"/>
      <c r="O748" s="24"/>
      <c r="P748" s="24"/>
      <c r="Q748" s="24"/>
      <c r="R748" s="24"/>
      <c r="S748" s="24"/>
      <c r="T748" s="24"/>
      <c r="U748" s="24"/>
      <c r="V748" s="24"/>
      <c r="W748" s="24"/>
      <c r="X748" s="24"/>
      <c r="Y748" s="24"/>
      <c r="Z748" s="24"/>
      <c r="AA748" s="24"/>
      <c r="AB748" s="24"/>
      <c r="AC748" s="24"/>
    </row>
    <row r="749" spans="1:29" ht="12.9">
      <c r="A749" s="24"/>
      <c r="B749" s="24"/>
      <c r="C749" s="24"/>
      <c r="D749" s="24"/>
      <c r="E749" s="24"/>
      <c r="F749" s="117"/>
      <c r="G749" s="117"/>
      <c r="H749" s="24"/>
      <c r="I749" s="24"/>
      <c r="J749" s="24"/>
      <c r="K749" s="24"/>
      <c r="L749" s="24"/>
      <c r="M749" s="24"/>
      <c r="N749" s="24"/>
      <c r="O749" s="24"/>
      <c r="P749" s="24"/>
      <c r="Q749" s="24"/>
      <c r="R749" s="24"/>
      <c r="S749" s="24"/>
      <c r="T749" s="24"/>
      <c r="U749" s="24"/>
      <c r="V749" s="24"/>
      <c r="W749" s="24"/>
      <c r="X749" s="24"/>
      <c r="Y749" s="24"/>
      <c r="Z749" s="24"/>
      <c r="AA749" s="24"/>
      <c r="AB749" s="24"/>
      <c r="AC749" s="24"/>
    </row>
    <row r="750" spans="1:29" ht="12.9">
      <c r="A750" s="24"/>
      <c r="B750" s="24"/>
      <c r="C750" s="24"/>
      <c r="D750" s="24"/>
      <c r="E750" s="24"/>
      <c r="F750" s="117"/>
      <c r="G750" s="117"/>
      <c r="H750" s="24"/>
      <c r="I750" s="24"/>
      <c r="J750" s="24"/>
      <c r="K750" s="24"/>
      <c r="L750" s="24"/>
      <c r="M750" s="24"/>
      <c r="N750" s="24"/>
      <c r="O750" s="24"/>
      <c r="P750" s="24"/>
      <c r="Q750" s="24"/>
      <c r="R750" s="24"/>
      <c r="S750" s="24"/>
      <c r="T750" s="24"/>
      <c r="U750" s="24"/>
      <c r="V750" s="24"/>
      <c r="W750" s="24"/>
      <c r="X750" s="24"/>
      <c r="Y750" s="24"/>
      <c r="Z750" s="24"/>
      <c r="AA750" s="24"/>
      <c r="AB750" s="24"/>
      <c r="AC750" s="24"/>
    </row>
    <row r="751" spans="1:29" ht="12.9">
      <c r="A751" s="24"/>
      <c r="B751" s="24"/>
      <c r="C751" s="24"/>
      <c r="D751" s="24"/>
      <c r="E751" s="24"/>
      <c r="F751" s="117"/>
      <c r="G751" s="117"/>
      <c r="H751" s="24"/>
      <c r="I751" s="24"/>
      <c r="J751" s="24"/>
      <c r="K751" s="24"/>
      <c r="L751" s="24"/>
      <c r="M751" s="24"/>
      <c r="N751" s="24"/>
      <c r="O751" s="24"/>
      <c r="P751" s="24"/>
      <c r="Q751" s="24"/>
      <c r="R751" s="24"/>
      <c r="S751" s="24"/>
      <c r="T751" s="24"/>
      <c r="U751" s="24"/>
      <c r="V751" s="24"/>
      <c r="W751" s="24"/>
      <c r="X751" s="24"/>
      <c r="Y751" s="24"/>
      <c r="Z751" s="24"/>
      <c r="AA751" s="24"/>
      <c r="AB751" s="24"/>
      <c r="AC751" s="24"/>
    </row>
    <row r="752" spans="1:29" ht="12.9">
      <c r="A752" s="24"/>
      <c r="B752" s="24"/>
      <c r="C752" s="24"/>
      <c r="D752" s="24"/>
      <c r="E752" s="24"/>
      <c r="F752" s="117"/>
      <c r="G752" s="117"/>
      <c r="H752" s="24"/>
      <c r="I752" s="24"/>
      <c r="J752" s="24"/>
      <c r="K752" s="24"/>
      <c r="L752" s="24"/>
      <c r="M752" s="24"/>
      <c r="N752" s="24"/>
      <c r="O752" s="24"/>
      <c r="P752" s="24"/>
      <c r="Q752" s="24"/>
      <c r="R752" s="24"/>
      <c r="S752" s="24"/>
      <c r="T752" s="24"/>
      <c r="U752" s="24"/>
      <c r="V752" s="24"/>
      <c r="W752" s="24"/>
      <c r="X752" s="24"/>
      <c r="Y752" s="24"/>
      <c r="Z752" s="24"/>
      <c r="AA752" s="24"/>
      <c r="AB752" s="24"/>
      <c r="AC752" s="24"/>
    </row>
    <row r="753" spans="1:29" ht="12.9">
      <c r="A753" s="24"/>
      <c r="B753" s="24"/>
      <c r="C753" s="24"/>
      <c r="D753" s="24"/>
      <c r="E753" s="24"/>
      <c r="F753" s="117"/>
      <c r="G753" s="117"/>
      <c r="H753" s="24"/>
      <c r="I753" s="24"/>
      <c r="J753" s="24"/>
      <c r="K753" s="24"/>
      <c r="L753" s="24"/>
      <c r="M753" s="24"/>
      <c r="N753" s="24"/>
      <c r="O753" s="24"/>
      <c r="P753" s="24"/>
      <c r="Q753" s="24"/>
      <c r="R753" s="24"/>
      <c r="S753" s="24"/>
      <c r="T753" s="24"/>
      <c r="U753" s="24"/>
      <c r="V753" s="24"/>
      <c r="W753" s="24"/>
      <c r="X753" s="24"/>
      <c r="Y753" s="24"/>
      <c r="Z753" s="24"/>
      <c r="AA753" s="24"/>
      <c r="AB753" s="24"/>
      <c r="AC753" s="24"/>
    </row>
    <row r="754" spans="1:29" ht="12.9">
      <c r="A754" s="24"/>
      <c r="B754" s="24"/>
      <c r="C754" s="24"/>
      <c r="D754" s="24"/>
      <c r="E754" s="24"/>
      <c r="F754" s="117"/>
      <c r="G754" s="117"/>
      <c r="H754" s="24"/>
      <c r="I754" s="24"/>
      <c r="J754" s="24"/>
      <c r="K754" s="24"/>
      <c r="L754" s="24"/>
      <c r="M754" s="24"/>
      <c r="N754" s="24"/>
      <c r="O754" s="24"/>
      <c r="P754" s="24"/>
      <c r="Q754" s="24"/>
      <c r="R754" s="24"/>
      <c r="S754" s="24"/>
      <c r="T754" s="24"/>
      <c r="U754" s="24"/>
      <c r="V754" s="24"/>
      <c r="W754" s="24"/>
      <c r="X754" s="24"/>
      <c r="Y754" s="24"/>
      <c r="Z754" s="24"/>
      <c r="AA754" s="24"/>
      <c r="AB754" s="24"/>
      <c r="AC754" s="24"/>
    </row>
    <row r="755" spans="1:29" ht="12.9">
      <c r="A755" s="24"/>
      <c r="B755" s="24"/>
      <c r="C755" s="24"/>
      <c r="D755" s="24"/>
      <c r="E755" s="24"/>
      <c r="F755" s="117"/>
      <c r="G755" s="117"/>
      <c r="H755" s="24"/>
      <c r="I755" s="24"/>
      <c r="J755" s="24"/>
      <c r="K755" s="24"/>
      <c r="L755" s="24"/>
      <c r="M755" s="24"/>
      <c r="N755" s="24"/>
      <c r="O755" s="24"/>
      <c r="P755" s="24"/>
      <c r="Q755" s="24"/>
      <c r="R755" s="24"/>
      <c r="S755" s="24"/>
      <c r="T755" s="24"/>
      <c r="U755" s="24"/>
      <c r="V755" s="24"/>
      <c r="W755" s="24"/>
      <c r="X755" s="24"/>
      <c r="Y755" s="24"/>
      <c r="Z755" s="24"/>
      <c r="AA755" s="24"/>
      <c r="AB755" s="24"/>
      <c r="AC755" s="24"/>
    </row>
    <row r="756" spans="1:29" ht="12.9">
      <c r="A756" s="24"/>
      <c r="B756" s="24"/>
      <c r="C756" s="24"/>
      <c r="D756" s="24"/>
      <c r="E756" s="24"/>
      <c r="F756" s="117"/>
      <c r="G756" s="117"/>
      <c r="H756" s="24"/>
      <c r="I756" s="24"/>
      <c r="J756" s="24"/>
      <c r="K756" s="24"/>
      <c r="L756" s="24"/>
      <c r="M756" s="24"/>
      <c r="N756" s="24"/>
      <c r="O756" s="24"/>
      <c r="P756" s="24"/>
      <c r="Q756" s="24"/>
      <c r="R756" s="24"/>
      <c r="S756" s="24"/>
      <c r="T756" s="24"/>
      <c r="U756" s="24"/>
      <c r="V756" s="24"/>
      <c r="W756" s="24"/>
      <c r="X756" s="24"/>
      <c r="Y756" s="24"/>
      <c r="Z756" s="24"/>
      <c r="AA756" s="24"/>
      <c r="AB756" s="24"/>
      <c r="AC756" s="24"/>
    </row>
    <row r="757" spans="1:29" ht="12.9">
      <c r="A757" s="24"/>
      <c r="B757" s="24"/>
      <c r="C757" s="24"/>
      <c r="D757" s="24"/>
      <c r="E757" s="24"/>
      <c r="F757" s="117"/>
      <c r="G757" s="117"/>
      <c r="H757" s="24"/>
      <c r="I757" s="24"/>
      <c r="J757" s="24"/>
      <c r="K757" s="24"/>
      <c r="L757" s="24"/>
      <c r="M757" s="24"/>
      <c r="N757" s="24"/>
      <c r="O757" s="24"/>
      <c r="P757" s="24"/>
      <c r="Q757" s="24"/>
      <c r="R757" s="24"/>
      <c r="S757" s="24"/>
      <c r="T757" s="24"/>
      <c r="U757" s="24"/>
      <c r="V757" s="24"/>
      <c r="W757" s="24"/>
      <c r="X757" s="24"/>
      <c r="Y757" s="24"/>
      <c r="Z757" s="24"/>
      <c r="AA757" s="24"/>
      <c r="AB757" s="24"/>
      <c r="AC757" s="24"/>
    </row>
    <row r="758" spans="1:29" ht="12.9">
      <c r="A758" s="24"/>
      <c r="B758" s="24"/>
      <c r="C758" s="24"/>
      <c r="D758" s="24"/>
      <c r="E758" s="24"/>
      <c r="F758" s="117"/>
      <c r="G758" s="117"/>
      <c r="H758" s="24"/>
      <c r="I758" s="24"/>
      <c r="J758" s="24"/>
      <c r="K758" s="24"/>
      <c r="L758" s="24"/>
      <c r="M758" s="24"/>
      <c r="N758" s="24"/>
      <c r="O758" s="24"/>
      <c r="P758" s="24"/>
      <c r="Q758" s="24"/>
      <c r="R758" s="24"/>
      <c r="S758" s="24"/>
      <c r="T758" s="24"/>
      <c r="U758" s="24"/>
      <c r="V758" s="24"/>
      <c r="W758" s="24"/>
      <c r="X758" s="24"/>
      <c r="Y758" s="24"/>
      <c r="Z758" s="24"/>
      <c r="AA758" s="24"/>
      <c r="AB758" s="24"/>
      <c r="AC758" s="24"/>
    </row>
    <row r="759" spans="1:29" ht="12.9">
      <c r="A759" s="24"/>
      <c r="B759" s="24"/>
      <c r="C759" s="24"/>
      <c r="D759" s="24"/>
      <c r="E759" s="24"/>
      <c r="F759" s="117"/>
      <c r="G759" s="117"/>
      <c r="H759" s="24"/>
      <c r="I759" s="24"/>
      <c r="J759" s="24"/>
      <c r="K759" s="24"/>
      <c r="L759" s="24"/>
      <c r="M759" s="24"/>
      <c r="N759" s="24"/>
      <c r="O759" s="24"/>
      <c r="P759" s="24"/>
      <c r="Q759" s="24"/>
      <c r="R759" s="24"/>
      <c r="S759" s="24"/>
      <c r="T759" s="24"/>
      <c r="U759" s="24"/>
      <c r="V759" s="24"/>
      <c r="W759" s="24"/>
      <c r="X759" s="24"/>
      <c r="Y759" s="24"/>
      <c r="Z759" s="24"/>
      <c r="AA759" s="24"/>
      <c r="AB759" s="24"/>
      <c r="AC759" s="24"/>
    </row>
    <row r="760" spans="1:29" ht="12.9">
      <c r="A760" s="24"/>
      <c r="B760" s="24"/>
      <c r="C760" s="24"/>
      <c r="D760" s="24"/>
      <c r="E760" s="24"/>
      <c r="F760" s="117"/>
      <c r="G760" s="117"/>
      <c r="H760" s="24"/>
      <c r="I760" s="24"/>
      <c r="J760" s="24"/>
      <c r="K760" s="24"/>
      <c r="L760" s="24"/>
      <c r="M760" s="24"/>
      <c r="N760" s="24"/>
      <c r="O760" s="24"/>
      <c r="P760" s="24"/>
      <c r="Q760" s="24"/>
      <c r="R760" s="24"/>
      <c r="S760" s="24"/>
      <c r="T760" s="24"/>
      <c r="U760" s="24"/>
      <c r="V760" s="24"/>
      <c r="W760" s="24"/>
      <c r="X760" s="24"/>
      <c r="Y760" s="24"/>
      <c r="Z760" s="24"/>
      <c r="AA760" s="24"/>
      <c r="AB760" s="24"/>
      <c r="AC760" s="24"/>
    </row>
    <row r="761" spans="1:29" ht="12.9">
      <c r="A761" s="24"/>
      <c r="B761" s="24"/>
      <c r="C761" s="24"/>
      <c r="D761" s="24"/>
      <c r="E761" s="24"/>
      <c r="F761" s="117"/>
      <c r="G761" s="117"/>
      <c r="H761" s="24"/>
      <c r="I761" s="24"/>
      <c r="J761" s="24"/>
      <c r="K761" s="24"/>
      <c r="L761" s="24"/>
      <c r="M761" s="24"/>
      <c r="N761" s="24"/>
      <c r="O761" s="24"/>
      <c r="P761" s="24"/>
      <c r="Q761" s="24"/>
      <c r="R761" s="24"/>
      <c r="S761" s="24"/>
      <c r="T761" s="24"/>
      <c r="U761" s="24"/>
      <c r="V761" s="24"/>
      <c r="W761" s="24"/>
      <c r="X761" s="24"/>
      <c r="Y761" s="24"/>
      <c r="Z761" s="24"/>
      <c r="AA761" s="24"/>
      <c r="AB761" s="24"/>
      <c r="AC761" s="24"/>
    </row>
    <row r="762" spans="1:29" ht="12.9">
      <c r="A762" s="24"/>
      <c r="B762" s="24"/>
      <c r="C762" s="24"/>
      <c r="D762" s="24"/>
      <c r="E762" s="24"/>
      <c r="F762" s="117"/>
      <c r="G762" s="117"/>
      <c r="H762" s="24"/>
      <c r="I762" s="24"/>
      <c r="J762" s="24"/>
      <c r="K762" s="24"/>
      <c r="L762" s="24"/>
      <c r="M762" s="24"/>
      <c r="N762" s="24"/>
      <c r="O762" s="24"/>
      <c r="P762" s="24"/>
      <c r="Q762" s="24"/>
      <c r="R762" s="24"/>
      <c r="S762" s="24"/>
      <c r="T762" s="24"/>
      <c r="U762" s="24"/>
      <c r="V762" s="24"/>
      <c r="W762" s="24"/>
      <c r="X762" s="24"/>
      <c r="Y762" s="24"/>
      <c r="Z762" s="24"/>
      <c r="AA762" s="24"/>
      <c r="AB762" s="24"/>
      <c r="AC762" s="24"/>
    </row>
    <row r="763" spans="1:29" ht="12.9">
      <c r="A763" s="24"/>
      <c r="B763" s="24"/>
      <c r="C763" s="24"/>
      <c r="D763" s="24"/>
      <c r="E763" s="24"/>
      <c r="F763" s="117"/>
      <c r="G763" s="117"/>
      <c r="H763" s="24"/>
      <c r="I763" s="24"/>
      <c r="J763" s="24"/>
      <c r="K763" s="24"/>
      <c r="L763" s="24"/>
      <c r="M763" s="24"/>
      <c r="N763" s="24"/>
      <c r="O763" s="24"/>
      <c r="P763" s="24"/>
      <c r="Q763" s="24"/>
      <c r="R763" s="24"/>
      <c r="S763" s="24"/>
      <c r="T763" s="24"/>
      <c r="U763" s="24"/>
      <c r="V763" s="24"/>
      <c r="W763" s="24"/>
      <c r="X763" s="24"/>
      <c r="Y763" s="24"/>
      <c r="Z763" s="24"/>
      <c r="AA763" s="24"/>
      <c r="AB763" s="24"/>
      <c r="AC763" s="24"/>
    </row>
    <row r="764" spans="1:29" ht="12.9">
      <c r="A764" s="24"/>
      <c r="B764" s="24"/>
      <c r="C764" s="24"/>
      <c r="D764" s="24"/>
      <c r="E764" s="24"/>
      <c r="F764" s="117"/>
      <c r="G764" s="117"/>
      <c r="H764" s="24"/>
      <c r="I764" s="24"/>
      <c r="J764" s="24"/>
      <c r="K764" s="24"/>
      <c r="L764" s="24"/>
      <c r="M764" s="24"/>
      <c r="N764" s="24"/>
      <c r="O764" s="24"/>
      <c r="P764" s="24"/>
      <c r="Q764" s="24"/>
      <c r="R764" s="24"/>
      <c r="S764" s="24"/>
      <c r="T764" s="24"/>
      <c r="U764" s="24"/>
      <c r="V764" s="24"/>
      <c r="W764" s="24"/>
      <c r="X764" s="24"/>
      <c r="Y764" s="24"/>
      <c r="Z764" s="24"/>
      <c r="AA764" s="24"/>
      <c r="AB764" s="24"/>
      <c r="AC764" s="24"/>
    </row>
    <row r="765" spans="1:29" ht="12.9">
      <c r="A765" s="24"/>
      <c r="B765" s="24"/>
      <c r="C765" s="24"/>
      <c r="D765" s="24"/>
      <c r="E765" s="24"/>
      <c r="F765" s="117"/>
      <c r="G765" s="117"/>
      <c r="H765" s="24"/>
      <c r="I765" s="24"/>
      <c r="J765" s="24"/>
      <c r="K765" s="24"/>
      <c r="L765" s="24"/>
      <c r="M765" s="24"/>
      <c r="N765" s="24"/>
      <c r="O765" s="24"/>
      <c r="P765" s="24"/>
      <c r="Q765" s="24"/>
      <c r="R765" s="24"/>
      <c r="S765" s="24"/>
      <c r="T765" s="24"/>
      <c r="U765" s="24"/>
      <c r="V765" s="24"/>
      <c r="W765" s="24"/>
      <c r="X765" s="24"/>
      <c r="Y765" s="24"/>
      <c r="Z765" s="24"/>
      <c r="AA765" s="24"/>
      <c r="AB765" s="24"/>
      <c r="AC765" s="24"/>
    </row>
    <row r="766" spans="1:29" ht="12.9">
      <c r="A766" s="24"/>
      <c r="B766" s="24"/>
      <c r="C766" s="24"/>
      <c r="D766" s="24"/>
      <c r="E766" s="24"/>
      <c r="F766" s="117"/>
      <c r="G766" s="117"/>
      <c r="H766" s="24"/>
      <c r="I766" s="24"/>
      <c r="J766" s="24"/>
      <c r="K766" s="24"/>
      <c r="L766" s="24"/>
      <c r="M766" s="24"/>
      <c r="N766" s="24"/>
      <c r="O766" s="24"/>
      <c r="P766" s="24"/>
      <c r="Q766" s="24"/>
      <c r="R766" s="24"/>
      <c r="S766" s="24"/>
      <c r="T766" s="24"/>
      <c r="U766" s="24"/>
      <c r="V766" s="24"/>
      <c r="W766" s="24"/>
      <c r="X766" s="24"/>
      <c r="Y766" s="24"/>
      <c r="Z766" s="24"/>
      <c r="AA766" s="24"/>
      <c r="AB766" s="24"/>
      <c r="AC766" s="24"/>
    </row>
    <row r="767" spans="1:29" ht="12.9">
      <c r="A767" s="24"/>
      <c r="B767" s="24"/>
      <c r="C767" s="24"/>
      <c r="D767" s="24"/>
      <c r="E767" s="24"/>
      <c r="F767" s="117"/>
      <c r="G767" s="117"/>
      <c r="H767" s="24"/>
      <c r="I767" s="24"/>
      <c r="J767" s="24"/>
      <c r="K767" s="24"/>
      <c r="L767" s="24"/>
      <c r="M767" s="24"/>
      <c r="N767" s="24"/>
      <c r="O767" s="24"/>
      <c r="P767" s="24"/>
      <c r="Q767" s="24"/>
      <c r="R767" s="24"/>
      <c r="S767" s="24"/>
      <c r="T767" s="24"/>
      <c r="U767" s="24"/>
      <c r="V767" s="24"/>
      <c r="W767" s="24"/>
      <c r="X767" s="24"/>
      <c r="Y767" s="24"/>
      <c r="Z767" s="24"/>
      <c r="AA767" s="24"/>
      <c r="AB767" s="24"/>
      <c r="AC767" s="24"/>
    </row>
    <row r="768" spans="1:29" ht="12.9">
      <c r="A768" s="24"/>
      <c r="B768" s="24"/>
      <c r="C768" s="24"/>
      <c r="D768" s="24"/>
      <c r="E768" s="24"/>
      <c r="F768" s="117"/>
      <c r="G768" s="117"/>
      <c r="H768" s="24"/>
      <c r="I768" s="24"/>
      <c r="J768" s="24"/>
      <c r="K768" s="24"/>
      <c r="L768" s="24"/>
      <c r="M768" s="24"/>
      <c r="N768" s="24"/>
      <c r="O768" s="24"/>
      <c r="P768" s="24"/>
      <c r="Q768" s="24"/>
      <c r="R768" s="24"/>
      <c r="S768" s="24"/>
      <c r="T768" s="24"/>
      <c r="U768" s="24"/>
      <c r="V768" s="24"/>
      <c r="W768" s="24"/>
      <c r="X768" s="24"/>
      <c r="Y768" s="24"/>
      <c r="Z768" s="24"/>
      <c r="AA768" s="24"/>
      <c r="AB768" s="24"/>
      <c r="AC768" s="24"/>
    </row>
    <row r="769" spans="1:29" ht="12.9">
      <c r="A769" s="24"/>
      <c r="B769" s="24"/>
      <c r="C769" s="24"/>
      <c r="D769" s="24"/>
      <c r="E769" s="24"/>
      <c r="F769" s="117"/>
      <c r="G769" s="117"/>
      <c r="H769" s="24"/>
      <c r="I769" s="24"/>
      <c r="J769" s="24"/>
      <c r="K769" s="24"/>
      <c r="L769" s="24"/>
      <c r="M769" s="24"/>
      <c r="N769" s="24"/>
      <c r="O769" s="24"/>
      <c r="P769" s="24"/>
      <c r="Q769" s="24"/>
      <c r="R769" s="24"/>
      <c r="S769" s="24"/>
      <c r="T769" s="24"/>
      <c r="U769" s="24"/>
      <c r="V769" s="24"/>
      <c r="W769" s="24"/>
      <c r="X769" s="24"/>
      <c r="Y769" s="24"/>
      <c r="Z769" s="24"/>
      <c r="AA769" s="24"/>
      <c r="AB769" s="24"/>
      <c r="AC769" s="24"/>
    </row>
    <row r="770" spans="1:29" ht="12.9">
      <c r="A770" s="24"/>
      <c r="B770" s="24"/>
      <c r="C770" s="24"/>
      <c r="D770" s="24"/>
      <c r="E770" s="24"/>
      <c r="F770" s="117"/>
      <c r="G770" s="117"/>
      <c r="H770" s="24"/>
      <c r="I770" s="24"/>
      <c r="J770" s="24"/>
      <c r="K770" s="24"/>
      <c r="L770" s="24"/>
      <c r="M770" s="24"/>
      <c r="N770" s="24"/>
      <c r="O770" s="24"/>
      <c r="P770" s="24"/>
      <c r="Q770" s="24"/>
      <c r="R770" s="24"/>
      <c r="S770" s="24"/>
      <c r="T770" s="24"/>
      <c r="U770" s="24"/>
      <c r="V770" s="24"/>
      <c r="W770" s="24"/>
      <c r="X770" s="24"/>
      <c r="Y770" s="24"/>
      <c r="Z770" s="24"/>
      <c r="AA770" s="24"/>
      <c r="AB770" s="24"/>
      <c r="AC770" s="24"/>
    </row>
    <row r="771" spans="1:29" ht="12.9">
      <c r="A771" s="24"/>
      <c r="B771" s="24"/>
      <c r="C771" s="24"/>
      <c r="D771" s="24"/>
      <c r="E771" s="24"/>
      <c r="F771" s="117"/>
      <c r="G771" s="117"/>
      <c r="H771" s="24"/>
      <c r="I771" s="24"/>
      <c r="J771" s="24"/>
      <c r="K771" s="24"/>
      <c r="L771" s="24"/>
      <c r="M771" s="24"/>
      <c r="N771" s="24"/>
      <c r="O771" s="24"/>
      <c r="P771" s="24"/>
      <c r="Q771" s="24"/>
      <c r="R771" s="24"/>
      <c r="S771" s="24"/>
      <c r="T771" s="24"/>
      <c r="U771" s="24"/>
      <c r="V771" s="24"/>
      <c r="W771" s="24"/>
      <c r="X771" s="24"/>
      <c r="Y771" s="24"/>
      <c r="Z771" s="24"/>
      <c r="AA771" s="24"/>
      <c r="AB771" s="24"/>
      <c r="AC771" s="24"/>
    </row>
    <row r="772" spans="1:29" ht="12.9">
      <c r="A772" s="24"/>
      <c r="B772" s="24"/>
      <c r="C772" s="24"/>
      <c r="D772" s="24"/>
      <c r="E772" s="24"/>
      <c r="F772" s="117"/>
      <c r="G772" s="117"/>
      <c r="H772" s="24"/>
      <c r="I772" s="24"/>
      <c r="J772" s="24"/>
      <c r="K772" s="24"/>
      <c r="L772" s="24"/>
      <c r="M772" s="24"/>
      <c r="N772" s="24"/>
      <c r="O772" s="24"/>
      <c r="P772" s="24"/>
      <c r="Q772" s="24"/>
      <c r="R772" s="24"/>
      <c r="S772" s="24"/>
      <c r="T772" s="24"/>
      <c r="U772" s="24"/>
      <c r="V772" s="24"/>
      <c r="W772" s="24"/>
      <c r="X772" s="24"/>
      <c r="Y772" s="24"/>
      <c r="Z772" s="24"/>
      <c r="AA772" s="24"/>
      <c r="AB772" s="24"/>
      <c r="AC772" s="24"/>
    </row>
    <row r="773" spans="1:29" ht="12.9">
      <c r="A773" s="24"/>
      <c r="B773" s="24"/>
      <c r="C773" s="24"/>
      <c r="D773" s="24"/>
      <c r="E773" s="24"/>
      <c r="F773" s="117"/>
      <c r="G773" s="117"/>
      <c r="H773" s="24"/>
      <c r="I773" s="24"/>
      <c r="J773" s="24"/>
      <c r="K773" s="24"/>
      <c r="L773" s="24"/>
      <c r="M773" s="24"/>
      <c r="N773" s="24"/>
      <c r="O773" s="24"/>
      <c r="P773" s="24"/>
      <c r="Q773" s="24"/>
      <c r="R773" s="24"/>
      <c r="S773" s="24"/>
      <c r="T773" s="24"/>
      <c r="U773" s="24"/>
      <c r="V773" s="24"/>
      <c r="W773" s="24"/>
      <c r="X773" s="24"/>
      <c r="Y773" s="24"/>
      <c r="Z773" s="24"/>
      <c r="AA773" s="24"/>
      <c r="AB773" s="24"/>
      <c r="AC773" s="24"/>
    </row>
    <row r="774" spans="1:29" ht="12.9">
      <c r="A774" s="24"/>
      <c r="B774" s="24"/>
      <c r="C774" s="24"/>
      <c r="D774" s="24"/>
      <c r="E774" s="24"/>
      <c r="F774" s="117"/>
      <c r="G774" s="117"/>
      <c r="H774" s="24"/>
      <c r="I774" s="24"/>
      <c r="J774" s="24"/>
      <c r="K774" s="24"/>
      <c r="L774" s="24"/>
      <c r="M774" s="24"/>
      <c r="N774" s="24"/>
      <c r="O774" s="24"/>
      <c r="P774" s="24"/>
      <c r="Q774" s="24"/>
      <c r="R774" s="24"/>
      <c r="S774" s="24"/>
      <c r="T774" s="24"/>
      <c r="U774" s="24"/>
      <c r="V774" s="24"/>
      <c r="W774" s="24"/>
      <c r="X774" s="24"/>
      <c r="Y774" s="24"/>
      <c r="Z774" s="24"/>
      <c r="AA774" s="24"/>
      <c r="AB774" s="24"/>
      <c r="AC774" s="24"/>
    </row>
    <row r="775" spans="1:29" ht="12.9">
      <c r="A775" s="24"/>
      <c r="B775" s="24"/>
      <c r="C775" s="24"/>
      <c r="D775" s="24"/>
      <c r="E775" s="24"/>
      <c r="F775" s="117"/>
      <c r="G775" s="117"/>
      <c r="H775" s="24"/>
      <c r="I775" s="24"/>
      <c r="J775" s="24"/>
      <c r="K775" s="24"/>
      <c r="L775" s="24"/>
      <c r="M775" s="24"/>
      <c r="N775" s="24"/>
      <c r="O775" s="24"/>
      <c r="P775" s="24"/>
      <c r="Q775" s="24"/>
      <c r="R775" s="24"/>
      <c r="S775" s="24"/>
      <c r="T775" s="24"/>
      <c r="U775" s="24"/>
      <c r="V775" s="24"/>
      <c r="W775" s="24"/>
      <c r="X775" s="24"/>
      <c r="Y775" s="24"/>
      <c r="Z775" s="24"/>
      <c r="AA775" s="24"/>
      <c r="AB775" s="24"/>
      <c r="AC775" s="24"/>
    </row>
    <row r="776" spans="1:29" ht="12.9">
      <c r="A776" s="24"/>
      <c r="B776" s="24"/>
      <c r="C776" s="24"/>
      <c r="D776" s="24"/>
      <c r="E776" s="24"/>
      <c r="F776" s="117"/>
      <c r="G776" s="117"/>
      <c r="H776" s="24"/>
      <c r="I776" s="24"/>
      <c r="J776" s="24"/>
      <c r="K776" s="24"/>
      <c r="L776" s="24"/>
      <c r="M776" s="24"/>
      <c r="N776" s="24"/>
      <c r="O776" s="24"/>
      <c r="P776" s="24"/>
      <c r="Q776" s="24"/>
      <c r="R776" s="24"/>
      <c r="S776" s="24"/>
      <c r="T776" s="24"/>
      <c r="U776" s="24"/>
      <c r="V776" s="24"/>
      <c r="W776" s="24"/>
      <c r="X776" s="24"/>
      <c r="Y776" s="24"/>
      <c r="Z776" s="24"/>
      <c r="AA776" s="24"/>
      <c r="AB776" s="24"/>
      <c r="AC776" s="24"/>
    </row>
    <row r="777" spans="1:29" ht="12.9">
      <c r="A777" s="24"/>
      <c r="B777" s="24"/>
      <c r="C777" s="24"/>
      <c r="D777" s="24"/>
      <c r="E777" s="24"/>
      <c r="F777" s="117"/>
      <c r="G777" s="117"/>
      <c r="H777" s="24"/>
      <c r="I777" s="24"/>
      <c r="J777" s="24"/>
      <c r="K777" s="24"/>
      <c r="L777" s="24"/>
      <c r="M777" s="24"/>
      <c r="N777" s="24"/>
      <c r="O777" s="24"/>
      <c r="P777" s="24"/>
      <c r="Q777" s="24"/>
      <c r="R777" s="24"/>
      <c r="S777" s="24"/>
      <c r="T777" s="24"/>
      <c r="U777" s="24"/>
      <c r="V777" s="24"/>
      <c r="W777" s="24"/>
      <c r="X777" s="24"/>
      <c r="Y777" s="24"/>
      <c r="Z777" s="24"/>
      <c r="AA777" s="24"/>
      <c r="AB777" s="24"/>
      <c r="AC777" s="24"/>
    </row>
    <row r="778" spans="1:29" ht="12.9">
      <c r="A778" s="24"/>
      <c r="B778" s="24"/>
      <c r="C778" s="24"/>
      <c r="D778" s="24"/>
      <c r="E778" s="24"/>
      <c r="F778" s="117"/>
      <c r="G778" s="117"/>
      <c r="H778" s="24"/>
      <c r="I778" s="24"/>
      <c r="J778" s="24"/>
      <c r="K778" s="24"/>
      <c r="L778" s="24"/>
      <c r="M778" s="24"/>
      <c r="N778" s="24"/>
      <c r="O778" s="24"/>
      <c r="P778" s="24"/>
      <c r="Q778" s="24"/>
      <c r="R778" s="24"/>
      <c r="S778" s="24"/>
      <c r="T778" s="24"/>
      <c r="U778" s="24"/>
      <c r="V778" s="24"/>
      <c r="W778" s="24"/>
      <c r="X778" s="24"/>
      <c r="Y778" s="24"/>
      <c r="Z778" s="24"/>
      <c r="AA778" s="24"/>
      <c r="AB778" s="24"/>
      <c r="AC778" s="24"/>
    </row>
    <row r="779" spans="1:29" ht="12.9">
      <c r="A779" s="24"/>
      <c r="B779" s="24"/>
      <c r="C779" s="24"/>
      <c r="D779" s="24"/>
      <c r="E779" s="24"/>
      <c r="F779" s="117"/>
      <c r="G779" s="117"/>
      <c r="H779" s="24"/>
      <c r="I779" s="24"/>
      <c r="J779" s="24"/>
      <c r="K779" s="24"/>
      <c r="L779" s="24"/>
      <c r="M779" s="24"/>
      <c r="N779" s="24"/>
      <c r="O779" s="24"/>
      <c r="P779" s="24"/>
      <c r="Q779" s="24"/>
      <c r="R779" s="24"/>
      <c r="S779" s="24"/>
      <c r="T779" s="24"/>
      <c r="U779" s="24"/>
      <c r="V779" s="24"/>
      <c r="W779" s="24"/>
      <c r="X779" s="24"/>
      <c r="Y779" s="24"/>
      <c r="Z779" s="24"/>
      <c r="AA779" s="24"/>
      <c r="AB779" s="24"/>
      <c r="AC779" s="24"/>
    </row>
    <row r="780" spans="1:29" ht="12.9">
      <c r="A780" s="24"/>
      <c r="B780" s="24"/>
      <c r="C780" s="24"/>
      <c r="D780" s="24"/>
      <c r="E780" s="24"/>
      <c r="F780" s="117"/>
      <c r="G780" s="117"/>
      <c r="H780" s="24"/>
      <c r="I780" s="24"/>
      <c r="J780" s="24"/>
      <c r="K780" s="24"/>
      <c r="L780" s="24"/>
      <c r="M780" s="24"/>
      <c r="N780" s="24"/>
      <c r="O780" s="24"/>
      <c r="P780" s="24"/>
      <c r="Q780" s="24"/>
      <c r="R780" s="24"/>
      <c r="S780" s="24"/>
      <c r="T780" s="24"/>
      <c r="U780" s="24"/>
      <c r="V780" s="24"/>
      <c r="W780" s="24"/>
      <c r="X780" s="24"/>
      <c r="Y780" s="24"/>
      <c r="Z780" s="24"/>
      <c r="AA780" s="24"/>
      <c r="AB780" s="24"/>
      <c r="AC780" s="24"/>
    </row>
    <row r="781" spans="1:29" ht="12.9">
      <c r="A781" s="24"/>
      <c r="B781" s="24"/>
      <c r="C781" s="24"/>
      <c r="D781" s="24"/>
      <c r="E781" s="24"/>
      <c r="F781" s="117"/>
      <c r="G781" s="117"/>
      <c r="H781" s="24"/>
      <c r="I781" s="24"/>
      <c r="J781" s="24"/>
      <c r="K781" s="24"/>
      <c r="L781" s="24"/>
      <c r="M781" s="24"/>
      <c r="N781" s="24"/>
      <c r="O781" s="24"/>
      <c r="P781" s="24"/>
      <c r="Q781" s="24"/>
      <c r="R781" s="24"/>
      <c r="S781" s="24"/>
      <c r="T781" s="24"/>
      <c r="U781" s="24"/>
      <c r="V781" s="24"/>
      <c r="W781" s="24"/>
      <c r="X781" s="24"/>
      <c r="Y781" s="24"/>
      <c r="Z781" s="24"/>
      <c r="AA781" s="24"/>
      <c r="AB781" s="24"/>
      <c r="AC781" s="24"/>
    </row>
    <row r="782" spans="1:29" ht="12.9">
      <c r="A782" s="24"/>
      <c r="B782" s="24"/>
      <c r="C782" s="24"/>
      <c r="D782" s="24"/>
      <c r="E782" s="24"/>
      <c r="F782" s="117"/>
      <c r="G782" s="117"/>
      <c r="H782" s="24"/>
      <c r="I782" s="24"/>
      <c r="J782" s="24"/>
      <c r="K782" s="24"/>
      <c r="L782" s="24"/>
      <c r="M782" s="24"/>
      <c r="N782" s="24"/>
      <c r="O782" s="24"/>
      <c r="P782" s="24"/>
      <c r="Q782" s="24"/>
      <c r="R782" s="24"/>
      <c r="S782" s="24"/>
      <c r="T782" s="24"/>
      <c r="U782" s="24"/>
      <c r="V782" s="24"/>
      <c r="W782" s="24"/>
      <c r="X782" s="24"/>
      <c r="Y782" s="24"/>
      <c r="Z782" s="24"/>
      <c r="AA782" s="24"/>
      <c r="AB782" s="24"/>
      <c r="AC782" s="24"/>
    </row>
    <row r="783" spans="1:29" ht="12.9">
      <c r="A783" s="24"/>
      <c r="B783" s="24"/>
      <c r="C783" s="24"/>
      <c r="D783" s="24"/>
      <c r="E783" s="24"/>
      <c r="F783" s="117"/>
      <c r="G783" s="117"/>
      <c r="H783" s="24"/>
      <c r="I783" s="24"/>
      <c r="J783" s="24"/>
      <c r="K783" s="24"/>
      <c r="L783" s="24"/>
      <c r="M783" s="24"/>
      <c r="N783" s="24"/>
      <c r="O783" s="24"/>
      <c r="P783" s="24"/>
      <c r="Q783" s="24"/>
      <c r="R783" s="24"/>
      <c r="S783" s="24"/>
      <c r="T783" s="24"/>
      <c r="U783" s="24"/>
      <c r="V783" s="24"/>
      <c r="W783" s="24"/>
      <c r="X783" s="24"/>
      <c r="Y783" s="24"/>
      <c r="Z783" s="24"/>
      <c r="AA783" s="24"/>
      <c r="AB783" s="24"/>
      <c r="AC783" s="24"/>
    </row>
    <row r="784" spans="1:29" ht="12.9">
      <c r="A784" s="24"/>
      <c r="B784" s="24"/>
      <c r="C784" s="24"/>
      <c r="D784" s="24"/>
      <c r="E784" s="24"/>
      <c r="F784" s="117"/>
      <c r="G784" s="117"/>
      <c r="H784" s="24"/>
      <c r="I784" s="24"/>
      <c r="J784" s="24"/>
      <c r="K784" s="24"/>
      <c r="L784" s="24"/>
      <c r="M784" s="24"/>
      <c r="N784" s="24"/>
      <c r="O784" s="24"/>
      <c r="P784" s="24"/>
      <c r="Q784" s="24"/>
      <c r="R784" s="24"/>
      <c r="S784" s="24"/>
      <c r="T784" s="24"/>
      <c r="U784" s="24"/>
      <c r="V784" s="24"/>
      <c r="W784" s="24"/>
      <c r="X784" s="24"/>
      <c r="Y784" s="24"/>
      <c r="Z784" s="24"/>
      <c r="AA784" s="24"/>
      <c r="AB784" s="24"/>
      <c r="AC784" s="24"/>
    </row>
    <row r="785" spans="1:29" ht="12.9">
      <c r="A785" s="24"/>
      <c r="B785" s="24"/>
      <c r="C785" s="24"/>
      <c r="D785" s="24"/>
      <c r="E785" s="24"/>
      <c r="F785" s="117"/>
      <c r="G785" s="117"/>
      <c r="H785" s="24"/>
      <c r="I785" s="24"/>
      <c r="J785" s="24"/>
      <c r="K785" s="24"/>
      <c r="L785" s="24"/>
      <c r="M785" s="24"/>
      <c r="N785" s="24"/>
      <c r="O785" s="24"/>
      <c r="P785" s="24"/>
      <c r="Q785" s="24"/>
      <c r="R785" s="24"/>
      <c r="S785" s="24"/>
      <c r="T785" s="24"/>
      <c r="U785" s="24"/>
      <c r="V785" s="24"/>
      <c r="W785" s="24"/>
      <c r="X785" s="24"/>
      <c r="Y785" s="24"/>
      <c r="Z785" s="24"/>
      <c r="AA785" s="24"/>
      <c r="AB785" s="24"/>
      <c r="AC785" s="24"/>
    </row>
    <row r="786" spans="1:29" ht="12.9">
      <c r="A786" s="24"/>
      <c r="B786" s="24"/>
      <c r="C786" s="24"/>
      <c r="D786" s="24"/>
      <c r="E786" s="24"/>
      <c r="F786" s="117"/>
      <c r="G786" s="117"/>
      <c r="H786" s="24"/>
      <c r="I786" s="24"/>
      <c r="J786" s="24"/>
      <c r="K786" s="24"/>
      <c r="L786" s="24"/>
      <c r="M786" s="24"/>
      <c r="N786" s="24"/>
      <c r="O786" s="24"/>
      <c r="P786" s="24"/>
      <c r="Q786" s="24"/>
      <c r="R786" s="24"/>
      <c r="S786" s="24"/>
      <c r="T786" s="24"/>
      <c r="U786" s="24"/>
      <c r="V786" s="24"/>
      <c r="W786" s="24"/>
      <c r="X786" s="24"/>
      <c r="Y786" s="24"/>
      <c r="Z786" s="24"/>
      <c r="AA786" s="24"/>
      <c r="AB786" s="24"/>
      <c r="AC786" s="24"/>
    </row>
    <row r="787" spans="1:29" ht="12.9">
      <c r="A787" s="24"/>
      <c r="B787" s="24"/>
      <c r="C787" s="24"/>
      <c r="D787" s="24"/>
      <c r="E787" s="24"/>
      <c r="F787" s="117"/>
      <c r="G787" s="117"/>
      <c r="H787" s="24"/>
      <c r="I787" s="24"/>
      <c r="J787" s="24"/>
      <c r="K787" s="24"/>
      <c r="L787" s="24"/>
      <c r="M787" s="24"/>
      <c r="N787" s="24"/>
      <c r="O787" s="24"/>
      <c r="P787" s="24"/>
      <c r="Q787" s="24"/>
      <c r="R787" s="24"/>
      <c r="S787" s="24"/>
      <c r="T787" s="24"/>
      <c r="U787" s="24"/>
      <c r="V787" s="24"/>
      <c r="W787" s="24"/>
      <c r="X787" s="24"/>
      <c r="Y787" s="24"/>
      <c r="Z787" s="24"/>
      <c r="AA787" s="24"/>
      <c r="AB787" s="24"/>
      <c r="AC787" s="24"/>
    </row>
    <row r="788" spans="1:29" ht="12.9">
      <c r="A788" s="24"/>
      <c r="B788" s="24"/>
      <c r="C788" s="24"/>
      <c r="D788" s="24"/>
      <c r="E788" s="24"/>
      <c r="F788" s="117"/>
      <c r="G788" s="117"/>
      <c r="H788" s="24"/>
      <c r="I788" s="24"/>
      <c r="J788" s="24"/>
      <c r="K788" s="24"/>
      <c r="L788" s="24"/>
      <c r="M788" s="24"/>
      <c r="N788" s="24"/>
      <c r="O788" s="24"/>
      <c r="P788" s="24"/>
      <c r="Q788" s="24"/>
      <c r="R788" s="24"/>
      <c r="S788" s="24"/>
      <c r="T788" s="24"/>
      <c r="U788" s="24"/>
      <c r="V788" s="24"/>
      <c r="W788" s="24"/>
      <c r="X788" s="24"/>
      <c r="Y788" s="24"/>
      <c r="Z788" s="24"/>
      <c r="AA788" s="24"/>
      <c r="AB788" s="24"/>
      <c r="AC788" s="24"/>
    </row>
    <row r="789" spans="1:29" ht="12.9">
      <c r="A789" s="24"/>
      <c r="B789" s="24"/>
      <c r="C789" s="24"/>
      <c r="D789" s="24"/>
      <c r="E789" s="24"/>
      <c r="F789" s="117"/>
      <c r="G789" s="117"/>
      <c r="H789" s="24"/>
      <c r="I789" s="24"/>
      <c r="J789" s="24"/>
      <c r="K789" s="24"/>
      <c r="L789" s="24"/>
      <c r="M789" s="24"/>
      <c r="N789" s="24"/>
      <c r="O789" s="24"/>
      <c r="P789" s="24"/>
      <c r="Q789" s="24"/>
      <c r="R789" s="24"/>
      <c r="S789" s="24"/>
      <c r="T789" s="24"/>
      <c r="U789" s="24"/>
      <c r="V789" s="24"/>
      <c r="W789" s="24"/>
      <c r="X789" s="24"/>
      <c r="Y789" s="24"/>
      <c r="Z789" s="24"/>
      <c r="AA789" s="24"/>
      <c r="AB789" s="24"/>
      <c r="AC789" s="24"/>
    </row>
    <row r="790" spans="1:29" ht="12.9">
      <c r="A790" s="24"/>
      <c r="B790" s="24"/>
      <c r="C790" s="24"/>
      <c r="D790" s="24"/>
      <c r="E790" s="24"/>
      <c r="F790" s="117"/>
      <c r="G790" s="117"/>
      <c r="H790" s="24"/>
      <c r="I790" s="24"/>
      <c r="J790" s="24"/>
      <c r="K790" s="24"/>
      <c r="L790" s="24"/>
      <c r="M790" s="24"/>
      <c r="N790" s="24"/>
      <c r="O790" s="24"/>
      <c r="P790" s="24"/>
      <c r="Q790" s="24"/>
      <c r="R790" s="24"/>
      <c r="S790" s="24"/>
      <c r="T790" s="24"/>
      <c r="U790" s="24"/>
      <c r="V790" s="24"/>
      <c r="W790" s="24"/>
      <c r="X790" s="24"/>
      <c r="Y790" s="24"/>
      <c r="Z790" s="24"/>
      <c r="AA790" s="24"/>
      <c r="AB790" s="24"/>
      <c r="AC790" s="24"/>
    </row>
    <row r="791" spans="1:29" ht="12.9">
      <c r="A791" s="24"/>
      <c r="B791" s="24"/>
      <c r="C791" s="24"/>
      <c r="D791" s="24"/>
      <c r="E791" s="24"/>
      <c r="F791" s="117"/>
      <c r="G791" s="117"/>
      <c r="H791" s="24"/>
      <c r="I791" s="24"/>
      <c r="J791" s="24"/>
      <c r="K791" s="24"/>
      <c r="L791" s="24"/>
      <c r="M791" s="24"/>
      <c r="N791" s="24"/>
      <c r="O791" s="24"/>
      <c r="P791" s="24"/>
      <c r="Q791" s="24"/>
      <c r="R791" s="24"/>
      <c r="S791" s="24"/>
      <c r="T791" s="24"/>
      <c r="U791" s="24"/>
      <c r="V791" s="24"/>
      <c r="W791" s="24"/>
      <c r="X791" s="24"/>
      <c r="Y791" s="24"/>
      <c r="Z791" s="24"/>
      <c r="AA791" s="24"/>
      <c r="AB791" s="24"/>
      <c r="AC791" s="24"/>
    </row>
    <row r="792" spans="1:29" ht="12.9">
      <c r="A792" s="24"/>
      <c r="B792" s="24"/>
      <c r="C792" s="24"/>
      <c r="D792" s="24"/>
      <c r="E792" s="24"/>
      <c r="F792" s="117"/>
      <c r="G792" s="117"/>
      <c r="H792" s="24"/>
      <c r="I792" s="24"/>
      <c r="J792" s="24"/>
      <c r="K792" s="24"/>
      <c r="L792" s="24"/>
      <c r="M792" s="24"/>
      <c r="N792" s="24"/>
      <c r="O792" s="24"/>
      <c r="P792" s="24"/>
      <c r="Q792" s="24"/>
      <c r="R792" s="24"/>
      <c r="S792" s="24"/>
      <c r="T792" s="24"/>
      <c r="U792" s="24"/>
      <c r="V792" s="24"/>
      <c r="W792" s="24"/>
      <c r="X792" s="24"/>
      <c r="Y792" s="24"/>
      <c r="Z792" s="24"/>
      <c r="AA792" s="24"/>
      <c r="AB792" s="24"/>
      <c r="AC792" s="24"/>
    </row>
    <row r="793" spans="1:29" ht="12.9">
      <c r="A793" s="24"/>
      <c r="B793" s="24"/>
      <c r="C793" s="24"/>
      <c r="D793" s="24"/>
      <c r="E793" s="24"/>
      <c r="F793" s="117"/>
      <c r="G793" s="117"/>
      <c r="H793" s="24"/>
      <c r="I793" s="24"/>
      <c r="J793" s="24"/>
      <c r="K793" s="24"/>
      <c r="L793" s="24"/>
      <c r="M793" s="24"/>
      <c r="N793" s="24"/>
      <c r="O793" s="24"/>
      <c r="P793" s="24"/>
      <c r="Q793" s="24"/>
      <c r="R793" s="24"/>
      <c r="S793" s="24"/>
      <c r="T793" s="24"/>
      <c r="U793" s="24"/>
      <c r="V793" s="24"/>
      <c r="W793" s="24"/>
      <c r="X793" s="24"/>
      <c r="Y793" s="24"/>
      <c r="Z793" s="24"/>
      <c r="AA793" s="24"/>
      <c r="AB793" s="24"/>
      <c r="AC793" s="24"/>
    </row>
    <row r="794" spans="1:29" ht="12.9">
      <c r="A794" s="24"/>
      <c r="B794" s="24"/>
      <c r="C794" s="24"/>
      <c r="D794" s="24"/>
      <c r="E794" s="24"/>
      <c r="F794" s="117"/>
      <c r="G794" s="117"/>
      <c r="H794" s="24"/>
      <c r="I794" s="24"/>
      <c r="J794" s="24"/>
      <c r="K794" s="24"/>
      <c r="L794" s="24"/>
      <c r="M794" s="24"/>
      <c r="N794" s="24"/>
      <c r="O794" s="24"/>
      <c r="P794" s="24"/>
      <c r="Q794" s="24"/>
      <c r="R794" s="24"/>
      <c r="S794" s="24"/>
      <c r="T794" s="24"/>
      <c r="U794" s="24"/>
      <c r="V794" s="24"/>
      <c r="W794" s="24"/>
      <c r="X794" s="24"/>
      <c r="Y794" s="24"/>
      <c r="Z794" s="24"/>
      <c r="AA794" s="24"/>
      <c r="AB794" s="24"/>
      <c r="AC794" s="24"/>
    </row>
    <row r="795" spans="1:29" ht="12.9">
      <c r="A795" s="24"/>
      <c r="B795" s="24"/>
      <c r="C795" s="24"/>
      <c r="D795" s="24"/>
      <c r="E795" s="24"/>
      <c r="F795" s="117"/>
      <c r="G795" s="117"/>
      <c r="H795" s="24"/>
      <c r="I795" s="24"/>
      <c r="J795" s="24"/>
      <c r="K795" s="24"/>
      <c r="L795" s="24"/>
      <c r="M795" s="24"/>
      <c r="N795" s="24"/>
      <c r="O795" s="24"/>
      <c r="P795" s="24"/>
      <c r="Q795" s="24"/>
      <c r="R795" s="24"/>
      <c r="S795" s="24"/>
      <c r="T795" s="24"/>
      <c r="U795" s="24"/>
      <c r="V795" s="24"/>
      <c r="W795" s="24"/>
      <c r="X795" s="24"/>
      <c r="Y795" s="24"/>
      <c r="Z795" s="24"/>
      <c r="AA795" s="24"/>
      <c r="AB795" s="24"/>
      <c r="AC795" s="24"/>
    </row>
    <row r="796" spans="1:29" ht="12.9">
      <c r="A796" s="24"/>
      <c r="B796" s="24"/>
      <c r="C796" s="24"/>
      <c r="D796" s="24"/>
      <c r="E796" s="24"/>
      <c r="F796" s="117"/>
      <c r="G796" s="117"/>
      <c r="H796" s="24"/>
      <c r="I796" s="24"/>
      <c r="J796" s="24"/>
      <c r="K796" s="24"/>
      <c r="L796" s="24"/>
      <c r="M796" s="24"/>
      <c r="N796" s="24"/>
      <c r="O796" s="24"/>
      <c r="P796" s="24"/>
      <c r="Q796" s="24"/>
      <c r="R796" s="24"/>
      <c r="S796" s="24"/>
      <c r="T796" s="24"/>
      <c r="U796" s="24"/>
      <c r="V796" s="24"/>
      <c r="W796" s="24"/>
      <c r="X796" s="24"/>
      <c r="Y796" s="24"/>
      <c r="Z796" s="24"/>
      <c r="AA796" s="24"/>
      <c r="AB796" s="24"/>
      <c r="AC796" s="24"/>
    </row>
    <row r="797" spans="1:29" ht="12.9">
      <c r="A797" s="24"/>
      <c r="B797" s="24"/>
      <c r="C797" s="24"/>
      <c r="D797" s="24"/>
      <c r="E797" s="24"/>
      <c r="F797" s="117"/>
      <c r="G797" s="117"/>
      <c r="H797" s="24"/>
      <c r="I797" s="24"/>
      <c r="J797" s="24"/>
      <c r="K797" s="24"/>
      <c r="L797" s="24"/>
      <c r="M797" s="24"/>
      <c r="N797" s="24"/>
      <c r="O797" s="24"/>
      <c r="P797" s="24"/>
      <c r="Q797" s="24"/>
      <c r="R797" s="24"/>
      <c r="S797" s="24"/>
      <c r="T797" s="24"/>
      <c r="U797" s="24"/>
      <c r="V797" s="24"/>
      <c r="W797" s="24"/>
      <c r="X797" s="24"/>
      <c r="Y797" s="24"/>
      <c r="Z797" s="24"/>
      <c r="AA797" s="24"/>
      <c r="AB797" s="24"/>
      <c r="AC797" s="24"/>
    </row>
    <row r="798" spans="1:29" ht="12.9">
      <c r="A798" s="24"/>
      <c r="B798" s="24"/>
      <c r="C798" s="24"/>
      <c r="D798" s="24"/>
      <c r="E798" s="24"/>
      <c r="F798" s="117"/>
      <c r="G798" s="117"/>
      <c r="H798" s="24"/>
      <c r="I798" s="24"/>
      <c r="J798" s="24"/>
      <c r="K798" s="24"/>
      <c r="L798" s="24"/>
      <c r="M798" s="24"/>
      <c r="N798" s="24"/>
      <c r="O798" s="24"/>
      <c r="P798" s="24"/>
      <c r="Q798" s="24"/>
      <c r="R798" s="24"/>
      <c r="S798" s="24"/>
      <c r="T798" s="24"/>
      <c r="U798" s="24"/>
      <c r="V798" s="24"/>
      <c r="W798" s="24"/>
      <c r="X798" s="24"/>
      <c r="Y798" s="24"/>
      <c r="Z798" s="24"/>
      <c r="AA798" s="24"/>
      <c r="AB798" s="24"/>
      <c r="AC798" s="24"/>
    </row>
    <row r="799" spans="1:29" ht="12.9">
      <c r="A799" s="24"/>
      <c r="B799" s="24"/>
      <c r="C799" s="24"/>
      <c r="D799" s="24"/>
      <c r="E799" s="24"/>
      <c r="F799" s="117"/>
      <c r="G799" s="117"/>
      <c r="H799" s="24"/>
      <c r="I799" s="24"/>
      <c r="J799" s="24"/>
      <c r="K799" s="24"/>
      <c r="L799" s="24"/>
      <c r="M799" s="24"/>
      <c r="N799" s="24"/>
      <c r="O799" s="24"/>
      <c r="P799" s="24"/>
      <c r="Q799" s="24"/>
      <c r="R799" s="24"/>
      <c r="S799" s="24"/>
      <c r="T799" s="24"/>
      <c r="U799" s="24"/>
      <c r="V799" s="24"/>
      <c r="W799" s="24"/>
      <c r="X799" s="24"/>
      <c r="Y799" s="24"/>
      <c r="Z799" s="24"/>
      <c r="AA799" s="24"/>
      <c r="AB799" s="24"/>
      <c r="AC799" s="24"/>
    </row>
    <row r="800" spans="1:29" ht="12.9">
      <c r="A800" s="24"/>
      <c r="B800" s="24"/>
      <c r="C800" s="24"/>
      <c r="D800" s="24"/>
      <c r="E800" s="24"/>
      <c r="F800" s="117"/>
      <c r="G800" s="117"/>
      <c r="H800" s="24"/>
      <c r="I800" s="24"/>
      <c r="J800" s="24"/>
      <c r="K800" s="24"/>
      <c r="L800" s="24"/>
      <c r="M800" s="24"/>
      <c r="N800" s="24"/>
      <c r="O800" s="24"/>
      <c r="P800" s="24"/>
      <c r="Q800" s="24"/>
      <c r="R800" s="24"/>
      <c r="S800" s="24"/>
      <c r="T800" s="24"/>
      <c r="U800" s="24"/>
      <c r="V800" s="24"/>
      <c r="W800" s="24"/>
      <c r="X800" s="24"/>
      <c r="Y800" s="24"/>
      <c r="Z800" s="24"/>
      <c r="AA800" s="24"/>
      <c r="AB800" s="24"/>
      <c r="AC800" s="24"/>
    </row>
    <row r="801" spans="1:29" ht="12.9">
      <c r="A801" s="24"/>
      <c r="B801" s="24"/>
      <c r="C801" s="24"/>
      <c r="D801" s="24"/>
      <c r="E801" s="24"/>
      <c r="F801" s="117"/>
      <c r="G801" s="117"/>
      <c r="H801" s="24"/>
      <c r="I801" s="24"/>
      <c r="J801" s="24"/>
      <c r="K801" s="24"/>
      <c r="L801" s="24"/>
      <c r="M801" s="24"/>
      <c r="N801" s="24"/>
      <c r="O801" s="24"/>
      <c r="P801" s="24"/>
      <c r="Q801" s="24"/>
      <c r="R801" s="24"/>
      <c r="S801" s="24"/>
      <c r="T801" s="24"/>
      <c r="U801" s="24"/>
      <c r="V801" s="24"/>
      <c r="W801" s="24"/>
      <c r="X801" s="24"/>
      <c r="Y801" s="24"/>
      <c r="Z801" s="24"/>
      <c r="AA801" s="24"/>
      <c r="AB801" s="24"/>
      <c r="AC801" s="24"/>
    </row>
    <row r="802" spans="1:29" ht="12.9">
      <c r="A802" s="24"/>
      <c r="B802" s="24"/>
      <c r="C802" s="24"/>
      <c r="D802" s="24"/>
      <c r="E802" s="24"/>
      <c r="F802" s="117"/>
      <c r="G802" s="117"/>
      <c r="H802" s="24"/>
      <c r="I802" s="24"/>
      <c r="J802" s="24"/>
      <c r="K802" s="24"/>
      <c r="L802" s="24"/>
      <c r="M802" s="24"/>
      <c r="N802" s="24"/>
      <c r="O802" s="24"/>
      <c r="P802" s="24"/>
      <c r="Q802" s="24"/>
      <c r="R802" s="24"/>
      <c r="S802" s="24"/>
      <c r="T802" s="24"/>
      <c r="U802" s="24"/>
      <c r="V802" s="24"/>
      <c r="W802" s="24"/>
      <c r="X802" s="24"/>
      <c r="Y802" s="24"/>
      <c r="Z802" s="24"/>
      <c r="AA802" s="24"/>
      <c r="AB802" s="24"/>
      <c r="AC802" s="24"/>
    </row>
    <row r="803" spans="1:29" ht="12.9">
      <c r="A803" s="24"/>
      <c r="B803" s="24"/>
      <c r="C803" s="24"/>
      <c r="D803" s="24"/>
      <c r="E803" s="24"/>
      <c r="F803" s="117"/>
      <c r="G803" s="117"/>
      <c r="H803" s="24"/>
      <c r="I803" s="24"/>
      <c r="J803" s="24"/>
      <c r="K803" s="24"/>
      <c r="L803" s="24"/>
      <c r="M803" s="24"/>
      <c r="N803" s="24"/>
      <c r="O803" s="24"/>
      <c r="P803" s="24"/>
      <c r="Q803" s="24"/>
      <c r="R803" s="24"/>
      <c r="S803" s="24"/>
      <c r="T803" s="24"/>
      <c r="U803" s="24"/>
      <c r="V803" s="24"/>
      <c r="W803" s="24"/>
      <c r="X803" s="24"/>
      <c r="Y803" s="24"/>
      <c r="Z803" s="24"/>
      <c r="AA803" s="24"/>
      <c r="AB803" s="24"/>
      <c r="AC803" s="24"/>
    </row>
    <row r="804" spans="1:29" ht="12.9">
      <c r="A804" s="24"/>
      <c r="B804" s="24"/>
      <c r="C804" s="24"/>
      <c r="D804" s="24"/>
      <c r="E804" s="24"/>
      <c r="F804" s="117"/>
      <c r="G804" s="117"/>
      <c r="H804" s="24"/>
      <c r="I804" s="24"/>
      <c r="J804" s="24"/>
      <c r="K804" s="24"/>
      <c r="L804" s="24"/>
      <c r="M804" s="24"/>
      <c r="N804" s="24"/>
      <c r="O804" s="24"/>
      <c r="P804" s="24"/>
      <c r="Q804" s="24"/>
      <c r="R804" s="24"/>
      <c r="S804" s="24"/>
      <c r="T804" s="24"/>
      <c r="U804" s="24"/>
      <c r="V804" s="24"/>
      <c r="W804" s="24"/>
      <c r="X804" s="24"/>
      <c r="Y804" s="24"/>
      <c r="Z804" s="24"/>
      <c r="AA804" s="24"/>
      <c r="AB804" s="24"/>
      <c r="AC804" s="24"/>
    </row>
    <row r="805" spans="1:29" ht="12.9">
      <c r="A805" s="24"/>
      <c r="B805" s="24"/>
      <c r="C805" s="24"/>
      <c r="D805" s="24"/>
      <c r="E805" s="24"/>
      <c r="F805" s="117"/>
      <c r="G805" s="117"/>
      <c r="H805" s="24"/>
      <c r="I805" s="24"/>
      <c r="J805" s="24"/>
      <c r="K805" s="24"/>
      <c r="L805" s="24"/>
      <c r="M805" s="24"/>
      <c r="N805" s="24"/>
      <c r="O805" s="24"/>
      <c r="P805" s="24"/>
      <c r="Q805" s="24"/>
      <c r="R805" s="24"/>
      <c r="S805" s="24"/>
      <c r="T805" s="24"/>
      <c r="U805" s="24"/>
      <c r="V805" s="24"/>
      <c r="W805" s="24"/>
      <c r="X805" s="24"/>
      <c r="Y805" s="24"/>
      <c r="Z805" s="24"/>
      <c r="AA805" s="24"/>
      <c r="AB805" s="24"/>
      <c r="AC805" s="24"/>
    </row>
    <row r="806" spans="1:29" ht="12.9">
      <c r="A806" s="24"/>
      <c r="B806" s="24"/>
      <c r="C806" s="24"/>
      <c r="D806" s="24"/>
      <c r="E806" s="24"/>
      <c r="F806" s="117"/>
      <c r="G806" s="117"/>
      <c r="H806" s="24"/>
      <c r="I806" s="24"/>
      <c r="J806" s="24"/>
      <c r="K806" s="24"/>
      <c r="L806" s="24"/>
      <c r="M806" s="24"/>
      <c r="N806" s="24"/>
      <c r="O806" s="24"/>
      <c r="P806" s="24"/>
      <c r="Q806" s="24"/>
      <c r="R806" s="24"/>
      <c r="S806" s="24"/>
      <c r="T806" s="24"/>
      <c r="U806" s="24"/>
      <c r="V806" s="24"/>
      <c r="W806" s="24"/>
      <c r="X806" s="24"/>
      <c r="Y806" s="24"/>
      <c r="Z806" s="24"/>
      <c r="AA806" s="24"/>
      <c r="AB806" s="24"/>
      <c r="AC806" s="24"/>
    </row>
    <row r="807" spans="1:29" ht="12.9">
      <c r="A807" s="24"/>
      <c r="B807" s="24"/>
      <c r="C807" s="24"/>
      <c r="D807" s="24"/>
      <c r="E807" s="24"/>
      <c r="F807" s="117"/>
      <c r="G807" s="117"/>
      <c r="H807" s="24"/>
      <c r="I807" s="24"/>
      <c r="J807" s="24"/>
      <c r="K807" s="24"/>
      <c r="L807" s="24"/>
      <c r="M807" s="24"/>
      <c r="N807" s="24"/>
      <c r="O807" s="24"/>
      <c r="P807" s="24"/>
      <c r="Q807" s="24"/>
      <c r="R807" s="24"/>
      <c r="S807" s="24"/>
      <c r="T807" s="24"/>
      <c r="U807" s="24"/>
      <c r="V807" s="24"/>
      <c r="W807" s="24"/>
      <c r="X807" s="24"/>
      <c r="Y807" s="24"/>
      <c r="Z807" s="24"/>
      <c r="AA807" s="24"/>
      <c r="AB807" s="24"/>
      <c r="AC807" s="24"/>
    </row>
    <row r="808" spans="1:29" ht="12.9">
      <c r="A808" s="24"/>
      <c r="B808" s="24"/>
      <c r="C808" s="24"/>
      <c r="D808" s="24"/>
      <c r="E808" s="24"/>
      <c r="F808" s="117"/>
      <c r="G808" s="117"/>
      <c r="H808" s="24"/>
      <c r="I808" s="24"/>
      <c r="J808" s="24"/>
      <c r="K808" s="24"/>
      <c r="L808" s="24"/>
      <c r="M808" s="24"/>
      <c r="N808" s="24"/>
      <c r="O808" s="24"/>
      <c r="P808" s="24"/>
      <c r="Q808" s="24"/>
      <c r="R808" s="24"/>
      <c r="S808" s="24"/>
      <c r="T808" s="24"/>
      <c r="U808" s="24"/>
      <c r="V808" s="24"/>
      <c r="W808" s="24"/>
      <c r="X808" s="24"/>
      <c r="Y808" s="24"/>
      <c r="Z808" s="24"/>
      <c r="AA808" s="24"/>
      <c r="AB808" s="24"/>
      <c r="AC808" s="24"/>
    </row>
    <row r="809" spans="1:29" ht="12.9">
      <c r="A809" s="24"/>
      <c r="B809" s="24"/>
      <c r="C809" s="24"/>
      <c r="D809" s="24"/>
      <c r="E809" s="24"/>
      <c r="F809" s="117"/>
      <c r="G809" s="117"/>
      <c r="H809" s="24"/>
      <c r="I809" s="24"/>
      <c r="J809" s="24"/>
      <c r="K809" s="24"/>
      <c r="L809" s="24"/>
      <c r="M809" s="24"/>
      <c r="N809" s="24"/>
      <c r="O809" s="24"/>
      <c r="P809" s="24"/>
      <c r="Q809" s="24"/>
      <c r="R809" s="24"/>
      <c r="S809" s="24"/>
      <c r="T809" s="24"/>
      <c r="U809" s="24"/>
      <c r="V809" s="24"/>
      <c r="W809" s="24"/>
      <c r="X809" s="24"/>
      <c r="Y809" s="24"/>
      <c r="Z809" s="24"/>
      <c r="AA809" s="24"/>
      <c r="AB809" s="24"/>
      <c r="AC809" s="24"/>
    </row>
    <row r="810" spans="1:29" ht="12.9">
      <c r="A810" s="24"/>
      <c r="B810" s="24"/>
      <c r="C810" s="24"/>
      <c r="D810" s="24"/>
      <c r="E810" s="24"/>
      <c r="F810" s="117"/>
      <c r="G810" s="117"/>
      <c r="H810" s="24"/>
      <c r="I810" s="24"/>
      <c r="J810" s="24"/>
      <c r="K810" s="24"/>
      <c r="L810" s="24"/>
      <c r="M810" s="24"/>
      <c r="N810" s="24"/>
      <c r="O810" s="24"/>
      <c r="P810" s="24"/>
      <c r="Q810" s="24"/>
      <c r="R810" s="24"/>
      <c r="S810" s="24"/>
      <c r="T810" s="24"/>
      <c r="U810" s="24"/>
      <c r="V810" s="24"/>
      <c r="W810" s="24"/>
      <c r="X810" s="24"/>
      <c r="Y810" s="24"/>
      <c r="Z810" s="24"/>
      <c r="AA810" s="24"/>
      <c r="AB810" s="24"/>
      <c r="AC810" s="24"/>
    </row>
    <row r="811" spans="1:29" ht="12.9">
      <c r="A811" s="24"/>
      <c r="B811" s="24"/>
      <c r="C811" s="24"/>
      <c r="D811" s="24"/>
      <c r="E811" s="24"/>
      <c r="F811" s="117"/>
      <c r="G811" s="117"/>
      <c r="H811" s="24"/>
      <c r="I811" s="24"/>
      <c r="J811" s="24"/>
      <c r="K811" s="24"/>
      <c r="L811" s="24"/>
      <c r="M811" s="24"/>
      <c r="N811" s="24"/>
      <c r="O811" s="24"/>
      <c r="P811" s="24"/>
      <c r="Q811" s="24"/>
      <c r="R811" s="24"/>
      <c r="S811" s="24"/>
      <c r="T811" s="24"/>
      <c r="U811" s="24"/>
      <c r="V811" s="24"/>
      <c r="W811" s="24"/>
      <c r="X811" s="24"/>
      <c r="Y811" s="24"/>
      <c r="Z811" s="24"/>
      <c r="AA811" s="24"/>
      <c r="AB811" s="24"/>
      <c r="AC811" s="24"/>
    </row>
    <row r="812" spans="1:29" ht="12.9">
      <c r="A812" s="24"/>
      <c r="B812" s="24"/>
      <c r="C812" s="24"/>
      <c r="D812" s="24"/>
      <c r="E812" s="24"/>
      <c r="F812" s="117"/>
      <c r="G812" s="117"/>
      <c r="H812" s="24"/>
      <c r="I812" s="24"/>
      <c r="J812" s="24"/>
      <c r="K812" s="24"/>
      <c r="L812" s="24"/>
      <c r="M812" s="24"/>
      <c r="N812" s="24"/>
      <c r="O812" s="24"/>
      <c r="P812" s="24"/>
      <c r="Q812" s="24"/>
      <c r="R812" s="24"/>
      <c r="S812" s="24"/>
      <c r="T812" s="24"/>
      <c r="U812" s="24"/>
      <c r="V812" s="24"/>
      <c r="W812" s="24"/>
      <c r="X812" s="24"/>
      <c r="Y812" s="24"/>
      <c r="Z812" s="24"/>
      <c r="AA812" s="24"/>
      <c r="AB812" s="24"/>
      <c r="AC812" s="24"/>
    </row>
    <row r="813" spans="1:29" ht="12.9">
      <c r="A813" s="24"/>
      <c r="B813" s="24"/>
      <c r="C813" s="24"/>
      <c r="D813" s="24"/>
      <c r="E813" s="24"/>
      <c r="F813" s="117"/>
      <c r="G813" s="117"/>
      <c r="H813" s="24"/>
      <c r="I813" s="24"/>
      <c r="J813" s="24"/>
      <c r="K813" s="24"/>
      <c r="L813" s="24"/>
      <c r="M813" s="24"/>
      <c r="N813" s="24"/>
      <c r="O813" s="24"/>
      <c r="P813" s="24"/>
      <c r="Q813" s="24"/>
      <c r="R813" s="24"/>
      <c r="S813" s="24"/>
      <c r="T813" s="24"/>
      <c r="U813" s="24"/>
      <c r="V813" s="24"/>
      <c r="W813" s="24"/>
      <c r="X813" s="24"/>
      <c r="Y813" s="24"/>
      <c r="Z813" s="24"/>
      <c r="AA813" s="24"/>
      <c r="AB813" s="24"/>
      <c r="AC813" s="24"/>
    </row>
    <row r="814" spans="1:29" ht="12.9">
      <c r="A814" s="24"/>
      <c r="B814" s="24"/>
      <c r="C814" s="24"/>
      <c r="D814" s="24"/>
      <c r="E814" s="24"/>
      <c r="F814" s="117"/>
      <c r="G814" s="117"/>
      <c r="H814" s="24"/>
      <c r="I814" s="24"/>
      <c r="J814" s="24"/>
      <c r="K814" s="24"/>
      <c r="L814" s="24"/>
      <c r="M814" s="24"/>
      <c r="N814" s="24"/>
      <c r="O814" s="24"/>
      <c r="P814" s="24"/>
      <c r="Q814" s="24"/>
      <c r="R814" s="24"/>
      <c r="S814" s="24"/>
      <c r="T814" s="24"/>
      <c r="U814" s="24"/>
      <c r="V814" s="24"/>
      <c r="W814" s="24"/>
      <c r="X814" s="24"/>
      <c r="Y814" s="24"/>
      <c r="Z814" s="24"/>
      <c r="AA814" s="24"/>
      <c r="AB814" s="24"/>
      <c r="AC814" s="24"/>
    </row>
    <row r="815" spans="1:29" ht="12.9">
      <c r="A815" s="24"/>
      <c r="B815" s="24"/>
      <c r="C815" s="24"/>
      <c r="D815" s="24"/>
      <c r="E815" s="24"/>
      <c r="F815" s="117"/>
      <c r="G815" s="117"/>
      <c r="H815" s="24"/>
      <c r="I815" s="24"/>
      <c r="J815" s="24"/>
      <c r="K815" s="24"/>
      <c r="L815" s="24"/>
      <c r="M815" s="24"/>
      <c r="N815" s="24"/>
      <c r="O815" s="24"/>
      <c r="P815" s="24"/>
      <c r="Q815" s="24"/>
      <c r="R815" s="24"/>
      <c r="S815" s="24"/>
      <c r="T815" s="24"/>
      <c r="U815" s="24"/>
      <c r="V815" s="24"/>
      <c r="W815" s="24"/>
      <c r="X815" s="24"/>
      <c r="Y815" s="24"/>
      <c r="Z815" s="24"/>
      <c r="AA815" s="24"/>
      <c r="AB815" s="24"/>
      <c r="AC815" s="24"/>
    </row>
    <row r="816" spans="1:29" ht="12.9">
      <c r="A816" s="24"/>
      <c r="B816" s="24"/>
      <c r="C816" s="24"/>
      <c r="D816" s="24"/>
      <c r="E816" s="24"/>
      <c r="F816" s="117"/>
      <c r="G816" s="117"/>
      <c r="H816" s="24"/>
      <c r="I816" s="24"/>
      <c r="J816" s="24"/>
      <c r="K816" s="24"/>
      <c r="L816" s="24"/>
      <c r="M816" s="24"/>
      <c r="N816" s="24"/>
      <c r="O816" s="24"/>
      <c r="P816" s="24"/>
      <c r="Q816" s="24"/>
      <c r="R816" s="24"/>
      <c r="S816" s="24"/>
      <c r="T816" s="24"/>
      <c r="U816" s="24"/>
      <c r="V816" s="24"/>
      <c r="W816" s="24"/>
      <c r="X816" s="24"/>
      <c r="Y816" s="24"/>
      <c r="Z816" s="24"/>
      <c r="AA816" s="24"/>
      <c r="AB816" s="24"/>
      <c r="AC816" s="24"/>
    </row>
    <row r="817" spans="1:29" ht="12.9">
      <c r="A817" s="24"/>
      <c r="B817" s="24"/>
      <c r="C817" s="24"/>
      <c r="D817" s="24"/>
      <c r="E817" s="24"/>
      <c r="F817" s="117"/>
      <c r="G817" s="117"/>
      <c r="H817" s="24"/>
      <c r="I817" s="24"/>
      <c r="J817" s="24"/>
      <c r="K817" s="24"/>
      <c r="L817" s="24"/>
      <c r="M817" s="24"/>
      <c r="N817" s="24"/>
      <c r="O817" s="24"/>
      <c r="P817" s="24"/>
      <c r="Q817" s="24"/>
      <c r="R817" s="24"/>
      <c r="S817" s="24"/>
      <c r="T817" s="24"/>
      <c r="U817" s="24"/>
      <c r="V817" s="24"/>
      <c r="W817" s="24"/>
      <c r="X817" s="24"/>
      <c r="Y817" s="24"/>
      <c r="Z817" s="24"/>
      <c r="AA817" s="24"/>
      <c r="AB817" s="24"/>
      <c r="AC817" s="24"/>
    </row>
    <row r="818" spans="1:29" ht="12.9">
      <c r="A818" s="24"/>
      <c r="B818" s="24"/>
      <c r="C818" s="24"/>
      <c r="D818" s="24"/>
      <c r="E818" s="24"/>
      <c r="F818" s="117"/>
      <c r="G818" s="117"/>
      <c r="H818" s="24"/>
      <c r="I818" s="24"/>
      <c r="J818" s="24"/>
      <c r="K818" s="24"/>
      <c r="L818" s="24"/>
      <c r="M818" s="24"/>
      <c r="N818" s="24"/>
      <c r="O818" s="24"/>
      <c r="P818" s="24"/>
      <c r="Q818" s="24"/>
      <c r="R818" s="24"/>
      <c r="S818" s="24"/>
      <c r="T818" s="24"/>
      <c r="U818" s="24"/>
      <c r="V818" s="24"/>
      <c r="W818" s="24"/>
      <c r="X818" s="24"/>
      <c r="Y818" s="24"/>
      <c r="Z818" s="24"/>
      <c r="AA818" s="24"/>
      <c r="AB818" s="24"/>
      <c r="AC818" s="24"/>
    </row>
    <row r="819" spans="1:29" ht="12.9">
      <c r="A819" s="24"/>
      <c r="B819" s="24"/>
      <c r="C819" s="24"/>
      <c r="D819" s="24"/>
      <c r="E819" s="24"/>
      <c r="F819" s="117"/>
      <c r="G819" s="117"/>
      <c r="H819" s="24"/>
      <c r="I819" s="24"/>
      <c r="J819" s="24"/>
      <c r="K819" s="24"/>
      <c r="L819" s="24"/>
      <c r="M819" s="24"/>
      <c r="N819" s="24"/>
      <c r="O819" s="24"/>
      <c r="P819" s="24"/>
      <c r="Q819" s="24"/>
      <c r="R819" s="24"/>
      <c r="S819" s="24"/>
      <c r="T819" s="24"/>
      <c r="U819" s="24"/>
      <c r="V819" s="24"/>
      <c r="W819" s="24"/>
      <c r="X819" s="24"/>
      <c r="Y819" s="24"/>
      <c r="Z819" s="24"/>
      <c r="AA819" s="24"/>
      <c r="AB819" s="24"/>
      <c r="AC819" s="24"/>
    </row>
    <row r="820" spans="1:29" ht="12.9">
      <c r="A820" s="24"/>
      <c r="B820" s="24"/>
      <c r="C820" s="24"/>
      <c r="D820" s="24"/>
      <c r="E820" s="24"/>
      <c r="F820" s="117"/>
      <c r="G820" s="117"/>
      <c r="H820" s="24"/>
      <c r="I820" s="24"/>
      <c r="J820" s="24"/>
      <c r="K820" s="24"/>
      <c r="L820" s="24"/>
      <c r="M820" s="24"/>
      <c r="N820" s="24"/>
      <c r="O820" s="24"/>
      <c r="P820" s="24"/>
      <c r="Q820" s="24"/>
      <c r="R820" s="24"/>
      <c r="S820" s="24"/>
      <c r="T820" s="24"/>
      <c r="U820" s="24"/>
      <c r="V820" s="24"/>
      <c r="W820" s="24"/>
      <c r="X820" s="24"/>
      <c r="Y820" s="24"/>
      <c r="Z820" s="24"/>
      <c r="AA820" s="24"/>
      <c r="AB820" s="24"/>
      <c r="AC820" s="24"/>
    </row>
    <row r="821" spans="1:29" ht="12.9">
      <c r="A821" s="24"/>
      <c r="B821" s="24"/>
      <c r="C821" s="24"/>
      <c r="D821" s="24"/>
      <c r="E821" s="24"/>
      <c r="F821" s="117"/>
      <c r="G821" s="117"/>
      <c r="H821" s="24"/>
      <c r="I821" s="24"/>
      <c r="J821" s="24"/>
      <c r="K821" s="24"/>
      <c r="L821" s="24"/>
      <c r="M821" s="24"/>
      <c r="N821" s="24"/>
      <c r="O821" s="24"/>
      <c r="P821" s="24"/>
      <c r="Q821" s="24"/>
      <c r="R821" s="24"/>
      <c r="S821" s="24"/>
      <c r="T821" s="24"/>
      <c r="U821" s="24"/>
      <c r="V821" s="24"/>
      <c r="W821" s="24"/>
      <c r="X821" s="24"/>
      <c r="Y821" s="24"/>
      <c r="Z821" s="24"/>
      <c r="AA821" s="24"/>
      <c r="AB821" s="24"/>
      <c r="AC821" s="24"/>
    </row>
    <row r="822" spans="1:29" ht="12.9">
      <c r="A822" s="24"/>
      <c r="B822" s="24"/>
      <c r="C822" s="24"/>
      <c r="D822" s="24"/>
      <c r="E822" s="24"/>
      <c r="F822" s="117"/>
      <c r="G822" s="117"/>
      <c r="H822" s="24"/>
      <c r="I822" s="24"/>
      <c r="J822" s="24"/>
      <c r="K822" s="24"/>
      <c r="L822" s="24"/>
      <c r="M822" s="24"/>
      <c r="N822" s="24"/>
      <c r="O822" s="24"/>
      <c r="P822" s="24"/>
      <c r="Q822" s="24"/>
      <c r="R822" s="24"/>
      <c r="S822" s="24"/>
      <c r="T822" s="24"/>
      <c r="U822" s="24"/>
      <c r="V822" s="24"/>
      <c r="W822" s="24"/>
      <c r="X822" s="24"/>
      <c r="Y822" s="24"/>
      <c r="Z822" s="24"/>
      <c r="AA822" s="24"/>
      <c r="AB822" s="24"/>
      <c r="AC822" s="24"/>
    </row>
    <row r="823" spans="1:29" ht="12.9">
      <c r="A823" s="24"/>
      <c r="B823" s="24"/>
      <c r="C823" s="24"/>
      <c r="D823" s="24"/>
      <c r="E823" s="24"/>
      <c r="F823" s="117"/>
      <c r="G823" s="117"/>
      <c r="H823" s="24"/>
      <c r="I823" s="24"/>
      <c r="J823" s="24"/>
      <c r="K823" s="24"/>
      <c r="L823" s="24"/>
      <c r="M823" s="24"/>
      <c r="N823" s="24"/>
      <c r="O823" s="24"/>
      <c r="P823" s="24"/>
      <c r="Q823" s="24"/>
      <c r="R823" s="24"/>
      <c r="S823" s="24"/>
      <c r="T823" s="24"/>
      <c r="U823" s="24"/>
      <c r="V823" s="24"/>
      <c r="W823" s="24"/>
      <c r="X823" s="24"/>
      <c r="Y823" s="24"/>
      <c r="Z823" s="24"/>
      <c r="AA823" s="24"/>
      <c r="AB823" s="24"/>
      <c r="AC823" s="24"/>
    </row>
    <row r="824" spans="1:29" ht="12.9">
      <c r="A824" s="24"/>
      <c r="B824" s="24"/>
      <c r="C824" s="24"/>
      <c r="D824" s="24"/>
      <c r="E824" s="24"/>
      <c r="F824" s="117"/>
      <c r="G824" s="117"/>
      <c r="H824" s="24"/>
      <c r="I824" s="24"/>
      <c r="J824" s="24"/>
      <c r="K824" s="24"/>
      <c r="L824" s="24"/>
      <c r="M824" s="24"/>
      <c r="N824" s="24"/>
      <c r="O824" s="24"/>
      <c r="P824" s="24"/>
      <c r="Q824" s="24"/>
      <c r="R824" s="24"/>
      <c r="S824" s="24"/>
      <c r="T824" s="24"/>
      <c r="U824" s="24"/>
      <c r="V824" s="24"/>
      <c r="W824" s="24"/>
      <c r="X824" s="24"/>
      <c r="Y824" s="24"/>
      <c r="Z824" s="24"/>
      <c r="AA824" s="24"/>
      <c r="AB824" s="24"/>
      <c r="AC824" s="24"/>
    </row>
    <row r="825" spans="1:29" ht="12.9">
      <c r="A825" s="24"/>
      <c r="B825" s="24"/>
      <c r="C825" s="24"/>
      <c r="D825" s="24"/>
      <c r="E825" s="24"/>
      <c r="F825" s="117"/>
      <c r="G825" s="117"/>
      <c r="H825" s="24"/>
      <c r="I825" s="24"/>
      <c r="J825" s="24"/>
      <c r="K825" s="24"/>
      <c r="L825" s="24"/>
      <c r="M825" s="24"/>
      <c r="N825" s="24"/>
      <c r="O825" s="24"/>
      <c r="P825" s="24"/>
      <c r="Q825" s="24"/>
      <c r="R825" s="24"/>
      <c r="S825" s="24"/>
      <c r="T825" s="24"/>
      <c r="U825" s="24"/>
      <c r="V825" s="24"/>
      <c r="W825" s="24"/>
      <c r="X825" s="24"/>
      <c r="Y825" s="24"/>
      <c r="Z825" s="24"/>
      <c r="AA825" s="24"/>
      <c r="AB825" s="24"/>
      <c r="AC825" s="24"/>
    </row>
    <row r="826" spans="1:29" ht="12.9">
      <c r="A826" s="24"/>
      <c r="B826" s="24"/>
      <c r="C826" s="24"/>
      <c r="D826" s="24"/>
      <c r="E826" s="24"/>
      <c r="F826" s="117"/>
      <c r="G826" s="117"/>
      <c r="H826" s="24"/>
      <c r="I826" s="24"/>
      <c r="J826" s="24"/>
      <c r="K826" s="24"/>
      <c r="L826" s="24"/>
      <c r="M826" s="24"/>
      <c r="N826" s="24"/>
      <c r="O826" s="24"/>
      <c r="P826" s="24"/>
      <c r="Q826" s="24"/>
      <c r="R826" s="24"/>
      <c r="S826" s="24"/>
      <c r="T826" s="24"/>
      <c r="U826" s="24"/>
      <c r="V826" s="24"/>
      <c r="W826" s="24"/>
      <c r="X826" s="24"/>
      <c r="Y826" s="24"/>
      <c r="Z826" s="24"/>
      <c r="AA826" s="24"/>
      <c r="AB826" s="24"/>
      <c r="AC826" s="24"/>
    </row>
    <row r="827" spans="1:29" ht="12.9">
      <c r="A827" s="24"/>
      <c r="B827" s="24"/>
      <c r="C827" s="24"/>
      <c r="D827" s="24"/>
      <c r="E827" s="24"/>
      <c r="F827" s="117"/>
      <c r="G827" s="117"/>
      <c r="H827" s="24"/>
      <c r="I827" s="24"/>
      <c r="J827" s="24"/>
      <c r="K827" s="24"/>
      <c r="L827" s="24"/>
      <c r="M827" s="24"/>
      <c r="N827" s="24"/>
      <c r="O827" s="24"/>
      <c r="P827" s="24"/>
      <c r="Q827" s="24"/>
      <c r="R827" s="24"/>
      <c r="S827" s="24"/>
      <c r="T827" s="24"/>
      <c r="U827" s="24"/>
      <c r="V827" s="24"/>
      <c r="W827" s="24"/>
      <c r="X827" s="24"/>
      <c r="Y827" s="24"/>
      <c r="Z827" s="24"/>
      <c r="AA827" s="24"/>
      <c r="AB827" s="24"/>
      <c r="AC827" s="24"/>
    </row>
    <row r="828" spans="1:29" ht="12.9">
      <c r="A828" s="24"/>
      <c r="B828" s="24"/>
      <c r="C828" s="24"/>
      <c r="D828" s="24"/>
      <c r="E828" s="24"/>
      <c r="F828" s="117"/>
      <c r="G828" s="117"/>
      <c r="H828" s="24"/>
      <c r="I828" s="24"/>
      <c r="J828" s="24"/>
      <c r="K828" s="24"/>
      <c r="L828" s="24"/>
      <c r="M828" s="24"/>
      <c r="N828" s="24"/>
      <c r="O828" s="24"/>
      <c r="P828" s="24"/>
      <c r="Q828" s="24"/>
      <c r="R828" s="24"/>
      <c r="S828" s="24"/>
      <c r="T828" s="24"/>
      <c r="U828" s="24"/>
      <c r="V828" s="24"/>
      <c r="W828" s="24"/>
      <c r="X828" s="24"/>
      <c r="Y828" s="24"/>
      <c r="Z828" s="24"/>
      <c r="AA828" s="24"/>
      <c r="AB828" s="24"/>
      <c r="AC828" s="24"/>
    </row>
    <row r="829" spans="1:29" ht="12.9">
      <c r="A829" s="24"/>
      <c r="B829" s="24"/>
      <c r="C829" s="24"/>
      <c r="D829" s="24"/>
      <c r="E829" s="24"/>
      <c r="F829" s="117"/>
      <c r="G829" s="117"/>
      <c r="H829" s="24"/>
      <c r="I829" s="24"/>
      <c r="J829" s="24"/>
      <c r="K829" s="24"/>
      <c r="L829" s="24"/>
      <c r="M829" s="24"/>
      <c r="N829" s="24"/>
      <c r="O829" s="24"/>
      <c r="P829" s="24"/>
      <c r="Q829" s="24"/>
      <c r="R829" s="24"/>
      <c r="S829" s="24"/>
      <c r="T829" s="24"/>
      <c r="U829" s="24"/>
      <c r="V829" s="24"/>
      <c r="W829" s="24"/>
      <c r="X829" s="24"/>
      <c r="Y829" s="24"/>
      <c r="Z829" s="24"/>
      <c r="AA829" s="24"/>
      <c r="AB829" s="24"/>
      <c r="AC829" s="24"/>
    </row>
    <row r="830" spans="1:29" ht="12.9">
      <c r="A830" s="24"/>
      <c r="B830" s="24"/>
      <c r="C830" s="24"/>
      <c r="D830" s="24"/>
      <c r="E830" s="24"/>
      <c r="F830" s="117"/>
      <c r="G830" s="117"/>
      <c r="H830" s="24"/>
      <c r="I830" s="24"/>
      <c r="J830" s="24"/>
      <c r="K830" s="24"/>
      <c r="L830" s="24"/>
      <c r="M830" s="24"/>
      <c r="N830" s="24"/>
      <c r="O830" s="24"/>
      <c r="P830" s="24"/>
      <c r="Q830" s="24"/>
      <c r="R830" s="24"/>
      <c r="S830" s="24"/>
      <c r="T830" s="24"/>
      <c r="U830" s="24"/>
      <c r="V830" s="24"/>
      <c r="W830" s="24"/>
      <c r="X830" s="24"/>
      <c r="Y830" s="24"/>
      <c r="Z830" s="24"/>
      <c r="AA830" s="24"/>
      <c r="AB830" s="24"/>
      <c r="AC830" s="24"/>
    </row>
    <row r="831" spans="1:29" ht="12.9">
      <c r="A831" s="24"/>
      <c r="B831" s="24"/>
      <c r="C831" s="24"/>
      <c r="D831" s="24"/>
      <c r="E831" s="24"/>
      <c r="F831" s="117"/>
      <c r="G831" s="117"/>
      <c r="H831" s="24"/>
      <c r="I831" s="24"/>
      <c r="J831" s="24"/>
      <c r="K831" s="24"/>
      <c r="L831" s="24"/>
      <c r="M831" s="24"/>
      <c r="N831" s="24"/>
      <c r="O831" s="24"/>
      <c r="P831" s="24"/>
      <c r="Q831" s="24"/>
      <c r="R831" s="24"/>
      <c r="S831" s="24"/>
      <c r="T831" s="24"/>
      <c r="U831" s="24"/>
      <c r="V831" s="24"/>
      <c r="W831" s="24"/>
      <c r="X831" s="24"/>
      <c r="Y831" s="24"/>
      <c r="Z831" s="24"/>
      <c r="AA831" s="24"/>
      <c r="AB831" s="24"/>
      <c r="AC831" s="24"/>
    </row>
    <row r="832" spans="1:29" ht="12.9">
      <c r="A832" s="24"/>
      <c r="B832" s="24"/>
      <c r="C832" s="24"/>
      <c r="D832" s="24"/>
      <c r="E832" s="24"/>
      <c r="F832" s="117"/>
      <c r="G832" s="117"/>
      <c r="H832" s="24"/>
      <c r="I832" s="24"/>
      <c r="J832" s="24"/>
      <c r="K832" s="24"/>
      <c r="L832" s="24"/>
      <c r="M832" s="24"/>
      <c r="N832" s="24"/>
      <c r="O832" s="24"/>
      <c r="P832" s="24"/>
      <c r="Q832" s="24"/>
      <c r="R832" s="24"/>
      <c r="S832" s="24"/>
      <c r="T832" s="24"/>
      <c r="U832" s="24"/>
      <c r="V832" s="24"/>
      <c r="W832" s="24"/>
      <c r="X832" s="24"/>
      <c r="Y832" s="24"/>
      <c r="Z832" s="24"/>
      <c r="AA832" s="24"/>
      <c r="AB832" s="24"/>
      <c r="AC832" s="24"/>
    </row>
    <row r="833" spans="1:29" ht="12.9">
      <c r="A833" s="24"/>
      <c r="B833" s="24"/>
      <c r="C833" s="24"/>
      <c r="D833" s="24"/>
      <c r="E833" s="24"/>
      <c r="F833" s="117"/>
      <c r="G833" s="117"/>
      <c r="H833" s="24"/>
      <c r="I833" s="24"/>
      <c r="J833" s="24"/>
      <c r="K833" s="24"/>
      <c r="L833" s="24"/>
      <c r="M833" s="24"/>
      <c r="N833" s="24"/>
      <c r="O833" s="24"/>
      <c r="P833" s="24"/>
      <c r="Q833" s="24"/>
      <c r="R833" s="24"/>
      <c r="S833" s="24"/>
      <c r="T833" s="24"/>
      <c r="U833" s="24"/>
      <c r="V833" s="24"/>
      <c r="W833" s="24"/>
      <c r="X833" s="24"/>
      <c r="Y833" s="24"/>
      <c r="Z833" s="24"/>
      <c r="AA833" s="24"/>
      <c r="AB833" s="24"/>
      <c r="AC833" s="24"/>
    </row>
    <row r="834" spans="1:29" ht="12.9">
      <c r="A834" s="24"/>
      <c r="B834" s="24"/>
      <c r="C834" s="24"/>
      <c r="D834" s="24"/>
      <c r="E834" s="24"/>
      <c r="F834" s="117"/>
      <c r="G834" s="117"/>
      <c r="H834" s="24"/>
      <c r="I834" s="24"/>
      <c r="J834" s="24"/>
      <c r="K834" s="24"/>
      <c r="L834" s="24"/>
      <c r="M834" s="24"/>
      <c r="N834" s="24"/>
      <c r="O834" s="24"/>
      <c r="P834" s="24"/>
      <c r="Q834" s="24"/>
      <c r="R834" s="24"/>
      <c r="S834" s="24"/>
      <c r="T834" s="24"/>
      <c r="U834" s="24"/>
      <c r="V834" s="24"/>
      <c r="W834" s="24"/>
      <c r="X834" s="24"/>
      <c r="Y834" s="24"/>
      <c r="Z834" s="24"/>
      <c r="AA834" s="24"/>
      <c r="AB834" s="24"/>
      <c r="AC834" s="24"/>
    </row>
    <row r="835" spans="1:29" ht="12.9">
      <c r="A835" s="24"/>
      <c r="B835" s="24"/>
      <c r="C835" s="24"/>
      <c r="D835" s="24"/>
      <c r="E835" s="24"/>
      <c r="F835" s="117"/>
      <c r="G835" s="117"/>
      <c r="H835" s="24"/>
      <c r="I835" s="24"/>
      <c r="J835" s="24"/>
      <c r="K835" s="24"/>
      <c r="L835" s="24"/>
      <c r="M835" s="24"/>
      <c r="N835" s="24"/>
      <c r="O835" s="24"/>
      <c r="P835" s="24"/>
      <c r="Q835" s="24"/>
      <c r="R835" s="24"/>
      <c r="S835" s="24"/>
      <c r="T835" s="24"/>
      <c r="U835" s="24"/>
      <c r="V835" s="24"/>
      <c r="W835" s="24"/>
      <c r="X835" s="24"/>
      <c r="Y835" s="24"/>
      <c r="Z835" s="24"/>
      <c r="AA835" s="24"/>
      <c r="AB835" s="24"/>
      <c r="AC835" s="24"/>
    </row>
    <row r="836" spans="1:29" ht="12.9">
      <c r="A836" s="24"/>
      <c r="B836" s="24"/>
      <c r="C836" s="24"/>
      <c r="D836" s="24"/>
      <c r="E836" s="24"/>
      <c r="F836" s="117"/>
      <c r="G836" s="117"/>
      <c r="H836" s="24"/>
      <c r="I836" s="24"/>
      <c r="J836" s="24"/>
      <c r="K836" s="24"/>
      <c r="L836" s="24"/>
      <c r="M836" s="24"/>
      <c r="N836" s="24"/>
      <c r="O836" s="24"/>
      <c r="P836" s="24"/>
      <c r="Q836" s="24"/>
      <c r="R836" s="24"/>
      <c r="S836" s="24"/>
      <c r="T836" s="24"/>
      <c r="U836" s="24"/>
      <c r="V836" s="24"/>
      <c r="W836" s="24"/>
      <c r="X836" s="24"/>
      <c r="Y836" s="24"/>
      <c r="Z836" s="24"/>
      <c r="AA836" s="24"/>
      <c r="AB836" s="24"/>
      <c r="AC836" s="24"/>
    </row>
    <row r="837" spans="1:29" ht="12.9">
      <c r="A837" s="24"/>
      <c r="B837" s="24"/>
      <c r="C837" s="24"/>
      <c r="D837" s="24"/>
      <c r="E837" s="24"/>
      <c r="F837" s="117"/>
      <c r="G837" s="117"/>
      <c r="H837" s="24"/>
      <c r="I837" s="24"/>
      <c r="J837" s="24"/>
      <c r="K837" s="24"/>
      <c r="L837" s="24"/>
      <c r="M837" s="24"/>
      <c r="N837" s="24"/>
      <c r="O837" s="24"/>
      <c r="P837" s="24"/>
      <c r="Q837" s="24"/>
      <c r="R837" s="24"/>
      <c r="S837" s="24"/>
      <c r="T837" s="24"/>
      <c r="U837" s="24"/>
      <c r="V837" s="24"/>
      <c r="W837" s="24"/>
      <c r="X837" s="24"/>
      <c r="Y837" s="24"/>
      <c r="Z837" s="24"/>
      <c r="AA837" s="24"/>
      <c r="AB837" s="24"/>
      <c r="AC837" s="24"/>
    </row>
    <row r="838" spans="1:29" ht="12.9">
      <c r="A838" s="24"/>
      <c r="B838" s="24"/>
      <c r="C838" s="24"/>
      <c r="D838" s="24"/>
      <c r="E838" s="24"/>
      <c r="F838" s="117"/>
      <c r="G838" s="117"/>
      <c r="H838" s="24"/>
      <c r="I838" s="24"/>
      <c r="J838" s="24"/>
      <c r="K838" s="24"/>
      <c r="L838" s="24"/>
      <c r="M838" s="24"/>
      <c r="N838" s="24"/>
      <c r="O838" s="24"/>
      <c r="P838" s="24"/>
      <c r="Q838" s="24"/>
      <c r="R838" s="24"/>
      <c r="S838" s="24"/>
      <c r="T838" s="24"/>
      <c r="U838" s="24"/>
      <c r="V838" s="24"/>
      <c r="W838" s="24"/>
      <c r="X838" s="24"/>
      <c r="Y838" s="24"/>
      <c r="Z838" s="24"/>
      <c r="AA838" s="24"/>
      <c r="AB838" s="24"/>
      <c r="AC838" s="24"/>
    </row>
    <row r="839" spans="1:29" ht="12.9">
      <c r="A839" s="24"/>
      <c r="B839" s="24"/>
      <c r="C839" s="24"/>
      <c r="D839" s="24"/>
      <c r="E839" s="24"/>
      <c r="F839" s="117"/>
      <c r="G839" s="117"/>
      <c r="H839" s="24"/>
      <c r="I839" s="24"/>
      <c r="J839" s="24"/>
      <c r="K839" s="24"/>
      <c r="L839" s="24"/>
      <c r="M839" s="24"/>
      <c r="N839" s="24"/>
      <c r="O839" s="24"/>
      <c r="P839" s="24"/>
      <c r="Q839" s="24"/>
      <c r="R839" s="24"/>
      <c r="S839" s="24"/>
      <c r="T839" s="24"/>
      <c r="U839" s="24"/>
      <c r="V839" s="24"/>
      <c r="W839" s="24"/>
      <c r="X839" s="24"/>
      <c r="Y839" s="24"/>
      <c r="Z839" s="24"/>
      <c r="AA839" s="24"/>
      <c r="AB839" s="24"/>
      <c r="AC839" s="24"/>
    </row>
    <row r="840" spans="1:29" ht="12.9">
      <c r="A840" s="24"/>
      <c r="B840" s="24"/>
      <c r="C840" s="24"/>
      <c r="D840" s="24"/>
      <c r="E840" s="24"/>
      <c r="F840" s="117"/>
      <c r="G840" s="117"/>
      <c r="H840" s="24"/>
      <c r="I840" s="24"/>
      <c r="J840" s="24"/>
      <c r="K840" s="24"/>
      <c r="L840" s="24"/>
      <c r="M840" s="24"/>
      <c r="N840" s="24"/>
      <c r="O840" s="24"/>
      <c r="P840" s="24"/>
      <c r="Q840" s="24"/>
      <c r="R840" s="24"/>
      <c r="S840" s="24"/>
      <c r="T840" s="24"/>
      <c r="U840" s="24"/>
      <c r="V840" s="24"/>
      <c r="W840" s="24"/>
      <c r="X840" s="24"/>
      <c r="Y840" s="24"/>
      <c r="Z840" s="24"/>
      <c r="AA840" s="24"/>
      <c r="AB840" s="24"/>
      <c r="AC840" s="24"/>
    </row>
    <row r="841" spans="1:29" ht="12.9">
      <c r="A841" s="24"/>
      <c r="B841" s="24"/>
      <c r="C841" s="24"/>
      <c r="D841" s="24"/>
      <c r="E841" s="24"/>
      <c r="F841" s="117"/>
      <c r="G841" s="117"/>
      <c r="H841" s="24"/>
      <c r="I841" s="24"/>
      <c r="J841" s="24"/>
      <c r="K841" s="24"/>
      <c r="L841" s="24"/>
      <c r="M841" s="24"/>
      <c r="N841" s="24"/>
      <c r="O841" s="24"/>
      <c r="P841" s="24"/>
      <c r="Q841" s="24"/>
      <c r="R841" s="24"/>
      <c r="S841" s="24"/>
      <c r="T841" s="24"/>
      <c r="U841" s="24"/>
      <c r="V841" s="24"/>
      <c r="W841" s="24"/>
      <c r="X841" s="24"/>
      <c r="Y841" s="24"/>
      <c r="Z841" s="24"/>
      <c r="AA841" s="24"/>
      <c r="AB841" s="24"/>
      <c r="AC841" s="24"/>
    </row>
    <row r="842" spans="1:29" ht="12.9">
      <c r="A842" s="24"/>
      <c r="B842" s="24"/>
      <c r="C842" s="24"/>
      <c r="D842" s="24"/>
      <c r="E842" s="24"/>
      <c r="F842" s="117"/>
      <c r="G842" s="117"/>
      <c r="H842" s="24"/>
      <c r="I842" s="24"/>
      <c r="J842" s="24"/>
      <c r="K842" s="24"/>
      <c r="L842" s="24"/>
      <c r="M842" s="24"/>
      <c r="N842" s="24"/>
      <c r="O842" s="24"/>
      <c r="P842" s="24"/>
      <c r="Q842" s="24"/>
      <c r="R842" s="24"/>
      <c r="S842" s="24"/>
      <c r="T842" s="24"/>
      <c r="U842" s="24"/>
      <c r="V842" s="24"/>
      <c r="W842" s="24"/>
      <c r="X842" s="24"/>
      <c r="Y842" s="24"/>
      <c r="Z842" s="24"/>
      <c r="AA842" s="24"/>
      <c r="AB842" s="24"/>
      <c r="AC842" s="24"/>
    </row>
    <row r="843" spans="1:29" ht="12.9">
      <c r="A843" s="24"/>
      <c r="B843" s="24"/>
      <c r="C843" s="24"/>
      <c r="D843" s="24"/>
      <c r="E843" s="24"/>
      <c r="F843" s="117"/>
      <c r="G843" s="117"/>
      <c r="H843" s="24"/>
      <c r="I843" s="24"/>
      <c r="J843" s="24"/>
      <c r="K843" s="24"/>
      <c r="L843" s="24"/>
      <c r="M843" s="24"/>
      <c r="N843" s="24"/>
      <c r="O843" s="24"/>
      <c r="P843" s="24"/>
      <c r="Q843" s="24"/>
      <c r="R843" s="24"/>
      <c r="S843" s="24"/>
      <c r="T843" s="24"/>
      <c r="U843" s="24"/>
      <c r="V843" s="24"/>
      <c r="W843" s="24"/>
      <c r="X843" s="24"/>
      <c r="Y843" s="24"/>
      <c r="Z843" s="24"/>
      <c r="AA843" s="24"/>
      <c r="AB843" s="24"/>
      <c r="AC843" s="24"/>
    </row>
    <row r="844" spans="1:29" ht="12.9">
      <c r="A844" s="24"/>
      <c r="B844" s="24"/>
      <c r="C844" s="24"/>
      <c r="D844" s="24"/>
      <c r="E844" s="24"/>
      <c r="F844" s="117"/>
      <c r="G844" s="117"/>
      <c r="H844" s="24"/>
      <c r="I844" s="24"/>
      <c r="J844" s="24"/>
      <c r="K844" s="24"/>
      <c r="L844" s="24"/>
      <c r="M844" s="24"/>
      <c r="N844" s="24"/>
      <c r="O844" s="24"/>
      <c r="P844" s="24"/>
      <c r="Q844" s="24"/>
      <c r="R844" s="24"/>
      <c r="S844" s="24"/>
      <c r="T844" s="24"/>
      <c r="U844" s="24"/>
      <c r="V844" s="24"/>
      <c r="W844" s="24"/>
      <c r="X844" s="24"/>
      <c r="Y844" s="24"/>
      <c r="Z844" s="24"/>
      <c r="AA844" s="24"/>
      <c r="AB844" s="24"/>
      <c r="AC844" s="24"/>
    </row>
    <row r="845" spans="1:29" ht="12.9">
      <c r="A845" s="24"/>
      <c r="B845" s="24"/>
      <c r="C845" s="24"/>
      <c r="D845" s="24"/>
      <c r="E845" s="24"/>
      <c r="F845" s="117"/>
      <c r="G845" s="117"/>
      <c r="H845" s="24"/>
      <c r="I845" s="24"/>
      <c r="J845" s="24"/>
      <c r="K845" s="24"/>
      <c r="L845" s="24"/>
      <c r="M845" s="24"/>
      <c r="N845" s="24"/>
      <c r="O845" s="24"/>
      <c r="P845" s="24"/>
      <c r="Q845" s="24"/>
      <c r="R845" s="24"/>
      <c r="S845" s="24"/>
      <c r="T845" s="24"/>
      <c r="U845" s="24"/>
      <c r="V845" s="24"/>
      <c r="W845" s="24"/>
      <c r="X845" s="24"/>
      <c r="Y845" s="24"/>
      <c r="Z845" s="24"/>
      <c r="AA845" s="24"/>
      <c r="AB845" s="24"/>
      <c r="AC845" s="24"/>
    </row>
    <row r="846" spans="1:29" ht="12.9">
      <c r="A846" s="24"/>
      <c r="B846" s="24"/>
      <c r="C846" s="24"/>
      <c r="D846" s="24"/>
      <c r="E846" s="24"/>
      <c r="F846" s="117"/>
      <c r="G846" s="117"/>
      <c r="H846" s="24"/>
      <c r="I846" s="24"/>
      <c r="J846" s="24"/>
      <c r="K846" s="24"/>
      <c r="L846" s="24"/>
      <c r="M846" s="24"/>
      <c r="N846" s="24"/>
      <c r="O846" s="24"/>
      <c r="P846" s="24"/>
      <c r="Q846" s="24"/>
      <c r="R846" s="24"/>
      <c r="S846" s="24"/>
      <c r="T846" s="24"/>
      <c r="U846" s="24"/>
      <c r="V846" s="24"/>
      <c r="W846" s="24"/>
      <c r="X846" s="24"/>
      <c r="Y846" s="24"/>
      <c r="Z846" s="24"/>
      <c r="AA846" s="24"/>
      <c r="AB846" s="24"/>
      <c r="AC846" s="24"/>
    </row>
    <row r="847" spans="1:29" ht="12.9">
      <c r="A847" s="24"/>
      <c r="B847" s="24"/>
      <c r="C847" s="24"/>
      <c r="D847" s="24"/>
      <c r="E847" s="24"/>
      <c r="F847" s="117"/>
      <c r="G847" s="117"/>
      <c r="H847" s="24"/>
      <c r="I847" s="24"/>
      <c r="J847" s="24"/>
      <c r="K847" s="24"/>
      <c r="L847" s="24"/>
      <c r="M847" s="24"/>
      <c r="N847" s="24"/>
      <c r="O847" s="24"/>
      <c r="P847" s="24"/>
      <c r="Q847" s="24"/>
      <c r="R847" s="24"/>
      <c r="S847" s="24"/>
      <c r="T847" s="24"/>
      <c r="U847" s="24"/>
      <c r="V847" s="24"/>
      <c r="W847" s="24"/>
      <c r="X847" s="24"/>
      <c r="Y847" s="24"/>
      <c r="Z847" s="24"/>
      <c r="AA847" s="24"/>
      <c r="AB847" s="24"/>
      <c r="AC847" s="24"/>
    </row>
    <row r="848" spans="1:29" ht="12.9">
      <c r="A848" s="24"/>
      <c r="B848" s="24"/>
      <c r="C848" s="24"/>
      <c r="D848" s="24"/>
      <c r="E848" s="24"/>
      <c r="F848" s="117"/>
      <c r="G848" s="117"/>
      <c r="H848" s="24"/>
      <c r="I848" s="24"/>
      <c r="J848" s="24"/>
      <c r="K848" s="24"/>
      <c r="L848" s="24"/>
      <c r="M848" s="24"/>
      <c r="N848" s="24"/>
      <c r="O848" s="24"/>
      <c r="P848" s="24"/>
      <c r="Q848" s="24"/>
      <c r="R848" s="24"/>
      <c r="S848" s="24"/>
      <c r="T848" s="24"/>
      <c r="U848" s="24"/>
      <c r="V848" s="24"/>
      <c r="W848" s="24"/>
      <c r="X848" s="24"/>
      <c r="Y848" s="24"/>
      <c r="Z848" s="24"/>
      <c r="AA848" s="24"/>
      <c r="AB848" s="24"/>
      <c r="AC848" s="24"/>
    </row>
    <row r="849" spans="1:29" ht="12.9">
      <c r="A849" s="24"/>
      <c r="B849" s="24"/>
      <c r="C849" s="24"/>
      <c r="D849" s="24"/>
      <c r="E849" s="24"/>
      <c r="F849" s="117"/>
      <c r="G849" s="117"/>
      <c r="H849" s="24"/>
      <c r="I849" s="24"/>
      <c r="J849" s="24"/>
      <c r="K849" s="24"/>
      <c r="L849" s="24"/>
      <c r="M849" s="24"/>
      <c r="N849" s="24"/>
      <c r="O849" s="24"/>
      <c r="P849" s="24"/>
      <c r="Q849" s="24"/>
      <c r="R849" s="24"/>
      <c r="S849" s="24"/>
      <c r="T849" s="24"/>
      <c r="U849" s="24"/>
      <c r="V849" s="24"/>
      <c r="W849" s="24"/>
      <c r="X849" s="24"/>
      <c r="Y849" s="24"/>
      <c r="Z849" s="24"/>
      <c r="AA849" s="24"/>
      <c r="AB849" s="24"/>
      <c r="AC849" s="24"/>
    </row>
    <row r="850" spans="1:29" ht="12.9">
      <c r="A850" s="24"/>
      <c r="B850" s="24"/>
      <c r="C850" s="24"/>
      <c r="D850" s="24"/>
      <c r="E850" s="24"/>
      <c r="F850" s="117"/>
      <c r="G850" s="117"/>
      <c r="H850" s="24"/>
      <c r="I850" s="24"/>
      <c r="J850" s="24"/>
      <c r="K850" s="24"/>
      <c r="L850" s="24"/>
      <c r="M850" s="24"/>
      <c r="N850" s="24"/>
      <c r="O850" s="24"/>
      <c r="P850" s="24"/>
      <c r="Q850" s="24"/>
      <c r="R850" s="24"/>
      <c r="S850" s="24"/>
      <c r="T850" s="24"/>
      <c r="U850" s="24"/>
      <c r="V850" s="24"/>
      <c r="W850" s="24"/>
      <c r="X850" s="24"/>
      <c r="Y850" s="24"/>
      <c r="Z850" s="24"/>
      <c r="AA850" s="24"/>
      <c r="AB850" s="24"/>
      <c r="AC850" s="24"/>
    </row>
    <row r="851" spans="1:29" ht="12.9">
      <c r="A851" s="24"/>
      <c r="B851" s="24"/>
      <c r="C851" s="24"/>
      <c r="D851" s="24"/>
      <c r="E851" s="24"/>
      <c r="F851" s="117"/>
      <c r="G851" s="117"/>
      <c r="H851" s="24"/>
      <c r="I851" s="24"/>
      <c r="J851" s="24"/>
      <c r="K851" s="24"/>
      <c r="L851" s="24"/>
      <c r="M851" s="24"/>
      <c r="N851" s="24"/>
      <c r="O851" s="24"/>
      <c r="P851" s="24"/>
      <c r="Q851" s="24"/>
      <c r="R851" s="24"/>
      <c r="S851" s="24"/>
      <c r="T851" s="24"/>
      <c r="U851" s="24"/>
      <c r="V851" s="24"/>
      <c r="W851" s="24"/>
      <c r="X851" s="24"/>
      <c r="Y851" s="24"/>
      <c r="Z851" s="24"/>
      <c r="AA851" s="24"/>
      <c r="AB851" s="24"/>
      <c r="AC851" s="24"/>
    </row>
    <row r="852" spans="1:29" ht="12.9">
      <c r="A852" s="24"/>
      <c r="B852" s="24"/>
      <c r="C852" s="24"/>
      <c r="D852" s="24"/>
      <c r="E852" s="24"/>
      <c r="F852" s="117"/>
      <c r="G852" s="117"/>
      <c r="H852" s="24"/>
      <c r="I852" s="24"/>
      <c r="J852" s="24"/>
      <c r="K852" s="24"/>
      <c r="L852" s="24"/>
      <c r="M852" s="24"/>
      <c r="N852" s="24"/>
      <c r="O852" s="24"/>
      <c r="P852" s="24"/>
      <c r="Q852" s="24"/>
      <c r="R852" s="24"/>
      <c r="S852" s="24"/>
      <c r="T852" s="24"/>
      <c r="U852" s="24"/>
      <c r="V852" s="24"/>
      <c r="W852" s="24"/>
      <c r="X852" s="24"/>
      <c r="Y852" s="24"/>
      <c r="Z852" s="24"/>
      <c r="AA852" s="24"/>
      <c r="AB852" s="24"/>
      <c r="AC852" s="24"/>
    </row>
    <row r="853" spans="1:29" ht="12.9">
      <c r="A853" s="24"/>
      <c r="B853" s="24"/>
      <c r="C853" s="24"/>
      <c r="D853" s="24"/>
      <c r="E853" s="24"/>
      <c r="F853" s="117"/>
      <c r="G853" s="117"/>
      <c r="H853" s="24"/>
      <c r="I853" s="24"/>
      <c r="J853" s="24"/>
      <c r="K853" s="24"/>
      <c r="L853" s="24"/>
      <c r="M853" s="24"/>
      <c r="N853" s="24"/>
      <c r="O853" s="24"/>
      <c r="P853" s="24"/>
      <c r="Q853" s="24"/>
      <c r="R853" s="24"/>
      <c r="S853" s="24"/>
      <c r="T853" s="24"/>
      <c r="U853" s="24"/>
      <c r="V853" s="24"/>
      <c r="W853" s="24"/>
      <c r="X853" s="24"/>
      <c r="Y853" s="24"/>
      <c r="Z853" s="24"/>
      <c r="AA853" s="24"/>
      <c r="AB853" s="24"/>
      <c r="AC853" s="24"/>
    </row>
    <row r="854" spans="1:29" ht="12.9">
      <c r="A854" s="24"/>
      <c r="B854" s="24"/>
      <c r="C854" s="24"/>
      <c r="D854" s="24"/>
      <c r="E854" s="24"/>
      <c r="F854" s="117"/>
      <c r="G854" s="117"/>
      <c r="H854" s="24"/>
      <c r="I854" s="24"/>
      <c r="J854" s="24"/>
      <c r="K854" s="24"/>
      <c r="L854" s="24"/>
      <c r="M854" s="24"/>
      <c r="N854" s="24"/>
      <c r="O854" s="24"/>
      <c r="P854" s="24"/>
      <c r="Q854" s="24"/>
      <c r="R854" s="24"/>
      <c r="S854" s="24"/>
      <c r="T854" s="24"/>
      <c r="U854" s="24"/>
      <c r="V854" s="24"/>
      <c r="W854" s="24"/>
      <c r="X854" s="24"/>
      <c r="Y854" s="24"/>
      <c r="Z854" s="24"/>
      <c r="AA854" s="24"/>
      <c r="AB854" s="24"/>
      <c r="AC854" s="24"/>
    </row>
    <row r="855" spans="1:29" ht="12.9">
      <c r="A855" s="24"/>
      <c r="B855" s="24"/>
      <c r="C855" s="24"/>
      <c r="D855" s="24"/>
      <c r="E855" s="24"/>
      <c r="F855" s="117"/>
      <c r="G855" s="117"/>
      <c r="H855" s="24"/>
      <c r="I855" s="24"/>
      <c r="J855" s="24"/>
      <c r="K855" s="24"/>
      <c r="L855" s="24"/>
      <c r="M855" s="24"/>
      <c r="N855" s="24"/>
      <c r="O855" s="24"/>
      <c r="P855" s="24"/>
      <c r="Q855" s="24"/>
      <c r="R855" s="24"/>
      <c r="S855" s="24"/>
      <c r="T855" s="24"/>
      <c r="U855" s="24"/>
      <c r="V855" s="24"/>
      <c r="W855" s="24"/>
      <c r="X855" s="24"/>
      <c r="Y855" s="24"/>
      <c r="Z855" s="24"/>
      <c r="AA855" s="24"/>
      <c r="AB855" s="24"/>
      <c r="AC855" s="24"/>
    </row>
    <row r="856" spans="1:29" ht="12.9">
      <c r="A856" s="24"/>
      <c r="B856" s="24"/>
      <c r="C856" s="24"/>
      <c r="D856" s="24"/>
      <c r="E856" s="24"/>
      <c r="F856" s="117"/>
      <c r="G856" s="117"/>
      <c r="H856" s="24"/>
      <c r="I856" s="24"/>
      <c r="J856" s="24"/>
      <c r="K856" s="24"/>
      <c r="L856" s="24"/>
      <c r="M856" s="24"/>
      <c r="N856" s="24"/>
      <c r="O856" s="24"/>
      <c r="P856" s="24"/>
      <c r="Q856" s="24"/>
      <c r="R856" s="24"/>
      <c r="S856" s="24"/>
      <c r="T856" s="24"/>
      <c r="U856" s="24"/>
      <c r="V856" s="24"/>
      <c r="W856" s="24"/>
      <c r="X856" s="24"/>
      <c r="Y856" s="24"/>
      <c r="Z856" s="24"/>
      <c r="AA856" s="24"/>
      <c r="AB856" s="24"/>
      <c r="AC856" s="24"/>
    </row>
    <row r="857" spans="1:29" ht="12.9">
      <c r="A857" s="24"/>
      <c r="B857" s="24"/>
      <c r="C857" s="24"/>
      <c r="D857" s="24"/>
      <c r="E857" s="24"/>
      <c r="F857" s="117"/>
      <c r="G857" s="117"/>
      <c r="H857" s="24"/>
      <c r="I857" s="24"/>
      <c r="J857" s="24"/>
      <c r="K857" s="24"/>
      <c r="L857" s="24"/>
      <c r="M857" s="24"/>
      <c r="N857" s="24"/>
      <c r="O857" s="24"/>
      <c r="P857" s="24"/>
      <c r="Q857" s="24"/>
      <c r="R857" s="24"/>
      <c r="S857" s="24"/>
      <c r="T857" s="24"/>
      <c r="U857" s="24"/>
      <c r="V857" s="24"/>
      <c r="W857" s="24"/>
      <c r="X857" s="24"/>
      <c r="Y857" s="24"/>
      <c r="Z857" s="24"/>
      <c r="AA857" s="24"/>
      <c r="AB857" s="24"/>
      <c r="AC857" s="24"/>
    </row>
    <row r="858" spans="1:29" ht="12.9">
      <c r="A858" s="24"/>
      <c r="B858" s="24"/>
      <c r="C858" s="24"/>
      <c r="D858" s="24"/>
      <c r="E858" s="24"/>
      <c r="F858" s="117"/>
      <c r="G858" s="117"/>
      <c r="H858" s="24"/>
      <c r="I858" s="24"/>
      <c r="J858" s="24"/>
      <c r="K858" s="24"/>
      <c r="L858" s="24"/>
      <c r="M858" s="24"/>
      <c r="N858" s="24"/>
      <c r="O858" s="24"/>
      <c r="P858" s="24"/>
      <c r="Q858" s="24"/>
      <c r="R858" s="24"/>
      <c r="S858" s="24"/>
      <c r="T858" s="24"/>
      <c r="U858" s="24"/>
      <c r="V858" s="24"/>
      <c r="W858" s="24"/>
      <c r="X858" s="24"/>
      <c r="Y858" s="24"/>
      <c r="Z858" s="24"/>
      <c r="AA858" s="24"/>
      <c r="AB858" s="24"/>
      <c r="AC858" s="24"/>
    </row>
    <row r="859" spans="1:29" ht="12.9">
      <c r="A859" s="24"/>
      <c r="B859" s="24"/>
      <c r="C859" s="24"/>
      <c r="D859" s="24"/>
      <c r="E859" s="24"/>
      <c r="F859" s="117"/>
      <c r="G859" s="117"/>
      <c r="H859" s="24"/>
      <c r="I859" s="24"/>
      <c r="J859" s="24"/>
      <c r="K859" s="24"/>
      <c r="L859" s="24"/>
      <c r="M859" s="24"/>
      <c r="N859" s="24"/>
      <c r="O859" s="24"/>
      <c r="P859" s="24"/>
      <c r="Q859" s="24"/>
      <c r="R859" s="24"/>
      <c r="S859" s="24"/>
      <c r="T859" s="24"/>
      <c r="U859" s="24"/>
      <c r="V859" s="24"/>
      <c r="W859" s="24"/>
      <c r="X859" s="24"/>
      <c r="Y859" s="24"/>
      <c r="Z859" s="24"/>
      <c r="AA859" s="24"/>
      <c r="AB859" s="24"/>
      <c r="AC859" s="24"/>
    </row>
    <row r="860" spans="1:29" ht="12.9">
      <c r="A860" s="24"/>
      <c r="B860" s="24"/>
      <c r="C860" s="24"/>
      <c r="D860" s="24"/>
      <c r="E860" s="24"/>
      <c r="F860" s="117"/>
      <c r="G860" s="117"/>
      <c r="H860" s="24"/>
      <c r="I860" s="24"/>
      <c r="J860" s="24"/>
      <c r="K860" s="24"/>
      <c r="L860" s="24"/>
      <c r="M860" s="24"/>
      <c r="N860" s="24"/>
      <c r="O860" s="24"/>
      <c r="P860" s="24"/>
      <c r="Q860" s="24"/>
      <c r="R860" s="24"/>
      <c r="S860" s="24"/>
      <c r="T860" s="24"/>
      <c r="U860" s="24"/>
      <c r="V860" s="24"/>
      <c r="W860" s="24"/>
      <c r="X860" s="24"/>
      <c r="Y860" s="24"/>
      <c r="Z860" s="24"/>
      <c r="AA860" s="24"/>
      <c r="AB860" s="24"/>
      <c r="AC860" s="24"/>
    </row>
    <row r="861" spans="1:29" ht="12.9">
      <c r="A861" s="24"/>
      <c r="B861" s="24"/>
      <c r="C861" s="24"/>
      <c r="D861" s="24"/>
      <c r="E861" s="24"/>
      <c r="F861" s="117"/>
      <c r="G861" s="117"/>
      <c r="H861" s="24"/>
      <c r="I861" s="24"/>
      <c r="J861" s="24"/>
      <c r="K861" s="24"/>
      <c r="L861" s="24"/>
      <c r="M861" s="24"/>
      <c r="N861" s="24"/>
      <c r="O861" s="24"/>
      <c r="P861" s="24"/>
      <c r="Q861" s="24"/>
      <c r="R861" s="24"/>
      <c r="S861" s="24"/>
      <c r="T861" s="24"/>
      <c r="U861" s="24"/>
      <c r="V861" s="24"/>
      <c r="W861" s="24"/>
      <c r="X861" s="24"/>
      <c r="Y861" s="24"/>
      <c r="Z861" s="24"/>
      <c r="AA861" s="24"/>
      <c r="AB861" s="24"/>
      <c r="AC861" s="24"/>
    </row>
    <row r="862" spans="1:29" ht="12.9">
      <c r="A862" s="24"/>
      <c r="B862" s="24"/>
      <c r="C862" s="24"/>
      <c r="D862" s="24"/>
      <c r="E862" s="24"/>
      <c r="F862" s="117"/>
      <c r="G862" s="117"/>
      <c r="H862" s="24"/>
      <c r="I862" s="24"/>
      <c r="J862" s="24"/>
      <c r="K862" s="24"/>
      <c r="L862" s="24"/>
      <c r="M862" s="24"/>
      <c r="N862" s="24"/>
      <c r="O862" s="24"/>
      <c r="P862" s="24"/>
      <c r="Q862" s="24"/>
      <c r="R862" s="24"/>
      <c r="S862" s="24"/>
      <c r="T862" s="24"/>
      <c r="U862" s="24"/>
      <c r="V862" s="24"/>
      <c r="W862" s="24"/>
      <c r="X862" s="24"/>
      <c r="Y862" s="24"/>
      <c r="Z862" s="24"/>
      <c r="AA862" s="24"/>
      <c r="AB862" s="24"/>
      <c r="AC862" s="24"/>
    </row>
    <row r="863" spans="1:29" ht="12.9">
      <c r="A863" s="24"/>
      <c r="B863" s="24"/>
      <c r="C863" s="24"/>
      <c r="D863" s="24"/>
      <c r="E863" s="24"/>
      <c r="F863" s="117"/>
      <c r="G863" s="117"/>
      <c r="H863" s="24"/>
      <c r="I863" s="24"/>
      <c r="J863" s="24"/>
      <c r="K863" s="24"/>
      <c r="L863" s="24"/>
      <c r="M863" s="24"/>
      <c r="N863" s="24"/>
      <c r="O863" s="24"/>
      <c r="P863" s="24"/>
      <c r="Q863" s="24"/>
      <c r="R863" s="24"/>
      <c r="S863" s="24"/>
      <c r="T863" s="24"/>
      <c r="U863" s="24"/>
      <c r="V863" s="24"/>
      <c r="W863" s="24"/>
      <c r="X863" s="24"/>
      <c r="Y863" s="24"/>
      <c r="Z863" s="24"/>
      <c r="AA863" s="24"/>
      <c r="AB863" s="24"/>
      <c r="AC863" s="24"/>
    </row>
    <row r="864" spans="1:29" ht="12.9">
      <c r="A864" s="24"/>
      <c r="B864" s="24"/>
      <c r="C864" s="24"/>
      <c r="D864" s="24"/>
      <c r="E864" s="24"/>
      <c r="F864" s="117"/>
      <c r="G864" s="117"/>
      <c r="H864" s="24"/>
      <c r="I864" s="24"/>
      <c r="J864" s="24"/>
      <c r="K864" s="24"/>
      <c r="L864" s="24"/>
      <c r="M864" s="24"/>
      <c r="N864" s="24"/>
      <c r="O864" s="24"/>
      <c r="P864" s="24"/>
      <c r="Q864" s="24"/>
      <c r="R864" s="24"/>
      <c r="S864" s="24"/>
      <c r="T864" s="24"/>
      <c r="U864" s="24"/>
      <c r="V864" s="24"/>
      <c r="W864" s="24"/>
      <c r="X864" s="24"/>
      <c r="Y864" s="24"/>
      <c r="Z864" s="24"/>
      <c r="AA864" s="24"/>
      <c r="AB864" s="24"/>
      <c r="AC864" s="24"/>
    </row>
    <row r="865" spans="1:29" ht="12.9">
      <c r="A865" s="24"/>
      <c r="B865" s="24"/>
      <c r="C865" s="24"/>
      <c r="D865" s="24"/>
      <c r="E865" s="24"/>
      <c r="F865" s="117"/>
      <c r="G865" s="117"/>
      <c r="H865" s="24"/>
      <c r="I865" s="24"/>
      <c r="J865" s="24"/>
      <c r="K865" s="24"/>
      <c r="L865" s="24"/>
      <c r="M865" s="24"/>
      <c r="N865" s="24"/>
      <c r="O865" s="24"/>
      <c r="P865" s="24"/>
      <c r="Q865" s="24"/>
      <c r="R865" s="24"/>
      <c r="S865" s="24"/>
      <c r="T865" s="24"/>
      <c r="U865" s="24"/>
      <c r="V865" s="24"/>
      <c r="W865" s="24"/>
      <c r="X865" s="24"/>
      <c r="Y865" s="24"/>
      <c r="Z865" s="24"/>
      <c r="AA865" s="24"/>
      <c r="AB865" s="24"/>
      <c r="AC865" s="24"/>
    </row>
    <row r="866" spans="1:29" ht="12.9">
      <c r="A866" s="24"/>
      <c r="B866" s="24"/>
      <c r="C866" s="24"/>
      <c r="D866" s="24"/>
      <c r="E866" s="24"/>
      <c r="F866" s="117"/>
      <c r="G866" s="117"/>
      <c r="H866" s="24"/>
      <c r="I866" s="24"/>
      <c r="J866" s="24"/>
      <c r="K866" s="24"/>
      <c r="L866" s="24"/>
      <c r="M866" s="24"/>
      <c r="N866" s="24"/>
      <c r="O866" s="24"/>
      <c r="P866" s="24"/>
      <c r="Q866" s="24"/>
      <c r="R866" s="24"/>
      <c r="S866" s="24"/>
      <c r="T866" s="24"/>
      <c r="U866" s="24"/>
      <c r="V866" s="24"/>
      <c r="W866" s="24"/>
      <c r="X866" s="24"/>
      <c r="Y866" s="24"/>
      <c r="Z866" s="24"/>
      <c r="AA866" s="24"/>
      <c r="AB866" s="24"/>
      <c r="AC866" s="24"/>
    </row>
    <row r="867" spans="1:29" ht="12.9">
      <c r="A867" s="24"/>
      <c r="B867" s="24"/>
      <c r="C867" s="24"/>
      <c r="D867" s="24"/>
      <c r="E867" s="24"/>
      <c r="F867" s="117"/>
      <c r="G867" s="117"/>
      <c r="H867" s="24"/>
      <c r="I867" s="24"/>
      <c r="J867" s="24"/>
      <c r="K867" s="24"/>
      <c r="L867" s="24"/>
      <c r="M867" s="24"/>
      <c r="N867" s="24"/>
      <c r="O867" s="24"/>
      <c r="P867" s="24"/>
      <c r="Q867" s="24"/>
      <c r="R867" s="24"/>
      <c r="S867" s="24"/>
      <c r="T867" s="24"/>
      <c r="U867" s="24"/>
      <c r="V867" s="24"/>
      <c r="W867" s="24"/>
      <c r="X867" s="24"/>
      <c r="Y867" s="24"/>
      <c r="Z867" s="24"/>
      <c r="AA867" s="24"/>
      <c r="AB867" s="24"/>
      <c r="AC867" s="24"/>
    </row>
    <row r="868" spans="1:29" ht="12.9">
      <c r="A868" s="24"/>
      <c r="B868" s="24"/>
      <c r="C868" s="24"/>
      <c r="D868" s="24"/>
      <c r="E868" s="24"/>
      <c r="F868" s="117"/>
      <c r="G868" s="117"/>
      <c r="H868" s="24"/>
      <c r="I868" s="24"/>
      <c r="J868" s="24"/>
      <c r="K868" s="24"/>
      <c r="L868" s="24"/>
      <c r="M868" s="24"/>
      <c r="N868" s="24"/>
      <c r="O868" s="24"/>
      <c r="P868" s="24"/>
      <c r="Q868" s="24"/>
      <c r="R868" s="24"/>
      <c r="S868" s="24"/>
      <c r="T868" s="24"/>
      <c r="U868" s="24"/>
      <c r="V868" s="24"/>
      <c r="W868" s="24"/>
      <c r="X868" s="24"/>
      <c r="Y868" s="24"/>
      <c r="Z868" s="24"/>
      <c r="AA868" s="24"/>
      <c r="AB868" s="24"/>
      <c r="AC868" s="24"/>
    </row>
    <row r="869" spans="1:29" ht="12.9">
      <c r="A869" s="24"/>
      <c r="B869" s="24"/>
      <c r="C869" s="24"/>
      <c r="D869" s="24"/>
      <c r="E869" s="24"/>
      <c r="F869" s="117"/>
      <c r="G869" s="117"/>
      <c r="H869" s="24"/>
      <c r="I869" s="24"/>
      <c r="J869" s="24"/>
      <c r="K869" s="24"/>
      <c r="L869" s="24"/>
      <c r="M869" s="24"/>
      <c r="N869" s="24"/>
      <c r="O869" s="24"/>
      <c r="P869" s="24"/>
      <c r="Q869" s="24"/>
      <c r="R869" s="24"/>
      <c r="S869" s="24"/>
      <c r="T869" s="24"/>
      <c r="U869" s="24"/>
      <c r="V869" s="24"/>
      <c r="W869" s="24"/>
      <c r="X869" s="24"/>
      <c r="Y869" s="24"/>
      <c r="Z869" s="24"/>
      <c r="AA869" s="24"/>
      <c r="AB869" s="24"/>
      <c r="AC869" s="24"/>
    </row>
    <row r="870" spans="1:29" ht="12.9">
      <c r="A870" s="24"/>
      <c r="B870" s="24"/>
      <c r="C870" s="24"/>
      <c r="D870" s="24"/>
      <c r="E870" s="24"/>
      <c r="F870" s="117"/>
      <c r="G870" s="117"/>
      <c r="H870" s="24"/>
      <c r="I870" s="24"/>
      <c r="J870" s="24"/>
      <c r="K870" s="24"/>
      <c r="L870" s="24"/>
      <c r="M870" s="24"/>
      <c r="N870" s="24"/>
      <c r="O870" s="24"/>
      <c r="P870" s="24"/>
      <c r="Q870" s="24"/>
      <c r="R870" s="24"/>
      <c r="S870" s="24"/>
      <c r="T870" s="24"/>
      <c r="U870" s="24"/>
      <c r="V870" s="24"/>
      <c r="W870" s="24"/>
      <c r="X870" s="24"/>
      <c r="Y870" s="24"/>
      <c r="Z870" s="24"/>
      <c r="AA870" s="24"/>
      <c r="AB870" s="24"/>
      <c r="AC870" s="24"/>
    </row>
    <row r="871" spans="1:29" ht="12.9">
      <c r="A871" s="24"/>
      <c r="B871" s="24"/>
      <c r="C871" s="24"/>
      <c r="D871" s="24"/>
      <c r="E871" s="24"/>
      <c r="F871" s="117"/>
      <c r="G871" s="117"/>
      <c r="H871" s="24"/>
      <c r="I871" s="24"/>
      <c r="J871" s="24"/>
      <c r="K871" s="24"/>
      <c r="L871" s="24"/>
      <c r="M871" s="24"/>
      <c r="N871" s="24"/>
      <c r="O871" s="24"/>
      <c r="P871" s="24"/>
      <c r="Q871" s="24"/>
      <c r="R871" s="24"/>
      <c r="S871" s="24"/>
      <c r="T871" s="24"/>
      <c r="U871" s="24"/>
      <c r="V871" s="24"/>
      <c r="W871" s="24"/>
      <c r="X871" s="24"/>
      <c r="Y871" s="24"/>
      <c r="Z871" s="24"/>
      <c r="AA871" s="24"/>
      <c r="AB871" s="24"/>
      <c r="AC871" s="24"/>
    </row>
    <row r="872" spans="1:29" ht="12.9">
      <c r="A872" s="24"/>
      <c r="B872" s="24"/>
      <c r="C872" s="24"/>
      <c r="D872" s="24"/>
      <c r="E872" s="24"/>
      <c r="F872" s="117"/>
      <c r="G872" s="117"/>
      <c r="H872" s="24"/>
      <c r="I872" s="24"/>
      <c r="J872" s="24"/>
      <c r="K872" s="24"/>
      <c r="L872" s="24"/>
      <c r="M872" s="24"/>
      <c r="N872" s="24"/>
      <c r="O872" s="24"/>
      <c r="P872" s="24"/>
      <c r="Q872" s="24"/>
      <c r="R872" s="24"/>
      <c r="S872" s="24"/>
      <c r="T872" s="24"/>
      <c r="U872" s="24"/>
      <c r="V872" s="24"/>
      <c r="W872" s="24"/>
      <c r="X872" s="24"/>
      <c r="Y872" s="24"/>
      <c r="Z872" s="24"/>
      <c r="AA872" s="24"/>
      <c r="AB872" s="24"/>
      <c r="AC872" s="24"/>
    </row>
    <row r="873" spans="1:29" ht="12.9">
      <c r="A873" s="24"/>
      <c r="B873" s="24"/>
      <c r="C873" s="24"/>
      <c r="D873" s="24"/>
      <c r="E873" s="24"/>
      <c r="F873" s="117"/>
      <c r="G873" s="117"/>
      <c r="H873" s="24"/>
      <c r="I873" s="24"/>
      <c r="J873" s="24"/>
      <c r="K873" s="24"/>
      <c r="L873" s="24"/>
      <c r="M873" s="24"/>
      <c r="N873" s="24"/>
      <c r="O873" s="24"/>
      <c r="P873" s="24"/>
      <c r="Q873" s="24"/>
      <c r="R873" s="24"/>
      <c r="S873" s="24"/>
      <c r="T873" s="24"/>
      <c r="U873" s="24"/>
      <c r="V873" s="24"/>
      <c r="W873" s="24"/>
      <c r="X873" s="24"/>
      <c r="Y873" s="24"/>
      <c r="Z873" s="24"/>
      <c r="AA873" s="24"/>
      <c r="AB873" s="24"/>
      <c r="AC873" s="24"/>
    </row>
    <row r="874" spans="1:29" ht="12.9">
      <c r="A874" s="24"/>
      <c r="B874" s="24"/>
      <c r="C874" s="24"/>
      <c r="D874" s="24"/>
      <c r="E874" s="24"/>
      <c r="F874" s="117"/>
      <c r="G874" s="117"/>
      <c r="H874" s="24"/>
      <c r="I874" s="24"/>
      <c r="J874" s="24"/>
      <c r="K874" s="24"/>
      <c r="L874" s="24"/>
      <c r="M874" s="24"/>
      <c r="N874" s="24"/>
      <c r="O874" s="24"/>
      <c r="P874" s="24"/>
      <c r="Q874" s="24"/>
      <c r="R874" s="24"/>
      <c r="S874" s="24"/>
      <c r="T874" s="24"/>
      <c r="U874" s="24"/>
      <c r="V874" s="24"/>
      <c r="W874" s="24"/>
      <c r="X874" s="24"/>
      <c r="Y874" s="24"/>
      <c r="Z874" s="24"/>
      <c r="AA874" s="24"/>
      <c r="AB874" s="24"/>
      <c r="AC874" s="24"/>
    </row>
    <row r="875" spans="1:29" ht="12.9">
      <c r="A875" s="24"/>
      <c r="B875" s="24"/>
      <c r="C875" s="24"/>
      <c r="D875" s="24"/>
      <c r="E875" s="24"/>
      <c r="F875" s="117"/>
      <c r="G875" s="117"/>
      <c r="H875" s="24"/>
      <c r="I875" s="24"/>
      <c r="J875" s="24"/>
      <c r="K875" s="24"/>
      <c r="L875" s="24"/>
      <c r="M875" s="24"/>
      <c r="N875" s="24"/>
      <c r="O875" s="24"/>
      <c r="P875" s="24"/>
      <c r="Q875" s="24"/>
      <c r="R875" s="24"/>
      <c r="S875" s="24"/>
      <c r="T875" s="24"/>
      <c r="U875" s="24"/>
      <c r="V875" s="24"/>
      <c r="W875" s="24"/>
      <c r="X875" s="24"/>
      <c r="Y875" s="24"/>
      <c r="Z875" s="24"/>
      <c r="AA875" s="24"/>
      <c r="AB875" s="24"/>
      <c r="AC875" s="24"/>
    </row>
    <row r="876" spans="1:29" ht="12.9">
      <c r="A876" s="24"/>
      <c r="B876" s="24"/>
      <c r="C876" s="24"/>
      <c r="D876" s="24"/>
      <c r="E876" s="24"/>
      <c r="F876" s="117"/>
      <c r="G876" s="117"/>
      <c r="H876" s="24"/>
      <c r="I876" s="24"/>
      <c r="J876" s="24"/>
      <c r="K876" s="24"/>
      <c r="L876" s="24"/>
      <c r="M876" s="24"/>
      <c r="N876" s="24"/>
      <c r="O876" s="24"/>
      <c r="P876" s="24"/>
      <c r="Q876" s="24"/>
      <c r="R876" s="24"/>
      <c r="S876" s="24"/>
      <c r="T876" s="24"/>
      <c r="U876" s="24"/>
      <c r="V876" s="24"/>
      <c r="W876" s="24"/>
      <c r="X876" s="24"/>
      <c r="Y876" s="24"/>
      <c r="Z876" s="24"/>
      <c r="AA876" s="24"/>
      <c r="AB876" s="24"/>
      <c r="AC876" s="24"/>
    </row>
    <row r="877" spans="1:29" ht="12.9">
      <c r="A877" s="24"/>
      <c r="B877" s="24"/>
      <c r="C877" s="24"/>
      <c r="D877" s="24"/>
      <c r="E877" s="24"/>
      <c r="F877" s="117"/>
      <c r="G877" s="117"/>
      <c r="H877" s="24"/>
      <c r="I877" s="24"/>
      <c r="J877" s="24"/>
      <c r="K877" s="24"/>
      <c r="L877" s="24"/>
      <c r="M877" s="24"/>
      <c r="N877" s="24"/>
      <c r="O877" s="24"/>
      <c r="P877" s="24"/>
      <c r="Q877" s="24"/>
      <c r="R877" s="24"/>
      <c r="S877" s="24"/>
      <c r="T877" s="24"/>
      <c r="U877" s="24"/>
      <c r="V877" s="24"/>
      <c r="W877" s="24"/>
      <c r="X877" s="24"/>
      <c r="Y877" s="24"/>
      <c r="Z877" s="24"/>
      <c r="AA877" s="24"/>
      <c r="AB877" s="24"/>
      <c r="AC877" s="24"/>
    </row>
    <row r="878" spans="1:29" ht="12.9">
      <c r="A878" s="24"/>
      <c r="B878" s="24"/>
      <c r="C878" s="24"/>
      <c r="D878" s="24"/>
      <c r="E878" s="24"/>
      <c r="F878" s="117"/>
      <c r="G878" s="117"/>
      <c r="H878" s="24"/>
      <c r="I878" s="24"/>
      <c r="J878" s="24"/>
      <c r="K878" s="24"/>
      <c r="L878" s="24"/>
      <c r="M878" s="24"/>
      <c r="N878" s="24"/>
      <c r="O878" s="24"/>
      <c r="P878" s="24"/>
      <c r="Q878" s="24"/>
      <c r="R878" s="24"/>
      <c r="S878" s="24"/>
      <c r="T878" s="24"/>
      <c r="U878" s="24"/>
      <c r="V878" s="24"/>
      <c r="W878" s="24"/>
      <c r="X878" s="24"/>
      <c r="Y878" s="24"/>
      <c r="Z878" s="24"/>
      <c r="AA878" s="24"/>
      <c r="AB878" s="24"/>
      <c r="AC878" s="24"/>
    </row>
    <row r="879" spans="1:29" ht="12.9">
      <c r="A879" s="24"/>
      <c r="B879" s="24"/>
      <c r="C879" s="24"/>
      <c r="D879" s="24"/>
      <c r="E879" s="24"/>
      <c r="F879" s="117"/>
      <c r="G879" s="117"/>
      <c r="H879" s="24"/>
      <c r="I879" s="24"/>
      <c r="J879" s="24"/>
      <c r="K879" s="24"/>
      <c r="L879" s="24"/>
      <c r="M879" s="24"/>
      <c r="N879" s="24"/>
      <c r="O879" s="24"/>
      <c r="P879" s="24"/>
      <c r="Q879" s="24"/>
      <c r="R879" s="24"/>
      <c r="S879" s="24"/>
      <c r="T879" s="24"/>
      <c r="U879" s="24"/>
      <c r="V879" s="24"/>
      <c r="W879" s="24"/>
      <c r="X879" s="24"/>
      <c r="Y879" s="24"/>
      <c r="Z879" s="24"/>
      <c r="AA879" s="24"/>
      <c r="AB879" s="24"/>
      <c r="AC879" s="24"/>
    </row>
    <row r="880" spans="1:29" ht="12.9">
      <c r="A880" s="24"/>
      <c r="B880" s="24"/>
      <c r="C880" s="24"/>
      <c r="D880" s="24"/>
      <c r="E880" s="24"/>
      <c r="F880" s="117"/>
      <c r="G880" s="117"/>
      <c r="H880" s="24"/>
      <c r="I880" s="24"/>
      <c r="J880" s="24"/>
      <c r="K880" s="24"/>
      <c r="L880" s="24"/>
      <c r="M880" s="24"/>
      <c r="N880" s="24"/>
      <c r="O880" s="24"/>
      <c r="P880" s="24"/>
      <c r="Q880" s="24"/>
      <c r="R880" s="24"/>
      <c r="S880" s="24"/>
      <c r="T880" s="24"/>
      <c r="U880" s="24"/>
      <c r="V880" s="24"/>
      <c r="W880" s="24"/>
      <c r="X880" s="24"/>
      <c r="Y880" s="24"/>
      <c r="Z880" s="24"/>
      <c r="AA880" s="24"/>
      <c r="AB880" s="24"/>
      <c r="AC880" s="24"/>
    </row>
    <row r="881" spans="1:29" ht="12.9">
      <c r="A881" s="24"/>
      <c r="B881" s="24"/>
      <c r="C881" s="24"/>
      <c r="D881" s="24"/>
      <c r="E881" s="24"/>
      <c r="F881" s="117"/>
      <c r="G881" s="117"/>
      <c r="H881" s="24"/>
      <c r="I881" s="24"/>
      <c r="J881" s="24"/>
      <c r="K881" s="24"/>
      <c r="L881" s="24"/>
      <c r="M881" s="24"/>
      <c r="N881" s="24"/>
      <c r="O881" s="24"/>
      <c r="P881" s="24"/>
      <c r="Q881" s="24"/>
      <c r="R881" s="24"/>
      <c r="S881" s="24"/>
      <c r="T881" s="24"/>
      <c r="U881" s="24"/>
      <c r="V881" s="24"/>
      <c r="W881" s="24"/>
      <c r="X881" s="24"/>
      <c r="Y881" s="24"/>
      <c r="Z881" s="24"/>
      <c r="AA881" s="24"/>
      <c r="AB881" s="24"/>
      <c r="AC881" s="24"/>
    </row>
    <row r="882" spans="1:29" ht="12.9">
      <c r="A882" s="24"/>
      <c r="B882" s="24"/>
      <c r="C882" s="24"/>
      <c r="D882" s="24"/>
      <c r="E882" s="24"/>
      <c r="F882" s="117"/>
      <c r="G882" s="117"/>
      <c r="H882" s="24"/>
      <c r="I882" s="24"/>
      <c r="J882" s="24"/>
      <c r="K882" s="24"/>
      <c r="L882" s="24"/>
      <c r="M882" s="24"/>
      <c r="N882" s="24"/>
      <c r="O882" s="24"/>
      <c r="P882" s="24"/>
      <c r="Q882" s="24"/>
      <c r="R882" s="24"/>
      <c r="S882" s="24"/>
      <c r="T882" s="24"/>
      <c r="U882" s="24"/>
      <c r="V882" s="24"/>
      <c r="W882" s="24"/>
      <c r="X882" s="24"/>
      <c r="Y882" s="24"/>
      <c r="Z882" s="24"/>
      <c r="AA882" s="24"/>
      <c r="AB882" s="24"/>
      <c r="AC882" s="24"/>
    </row>
    <row r="883" spans="1:29" ht="12.9">
      <c r="A883" s="24"/>
      <c r="B883" s="24"/>
      <c r="C883" s="24"/>
      <c r="D883" s="24"/>
      <c r="E883" s="24"/>
      <c r="F883" s="117"/>
      <c r="G883" s="117"/>
      <c r="H883" s="24"/>
      <c r="I883" s="24"/>
      <c r="J883" s="24"/>
      <c r="K883" s="24"/>
      <c r="L883" s="24"/>
      <c r="M883" s="24"/>
      <c r="N883" s="24"/>
      <c r="O883" s="24"/>
      <c r="P883" s="24"/>
      <c r="Q883" s="24"/>
      <c r="R883" s="24"/>
      <c r="S883" s="24"/>
      <c r="T883" s="24"/>
      <c r="U883" s="24"/>
      <c r="V883" s="24"/>
      <c r="W883" s="24"/>
      <c r="X883" s="24"/>
      <c r="Y883" s="24"/>
      <c r="Z883" s="24"/>
      <c r="AA883" s="24"/>
      <c r="AB883" s="24"/>
      <c r="AC883" s="24"/>
    </row>
    <row r="884" spans="1:29" ht="12.9">
      <c r="A884" s="24"/>
      <c r="B884" s="24"/>
      <c r="C884" s="24"/>
      <c r="D884" s="24"/>
      <c r="E884" s="24"/>
      <c r="F884" s="117"/>
      <c r="G884" s="117"/>
      <c r="H884" s="24"/>
      <c r="I884" s="24"/>
      <c r="J884" s="24"/>
      <c r="K884" s="24"/>
      <c r="L884" s="24"/>
      <c r="M884" s="24"/>
      <c r="N884" s="24"/>
      <c r="O884" s="24"/>
      <c r="P884" s="24"/>
      <c r="Q884" s="24"/>
      <c r="R884" s="24"/>
      <c r="S884" s="24"/>
      <c r="T884" s="24"/>
      <c r="U884" s="24"/>
      <c r="V884" s="24"/>
      <c r="W884" s="24"/>
      <c r="X884" s="24"/>
      <c r="Y884" s="24"/>
      <c r="Z884" s="24"/>
      <c r="AA884" s="24"/>
      <c r="AB884" s="24"/>
      <c r="AC884" s="24"/>
    </row>
    <row r="885" spans="1:29" ht="12.9">
      <c r="A885" s="24"/>
      <c r="B885" s="24"/>
      <c r="C885" s="24"/>
      <c r="D885" s="24"/>
      <c r="E885" s="24"/>
      <c r="F885" s="117"/>
      <c r="G885" s="117"/>
      <c r="H885" s="24"/>
      <c r="I885" s="24"/>
      <c r="J885" s="24"/>
      <c r="K885" s="24"/>
      <c r="L885" s="24"/>
      <c r="M885" s="24"/>
      <c r="N885" s="24"/>
      <c r="O885" s="24"/>
      <c r="P885" s="24"/>
      <c r="Q885" s="24"/>
      <c r="R885" s="24"/>
      <c r="S885" s="24"/>
      <c r="T885" s="24"/>
      <c r="U885" s="24"/>
      <c r="V885" s="24"/>
      <c r="W885" s="24"/>
      <c r="X885" s="24"/>
      <c r="Y885" s="24"/>
      <c r="Z885" s="24"/>
      <c r="AA885" s="24"/>
      <c r="AB885" s="24"/>
      <c r="AC885" s="24"/>
    </row>
    <row r="886" spans="1:29" ht="12.9">
      <c r="A886" s="24"/>
      <c r="B886" s="24"/>
      <c r="C886" s="24"/>
      <c r="D886" s="24"/>
      <c r="E886" s="24"/>
      <c r="F886" s="117"/>
      <c r="G886" s="117"/>
      <c r="H886" s="24"/>
      <c r="I886" s="24"/>
      <c r="J886" s="24"/>
      <c r="K886" s="24"/>
      <c r="L886" s="24"/>
      <c r="M886" s="24"/>
      <c r="N886" s="24"/>
      <c r="O886" s="24"/>
      <c r="P886" s="24"/>
      <c r="Q886" s="24"/>
      <c r="R886" s="24"/>
      <c r="S886" s="24"/>
      <c r="T886" s="24"/>
      <c r="U886" s="24"/>
      <c r="V886" s="24"/>
      <c r="W886" s="24"/>
      <c r="X886" s="24"/>
      <c r="Y886" s="24"/>
      <c r="Z886" s="24"/>
      <c r="AA886" s="24"/>
      <c r="AB886" s="24"/>
      <c r="AC886" s="24"/>
    </row>
    <row r="887" spans="1:29" ht="12.9">
      <c r="A887" s="24"/>
      <c r="B887" s="24"/>
      <c r="C887" s="24"/>
      <c r="D887" s="24"/>
      <c r="E887" s="24"/>
      <c r="F887" s="117"/>
      <c r="G887" s="117"/>
      <c r="H887" s="24"/>
      <c r="I887" s="24"/>
      <c r="J887" s="24"/>
      <c r="K887" s="24"/>
      <c r="L887" s="24"/>
      <c r="M887" s="24"/>
      <c r="N887" s="24"/>
      <c r="O887" s="24"/>
      <c r="P887" s="24"/>
      <c r="Q887" s="24"/>
      <c r="R887" s="24"/>
      <c r="S887" s="24"/>
      <c r="T887" s="24"/>
      <c r="U887" s="24"/>
      <c r="V887" s="24"/>
      <c r="W887" s="24"/>
      <c r="X887" s="24"/>
      <c r="Y887" s="24"/>
      <c r="Z887" s="24"/>
      <c r="AA887" s="24"/>
      <c r="AB887" s="24"/>
      <c r="AC887" s="24"/>
    </row>
    <row r="888" spans="1:29" ht="12.9">
      <c r="A888" s="24"/>
      <c r="B888" s="24"/>
      <c r="C888" s="24"/>
      <c r="D888" s="24"/>
      <c r="E888" s="24"/>
      <c r="F888" s="117"/>
      <c r="G888" s="117"/>
      <c r="H888" s="24"/>
      <c r="I888" s="24"/>
      <c r="J888" s="24"/>
      <c r="K888" s="24"/>
      <c r="L888" s="24"/>
      <c r="M888" s="24"/>
      <c r="N888" s="24"/>
      <c r="O888" s="24"/>
      <c r="P888" s="24"/>
      <c r="Q888" s="24"/>
      <c r="R888" s="24"/>
      <c r="S888" s="24"/>
      <c r="T888" s="24"/>
      <c r="U888" s="24"/>
      <c r="V888" s="24"/>
      <c r="W888" s="24"/>
      <c r="X888" s="24"/>
      <c r="Y888" s="24"/>
      <c r="Z888" s="24"/>
      <c r="AA888" s="24"/>
      <c r="AB888" s="24"/>
      <c r="AC888" s="24"/>
    </row>
    <row r="889" spans="1:29" ht="12.9">
      <c r="A889" s="24"/>
      <c r="B889" s="24"/>
      <c r="C889" s="24"/>
      <c r="D889" s="24"/>
      <c r="E889" s="24"/>
      <c r="F889" s="117"/>
      <c r="G889" s="117"/>
      <c r="H889" s="24"/>
      <c r="I889" s="24"/>
      <c r="J889" s="24"/>
      <c r="K889" s="24"/>
      <c r="L889" s="24"/>
      <c r="M889" s="24"/>
      <c r="N889" s="24"/>
      <c r="O889" s="24"/>
      <c r="P889" s="24"/>
      <c r="Q889" s="24"/>
      <c r="R889" s="24"/>
      <c r="S889" s="24"/>
      <c r="T889" s="24"/>
      <c r="U889" s="24"/>
      <c r="V889" s="24"/>
      <c r="W889" s="24"/>
      <c r="X889" s="24"/>
      <c r="Y889" s="24"/>
      <c r="Z889" s="24"/>
      <c r="AA889" s="24"/>
      <c r="AB889" s="24"/>
      <c r="AC889" s="24"/>
    </row>
    <row r="890" spans="1:29" ht="12.9">
      <c r="A890" s="24"/>
      <c r="B890" s="24"/>
      <c r="C890" s="24"/>
      <c r="D890" s="24"/>
      <c r="E890" s="24"/>
      <c r="F890" s="117"/>
      <c r="G890" s="117"/>
      <c r="H890" s="24"/>
      <c r="I890" s="24"/>
      <c r="J890" s="24"/>
      <c r="K890" s="24"/>
      <c r="L890" s="24"/>
      <c r="M890" s="24"/>
      <c r="N890" s="24"/>
      <c r="O890" s="24"/>
      <c r="P890" s="24"/>
      <c r="Q890" s="24"/>
      <c r="R890" s="24"/>
      <c r="S890" s="24"/>
      <c r="T890" s="24"/>
      <c r="U890" s="24"/>
      <c r="V890" s="24"/>
      <c r="W890" s="24"/>
      <c r="X890" s="24"/>
      <c r="Y890" s="24"/>
      <c r="Z890" s="24"/>
      <c r="AA890" s="24"/>
      <c r="AB890" s="24"/>
      <c r="AC890" s="24"/>
    </row>
    <row r="891" spans="1:29" ht="12.9">
      <c r="A891" s="24"/>
      <c r="B891" s="24"/>
      <c r="C891" s="24"/>
      <c r="D891" s="24"/>
      <c r="E891" s="24"/>
      <c r="F891" s="117"/>
      <c r="G891" s="117"/>
      <c r="H891" s="24"/>
      <c r="I891" s="24"/>
      <c r="J891" s="24"/>
      <c r="K891" s="24"/>
      <c r="L891" s="24"/>
      <c r="M891" s="24"/>
      <c r="N891" s="24"/>
      <c r="O891" s="24"/>
      <c r="P891" s="24"/>
      <c r="Q891" s="24"/>
      <c r="R891" s="24"/>
      <c r="S891" s="24"/>
      <c r="T891" s="24"/>
      <c r="U891" s="24"/>
      <c r="V891" s="24"/>
      <c r="W891" s="24"/>
      <c r="X891" s="24"/>
      <c r="Y891" s="24"/>
      <c r="Z891" s="24"/>
      <c r="AA891" s="24"/>
      <c r="AB891" s="24"/>
      <c r="AC891" s="24"/>
    </row>
    <row r="892" spans="1:29" ht="12.9">
      <c r="A892" s="24"/>
      <c r="B892" s="24"/>
      <c r="C892" s="24"/>
      <c r="D892" s="24"/>
      <c r="E892" s="24"/>
      <c r="F892" s="117"/>
      <c r="G892" s="117"/>
      <c r="H892" s="24"/>
      <c r="I892" s="24"/>
      <c r="J892" s="24"/>
      <c r="K892" s="24"/>
      <c r="L892" s="24"/>
      <c r="M892" s="24"/>
      <c r="N892" s="24"/>
      <c r="O892" s="24"/>
      <c r="P892" s="24"/>
      <c r="Q892" s="24"/>
      <c r="R892" s="24"/>
      <c r="S892" s="24"/>
      <c r="T892" s="24"/>
      <c r="U892" s="24"/>
      <c r="V892" s="24"/>
      <c r="W892" s="24"/>
      <c r="X892" s="24"/>
      <c r="Y892" s="24"/>
      <c r="Z892" s="24"/>
      <c r="AA892" s="24"/>
      <c r="AB892" s="24"/>
      <c r="AC892" s="24"/>
    </row>
    <row r="893" spans="1:29" ht="12.9">
      <c r="A893" s="24"/>
      <c r="B893" s="24"/>
      <c r="C893" s="24"/>
      <c r="D893" s="24"/>
      <c r="E893" s="24"/>
      <c r="F893" s="117"/>
      <c r="G893" s="117"/>
      <c r="H893" s="24"/>
      <c r="I893" s="24"/>
      <c r="J893" s="24"/>
      <c r="K893" s="24"/>
      <c r="L893" s="24"/>
      <c r="M893" s="24"/>
      <c r="N893" s="24"/>
      <c r="O893" s="24"/>
      <c r="P893" s="24"/>
      <c r="Q893" s="24"/>
      <c r="R893" s="24"/>
      <c r="S893" s="24"/>
      <c r="T893" s="24"/>
      <c r="U893" s="24"/>
      <c r="V893" s="24"/>
      <c r="W893" s="24"/>
      <c r="X893" s="24"/>
      <c r="Y893" s="24"/>
      <c r="Z893" s="24"/>
      <c r="AA893" s="24"/>
      <c r="AB893" s="24"/>
      <c r="AC893" s="24"/>
    </row>
    <row r="894" spans="1:29" ht="12.9">
      <c r="A894" s="24"/>
      <c r="B894" s="24"/>
      <c r="C894" s="24"/>
      <c r="D894" s="24"/>
      <c r="E894" s="24"/>
      <c r="F894" s="117"/>
      <c r="G894" s="117"/>
      <c r="H894" s="24"/>
      <c r="I894" s="24"/>
      <c r="J894" s="24"/>
      <c r="K894" s="24"/>
      <c r="L894" s="24"/>
      <c r="M894" s="24"/>
      <c r="N894" s="24"/>
      <c r="O894" s="24"/>
      <c r="P894" s="24"/>
      <c r="Q894" s="24"/>
      <c r="R894" s="24"/>
      <c r="S894" s="24"/>
      <c r="T894" s="24"/>
      <c r="U894" s="24"/>
      <c r="V894" s="24"/>
      <c r="W894" s="24"/>
      <c r="X894" s="24"/>
      <c r="Y894" s="24"/>
      <c r="Z894" s="24"/>
      <c r="AA894" s="24"/>
      <c r="AB894" s="24"/>
      <c r="AC894" s="24"/>
    </row>
    <row r="895" spans="1:29" ht="12.9">
      <c r="A895" s="24"/>
      <c r="B895" s="24"/>
      <c r="C895" s="24"/>
      <c r="D895" s="24"/>
      <c r="E895" s="24"/>
      <c r="F895" s="117"/>
      <c r="G895" s="117"/>
      <c r="H895" s="24"/>
      <c r="I895" s="24"/>
      <c r="J895" s="24"/>
      <c r="K895" s="24"/>
      <c r="L895" s="24"/>
      <c r="M895" s="24"/>
      <c r="N895" s="24"/>
      <c r="O895" s="24"/>
      <c r="P895" s="24"/>
      <c r="Q895" s="24"/>
      <c r="R895" s="24"/>
      <c r="S895" s="24"/>
      <c r="T895" s="24"/>
      <c r="U895" s="24"/>
      <c r="V895" s="24"/>
      <c r="W895" s="24"/>
      <c r="X895" s="24"/>
      <c r="Y895" s="24"/>
      <c r="Z895" s="24"/>
      <c r="AA895" s="24"/>
      <c r="AB895" s="24"/>
      <c r="AC895" s="24"/>
    </row>
    <row r="896" spans="1:29" ht="12.9">
      <c r="A896" s="24"/>
      <c r="B896" s="24"/>
      <c r="C896" s="24"/>
      <c r="D896" s="24"/>
      <c r="E896" s="24"/>
      <c r="F896" s="117"/>
      <c r="G896" s="117"/>
      <c r="H896" s="24"/>
      <c r="I896" s="24"/>
      <c r="J896" s="24"/>
      <c r="K896" s="24"/>
      <c r="L896" s="24"/>
      <c r="M896" s="24"/>
      <c r="N896" s="24"/>
      <c r="O896" s="24"/>
      <c r="P896" s="24"/>
      <c r="Q896" s="24"/>
      <c r="R896" s="24"/>
      <c r="S896" s="24"/>
      <c r="T896" s="24"/>
      <c r="U896" s="24"/>
      <c r="V896" s="24"/>
      <c r="W896" s="24"/>
      <c r="X896" s="24"/>
      <c r="Y896" s="24"/>
      <c r="Z896" s="24"/>
      <c r="AA896" s="24"/>
      <c r="AB896" s="24"/>
      <c r="AC896" s="24"/>
    </row>
    <row r="897" spans="1:29" ht="12.9">
      <c r="A897" s="24"/>
      <c r="B897" s="24"/>
      <c r="C897" s="24"/>
      <c r="D897" s="24"/>
      <c r="E897" s="24"/>
      <c r="F897" s="117"/>
      <c r="G897" s="117"/>
      <c r="H897" s="24"/>
      <c r="I897" s="24"/>
      <c r="J897" s="24"/>
      <c r="K897" s="24"/>
      <c r="L897" s="24"/>
      <c r="M897" s="24"/>
      <c r="N897" s="24"/>
      <c r="O897" s="24"/>
      <c r="P897" s="24"/>
      <c r="Q897" s="24"/>
      <c r="R897" s="24"/>
      <c r="S897" s="24"/>
      <c r="T897" s="24"/>
      <c r="U897" s="24"/>
      <c r="V897" s="24"/>
      <c r="W897" s="24"/>
      <c r="X897" s="24"/>
      <c r="Y897" s="24"/>
      <c r="Z897" s="24"/>
      <c r="AA897" s="24"/>
      <c r="AB897" s="24"/>
      <c r="AC897" s="24"/>
    </row>
    <row r="898" spans="1:29" ht="12.9">
      <c r="A898" s="24"/>
      <c r="B898" s="24"/>
      <c r="C898" s="24"/>
      <c r="D898" s="24"/>
      <c r="E898" s="24"/>
      <c r="F898" s="117"/>
      <c r="G898" s="117"/>
      <c r="H898" s="24"/>
      <c r="I898" s="24"/>
      <c r="J898" s="24"/>
      <c r="K898" s="24"/>
      <c r="L898" s="24"/>
      <c r="M898" s="24"/>
      <c r="N898" s="24"/>
      <c r="O898" s="24"/>
      <c r="P898" s="24"/>
      <c r="Q898" s="24"/>
      <c r="R898" s="24"/>
      <c r="S898" s="24"/>
      <c r="T898" s="24"/>
      <c r="U898" s="24"/>
      <c r="V898" s="24"/>
      <c r="W898" s="24"/>
      <c r="X898" s="24"/>
      <c r="Y898" s="24"/>
      <c r="Z898" s="24"/>
      <c r="AA898" s="24"/>
      <c r="AB898" s="24"/>
      <c r="AC898" s="24"/>
    </row>
    <row r="899" spans="1:29" ht="12.9">
      <c r="A899" s="24"/>
      <c r="B899" s="24"/>
      <c r="C899" s="24"/>
      <c r="D899" s="24"/>
      <c r="E899" s="24"/>
      <c r="F899" s="117"/>
      <c r="G899" s="117"/>
      <c r="H899" s="24"/>
      <c r="I899" s="24"/>
      <c r="J899" s="24"/>
      <c r="K899" s="24"/>
      <c r="L899" s="24"/>
      <c r="M899" s="24"/>
      <c r="N899" s="24"/>
      <c r="O899" s="24"/>
      <c r="P899" s="24"/>
      <c r="Q899" s="24"/>
      <c r="R899" s="24"/>
      <c r="S899" s="24"/>
      <c r="T899" s="24"/>
      <c r="U899" s="24"/>
      <c r="V899" s="24"/>
      <c r="W899" s="24"/>
      <c r="X899" s="24"/>
      <c r="Y899" s="24"/>
      <c r="Z899" s="24"/>
      <c r="AA899" s="24"/>
      <c r="AB899" s="24"/>
      <c r="AC899" s="24"/>
    </row>
    <row r="900" spans="1:29" ht="12.9">
      <c r="A900" s="24"/>
      <c r="B900" s="24"/>
      <c r="C900" s="24"/>
      <c r="D900" s="24"/>
      <c r="E900" s="24"/>
      <c r="F900" s="117"/>
      <c r="G900" s="117"/>
      <c r="H900" s="24"/>
      <c r="I900" s="24"/>
      <c r="J900" s="24"/>
      <c r="K900" s="24"/>
      <c r="L900" s="24"/>
      <c r="M900" s="24"/>
      <c r="N900" s="24"/>
      <c r="O900" s="24"/>
      <c r="P900" s="24"/>
      <c r="Q900" s="24"/>
      <c r="R900" s="24"/>
      <c r="S900" s="24"/>
      <c r="T900" s="24"/>
      <c r="U900" s="24"/>
      <c r="V900" s="24"/>
      <c r="W900" s="24"/>
      <c r="X900" s="24"/>
      <c r="Y900" s="24"/>
      <c r="Z900" s="24"/>
      <c r="AA900" s="24"/>
      <c r="AB900" s="24"/>
      <c r="AC900" s="24"/>
    </row>
    <row r="901" spans="1:29" ht="12.9">
      <c r="A901" s="24"/>
      <c r="B901" s="24"/>
      <c r="C901" s="24"/>
      <c r="D901" s="24"/>
      <c r="E901" s="24"/>
      <c r="F901" s="117"/>
      <c r="G901" s="117"/>
      <c r="H901" s="24"/>
      <c r="I901" s="24"/>
      <c r="J901" s="24"/>
      <c r="K901" s="24"/>
      <c r="L901" s="24"/>
      <c r="M901" s="24"/>
      <c r="N901" s="24"/>
      <c r="O901" s="24"/>
      <c r="P901" s="24"/>
      <c r="Q901" s="24"/>
      <c r="R901" s="24"/>
      <c r="S901" s="24"/>
      <c r="T901" s="24"/>
      <c r="U901" s="24"/>
      <c r="V901" s="24"/>
      <c r="W901" s="24"/>
      <c r="X901" s="24"/>
      <c r="Y901" s="24"/>
      <c r="Z901" s="24"/>
      <c r="AA901" s="24"/>
      <c r="AB901" s="24"/>
      <c r="AC901" s="24"/>
    </row>
    <row r="902" spans="1:29" ht="12.9">
      <c r="A902" s="24"/>
      <c r="B902" s="24"/>
      <c r="C902" s="24"/>
      <c r="D902" s="24"/>
      <c r="E902" s="24"/>
      <c r="F902" s="117"/>
      <c r="G902" s="117"/>
      <c r="H902" s="24"/>
      <c r="I902" s="24"/>
      <c r="J902" s="24"/>
      <c r="K902" s="24"/>
      <c r="L902" s="24"/>
      <c r="M902" s="24"/>
      <c r="N902" s="24"/>
      <c r="O902" s="24"/>
      <c r="P902" s="24"/>
      <c r="Q902" s="24"/>
      <c r="R902" s="24"/>
      <c r="S902" s="24"/>
      <c r="T902" s="24"/>
      <c r="U902" s="24"/>
      <c r="V902" s="24"/>
      <c r="W902" s="24"/>
      <c r="X902" s="24"/>
      <c r="Y902" s="24"/>
      <c r="Z902" s="24"/>
      <c r="AA902" s="24"/>
      <c r="AB902" s="24"/>
      <c r="AC902" s="24"/>
    </row>
    <row r="903" spans="1:29" ht="12.9">
      <c r="A903" s="24"/>
      <c r="B903" s="24"/>
      <c r="C903" s="24"/>
      <c r="D903" s="24"/>
      <c r="E903" s="24"/>
      <c r="F903" s="117"/>
      <c r="G903" s="117"/>
      <c r="H903" s="24"/>
      <c r="I903" s="24"/>
      <c r="J903" s="24"/>
      <c r="K903" s="24"/>
      <c r="L903" s="24"/>
      <c r="M903" s="24"/>
      <c r="N903" s="24"/>
      <c r="O903" s="24"/>
      <c r="P903" s="24"/>
      <c r="Q903" s="24"/>
      <c r="R903" s="24"/>
      <c r="S903" s="24"/>
      <c r="T903" s="24"/>
      <c r="U903" s="24"/>
      <c r="V903" s="24"/>
      <c r="W903" s="24"/>
      <c r="X903" s="24"/>
      <c r="Y903" s="24"/>
      <c r="Z903" s="24"/>
      <c r="AA903" s="24"/>
      <c r="AB903" s="24"/>
      <c r="AC903" s="24"/>
    </row>
    <row r="904" spans="1:29" ht="12.9">
      <c r="A904" s="24"/>
      <c r="B904" s="24"/>
      <c r="C904" s="24"/>
      <c r="D904" s="24"/>
      <c r="E904" s="24"/>
      <c r="F904" s="117"/>
      <c r="G904" s="117"/>
      <c r="H904" s="24"/>
      <c r="I904" s="24"/>
      <c r="J904" s="24"/>
      <c r="K904" s="24"/>
      <c r="L904" s="24"/>
      <c r="M904" s="24"/>
      <c r="N904" s="24"/>
      <c r="O904" s="24"/>
      <c r="P904" s="24"/>
      <c r="Q904" s="24"/>
      <c r="R904" s="24"/>
      <c r="S904" s="24"/>
      <c r="T904" s="24"/>
      <c r="U904" s="24"/>
      <c r="V904" s="24"/>
      <c r="W904" s="24"/>
      <c r="X904" s="24"/>
      <c r="Y904" s="24"/>
      <c r="Z904" s="24"/>
      <c r="AA904" s="24"/>
      <c r="AB904" s="24"/>
      <c r="AC904" s="24"/>
    </row>
    <row r="905" spans="1:29" ht="12.9">
      <c r="A905" s="24"/>
      <c r="B905" s="24"/>
      <c r="C905" s="24"/>
      <c r="D905" s="24"/>
      <c r="E905" s="24"/>
      <c r="F905" s="117"/>
      <c r="G905" s="117"/>
      <c r="H905" s="24"/>
      <c r="I905" s="24"/>
      <c r="J905" s="24"/>
      <c r="K905" s="24"/>
      <c r="L905" s="24"/>
      <c r="M905" s="24"/>
      <c r="N905" s="24"/>
      <c r="O905" s="24"/>
      <c r="P905" s="24"/>
      <c r="Q905" s="24"/>
      <c r="R905" s="24"/>
      <c r="S905" s="24"/>
      <c r="T905" s="24"/>
      <c r="U905" s="24"/>
      <c r="V905" s="24"/>
      <c r="W905" s="24"/>
      <c r="X905" s="24"/>
      <c r="Y905" s="24"/>
      <c r="Z905" s="24"/>
      <c r="AA905" s="24"/>
      <c r="AB905" s="24"/>
      <c r="AC905" s="24"/>
    </row>
    <row r="906" spans="1:29" ht="12.9">
      <c r="A906" s="24"/>
      <c r="B906" s="24"/>
      <c r="C906" s="24"/>
      <c r="D906" s="24"/>
      <c r="E906" s="24"/>
      <c r="F906" s="117"/>
      <c r="G906" s="117"/>
      <c r="H906" s="24"/>
      <c r="I906" s="24"/>
      <c r="J906" s="24"/>
      <c r="K906" s="24"/>
      <c r="L906" s="24"/>
      <c r="M906" s="24"/>
      <c r="N906" s="24"/>
      <c r="O906" s="24"/>
      <c r="P906" s="24"/>
      <c r="Q906" s="24"/>
      <c r="R906" s="24"/>
      <c r="S906" s="24"/>
      <c r="T906" s="24"/>
      <c r="U906" s="24"/>
      <c r="V906" s="24"/>
      <c r="W906" s="24"/>
      <c r="X906" s="24"/>
      <c r="Y906" s="24"/>
      <c r="Z906" s="24"/>
      <c r="AA906" s="24"/>
      <c r="AB906" s="24"/>
      <c r="AC906" s="24"/>
    </row>
    <row r="907" spans="1:29" ht="12.9">
      <c r="A907" s="24"/>
      <c r="B907" s="24"/>
      <c r="C907" s="24"/>
      <c r="D907" s="24"/>
      <c r="E907" s="24"/>
      <c r="F907" s="117"/>
      <c r="G907" s="117"/>
      <c r="H907" s="24"/>
      <c r="I907" s="24"/>
      <c r="J907" s="24"/>
      <c r="K907" s="24"/>
      <c r="L907" s="24"/>
      <c r="M907" s="24"/>
      <c r="N907" s="24"/>
      <c r="O907" s="24"/>
      <c r="P907" s="24"/>
      <c r="Q907" s="24"/>
      <c r="R907" s="24"/>
      <c r="S907" s="24"/>
      <c r="T907" s="24"/>
      <c r="U907" s="24"/>
      <c r="V907" s="24"/>
      <c r="W907" s="24"/>
      <c r="X907" s="24"/>
      <c r="Y907" s="24"/>
      <c r="Z907" s="24"/>
      <c r="AA907" s="24"/>
      <c r="AB907" s="24"/>
      <c r="AC907" s="24"/>
    </row>
    <row r="908" spans="1:29" ht="12.9">
      <c r="A908" s="24"/>
      <c r="B908" s="24"/>
      <c r="C908" s="24"/>
      <c r="D908" s="24"/>
      <c r="E908" s="24"/>
      <c r="F908" s="117"/>
      <c r="G908" s="117"/>
      <c r="H908" s="24"/>
      <c r="I908" s="24"/>
      <c r="J908" s="24"/>
      <c r="K908" s="24"/>
      <c r="L908" s="24"/>
      <c r="M908" s="24"/>
      <c r="N908" s="24"/>
      <c r="O908" s="24"/>
      <c r="P908" s="24"/>
      <c r="Q908" s="24"/>
      <c r="R908" s="24"/>
      <c r="S908" s="24"/>
      <c r="T908" s="24"/>
      <c r="U908" s="24"/>
      <c r="V908" s="24"/>
      <c r="W908" s="24"/>
      <c r="X908" s="24"/>
      <c r="Y908" s="24"/>
      <c r="Z908" s="24"/>
      <c r="AA908" s="24"/>
      <c r="AB908" s="24"/>
      <c r="AC908" s="24"/>
    </row>
    <row r="909" spans="1:29" ht="12.9">
      <c r="A909" s="24"/>
      <c r="B909" s="24"/>
      <c r="C909" s="24"/>
      <c r="D909" s="24"/>
      <c r="E909" s="24"/>
      <c r="F909" s="117"/>
      <c r="G909" s="117"/>
      <c r="H909" s="24"/>
      <c r="I909" s="24"/>
      <c r="J909" s="24"/>
      <c r="K909" s="24"/>
      <c r="L909" s="24"/>
      <c r="M909" s="24"/>
      <c r="N909" s="24"/>
      <c r="O909" s="24"/>
      <c r="P909" s="24"/>
      <c r="Q909" s="24"/>
      <c r="R909" s="24"/>
      <c r="S909" s="24"/>
      <c r="T909" s="24"/>
      <c r="U909" s="24"/>
      <c r="V909" s="24"/>
      <c r="W909" s="24"/>
      <c r="X909" s="24"/>
      <c r="Y909" s="24"/>
      <c r="Z909" s="24"/>
      <c r="AA909" s="24"/>
      <c r="AB909" s="24"/>
      <c r="AC909" s="24"/>
    </row>
    <row r="910" spans="1:29" ht="12.9">
      <c r="A910" s="24"/>
      <c r="B910" s="24"/>
      <c r="C910" s="24"/>
      <c r="D910" s="24"/>
      <c r="E910" s="24"/>
      <c r="F910" s="117"/>
      <c r="G910" s="117"/>
      <c r="H910" s="24"/>
      <c r="I910" s="24"/>
      <c r="J910" s="24"/>
      <c r="K910" s="24"/>
      <c r="L910" s="24"/>
      <c r="M910" s="24"/>
      <c r="N910" s="24"/>
      <c r="O910" s="24"/>
      <c r="P910" s="24"/>
      <c r="Q910" s="24"/>
      <c r="R910" s="24"/>
      <c r="S910" s="24"/>
      <c r="T910" s="24"/>
      <c r="U910" s="24"/>
      <c r="V910" s="24"/>
      <c r="W910" s="24"/>
      <c r="X910" s="24"/>
      <c r="Y910" s="24"/>
      <c r="Z910" s="24"/>
      <c r="AA910" s="24"/>
      <c r="AB910" s="24"/>
      <c r="AC910" s="24"/>
    </row>
    <row r="911" spans="1:29" ht="12.9">
      <c r="A911" s="24"/>
      <c r="B911" s="24"/>
      <c r="C911" s="24"/>
      <c r="D911" s="24"/>
      <c r="E911" s="24"/>
      <c r="F911" s="117"/>
      <c r="G911" s="117"/>
      <c r="H911" s="24"/>
      <c r="I911" s="24"/>
      <c r="J911" s="24"/>
      <c r="K911" s="24"/>
      <c r="L911" s="24"/>
      <c r="M911" s="24"/>
      <c r="N911" s="24"/>
      <c r="O911" s="24"/>
      <c r="P911" s="24"/>
      <c r="Q911" s="24"/>
      <c r="R911" s="24"/>
      <c r="S911" s="24"/>
      <c r="T911" s="24"/>
      <c r="U911" s="24"/>
      <c r="V911" s="24"/>
      <c r="W911" s="24"/>
      <c r="X911" s="24"/>
      <c r="Y911" s="24"/>
      <c r="Z911" s="24"/>
      <c r="AA911" s="24"/>
      <c r="AB911" s="24"/>
      <c r="AC911" s="24"/>
    </row>
    <row r="912" spans="1:29" ht="12.9">
      <c r="A912" s="24"/>
      <c r="B912" s="24"/>
      <c r="C912" s="24"/>
      <c r="D912" s="24"/>
      <c r="E912" s="24"/>
      <c r="F912" s="117"/>
      <c r="G912" s="117"/>
      <c r="H912" s="24"/>
      <c r="I912" s="24"/>
      <c r="J912" s="24"/>
      <c r="K912" s="24"/>
      <c r="L912" s="24"/>
      <c r="M912" s="24"/>
      <c r="N912" s="24"/>
      <c r="O912" s="24"/>
      <c r="P912" s="24"/>
      <c r="Q912" s="24"/>
      <c r="R912" s="24"/>
      <c r="S912" s="24"/>
      <c r="T912" s="24"/>
      <c r="U912" s="24"/>
      <c r="V912" s="24"/>
      <c r="W912" s="24"/>
      <c r="X912" s="24"/>
      <c r="Y912" s="24"/>
      <c r="Z912" s="24"/>
      <c r="AA912" s="24"/>
      <c r="AB912" s="24"/>
      <c r="AC912" s="24"/>
    </row>
    <row r="913" spans="1:29" ht="12.9">
      <c r="A913" s="24"/>
      <c r="B913" s="24"/>
      <c r="C913" s="24"/>
      <c r="D913" s="24"/>
      <c r="E913" s="24"/>
      <c r="F913" s="117"/>
      <c r="G913" s="117"/>
      <c r="H913" s="24"/>
      <c r="I913" s="24"/>
      <c r="J913" s="24"/>
      <c r="K913" s="24"/>
      <c r="L913" s="24"/>
      <c r="M913" s="24"/>
      <c r="N913" s="24"/>
      <c r="O913" s="24"/>
      <c r="P913" s="24"/>
      <c r="Q913" s="24"/>
      <c r="R913" s="24"/>
      <c r="S913" s="24"/>
      <c r="T913" s="24"/>
      <c r="U913" s="24"/>
      <c r="V913" s="24"/>
      <c r="W913" s="24"/>
      <c r="X913" s="24"/>
      <c r="Y913" s="24"/>
      <c r="Z913" s="24"/>
      <c r="AA913" s="24"/>
      <c r="AB913" s="24"/>
      <c r="AC913" s="24"/>
    </row>
    <row r="914" spans="1:29" ht="12.9">
      <c r="A914" s="24"/>
      <c r="B914" s="24"/>
      <c r="C914" s="24"/>
      <c r="D914" s="24"/>
      <c r="E914" s="24"/>
      <c r="F914" s="117"/>
      <c r="G914" s="117"/>
      <c r="H914" s="24"/>
      <c r="I914" s="24"/>
      <c r="J914" s="24"/>
      <c r="K914" s="24"/>
      <c r="L914" s="24"/>
      <c r="M914" s="24"/>
      <c r="N914" s="24"/>
      <c r="O914" s="24"/>
      <c r="P914" s="24"/>
      <c r="Q914" s="24"/>
      <c r="R914" s="24"/>
      <c r="S914" s="24"/>
      <c r="T914" s="24"/>
      <c r="U914" s="24"/>
      <c r="V914" s="24"/>
      <c r="W914" s="24"/>
      <c r="X914" s="24"/>
      <c r="Y914" s="24"/>
      <c r="Z914" s="24"/>
      <c r="AA914" s="24"/>
      <c r="AB914" s="24"/>
      <c r="AC914" s="24"/>
    </row>
    <row r="915" spans="1:29" ht="12.9">
      <c r="A915" s="24"/>
      <c r="B915" s="24"/>
      <c r="C915" s="24"/>
      <c r="D915" s="24"/>
      <c r="E915" s="24"/>
      <c r="F915" s="117"/>
      <c r="G915" s="117"/>
      <c r="H915" s="24"/>
      <c r="I915" s="24"/>
      <c r="J915" s="24"/>
      <c r="K915" s="24"/>
      <c r="L915" s="24"/>
      <c r="M915" s="24"/>
      <c r="N915" s="24"/>
      <c r="O915" s="24"/>
      <c r="P915" s="24"/>
      <c r="Q915" s="24"/>
      <c r="R915" s="24"/>
      <c r="S915" s="24"/>
      <c r="T915" s="24"/>
      <c r="U915" s="24"/>
      <c r="V915" s="24"/>
      <c r="W915" s="24"/>
      <c r="X915" s="24"/>
      <c r="Y915" s="24"/>
      <c r="Z915" s="24"/>
      <c r="AA915" s="24"/>
      <c r="AB915" s="24"/>
      <c r="AC915" s="24"/>
    </row>
    <row r="916" spans="1:29" ht="12.9">
      <c r="A916" s="24"/>
      <c r="B916" s="24"/>
      <c r="C916" s="24"/>
      <c r="D916" s="24"/>
      <c r="E916" s="24"/>
      <c r="F916" s="117"/>
      <c r="G916" s="117"/>
      <c r="H916" s="24"/>
      <c r="I916" s="24"/>
      <c r="J916" s="24"/>
      <c r="K916" s="24"/>
      <c r="L916" s="24"/>
      <c r="M916" s="24"/>
      <c r="N916" s="24"/>
      <c r="O916" s="24"/>
      <c r="P916" s="24"/>
      <c r="Q916" s="24"/>
      <c r="R916" s="24"/>
      <c r="S916" s="24"/>
      <c r="T916" s="24"/>
      <c r="U916" s="24"/>
      <c r="V916" s="24"/>
      <c r="W916" s="24"/>
      <c r="X916" s="24"/>
      <c r="Y916" s="24"/>
      <c r="Z916" s="24"/>
      <c r="AA916" s="24"/>
      <c r="AB916" s="24"/>
      <c r="AC916" s="24"/>
    </row>
    <row r="917" spans="1:29" ht="12.9">
      <c r="A917" s="24"/>
      <c r="B917" s="24"/>
      <c r="C917" s="24"/>
      <c r="D917" s="24"/>
      <c r="E917" s="24"/>
      <c r="F917" s="117"/>
      <c r="G917" s="117"/>
      <c r="H917" s="24"/>
      <c r="I917" s="24"/>
      <c r="J917" s="24"/>
      <c r="K917" s="24"/>
      <c r="L917" s="24"/>
      <c r="M917" s="24"/>
      <c r="N917" s="24"/>
      <c r="O917" s="24"/>
      <c r="P917" s="24"/>
      <c r="Q917" s="24"/>
      <c r="R917" s="24"/>
      <c r="S917" s="24"/>
      <c r="T917" s="24"/>
      <c r="U917" s="24"/>
      <c r="V917" s="24"/>
      <c r="W917" s="24"/>
      <c r="X917" s="24"/>
      <c r="Y917" s="24"/>
      <c r="Z917" s="24"/>
      <c r="AA917" s="24"/>
      <c r="AB917" s="24"/>
      <c r="AC917" s="24"/>
    </row>
    <row r="918" spans="1:29" ht="12.9">
      <c r="A918" s="24"/>
      <c r="B918" s="24"/>
      <c r="C918" s="24"/>
      <c r="D918" s="24"/>
      <c r="E918" s="24"/>
      <c r="F918" s="117"/>
      <c r="G918" s="117"/>
      <c r="H918" s="24"/>
      <c r="I918" s="24"/>
      <c r="J918" s="24"/>
      <c r="K918" s="24"/>
      <c r="L918" s="24"/>
      <c r="M918" s="24"/>
      <c r="N918" s="24"/>
      <c r="O918" s="24"/>
      <c r="P918" s="24"/>
      <c r="Q918" s="24"/>
      <c r="R918" s="24"/>
      <c r="S918" s="24"/>
      <c r="T918" s="24"/>
      <c r="U918" s="24"/>
      <c r="V918" s="24"/>
      <c r="W918" s="24"/>
      <c r="X918" s="24"/>
      <c r="Y918" s="24"/>
      <c r="Z918" s="24"/>
      <c r="AA918" s="24"/>
      <c r="AB918" s="24"/>
      <c r="AC918" s="24"/>
    </row>
    <row r="919" spans="1:29" ht="12.9">
      <c r="A919" s="24"/>
      <c r="B919" s="24"/>
      <c r="C919" s="24"/>
      <c r="D919" s="24"/>
      <c r="E919" s="24"/>
      <c r="F919" s="117"/>
      <c r="G919" s="117"/>
      <c r="H919" s="24"/>
      <c r="I919" s="24"/>
      <c r="J919" s="24"/>
      <c r="K919" s="24"/>
      <c r="L919" s="24"/>
      <c r="M919" s="24"/>
      <c r="N919" s="24"/>
      <c r="O919" s="24"/>
      <c r="P919" s="24"/>
      <c r="Q919" s="24"/>
      <c r="R919" s="24"/>
      <c r="S919" s="24"/>
      <c r="T919" s="24"/>
      <c r="U919" s="24"/>
      <c r="V919" s="24"/>
      <c r="W919" s="24"/>
      <c r="X919" s="24"/>
      <c r="Y919" s="24"/>
      <c r="Z919" s="24"/>
      <c r="AA919" s="24"/>
      <c r="AB919" s="24"/>
      <c r="AC919" s="24"/>
    </row>
    <row r="920" spans="1:29" ht="12.9">
      <c r="A920" s="24"/>
      <c r="B920" s="24"/>
      <c r="C920" s="24"/>
      <c r="D920" s="24"/>
      <c r="E920" s="24"/>
      <c r="F920" s="117"/>
      <c r="G920" s="117"/>
      <c r="H920" s="24"/>
      <c r="I920" s="24"/>
      <c r="J920" s="24"/>
      <c r="K920" s="24"/>
      <c r="L920" s="24"/>
      <c r="M920" s="24"/>
      <c r="N920" s="24"/>
      <c r="O920" s="24"/>
      <c r="P920" s="24"/>
      <c r="Q920" s="24"/>
      <c r="R920" s="24"/>
      <c r="S920" s="24"/>
      <c r="T920" s="24"/>
      <c r="U920" s="24"/>
      <c r="V920" s="24"/>
      <c r="W920" s="24"/>
      <c r="X920" s="24"/>
      <c r="Y920" s="24"/>
      <c r="Z920" s="24"/>
      <c r="AA920" s="24"/>
      <c r="AB920" s="24"/>
      <c r="AC920" s="24"/>
    </row>
    <row r="921" spans="1:29" ht="12.9">
      <c r="A921" s="24"/>
      <c r="B921" s="24"/>
      <c r="C921" s="24"/>
      <c r="D921" s="24"/>
      <c r="E921" s="24"/>
      <c r="F921" s="117"/>
      <c r="G921" s="117"/>
      <c r="H921" s="24"/>
      <c r="I921" s="24"/>
      <c r="J921" s="24"/>
      <c r="K921" s="24"/>
      <c r="L921" s="24"/>
      <c r="M921" s="24"/>
      <c r="N921" s="24"/>
      <c r="O921" s="24"/>
      <c r="P921" s="24"/>
      <c r="Q921" s="24"/>
      <c r="R921" s="24"/>
      <c r="S921" s="24"/>
      <c r="T921" s="24"/>
      <c r="U921" s="24"/>
      <c r="V921" s="24"/>
      <c r="W921" s="24"/>
      <c r="X921" s="24"/>
      <c r="Y921" s="24"/>
      <c r="Z921" s="24"/>
      <c r="AA921" s="24"/>
      <c r="AB921" s="24"/>
      <c r="AC921" s="24"/>
    </row>
    <row r="922" spans="1:29" ht="12.9">
      <c r="A922" s="24"/>
      <c r="B922" s="24"/>
      <c r="C922" s="24"/>
      <c r="D922" s="24"/>
      <c r="E922" s="24"/>
      <c r="F922" s="117"/>
      <c r="G922" s="117"/>
      <c r="H922" s="24"/>
      <c r="I922" s="24"/>
      <c r="J922" s="24"/>
      <c r="K922" s="24"/>
      <c r="L922" s="24"/>
      <c r="M922" s="24"/>
      <c r="N922" s="24"/>
      <c r="O922" s="24"/>
      <c r="P922" s="24"/>
      <c r="Q922" s="24"/>
      <c r="R922" s="24"/>
      <c r="S922" s="24"/>
      <c r="T922" s="24"/>
      <c r="U922" s="24"/>
      <c r="V922" s="24"/>
      <c r="W922" s="24"/>
      <c r="X922" s="24"/>
      <c r="Y922" s="24"/>
      <c r="Z922" s="24"/>
      <c r="AA922" s="24"/>
      <c r="AB922" s="24"/>
      <c r="AC922" s="24"/>
    </row>
    <row r="923" spans="1:29" ht="12.9">
      <c r="A923" s="24"/>
      <c r="B923" s="24"/>
      <c r="C923" s="24"/>
      <c r="D923" s="24"/>
      <c r="E923" s="24"/>
      <c r="F923" s="117"/>
      <c r="G923" s="117"/>
      <c r="H923" s="24"/>
      <c r="I923" s="24"/>
      <c r="J923" s="24"/>
      <c r="K923" s="24"/>
      <c r="L923" s="24"/>
      <c r="M923" s="24"/>
      <c r="N923" s="24"/>
      <c r="O923" s="24"/>
      <c r="P923" s="24"/>
      <c r="Q923" s="24"/>
      <c r="R923" s="24"/>
      <c r="S923" s="24"/>
      <c r="T923" s="24"/>
      <c r="U923" s="24"/>
      <c r="V923" s="24"/>
      <c r="W923" s="24"/>
      <c r="X923" s="24"/>
      <c r="Y923" s="24"/>
      <c r="Z923" s="24"/>
      <c r="AA923" s="24"/>
      <c r="AB923" s="24"/>
      <c r="AC923" s="24"/>
    </row>
    <row r="924" spans="1:29" ht="12.9">
      <c r="A924" s="24"/>
      <c r="B924" s="24"/>
      <c r="C924" s="24"/>
      <c r="D924" s="24"/>
      <c r="E924" s="24"/>
      <c r="F924" s="117"/>
      <c r="G924" s="117"/>
      <c r="H924" s="24"/>
      <c r="I924" s="24"/>
      <c r="J924" s="24"/>
      <c r="K924" s="24"/>
      <c r="L924" s="24"/>
      <c r="M924" s="24"/>
      <c r="N924" s="24"/>
      <c r="O924" s="24"/>
      <c r="P924" s="24"/>
      <c r="Q924" s="24"/>
      <c r="R924" s="24"/>
      <c r="S924" s="24"/>
      <c r="T924" s="24"/>
      <c r="U924" s="24"/>
      <c r="V924" s="24"/>
      <c r="W924" s="24"/>
      <c r="X924" s="24"/>
      <c r="Y924" s="24"/>
      <c r="Z924" s="24"/>
      <c r="AA924" s="24"/>
      <c r="AB924" s="24"/>
      <c r="AC924" s="24"/>
    </row>
    <row r="925" spans="1:29" ht="12.9">
      <c r="A925" s="24"/>
      <c r="B925" s="24"/>
      <c r="C925" s="24"/>
      <c r="D925" s="24"/>
      <c r="E925" s="24"/>
      <c r="F925" s="117"/>
      <c r="G925" s="117"/>
      <c r="H925" s="24"/>
      <c r="I925" s="24"/>
      <c r="J925" s="24"/>
      <c r="K925" s="24"/>
      <c r="L925" s="24"/>
      <c r="M925" s="24"/>
      <c r="N925" s="24"/>
      <c r="O925" s="24"/>
      <c r="P925" s="24"/>
      <c r="Q925" s="24"/>
      <c r="R925" s="24"/>
      <c r="S925" s="24"/>
      <c r="T925" s="24"/>
      <c r="U925" s="24"/>
      <c r="V925" s="24"/>
      <c r="W925" s="24"/>
      <c r="X925" s="24"/>
      <c r="Y925" s="24"/>
      <c r="Z925" s="24"/>
      <c r="AA925" s="24"/>
      <c r="AB925" s="24"/>
      <c r="AC925" s="24"/>
    </row>
    <row r="926" spans="1:29" ht="12.9">
      <c r="A926" s="24"/>
      <c r="B926" s="24"/>
      <c r="C926" s="24"/>
      <c r="D926" s="24"/>
      <c r="E926" s="24"/>
      <c r="F926" s="117"/>
      <c r="G926" s="117"/>
      <c r="H926" s="24"/>
      <c r="I926" s="24"/>
      <c r="J926" s="24"/>
      <c r="K926" s="24"/>
      <c r="L926" s="24"/>
      <c r="M926" s="24"/>
      <c r="N926" s="24"/>
      <c r="O926" s="24"/>
      <c r="P926" s="24"/>
      <c r="Q926" s="24"/>
      <c r="R926" s="24"/>
      <c r="S926" s="24"/>
      <c r="T926" s="24"/>
      <c r="U926" s="24"/>
      <c r="V926" s="24"/>
      <c r="W926" s="24"/>
      <c r="X926" s="24"/>
      <c r="Y926" s="24"/>
      <c r="Z926" s="24"/>
      <c r="AA926" s="24"/>
      <c r="AB926" s="24"/>
      <c r="AC926" s="24"/>
    </row>
    <row r="927" spans="1:29" ht="12.9">
      <c r="A927" s="24"/>
      <c r="B927" s="24"/>
      <c r="C927" s="24"/>
      <c r="D927" s="24"/>
      <c r="E927" s="24"/>
      <c r="F927" s="117"/>
      <c r="G927" s="117"/>
      <c r="H927" s="24"/>
      <c r="I927" s="24"/>
      <c r="J927" s="24"/>
      <c r="K927" s="24"/>
      <c r="L927" s="24"/>
      <c r="M927" s="24"/>
      <c r="N927" s="24"/>
      <c r="O927" s="24"/>
      <c r="P927" s="24"/>
      <c r="Q927" s="24"/>
      <c r="R927" s="24"/>
      <c r="S927" s="24"/>
      <c r="T927" s="24"/>
      <c r="U927" s="24"/>
      <c r="V927" s="24"/>
      <c r="W927" s="24"/>
      <c r="X927" s="24"/>
      <c r="Y927" s="24"/>
      <c r="Z927" s="24"/>
      <c r="AA927" s="24"/>
      <c r="AB927" s="24"/>
      <c r="AC927" s="24"/>
    </row>
    <row r="928" spans="1:29" ht="12.9">
      <c r="A928" s="24"/>
      <c r="B928" s="24"/>
      <c r="C928" s="24"/>
      <c r="D928" s="24"/>
      <c r="E928" s="24"/>
      <c r="F928" s="117"/>
      <c r="G928" s="117"/>
      <c r="H928" s="24"/>
      <c r="I928" s="24"/>
      <c r="J928" s="24"/>
      <c r="K928" s="24"/>
      <c r="L928" s="24"/>
      <c r="M928" s="24"/>
      <c r="N928" s="24"/>
      <c r="O928" s="24"/>
      <c r="P928" s="24"/>
      <c r="Q928" s="24"/>
      <c r="R928" s="24"/>
      <c r="S928" s="24"/>
      <c r="T928" s="24"/>
      <c r="U928" s="24"/>
      <c r="V928" s="24"/>
      <c r="W928" s="24"/>
      <c r="X928" s="24"/>
      <c r="Y928" s="24"/>
      <c r="Z928" s="24"/>
      <c r="AA928" s="24"/>
      <c r="AB928" s="24"/>
      <c r="AC928" s="24"/>
    </row>
    <row r="929" spans="1:29" ht="12.9">
      <c r="A929" s="24"/>
      <c r="B929" s="24"/>
      <c r="C929" s="24"/>
      <c r="D929" s="24"/>
      <c r="E929" s="24"/>
      <c r="F929" s="117"/>
      <c r="G929" s="117"/>
      <c r="H929" s="24"/>
      <c r="I929" s="24"/>
      <c r="J929" s="24"/>
      <c r="K929" s="24"/>
      <c r="L929" s="24"/>
      <c r="M929" s="24"/>
      <c r="N929" s="24"/>
      <c r="O929" s="24"/>
      <c r="P929" s="24"/>
      <c r="Q929" s="24"/>
      <c r="R929" s="24"/>
      <c r="S929" s="24"/>
      <c r="T929" s="24"/>
      <c r="U929" s="24"/>
      <c r="V929" s="24"/>
      <c r="W929" s="24"/>
      <c r="X929" s="24"/>
      <c r="Y929" s="24"/>
      <c r="Z929" s="24"/>
      <c r="AA929" s="24"/>
      <c r="AB929" s="24"/>
      <c r="AC929" s="24"/>
    </row>
    <row r="930" spans="1:29" ht="12.9">
      <c r="A930" s="24"/>
      <c r="B930" s="24"/>
      <c r="C930" s="24"/>
      <c r="D930" s="24"/>
      <c r="E930" s="24"/>
      <c r="F930" s="117"/>
      <c r="G930" s="117"/>
      <c r="H930" s="24"/>
      <c r="I930" s="24"/>
      <c r="J930" s="24"/>
      <c r="K930" s="24"/>
      <c r="L930" s="24"/>
      <c r="M930" s="24"/>
      <c r="N930" s="24"/>
      <c r="O930" s="24"/>
      <c r="P930" s="24"/>
      <c r="Q930" s="24"/>
      <c r="R930" s="24"/>
      <c r="S930" s="24"/>
      <c r="T930" s="24"/>
      <c r="U930" s="24"/>
      <c r="V930" s="24"/>
      <c r="W930" s="24"/>
      <c r="X930" s="24"/>
      <c r="Y930" s="24"/>
      <c r="Z930" s="24"/>
      <c r="AA930" s="24"/>
      <c r="AB930" s="24"/>
      <c r="AC930" s="24"/>
    </row>
    <row r="931" spans="1:29" ht="12.9">
      <c r="A931" s="24"/>
      <c r="B931" s="24"/>
      <c r="C931" s="24"/>
      <c r="D931" s="24"/>
      <c r="E931" s="24"/>
      <c r="F931" s="117"/>
      <c r="G931" s="117"/>
      <c r="H931" s="24"/>
      <c r="I931" s="24"/>
      <c r="J931" s="24"/>
      <c r="K931" s="24"/>
      <c r="L931" s="24"/>
      <c r="M931" s="24"/>
      <c r="N931" s="24"/>
      <c r="O931" s="24"/>
      <c r="P931" s="24"/>
      <c r="Q931" s="24"/>
      <c r="R931" s="24"/>
      <c r="S931" s="24"/>
      <c r="T931" s="24"/>
      <c r="U931" s="24"/>
      <c r="V931" s="24"/>
      <c r="W931" s="24"/>
      <c r="X931" s="24"/>
      <c r="Y931" s="24"/>
      <c r="Z931" s="24"/>
      <c r="AA931" s="24"/>
      <c r="AB931" s="24"/>
      <c r="AC931" s="24"/>
    </row>
    <row r="932" spans="1:29" ht="12.9">
      <c r="A932" s="24"/>
      <c r="B932" s="24"/>
      <c r="C932" s="24"/>
      <c r="D932" s="24"/>
      <c r="E932" s="24"/>
      <c r="F932" s="117"/>
      <c r="G932" s="117"/>
      <c r="H932" s="24"/>
      <c r="I932" s="24"/>
      <c r="J932" s="24"/>
      <c r="K932" s="24"/>
      <c r="L932" s="24"/>
      <c r="M932" s="24"/>
      <c r="N932" s="24"/>
      <c r="O932" s="24"/>
      <c r="P932" s="24"/>
      <c r="Q932" s="24"/>
      <c r="R932" s="24"/>
      <c r="S932" s="24"/>
      <c r="T932" s="24"/>
      <c r="U932" s="24"/>
      <c r="V932" s="24"/>
      <c r="W932" s="24"/>
      <c r="X932" s="24"/>
      <c r="Y932" s="24"/>
      <c r="Z932" s="24"/>
      <c r="AA932" s="24"/>
      <c r="AB932" s="24"/>
      <c r="AC932" s="24"/>
    </row>
    <row r="933" spans="1:29" ht="12.9">
      <c r="A933" s="24"/>
      <c r="B933" s="24"/>
      <c r="C933" s="24"/>
      <c r="D933" s="24"/>
      <c r="E933" s="24"/>
      <c r="F933" s="117"/>
      <c r="G933" s="117"/>
      <c r="H933" s="24"/>
      <c r="I933" s="24"/>
      <c r="J933" s="24"/>
      <c r="K933" s="24"/>
      <c r="L933" s="24"/>
      <c r="M933" s="24"/>
      <c r="N933" s="24"/>
      <c r="O933" s="24"/>
      <c r="P933" s="24"/>
      <c r="Q933" s="24"/>
      <c r="R933" s="24"/>
      <c r="S933" s="24"/>
      <c r="T933" s="24"/>
      <c r="U933" s="24"/>
      <c r="V933" s="24"/>
      <c r="W933" s="24"/>
      <c r="X933" s="24"/>
      <c r="Y933" s="24"/>
      <c r="Z933" s="24"/>
      <c r="AA933" s="24"/>
      <c r="AB933" s="24"/>
      <c r="AC933" s="24"/>
    </row>
    <row r="934" spans="1:29" ht="12.9">
      <c r="A934" s="24"/>
      <c r="B934" s="24"/>
      <c r="C934" s="24"/>
      <c r="D934" s="24"/>
      <c r="E934" s="24"/>
      <c r="F934" s="117"/>
      <c r="G934" s="117"/>
      <c r="H934" s="24"/>
      <c r="I934" s="24"/>
      <c r="J934" s="24"/>
      <c r="K934" s="24"/>
      <c r="L934" s="24"/>
      <c r="M934" s="24"/>
      <c r="N934" s="24"/>
      <c r="O934" s="24"/>
      <c r="P934" s="24"/>
      <c r="Q934" s="24"/>
      <c r="R934" s="24"/>
      <c r="S934" s="24"/>
      <c r="T934" s="24"/>
      <c r="U934" s="24"/>
      <c r="V934" s="24"/>
      <c r="W934" s="24"/>
      <c r="X934" s="24"/>
      <c r="Y934" s="24"/>
      <c r="Z934" s="24"/>
      <c r="AA934" s="24"/>
      <c r="AB934" s="24"/>
      <c r="AC934" s="24"/>
    </row>
    <row r="935" spans="1:29" ht="12.9">
      <c r="A935" s="24"/>
      <c r="B935" s="24"/>
      <c r="C935" s="24"/>
      <c r="D935" s="24"/>
      <c r="E935" s="24"/>
      <c r="F935" s="117"/>
      <c r="G935" s="117"/>
      <c r="H935" s="24"/>
      <c r="I935" s="24"/>
      <c r="J935" s="24"/>
      <c r="K935" s="24"/>
      <c r="L935" s="24"/>
      <c r="M935" s="24"/>
      <c r="N935" s="24"/>
      <c r="O935" s="24"/>
      <c r="P935" s="24"/>
      <c r="Q935" s="24"/>
      <c r="R935" s="24"/>
      <c r="S935" s="24"/>
      <c r="T935" s="24"/>
      <c r="U935" s="24"/>
      <c r="V935" s="24"/>
      <c r="W935" s="24"/>
      <c r="X935" s="24"/>
      <c r="Y935" s="24"/>
      <c r="Z935" s="24"/>
      <c r="AA935" s="24"/>
      <c r="AB935" s="24"/>
      <c r="AC935" s="24"/>
    </row>
    <row r="936" spans="1:29" ht="12.9">
      <c r="A936" s="24"/>
      <c r="B936" s="24"/>
      <c r="C936" s="24"/>
      <c r="D936" s="24"/>
      <c r="E936" s="24"/>
      <c r="F936" s="117"/>
      <c r="G936" s="117"/>
      <c r="H936" s="24"/>
      <c r="I936" s="24"/>
      <c r="J936" s="24"/>
      <c r="K936" s="24"/>
      <c r="L936" s="24"/>
      <c r="M936" s="24"/>
      <c r="N936" s="24"/>
      <c r="O936" s="24"/>
      <c r="P936" s="24"/>
      <c r="Q936" s="24"/>
      <c r="R936" s="24"/>
      <c r="S936" s="24"/>
      <c r="T936" s="24"/>
      <c r="U936" s="24"/>
      <c r="V936" s="24"/>
      <c r="W936" s="24"/>
      <c r="X936" s="24"/>
      <c r="Y936" s="24"/>
      <c r="Z936" s="24"/>
      <c r="AA936" s="24"/>
      <c r="AB936" s="24"/>
      <c r="AC936" s="24"/>
    </row>
    <row r="937" spans="1:29" ht="12.9">
      <c r="A937" s="24"/>
      <c r="B937" s="24"/>
      <c r="C937" s="24"/>
      <c r="D937" s="24"/>
      <c r="E937" s="24"/>
      <c r="F937" s="117"/>
      <c r="G937" s="117"/>
      <c r="H937" s="24"/>
      <c r="I937" s="24"/>
      <c r="J937" s="24"/>
      <c r="K937" s="24"/>
      <c r="L937" s="24"/>
      <c r="M937" s="24"/>
      <c r="N937" s="24"/>
      <c r="O937" s="24"/>
      <c r="P937" s="24"/>
      <c r="Q937" s="24"/>
      <c r="R937" s="24"/>
      <c r="S937" s="24"/>
      <c r="T937" s="24"/>
      <c r="U937" s="24"/>
      <c r="V937" s="24"/>
      <c r="W937" s="24"/>
      <c r="X937" s="24"/>
      <c r="Y937" s="24"/>
      <c r="Z937" s="24"/>
      <c r="AA937" s="24"/>
      <c r="AB937" s="24"/>
      <c r="AC937" s="24"/>
    </row>
    <row r="938" spans="1:29" ht="12.9">
      <c r="A938" s="24"/>
      <c r="B938" s="24"/>
      <c r="C938" s="24"/>
      <c r="D938" s="24"/>
      <c r="E938" s="24"/>
      <c r="F938" s="117"/>
      <c r="G938" s="117"/>
      <c r="H938" s="24"/>
      <c r="I938" s="24"/>
      <c r="J938" s="24"/>
      <c r="K938" s="24"/>
      <c r="L938" s="24"/>
      <c r="M938" s="24"/>
      <c r="N938" s="24"/>
      <c r="O938" s="24"/>
      <c r="P938" s="24"/>
      <c r="Q938" s="24"/>
      <c r="R938" s="24"/>
      <c r="S938" s="24"/>
      <c r="T938" s="24"/>
      <c r="U938" s="24"/>
      <c r="V938" s="24"/>
      <c r="W938" s="24"/>
      <c r="X938" s="24"/>
      <c r="Y938" s="24"/>
      <c r="Z938" s="24"/>
      <c r="AA938" s="24"/>
      <c r="AB938" s="24"/>
      <c r="AC938" s="24"/>
    </row>
    <row r="939" spans="1:29" ht="12.9">
      <c r="A939" s="24"/>
      <c r="B939" s="24"/>
      <c r="C939" s="24"/>
      <c r="D939" s="24"/>
      <c r="E939" s="24"/>
      <c r="F939" s="117"/>
      <c r="G939" s="117"/>
      <c r="H939" s="24"/>
      <c r="I939" s="24"/>
      <c r="J939" s="24"/>
      <c r="K939" s="24"/>
      <c r="L939" s="24"/>
      <c r="M939" s="24"/>
      <c r="N939" s="24"/>
      <c r="O939" s="24"/>
      <c r="P939" s="24"/>
      <c r="Q939" s="24"/>
      <c r="R939" s="24"/>
      <c r="S939" s="24"/>
      <c r="T939" s="24"/>
      <c r="U939" s="24"/>
      <c r="V939" s="24"/>
      <c r="W939" s="24"/>
      <c r="X939" s="24"/>
      <c r="Y939" s="24"/>
      <c r="Z939" s="24"/>
      <c r="AA939" s="24"/>
      <c r="AB939" s="24"/>
      <c r="AC939" s="24"/>
    </row>
    <row r="940" spans="1:29" ht="12.9">
      <c r="A940" s="24"/>
      <c r="B940" s="24"/>
      <c r="C940" s="24"/>
      <c r="D940" s="24"/>
      <c r="E940" s="24"/>
      <c r="F940" s="117"/>
      <c r="G940" s="117"/>
      <c r="H940" s="24"/>
      <c r="I940" s="24"/>
      <c r="J940" s="24"/>
      <c r="K940" s="24"/>
      <c r="L940" s="24"/>
      <c r="M940" s="24"/>
      <c r="N940" s="24"/>
      <c r="O940" s="24"/>
      <c r="P940" s="24"/>
      <c r="Q940" s="24"/>
      <c r="R940" s="24"/>
      <c r="S940" s="24"/>
      <c r="T940" s="24"/>
      <c r="U940" s="24"/>
      <c r="V940" s="24"/>
      <c r="W940" s="24"/>
      <c r="X940" s="24"/>
      <c r="Y940" s="24"/>
      <c r="Z940" s="24"/>
      <c r="AA940" s="24"/>
      <c r="AB940" s="24"/>
      <c r="AC940" s="24"/>
    </row>
    <row r="941" spans="1:29" ht="12.9">
      <c r="A941" s="24"/>
      <c r="B941" s="24"/>
      <c r="C941" s="24"/>
      <c r="D941" s="24"/>
      <c r="E941" s="24"/>
      <c r="F941" s="117"/>
      <c r="G941" s="117"/>
      <c r="H941" s="24"/>
      <c r="I941" s="24"/>
      <c r="J941" s="24"/>
      <c r="K941" s="24"/>
      <c r="L941" s="24"/>
      <c r="M941" s="24"/>
      <c r="N941" s="24"/>
      <c r="O941" s="24"/>
      <c r="P941" s="24"/>
      <c r="Q941" s="24"/>
      <c r="R941" s="24"/>
      <c r="S941" s="24"/>
      <c r="T941" s="24"/>
      <c r="U941" s="24"/>
      <c r="V941" s="24"/>
      <c r="W941" s="24"/>
      <c r="X941" s="24"/>
      <c r="Y941" s="24"/>
      <c r="Z941" s="24"/>
      <c r="AA941" s="24"/>
      <c r="AB941" s="24"/>
      <c r="AC941" s="24"/>
    </row>
    <row r="942" spans="1:29" ht="12.9">
      <c r="A942" s="24"/>
      <c r="B942" s="24"/>
      <c r="C942" s="24"/>
      <c r="D942" s="24"/>
      <c r="E942" s="24"/>
      <c r="F942" s="117"/>
      <c r="G942" s="117"/>
      <c r="H942" s="24"/>
      <c r="I942" s="24"/>
      <c r="J942" s="24"/>
      <c r="K942" s="24"/>
      <c r="L942" s="24"/>
      <c r="M942" s="24"/>
      <c r="N942" s="24"/>
      <c r="O942" s="24"/>
      <c r="P942" s="24"/>
      <c r="Q942" s="24"/>
      <c r="R942" s="24"/>
      <c r="S942" s="24"/>
      <c r="T942" s="24"/>
      <c r="U942" s="24"/>
      <c r="V942" s="24"/>
      <c r="W942" s="24"/>
      <c r="X942" s="24"/>
      <c r="Y942" s="24"/>
      <c r="Z942" s="24"/>
      <c r="AA942" s="24"/>
      <c r="AB942" s="24"/>
      <c r="AC942" s="24"/>
    </row>
    <row r="943" spans="1:29" ht="12.9">
      <c r="A943" s="24"/>
      <c r="B943" s="24"/>
      <c r="C943" s="24"/>
      <c r="D943" s="24"/>
      <c r="E943" s="24"/>
      <c r="F943" s="117"/>
      <c r="G943" s="117"/>
      <c r="H943" s="24"/>
      <c r="I943" s="24"/>
      <c r="J943" s="24"/>
      <c r="K943" s="24"/>
      <c r="L943" s="24"/>
      <c r="M943" s="24"/>
      <c r="N943" s="24"/>
      <c r="O943" s="24"/>
      <c r="P943" s="24"/>
      <c r="Q943" s="24"/>
      <c r="R943" s="24"/>
      <c r="S943" s="24"/>
      <c r="T943" s="24"/>
      <c r="U943" s="24"/>
      <c r="V943" s="24"/>
      <c r="W943" s="24"/>
      <c r="X943" s="24"/>
      <c r="Y943" s="24"/>
      <c r="Z943" s="24"/>
      <c r="AA943" s="24"/>
      <c r="AB943" s="24"/>
      <c r="AC943" s="24"/>
    </row>
    <row r="944" spans="1:29" ht="12.9">
      <c r="A944" s="24"/>
      <c r="B944" s="24"/>
      <c r="C944" s="24"/>
      <c r="D944" s="24"/>
      <c r="E944" s="24"/>
      <c r="F944" s="117"/>
      <c r="G944" s="117"/>
      <c r="H944" s="24"/>
      <c r="I944" s="24"/>
      <c r="J944" s="24"/>
      <c r="K944" s="24"/>
      <c r="L944" s="24"/>
      <c r="M944" s="24"/>
      <c r="N944" s="24"/>
      <c r="O944" s="24"/>
      <c r="P944" s="24"/>
      <c r="Q944" s="24"/>
      <c r="R944" s="24"/>
      <c r="S944" s="24"/>
      <c r="T944" s="24"/>
      <c r="U944" s="24"/>
      <c r="V944" s="24"/>
      <c r="W944" s="24"/>
      <c r="X944" s="24"/>
      <c r="Y944" s="24"/>
      <c r="Z944" s="24"/>
      <c r="AA944" s="24"/>
      <c r="AB944" s="24"/>
      <c r="AC944" s="24"/>
    </row>
    <row r="945" spans="1:29" ht="12.9">
      <c r="A945" s="24"/>
      <c r="B945" s="24"/>
      <c r="C945" s="24"/>
      <c r="D945" s="24"/>
      <c r="E945" s="24"/>
      <c r="F945" s="117"/>
      <c r="G945" s="117"/>
      <c r="H945" s="24"/>
      <c r="I945" s="24"/>
      <c r="J945" s="24"/>
      <c r="K945" s="24"/>
      <c r="L945" s="24"/>
      <c r="M945" s="24"/>
      <c r="N945" s="24"/>
      <c r="O945" s="24"/>
      <c r="P945" s="24"/>
      <c r="Q945" s="24"/>
      <c r="R945" s="24"/>
      <c r="S945" s="24"/>
      <c r="T945" s="24"/>
      <c r="U945" s="24"/>
      <c r="V945" s="24"/>
      <c r="W945" s="24"/>
      <c r="X945" s="24"/>
      <c r="Y945" s="24"/>
      <c r="Z945" s="24"/>
      <c r="AA945" s="24"/>
      <c r="AB945" s="24"/>
      <c r="AC945" s="24"/>
    </row>
    <row r="946" spans="1:29" ht="12.9">
      <c r="A946" s="24"/>
      <c r="B946" s="24"/>
      <c r="C946" s="24"/>
      <c r="D946" s="24"/>
      <c r="E946" s="24"/>
      <c r="F946" s="117"/>
      <c r="G946" s="117"/>
      <c r="H946" s="24"/>
      <c r="I946" s="24"/>
      <c r="J946" s="24"/>
      <c r="K946" s="24"/>
      <c r="L946" s="24"/>
      <c r="M946" s="24"/>
      <c r="N946" s="24"/>
      <c r="O946" s="24"/>
      <c r="P946" s="24"/>
      <c r="Q946" s="24"/>
      <c r="R946" s="24"/>
      <c r="S946" s="24"/>
      <c r="T946" s="24"/>
      <c r="U946" s="24"/>
      <c r="V946" s="24"/>
      <c r="W946" s="24"/>
      <c r="X946" s="24"/>
      <c r="Y946" s="24"/>
      <c r="Z946" s="24"/>
      <c r="AA946" s="24"/>
      <c r="AB946" s="24"/>
      <c r="AC946" s="24"/>
    </row>
    <row r="947" spans="1:29" ht="12.9">
      <c r="A947" s="24"/>
      <c r="B947" s="24"/>
      <c r="C947" s="24"/>
      <c r="D947" s="24"/>
      <c r="E947" s="24"/>
      <c r="F947" s="117"/>
      <c r="G947" s="117"/>
      <c r="H947" s="24"/>
      <c r="I947" s="24"/>
      <c r="J947" s="24"/>
      <c r="K947" s="24"/>
      <c r="L947" s="24"/>
      <c r="M947" s="24"/>
      <c r="N947" s="24"/>
      <c r="O947" s="24"/>
      <c r="P947" s="24"/>
      <c r="Q947" s="24"/>
      <c r="R947" s="24"/>
      <c r="S947" s="24"/>
      <c r="T947" s="24"/>
      <c r="U947" s="24"/>
      <c r="V947" s="24"/>
      <c r="W947" s="24"/>
      <c r="X947" s="24"/>
      <c r="Y947" s="24"/>
      <c r="Z947" s="24"/>
      <c r="AA947" s="24"/>
      <c r="AB947" s="24"/>
      <c r="AC947" s="24"/>
    </row>
    <row r="948" spans="1:29" ht="12.9">
      <c r="A948" s="24"/>
      <c r="B948" s="24"/>
      <c r="C948" s="24"/>
      <c r="D948" s="24"/>
      <c r="E948" s="24"/>
      <c r="F948" s="117"/>
      <c r="G948" s="117"/>
      <c r="H948" s="24"/>
      <c r="I948" s="24"/>
      <c r="J948" s="24"/>
      <c r="K948" s="24"/>
      <c r="L948" s="24"/>
      <c r="M948" s="24"/>
      <c r="N948" s="24"/>
      <c r="O948" s="24"/>
      <c r="P948" s="24"/>
      <c r="Q948" s="24"/>
      <c r="R948" s="24"/>
      <c r="S948" s="24"/>
      <c r="T948" s="24"/>
      <c r="U948" s="24"/>
      <c r="V948" s="24"/>
      <c r="W948" s="24"/>
      <c r="X948" s="24"/>
      <c r="Y948" s="24"/>
      <c r="Z948" s="24"/>
      <c r="AA948" s="24"/>
      <c r="AB948" s="24"/>
      <c r="AC948" s="24"/>
    </row>
    <row r="949" spans="1:29" ht="12.9">
      <c r="A949" s="24"/>
      <c r="B949" s="24"/>
      <c r="C949" s="24"/>
      <c r="D949" s="24"/>
      <c r="E949" s="24"/>
      <c r="F949" s="117"/>
      <c r="G949" s="117"/>
      <c r="H949" s="24"/>
      <c r="I949" s="24"/>
      <c r="J949" s="24"/>
      <c r="K949" s="24"/>
      <c r="L949" s="24"/>
      <c r="M949" s="24"/>
      <c r="N949" s="24"/>
      <c r="O949" s="24"/>
      <c r="P949" s="24"/>
      <c r="Q949" s="24"/>
      <c r="R949" s="24"/>
      <c r="S949" s="24"/>
      <c r="T949" s="24"/>
      <c r="U949" s="24"/>
      <c r="V949" s="24"/>
      <c r="W949" s="24"/>
      <c r="X949" s="24"/>
      <c r="Y949" s="24"/>
      <c r="Z949" s="24"/>
      <c r="AA949" s="24"/>
      <c r="AB949" s="24"/>
      <c r="AC949" s="24"/>
    </row>
    <row r="950" spans="1:29" ht="12.9">
      <c r="A950" s="24"/>
      <c r="B950" s="24"/>
      <c r="C950" s="24"/>
      <c r="D950" s="24"/>
      <c r="E950" s="24"/>
      <c r="F950" s="117"/>
      <c r="G950" s="117"/>
      <c r="H950" s="24"/>
      <c r="I950" s="24"/>
      <c r="J950" s="24"/>
      <c r="K950" s="24"/>
      <c r="L950" s="24"/>
      <c r="M950" s="24"/>
      <c r="N950" s="24"/>
      <c r="O950" s="24"/>
      <c r="P950" s="24"/>
      <c r="Q950" s="24"/>
      <c r="R950" s="24"/>
      <c r="S950" s="24"/>
      <c r="T950" s="24"/>
      <c r="U950" s="24"/>
      <c r="V950" s="24"/>
      <c r="W950" s="24"/>
      <c r="X950" s="24"/>
      <c r="Y950" s="24"/>
      <c r="Z950" s="24"/>
      <c r="AA950" s="24"/>
      <c r="AB950" s="24"/>
      <c r="AC950" s="24"/>
    </row>
    <row r="951" spans="1:29" ht="12.9">
      <c r="A951" s="24"/>
      <c r="B951" s="24"/>
      <c r="C951" s="24"/>
      <c r="D951" s="24"/>
      <c r="E951" s="24"/>
      <c r="F951" s="117"/>
      <c r="G951" s="117"/>
      <c r="H951" s="24"/>
      <c r="I951" s="24"/>
      <c r="J951" s="24"/>
      <c r="K951" s="24"/>
      <c r="L951" s="24"/>
      <c r="M951" s="24"/>
      <c r="N951" s="24"/>
      <c r="O951" s="24"/>
      <c r="P951" s="24"/>
      <c r="Q951" s="24"/>
      <c r="R951" s="24"/>
      <c r="S951" s="24"/>
      <c r="T951" s="24"/>
      <c r="U951" s="24"/>
      <c r="V951" s="24"/>
      <c r="W951" s="24"/>
      <c r="X951" s="24"/>
      <c r="Y951" s="24"/>
      <c r="Z951" s="24"/>
      <c r="AA951" s="24"/>
      <c r="AB951" s="24"/>
      <c r="AC951" s="24"/>
    </row>
    <row r="952" spans="1:29" ht="12.9">
      <c r="A952" s="24"/>
      <c r="B952" s="24"/>
      <c r="C952" s="24"/>
      <c r="D952" s="24"/>
      <c r="E952" s="24"/>
      <c r="F952" s="117"/>
      <c r="G952" s="117"/>
      <c r="H952" s="24"/>
      <c r="I952" s="24"/>
      <c r="J952" s="24"/>
      <c r="K952" s="24"/>
      <c r="L952" s="24"/>
      <c r="M952" s="24"/>
      <c r="N952" s="24"/>
      <c r="O952" s="24"/>
      <c r="P952" s="24"/>
      <c r="Q952" s="24"/>
      <c r="R952" s="24"/>
      <c r="S952" s="24"/>
      <c r="T952" s="24"/>
      <c r="U952" s="24"/>
      <c r="V952" s="24"/>
      <c r="W952" s="24"/>
      <c r="X952" s="24"/>
      <c r="Y952" s="24"/>
      <c r="Z952" s="24"/>
      <c r="AA952" s="24"/>
      <c r="AB952" s="24"/>
      <c r="AC952" s="24"/>
    </row>
    <row r="953" spans="1:29" ht="12.9">
      <c r="A953" s="24"/>
      <c r="B953" s="24"/>
      <c r="C953" s="24"/>
      <c r="D953" s="24"/>
      <c r="E953" s="24"/>
      <c r="F953" s="117"/>
      <c r="G953" s="117"/>
      <c r="H953" s="24"/>
      <c r="I953" s="24"/>
      <c r="J953" s="24"/>
      <c r="K953" s="24"/>
      <c r="L953" s="24"/>
      <c r="M953" s="24"/>
      <c r="N953" s="24"/>
      <c r="O953" s="24"/>
      <c r="P953" s="24"/>
      <c r="Q953" s="24"/>
      <c r="R953" s="24"/>
      <c r="S953" s="24"/>
      <c r="T953" s="24"/>
      <c r="U953" s="24"/>
      <c r="V953" s="24"/>
      <c r="W953" s="24"/>
      <c r="X953" s="24"/>
      <c r="Y953" s="24"/>
      <c r="Z953" s="24"/>
      <c r="AA953" s="24"/>
      <c r="AB953" s="24"/>
      <c r="AC953" s="24"/>
    </row>
    <row r="954" spans="1:29" ht="12.9">
      <c r="A954" s="24"/>
      <c r="B954" s="24"/>
      <c r="C954" s="24"/>
      <c r="D954" s="24"/>
      <c r="E954" s="24"/>
      <c r="F954" s="117"/>
      <c r="G954" s="117"/>
      <c r="H954" s="24"/>
      <c r="I954" s="24"/>
      <c r="J954" s="24"/>
      <c r="K954" s="24"/>
      <c r="L954" s="24"/>
      <c r="M954" s="24"/>
      <c r="N954" s="24"/>
      <c r="O954" s="24"/>
      <c r="P954" s="24"/>
      <c r="Q954" s="24"/>
      <c r="R954" s="24"/>
      <c r="S954" s="24"/>
      <c r="T954" s="24"/>
      <c r="U954" s="24"/>
      <c r="V954" s="24"/>
      <c r="W954" s="24"/>
      <c r="X954" s="24"/>
      <c r="Y954" s="24"/>
      <c r="Z954" s="24"/>
      <c r="AA954" s="24"/>
      <c r="AB954" s="24"/>
      <c r="AC954" s="24"/>
    </row>
    <row r="955" spans="1:29" ht="12.9">
      <c r="A955" s="24"/>
      <c r="B955" s="24"/>
      <c r="C955" s="24"/>
      <c r="D955" s="24"/>
      <c r="E955" s="24"/>
      <c r="F955" s="117"/>
      <c r="G955" s="117"/>
      <c r="H955" s="24"/>
      <c r="I955" s="24"/>
      <c r="J955" s="24"/>
      <c r="K955" s="24"/>
      <c r="L955" s="24"/>
      <c r="M955" s="24"/>
      <c r="N955" s="24"/>
      <c r="O955" s="24"/>
      <c r="P955" s="24"/>
      <c r="Q955" s="24"/>
      <c r="R955" s="24"/>
      <c r="S955" s="24"/>
      <c r="T955" s="24"/>
      <c r="U955" s="24"/>
      <c r="V955" s="24"/>
      <c r="W955" s="24"/>
      <c r="X955" s="24"/>
      <c r="Y955" s="24"/>
      <c r="Z955" s="24"/>
      <c r="AA955" s="24"/>
      <c r="AB955" s="24"/>
      <c r="AC955" s="24"/>
    </row>
    <row r="956" spans="1:29" ht="12.9">
      <c r="A956" s="24"/>
      <c r="B956" s="24"/>
      <c r="C956" s="24"/>
      <c r="D956" s="24"/>
      <c r="E956" s="24"/>
      <c r="F956" s="117"/>
      <c r="G956" s="117"/>
      <c r="H956" s="24"/>
      <c r="I956" s="24"/>
      <c r="J956" s="24"/>
      <c r="K956" s="24"/>
      <c r="L956" s="24"/>
      <c r="M956" s="24"/>
      <c r="N956" s="24"/>
      <c r="O956" s="24"/>
      <c r="P956" s="24"/>
      <c r="Q956" s="24"/>
      <c r="R956" s="24"/>
      <c r="S956" s="24"/>
      <c r="T956" s="24"/>
      <c r="U956" s="24"/>
      <c r="V956" s="24"/>
      <c r="W956" s="24"/>
      <c r="X956" s="24"/>
      <c r="Y956" s="24"/>
      <c r="Z956" s="24"/>
      <c r="AA956" s="24"/>
      <c r="AB956" s="24"/>
      <c r="AC956" s="24"/>
    </row>
    <row r="957" spans="1:29" ht="12.9">
      <c r="A957" s="24"/>
      <c r="B957" s="24"/>
      <c r="C957" s="24"/>
      <c r="D957" s="24"/>
      <c r="E957" s="24"/>
      <c r="F957" s="117"/>
      <c r="G957" s="117"/>
      <c r="H957" s="24"/>
      <c r="I957" s="24"/>
      <c r="J957" s="24"/>
      <c r="K957" s="24"/>
      <c r="L957" s="24"/>
      <c r="M957" s="24"/>
      <c r="N957" s="24"/>
      <c r="O957" s="24"/>
      <c r="P957" s="24"/>
      <c r="Q957" s="24"/>
      <c r="R957" s="24"/>
      <c r="S957" s="24"/>
      <c r="T957" s="24"/>
      <c r="U957" s="24"/>
      <c r="V957" s="24"/>
      <c r="W957" s="24"/>
      <c r="X957" s="24"/>
      <c r="Y957" s="24"/>
      <c r="Z957" s="24"/>
      <c r="AA957" s="24"/>
      <c r="AB957" s="24"/>
      <c r="AC957" s="24"/>
    </row>
    <row r="958" spans="1:29" ht="12.9">
      <c r="A958" s="24"/>
      <c r="B958" s="24"/>
      <c r="C958" s="24"/>
      <c r="D958" s="24"/>
      <c r="E958" s="24"/>
      <c r="F958" s="117"/>
      <c r="G958" s="117"/>
      <c r="H958" s="24"/>
      <c r="I958" s="24"/>
      <c r="J958" s="24"/>
      <c r="K958" s="24"/>
      <c r="L958" s="24"/>
      <c r="M958" s="24"/>
      <c r="N958" s="24"/>
      <c r="O958" s="24"/>
      <c r="P958" s="24"/>
      <c r="Q958" s="24"/>
      <c r="R958" s="24"/>
      <c r="S958" s="24"/>
      <c r="T958" s="24"/>
      <c r="U958" s="24"/>
      <c r="V958" s="24"/>
      <c r="W958" s="24"/>
      <c r="X958" s="24"/>
      <c r="Y958" s="24"/>
      <c r="Z958" s="24"/>
      <c r="AA958" s="24"/>
      <c r="AB958" s="24"/>
      <c r="AC958" s="24"/>
    </row>
    <row r="959" spans="1:29" ht="12.9">
      <c r="A959" s="24"/>
      <c r="B959" s="24"/>
      <c r="C959" s="24"/>
      <c r="D959" s="24"/>
      <c r="E959" s="24"/>
      <c r="F959" s="117"/>
      <c r="G959" s="117"/>
      <c r="H959" s="24"/>
      <c r="I959" s="24"/>
      <c r="J959" s="24"/>
      <c r="K959" s="24"/>
      <c r="L959" s="24"/>
      <c r="M959" s="24"/>
      <c r="N959" s="24"/>
      <c r="O959" s="24"/>
      <c r="P959" s="24"/>
      <c r="Q959" s="24"/>
      <c r="R959" s="24"/>
      <c r="S959" s="24"/>
      <c r="T959" s="24"/>
      <c r="U959" s="24"/>
      <c r="V959" s="24"/>
      <c r="W959" s="24"/>
      <c r="X959" s="24"/>
      <c r="Y959" s="24"/>
      <c r="Z959" s="24"/>
      <c r="AA959" s="24"/>
      <c r="AB959" s="24"/>
      <c r="AC959" s="24"/>
    </row>
    <row r="960" spans="1:29" ht="12.9">
      <c r="A960" s="24"/>
      <c r="B960" s="24"/>
      <c r="C960" s="24"/>
      <c r="D960" s="24"/>
      <c r="E960" s="24"/>
      <c r="F960" s="117"/>
      <c r="G960" s="117"/>
      <c r="H960" s="24"/>
      <c r="I960" s="24"/>
      <c r="J960" s="24"/>
      <c r="K960" s="24"/>
      <c r="L960" s="24"/>
      <c r="M960" s="24"/>
      <c r="N960" s="24"/>
      <c r="O960" s="24"/>
      <c r="P960" s="24"/>
      <c r="Q960" s="24"/>
      <c r="R960" s="24"/>
      <c r="S960" s="24"/>
      <c r="T960" s="24"/>
      <c r="U960" s="24"/>
      <c r="V960" s="24"/>
      <c r="W960" s="24"/>
      <c r="X960" s="24"/>
      <c r="Y960" s="24"/>
      <c r="Z960" s="24"/>
      <c r="AA960" s="24"/>
      <c r="AB960" s="24"/>
      <c r="AC960" s="24"/>
    </row>
    <row r="961" spans="1:29" ht="12.9">
      <c r="A961" s="24"/>
      <c r="B961" s="24"/>
      <c r="C961" s="24"/>
      <c r="D961" s="24"/>
      <c r="E961" s="24"/>
      <c r="F961" s="117"/>
      <c r="G961" s="117"/>
      <c r="H961" s="24"/>
      <c r="I961" s="24"/>
      <c r="J961" s="24"/>
      <c r="K961" s="24"/>
      <c r="L961" s="24"/>
      <c r="M961" s="24"/>
      <c r="N961" s="24"/>
      <c r="O961" s="24"/>
      <c r="P961" s="24"/>
      <c r="Q961" s="24"/>
      <c r="R961" s="24"/>
      <c r="S961" s="24"/>
      <c r="T961" s="24"/>
      <c r="U961" s="24"/>
      <c r="V961" s="24"/>
      <c r="W961" s="24"/>
      <c r="X961" s="24"/>
      <c r="Y961" s="24"/>
      <c r="Z961" s="24"/>
      <c r="AA961" s="24"/>
      <c r="AB961" s="24"/>
      <c r="AC961" s="24"/>
    </row>
    <row r="962" spans="1:29" ht="12.9">
      <c r="A962" s="24"/>
      <c r="B962" s="24"/>
      <c r="C962" s="24"/>
      <c r="D962" s="24"/>
      <c r="E962" s="24"/>
      <c r="F962" s="117"/>
      <c r="G962" s="117"/>
      <c r="H962" s="24"/>
      <c r="I962" s="24"/>
      <c r="J962" s="24"/>
      <c r="K962" s="24"/>
      <c r="L962" s="24"/>
      <c r="M962" s="24"/>
      <c r="N962" s="24"/>
      <c r="O962" s="24"/>
      <c r="P962" s="24"/>
      <c r="Q962" s="24"/>
      <c r="R962" s="24"/>
      <c r="S962" s="24"/>
      <c r="T962" s="24"/>
      <c r="U962" s="24"/>
      <c r="V962" s="24"/>
      <c r="W962" s="24"/>
      <c r="X962" s="24"/>
      <c r="Y962" s="24"/>
      <c r="Z962" s="24"/>
      <c r="AA962" s="24"/>
      <c r="AB962" s="24"/>
      <c r="AC962" s="24"/>
    </row>
    <row r="963" spans="1:29" ht="12.9">
      <c r="A963" s="24"/>
      <c r="B963" s="24"/>
      <c r="C963" s="24"/>
      <c r="D963" s="24"/>
      <c r="E963" s="24"/>
      <c r="F963" s="117"/>
      <c r="G963" s="117"/>
      <c r="H963" s="24"/>
      <c r="I963" s="24"/>
      <c r="J963" s="24"/>
      <c r="K963" s="24"/>
      <c r="L963" s="24"/>
      <c r="M963" s="24"/>
      <c r="N963" s="24"/>
      <c r="O963" s="24"/>
      <c r="P963" s="24"/>
      <c r="Q963" s="24"/>
      <c r="R963" s="24"/>
      <c r="S963" s="24"/>
      <c r="T963" s="24"/>
      <c r="U963" s="24"/>
      <c r="V963" s="24"/>
      <c r="W963" s="24"/>
      <c r="X963" s="24"/>
      <c r="Y963" s="24"/>
      <c r="Z963" s="24"/>
      <c r="AA963" s="24"/>
      <c r="AB963" s="24"/>
      <c r="AC963" s="24"/>
    </row>
    <row r="964" spans="1:29" ht="12.9">
      <c r="A964" s="24"/>
      <c r="B964" s="24"/>
      <c r="C964" s="24"/>
      <c r="D964" s="24"/>
      <c r="E964" s="24"/>
      <c r="F964" s="117"/>
      <c r="G964" s="117"/>
      <c r="H964" s="24"/>
      <c r="I964" s="24"/>
      <c r="J964" s="24"/>
      <c r="K964" s="24"/>
      <c r="L964" s="24"/>
      <c r="M964" s="24"/>
      <c r="N964" s="24"/>
      <c r="O964" s="24"/>
      <c r="P964" s="24"/>
      <c r="Q964" s="24"/>
      <c r="R964" s="24"/>
      <c r="S964" s="24"/>
      <c r="T964" s="24"/>
      <c r="U964" s="24"/>
      <c r="V964" s="24"/>
      <c r="W964" s="24"/>
      <c r="X964" s="24"/>
      <c r="Y964" s="24"/>
      <c r="Z964" s="24"/>
      <c r="AA964" s="24"/>
      <c r="AB964" s="24"/>
      <c r="AC964" s="24"/>
    </row>
    <row r="965" spans="1:29" ht="12.9">
      <c r="A965" s="24"/>
      <c r="B965" s="24"/>
      <c r="C965" s="24"/>
      <c r="D965" s="24"/>
      <c r="E965" s="24"/>
      <c r="F965" s="117"/>
      <c r="G965" s="117"/>
      <c r="H965" s="24"/>
      <c r="I965" s="24"/>
      <c r="J965" s="24"/>
      <c r="K965" s="24"/>
      <c r="L965" s="24"/>
      <c r="M965" s="24"/>
      <c r="N965" s="24"/>
      <c r="O965" s="24"/>
      <c r="P965" s="24"/>
      <c r="Q965" s="24"/>
      <c r="R965" s="24"/>
      <c r="S965" s="24"/>
      <c r="T965" s="24"/>
      <c r="U965" s="24"/>
      <c r="V965" s="24"/>
      <c r="W965" s="24"/>
      <c r="X965" s="24"/>
      <c r="Y965" s="24"/>
      <c r="Z965" s="24"/>
      <c r="AA965" s="24"/>
      <c r="AB965" s="24"/>
      <c r="AC965" s="24"/>
    </row>
    <row r="966" spans="1:29" ht="12.9">
      <c r="A966" s="24"/>
      <c r="B966" s="24"/>
      <c r="C966" s="24"/>
      <c r="D966" s="24"/>
      <c r="E966" s="24"/>
      <c r="F966" s="117"/>
      <c r="G966" s="117"/>
      <c r="H966" s="24"/>
      <c r="I966" s="24"/>
      <c r="J966" s="24"/>
      <c r="K966" s="24"/>
      <c r="L966" s="24"/>
      <c r="M966" s="24"/>
      <c r="N966" s="24"/>
      <c r="O966" s="24"/>
      <c r="P966" s="24"/>
      <c r="Q966" s="24"/>
      <c r="R966" s="24"/>
      <c r="S966" s="24"/>
      <c r="T966" s="24"/>
      <c r="U966" s="24"/>
      <c r="V966" s="24"/>
      <c r="W966" s="24"/>
      <c r="X966" s="24"/>
      <c r="Y966" s="24"/>
      <c r="Z966" s="24"/>
      <c r="AA966" s="24"/>
      <c r="AB966" s="24"/>
      <c r="AC966" s="24"/>
    </row>
    <row r="967" spans="1:29" ht="12.9">
      <c r="A967" s="24"/>
      <c r="B967" s="24"/>
      <c r="C967" s="24"/>
      <c r="D967" s="24"/>
      <c r="E967" s="24"/>
      <c r="F967" s="117"/>
      <c r="G967" s="117"/>
      <c r="H967" s="24"/>
      <c r="I967" s="24"/>
      <c r="J967" s="24"/>
      <c r="K967" s="24"/>
      <c r="L967" s="24"/>
      <c r="M967" s="24"/>
      <c r="N967" s="24"/>
      <c r="O967" s="24"/>
      <c r="P967" s="24"/>
      <c r="Q967" s="24"/>
      <c r="R967" s="24"/>
      <c r="S967" s="24"/>
      <c r="T967" s="24"/>
      <c r="U967" s="24"/>
      <c r="V967" s="24"/>
      <c r="W967" s="24"/>
      <c r="X967" s="24"/>
      <c r="Y967" s="24"/>
      <c r="Z967" s="24"/>
      <c r="AA967" s="24"/>
      <c r="AB967" s="24"/>
      <c r="AC967" s="24"/>
    </row>
    <row r="968" spans="1:29" ht="12.9">
      <c r="A968" s="24"/>
      <c r="B968" s="24"/>
      <c r="C968" s="24"/>
      <c r="D968" s="24"/>
      <c r="E968" s="24"/>
      <c r="F968" s="117"/>
      <c r="G968" s="117"/>
      <c r="H968" s="24"/>
      <c r="I968" s="24"/>
      <c r="J968" s="24"/>
      <c r="K968" s="24"/>
      <c r="L968" s="24"/>
      <c r="M968" s="24"/>
      <c r="N968" s="24"/>
      <c r="O968" s="24"/>
      <c r="P968" s="24"/>
      <c r="Q968" s="24"/>
      <c r="R968" s="24"/>
      <c r="S968" s="24"/>
      <c r="T968" s="24"/>
      <c r="U968" s="24"/>
      <c r="V968" s="24"/>
      <c r="W968" s="24"/>
      <c r="X968" s="24"/>
      <c r="Y968" s="24"/>
      <c r="Z968" s="24"/>
      <c r="AA968" s="24"/>
      <c r="AB968" s="24"/>
      <c r="AC968" s="24"/>
    </row>
    <row r="969" spans="1:29" ht="12.9">
      <c r="A969" s="24"/>
      <c r="B969" s="24"/>
      <c r="C969" s="24"/>
      <c r="D969" s="24"/>
      <c r="E969" s="24"/>
      <c r="F969" s="117"/>
      <c r="G969" s="117"/>
      <c r="H969" s="24"/>
      <c r="I969" s="24"/>
      <c r="J969" s="24"/>
      <c r="K969" s="24"/>
      <c r="L969" s="24"/>
      <c r="M969" s="24"/>
      <c r="N969" s="24"/>
      <c r="O969" s="24"/>
      <c r="P969" s="24"/>
      <c r="Q969" s="24"/>
      <c r="R969" s="24"/>
      <c r="S969" s="24"/>
      <c r="T969" s="24"/>
      <c r="U969" s="24"/>
      <c r="V969" s="24"/>
      <c r="W969" s="24"/>
      <c r="X969" s="24"/>
      <c r="Y969" s="24"/>
      <c r="Z969" s="24"/>
      <c r="AA969" s="24"/>
      <c r="AB969" s="24"/>
      <c r="AC969" s="24"/>
    </row>
    <row r="970" spans="1:29" ht="12.9">
      <c r="A970" s="24"/>
      <c r="B970" s="24"/>
      <c r="C970" s="24"/>
      <c r="D970" s="24"/>
      <c r="E970" s="24"/>
      <c r="F970" s="117"/>
      <c r="G970" s="117"/>
      <c r="H970" s="24"/>
      <c r="I970" s="24"/>
      <c r="J970" s="24"/>
      <c r="K970" s="24"/>
      <c r="L970" s="24"/>
      <c r="M970" s="24"/>
      <c r="N970" s="24"/>
      <c r="O970" s="24"/>
      <c r="P970" s="24"/>
      <c r="Q970" s="24"/>
      <c r="R970" s="24"/>
      <c r="S970" s="24"/>
      <c r="T970" s="24"/>
      <c r="U970" s="24"/>
      <c r="V970" s="24"/>
      <c r="W970" s="24"/>
      <c r="X970" s="24"/>
      <c r="Y970" s="24"/>
      <c r="Z970" s="24"/>
      <c r="AA970" s="24"/>
      <c r="AB970" s="24"/>
      <c r="AC970" s="24"/>
    </row>
    <row r="971" spans="1:29" ht="12.9">
      <c r="A971" s="24"/>
      <c r="B971" s="24"/>
      <c r="C971" s="24"/>
      <c r="D971" s="24"/>
      <c r="E971" s="24"/>
      <c r="F971" s="117"/>
      <c r="G971" s="117"/>
      <c r="H971" s="24"/>
      <c r="I971" s="24"/>
      <c r="J971" s="24"/>
      <c r="K971" s="24"/>
      <c r="L971" s="24"/>
      <c r="M971" s="24"/>
      <c r="N971" s="24"/>
      <c r="O971" s="24"/>
      <c r="P971" s="24"/>
      <c r="Q971" s="24"/>
      <c r="R971" s="24"/>
      <c r="S971" s="24"/>
      <c r="T971" s="24"/>
      <c r="U971" s="24"/>
      <c r="V971" s="24"/>
      <c r="W971" s="24"/>
      <c r="X971" s="24"/>
      <c r="Y971" s="24"/>
      <c r="Z971" s="24"/>
      <c r="AA971" s="24"/>
      <c r="AB971" s="24"/>
      <c r="AC971" s="24"/>
    </row>
    <row r="972" spans="1:29" ht="12.9">
      <c r="A972" s="24"/>
      <c r="B972" s="24"/>
      <c r="C972" s="24"/>
      <c r="D972" s="24"/>
      <c r="E972" s="24"/>
      <c r="F972" s="117"/>
      <c r="G972" s="117"/>
      <c r="H972" s="24"/>
      <c r="I972" s="24"/>
      <c r="J972" s="24"/>
      <c r="K972" s="24"/>
      <c r="L972" s="24"/>
      <c r="M972" s="24"/>
      <c r="N972" s="24"/>
      <c r="O972" s="24"/>
      <c r="P972" s="24"/>
      <c r="Q972" s="24"/>
      <c r="R972" s="24"/>
      <c r="S972" s="24"/>
      <c r="T972" s="24"/>
      <c r="U972" s="24"/>
      <c r="V972" s="24"/>
      <c r="W972" s="24"/>
      <c r="X972" s="24"/>
      <c r="Y972" s="24"/>
      <c r="Z972" s="24"/>
      <c r="AA972" s="24"/>
      <c r="AB972" s="24"/>
      <c r="AC972" s="24"/>
    </row>
    <row r="973" spans="1:29" ht="12.9">
      <c r="A973" s="24"/>
      <c r="B973" s="24"/>
      <c r="C973" s="24"/>
      <c r="D973" s="24"/>
      <c r="E973" s="24"/>
      <c r="F973" s="117"/>
      <c r="G973" s="117"/>
      <c r="H973" s="24"/>
      <c r="I973" s="24"/>
      <c r="J973" s="24"/>
      <c r="K973" s="24"/>
      <c r="L973" s="24"/>
      <c r="M973" s="24"/>
      <c r="N973" s="24"/>
      <c r="O973" s="24"/>
      <c r="P973" s="24"/>
      <c r="Q973" s="24"/>
      <c r="R973" s="24"/>
      <c r="S973" s="24"/>
      <c r="T973" s="24"/>
      <c r="U973" s="24"/>
      <c r="V973" s="24"/>
      <c r="W973" s="24"/>
      <c r="X973" s="24"/>
      <c r="Y973" s="24"/>
      <c r="Z973" s="24"/>
      <c r="AA973" s="24"/>
      <c r="AB973" s="24"/>
      <c r="AC973" s="24"/>
    </row>
    <row r="974" spans="1:29" ht="12.9">
      <c r="A974" s="24"/>
      <c r="B974" s="24"/>
      <c r="C974" s="24"/>
      <c r="D974" s="24"/>
      <c r="E974" s="24"/>
      <c r="F974" s="117"/>
      <c r="G974" s="117"/>
      <c r="H974" s="24"/>
      <c r="I974" s="24"/>
      <c r="J974" s="24"/>
      <c r="K974" s="24"/>
      <c r="L974" s="24"/>
      <c r="M974" s="24"/>
      <c r="N974" s="24"/>
      <c r="O974" s="24"/>
      <c r="P974" s="24"/>
      <c r="Q974" s="24"/>
      <c r="R974" s="24"/>
      <c r="S974" s="24"/>
      <c r="T974" s="24"/>
      <c r="U974" s="24"/>
      <c r="V974" s="24"/>
      <c r="W974" s="24"/>
      <c r="X974" s="24"/>
      <c r="Y974" s="24"/>
      <c r="Z974" s="24"/>
      <c r="AA974" s="24"/>
      <c r="AB974" s="24"/>
      <c r="AC974" s="24"/>
    </row>
    <row r="975" spans="1:29" ht="12.9">
      <c r="A975" s="24"/>
      <c r="B975" s="24"/>
      <c r="C975" s="24"/>
      <c r="D975" s="24"/>
      <c r="E975" s="24"/>
      <c r="F975" s="117"/>
      <c r="G975" s="117"/>
      <c r="H975" s="24"/>
      <c r="I975" s="24"/>
      <c r="J975" s="24"/>
      <c r="K975" s="24"/>
      <c r="L975" s="24"/>
      <c r="M975" s="24"/>
      <c r="N975" s="24"/>
      <c r="O975" s="24"/>
      <c r="P975" s="24"/>
      <c r="Q975" s="24"/>
      <c r="R975" s="24"/>
      <c r="S975" s="24"/>
      <c r="T975" s="24"/>
      <c r="U975" s="24"/>
      <c r="V975" s="24"/>
      <c r="W975" s="24"/>
      <c r="X975" s="24"/>
      <c r="Y975" s="24"/>
      <c r="Z975" s="24"/>
      <c r="AA975" s="24"/>
      <c r="AB975" s="24"/>
      <c r="AC975" s="24"/>
    </row>
    <row r="976" spans="1:29" ht="12.9">
      <c r="A976" s="24"/>
      <c r="B976" s="24"/>
      <c r="C976" s="24"/>
      <c r="D976" s="24"/>
      <c r="E976" s="24"/>
      <c r="F976" s="117"/>
      <c r="G976" s="117"/>
      <c r="H976" s="24"/>
      <c r="I976" s="24"/>
      <c r="J976" s="24"/>
      <c r="K976" s="24"/>
      <c r="L976" s="24"/>
      <c r="M976" s="24"/>
      <c r="N976" s="24"/>
      <c r="O976" s="24"/>
      <c r="P976" s="24"/>
      <c r="Q976" s="24"/>
      <c r="R976" s="24"/>
      <c r="S976" s="24"/>
      <c r="T976" s="24"/>
      <c r="U976" s="24"/>
      <c r="V976" s="24"/>
      <c r="W976" s="24"/>
      <c r="X976" s="24"/>
      <c r="Y976" s="24"/>
      <c r="Z976" s="24"/>
      <c r="AA976" s="24"/>
      <c r="AB976" s="24"/>
      <c r="AC976" s="24"/>
    </row>
    <row r="977" spans="1:29" ht="12.9">
      <c r="A977" s="24"/>
      <c r="B977" s="24"/>
      <c r="C977" s="24"/>
      <c r="D977" s="24"/>
      <c r="E977" s="24"/>
      <c r="F977" s="117"/>
      <c r="G977" s="117"/>
      <c r="H977" s="24"/>
      <c r="I977" s="24"/>
      <c r="J977" s="24"/>
      <c r="K977" s="24"/>
      <c r="L977" s="24"/>
      <c r="M977" s="24"/>
      <c r="N977" s="24"/>
      <c r="O977" s="24"/>
      <c r="P977" s="24"/>
      <c r="Q977" s="24"/>
      <c r="R977" s="24"/>
      <c r="S977" s="24"/>
      <c r="T977" s="24"/>
      <c r="U977" s="24"/>
      <c r="V977" s="24"/>
      <c r="W977" s="24"/>
      <c r="X977" s="24"/>
      <c r="Y977" s="24"/>
      <c r="Z977" s="24"/>
      <c r="AA977" s="24"/>
      <c r="AB977" s="24"/>
      <c r="AC977" s="24"/>
    </row>
    <row r="978" spans="1:29" ht="12.9">
      <c r="A978" s="24"/>
      <c r="B978" s="24"/>
      <c r="C978" s="24"/>
      <c r="D978" s="24"/>
      <c r="E978" s="24"/>
      <c r="F978" s="117"/>
      <c r="G978" s="117"/>
      <c r="H978" s="24"/>
      <c r="I978" s="24"/>
      <c r="J978" s="24"/>
      <c r="K978" s="24"/>
      <c r="L978" s="24"/>
      <c r="M978" s="24"/>
      <c r="N978" s="24"/>
      <c r="O978" s="24"/>
      <c r="P978" s="24"/>
      <c r="Q978" s="24"/>
      <c r="R978" s="24"/>
      <c r="S978" s="24"/>
      <c r="T978" s="24"/>
      <c r="U978" s="24"/>
      <c r="V978" s="24"/>
      <c r="W978" s="24"/>
      <c r="X978" s="24"/>
      <c r="Y978" s="24"/>
      <c r="Z978" s="24"/>
      <c r="AA978" s="24"/>
      <c r="AB978" s="24"/>
      <c r="AC978" s="24"/>
    </row>
    <row r="979" spans="1:29" ht="12.9">
      <c r="A979" s="24"/>
      <c r="B979" s="24"/>
      <c r="C979" s="24"/>
      <c r="D979" s="24"/>
      <c r="E979" s="24"/>
      <c r="F979" s="117"/>
      <c r="G979" s="117"/>
      <c r="H979" s="24"/>
      <c r="I979" s="24"/>
      <c r="J979" s="24"/>
      <c r="K979" s="24"/>
      <c r="L979" s="24"/>
      <c r="M979" s="24"/>
      <c r="N979" s="24"/>
      <c r="O979" s="24"/>
      <c r="P979" s="24"/>
      <c r="Q979" s="24"/>
      <c r="R979" s="24"/>
      <c r="S979" s="24"/>
      <c r="T979" s="24"/>
      <c r="U979" s="24"/>
      <c r="V979" s="24"/>
      <c r="W979" s="24"/>
      <c r="X979" s="24"/>
      <c r="Y979" s="24"/>
      <c r="Z979" s="24"/>
      <c r="AA979" s="24"/>
      <c r="AB979" s="24"/>
      <c r="AC979" s="24"/>
    </row>
    <row r="980" spans="1:29" ht="12.9">
      <c r="A980" s="24"/>
      <c r="B980" s="24"/>
      <c r="C980" s="24"/>
      <c r="D980" s="24"/>
      <c r="E980" s="24"/>
      <c r="F980" s="117"/>
      <c r="G980" s="117"/>
      <c r="H980" s="24"/>
      <c r="I980" s="24"/>
      <c r="J980" s="24"/>
      <c r="K980" s="24"/>
      <c r="L980" s="24"/>
      <c r="M980" s="24"/>
      <c r="N980" s="24"/>
      <c r="O980" s="24"/>
      <c r="P980" s="24"/>
      <c r="Q980" s="24"/>
      <c r="R980" s="24"/>
      <c r="S980" s="24"/>
      <c r="T980" s="24"/>
      <c r="U980" s="24"/>
      <c r="V980" s="24"/>
      <c r="W980" s="24"/>
      <c r="X980" s="24"/>
      <c r="Y980" s="24"/>
      <c r="Z980" s="24"/>
      <c r="AA980" s="24"/>
      <c r="AB980" s="24"/>
      <c r="AC980" s="24"/>
    </row>
    <row r="981" spans="1:29" ht="12.9">
      <c r="A981" s="24"/>
      <c r="B981" s="24"/>
      <c r="C981" s="24"/>
      <c r="D981" s="24"/>
      <c r="E981" s="24"/>
      <c r="F981" s="117"/>
      <c r="G981" s="117"/>
      <c r="H981" s="24"/>
      <c r="I981" s="24"/>
      <c r="J981" s="24"/>
      <c r="K981" s="24"/>
      <c r="L981" s="24"/>
      <c r="M981" s="24"/>
      <c r="N981" s="24"/>
      <c r="O981" s="24"/>
      <c r="P981" s="24"/>
      <c r="Q981" s="24"/>
      <c r="R981" s="24"/>
      <c r="S981" s="24"/>
      <c r="T981" s="24"/>
      <c r="U981" s="24"/>
      <c r="V981" s="24"/>
      <c r="W981" s="24"/>
      <c r="X981" s="24"/>
      <c r="Y981" s="24"/>
      <c r="Z981" s="24"/>
      <c r="AA981" s="24"/>
      <c r="AB981" s="24"/>
      <c r="AC981" s="24"/>
    </row>
    <row r="982" spans="1:29" ht="12.9">
      <c r="A982" s="24"/>
      <c r="B982" s="24"/>
      <c r="C982" s="24"/>
      <c r="D982" s="24"/>
      <c r="E982" s="24"/>
      <c r="F982" s="117"/>
      <c r="G982" s="117"/>
      <c r="H982" s="24"/>
      <c r="I982" s="24"/>
      <c r="J982" s="24"/>
      <c r="K982" s="24"/>
      <c r="L982" s="24"/>
      <c r="M982" s="24"/>
      <c r="N982" s="24"/>
      <c r="O982" s="24"/>
      <c r="P982" s="24"/>
      <c r="Q982" s="24"/>
      <c r="R982" s="24"/>
      <c r="S982" s="24"/>
      <c r="T982" s="24"/>
      <c r="U982" s="24"/>
      <c r="V982" s="24"/>
      <c r="W982" s="24"/>
      <c r="X982" s="24"/>
      <c r="Y982" s="24"/>
      <c r="Z982" s="24"/>
      <c r="AA982" s="24"/>
      <c r="AB982" s="24"/>
      <c r="AC982" s="24"/>
    </row>
    <row r="983" spans="1:29" ht="12.9">
      <c r="A983" s="24"/>
      <c r="B983" s="24"/>
      <c r="C983" s="24"/>
      <c r="D983" s="24"/>
      <c r="E983" s="24"/>
      <c r="F983" s="117"/>
      <c r="G983" s="117"/>
      <c r="H983" s="24"/>
      <c r="I983" s="24"/>
      <c r="J983" s="24"/>
      <c r="K983" s="24"/>
      <c r="L983" s="24"/>
      <c r="M983" s="24"/>
      <c r="N983" s="24"/>
      <c r="O983" s="24"/>
      <c r="P983" s="24"/>
      <c r="Q983" s="24"/>
      <c r="R983" s="24"/>
      <c r="S983" s="24"/>
      <c r="T983" s="24"/>
      <c r="U983" s="24"/>
      <c r="V983" s="24"/>
      <c r="W983" s="24"/>
      <c r="X983" s="24"/>
      <c r="Y983" s="24"/>
      <c r="Z983" s="24"/>
      <c r="AA983" s="24"/>
      <c r="AB983" s="24"/>
      <c r="AC983" s="24"/>
    </row>
    <row r="984" spans="1:29" ht="12.9">
      <c r="A984" s="24"/>
      <c r="B984" s="24"/>
      <c r="C984" s="24"/>
      <c r="D984" s="24"/>
      <c r="E984" s="24"/>
      <c r="F984" s="117"/>
      <c r="G984" s="117"/>
      <c r="H984" s="24"/>
      <c r="I984" s="24"/>
      <c r="J984" s="24"/>
      <c r="K984" s="24"/>
      <c r="L984" s="24"/>
      <c r="M984" s="24"/>
      <c r="N984" s="24"/>
      <c r="O984" s="24"/>
      <c r="P984" s="24"/>
      <c r="Q984" s="24"/>
      <c r="R984" s="24"/>
      <c r="S984" s="24"/>
      <c r="T984" s="24"/>
      <c r="U984" s="24"/>
      <c r="V984" s="24"/>
      <c r="W984" s="24"/>
      <c r="X984" s="24"/>
      <c r="Y984" s="24"/>
      <c r="Z984" s="24"/>
      <c r="AA984" s="24"/>
      <c r="AB984" s="24"/>
      <c r="AC984" s="24"/>
    </row>
    <row r="985" spans="1:29" ht="12.9">
      <c r="A985" s="24"/>
      <c r="B985" s="24"/>
      <c r="C985" s="24"/>
      <c r="D985" s="24"/>
      <c r="E985" s="24"/>
      <c r="F985" s="117"/>
      <c r="G985" s="117"/>
      <c r="H985" s="24"/>
      <c r="I985" s="24"/>
      <c r="J985" s="24"/>
      <c r="K985" s="24"/>
      <c r="L985" s="24"/>
      <c r="M985" s="24"/>
      <c r="N985" s="24"/>
      <c r="O985" s="24"/>
      <c r="P985" s="24"/>
      <c r="Q985" s="24"/>
      <c r="R985" s="24"/>
      <c r="S985" s="24"/>
      <c r="T985" s="24"/>
      <c r="U985" s="24"/>
      <c r="V985" s="24"/>
      <c r="W985" s="24"/>
      <c r="X985" s="24"/>
      <c r="Y985" s="24"/>
      <c r="Z985" s="24"/>
      <c r="AA985" s="24"/>
      <c r="AB985" s="24"/>
      <c r="AC985" s="24"/>
    </row>
    <row r="986" spans="1:29" ht="12.9">
      <c r="A986" s="24"/>
      <c r="B986" s="24"/>
      <c r="C986" s="24"/>
      <c r="D986" s="24"/>
      <c r="E986" s="24"/>
      <c r="F986" s="117"/>
      <c r="G986" s="117"/>
      <c r="H986" s="24"/>
      <c r="I986" s="24"/>
      <c r="J986" s="24"/>
      <c r="K986" s="24"/>
      <c r="L986" s="24"/>
      <c r="M986" s="24"/>
      <c r="N986" s="24"/>
      <c r="O986" s="24"/>
      <c r="P986" s="24"/>
      <c r="Q986" s="24"/>
      <c r="R986" s="24"/>
      <c r="S986" s="24"/>
      <c r="T986" s="24"/>
      <c r="U986" s="24"/>
      <c r="V986" s="24"/>
      <c r="W986" s="24"/>
      <c r="X986" s="24"/>
      <c r="Y986" s="24"/>
      <c r="Z986" s="24"/>
      <c r="AA986" s="24"/>
      <c r="AB986" s="24"/>
      <c r="AC986" s="24"/>
    </row>
    <row r="987" spans="1:29" ht="12.9">
      <c r="A987" s="24"/>
      <c r="B987" s="24"/>
      <c r="C987" s="24"/>
      <c r="D987" s="24"/>
      <c r="E987" s="24"/>
      <c r="F987" s="117"/>
      <c r="G987" s="117"/>
      <c r="H987" s="24"/>
      <c r="I987" s="24"/>
      <c r="J987" s="24"/>
      <c r="K987" s="24"/>
      <c r="L987" s="24"/>
      <c r="M987" s="24"/>
      <c r="N987" s="24"/>
      <c r="O987" s="24"/>
      <c r="P987" s="24"/>
      <c r="Q987" s="24"/>
      <c r="R987" s="24"/>
      <c r="S987" s="24"/>
      <c r="T987" s="24"/>
      <c r="U987" s="24"/>
      <c r="V987" s="24"/>
      <c r="W987" s="24"/>
      <c r="X987" s="24"/>
      <c r="Y987" s="24"/>
      <c r="Z987" s="24"/>
      <c r="AA987" s="24"/>
      <c r="AB987" s="24"/>
      <c r="AC987" s="24"/>
    </row>
    <row r="988" spans="1:29" ht="12.9">
      <c r="A988" s="24"/>
      <c r="B988" s="24"/>
      <c r="C988" s="24"/>
      <c r="D988" s="24"/>
      <c r="E988" s="24"/>
      <c r="F988" s="117"/>
      <c r="G988" s="117"/>
      <c r="H988" s="24"/>
      <c r="I988" s="24"/>
      <c r="J988" s="24"/>
      <c r="K988" s="24"/>
      <c r="L988" s="24"/>
      <c r="M988" s="24"/>
      <c r="N988" s="24"/>
      <c r="O988" s="24"/>
      <c r="P988" s="24"/>
      <c r="Q988" s="24"/>
      <c r="R988" s="24"/>
      <c r="S988" s="24"/>
      <c r="T988" s="24"/>
      <c r="U988" s="24"/>
      <c r="V988" s="24"/>
      <c r="W988" s="24"/>
      <c r="X988" s="24"/>
      <c r="Y988" s="24"/>
      <c r="Z988" s="24"/>
      <c r="AA988" s="24"/>
      <c r="AB988" s="24"/>
      <c r="AC988" s="24"/>
    </row>
    <row r="989" spans="1:29" ht="12.9">
      <c r="A989" s="24"/>
      <c r="B989" s="24"/>
      <c r="C989" s="24"/>
      <c r="D989" s="24"/>
      <c r="E989" s="24"/>
      <c r="F989" s="117"/>
      <c r="G989" s="117"/>
      <c r="H989" s="24"/>
      <c r="I989" s="24"/>
      <c r="J989" s="24"/>
      <c r="K989" s="24"/>
      <c r="L989" s="24"/>
      <c r="M989" s="24"/>
      <c r="N989" s="24"/>
      <c r="O989" s="24"/>
      <c r="P989" s="24"/>
      <c r="Q989" s="24"/>
      <c r="R989" s="24"/>
      <c r="S989" s="24"/>
      <c r="T989" s="24"/>
      <c r="U989" s="24"/>
      <c r="V989" s="24"/>
      <c r="W989" s="24"/>
      <c r="X989" s="24"/>
      <c r="Y989" s="24"/>
      <c r="Z989" s="24"/>
      <c r="AA989" s="24"/>
      <c r="AB989" s="24"/>
      <c r="AC989" s="24"/>
    </row>
    <row r="990" spans="1:29" ht="12.9">
      <c r="A990" s="24"/>
      <c r="B990" s="24"/>
      <c r="C990" s="24"/>
      <c r="D990" s="24"/>
      <c r="E990" s="24"/>
      <c r="F990" s="117"/>
      <c r="G990" s="117"/>
      <c r="H990" s="24"/>
      <c r="I990" s="24"/>
      <c r="J990" s="24"/>
      <c r="K990" s="24"/>
      <c r="L990" s="24"/>
      <c r="M990" s="24"/>
      <c r="N990" s="24"/>
      <c r="O990" s="24"/>
      <c r="P990" s="24"/>
      <c r="Q990" s="24"/>
      <c r="R990" s="24"/>
      <c r="S990" s="24"/>
      <c r="T990" s="24"/>
      <c r="U990" s="24"/>
      <c r="V990" s="24"/>
      <c r="W990" s="24"/>
      <c r="X990" s="24"/>
      <c r="Y990" s="24"/>
      <c r="Z990" s="24"/>
      <c r="AA990" s="24"/>
      <c r="AB990" s="24"/>
      <c r="AC990" s="24"/>
    </row>
    <row r="991" spans="1:29" ht="12.9">
      <c r="A991" s="24"/>
      <c r="B991" s="24"/>
      <c r="C991" s="24"/>
      <c r="D991" s="24"/>
      <c r="E991" s="24"/>
      <c r="F991" s="117"/>
      <c r="G991" s="117"/>
      <c r="H991" s="24"/>
      <c r="I991" s="24"/>
      <c r="J991" s="24"/>
      <c r="K991" s="24"/>
      <c r="L991" s="24"/>
      <c r="M991" s="24"/>
      <c r="N991" s="24"/>
      <c r="O991" s="24"/>
      <c r="P991" s="24"/>
      <c r="Q991" s="24"/>
      <c r="R991" s="24"/>
      <c r="S991" s="24"/>
      <c r="T991" s="24"/>
      <c r="U991" s="24"/>
      <c r="V991" s="24"/>
      <c r="W991" s="24"/>
      <c r="X991" s="24"/>
      <c r="Y991" s="24"/>
      <c r="Z991" s="24"/>
      <c r="AA991" s="24"/>
      <c r="AB991" s="24"/>
      <c r="AC991" s="24"/>
    </row>
    <row r="992" spans="1:29" ht="12.9">
      <c r="A992" s="24"/>
      <c r="B992" s="24"/>
      <c r="C992" s="24"/>
      <c r="D992" s="24"/>
      <c r="E992" s="24"/>
      <c r="F992" s="117"/>
      <c r="G992" s="117"/>
      <c r="H992" s="24"/>
      <c r="I992" s="24"/>
      <c r="J992" s="24"/>
      <c r="K992" s="24"/>
      <c r="L992" s="24"/>
      <c r="M992" s="24"/>
      <c r="N992" s="24"/>
      <c r="O992" s="24"/>
      <c r="P992" s="24"/>
      <c r="Q992" s="24"/>
      <c r="R992" s="24"/>
      <c r="S992" s="24"/>
      <c r="T992" s="24"/>
      <c r="U992" s="24"/>
      <c r="V992" s="24"/>
      <c r="W992" s="24"/>
      <c r="X992" s="24"/>
      <c r="Y992" s="24"/>
      <c r="Z992" s="24"/>
      <c r="AA992" s="24"/>
      <c r="AB992" s="24"/>
      <c r="AC992" s="24"/>
    </row>
    <row r="993" spans="1:29" ht="12.9">
      <c r="A993" s="24"/>
      <c r="B993" s="24"/>
      <c r="C993" s="24"/>
      <c r="D993" s="24"/>
      <c r="E993" s="24"/>
      <c r="F993" s="117"/>
      <c r="G993" s="117"/>
      <c r="H993" s="24"/>
      <c r="I993" s="24"/>
      <c r="J993" s="24"/>
      <c r="K993" s="24"/>
      <c r="L993" s="24"/>
      <c r="M993" s="24"/>
      <c r="N993" s="24"/>
      <c r="O993" s="24"/>
      <c r="P993" s="24"/>
      <c r="Q993" s="24"/>
      <c r="R993" s="24"/>
      <c r="S993" s="24"/>
      <c r="T993" s="24"/>
      <c r="U993" s="24"/>
      <c r="V993" s="24"/>
      <c r="W993" s="24"/>
      <c r="X993" s="24"/>
      <c r="Y993" s="24"/>
      <c r="Z993" s="24"/>
      <c r="AA993" s="24"/>
      <c r="AB993" s="24"/>
      <c r="AC993" s="24"/>
    </row>
    <row r="994" spans="1:29" ht="12.9">
      <c r="A994" s="24"/>
      <c r="B994" s="24"/>
      <c r="C994" s="24"/>
      <c r="D994" s="24"/>
      <c r="E994" s="24"/>
      <c r="F994" s="117"/>
      <c r="G994" s="117"/>
      <c r="H994" s="24"/>
      <c r="I994" s="24"/>
      <c r="J994" s="24"/>
      <c r="K994" s="24"/>
      <c r="L994" s="24"/>
      <c r="M994" s="24"/>
      <c r="N994" s="24"/>
      <c r="O994" s="24"/>
      <c r="P994" s="24"/>
      <c r="Q994" s="24"/>
      <c r="R994" s="24"/>
      <c r="S994" s="24"/>
      <c r="T994" s="24"/>
      <c r="U994" s="24"/>
      <c r="V994" s="24"/>
      <c r="W994" s="24"/>
      <c r="X994" s="24"/>
      <c r="Y994" s="24"/>
      <c r="Z994" s="24"/>
      <c r="AA994" s="24"/>
      <c r="AB994" s="24"/>
      <c r="AC994" s="24"/>
    </row>
    <row r="995" spans="1:29" ht="12.9">
      <c r="A995" s="24"/>
      <c r="B995" s="24"/>
      <c r="C995" s="24"/>
      <c r="D995" s="24"/>
      <c r="E995" s="24"/>
      <c r="F995" s="117"/>
      <c r="G995" s="117"/>
      <c r="H995" s="24"/>
      <c r="I995" s="24"/>
      <c r="J995" s="24"/>
      <c r="K995" s="24"/>
      <c r="L995" s="24"/>
      <c r="M995" s="24"/>
      <c r="N995" s="24"/>
      <c r="O995" s="24"/>
      <c r="P995" s="24"/>
      <c r="Q995" s="24"/>
      <c r="R995" s="24"/>
      <c r="S995" s="24"/>
      <c r="T995" s="24"/>
      <c r="U995" s="24"/>
      <c r="V995" s="24"/>
      <c r="W995" s="24"/>
      <c r="X995" s="24"/>
      <c r="Y995" s="24"/>
      <c r="Z995" s="24"/>
      <c r="AA995" s="24"/>
      <c r="AB995" s="24"/>
      <c r="AC995" s="24"/>
    </row>
    <row r="996" spans="1:29" ht="12.9">
      <c r="A996" s="24"/>
      <c r="B996" s="24"/>
      <c r="C996" s="24"/>
      <c r="D996" s="24"/>
      <c r="E996" s="24"/>
      <c r="F996" s="117"/>
      <c r="G996" s="117"/>
      <c r="H996" s="24"/>
      <c r="I996" s="24"/>
      <c r="J996" s="24"/>
      <c r="K996" s="24"/>
      <c r="L996" s="24"/>
      <c r="M996" s="24"/>
      <c r="N996" s="24"/>
      <c r="O996" s="24"/>
      <c r="P996" s="24"/>
      <c r="Q996" s="24"/>
      <c r="R996" s="24"/>
      <c r="S996" s="24"/>
      <c r="T996" s="24"/>
      <c r="U996" s="24"/>
      <c r="V996" s="24"/>
      <c r="W996" s="24"/>
      <c r="X996" s="24"/>
      <c r="Y996" s="24"/>
      <c r="Z996" s="24"/>
      <c r="AA996" s="24"/>
      <c r="AB996" s="24"/>
      <c r="AC996" s="24"/>
    </row>
    <row r="997" spans="1:29" ht="12.9">
      <c r="A997" s="24"/>
      <c r="B997" s="24"/>
      <c r="C997" s="24"/>
      <c r="D997" s="24"/>
      <c r="E997" s="24"/>
      <c r="F997" s="117"/>
      <c r="G997" s="117"/>
      <c r="H997" s="24"/>
      <c r="I997" s="24"/>
      <c r="J997" s="24"/>
      <c r="K997" s="24"/>
      <c r="L997" s="24"/>
      <c r="M997" s="24"/>
      <c r="N997" s="24"/>
      <c r="O997" s="24"/>
      <c r="P997" s="24"/>
      <c r="Q997" s="24"/>
      <c r="R997" s="24"/>
      <c r="S997" s="24"/>
      <c r="T997" s="24"/>
      <c r="U997" s="24"/>
      <c r="V997" s="24"/>
      <c r="W997" s="24"/>
      <c r="X997" s="24"/>
      <c r="Y997" s="24"/>
      <c r="Z997" s="24"/>
      <c r="AA997" s="24"/>
      <c r="AB997" s="24"/>
      <c r="AC997" s="24"/>
    </row>
    <row r="998" spans="1:29" ht="12.9">
      <c r="A998" s="24"/>
      <c r="B998" s="24"/>
      <c r="C998" s="24"/>
      <c r="D998" s="24"/>
      <c r="E998" s="24"/>
      <c r="F998" s="117"/>
      <c r="G998" s="117"/>
      <c r="H998" s="24"/>
      <c r="I998" s="24"/>
      <c r="J998" s="24"/>
      <c r="K998" s="24"/>
      <c r="L998" s="24"/>
      <c r="M998" s="24"/>
      <c r="N998" s="24"/>
      <c r="O998" s="24"/>
      <c r="P998" s="24"/>
      <c r="Q998" s="24"/>
      <c r="R998" s="24"/>
      <c r="S998" s="24"/>
      <c r="T998" s="24"/>
      <c r="U998" s="24"/>
      <c r="V998" s="24"/>
      <c r="W998" s="24"/>
      <c r="X998" s="24"/>
      <c r="Y998" s="24"/>
      <c r="Z998" s="24"/>
      <c r="AA998" s="24"/>
      <c r="AB998" s="24"/>
      <c r="AC998" s="24"/>
    </row>
    <row r="999" spans="1:29" ht="12.9">
      <c r="A999" s="24"/>
      <c r="B999" s="24"/>
      <c r="C999" s="24"/>
      <c r="D999" s="24"/>
      <c r="E999" s="24"/>
      <c r="F999" s="117"/>
      <c r="G999" s="117"/>
      <c r="H999" s="24"/>
      <c r="I999" s="24"/>
      <c r="J999" s="24"/>
      <c r="K999" s="24"/>
      <c r="L999" s="24"/>
      <c r="M999" s="24"/>
      <c r="N999" s="24"/>
      <c r="O999" s="24"/>
      <c r="P999" s="24"/>
      <c r="Q999" s="24"/>
      <c r="R999" s="24"/>
      <c r="S999" s="24"/>
      <c r="T999" s="24"/>
      <c r="U999" s="24"/>
      <c r="V999" s="24"/>
      <c r="W999" s="24"/>
      <c r="X999" s="24"/>
      <c r="Y999" s="24"/>
      <c r="Z999" s="24"/>
      <c r="AA999" s="24"/>
      <c r="AB999" s="24"/>
      <c r="AC999" s="24"/>
    </row>
    <row r="1000" spans="1:29" ht="12.9">
      <c r="A1000" s="24"/>
      <c r="B1000" s="24"/>
      <c r="C1000" s="24"/>
      <c r="D1000" s="24"/>
      <c r="E1000" s="24"/>
      <c r="F1000" s="117"/>
      <c r="G1000" s="117"/>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row>
    <row r="1001" spans="1:29" ht="12.9">
      <c r="A1001" s="24"/>
      <c r="B1001" s="24"/>
      <c r="C1001" s="24"/>
      <c r="D1001" s="24"/>
      <c r="E1001" s="24"/>
      <c r="F1001" s="117"/>
      <c r="G1001" s="117"/>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row>
    <row r="1002" spans="1:29" ht="12.9">
      <c r="A1002" s="24"/>
      <c r="B1002" s="24"/>
      <c r="C1002" s="24"/>
      <c r="D1002" s="24"/>
      <c r="E1002" s="24"/>
      <c r="F1002" s="117"/>
      <c r="G1002" s="117"/>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row>
    <row r="1003" spans="1:29" ht="12.9">
      <c r="A1003" s="24"/>
      <c r="B1003" s="24"/>
      <c r="C1003" s="24"/>
      <c r="D1003" s="24"/>
      <c r="E1003" s="24"/>
      <c r="F1003" s="117"/>
      <c r="G1003" s="117"/>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row>
    <row r="1004" spans="1:29" ht="12.9">
      <c r="A1004" s="24"/>
      <c r="B1004" s="24"/>
      <c r="C1004" s="24"/>
      <c r="D1004" s="24"/>
      <c r="E1004" s="24"/>
      <c r="F1004" s="117"/>
      <c r="G1004" s="117"/>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row>
    <row r="1005" spans="1:29" ht="12.9">
      <c r="A1005" s="24"/>
      <c r="B1005" s="24"/>
      <c r="C1005" s="24"/>
      <c r="D1005" s="24"/>
      <c r="E1005" s="24"/>
      <c r="F1005" s="117"/>
      <c r="G1005" s="117"/>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row>
    <row r="1006" spans="1:29" ht="12.9">
      <c r="A1006" s="24"/>
      <c r="B1006" s="24"/>
      <c r="C1006" s="24"/>
      <c r="D1006" s="24"/>
      <c r="E1006" s="24"/>
      <c r="F1006" s="117"/>
      <c r="G1006" s="117"/>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row>
    <row r="1007" spans="1:29" ht="12.9">
      <c r="A1007" s="24"/>
      <c r="B1007" s="24"/>
      <c r="C1007" s="24"/>
      <c r="D1007" s="24"/>
      <c r="E1007" s="24"/>
      <c r="F1007" s="117"/>
      <c r="G1007" s="117"/>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row>
    <row r="1008" spans="1:29" ht="12.9">
      <c r="A1008" s="24"/>
      <c r="B1008" s="24"/>
      <c r="C1008" s="24"/>
      <c r="D1008" s="24"/>
      <c r="E1008" s="24"/>
      <c r="F1008" s="117"/>
      <c r="G1008" s="117"/>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row>
    <row r="1009" spans="1:29" ht="12.9">
      <c r="A1009" s="24"/>
      <c r="B1009" s="24"/>
      <c r="C1009" s="24"/>
      <c r="D1009" s="24"/>
      <c r="E1009" s="24"/>
      <c r="F1009" s="117"/>
      <c r="G1009" s="117"/>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row>
    <row r="1010" spans="1:29" ht="12.9">
      <c r="A1010" s="24"/>
      <c r="B1010" s="24"/>
      <c r="C1010" s="24"/>
      <c r="D1010" s="24"/>
      <c r="E1010" s="24"/>
      <c r="F1010" s="117"/>
      <c r="G1010" s="117"/>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row>
    <row r="1011" spans="1:29" ht="12.9">
      <c r="A1011" s="24"/>
      <c r="B1011" s="24"/>
      <c r="C1011" s="24"/>
      <c r="D1011" s="24"/>
      <c r="E1011" s="24"/>
      <c r="F1011" s="117"/>
      <c r="G1011" s="117"/>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row>
    <row r="1012" spans="1:29" ht="12.9">
      <c r="A1012" s="24"/>
      <c r="B1012" s="24"/>
      <c r="C1012" s="24"/>
      <c r="D1012" s="24"/>
      <c r="E1012" s="24"/>
      <c r="F1012" s="117"/>
      <c r="G1012" s="117"/>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row>
    <row r="1013" spans="1:29" ht="12.9">
      <c r="A1013" s="24"/>
      <c r="B1013" s="24"/>
      <c r="C1013" s="24"/>
      <c r="D1013" s="24"/>
      <c r="E1013" s="24"/>
      <c r="F1013" s="117"/>
      <c r="G1013" s="117"/>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row>
    <row r="1014" spans="1:29" ht="12.9">
      <c r="A1014" s="24"/>
      <c r="B1014" s="24"/>
      <c r="C1014" s="24"/>
      <c r="D1014" s="24"/>
      <c r="E1014" s="24"/>
      <c r="F1014" s="117"/>
      <c r="G1014" s="117"/>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row>
    <row r="1015" spans="1:29" ht="12.9">
      <c r="A1015" s="24"/>
      <c r="B1015" s="24"/>
      <c r="C1015" s="24"/>
      <c r="D1015" s="24"/>
      <c r="E1015" s="24"/>
      <c r="F1015" s="117"/>
      <c r="G1015" s="117"/>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row>
    <row r="1016" spans="1:29" ht="12.9">
      <c r="A1016" s="24"/>
      <c r="B1016" s="24"/>
      <c r="C1016" s="24"/>
      <c r="D1016" s="24"/>
      <c r="E1016" s="24"/>
      <c r="F1016" s="117"/>
      <c r="G1016" s="117"/>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row>
    <row r="1017" spans="1:29" ht="12.9">
      <c r="A1017" s="24"/>
      <c r="B1017" s="24"/>
      <c r="C1017" s="24"/>
      <c r="D1017" s="24"/>
      <c r="E1017" s="24"/>
      <c r="F1017" s="117"/>
      <c r="G1017" s="117"/>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row>
    <row r="1018" spans="1:29" ht="12.9">
      <c r="A1018" s="24"/>
      <c r="B1018" s="24"/>
      <c r="C1018" s="24"/>
      <c r="D1018" s="24"/>
      <c r="E1018" s="24"/>
      <c r="F1018" s="117"/>
      <c r="G1018" s="117"/>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row>
    <row r="1019" spans="1:29" ht="12.9">
      <c r="A1019" s="24"/>
      <c r="B1019" s="24"/>
      <c r="C1019" s="24"/>
      <c r="D1019" s="24"/>
      <c r="E1019" s="24"/>
      <c r="F1019" s="117"/>
      <c r="G1019" s="117"/>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row>
    <row r="1020" spans="1:29" ht="12.9">
      <c r="A1020" s="24"/>
      <c r="B1020" s="24"/>
      <c r="C1020" s="24"/>
      <c r="D1020" s="24"/>
      <c r="E1020" s="24"/>
      <c r="F1020" s="117"/>
      <c r="G1020" s="117"/>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row>
    <row r="1021" spans="1:29" ht="12.9">
      <c r="A1021" s="24"/>
      <c r="B1021" s="24"/>
      <c r="C1021" s="24"/>
      <c r="D1021" s="24"/>
      <c r="E1021" s="24"/>
      <c r="F1021" s="117"/>
      <c r="G1021" s="117"/>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row>
    <row r="1022" spans="1:29" ht="12.9">
      <c r="A1022" s="24"/>
      <c r="B1022" s="24"/>
      <c r="C1022" s="24"/>
      <c r="D1022" s="24"/>
      <c r="E1022" s="24"/>
      <c r="F1022" s="117"/>
      <c r="G1022" s="117"/>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row>
    <row r="1023" spans="1:29" ht="12.9">
      <c r="A1023" s="24"/>
      <c r="B1023" s="24"/>
      <c r="C1023" s="24"/>
      <c r="D1023" s="24"/>
      <c r="E1023" s="24"/>
      <c r="F1023" s="117"/>
      <c r="G1023" s="117"/>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row>
    <row r="1024" spans="1:29" ht="12.9">
      <c r="A1024" s="24"/>
      <c r="B1024" s="24"/>
      <c r="C1024" s="24"/>
      <c r="D1024" s="24"/>
      <c r="E1024" s="24"/>
      <c r="F1024" s="117"/>
      <c r="G1024" s="117"/>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row>
    <row r="1025" spans="1:29" ht="12.9">
      <c r="A1025" s="24"/>
      <c r="B1025" s="24"/>
      <c r="C1025" s="24"/>
      <c r="D1025" s="24"/>
      <c r="E1025" s="24"/>
      <c r="F1025" s="117"/>
      <c r="G1025" s="117"/>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row>
    <row r="1026" spans="1:29" ht="12.9">
      <c r="A1026" s="24"/>
      <c r="B1026" s="24"/>
      <c r="C1026" s="24"/>
      <c r="D1026" s="24"/>
      <c r="E1026" s="24"/>
      <c r="F1026" s="117"/>
      <c r="G1026" s="117"/>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row>
    <row r="1027" spans="1:29" ht="12.9">
      <c r="A1027" s="24"/>
      <c r="B1027" s="24"/>
      <c r="C1027" s="24"/>
      <c r="D1027" s="24"/>
      <c r="E1027" s="24"/>
      <c r="F1027" s="117"/>
      <c r="G1027" s="117"/>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row>
    <row r="1028" spans="1:29" ht="12.9">
      <c r="A1028" s="24"/>
      <c r="B1028" s="24"/>
      <c r="C1028" s="24"/>
      <c r="D1028" s="24"/>
      <c r="E1028" s="24"/>
      <c r="F1028" s="117"/>
      <c r="G1028" s="117"/>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row>
    <row r="1029" spans="1:29" ht="12.9">
      <c r="A1029" s="24"/>
      <c r="B1029" s="24"/>
      <c r="C1029" s="24"/>
      <c r="D1029" s="24"/>
      <c r="E1029" s="24"/>
      <c r="F1029" s="117"/>
      <c r="G1029" s="117"/>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row>
    <row r="1030" spans="1:29" ht="12.9">
      <c r="A1030" s="24"/>
      <c r="B1030" s="24"/>
      <c r="C1030" s="24"/>
      <c r="D1030" s="24"/>
      <c r="E1030" s="24"/>
      <c r="F1030" s="117"/>
      <c r="G1030" s="117"/>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row>
    <row r="1031" spans="1:29" ht="12.9">
      <c r="A1031" s="24"/>
      <c r="B1031" s="24"/>
      <c r="C1031" s="24"/>
      <c r="D1031" s="24"/>
      <c r="E1031" s="24"/>
      <c r="F1031" s="117"/>
      <c r="G1031" s="117"/>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row>
    <row r="1032" spans="1:29" ht="12.9">
      <c r="A1032" s="24"/>
      <c r="B1032" s="24"/>
      <c r="C1032" s="24"/>
      <c r="D1032" s="24"/>
      <c r="E1032" s="24"/>
      <c r="F1032" s="117"/>
      <c r="G1032" s="117"/>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row>
    <row r="1033" spans="1:29" ht="12.9">
      <c r="A1033" s="24"/>
      <c r="B1033" s="24"/>
      <c r="C1033" s="24"/>
      <c r="D1033" s="24"/>
      <c r="E1033" s="24"/>
      <c r="F1033" s="117"/>
      <c r="G1033" s="117"/>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row>
    <row r="1034" spans="1:29" ht="12.9">
      <c r="A1034" s="24"/>
      <c r="B1034" s="24"/>
      <c r="C1034" s="24"/>
      <c r="D1034" s="24"/>
      <c r="E1034" s="24"/>
      <c r="F1034" s="117"/>
      <c r="G1034" s="117"/>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row>
    <row r="1035" spans="1:29" ht="12.9">
      <c r="A1035" s="24"/>
      <c r="B1035" s="24"/>
      <c r="C1035" s="24"/>
      <c r="D1035" s="24"/>
      <c r="E1035" s="24"/>
      <c r="F1035" s="117"/>
      <c r="G1035" s="117"/>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row>
    <row r="1036" spans="1:29" ht="12.9">
      <c r="A1036" s="24"/>
      <c r="B1036" s="24"/>
      <c r="C1036" s="24"/>
      <c r="D1036" s="24"/>
      <c r="E1036" s="24"/>
      <c r="F1036" s="117"/>
      <c r="G1036" s="117"/>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row>
    <row r="1037" spans="1:29" ht="12.9">
      <c r="A1037" s="24"/>
      <c r="B1037" s="24"/>
      <c r="C1037" s="24"/>
      <c r="D1037" s="24"/>
      <c r="E1037" s="24"/>
      <c r="F1037" s="117"/>
      <c r="G1037" s="117"/>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row>
    <row r="1038" spans="1:29" ht="12.9">
      <c r="A1038" s="24"/>
      <c r="B1038" s="24"/>
      <c r="C1038" s="24"/>
      <c r="D1038" s="24"/>
      <c r="E1038" s="24"/>
      <c r="F1038" s="117"/>
      <c r="G1038" s="117"/>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row>
    <row r="1039" spans="1:29" ht="12.9">
      <c r="A1039" s="24"/>
      <c r="B1039" s="24"/>
      <c r="C1039" s="24"/>
      <c r="D1039" s="24"/>
      <c r="E1039" s="24"/>
      <c r="F1039" s="117"/>
      <c r="G1039" s="117"/>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row>
    <row r="1040" spans="1:29" ht="12.9">
      <c r="A1040" s="24"/>
      <c r="B1040" s="24"/>
      <c r="C1040" s="24"/>
      <c r="D1040" s="24"/>
      <c r="E1040" s="24"/>
      <c r="F1040" s="117"/>
      <c r="G1040" s="117"/>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row>
    <row r="1041" spans="1:29" ht="12.9">
      <c r="A1041" s="24"/>
      <c r="B1041" s="24"/>
      <c r="C1041" s="24"/>
      <c r="D1041" s="24"/>
      <c r="E1041" s="24"/>
      <c r="F1041" s="117"/>
      <c r="G1041" s="117"/>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row>
    <row r="1042" spans="1:29" ht="12.9">
      <c r="A1042" s="24"/>
      <c r="B1042" s="24"/>
      <c r="C1042" s="24"/>
      <c r="D1042" s="24"/>
      <c r="E1042" s="24"/>
      <c r="F1042" s="117"/>
      <c r="G1042" s="117"/>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row>
    <row r="1043" spans="1:29" ht="12.9">
      <c r="A1043" s="24"/>
      <c r="B1043" s="24"/>
      <c r="C1043" s="24"/>
      <c r="D1043" s="24"/>
      <c r="E1043" s="24"/>
      <c r="F1043" s="117"/>
      <c r="G1043" s="117"/>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row>
    <row r="1044" spans="1:29" ht="12.9">
      <c r="A1044" s="24"/>
      <c r="B1044" s="24"/>
      <c r="C1044" s="24"/>
      <c r="D1044" s="24"/>
      <c r="E1044" s="24"/>
      <c r="F1044" s="117"/>
      <c r="G1044" s="117"/>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row>
    <row r="1045" spans="1:29" ht="12.9">
      <c r="A1045" s="24"/>
      <c r="B1045" s="24"/>
      <c r="C1045" s="24"/>
      <c r="D1045" s="24"/>
      <c r="E1045" s="24"/>
      <c r="F1045" s="117"/>
      <c r="G1045" s="117"/>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row>
    <row r="1046" spans="1:29" ht="12.9">
      <c r="A1046" s="24"/>
      <c r="B1046" s="24"/>
      <c r="C1046" s="24"/>
      <c r="D1046" s="24"/>
      <c r="E1046" s="24"/>
      <c r="F1046" s="117"/>
      <c r="G1046" s="117"/>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row>
    <row r="1047" spans="1:29" ht="12.9">
      <c r="A1047" s="24"/>
      <c r="B1047" s="24"/>
      <c r="C1047" s="24"/>
      <c r="D1047" s="24"/>
      <c r="E1047" s="24"/>
      <c r="F1047" s="117"/>
      <c r="G1047" s="117"/>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row>
    <row r="1048" spans="1:29" ht="12.9">
      <c r="A1048" s="24"/>
      <c r="B1048" s="24"/>
      <c r="C1048" s="24"/>
      <c r="D1048" s="24"/>
      <c r="E1048" s="24"/>
      <c r="F1048" s="117"/>
      <c r="G1048" s="117"/>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row>
    <row r="1049" spans="1:29" ht="12.9">
      <c r="A1049" s="24"/>
      <c r="B1049" s="24"/>
      <c r="C1049" s="24"/>
      <c r="D1049" s="24"/>
      <c r="E1049" s="24"/>
      <c r="F1049" s="117"/>
      <c r="G1049" s="117"/>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row>
    <row r="1050" spans="1:29" ht="12.9">
      <c r="A1050" s="24"/>
      <c r="B1050" s="24"/>
      <c r="C1050" s="24"/>
      <c r="D1050" s="24"/>
      <c r="E1050" s="24"/>
      <c r="F1050" s="117"/>
      <c r="G1050" s="117"/>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row>
    <row r="1051" spans="1:29" ht="12.9">
      <c r="A1051" s="24"/>
      <c r="B1051" s="24"/>
      <c r="C1051" s="24"/>
      <c r="D1051" s="24"/>
      <c r="E1051" s="24"/>
      <c r="F1051" s="117"/>
      <c r="G1051" s="117"/>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row>
    <row r="1052" spans="1:29" ht="12.9">
      <c r="A1052" s="24"/>
      <c r="B1052" s="24"/>
      <c r="C1052" s="24"/>
      <c r="D1052" s="24"/>
      <c r="E1052" s="24"/>
      <c r="F1052" s="117"/>
      <c r="G1052" s="117"/>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row>
    <row r="1053" spans="1:29" ht="12.9">
      <c r="A1053" s="24"/>
      <c r="B1053" s="24"/>
      <c r="C1053" s="24"/>
      <c r="D1053" s="24"/>
      <c r="E1053" s="24"/>
      <c r="F1053" s="117"/>
      <c r="G1053" s="117"/>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row>
    <row r="1054" spans="1:29" ht="12.9">
      <c r="A1054" s="24"/>
      <c r="B1054" s="24"/>
      <c r="C1054" s="24"/>
      <c r="D1054" s="24"/>
      <c r="E1054" s="24"/>
      <c r="F1054" s="117"/>
      <c r="G1054" s="117"/>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row>
    <row r="1055" spans="1:29" ht="12.9">
      <c r="A1055" s="24"/>
      <c r="B1055" s="24"/>
      <c r="C1055" s="24"/>
      <c r="D1055" s="24"/>
      <c r="E1055" s="24"/>
      <c r="F1055" s="117"/>
      <c r="G1055" s="117"/>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row>
    <row r="1056" spans="1:29" ht="12.9">
      <c r="A1056" s="24"/>
      <c r="B1056" s="24"/>
      <c r="C1056" s="24"/>
      <c r="D1056" s="24"/>
      <c r="E1056" s="24"/>
      <c r="F1056" s="117"/>
      <c r="G1056" s="117"/>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row>
    <row r="1057" spans="1:29" ht="12.9">
      <c r="A1057" s="24"/>
      <c r="B1057" s="24"/>
      <c r="C1057" s="24"/>
      <c r="D1057" s="24"/>
      <c r="E1057" s="24"/>
      <c r="F1057" s="117"/>
      <c r="G1057" s="117"/>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row>
    <row r="1058" spans="1:29" ht="12.9">
      <c r="A1058" s="24"/>
      <c r="B1058" s="24"/>
      <c r="C1058" s="24"/>
      <c r="D1058" s="24"/>
      <c r="E1058" s="24"/>
      <c r="F1058" s="117"/>
      <c r="G1058" s="117"/>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row>
    <row r="1059" spans="1:29" ht="12.9">
      <c r="A1059" s="24"/>
      <c r="B1059" s="24"/>
      <c r="C1059" s="24"/>
      <c r="D1059" s="24"/>
      <c r="E1059" s="24"/>
      <c r="F1059" s="117"/>
      <c r="G1059" s="117"/>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row>
    <row r="1060" spans="1:29" ht="12.9">
      <c r="A1060" s="24"/>
      <c r="B1060" s="24"/>
      <c r="C1060" s="24"/>
      <c r="D1060" s="24"/>
      <c r="E1060" s="24"/>
      <c r="F1060" s="117"/>
      <c r="G1060" s="117"/>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row>
    <row r="1061" spans="1:29" ht="12.9">
      <c r="A1061" s="24"/>
      <c r="B1061" s="24"/>
      <c r="C1061" s="24"/>
      <c r="D1061" s="24"/>
      <c r="E1061" s="24"/>
      <c r="F1061" s="117"/>
      <c r="G1061" s="117"/>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row>
    <row r="1062" spans="1:29" ht="12.9">
      <c r="A1062" s="24"/>
      <c r="B1062" s="24"/>
      <c r="C1062" s="24"/>
      <c r="D1062" s="24"/>
      <c r="E1062" s="24"/>
      <c r="F1062" s="117"/>
      <c r="G1062" s="117"/>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row>
    <row r="1063" spans="1:29" ht="12.9">
      <c r="A1063" s="24"/>
      <c r="B1063" s="24"/>
      <c r="C1063" s="24"/>
      <c r="D1063" s="24"/>
      <c r="E1063" s="24"/>
      <c r="F1063" s="117"/>
      <c r="G1063" s="117"/>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row>
    <row r="1064" spans="1:29" ht="12.9">
      <c r="A1064" s="24"/>
      <c r="B1064" s="24"/>
      <c r="C1064" s="24"/>
      <c r="D1064" s="24"/>
      <c r="E1064" s="24"/>
      <c r="F1064" s="117"/>
      <c r="G1064" s="117"/>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row>
    <row r="1065" spans="1:29" ht="12.9">
      <c r="A1065" s="24"/>
      <c r="B1065" s="24"/>
      <c r="C1065" s="24"/>
      <c r="D1065" s="24"/>
      <c r="E1065" s="24"/>
      <c r="F1065" s="117"/>
      <c r="G1065" s="117"/>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row>
    <row r="1066" spans="1:29" ht="12.9">
      <c r="A1066" s="24"/>
      <c r="B1066" s="24"/>
      <c r="C1066" s="24"/>
      <c r="D1066" s="24"/>
      <c r="E1066" s="24"/>
      <c r="F1066" s="117"/>
      <c r="G1066" s="117"/>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row>
    <row r="1067" spans="1:29" ht="12.9">
      <c r="A1067" s="24"/>
      <c r="B1067" s="24"/>
      <c r="C1067" s="24"/>
      <c r="D1067" s="24"/>
      <c r="E1067" s="24"/>
      <c r="F1067" s="117"/>
      <c r="G1067" s="117"/>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row>
    <row r="1068" spans="1:29" ht="12.9">
      <c r="A1068" s="24"/>
      <c r="B1068" s="24"/>
      <c r="C1068" s="24"/>
      <c r="D1068" s="24"/>
      <c r="E1068" s="24"/>
      <c r="F1068" s="117"/>
      <c r="G1068" s="117"/>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row>
    <row r="1069" spans="1:29" ht="12.9">
      <c r="A1069" s="24"/>
      <c r="B1069" s="24"/>
      <c r="C1069" s="24"/>
      <c r="D1069" s="24"/>
      <c r="E1069" s="24"/>
      <c r="F1069" s="117"/>
      <c r="G1069" s="117"/>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row>
    <row r="1070" spans="1:29" ht="12.9">
      <c r="A1070" s="24"/>
      <c r="B1070" s="24"/>
      <c r="C1070" s="24"/>
      <c r="D1070" s="24"/>
      <c r="E1070" s="24"/>
      <c r="F1070" s="117"/>
      <c r="G1070" s="117"/>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row>
    <row r="1071" spans="1:29" ht="12.9">
      <c r="A1071" s="24"/>
      <c r="B1071" s="24"/>
      <c r="C1071" s="24"/>
      <c r="D1071" s="24"/>
      <c r="E1071" s="24"/>
      <c r="F1071" s="117"/>
      <c r="G1071" s="117"/>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row>
    <row r="1072" spans="1:29" ht="12.9">
      <c r="A1072" s="24"/>
      <c r="B1072" s="24"/>
      <c r="C1072" s="24"/>
      <c r="D1072" s="24"/>
      <c r="E1072" s="24"/>
      <c r="F1072" s="117"/>
      <c r="G1072" s="117"/>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row>
    <row r="1073" spans="1:29" ht="12.9">
      <c r="A1073" s="24"/>
      <c r="B1073" s="24"/>
      <c r="C1073" s="24"/>
      <c r="D1073" s="24"/>
      <c r="E1073" s="24"/>
      <c r="F1073" s="117"/>
      <c r="G1073" s="117"/>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row>
    <row r="1074" spans="1:29" ht="12.9">
      <c r="A1074" s="24"/>
      <c r="B1074" s="24"/>
      <c r="C1074" s="24"/>
      <c r="D1074" s="24"/>
      <c r="E1074" s="24"/>
      <c r="F1074" s="117"/>
      <c r="G1074" s="117"/>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row>
    <row r="1075" spans="1:29" ht="12.9">
      <c r="A1075" s="24"/>
      <c r="B1075" s="24"/>
      <c r="C1075" s="24"/>
      <c r="D1075" s="24"/>
      <c r="E1075" s="24"/>
      <c r="F1075" s="117"/>
      <c r="G1075" s="117"/>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row>
    <row r="1076" spans="1:29" ht="12.9">
      <c r="A1076" s="24"/>
      <c r="B1076" s="24"/>
      <c r="C1076" s="24"/>
      <c r="D1076" s="24"/>
      <c r="E1076" s="24"/>
      <c r="F1076" s="117"/>
      <c r="G1076" s="117"/>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row>
    <row r="1077" spans="1:29" ht="12.9">
      <c r="A1077" s="24"/>
      <c r="B1077" s="24"/>
      <c r="C1077" s="24"/>
      <c r="D1077" s="24"/>
      <c r="E1077" s="24"/>
      <c r="F1077" s="117"/>
      <c r="G1077" s="117"/>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row>
    <row r="1078" spans="1:29" ht="12.9">
      <c r="A1078" s="24"/>
      <c r="B1078" s="24"/>
      <c r="C1078" s="24"/>
      <c r="D1078" s="24"/>
      <c r="E1078" s="24"/>
      <c r="F1078" s="117"/>
      <c r="G1078" s="117"/>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row>
    <row r="1079" spans="1:29" ht="12.9">
      <c r="A1079" s="24"/>
      <c r="B1079" s="24"/>
      <c r="C1079" s="24"/>
      <c r="D1079" s="24"/>
      <c r="E1079" s="24"/>
      <c r="F1079" s="117"/>
      <c r="G1079" s="117"/>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row>
    <row r="1080" spans="1:29" ht="12.9">
      <c r="A1080" s="24"/>
      <c r="B1080" s="24"/>
      <c r="C1080" s="24"/>
      <c r="D1080" s="24"/>
      <c r="E1080" s="24"/>
      <c r="F1080" s="117"/>
      <c r="G1080" s="117"/>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row>
    <row r="1081" spans="1:29" ht="12.9">
      <c r="A1081" s="24"/>
      <c r="B1081" s="24"/>
      <c r="C1081" s="24"/>
      <c r="D1081" s="24"/>
      <c r="E1081" s="24"/>
      <c r="F1081" s="117"/>
      <c r="G1081" s="117"/>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row>
    <row r="1082" spans="1:29" ht="12.9">
      <c r="A1082" s="24"/>
      <c r="B1082" s="24"/>
      <c r="C1082" s="24"/>
      <c r="D1082" s="24"/>
      <c r="E1082" s="24"/>
      <c r="F1082" s="117"/>
      <c r="G1082" s="117"/>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row>
    <row r="1083" spans="1:29" ht="12.9">
      <c r="A1083" s="24"/>
      <c r="B1083" s="24"/>
      <c r="C1083" s="24"/>
      <c r="D1083" s="24"/>
      <c r="E1083" s="24"/>
      <c r="F1083" s="117"/>
      <c r="G1083" s="117"/>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row>
    <row r="1084" spans="1:29" ht="12.9">
      <c r="A1084" s="24"/>
      <c r="B1084" s="24"/>
      <c r="C1084" s="24"/>
      <c r="D1084" s="24"/>
      <c r="E1084" s="24"/>
      <c r="F1084" s="117"/>
      <c r="G1084" s="117"/>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row>
    <row r="1085" spans="1:29" ht="12.9">
      <c r="A1085" s="24"/>
      <c r="B1085" s="24"/>
      <c r="C1085" s="24"/>
      <c r="D1085" s="24"/>
      <c r="E1085" s="24"/>
      <c r="F1085" s="117"/>
      <c r="G1085" s="117"/>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row>
    <row r="1086" spans="1:29" ht="12.9">
      <c r="A1086" s="24"/>
      <c r="B1086" s="24"/>
      <c r="C1086" s="24"/>
      <c r="D1086" s="24"/>
      <c r="E1086" s="24"/>
      <c r="F1086" s="117"/>
      <c r="G1086" s="117"/>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row>
    <row r="1087" spans="1:29" ht="12.9">
      <c r="A1087" s="24"/>
      <c r="B1087" s="24"/>
      <c r="C1087" s="24"/>
      <c r="D1087" s="24"/>
      <c r="E1087" s="24"/>
      <c r="F1087" s="117"/>
      <c r="G1087" s="117"/>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row>
    <row r="1088" spans="1:29" ht="12.9">
      <c r="A1088" s="24"/>
      <c r="B1088" s="24"/>
      <c r="C1088" s="24"/>
      <c r="D1088" s="24"/>
      <c r="E1088" s="24"/>
      <c r="F1088" s="117"/>
      <c r="G1088" s="117"/>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row>
    <row r="1089" spans="1:29" ht="12.9">
      <c r="A1089" s="24"/>
      <c r="B1089" s="24"/>
      <c r="C1089" s="24"/>
      <c r="D1089" s="24"/>
      <c r="E1089" s="24"/>
      <c r="F1089" s="117"/>
      <c r="G1089" s="117"/>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row>
    <row r="1090" spans="1:29" ht="12.9">
      <c r="A1090" s="24"/>
      <c r="B1090" s="24"/>
      <c r="C1090" s="24"/>
      <c r="D1090" s="24"/>
      <c r="E1090" s="24"/>
      <c r="F1090" s="117"/>
      <c r="G1090" s="117"/>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row>
    <row r="1091" spans="1:29" ht="12.9">
      <c r="A1091" s="24"/>
      <c r="B1091" s="24"/>
      <c r="C1091" s="24"/>
      <c r="D1091" s="24"/>
      <c r="E1091" s="24"/>
      <c r="F1091" s="117"/>
      <c r="G1091" s="117"/>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row>
    <row r="1092" spans="1:29" ht="12.9">
      <c r="A1092" s="24"/>
      <c r="B1092" s="24"/>
      <c r="C1092" s="24"/>
      <c r="D1092" s="24"/>
      <c r="E1092" s="24"/>
      <c r="F1092" s="117"/>
      <c r="G1092" s="117"/>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x14:formula1>
            <xm:f>'Self Assessment Total Score'!$C$18:$C$21</xm:f>
          </x14:formula1>
          <xm:sqref>I2:I29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992"/>
  <sheetViews>
    <sheetView workbookViewId="0">
      <pane ySplit="1" topLeftCell="A2" activePane="bottomLeft" state="frozen"/>
      <selection pane="bottomLeft" activeCell="B3" sqref="B3"/>
    </sheetView>
  </sheetViews>
  <sheetFormatPr defaultColWidth="14.375" defaultRowHeight="15.8" customHeight="1"/>
  <cols>
    <col min="1" max="1" width="26.75" customWidth="1"/>
    <col min="2" max="2" width="79.625" customWidth="1"/>
    <col min="3" max="3" width="49.75" customWidth="1"/>
  </cols>
  <sheetData>
    <row r="1" spans="1:25" ht="15.8" customHeight="1">
      <c r="A1" s="3" t="s">
        <v>1</v>
      </c>
      <c r="B1" s="5" t="s">
        <v>8</v>
      </c>
      <c r="C1" s="7"/>
      <c r="D1" s="8"/>
      <c r="E1" s="8"/>
      <c r="F1" s="8"/>
      <c r="G1" s="8"/>
      <c r="H1" s="8"/>
      <c r="I1" s="8"/>
      <c r="J1" s="8"/>
      <c r="K1" s="8"/>
      <c r="L1" s="8"/>
      <c r="M1" s="8"/>
      <c r="N1" s="8"/>
      <c r="O1" s="8"/>
      <c r="P1" s="8"/>
      <c r="Q1" s="8"/>
      <c r="R1" s="8"/>
      <c r="S1" s="8"/>
      <c r="T1" s="8"/>
      <c r="U1" s="8"/>
      <c r="V1" s="8"/>
      <c r="W1" s="8"/>
      <c r="X1" s="8"/>
      <c r="Y1" s="8"/>
    </row>
    <row r="2" spans="1:25" ht="15.8" customHeight="1">
      <c r="A2" s="9" t="s">
        <v>12</v>
      </c>
      <c r="B2" s="10" t="s">
        <v>16</v>
      </c>
      <c r="C2" s="11"/>
      <c r="D2" s="12"/>
      <c r="E2" s="12"/>
      <c r="F2" s="12"/>
      <c r="G2" s="12"/>
      <c r="H2" s="12"/>
      <c r="I2" s="12"/>
      <c r="J2" s="12"/>
      <c r="K2" s="12"/>
      <c r="L2" s="12"/>
      <c r="M2" s="12"/>
      <c r="N2" s="12"/>
      <c r="O2" s="12"/>
      <c r="P2" s="12"/>
      <c r="Q2" s="12"/>
      <c r="R2" s="12"/>
      <c r="S2" s="12"/>
      <c r="T2" s="12"/>
      <c r="U2" s="12"/>
      <c r="V2" s="12"/>
      <c r="W2" s="12"/>
      <c r="X2" s="12"/>
      <c r="Y2" s="12"/>
    </row>
    <row r="3" spans="1:25" ht="15.8" customHeight="1">
      <c r="A3" s="13" t="s">
        <v>23</v>
      </c>
      <c r="B3" s="14" t="s">
        <v>25</v>
      </c>
      <c r="C3" s="11"/>
      <c r="D3" s="12"/>
      <c r="E3" s="12"/>
      <c r="F3" s="12"/>
      <c r="G3" s="12"/>
      <c r="H3" s="12"/>
      <c r="I3" s="12"/>
      <c r="J3" s="12"/>
      <c r="K3" s="12"/>
      <c r="L3" s="12"/>
      <c r="M3" s="12"/>
      <c r="N3" s="12"/>
      <c r="O3" s="12"/>
      <c r="P3" s="12"/>
      <c r="Q3" s="12"/>
      <c r="R3" s="12"/>
      <c r="S3" s="12"/>
      <c r="T3" s="12"/>
      <c r="U3" s="12"/>
      <c r="V3" s="12"/>
      <c r="W3" s="12"/>
      <c r="X3" s="12"/>
      <c r="Y3" s="12"/>
    </row>
    <row r="4" spans="1:25" ht="15.8" customHeight="1">
      <c r="A4" s="15" t="s">
        <v>27</v>
      </c>
      <c r="B4" s="14" t="s">
        <v>35</v>
      </c>
      <c r="C4" s="11"/>
      <c r="D4" s="12"/>
      <c r="E4" s="12"/>
      <c r="F4" s="12"/>
      <c r="G4" s="12"/>
      <c r="H4" s="12"/>
      <c r="I4" s="12"/>
      <c r="J4" s="12"/>
      <c r="K4" s="12"/>
      <c r="L4" s="12"/>
      <c r="M4" s="12"/>
      <c r="N4" s="12"/>
      <c r="O4" s="12"/>
      <c r="P4" s="12"/>
      <c r="Q4" s="12"/>
      <c r="R4" s="12"/>
      <c r="S4" s="12"/>
      <c r="T4" s="12"/>
      <c r="U4" s="12"/>
      <c r="V4" s="12"/>
      <c r="W4" s="12"/>
      <c r="X4" s="12"/>
      <c r="Y4" s="12"/>
    </row>
    <row r="5" spans="1:25" ht="15.8" customHeight="1">
      <c r="A5" s="13" t="s">
        <v>37</v>
      </c>
      <c r="B5" s="14" t="s">
        <v>38</v>
      </c>
      <c r="C5" s="11"/>
      <c r="D5" s="12"/>
      <c r="E5" s="12"/>
      <c r="F5" s="12"/>
      <c r="G5" s="12"/>
      <c r="H5" s="12"/>
      <c r="I5" s="12"/>
      <c r="J5" s="12"/>
      <c r="K5" s="12"/>
      <c r="L5" s="12"/>
      <c r="M5" s="12"/>
      <c r="N5" s="12"/>
      <c r="O5" s="12"/>
      <c r="P5" s="12"/>
      <c r="Q5" s="12"/>
      <c r="R5" s="12"/>
      <c r="S5" s="12"/>
      <c r="T5" s="12"/>
      <c r="U5" s="12"/>
      <c r="V5" s="12"/>
      <c r="W5" s="12"/>
      <c r="X5" s="12"/>
      <c r="Y5" s="12"/>
    </row>
    <row r="6" spans="1:25" ht="15.8" customHeight="1">
      <c r="A6" s="13" t="s">
        <v>40</v>
      </c>
      <c r="B6" s="14" t="s">
        <v>41</v>
      </c>
      <c r="C6" s="11"/>
      <c r="D6" s="12"/>
      <c r="E6" s="12"/>
      <c r="F6" s="12"/>
      <c r="G6" s="12"/>
      <c r="H6" s="12"/>
      <c r="I6" s="12"/>
      <c r="J6" s="12"/>
      <c r="K6" s="12"/>
      <c r="L6" s="12"/>
      <c r="M6" s="12"/>
      <c r="N6" s="12"/>
      <c r="O6" s="12"/>
      <c r="P6" s="12"/>
      <c r="Q6" s="12"/>
      <c r="R6" s="12"/>
      <c r="S6" s="12"/>
      <c r="T6" s="12"/>
      <c r="U6" s="12"/>
      <c r="V6" s="12"/>
      <c r="W6" s="12"/>
      <c r="X6" s="12"/>
      <c r="Y6" s="12"/>
    </row>
    <row r="7" spans="1:25" ht="15.8" customHeight="1">
      <c r="A7" s="13" t="s">
        <v>42</v>
      </c>
      <c r="B7" s="14" t="s">
        <v>43</v>
      </c>
      <c r="C7" s="17"/>
      <c r="D7" s="12"/>
      <c r="E7" s="12"/>
      <c r="F7" s="12"/>
      <c r="G7" s="12"/>
      <c r="H7" s="12"/>
      <c r="I7" s="12"/>
      <c r="J7" s="12"/>
      <c r="K7" s="12"/>
      <c r="L7" s="12"/>
      <c r="M7" s="12"/>
      <c r="N7" s="12"/>
      <c r="O7" s="12"/>
      <c r="P7" s="12"/>
      <c r="Q7" s="12"/>
      <c r="R7" s="12"/>
      <c r="S7" s="12"/>
      <c r="T7" s="12"/>
      <c r="U7" s="12"/>
      <c r="V7" s="12"/>
      <c r="W7" s="12"/>
      <c r="X7" s="12"/>
      <c r="Y7" s="12"/>
    </row>
    <row r="8" spans="1:25" ht="15.8" customHeight="1">
      <c r="A8" s="13" t="s">
        <v>45</v>
      </c>
      <c r="B8" s="20"/>
      <c r="C8" s="11"/>
      <c r="D8" s="12"/>
      <c r="E8" s="12"/>
      <c r="F8" s="12"/>
      <c r="G8" s="12"/>
      <c r="H8" s="12"/>
      <c r="I8" s="12"/>
      <c r="J8" s="12"/>
      <c r="K8" s="12"/>
      <c r="L8" s="12"/>
      <c r="M8" s="12"/>
      <c r="N8" s="12"/>
      <c r="O8" s="12"/>
      <c r="P8" s="12"/>
      <c r="Q8" s="12"/>
      <c r="R8" s="12"/>
      <c r="S8" s="12"/>
      <c r="T8" s="12"/>
      <c r="U8" s="12"/>
      <c r="V8" s="12"/>
      <c r="W8" s="12"/>
      <c r="X8" s="12"/>
      <c r="Y8" s="12"/>
    </row>
    <row r="9" spans="1:25" ht="15.8" customHeight="1">
      <c r="A9" s="13" t="s">
        <v>49</v>
      </c>
      <c r="B9" s="14" t="s">
        <v>50</v>
      </c>
      <c r="C9" s="11"/>
      <c r="D9" s="12"/>
      <c r="E9" s="12"/>
      <c r="F9" s="12"/>
      <c r="G9" s="12"/>
      <c r="H9" s="12"/>
      <c r="I9" s="12"/>
      <c r="J9" s="12"/>
      <c r="K9" s="12"/>
      <c r="L9" s="12"/>
      <c r="M9" s="12"/>
      <c r="N9" s="12"/>
      <c r="O9" s="12"/>
      <c r="P9" s="12"/>
      <c r="Q9" s="12"/>
      <c r="R9" s="12"/>
      <c r="S9" s="12"/>
      <c r="T9" s="12"/>
      <c r="U9" s="12"/>
      <c r="V9" s="12"/>
      <c r="W9" s="12"/>
      <c r="X9" s="12"/>
      <c r="Y9" s="12"/>
    </row>
    <row r="10" spans="1:25" ht="15.8" customHeight="1">
      <c r="A10" s="13" t="s">
        <v>51</v>
      </c>
      <c r="B10" s="14" t="s">
        <v>52</v>
      </c>
      <c r="C10" s="11"/>
      <c r="D10" s="12"/>
      <c r="E10" s="12"/>
      <c r="F10" s="12"/>
      <c r="G10" s="12"/>
      <c r="H10" s="12"/>
      <c r="I10" s="12"/>
      <c r="J10" s="12"/>
      <c r="K10" s="12"/>
      <c r="L10" s="12"/>
      <c r="M10" s="12"/>
      <c r="N10" s="12"/>
      <c r="O10" s="12"/>
      <c r="P10" s="12"/>
      <c r="Q10" s="12"/>
      <c r="R10" s="12"/>
      <c r="S10" s="12"/>
      <c r="T10" s="12"/>
      <c r="U10" s="12"/>
      <c r="V10" s="12"/>
      <c r="W10" s="12"/>
      <c r="X10" s="12"/>
      <c r="Y10" s="12"/>
    </row>
    <row r="11" spans="1:25" ht="15.8" customHeight="1">
      <c r="A11" s="22" t="s">
        <v>53</v>
      </c>
      <c r="B11" s="14" t="s">
        <v>54</v>
      </c>
      <c r="C11" s="11"/>
      <c r="D11" s="12"/>
      <c r="E11" s="12"/>
      <c r="F11" s="12"/>
      <c r="G11" s="12"/>
      <c r="H11" s="12"/>
      <c r="I11" s="12"/>
      <c r="J11" s="12"/>
      <c r="K11" s="12"/>
      <c r="L11" s="12"/>
      <c r="M11" s="12"/>
      <c r="N11" s="12"/>
      <c r="O11" s="12"/>
      <c r="P11" s="12"/>
      <c r="Q11" s="12"/>
      <c r="R11" s="12"/>
      <c r="S11" s="12"/>
      <c r="T11" s="12"/>
      <c r="U11" s="12"/>
      <c r="V11" s="12"/>
      <c r="W11" s="12"/>
      <c r="X11" s="12"/>
      <c r="Y11" s="12"/>
    </row>
    <row r="12" spans="1:25" ht="15.8" customHeight="1">
      <c r="A12" s="13" t="s">
        <v>55</v>
      </c>
      <c r="B12" s="14" t="s">
        <v>56</v>
      </c>
      <c r="C12" s="17"/>
      <c r="D12" s="12"/>
      <c r="E12" s="12"/>
      <c r="F12" s="12"/>
      <c r="G12" s="12"/>
      <c r="H12" s="12"/>
      <c r="I12" s="12"/>
      <c r="J12" s="12"/>
      <c r="K12" s="12"/>
      <c r="L12" s="12"/>
      <c r="M12" s="12"/>
      <c r="N12" s="12"/>
      <c r="O12" s="12"/>
      <c r="P12" s="12"/>
      <c r="Q12" s="12"/>
      <c r="R12" s="12"/>
      <c r="S12" s="12"/>
      <c r="T12" s="12"/>
      <c r="U12" s="12"/>
      <c r="V12" s="12"/>
      <c r="W12" s="12"/>
      <c r="X12" s="12"/>
      <c r="Y12" s="12"/>
    </row>
    <row r="13" spans="1:25" ht="15.8" customHeight="1">
      <c r="A13" s="13" t="s">
        <v>57</v>
      </c>
      <c r="B13" s="14" t="s">
        <v>58</v>
      </c>
      <c r="C13" s="11"/>
      <c r="D13" s="12"/>
      <c r="E13" s="12"/>
      <c r="F13" s="12"/>
      <c r="G13" s="12"/>
      <c r="H13" s="12"/>
      <c r="I13" s="12"/>
      <c r="J13" s="12"/>
      <c r="K13" s="12"/>
      <c r="L13" s="12"/>
      <c r="M13" s="12"/>
      <c r="N13" s="12"/>
      <c r="O13" s="12"/>
      <c r="P13" s="12"/>
      <c r="Q13" s="12"/>
      <c r="R13" s="12"/>
      <c r="S13" s="12"/>
      <c r="T13" s="12"/>
      <c r="U13" s="12"/>
      <c r="V13" s="12"/>
      <c r="W13" s="12"/>
      <c r="X13" s="12"/>
      <c r="Y13" s="12"/>
    </row>
    <row r="14" spans="1:25" ht="15.8" customHeight="1">
      <c r="A14" s="13" t="s">
        <v>60</v>
      </c>
      <c r="B14" s="14" t="s">
        <v>61</v>
      </c>
      <c r="C14" s="11"/>
      <c r="D14" s="12"/>
      <c r="E14" s="12"/>
      <c r="F14" s="12"/>
      <c r="G14" s="12"/>
      <c r="H14" s="12"/>
      <c r="I14" s="12"/>
      <c r="J14" s="12"/>
      <c r="K14" s="12"/>
      <c r="L14" s="12"/>
      <c r="M14" s="12"/>
      <c r="N14" s="12"/>
      <c r="O14" s="12"/>
      <c r="P14" s="12"/>
      <c r="Q14" s="12"/>
      <c r="R14" s="12"/>
      <c r="S14" s="12"/>
      <c r="T14" s="12"/>
      <c r="U14" s="12"/>
      <c r="V14" s="12"/>
      <c r="W14" s="12"/>
      <c r="X14" s="12"/>
      <c r="Y14" s="12"/>
    </row>
    <row r="15" spans="1:25" ht="15.8" customHeight="1">
      <c r="A15" s="13" t="s">
        <v>62</v>
      </c>
      <c r="B15" s="14" t="s">
        <v>63</v>
      </c>
      <c r="C15" s="11"/>
      <c r="D15" s="12"/>
      <c r="E15" s="12"/>
      <c r="F15" s="12"/>
      <c r="G15" s="12"/>
      <c r="H15" s="12"/>
      <c r="I15" s="12"/>
      <c r="J15" s="12"/>
      <c r="K15" s="12"/>
      <c r="L15" s="12"/>
      <c r="M15" s="12"/>
      <c r="N15" s="12"/>
      <c r="O15" s="12"/>
      <c r="P15" s="12"/>
      <c r="Q15" s="12"/>
      <c r="R15" s="12"/>
      <c r="S15" s="12"/>
      <c r="T15" s="12"/>
      <c r="U15" s="12"/>
      <c r="V15" s="12"/>
      <c r="W15" s="12"/>
      <c r="X15" s="12"/>
      <c r="Y15" s="12"/>
    </row>
    <row r="16" spans="1:25" ht="15.8" customHeight="1">
      <c r="A16" s="13" t="s">
        <v>64</v>
      </c>
      <c r="B16" s="14" t="s">
        <v>65</v>
      </c>
      <c r="C16" s="11"/>
      <c r="D16" s="12"/>
      <c r="E16" s="12"/>
      <c r="F16" s="12"/>
      <c r="G16" s="12"/>
      <c r="H16" s="12"/>
      <c r="I16" s="12"/>
      <c r="J16" s="12"/>
      <c r="K16" s="12"/>
      <c r="L16" s="12"/>
      <c r="M16" s="12"/>
      <c r="N16" s="12"/>
      <c r="O16" s="12"/>
      <c r="P16" s="12"/>
      <c r="Q16" s="12"/>
      <c r="R16" s="12"/>
      <c r="S16" s="12"/>
      <c r="T16" s="12"/>
      <c r="U16" s="12"/>
      <c r="V16" s="12"/>
      <c r="W16" s="12"/>
      <c r="X16" s="12"/>
      <c r="Y16" s="12"/>
    </row>
    <row r="17" spans="1:25" ht="15.8" customHeight="1">
      <c r="A17" s="13" t="s">
        <v>66</v>
      </c>
      <c r="B17" s="14" t="s">
        <v>67</v>
      </c>
      <c r="C17" s="11"/>
      <c r="D17" s="12"/>
      <c r="E17" s="12"/>
      <c r="F17" s="12"/>
      <c r="G17" s="12"/>
      <c r="H17" s="12"/>
      <c r="I17" s="12"/>
      <c r="J17" s="12"/>
      <c r="K17" s="12"/>
      <c r="L17" s="12"/>
      <c r="M17" s="12"/>
      <c r="N17" s="12"/>
      <c r="O17" s="12"/>
      <c r="P17" s="12"/>
      <c r="Q17" s="12"/>
      <c r="R17" s="12"/>
      <c r="S17" s="12"/>
      <c r="T17" s="12"/>
      <c r="U17" s="12"/>
      <c r="V17" s="12"/>
      <c r="W17" s="12"/>
      <c r="X17" s="12"/>
      <c r="Y17" s="12"/>
    </row>
    <row r="18" spans="1:25" ht="15.8" customHeight="1">
      <c r="A18" s="13" t="s">
        <v>69</v>
      </c>
      <c r="B18" s="14" t="s">
        <v>70</v>
      </c>
      <c r="C18" s="11"/>
      <c r="D18" s="12"/>
      <c r="E18" s="12"/>
      <c r="F18" s="12"/>
      <c r="G18" s="12"/>
      <c r="H18" s="12"/>
      <c r="I18" s="12"/>
      <c r="J18" s="12"/>
      <c r="K18" s="12"/>
      <c r="L18" s="12"/>
      <c r="M18" s="12"/>
      <c r="N18" s="12"/>
      <c r="O18" s="12"/>
      <c r="P18" s="12"/>
      <c r="Q18" s="12"/>
      <c r="R18" s="12"/>
      <c r="S18" s="12"/>
      <c r="T18" s="12"/>
      <c r="U18" s="12"/>
      <c r="V18" s="12"/>
      <c r="W18" s="12"/>
      <c r="X18" s="12"/>
      <c r="Y18" s="12"/>
    </row>
    <row r="19" spans="1:25" ht="15.8" customHeight="1">
      <c r="A19" s="13" t="s">
        <v>71</v>
      </c>
      <c r="B19" s="14" t="s">
        <v>72</v>
      </c>
      <c r="C19" s="11"/>
      <c r="D19" s="12"/>
      <c r="E19" s="12"/>
      <c r="F19" s="12"/>
      <c r="G19" s="12"/>
      <c r="H19" s="12"/>
      <c r="I19" s="12"/>
      <c r="J19" s="12"/>
      <c r="K19" s="12"/>
      <c r="L19" s="12"/>
      <c r="M19" s="12"/>
      <c r="N19" s="12"/>
      <c r="O19" s="12"/>
      <c r="P19" s="12"/>
      <c r="Q19" s="12"/>
      <c r="R19" s="12"/>
      <c r="S19" s="12"/>
      <c r="T19" s="12"/>
      <c r="U19" s="12"/>
      <c r="V19" s="12"/>
      <c r="W19" s="12"/>
      <c r="X19" s="12"/>
      <c r="Y19" s="12"/>
    </row>
    <row r="20" spans="1:25" ht="15.8" customHeight="1">
      <c r="A20" s="13" t="s">
        <v>73</v>
      </c>
      <c r="B20" s="14" t="s">
        <v>74</v>
      </c>
      <c r="C20" s="17"/>
      <c r="D20" s="12"/>
      <c r="E20" s="12"/>
      <c r="F20" s="12"/>
      <c r="G20" s="12"/>
      <c r="H20" s="12"/>
      <c r="I20" s="12"/>
      <c r="J20" s="12"/>
      <c r="K20" s="12"/>
      <c r="L20" s="12"/>
      <c r="M20" s="12"/>
      <c r="N20" s="12"/>
      <c r="O20" s="12"/>
      <c r="P20" s="12"/>
      <c r="Q20" s="12"/>
      <c r="R20" s="12"/>
      <c r="S20" s="12"/>
      <c r="T20" s="12"/>
      <c r="U20" s="12"/>
      <c r="V20" s="12"/>
      <c r="W20" s="12"/>
      <c r="X20" s="12"/>
      <c r="Y20" s="12"/>
    </row>
    <row r="21" spans="1:25" ht="15.8" customHeight="1">
      <c r="A21" s="13" t="s">
        <v>75</v>
      </c>
      <c r="B21" s="14" t="s">
        <v>76</v>
      </c>
      <c r="C21" s="11"/>
      <c r="D21" s="12"/>
      <c r="E21" s="12"/>
      <c r="F21" s="12"/>
      <c r="G21" s="12"/>
      <c r="H21" s="12"/>
      <c r="I21" s="12"/>
      <c r="J21" s="12"/>
      <c r="K21" s="12"/>
      <c r="L21" s="12"/>
      <c r="M21" s="12"/>
      <c r="N21" s="12"/>
      <c r="O21" s="12"/>
      <c r="P21" s="12"/>
      <c r="Q21" s="12"/>
      <c r="R21" s="12"/>
      <c r="S21" s="12"/>
      <c r="T21" s="12"/>
      <c r="U21" s="12"/>
      <c r="V21" s="12"/>
      <c r="W21" s="12"/>
      <c r="X21" s="12"/>
      <c r="Y21" s="12"/>
    </row>
    <row r="22" spans="1:25" ht="15.8" customHeight="1">
      <c r="A22" s="13" t="s">
        <v>77</v>
      </c>
      <c r="B22" s="14" t="s">
        <v>78</v>
      </c>
      <c r="C22" s="11"/>
      <c r="D22" s="12"/>
      <c r="E22" s="12"/>
      <c r="F22" s="12"/>
      <c r="G22" s="12"/>
      <c r="H22" s="12"/>
      <c r="I22" s="12"/>
      <c r="J22" s="12"/>
      <c r="K22" s="12"/>
      <c r="L22" s="12"/>
      <c r="M22" s="12"/>
      <c r="N22" s="12"/>
      <c r="O22" s="12"/>
      <c r="P22" s="12"/>
      <c r="Q22" s="12"/>
      <c r="R22" s="12"/>
      <c r="S22" s="12"/>
      <c r="T22" s="12"/>
      <c r="U22" s="12"/>
      <c r="V22" s="12"/>
      <c r="W22" s="12"/>
      <c r="X22" s="12"/>
      <c r="Y22" s="12"/>
    </row>
    <row r="23" spans="1:25" ht="15.8" customHeight="1">
      <c r="A23" s="13" t="s">
        <v>79</v>
      </c>
      <c r="B23" s="14" t="s">
        <v>80</v>
      </c>
      <c r="C23" s="11"/>
      <c r="D23" s="12"/>
      <c r="E23" s="12"/>
      <c r="F23" s="12"/>
      <c r="G23" s="12"/>
      <c r="H23" s="12"/>
      <c r="I23" s="12"/>
      <c r="J23" s="12"/>
      <c r="K23" s="12"/>
      <c r="L23" s="12"/>
      <c r="M23" s="12"/>
      <c r="N23" s="12"/>
      <c r="O23" s="12"/>
      <c r="P23" s="12"/>
      <c r="Q23" s="12"/>
      <c r="R23" s="12"/>
      <c r="S23" s="12"/>
      <c r="T23" s="12"/>
      <c r="U23" s="12"/>
      <c r="V23" s="12"/>
      <c r="W23" s="12"/>
      <c r="X23" s="12"/>
      <c r="Y23" s="12"/>
    </row>
    <row r="24" spans="1:25" ht="15.8" customHeight="1">
      <c r="A24" s="13" t="s">
        <v>81</v>
      </c>
      <c r="B24" s="14" t="s">
        <v>82</v>
      </c>
      <c r="C24" s="11"/>
      <c r="D24" s="12"/>
      <c r="E24" s="12"/>
      <c r="F24" s="12"/>
      <c r="G24" s="12"/>
      <c r="H24" s="12"/>
      <c r="I24" s="12"/>
      <c r="J24" s="12"/>
      <c r="K24" s="12"/>
      <c r="L24" s="12"/>
      <c r="M24" s="12"/>
      <c r="N24" s="12"/>
      <c r="O24" s="12"/>
      <c r="P24" s="12"/>
      <c r="Q24" s="12"/>
      <c r="R24" s="12"/>
      <c r="S24" s="12"/>
      <c r="T24" s="12"/>
      <c r="U24" s="12"/>
      <c r="V24" s="12"/>
      <c r="W24" s="12"/>
      <c r="X24" s="12"/>
      <c r="Y24" s="12"/>
    </row>
    <row r="25" spans="1:25" ht="15.8" customHeight="1">
      <c r="A25" s="13" t="s">
        <v>83</v>
      </c>
      <c r="B25" s="14" t="s">
        <v>84</v>
      </c>
      <c r="C25" s="11"/>
      <c r="D25" s="12"/>
      <c r="E25" s="12"/>
      <c r="F25" s="12"/>
      <c r="G25" s="12"/>
      <c r="H25" s="12"/>
      <c r="I25" s="12"/>
      <c r="J25" s="12"/>
      <c r="K25" s="12"/>
      <c r="L25" s="12"/>
      <c r="M25" s="12"/>
      <c r="N25" s="12"/>
      <c r="O25" s="12"/>
      <c r="P25" s="12"/>
      <c r="Q25" s="12"/>
      <c r="R25" s="12"/>
      <c r="S25" s="12"/>
      <c r="T25" s="12"/>
      <c r="U25" s="12"/>
      <c r="V25" s="12"/>
      <c r="W25" s="12"/>
      <c r="X25" s="12"/>
      <c r="Y25" s="12"/>
    </row>
    <row r="26" spans="1:25" ht="15.8" customHeight="1">
      <c r="A26" s="13" t="s">
        <v>85</v>
      </c>
      <c r="B26" s="14" t="s">
        <v>86</v>
      </c>
      <c r="C26" s="11"/>
      <c r="D26" s="12"/>
      <c r="E26" s="12"/>
      <c r="F26" s="12"/>
      <c r="G26" s="12"/>
      <c r="H26" s="12"/>
      <c r="I26" s="12"/>
      <c r="J26" s="12"/>
      <c r="K26" s="12"/>
      <c r="L26" s="12"/>
      <c r="M26" s="12"/>
      <c r="N26" s="12"/>
      <c r="O26" s="12"/>
      <c r="P26" s="12"/>
      <c r="Q26" s="12"/>
      <c r="R26" s="12"/>
      <c r="S26" s="12"/>
      <c r="T26" s="12"/>
      <c r="U26" s="12"/>
      <c r="V26" s="12"/>
      <c r="W26" s="12"/>
      <c r="X26" s="12"/>
      <c r="Y26" s="12"/>
    </row>
    <row r="27" spans="1:25" ht="15.8" customHeight="1">
      <c r="A27" s="13" t="s">
        <v>88</v>
      </c>
      <c r="B27" s="14" t="s">
        <v>89</v>
      </c>
      <c r="C27" s="17"/>
      <c r="D27" s="12"/>
      <c r="E27" s="12"/>
      <c r="F27" s="12"/>
      <c r="G27" s="12"/>
      <c r="H27" s="12"/>
      <c r="I27" s="12"/>
      <c r="J27" s="12"/>
      <c r="K27" s="12"/>
      <c r="L27" s="12"/>
      <c r="M27" s="12"/>
      <c r="N27" s="12"/>
      <c r="O27" s="12"/>
      <c r="P27" s="12"/>
      <c r="Q27" s="12"/>
      <c r="R27" s="12"/>
      <c r="S27" s="12"/>
      <c r="T27" s="12"/>
      <c r="U27" s="12"/>
      <c r="V27" s="12"/>
      <c r="W27" s="12"/>
      <c r="X27" s="12"/>
      <c r="Y27" s="12"/>
    </row>
    <row r="28" spans="1:25" ht="15.8" customHeight="1">
      <c r="A28" s="13" t="s">
        <v>90</v>
      </c>
      <c r="B28" s="14" t="s">
        <v>91</v>
      </c>
      <c r="C28" s="11"/>
      <c r="D28" s="12"/>
      <c r="E28" s="12"/>
      <c r="F28" s="12"/>
      <c r="G28" s="12"/>
      <c r="H28" s="12"/>
      <c r="I28" s="12"/>
      <c r="J28" s="12"/>
      <c r="K28" s="12"/>
      <c r="L28" s="12"/>
      <c r="M28" s="12"/>
      <c r="N28" s="12"/>
      <c r="O28" s="12"/>
      <c r="P28" s="12"/>
      <c r="Q28" s="12"/>
      <c r="R28" s="12"/>
      <c r="S28" s="12"/>
      <c r="T28" s="12"/>
      <c r="U28" s="12"/>
      <c r="V28" s="12"/>
      <c r="W28" s="12"/>
      <c r="X28" s="12"/>
      <c r="Y28" s="12"/>
    </row>
    <row r="29" spans="1:25" ht="15.8" customHeight="1">
      <c r="A29" s="13" t="s">
        <v>92</v>
      </c>
      <c r="B29" s="14" t="s">
        <v>93</v>
      </c>
      <c r="C29" s="11"/>
      <c r="D29" s="12"/>
      <c r="E29" s="12"/>
      <c r="F29" s="12"/>
      <c r="G29" s="12"/>
      <c r="H29" s="12"/>
      <c r="I29" s="12"/>
      <c r="J29" s="12"/>
      <c r="K29" s="12"/>
      <c r="L29" s="12"/>
      <c r="M29" s="12"/>
      <c r="N29" s="12"/>
      <c r="O29" s="12"/>
      <c r="P29" s="12"/>
      <c r="Q29" s="12"/>
      <c r="R29" s="12"/>
      <c r="S29" s="12"/>
      <c r="T29" s="12"/>
      <c r="U29" s="12"/>
      <c r="V29" s="12"/>
      <c r="W29" s="12"/>
      <c r="X29" s="12"/>
      <c r="Y29" s="12"/>
    </row>
    <row r="30" spans="1:25" ht="15.8" customHeight="1">
      <c r="A30" s="13" t="s">
        <v>94</v>
      </c>
      <c r="B30" s="14" t="s">
        <v>96</v>
      </c>
      <c r="C30" s="17"/>
      <c r="D30" s="12"/>
      <c r="E30" s="12"/>
      <c r="F30" s="12"/>
      <c r="G30" s="12"/>
      <c r="H30" s="12"/>
      <c r="I30" s="12"/>
      <c r="J30" s="12"/>
      <c r="K30" s="12"/>
      <c r="L30" s="12"/>
      <c r="M30" s="12"/>
      <c r="N30" s="12"/>
      <c r="O30" s="12"/>
      <c r="P30" s="12"/>
      <c r="Q30" s="12"/>
      <c r="R30" s="12"/>
      <c r="S30" s="12"/>
      <c r="T30" s="12"/>
      <c r="U30" s="12"/>
      <c r="V30" s="12"/>
      <c r="W30" s="12"/>
      <c r="X30" s="12"/>
      <c r="Y30" s="12"/>
    </row>
    <row r="31" spans="1:25" ht="15.8" customHeight="1">
      <c r="A31" s="13" t="s">
        <v>98</v>
      </c>
      <c r="B31" s="14" t="s">
        <v>99</v>
      </c>
      <c r="C31" s="11"/>
      <c r="D31" s="12"/>
      <c r="E31" s="12"/>
      <c r="F31" s="12"/>
      <c r="G31" s="12"/>
      <c r="H31" s="12"/>
      <c r="I31" s="12"/>
      <c r="J31" s="12"/>
      <c r="K31" s="12"/>
      <c r="L31" s="12"/>
      <c r="M31" s="12"/>
      <c r="N31" s="12"/>
      <c r="O31" s="12"/>
      <c r="P31" s="12"/>
      <c r="Q31" s="12"/>
      <c r="R31" s="12"/>
      <c r="S31" s="12"/>
      <c r="T31" s="12"/>
      <c r="U31" s="12"/>
      <c r="V31" s="12"/>
      <c r="W31" s="12"/>
      <c r="X31" s="12"/>
      <c r="Y31" s="12"/>
    </row>
    <row r="32" spans="1:25" ht="15.8" customHeight="1">
      <c r="A32" s="13" t="s">
        <v>100</v>
      </c>
      <c r="B32" s="14" t="s">
        <v>101</v>
      </c>
      <c r="C32" s="11"/>
      <c r="D32" s="12"/>
      <c r="E32" s="12"/>
      <c r="F32" s="12"/>
      <c r="G32" s="12"/>
      <c r="H32" s="12"/>
      <c r="I32" s="12"/>
      <c r="J32" s="12"/>
      <c r="K32" s="12"/>
      <c r="L32" s="12"/>
      <c r="M32" s="12"/>
      <c r="N32" s="12"/>
      <c r="O32" s="12"/>
      <c r="P32" s="12"/>
      <c r="Q32" s="12"/>
      <c r="R32" s="12"/>
      <c r="S32" s="12"/>
      <c r="T32" s="12"/>
      <c r="U32" s="12"/>
      <c r="V32" s="12"/>
      <c r="W32" s="12"/>
      <c r="X32" s="12"/>
      <c r="Y32" s="12"/>
    </row>
    <row r="33" spans="1:25" ht="15.8" customHeight="1">
      <c r="A33" s="13" t="s">
        <v>102</v>
      </c>
      <c r="B33" s="14" t="s">
        <v>103</v>
      </c>
      <c r="C33" s="11"/>
      <c r="D33" s="12"/>
      <c r="E33" s="12"/>
      <c r="F33" s="12"/>
      <c r="G33" s="12"/>
      <c r="H33" s="12"/>
      <c r="I33" s="12"/>
      <c r="J33" s="12"/>
      <c r="K33" s="12"/>
      <c r="L33" s="12"/>
      <c r="M33" s="12"/>
      <c r="N33" s="12"/>
      <c r="O33" s="12"/>
      <c r="P33" s="12"/>
      <c r="Q33" s="12"/>
      <c r="R33" s="12"/>
      <c r="S33" s="12"/>
      <c r="T33" s="12"/>
      <c r="U33" s="12"/>
      <c r="V33" s="12"/>
      <c r="W33" s="12"/>
      <c r="X33" s="12"/>
      <c r="Y33" s="12"/>
    </row>
    <row r="34" spans="1:25" ht="15.8" customHeight="1">
      <c r="A34" s="13" t="s">
        <v>104</v>
      </c>
      <c r="B34" s="14" t="s">
        <v>105</v>
      </c>
      <c r="C34" s="11"/>
      <c r="D34" s="12"/>
      <c r="E34" s="12"/>
      <c r="F34" s="12"/>
      <c r="G34" s="12"/>
      <c r="H34" s="12"/>
      <c r="I34" s="12"/>
      <c r="J34" s="12"/>
      <c r="K34" s="12"/>
      <c r="L34" s="12"/>
      <c r="M34" s="12"/>
      <c r="N34" s="12"/>
      <c r="O34" s="12"/>
      <c r="P34" s="12"/>
      <c r="Q34" s="12"/>
      <c r="R34" s="12"/>
      <c r="S34" s="12"/>
      <c r="T34" s="12"/>
      <c r="U34" s="12"/>
      <c r="V34" s="12"/>
      <c r="W34" s="12"/>
      <c r="X34" s="12"/>
      <c r="Y34" s="12"/>
    </row>
    <row r="35" spans="1:25" ht="15.8" customHeight="1">
      <c r="A35" s="13" t="s">
        <v>106</v>
      </c>
      <c r="B35" s="14" t="s">
        <v>108</v>
      </c>
      <c r="C35" s="17"/>
      <c r="D35" s="12"/>
      <c r="E35" s="12"/>
      <c r="F35" s="12"/>
      <c r="G35" s="12"/>
      <c r="H35" s="12"/>
      <c r="I35" s="12"/>
      <c r="J35" s="12"/>
      <c r="K35" s="12"/>
      <c r="L35" s="12"/>
      <c r="M35" s="12"/>
      <c r="N35" s="12"/>
      <c r="O35" s="12"/>
      <c r="P35" s="12"/>
      <c r="Q35" s="12"/>
      <c r="R35" s="12"/>
      <c r="S35" s="12"/>
      <c r="T35" s="12"/>
      <c r="U35" s="12"/>
      <c r="V35" s="12"/>
      <c r="W35" s="12"/>
      <c r="X35" s="12"/>
      <c r="Y35" s="12"/>
    </row>
    <row r="36" spans="1:25" ht="15.8" customHeight="1">
      <c r="A36" s="13"/>
      <c r="B36" s="28"/>
      <c r="C36" s="11"/>
      <c r="D36" s="12"/>
      <c r="E36" s="12"/>
      <c r="F36" s="12"/>
      <c r="G36" s="12"/>
      <c r="H36" s="12"/>
      <c r="I36" s="12"/>
      <c r="J36" s="12"/>
      <c r="K36" s="12"/>
      <c r="L36" s="12"/>
      <c r="M36" s="12"/>
      <c r="N36" s="12"/>
      <c r="O36" s="12"/>
      <c r="P36" s="12"/>
      <c r="Q36" s="12"/>
      <c r="R36" s="12"/>
      <c r="S36" s="12"/>
      <c r="T36" s="12"/>
      <c r="U36" s="12"/>
      <c r="V36" s="12"/>
      <c r="W36" s="12"/>
      <c r="X36" s="12"/>
      <c r="Y36" s="12"/>
    </row>
    <row r="37" spans="1:25" ht="15.8" customHeight="1">
      <c r="A37" s="29"/>
      <c r="B37" s="30"/>
      <c r="C37" s="11"/>
      <c r="D37" s="12"/>
      <c r="E37" s="12"/>
      <c r="F37" s="12"/>
      <c r="G37" s="12"/>
      <c r="H37" s="12"/>
      <c r="I37" s="12"/>
      <c r="J37" s="12"/>
      <c r="K37" s="12"/>
      <c r="L37" s="12"/>
      <c r="M37" s="12"/>
      <c r="N37" s="12"/>
      <c r="O37" s="12"/>
      <c r="P37" s="12"/>
      <c r="Q37" s="12"/>
      <c r="R37" s="12"/>
      <c r="S37" s="12"/>
      <c r="T37" s="12"/>
      <c r="U37" s="12"/>
      <c r="V37" s="12"/>
      <c r="W37" s="12"/>
      <c r="X37" s="12"/>
      <c r="Y37" s="12"/>
    </row>
    <row r="38" spans="1:25" ht="16.3">
      <c r="A38" s="29"/>
      <c r="B38" s="30"/>
      <c r="C38" s="32"/>
      <c r="D38" s="12"/>
      <c r="E38" s="12"/>
      <c r="F38" s="12"/>
      <c r="G38" s="12"/>
      <c r="H38" s="12"/>
      <c r="I38" s="12"/>
      <c r="J38" s="12"/>
      <c r="K38" s="12"/>
      <c r="L38" s="12"/>
      <c r="M38" s="12"/>
      <c r="N38" s="12"/>
      <c r="O38" s="12"/>
      <c r="P38" s="12"/>
      <c r="Q38" s="12"/>
      <c r="R38" s="12"/>
      <c r="S38" s="12"/>
      <c r="T38" s="12"/>
      <c r="U38" s="12"/>
      <c r="V38" s="12"/>
      <c r="W38" s="12"/>
      <c r="X38" s="12"/>
      <c r="Y38" s="12"/>
    </row>
    <row r="39" spans="1:25" ht="16.3">
      <c r="A39" s="29"/>
      <c r="B39" s="30"/>
      <c r="C39" s="11"/>
      <c r="D39" s="12"/>
      <c r="E39" s="12"/>
      <c r="F39" s="12"/>
      <c r="G39" s="12"/>
      <c r="H39" s="12"/>
      <c r="I39" s="12"/>
      <c r="J39" s="12"/>
      <c r="K39" s="12"/>
      <c r="L39" s="12"/>
      <c r="M39" s="12"/>
      <c r="N39" s="12"/>
      <c r="O39" s="12"/>
      <c r="P39" s="12"/>
      <c r="Q39" s="12"/>
      <c r="R39" s="12"/>
      <c r="S39" s="12"/>
      <c r="T39" s="12"/>
      <c r="U39" s="12"/>
      <c r="V39" s="12"/>
      <c r="W39" s="12"/>
      <c r="X39" s="12"/>
      <c r="Y39" s="12"/>
    </row>
    <row r="40" spans="1:25" ht="16.3">
      <c r="A40" s="29"/>
      <c r="B40" s="30"/>
      <c r="C40" s="17"/>
      <c r="D40" s="12"/>
      <c r="E40" s="12"/>
      <c r="F40" s="12"/>
      <c r="G40" s="12"/>
      <c r="H40" s="12"/>
      <c r="I40" s="12"/>
      <c r="J40" s="12"/>
      <c r="K40" s="12"/>
      <c r="L40" s="12"/>
      <c r="M40" s="12"/>
      <c r="N40" s="12"/>
      <c r="O40" s="12"/>
      <c r="P40" s="12"/>
      <c r="Q40" s="12"/>
      <c r="R40" s="12"/>
      <c r="S40" s="12"/>
      <c r="T40" s="12"/>
      <c r="U40" s="12"/>
      <c r="V40" s="12"/>
      <c r="W40" s="12"/>
      <c r="X40" s="12"/>
      <c r="Y40" s="12"/>
    </row>
    <row r="41" spans="1:25" ht="16.3">
      <c r="A41" s="13"/>
      <c r="B41" s="14"/>
      <c r="C41" s="11"/>
      <c r="D41" s="12"/>
      <c r="E41" s="12"/>
      <c r="F41" s="12"/>
      <c r="G41" s="12"/>
      <c r="H41" s="12"/>
      <c r="I41" s="12"/>
      <c r="J41" s="12"/>
      <c r="K41" s="12"/>
      <c r="L41" s="12"/>
      <c r="M41" s="12"/>
      <c r="N41" s="12"/>
      <c r="O41" s="12"/>
      <c r="P41" s="12"/>
      <c r="Q41" s="12"/>
      <c r="R41" s="12"/>
      <c r="S41" s="12"/>
      <c r="T41" s="12"/>
      <c r="U41" s="12"/>
      <c r="V41" s="12"/>
      <c r="W41" s="12"/>
      <c r="X41" s="12"/>
      <c r="Y41" s="12"/>
    </row>
    <row r="42" spans="1:25" ht="16.3">
      <c r="A42" s="29"/>
      <c r="B42" s="30"/>
      <c r="C42" s="32"/>
      <c r="D42" s="12"/>
      <c r="E42" s="12"/>
      <c r="F42" s="12"/>
      <c r="G42" s="12"/>
      <c r="H42" s="12"/>
      <c r="I42" s="12"/>
      <c r="J42" s="12"/>
      <c r="K42" s="12"/>
      <c r="L42" s="12"/>
      <c r="M42" s="12"/>
      <c r="N42" s="12"/>
      <c r="O42" s="12"/>
      <c r="P42" s="12"/>
      <c r="Q42" s="12"/>
      <c r="R42" s="12"/>
      <c r="S42" s="12"/>
      <c r="T42" s="12"/>
      <c r="U42" s="12"/>
      <c r="V42" s="12"/>
      <c r="W42" s="12"/>
      <c r="X42" s="12"/>
      <c r="Y42" s="12"/>
    </row>
    <row r="43" spans="1:25" ht="16.3">
      <c r="A43" s="35"/>
      <c r="B43" s="36"/>
      <c r="C43" s="17"/>
      <c r="D43" s="12"/>
      <c r="E43" s="12"/>
      <c r="F43" s="12"/>
      <c r="G43" s="12"/>
      <c r="H43" s="12"/>
      <c r="I43" s="12"/>
      <c r="J43" s="12"/>
      <c r="K43" s="12"/>
      <c r="L43" s="12"/>
      <c r="M43" s="12"/>
      <c r="N43" s="12"/>
      <c r="O43" s="12"/>
      <c r="P43" s="12"/>
      <c r="Q43" s="12"/>
      <c r="R43" s="12"/>
      <c r="S43" s="12"/>
      <c r="T43" s="12"/>
      <c r="U43" s="12"/>
      <c r="V43" s="12"/>
      <c r="W43" s="12"/>
      <c r="X43" s="12"/>
      <c r="Y43" s="12"/>
    </row>
    <row r="44" spans="1:25" ht="16.3">
      <c r="A44" s="38"/>
      <c r="B44" s="40"/>
      <c r="C44" s="11"/>
      <c r="D44" s="12"/>
      <c r="E44" s="12"/>
      <c r="F44" s="12"/>
      <c r="G44" s="12"/>
      <c r="H44" s="12"/>
      <c r="I44" s="12"/>
      <c r="J44" s="12"/>
      <c r="K44" s="12"/>
      <c r="L44" s="12"/>
      <c r="M44" s="12"/>
      <c r="N44" s="12"/>
      <c r="O44" s="12"/>
      <c r="P44" s="12"/>
      <c r="Q44" s="12"/>
      <c r="R44" s="12"/>
      <c r="S44" s="12"/>
      <c r="T44" s="12"/>
      <c r="U44" s="12"/>
      <c r="V44" s="12"/>
      <c r="W44" s="12"/>
      <c r="X44" s="12"/>
      <c r="Y44" s="12"/>
    </row>
    <row r="45" spans="1:25" ht="16.3">
      <c r="A45" s="35"/>
      <c r="B45" s="36"/>
      <c r="C45" s="11"/>
      <c r="D45" s="12"/>
      <c r="E45" s="12"/>
      <c r="F45" s="12"/>
      <c r="G45" s="12"/>
      <c r="H45" s="12"/>
      <c r="I45" s="12"/>
      <c r="J45" s="12"/>
      <c r="K45" s="12"/>
      <c r="L45" s="12"/>
      <c r="M45" s="12"/>
      <c r="N45" s="12"/>
      <c r="O45" s="12"/>
      <c r="P45" s="12"/>
      <c r="Q45" s="12"/>
      <c r="R45" s="12"/>
      <c r="S45" s="12"/>
      <c r="T45" s="12"/>
      <c r="U45" s="12"/>
      <c r="V45" s="12"/>
      <c r="W45" s="12"/>
      <c r="X45" s="12"/>
      <c r="Y45" s="12"/>
    </row>
    <row r="46" spans="1:25" ht="16.3">
      <c r="A46" s="35"/>
      <c r="B46" s="36"/>
      <c r="C46" s="17"/>
      <c r="D46" s="12"/>
      <c r="E46" s="12"/>
      <c r="F46" s="12"/>
      <c r="G46" s="12"/>
      <c r="H46" s="12"/>
      <c r="I46" s="12"/>
      <c r="J46" s="12"/>
      <c r="K46" s="12"/>
      <c r="L46" s="12"/>
      <c r="M46" s="12"/>
      <c r="N46" s="12"/>
      <c r="O46" s="12"/>
      <c r="P46" s="12"/>
      <c r="Q46" s="12"/>
      <c r="R46" s="12"/>
      <c r="S46" s="12"/>
      <c r="T46" s="12"/>
      <c r="U46" s="12"/>
      <c r="V46" s="12"/>
      <c r="W46" s="12"/>
      <c r="X46" s="12"/>
      <c r="Y46" s="12"/>
    </row>
    <row r="47" spans="1:25" ht="16.3">
      <c r="A47" s="38"/>
      <c r="B47" s="42"/>
      <c r="C47" s="11"/>
      <c r="D47" s="12"/>
      <c r="E47" s="12"/>
      <c r="F47" s="12"/>
      <c r="G47" s="12"/>
      <c r="H47" s="12"/>
      <c r="I47" s="12"/>
      <c r="J47" s="12"/>
      <c r="K47" s="12"/>
      <c r="L47" s="12"/>
      <c r="M47" s="12"/>
      <c r="N47" s="12"/>
      <c r="O47" s="12"/>
      <c r="P47" s="12"/>
      <c r="Q47" s="12"/>
      <c r="R47" s="12"/>
      <c r="S47" s="12"/>
      <c r="T47" s="12"/>
      <c r="U47" s="12"/>
      <c r="V47" s="12"/>
      <c r="W47" s="12"/>
      <c r="X47" s="12"/>
      <c r="Y47" s="12"/>
    </row>
    <row r="48" spans="1:25" ht="16.3">
      <c r="A48" s="35"/>
      <c r="B48" s="35"/>
      <c r="C48" s="11"/>
      <c r="D48" s="12"/>
      <c r="E48" s="12"/>
      <c r="F48" s="12"/>
      <c r="G48" s="12"/>
      <c r="H48" s="12"/>
      <c r="I48" s="12"/>
      <c r="J48" s="12"/>
      <c r="K48" s="12"/>
      <c r="L48" s="12"/>
      <c r="M48" s="12"/>
      <c r="N48" s="12"/>
      <c r="O48" s="12"/>
      <c r="P48" s="12"/>
      <c r="Q48" s="12"/>
      <c r="R48" s="12"/>
      <c r="S48" s="12"/>
      <c r="T48" s="12"/>
      <c r="U48" s="12"/>
      <c r="V48" s="12"/>
      <c r="W48" s="12"/>
      <c r="X48" s="12"/>
      <c r="Y48" s="12"/>
    </row>
    <row r="49" spans="1:25" ht="16.3">
      <c r="A49" s="35"/>
      <c r="B49" s="35"/>
      <c r="C49" s="17"/>
      <c r="D49" s="12"/>
      <c r="E49" s="12"/>
      <c r="F49" s="12"/>
      <c r="G49" s="12"/>
      <c r="H49" s="12"/>
      <c r="I49" s="12"/>
      <c r="J49" s="12"/>
      <c r="K49" s="12"/>
      <c r="L49" s="12"/>
      <c r="M49" s="12"/>
      <c r="N49" s="12"/>
      <c r="O49" s="12"/>
      <c r="P49" s="12"/>
      <c r="Q49" s="12"/>
      <c r="R49" s="12"/>
      <c r="S49" s="12"/>
      <c r="T49" s="12"/>
      <c r="U49" s="12"/>
      <c r="V49" s="12"/>
      <c r="W49" s="12"/>
      <c r="X49" s="12"/>
      <c r="Y49" s="12"/>
    </row>
    <row r="50" spans="1:25" ht="16.3">
      <c r="A50" s="38"/>
      <c r="B50" s="40"/>
      <c r="C50" s="11"/>
      <c r="D50" s="12"/>
      <c r="E50" s="12"/>
      <c r="F50" s="12"/>
      <c r="G50" s="12"/>
      <c r="H50" s="12"/>
      <c r="I50" s="12"/>
      <c r="J50" s="12"/>
      <c r="K50" s="12"/>
      <c r="L50" s="12"/>
      <c r="M50" s="12"/>
      <c r="N50" s="12"/>
      <c r="O50" s="12"/>
      <c r="P50" s="12"/>
      <c r="Q50" s="12"/>
      <c r="R50" s="12"/>
      <c r="S50" s="12"/>
      <c r="T50" s="12"/>
      <c r="U50" s="12"/>
      <c r="V50" s="12"/>
      <c r="W50" s="12"/>
      <c r="X50" s="12"/>
      <c r="Y50" s="12"/>
    </row>
    <row r="51" spans="1:25" ht="16.3">
      <c r="A51" s="35"/>
      <c r="B51" s="35"/>
      <c r="C51" s="11"/>
      <c r="D51" s="12"/>
      <c r="E51" s="12"/>
      <c r="F51" s="12"/>
      <c r="G51" s="12"/>
      <c r="H51" s="12"/>
      <c r="I51" s="12"/>
      <c r="J51" s="12"/>
      <c r="K51" s="12"/>
      <c r="L51" s="12"/>
      <c r="M51" s="12"/>
      <c r="N51" s="12"/>
      <c r="O51" s="12"/>
      <c r="P51" s="12"/>
      <c r="Q51" s="12"/>
      <c r="R51" s="12"/>
      <c r="S51" s="12"/>
      <c r="T51" s="12"/>
      <c r="U51" s="12"/>
      <c r="V51" s="12"/>
      <c r="W51" s="12"/>
      <c r="X51" s="12"/>
      <c r="Y51" s="12"/>
    </row>
    <row r="52" spans="1:25" ht="16.3">
      <c r="A52" s="35"/>
      <c r="B52" s="35"/>
      <c r="C52" s="17"/>
      <c r="D52" s="12"/>
      <c r="E52" s="12"/>
      <c r="F52" s="12"/>
      <c r="G52" s="12"/>
      <c r="H52" s="12"/>
      <c r="I52" s="12"/>
      <c r="J52" s="12"/>
      <c r="K52" s="12"/>
      <c r="L52" s="12"/>
      <c r="M52" s="12"/>
      <c r="N52" s="12"/>
      <c r="O52" s="12"/>
      <c r="P52" s="12"/>
      <c r="Q52" s="12"/>
      <c r="R52" s="12"/>
      <c r="S52" s="12"/>
      <c r="T52" s="12"/>
      <c r="U52" s="12"/>
      <c r="V52" s="12"/>
      <c r="W52" s="12"/>
      <c r="X52" s="12"/>
      <c r="Y52" s="12"/>
    </row>
    <row r="53" spans="1:25" ht="16.3">
      <c r="A53" s="38"/>
      <c r="B53" s="40"/>
      <c r="C53" s="11"/>
      <c r="D53" s="12"/>
      <c r="E53" s="12"/>
      <c r="F53" s="12"/>
      <c r="G53" s="12"/>
      <c r="H53" s="12"/>
      <c r="I53" s="12"/>
      <c r="J53" s="12"/>
      <c r="K53" s="12"/>
      <c r="L53" s="12"/>
      <c r="M53" s="12"/>
      <c r="N53" s="12"/>
      <c r="O53" s="12"/>
      <c r="P53" s="12"/>
      <c r="Q53" s="12"/>
      <c r="R53" s="12"/>
      <c r="S53" s="12"/>
      <c r="T53" s="12"/>
      <c r="U53" s="12"/>
      <c r="V53" s="12"/>
      <c r="W53" s="12"/>
      <c r="X53" s="12"/>
      <c r="Y53" s="12"/>
    </row>
    <row r="54" spans="1:25" ht="16.3">
      <c r="A54" s="44"/>
      <c r="B54" s="35"/>
      <c r="C54" s="11"/>
      <c r="D54" s="12"/>
      <c r="E54" s="12"/>
      <c r="F54" s="12"/>
      <c r="G54" s="12"/>
      <c r="H54" s="12"/>
      <c r="I54" s="12"/>
      <c r="J54" s="12"/>
      <c r="K54" s="12"/>
      <c r="L54" s="12"/>
      <c r="M54" s="12"/>
      <c r="N54" s="12"/>
      <c r="O54" s="12"/>
      <c r="P54" s="12"/>
      <c r="Q54" s="12"/>
      <c r="R54" s="12"/>
      <c r="S54" s="12"/>
      <c r="T54" s="12"/>
      <c r="U54" s="12"/>
      <c r="V54" s="12"/>
      <c r="W54" s="12"/>
      <c r="X54" s="12"/>
      <c r="Y54" s="12"/>
    </row>
    <row r="55" spans="1:25" ht="16.3">
      <c r="A55" s="44"/>
      <c r="B55" s="36"/>
      <c r="C55" s="11"/>
      <c r="D55" s="12"/>
      <c r="E55" s="12"/>
      <c r="F55" s="12"/>
      <c r="G55" s="12"/>
      <c r="H55" s="12"/>
      <c r="I55" s="12"/>
      <c r="J55" s="12"/>
      <c r="K55" s="12"/>
      <c r="L55" s="12"/>
      <c r="M55" s="12"/>
      <c r="N55" s="12"/>
      <c r="O55" s="12"/>
      <c r="P55" s="12"/>
      <c r="Q55" s="12"/>
      <c r="R55" s="12"/>
      <c r="S55" s="12"/>
      <c r="T55" s="12"/>
      <c r="U55" s="12"/>
      <c r="V55" s="12"/>
      <c r="W55" s="12"/>
      <c r="X55" s="12"/>
      <c r="Y55" s="12"/>
    </row>
    <row r="56" spans="1:25" ht="16.3">
      <c r="A56" s="44"/>
      <c r="B56" s="36"/>
      <c r="C56" s="11"/>
      <c r="D56" s="12"/>
      <c r="E56" s="12"/>
      <c r="F56" s="12"/>
      <c r="G56" s="12"/>
      <c r="H56" s="12"/>
      <c r="I56" s="12"/>
      <c r="J56" s="12"/>
      <c r="K56" s="12"/>
      <c r="L56" s="12"/>
      <c r="M56" s="12"/>
      <c r="N56" s="12"/>
      <c r="O56" s="12"/>
      <c r="P56" s="12"/>
      <c r="Q56" s="12"/>
      <c r="R56" s="12"/>
      <c r="S56" s="12"/>
      <c r="T56" s="12"/>
      <c r="U56" s="12"/>
      <c r="V56" s="12"/>
      <c r="W56" s="12"/>
      <c r="X56" s="12"/>
      <c r="Y56" s="12"/>
    </row>
    <row r="57" spans="1:25" ht="16.3">
      <c r="A57" s="44"/>
      <c r="B57" s="36"/>
      <c r="C57" s="11"/>
      <c r="D57" s="12"/>
      <c r="E57" s="12"/>
      <c r="F57" s="12"/>
      <c r="G57" s="12"/>
      <c r="H57" s="12"/>
      <c r="I57" s="12"/>
      <c r="J57" s="12"/>
      <c r="K57" s="12"/>
      <c r="L57" s="12"/>
      <c r="M57" s="12"/>
      <c r="N57" s="12"/>
      <c r="O57" s="12"/>
      <c r="P57" s="12"/>
      <c r="Q57" s="12"/>
      <c r="R57" s="12"/>
      <c r="S57" s="12"/>
      <c r="T57" s="12"/>
      <c r="U57" s="12"/>
      <c r="V57" s="12"/>
      <c r="W57" s="12"/>
      <c r="X57" s="12"/>
      <c r="Y57" s="12"/>
    </row>
    <row r="58" spans="1:25" ht="16.3">
      <c r="A58" s="44"/>
      <c r="B58" s="36"/>
      <c r="C58" s="11"/>
      <c r="D58" s="12"/>
      <c r="E58" s="12"/>
      <c r="F58" s="12"/>
      <c r="G58" s="12"/>
      <c r="H58" s="12"/>
      <c r="I58" s="12"/>
      <c r="J58" s="12"/>
      <c r="K58" s="12"/>
      <c r="L58" s="12"/>
      <c r="M58" s="12"/>
      <c r="N58" s="12"/>
      <c r="O58" s="12"/>
      <c r="P58" s="12"/>
      <c r="Q58" s="12"/>
      <c r="R58" s="12"/>
      <c r="S58" s="12"/>
      <c r="T58" s="12"/>
      <c r="U58" s="12"/>
      <c r="V58" s="12"/>
      <c r="W58" s="12"/>
      <c r="X58" s="12"/>
      <c r="Y58" s="12"/>
    </row>
    <row r="59" spans="1:25" ht="16.3">
      <c r="A59" s="44"/>
      <c r="B59" s="36"/>
      <c r="C59" s="11"/>
      <c r="D59" s="12"/>
      <c r="E59" s="12"/>
      <c r="F59" s="12"/>
      <c r="G59" s="12"/>
      <c r="H59" s="12"/>
      <c r="I59" s="12"/>
      <c r="J59" s="12"/>
      <c r="K59" s="12"/>
      <c r="L59" s="12"/>
      <c r="M59" s="12"/>
      <c r="N59" s="12"/>
      <c r="O59" s="12"/>
      <c r="P59" s="12"/>
      <c r="Q59" s="12"/>
      <c r="R59" s="12"/>
      <c r="S59" s="12"/>
      <c r="T59" s="12"/>
      <c r="U59" s="12"/>
      <c r="V59" s="12"/>
      <c r="W59" s="12"/>
      <c r="X59" s="12"/>
      <c r="Y59" s="12"/>
    </row>
    <row r="60" spans="1:25" ht="16.3">
      <c r="A60" s="44"/>
      <c r="B60" s="36"/>
      <c r="C60" s="11"/>
      <c r="D60" s="12"/>
      <c r="E60" s="12"/>
      <c r="F60" s="12"/>
      <c r="G60" s="12"/>
      <c r="H60" s="12"/>
      <c r="I60" s="12"/>
      <c r="J60" s="12"/>
      <c r="K60" s="12"/>
      <c r="L60" s="12"/>
      <c r="M60" s="12"/>
      <c r="N60" s="12"/>
      <c r="O60" s="12"/>
      <c r="P60" s="12"/>
      <c r="Q60" s="12"/>
      <c r="R60" s="12"/>
      <c r="S60" s="12"/>
      <c r="T60" s="12"/>
      <c r="U60" s="12"/>
      <c r="V60" s="12"/>
      <c r="W60" s="12"/>
      <c r="X60" s="12"/>
      <c r="Y60" s="12"/>
    </row>
    <row r="61" spans="1:25" ht="16.3">
      <c r="A61" s="44"/>
      <c r="B61" s="36"/>
      <c r="C61" s="17"/>
      <c r="D61" s="12"/>
      <c r="E61" s="12"/>
      <c r="F61" s="12"/>
      <c r="G61" s="12"/>
      <c r="H61" s="12"/>
      <c r="I61" s="12"/>
      <c r="J61" s="12"/>
      <c r="K61" s="12"/>
      <c r="L61" s="12"/>
      <c r="M61" s="12"/>
      <c r="N61" s="12"/>
      <c r="O61" s="12"/>
      <c r="P61" s="12"/>
      <c r="Q61" s="12"/>
      <c r="R61" s="12"/>
      <c r="S61" s="12"/>
      <c r="T61" s="12"/>
      <c r="U61" s="12"/>
      <c r="V61" s="12"/>
      <c r="W61" s="12"/>
      <c r="X61" s="12"/>
      <c r="Y61" s="12"/>
    </row>
    <row r="62" spans="1:25" ht="16.3">
      <c r="A62" s="38"/>
      <c r="B62" s="40"/>
      <c r="C62" s="11"/>
      <c r="D62" s="12"/>
      <c r="E62" s="12"/>
      <c r="F62" s="12"/>
      <c r="G62" s="12"/>
      <c r="H62" s="12"/>
      <c r="I62" s="12"/>
      <c r="J62" s="12"/>
      <c r="K62" s="12"/>
      <c r="L62" s="12"/>
      <c r="M62" s="12"/>
      <c r="N62" s="12"/>
      <c r="O62" s="12"/>
      <c r="P62" s="12"/>
      <c r="Q62" s="12"/>
      <c r="R62" s="12"/>
      <c r="S62" s="12"/>
      <c r="T62" s="12"/>
      <c r="U62" s="12"/>
      <c r="V62" s="12"/>
      <c r="W62" s="12"/>
      <c r="X62" s="12"/>
      <c r="Y62" s="12"/>
    </row>
    <row r="63" spans="1:25" ht="16.3">
      <c r="A63" s="44"/>
      <c r="B63" s="36"/>
      <c r="C63" s="11"/>
      <c r="D63" s="12"/>
      <c r="E63" s="12"/>
      <c r="F63" s="12"/>
      <c r="G63" s="12"/>
      <c r="H63" s="12"/>
      <c r="I63" s="12"/>
      <c r="J63" s="12"/>
      <c r="K63" s="12"/>
      <c r="L63" s="12"/>
      <c r="M63" s="12"/>
      <c r="N63" s="12"/>
      <c r="O63" s="12"/>
      <c r="P63" s="12"/>
      <c r="Q63" s="12"/>
      <c r="R63" s="12"/>
      <c r="S63" s="12"/>
      <c r="T63" s="12"/>
      <c r="U63" s="12"/>
      <c r="V63" s="12"/>
      <c r="W63" s="12"/>
      <c r="X63" s="12"/>
      <c r="Y63" s="12"/>
    </row>
    <row r="64" spans="1:25" ht="16.3">
      <c r="A64" s="44"/>
      <c r="B64" s="36"/>
      <c r="C64" s="11"/>
      <c r="D64" s="12"/>
      <c r="E64" s="12"/>
      <c r="F64" s="12"/>
      <c r="G64" s="12"/>
      <c r="H64" s="12"/>
      <c r="I64" s="12"/>
      <c r="J64" s="12"/>
      <c r="K64" s="12"/>
      <c r="L64" s="12"/>
      <c r="M64" s="12"/>
      <c r="N64" s="12"/>
      <c r="O64" s="12"/>
      <c r="P64" s="12"/>
      <c r="Q64" s="12"/>
      <c r="R64" s="12"/>
      <c r="S64" s="12"/>
      <c r="T64" s="12"/>
      <c r="U64" s="12"/>
      <c r="V64" s="12"/>
      <c r="W64" s="12"/>
      <c r="X64" s="12"/>
      <c r="Y64" s="12"/>
    </row>
    <row r="65" spans="1:25" ht="16.3">
      <c r="A65" s="44"/>
      <c r="B65" s="36"/>
      <c r="C65" s="11"/>
      <c r="D65" s="12"/>
      <c r="E65" s="12"/>
      <c r="F65" s="12"/>
      <c r="G65" s="12"/>
      <c r="H65" s="12"/>
      <c r="I65" s="12"/>
      <c r="J65" s="12"/>
      <c r="K65" s="12"/>
      <c r="L65" s="12"/>
      <c r="M65" s="12"/>
      <c r="N65" s="12"/>
      <c r="O65" s="12"/>
      <c r="P65" s="12"/>
      <c r="Q65" s="12"/>
      <c r="R65" s="12"/>
      <c r="S65" s="12"/>
      <c r="T65" s="12"/>
      <c r="U65" s="12"/>
      <c r="V65" s="12"/>
      <c r="W65" s="12"/>
      <c r="X65" s="12"/>
      <c r="Y65" s="12"/>
    </row>
    <row r="66" spans="1:25" ht="16.3">
      <c r="A66" s="44"/>
      <c r="B66" s="36"/>
      <c r="C66" s="11"/>
      <c r="D66" s="12"/>
      <c r="E66" s="12"/>
      <c r="F66" s="12"/>
      <c r="G66" s="12"/>
      <c r="H66" s="12"/>
      <c r="I66" s="12"/>
      <c r="J66" s="12"/>
      <c r="K66" s="12"/>
      <c r="L66" s="12"/>
      <c r="M66" s="12"/>
      <c r="N66" s="12"/>
      <c r="O66" s="12"/>
      <c r="P66" s="12"/>
      <c r="Q66" s="12"/>
      <c r="R66" s="12"/>
      <c r="S66" s="12"/>
      <c r="T66" s="12"/>
      <c r="U66" s="12"/>
      <c r="V66" s="12"/>
      <c r="W66" s="12"/>
      <c r="X66" s="12"/>
      <c r="Y66" s="12"/>
    </row>
    <row r="67" spans="1:25" ht="16.3">
      <c r="A67" s="44"/>
      <c r="B67" s="36"/>
      <c r="C67" s="11"/>
      <c r="D67" s="12"/>
      <c r="E67" s="12"/>
      <c r="F67" s="12"/>
      <c r="G67" s="12"/>
      <c r="H67" s="12"/>
      <c r="I67" s="12"/>
      <c r="J67" s="12"/>
      <c r="K67" s="12"/>
      <c r="L67" s="12"/>
      <c r="M67" s="12"/>
      <c r="N67" s="12"/>
      <c r="O67" s="12"/>
      <c r="P67" s="12"/>
      <c r="Q67" s="12"/>
      <c r="R67" s="12"/>
      <c r="S67" s="12"/>
      <c r="T67" s="12"/>
      <c r="U67" s="12"/>
      <c r="V67" s="12"/>
      <c r="W67" s="12"/>
      <c r="X67" s="12"/>
      <c r="Y67" s="12"/>
    </row>
    <row r="68" spans="1:25" ht="16.3">
      <c r="A68" s="44"/>
      <c r="B68" s="36"/>
      <c r="C68" s="11"/>
      <c r="D68" s="12"/>
      <c r="E68" s="12"/>
      <c r="F68" s="12"/>
      <c r="G68" s="12"/>
      <c r="H68" s="12"/>
      <c r="I68" s="12"/>
      <c r="J68" s="12"/>
      <c r="K68" s="12"/>
      <c r="L68" s="12"/>
      <c r="M68" s="12"/>
      <c r="N68" s="12"/>
      <c r="O68" s="12"/>
      <c r="P68" s="12"/>
      <c r="Q68" s="12"/>
      <c r="R68" s="12"/>
      <c r="S68" s="12"/>
      <c r="T68" s="12"/>
      <c r="U68" s="12"/>
      <c r="V68" s="12"/>
      <c r="W68" s="12"/>
      <c r="X68" s="12"/>
      <c r="Y68" s="12"/>
    </row>
    <row r="69" spans="1:25" ht="16.3">
      <c r="A69" s="44"/>
      <c r="B69" s="36"/>
      <c r="C69" s="17"/>
      <c r="D69" s="12"/>
      <c r="E69" s="12"/>
      <c r="F69" s="12"/>
      <c r="G69" s="12"/>
      <c r="H69" s="12"/>
      <c r="I69" s="12"/>
      <c r="J69" s="12"/>
      <c r="K69" s="12"/>
      <c r="L69" s="12"/>
      <c r="M69" s="12"/>
      <c r="N69" s="12"/>
      <c r="O69" s="12"/>
      <c r="P69" s="12"/>
      <c r="Q69" s="12"/>
      <c r="R69" s="12"/>
      <c r="S69" s="12"/>
      <c r="T69" s="12"/>
      <c r="U69" s="12"/>
      <c r="V69" s="12"/>
      <c r="W69" s="12"/>
      <c r="X69" s="12"/>
      <c r="Y69" s="12"/>
    </row>
    <row r="70" spans="1:25" ht="16.3">
      <c r="A70" s="38"/>
      <c r="B70" s="40"/>
      <c r="C70" s="11"/>
      <c r="D70" s="12"/>
      <c r="E70" s="12"/>
      <c r="F70" s="12"/>
      <c r="G70" s="12"/>
      <c r="H70" s="12"/>
      <c r="I70" s="12"/>
      <c r="J70" s="12"/>
      <c r="K70" s="12"/>
      <c r="L70" s="12"/>
      <c r="M70" s="12"/>
      <c r="N70" s="12"/>
      <c r="O70" s="12"/>
      <c r="P70" s="12"/>
      <c r="Q70" s="12"/>
      <c r="R70" s="12"/>
      <c r="S70" s="12"/>
      <c r="T70" s="12"/>
      <c r="U70" s="12"/>
      <c r="V70" s="12"/>
      <c r="W70" s="12"/>
      <c r="X70" s="12"/>
      <c r="Y70" s="12"/>
    </row>
    <row r="71" spans="1:25" ht="16.3">
      <c r="A71" s="44"/>
      <c r="B71" s="36"/>
      <c r="C71" s="11"/>
      <c r="D71" s="12"/>
      <c r="E71" s="12"/>
      <c r="F71" s="12"/>
      <c r="G71" s="12"/>
      <c r="H71" s="12"/>
      <c r="I71" s="12"/>
      <c r="J71" s="12"/>
      <c r="K71" s="12"/>
      <c r="L71" s="12"/>
      <c r="M71" s="12"/>
      <c r="N71" s="12"/>
      <c r="O71" s="12"/>
      <c r="P71" s="12"/>
      <c r="Q71" s="12"/>
      <c r="R71" s="12"/>
      <c r="S71" s="12"/>
      <c r="T71" s="12"/>
      <c r="U71" s="12"/>
      <c r="V71" s="12"/>
      <c r="W71" s="12"/>
      <c r="X71" s="12"/>
      <c r="Y71" s="12"/>
    </row>
    <row r="72" spans="1:25" ht="16.3">
      <c r="A72" s="44"/>
      <c r="B72" s="36"/>
      <c r="C72" s="11"/>
      <c r="D72" s="12"/>
      <c r="E72" s="12"/>
      <c r="F72" s="12"/>
      <c r="G72" s="12"/>
      <c r="H72" s="12"/>
      <c r="I72" s="12"/>
      <c r="J72" s="12"/>
      <c r="K72" s="12"/>
      <c r="L72" s="12"/>
      <c r="M72" s="12"/>
      <c r="N72" s="12"/>
      <c r="O72" s="12"/>
      <c r="P72" s="12"/>
      <c r="Q72" s="12"/>
      <c r="R72" s="12"/>
      <c r="S72" s="12"/>
      <c r="T72" s="12"/>
      <c r="U72" s="12"/>
      <c r="V72" s="12"/>
      <c r="W72" s="12"/>
      <c r="X72" s="12"/>
      <c r="Y72" s="12"/>
    </row>
    <row r="73" spans="1:25" ht="16.3">
      <c r="A73" s="44"/>
      <c r="B73" s="36"/>
      <c r="C73" s="11"/>
      <c r="D73" s="12"/>
      <c r="E73" s="12"/>
      <c r="F73" s="12"/>
      <c r="G73" s="12"/>
      <c r="H73" s="12"/>
      <c r="I73" s="12"/>
      <c r="J73" s="12"/>
      <c r="K73" s="12"/>
      <c r="L73" s="12"/>
      <c r="M73" s="12"/>
      <c r="N73" s="12"/>
      <c r="O73" s="12"/>
      <c r="P73" s="12"/>
      <c r="Q73" s="12"/>
      <c r="R73" s="12"/>
      <c r="S73" s="12"/>
      <c r="T73" s="12"/>
      <c r="U73" s="12"/>
      <c r="V73" s="12"/>
      <c r="W73" s="12"/>
      <c r="X73" s="12"/>
      <c r="Y73" s="12"/>
    </row>
    <row r="74" spans="1:25" ht="16.3">
      <c r="A74" s="44"/>
      <c r="B74" s="36"/>
      <c r="C74" s="11"/>
      <c r="D74" s="12"/>
      <c r="E74" s="12"/>
      <c r="F74" s="12"/>
      <c r="G74" s="12"/>
      <c r="H74" s="12"/>
      <c r="I74" s="12"/>
      <c r="J74" s="12"/>
      <c r="K74" s="12"/>
      <c r="L74" s="12"/>
      <c r="M74" s="12"/>
      <c r="N74" s="12"/>
      <c r="O74" s="12"/>
      <c r="P74" s="12"/>
      <c r="Q74" s="12"/>
      <c r="R74" s="12"/>
      <c r="S74" s="12"/>
      <c r="T74" s="12"/>
      <c r="U74" s="12"/>
      <c r="V74" s="12"/>
      <c r="W74" s="12"/>
      <c r="X74" s="12"/>
      <c r="Y74" s="12"/>
    </row>
    <row r="75" spans="1:25" ht="16.3">
      <c r="A75" s="44"/>
      <c r="B75" s="36"/>
      <c r="C75" s="11"/>
      <c r="D75" s="12"/>
      <c r="E75" s="12"/>
      <c r="F75" s="12"/>
      <c r="G75" s="12"/>
      <c r="H75" s="12"/>
      <c r="I75" s="12"/>
      <c r="J75" s="12"/>
      <c r="K75" s="12"/>
      <c r="L75" s="12"/>
      <c r="M75" s="12"/>
      <c r="N75" s="12"/>
      <c r="O75" s="12"/>
      <c r="P75" s="12"/>
      <c r="Q75" s="12"/>
      <c r="R75" s="12"/>
      <c r="S75" s="12"/>
      <c r="T75" s="12"/>
      <c r="U75" s="12"/>
      <c r="V75" s="12"/>
      <c r="W75" s="12"/>
      <c r="X75" s="12"/>
      <c r="Y75" s="12"/>
    </row>
    <row r="76" spans="1:25" ht="16.3">
      <c r="A76" s="44"/>
      <c r="B76" s="36"/>
      <c r="C76" s="11"/>
      <c r="D76" s="12"/>
      <c r="E76" s="12"/>
      <c r="F76" s="12"/>
      <c r="G76" s="12"/>
      <c r="H76" s="12"/>
      <c r="I76" s="12"/>
      <c r="J76" s="12"/>
      <c r="K76" s="12"/>
      <c r="L76" s="12"/>
      <c r="M76" s="12"/>
      <c r="N76" s="12"/>
      <c r="O76" s="12"/>
      <c r="P76" s="12"/>
      <c r="Q76" s="12"/>
      <c r="R76" s="12"/>
      <c r="S76" s="12"/>
      <c r="T76" s="12"/>
      <c r="U76" s="12"/>
      <c r="V76" s="12"/>
      <c r="W76" s="12"/>
      <c r="X76" s="12"/>
      <c r="Y76" s="12"/>
    </row>
    <row r="77" spans="1:25" ht="16.3">
      <c r="A77" s="44"/>
      <c r="B77" s="36"/>
      <c r="C77" s="17"/>
      <c r="D77" s="12"/>
      <c r="E77" s="12"/>
      <c r="F77" s="12"/>
      <c r="G77" s="12"/>
      <c r="H77" s="12"/>
      <c r="I77" s="12"/>
      <c r="J77" s="12"/>
      <c r="K77" s="12"/>
      <c r="L77" s="12"/>
      <c r="M77" s="12"/>
      <c r="N77" s="12"/>
      <c r="O77" s="12"/>
      <c r="P77" s="12"/>
      <c r="Q77" s="12"/>
      <c r="R77" s="12"/>
      <c r="S77" s="12"/>
      <c r="T77" s="12"/>
      <c r="U77" s="12"/>
      <c r="V77" s="12"/>
      <c r="W77" s="12"/>
      <c r="X77" s="12"/>
      <c r="Y77" s="12"/>
    </row>
    <row r="78" spans="1:25" ht="16.3">
      <c r="A78" s="38"/>
      <c r="B78" s="46"/>
      <c r="C78" s="11"/>
      <c r="D78" s="12"/>
      <c r="E78" s="12"/>
      <c r="F78" s="12"/>
      <c r="G78" s="12"/>
      <c r="H78" s="12"/>
      <c r="I78" s="12"/>
      <c r="J78" s="12"/>
      <c r="K78" s="12"/>
      <c r="L78" s="12"/>
      <c r="M78" s="12"/>
      <c r="N78" s="12"/>
      <c r="O78" s="12"/>
      <c r="P78" s="12"/>
      <c r="Q78" s="12"/>
      <c r="R78" s="12"/>
      <c r="S78" s="12"/>
      <c r="T78" s="12"/>
      <c r="U78" s="12"/>
      <c r="V78" s="12"/>
      <c r="W78" s="12"/>
      <c r="X78" s="12"/>
      <c r="Y78" s="12"/>
    </row>
    <row r="79" spans="1:25" ht="16.3">
      <c r="A79" s="35"/>
      <c r="B79" s="36"/>
      <c r="C79" s="11"/>
      <c r="D79" s="12"/>
      <c r="E79" s="12"/>
      <c r="F79" s="12"/>
      <c r="G79" s="12"/>
      <c r="H79" s="12"/>
      <c r="I79" s="12"/>
      <c r="J79" s="12"/>
      <c r="K79" s="12"/>
      <c r="L79" s="12"/>
      <c r="M79" s="12"/>
      <c r="N79" s="12"/>
      <c r="O79" s="12"/>
      <c r="P79" s="12"/>
      <c r="Q79" s="12"/>
      <c r="R79" s="12"/>
      <c r="S79" s="12"/>
      <c r="T79" s="12"/>
      <c r="U79" s="12"/>
      <c r="V79" s="12"/>
      <c r="W79" s="12"/>
      <c r="X79" s="12"/>
      <c r="Y79" s="12"/>
    </row>
    <row r="80" spans="1:25" ht="16.3">
      <c r="A80" s="35"/>
      <c r="B80" s="36"/>
      <c r="C80" s="11"/>
      <c r="D80" s="12"/>
      <c r="E80" s="12"/>
      <c r="F80" s="12"/>
      <c r="G80" s="12"/>
      <c r="H80" s="12"/>
      <c r="I80" s="12"/>
      <c r="J80" s="12"/>
      <c r="K80" s="12"/>
      <c r="L80" s="12"/>
      <c r="M80" s="12"/>
      <c r="N80" s="12"/>
      <c r="O80" s="12"/>
      <c r="P80" s="12"/>
      <c r="Q80" s="12"/>
      <c r="R80" s="12"/>
      <c r="S80" s="12"/>
      <c r="T80" s="12"/>
      <c r="U80" s="12"/>
      <c r="V80" s="12"/>
      <c r="W80" s="12"/>
      <c r="X80" s="12"/>
      <c r="Y80" s="12"/>
    </row>
    <row r="81" spans="1:25" ht="16.3">
      <c r="A81" s="35"/>
      <c r="B81" s="36"/>
      <c r="C81" s="11"/>
      <c r="D81" s="12"/>
      <c r="E81" s="12"/>
      <c r="F81" s="12"/>
      <c r="G81" s="12"/>
      <c r="H81" s="12"/>
      <c r="I81" s="12"/>
      <c r="J81" s="12"/>
      <c r="K81" s="12"/>
      <c r="L81" s="12"/>
      <c r="M81" s="12"/>
      <c r="N81" s="12"/>
      <c r="O81" s="12"/>
      <c r="P81" s="12"/>
      <c r="Q81" s="12"/>
      <c r="R81" s="12"/>
      <c r="S81" s="12"/>
      <c r="T81" s="12"/>
      <c r="U81" s="12"/>
      <c r="V81" s="12"/>
      <c r="W81" s="12"/>
      <c r="X81" s="12"/>
      <c r="Y81" s="12"/>
    </row>
    <row r="82" spans="1:25" ht="16.3">
      <c r="A82" s="35"/>
      <c r="B82" s="36"/>
      <c r="C82" s="11"/>
      <c r="D82" s="12"/>
      <c r="E82" s="12"/>
      <c r="F82" s="12"/>
      <c r="G82" s="12"/>
      <c r="H82" s="12"/>
      <c r="I82" s="12"/>
      <c r="J82" s="12"/>
      <c r="K82" s="12"/>
      <c r="L82" s="12"/>
      <c r="M82" s="12"/>
      <c r="N82" s="12"/>
      <c r="O82" s="12"/>
      <c r="P82" s="12"/>
      <c r="Q82" s="12"/>
      <c r="R82" s="12"/>
      <c r="S82" s="12"/>
      <c r="T82" s="12"/>
      <c r="U82" s="12"/>
      <c r="V82" s="12"/>
      <c r="W82" s="12"/>
      <c r="X82" s="12"/>
      <c r="Y82" s="12"/>
    </row>
    <row r="83" spans="1:25" ht="16.3">
      <c r="A83" s="35"/>
      <c r="B83" s="36"/>
      <c r="C83" s="17"/>
      <c r="D83" s="12"/>
      <c r="E83" s="12"/>
      <c r="F83" s="12"/>
      <c r="G83" s="12"/>
      <c r="H83" s="12"/>
      <c r="I83" s="12"/>
      <c r="J83" s="12"/>
      <c r="K83" s="12"/>
      <c r="L83" s="12"/>
      <c r="M83" s="12"/>
      <c r="N83" s="12"/>
      <c r="O83" s="12"/>
      <c r="P83" s="12"/>
      <c r="Q83" s="12"/>
      <c r="R83" s="12"/>
      <c r="S83" s="12"/>
      <c r="T83" s="12"/>
      <c r="U83" s="12"/>
      <c r="V83" s="12"/>
      <c r="W83" s="12"/>
      <c r="X83" s="12"/>
      <c r="Y83" s="12"/>
    </row>
    <row r="84" spans="1:25" ht="16.3">
      <c r="A84" s="38"/>
      <c r="B84" s="40"/>
      <c r="C84" s="17"/>
      <c r="D84" s="12"/>
      <c r="E84" s="12"/>
      <c r="F84" s="12"/>
      <c r="G84" s="12"/>
      <c r="H84" s="12"/>
      <c r="I84" s="12"/>
      <c r="J84" s="12"/>
      <c r="K84" s="12"/>
      <c r="L84" s="12"/>
      <c r="M84" s="12"/>
      <c r="N84" s="12"/>
      <c r="O84" s="12"/>
      <c r="P84" s="12"/>
      <c r="Q84" s="12"/>
      <c r="R84" s="12"/>
      <c r="S84" s="12"/>
      <c r="T84" s="12"/>
      <c r="U84" s="12"/>
      <c r="V84" s="12"/>
      <c r="W84" s="12"/>
      <c r="X84" s="12"/>
      <c r="Y84" s="12"/>
    </row>
    <row r="85" spans="1:25" ht="16.3">
      <c r="A85" s="44"/>
      <c r="B85" s="35"/>
      <c r="C85" s="17"/>
      <c r="D85" s="12"/>
      <c r="E85" s="12"/>
      <c r="F85" s="12"/>
      <c r="G85" s="12"/>
      <c r="H85" s="12"/>
      <c r="I85" s="12"/>
      <c r="J85" s="12"/>
      <c r="K85" s="12"/>
      <c r="L85" s="12"/>
      <c r="M85" s="12"/>
      <c r="N85" s="12"/>
      <c r="O85" s="12"/>
      <c r="P85" s="12"/>
      <c r="Q85" s="12"/>
      <c r="R85" s="12"/>
      <c r="S85" s="12"/>
      <c r="T85" s="12"/>
      <c r="U85" s="12"/>
      <c r="V85" s="12"/>
      <c r="W85" s="12"/>
      <c r="X85" s="12"/>
      <c r="Y85" s="12"/>
    </row>
    <row r="86" spans="1:25" ht="16.3">
      <c r="A86" s="38"/>
      <c r="B86" s="40"/>
      <c r="C86" s="11"/>
      <c r="D86" s="12"/>
      <c r="E86" s="12"/>
      <c r="F86" s="12"/>
      <c r="G86" s="12"/>
      <c r="H86" s="12"/>
      <c r="I86" s="12"/>
      <c r="J86" s="12"/>
      <c r="K86" s="12"/>
      <c r="L86" s="12"/>
      <c r="M86" s="12"/>
      <c r="N86" s="12"/>
      <c r="O86" s="12"/>
      <c r="P86" s="12"/>
      <c r="Q86" s="12"/>
      <c r="R86" s="12"/>
      <c r="S86" s="12"/>
      <c r="T86" s="12"/>
      <c r="U86" s="12"/>
      <c r="V86" s="12"/>
      <c r="W86" s="12"/>
      <c r="X86" s="12"/>
      <c r="Y86" s="12"/>
    </row>
    <row r="87" spans="1:25" ht="16.3">
      <c r="A87" s="44"/>
      <c r="B87" s="36"/>
      <c r="C87" s="11"/>
      <c r="D87" s="12"/>
      <c r="E87" s="12"/>
      <c r="F87" s="12"/>
      <c r="G87" s="12"/>
      <c r="H87" s="12"/>
      <c r="I87" s="12"/>
      <c r="J87" s="12"/>
      <c r="K87" s="12"/>
      <c r="L87" s="12"/>
      <c r="M87" s="12"/>
      <c r="N87" s="12"/>
      <c r="O87" s="12"/>
      <c r="P87" s="12"/>
      <c r="Q87" s="12"/>
      <c r="R87" s="12"/>
      <c r="S87" s="12"/>
      <c r="T87" s="12"/>
      <c r="U87" s="12"/>
      <c r="V87" s="12"/>
      <c r="W87" s="12"/>
      <c r="X87" s="12"/>
      <c r="Y87" s="12"/>
    </row>
    <row r="88" spans="1:25" ht="16.3">
      <c r="A88" s="44"/>
      <c r="B88" s="36"/>
      <c r="C88" s="11"/>
      <c r="D88" s="12"/>
      <c r="E88" s="12"/>
      <c r="F88" s="12"/>
      <c r="G88" s="12"/>
      <c r="H88" s="12"/>
      <c r="I88" s="12"/>
      <c r="J88" s="12"/>
      <c r="K88" s="12"/>
      <c r="L88" s="12"/>
      <c r="M88" s="12"/>
      <c r="N88" s="12"/>
      <c r="O88" s="12"/>
      <c r="P88" s="12"/>
      <c r="Q88" s="12"/>
      <c r="R88" s="12"/>
      <c r="S88" s="12"/>
      <c r="T88" s="12"/>
      <c r="U88" s="12"/>
      <c r="V88" s="12"/>
      <c r="W88" s="12"/>
      <c r="X88" s="12"/>
      <c r="Y88" s="12"/>
    </row>
    <row r="89" spans="1:25" ht="16.3">
      <c r="A89" s="35"/>
      <c r="B89" s="36"/>
      <c r="C89" s="11"/>
      <c r="D89" s="12"/>
      <c r="E89" s="12"/>
      <c r="F89" s="12"/>
      <c r="G89" s="12"/>
      <c r="H89" s="12"/>
      <c r="I89" s="12"/>
      <c r="J89" s="12"/>
      <c r="K89" s="12"/>
      <c r="L89" s="12"/>
      <c r="M89" s="12"/>
      <c r="N89" s="12"/>
      <c r="O89" s="12"/>
      <c r="P89" s="12"/>
      <c r="Q89" s="12"/>
      <c r="R89" s="12"/>
      <c r="S89" s="12"/>
      <c r="T89" s="12"/>
      <c r="U89" s="12"/>
      <c r="V89" s="12"/>
      <c r="W89" s="12"/>
      <c r="X89" s="12"/>
      <c r="Y89" s="12"/>
    </row>
    <row r="90" spans="1:25" ht="16.3">
      <c r="A90" s="35"/>
      <c r="B90" s="36"/>
      <c r="C90" s="11"/>
      <c r="D90" s="12"/>
      <c r="E90" s="12"/>
      <c r="F90" s="12"/>
      <c r="G90" s="12"/>
      <c r="H90" s="12"/>
      <c r="I90" s="12"/>
      <c r="J90" s="12"/>
      <c r="K90" s="12"/>
      <c r="L90" s="12"/>
      <c r="M90" s="12"/>
      <c r="N90" s="12"/>
      <c r="O90" s="12"/>
      <c r="P90" s="12"/>
      <c r="Q90" s="12"/>
      <c r="R90" s="12"/>
      <c r="S90" s="12"/>
      <c r="T90" s="12"/>
      <c r="U90" s="12"/>
      <c r="V90" s="12"/>
      <c r="W90" s="12"/>
      <c r="X90" s="12"/>
      <c r="Y90" s="12"/>
    </row>
    <row r="91" spans="1:25" ht="16.3">
      <c r="A91" s="35"/>
      <c r="B91" s="36"/>
      <c r="C91" s="11"/>
      <c r="D91" s="12"/>
      <c r="E91" s="12"/>
      <c r="F91" s="12"/>
      <c r="G91" s="12"/>
      <c r="H91" s="12"/>
      <c r="I91" s="12"/>
      <c r="J91" s="12"/>
      <c r="K91" s="12"/>
      <c r="L91" s="12"/>
      <c r="M91" s="12"/>
      <c r="N91" s="12"/>
      <c r="O91" s="12"/>
      <c r="P91" s="12"/>
      <c r="Q91" s="12"/>
      <c r="R91" s="12"/>
      <c r="S91" s="12"/>
      <c r="T91" s="12"/>
      <c r="U91" s="12"/>
      <c r="V91" s="12"/>
      <c r="W91" s="12"/>
      <c r="X91" s="12"/>
      <c r="Y91" s="12"/>
    </row>
    <row r="92" spans="1:25" ht="16.3">
      <c r="A92" s="35"/>
      <c r="B92" s="36"/>
      <c r="C92" s="11"/>
      <c r="D92" s="12"/>
      <c r="E92" s="12"/>
      <c r="F92" s="12"/>
      <c r="G92" s="12"/>
      <c r="H92" s="12"/>
      <c r="I92" s="12"/>
      <c r="J92" s="12"/>
      <c r="K92" s="12"/>
      <c r="L92" s="12"/>
      <c r="M92" s="12"/>
      <c r="N92" s="12"/>
      <c r="O92" s="12"/>
      <c r="P92" s="12"/>
      <c r="Q92" s="12"/>
      <c r="R92" s="12"/>
      <c r="S92" s="12"/>
      <c r="T92" s="12"/>
      <c r="U92" s="12"/>
      <c r="V92" s="12"/>
      <c r="W92" s="12"/>
      <c r="X92" s="12"/>
      <c r="Y92" s="12"/>
    </row>
    <row r="93" spans="1:25" ht="16.3">
      <c r="A93" s="35"/>
      <c r="B93" s="36"/>
      <c r="C93" s="11"/>
      <c r="D93" s="12"/>
      <c r="E93" s="12"/>
      <c r="F93" s="12"/>
      <c r="G93" s="12"/>
      <c r="H93" s="12"/>
      <c r="I93" s="12"/>
      <c r="J93" s="12"/>
      <c r="K93" s="12"/>
      <c r="L93" s="12"/>
      <c r="M93" s="12"/>
      <c r="N93" s="12"/>
      <c r="O93" s="12"/>
      <c r="P93" s="12"/>
      <c r="Q93" s="12"/>
      <c r="R93" s="12"/>
      <c r="S93" s="12"/>
      <c r="T93" s="12"/>
      <c r="U93" s="12"/>
      <c r="V93" s="12"/>
      <c r="W93" s="12"/>
      <c r="X93" s="12"/>
      <c r="Y93" s="12"/>
    </row>
    <row r="94" spans="1:25" ht="16.3">
      <c r="A94" s="35"/>
      <c r="B94" s="36"/>
      <c r="C94" s="17"/>
      <c r="D94" s="12"/>
      <c r="E94" s="12"/>
      <c r="F94" s="12"/>
      <c r="G94" s="12"/>
      <c r="H94" s="12"/>
      <c r="I94" s="12"/>
      <c r="J94" s="12"/>
      <c r="K94" s="12"/>
      <c r="L94" s="12"/>
      <c r="M94" s="12"/>
      <c r="N94" s="12"/>
      <c r="O94" s="12"/>
      <c r="P94" s="12"/>
      <c r="Q94" s="12"/>
      <c r="R94" s="12"/>
      <c r="S94" s="12"/>
      <c r="T94" s="12"/>
      <c r="U94" s="12"/>
      <c r="V94" s="12"/>
      <c r="W94" s="12"/>
      <c r="X94" s="12"/>
      <c r="Y94" s="12"/>
    </row>
    <row r="95" spans="1:25" ht="16.3">
      <c r="A95" s="38"/>
      <c r="B95" s="40"/>
      <c r="C95" s="11"/>
      <c r="D95" s="12"/>
      <c r="E95" s="12"/>
      <c r="F95" s="12"/>
      <c r="G95" s="12"/>
      <c r="H95" s="12"/>
      <c r="I95" s="12"/>
      <c r="J95" s="12"/>
      <c r="K95" s="12"/>
      <c r="L95" s="12"/>
      <c r="M95" s="12"/>
      <c r="N95" s="12"/>
      <c r="O95" s="12"/>
      <c r="P95" s="12"/>
      <c r="Q95" s="12"/>
      <c r="R95" s="12"/>
      <c r="S95" s="12"/>
      <c r="T95" s="12"/>
      <c r="U95" s="12"/>
      <c r="V95" s="12"/>
      <c r="W95" s="12"/>
      <c r="X95" s="12"/>
      <c r="Y95" s="12"/>
    </row>
    <row r="96" spans="1:25" ht="16.3">
      <c r="A96" s="44"/>
      <c r="B96" s="35"/>
      <c r="C96" s="11"/>
      <c r="D96" s="12"/>
      <c r="E96" s="12"/>
      <c r="F96" s="12"/>
      <c r="G96" s="12"/>
      <c r="H96" s="12"/>
      <c r="I96" s="12"/>
      <c r="J96" s="12"/>
      <c r="K96" s="12"/>
      <c r="L96" s="12"/>
      <c r="M96" s="12"/>
      <c r="N96" s="12"/>
      <c r="O96" s="12"/>
      <c r="P96" s="12"/>
      <c r="Q96" s="12"/>
      <c r="R96" s="12"/>
      <c r="S96" s="12"/>
      <c r="T96" s="12"/>
      <c r="U96" s="12"/>
      <c r="V96" s="12"/>
      <c r="W96" s="12"/>
      <c r="X96" s="12"/>
      <c r="Y96" s="12"/>
    </row>
    <row r="97" spans="1:25" ht="16.3">
      <c r="A97" s="44"/>
      <c r="B97" s="35"/>
      <c r="C97" s="11"/>
      <c r="D97" s="12"/>
      <c r="E97" s="12"/>
      <c r="F97" s="12"/>
      <c r="G97" s="12"/>
      <c r="H97" s="12"/>
      <c r="I97" s="12"/>
      <c r="J97" s="12"/>
      <c r="K97" s="12"/>
      <c r="L97" s="12"/>
      <c r="M97" s="12"/>
      <c r="N97" s="12"/>
      <c r="O97" s="12"/>
      <c r="P97" s="12"/>
      <c r="Q97" s="12"/>
      <c r="R97" s="12"/>
      <c r="S97" s="12"/>
      <c r="T97" s="12"/>
      <c r="U97" s="12"/>
      <c r="V97" s="12"/>
      <c r="W97" s="12"/>
      <c r="X97" s="12"/>
      <c r="Y97" s="12"/>
    </row>
    <row r="98" spans="1:25" ht="16.3">
      <c r="A98" s="44"/>
      <c r="B98" s="35"/>
      <c r="C98" s="11"/>
      <c r="D98" s="12"/>
      <c r="E98" s="12"/>
      <c r="F98" s="12"/>
      <c r="G98" s="12"/>
      <c r="H98" s="12"/>
      <c r="I98" s="12"/>
      <c r="J98" s="12"/>
      <c r="K98" s="12"/>
      <c r="L98" s="12"/>
      <c r="M98" s="12"/>
      <c r="N98" s="12"/>
      <c r="O98" s="12"/>
      <c r="P98" s="12"/>
      <c r="Q98" s="12"/>
      <c r="R98" s="12"/>
      <c r="S98" s="12"/>
      <c r="T98" s="12"/>
      <c r="U98" s="12"/>
      <c r="V98" s="12"/>
      <c r="W98" s="12"/>
      <c r="X98" s="12"/>
      <c r="Y98" s="12"/>
    </row>
    <row r="99" spans="1:25" ht="16.3">
      <c r="A99" s="44"/>
      <c r="B99" s="35"/>
      <c r="C99" s="17"/>
      <c r="D99" s="12"/>
      <c r="E99" s="12"/>
      <c r="F99" s="12"/>
      <c r="G99" s="12"/>
      <c r="H99" s="12"/>
      <c r="I99" s="12"/>
      <c r="J99" s="12"/>
      <c r="K99" s="12"/>
      <c r="L99" s="12"/>
      <c r="M99" s="12"/>
      <c r="N99" s="12"/>
      <c r="O99" s="12"/>
      <c r="P99" s="12"/>
      <c r="Q99" s="12"/>
      <c r="R99" s="12"/>
      <c r="S99" s="12"/>
      <c r="T99" s="12"/>
      <c r="U99" s="12"/>
      <c r="V99" s="12"/>
      <c r="W99" s="12"/>
      <c r="X99" s="12"/>
      <c r="Y99" s="12"/>
    </row>
    <row r="100" spans="1:25" ht="16.3">
      <c r="A100" s="38"/>
      <c r="B100" s="40"/>
      <c r="C100" s="11"/>
      <c r="D100" s="12"/>
      <c r="E100" s="12"/>
      <c r="F100" s="12"/>
      <c r="G100" s="12"/>
      <c r="H100" s="12"/>
      <c r="I100" s="12"/>
      <c r="J100" s="12"/>
      <c r="K100" s="12"/>
      <c r="L100" s="12"/>
      <c r="M100" s="12"/>
      <c r="N100" s="12"/>
      <c r="O100" s="12"/>
      <c r="P100" s="12"/>
      <c r="Q100" s="12"/>
      <c r="R100" s="12"/>
      <c r="S100" s="12"/>
      <c r="T100" s="12"/>
      <c r="U100" s="12"/>
      <c r="V100" s="12"/>
      <c r="W100" s="12"/>
      <c r="X100" s="12"/>
      <c r="Y100" s="12"/>
    </row>
    <row r="101" spans="1:25" ht="16.3">
      <c r="A101" s="35"/>
      <c r="B101" s="35"/>
      <c r="C101" s="11"/>
      <c r="D101" s="12"/>
      <c r="E101" s="12"/>
      <c r="F101" s="12"/>
      <c r="G101" s="12"/>
      <c r="H101" s="12"/>
      <c r="I101" s="12"/>
      <c r="J101" s="12"/>
      <c r="K101" s="12"/>
      <c r="L101" s="12"/>
      <c r="M101" s="12"/>
      <c r="N101" s="12"/>
      <c r="O101" s="12"/>
      <c r="P101" s="12"/>
      <c r="Q101" s="12"/>
      <c r="R101" s="12"/>
      <c r="S101" s="12"/>
      <c r="T101" s="12"/>
      <c r="U101" s="12"/>
      <c r="V101" s="12"/>
      <c r="W101" s="12"/>
      <c r="X101" s="12"/>
      <c r="Y101" s="12"/>
    </row>
    <row r="102" spans="1:25" ht="16.3">
      <c r="A102" s="35"/>
      <c r="B102" s="35"/>
      <c r="C102" s="11"/>
      <c r="D102" s="12"/>
      <c r="E102" s="12"/>
      <c r="F102" s="12"/>
      <c r="G102" s="12"/>
      <c r="H102" s="12"/>
      <c r="I102" s="12"/>
      <c r="J102" s="12"/>
      <c r="K102" s="12"/>
      <c r="L102" s="12"/>
      <c r="M102" s="12"/>
      <c r="N102" s="12"/>
      <c r="O102" s="12"/>
      <c r="P102" s="12"/>
      <c r="Q102" s="12"/>
      <c r="R102" s="12"/>
      <c r="S102" s="12"/>
      <c r="T102" s="12"/>
      <c r="U102" s="12"/>
      <c r="V102" s="12"/>
      <c r="W102" s="12"/>
      <c r="X102" s="12"/>
      <c r="Y102" s="12"/>
    </row>
    <row r="103" spans="1:25" ht="16.3">
      <c r="A103" s="35"/>
      <c r="B103" s="35"/>
      <c r="C103" s="11"/>
      <c r="D103" s="12"/>
      <c r="E103" s="12"/>
      <c r="F103" s="12"/>
      <c r="G103" s="12"/>
      <c r="H103" s="12"/>
      <c r="I103" s="12"/>
      <c r="J103" s="12"/>
      <c r="K103" s="12"/>
      <c r="L103" s="12"/>
      <c r="M103" s="12"/>
      <c r="N103" s="12"/>
      <c r="O103" s="12"/>
      <c r="P103" s="12"/>
      <c r="Q103" s="12"/>
      <c r="R103" s="12"/>
      <c r="S103" s="12"/>
      <c r="T103" s="12"/>
      <c r="U103" s="12"/>
      <c r="V103" s="12"/>
      <c r="W103" s="12"/>
      <c r="X103" s="12"/>
      <c r="Y103" s="12"/>
    </row>
    <row r="104" spans="1:25" ht="16.3">
      <c r="A104" s="35"/>
      <c r="B104" s="35"/>
      <c r="C104" s="17"/>
      <c r="D104" s="12"/>
      <c r="E104" s="12"/>
      <c r="F104" s="12"/>
      <c r="G104" s="12"/>
      <c r="H104" s="12"/>
      <c r="I104" s="12"/>
      <c r="J104" s="12"/>
      <c r="K104" s="12"/>
      <c r="L104" s="12"/>
      <c r="M104" s="12"/>
      <c r="N104" s="12"/>
      <c r="O104" s="12"/>
      <c r="P104" s="12"/>
      <c r="Q104" s="12"/>
      <c r="R104" s="12"/>
      <c r="S104" s="12"/>
      <c r="T104" s="12"/>
      <c r="U104" s="12"/>
      <c r="V104" s="12"/>
      <c r="W104" s="12"/>
      <c r="X104" s="12"/>
      <c r="Y104" s="12"/>
    </row>
    <row r="105" spans="1:25" ht="16.3">
      <c r="A105" s="38"/>
      <c r="B105" s="40"/>
      <c r="C105" s="11"/>
      <c r="D105" s="12"/>
      <c r="E105" s="12"/>
      <c r="F105" s="12"/>
      <c r="G105" s="12"/>
      <c r="H105" s="12"/>
      <c r="I105" s="12"/>
      <c r="J105" s="12"/>
      <c r="K105" s="12"/>
      <c r="L105" s="12"/>
      <c r="M105" s="12"/>
      <c r="N105" s="12"/>
      <c r="O105" s="12"/>
      <c r="P105" s="12"/>
      <c r="Q105" s="12"/>
      <c r="R105" s="12"/>
      <c r="S105" s="12"/>
      <c r="T105" s="12"/>
      <c r="U105" s="12"/>
      <c r="V105" s="12"/>
      <c r="W105" s="12"/>
      <c r="X105" s="12"/>
      <c r="Y105" s="12"/>
    </row>
    <row r="106" spans="1:25" ht="16.3">
      <c r="A106" s="35"/>
      <c r="B106" s="35"/>
      <c r="C106" s="11"/>
      <c r="D106" s="12"/>
      <c r="E106" s="12"/>
      <c r="F106" s="12"/>
      <c r="G106" s="12"/>
      <c r="H106" s="12"/>
      <c r="I106" s="12"/>
      <c r="J106" s="12"/>
      <c r="K106" s="12"/>
      <c r="L106" s="12"/>
      <c r="M106" s="12"/>
      <c r="N106" s="12"/>
      <c r="O106" s="12"/>
      <c r="P106" s="12"/>
      <c r="Q106" s="12"/>
      <c r="R106" s="12"/>
      <c r="S106" s="12"/>
      <c r="T106" s="12"/>
      <c r="U106" s="12"/>
      <c r="V106" s="12"/>
      <c r="W106" s="12"/>
      <c r="X106" s="12"/>
      <c r="Y106" s="12"/>
    </row>
    <row r="107" spans="1:25" ht="16.3">
      <c r="A107" s="35"/>
      <c r="B107" s="36"/>
      <c r="C107" s="11"/>
      <c r="D107" s="12"/>
      <c r="E107" s="12"/>
      <c r="F107" s="12"/>
      <c r="G107" s="12"/>
      <c r="H107" s="12"/>
      <c r="I107" s="12"/>
      <c r="J107" s="12"/>
      <c r="K107" s="12"/>
      <c r="L107" s="12"/>
      <c r="M107" s="12"/>
      <c r="N107" s="12"/>
      <c r="O107" s="12"/>
      <c r="P107" s="12"/>
      <c r="Q107" s="12"/>
      <c r="R107" s="12"/>
      <c r="S107" s="12"/>
      <c r="T107" s="12"/>
      <c r="U107" s="12"/>
      <c r="V107" s="12"/>
      <c r="W107" s="12"/>
      <c r="X107" s="12"/>
      <c r="Y107" s="12"/>
    </row>
    <row r="108" spans="1:25" ht="16.3">
      <c r="A108" s="35"/>
      <c r="B108" s="36"/>
      <c r="C108" s="11"/>
      <c r="D108" s="12"/>
      <c r="E108" s="12"/>
      <c r="F108" s="12"/>
      <c r="G108" s="12"/>
      <c r="H108" s="12"/>
      <c r="I108" s="12"/>
      <c r="J108" s="12"/>
      <c r="K108" s="12"/>
      <c r="L108" s="12"/>
      <c r="M108" s="12"/>
      <c r="N108" s="12"/>
      <c r="O108" s="12"/>
      <c r="P108" s="12"/>
      <c r="Q108" s="12"/>
      <c r="R108" s="12"/>
      <c r="S108" s="12"/>
      <c r="T108" s="12"/>
      <c r="U108" s="12"/>
      <c r="V108" s="12"/>
      <c r="W108" s="12"/>
      <c r="X108" s="12"/>
      <c r="Y108" s="12"/>
    </row>
    <row r="109" spans="1:25" ht="16.3">
      <c r="A109" s="35"/>
      <c r="B109" s="36"/>
      <c r="C109" s="17"/>
      <c r="D109" s="12"/>
      <c r="E109" s="12"/>
      <c r="F109" s="12"/>
      <c r="G109" s="12"/>
      <c r="H109" s="12"/>
      <c r="I109" s="12"/>
      <c r="J109" s="12"/>
      <c r="K109" s="12"/>
      <c r="L109" s="12"/>
      <c r="M109" s="12"/>
      <c r="N109" s="12"/>
      <c r="O109" s="12"/>
      <c r="P109" s="12"/>
      <c r="Q109" s="12"/>
      <c r="R109" s="12"/>
      <c r="S109" s="12"/>
      <c r="T109" s="12"/>
      <c r="U109" s="12"/>
      <c r="V109" s="12"/>
      <c r="W109" s="12"/>
      <c r="X109" s="12"/>
      <c r="Y109" s="12"/>
    </row>
    <row r="110" spans="1:25" ht="16.3">
      <c r="A110" s="38"/>
      <c r="B110" s="40"/>
      <c r="C110" s="11"/>
      <c r="D110" s="12"/>
      <c r="E110" s="12"/>
      <c r="F110" s="12"/>
      <c r="G110" s="12"/>
      <c r="H110" s="12"/>
      <c r="I110" s="12"/>
      <c r="J110" s="12"/>
      <c r="K110" s="12"/>
      <c r="L110" s="12"/>
      <c r="M110" s="12"/>
      <c r="N110" s="12"/>
      <c r="O110" s="12"/>
      <c r="P110" s="12"/>
      <c r="Q110" s="12"/>
      <c r="R110" s="12"/>
      <c r="S110" s="12"/>
      <c r="T110" s="12"/>
      <c r="U110" s="12"/>
      <c r="V110" s="12"/>
      <c r="W110" s="12"/>
      <c r="X110" s="12"/>
      <c r="Y110" s="12"/>
    </row>
    <row r="111" spans="1:25" ht="16.3">
      <c r="A111" s="35"/>
      <c r="B111" s="35"/>
      <c r="C111" s="11"/>
      <c r="D111" s="12"/>
      <c r="E111" s="12"/>
      <c r="F111" s="12"/>
      <c r="G111" s="12"/>
      <c r="H111" s="12"/>
      <c r="I111" s="12"/>
      <c r="J111" s="12"/>
      <c r="K111" s="12"/>
      <c r="L111" s="12"/>
      <c r="M111" s="12"/>
      <c r="N111" s="12"/>
      <c r="O111" s="12"/>
      <c r="P111" s="12"/>
      <c r="Q111" s="12"/>
      <c r="R111" s="12"/>
      <c r="S111" s="12"/>
      <c r="T111" s="12"/>
      <c r="U111" s="12"/>
      <c r="V111" s="12"/>
      <c r="W111" s="12"/>
      <c r="X111" s="12"/>
      <c r="Y111" s="12"/>
    </row>
    <row r="112" spans="1:25" ht="16.3">
      <c r="A112" s="35"/>
      <c r="B112" s="35"/>
      <c r="C112" s="11"/>
      <c r="D112" s="12"/>
      <c r="E112" s="12"/>
      <c r="F112" s="12"/>
      <c r="G112" s="12"/>
      <c r="H112" s="12"/>
      <c r="I112" s="12"/>
      <c r="J112" s="12"/>
      <c r="K112" s="12"/>
      <c r="L112" s="12"/>
      <c r="M112" s="12"/>
      <c r="N112" s="12"/>
      <c r="O112" s="12"/>
      <c r="P112" s="12"/>
      <c r="Q112" s="12"/>
      <c r="R112" s="12"/>
      <c r="S112" s="12"/>
      <c r="T112" s="12"/>
      <c r="U112" s="12"/>
      <c r="V112" s="12"/>
      <c r="W112" s="12"/>
      <c r="X112" s="12"/>
      <c r="Y112" s="12"/>
    </row>
    <row r="113" spans="1:25" ht="16.3">
      <c r="A113" s="35"/>
      <c r="B113" s="35"/>
      <c r="C113" s="11"/>
      <c r="D113" s="12"/>
      <c r="E113" s="12"/>
      <c r="F113" s="12"/>
      <c r="G113" s="12"/>
      <c r="H113" s="12"/>
      <c r="I113" s="12"/>
      <c r="J113" s="12"/>
      <c r="K113" s="12"/>
      <c r="L113" s="12"/>
      <c r="M113" s="12"/>
      <c r="N113" s="12"/>
      <c r="O113" s="12"/>
      <c r="P113" s="12"/>
      <c r="Q113" s="12"/>
      <c r="R113" s="12"/>
      <c r="S113" s="12"/>
      <c r="T113" s="12"/>
      <c r="U113" s="12"/>
      <c r="V113" s="12"/>
      <c r="W113" s="12"/>
      <c r="X113" s="12"/>
      <c r="Y113" s="12"/>
    </row>
    <row r="114" spans="1:25" ht="16.3">
      <c r="A114" s="35"/>
      <c r="B114" s="35"/>
      <c r="C114" s="11"/>
      <c r="D114" s="12"/>
      <c r="E114" s="12"/>
      <c r="F114" s="12"/>
      <c r="G114" s="12"/>
      <c r="H114" s="12"/>
      <c r="I114" s="12"/>
      <c r="J114" s="12"/>
      <c r="K114" s="12"/>
      <c r="L114" s="12"/>
      <c r="M114" s="12"/>
      <c r="N114" s="12"/>
      <c r="O114" s="12"/>
      <c r="P114" s="12"/>
      <c r="Q114" s="12"/>
      <c r="R114" s="12"/>
      <c r="S114" s="12"/>
      <c r="T114" s="12"/>
      <c r="U114" s="12"/>
      <c r="V114" s="12"/>
      <c r="W114" s="12"/>
      <c r="X114" s="12"/>
      <c r="Y114" s="12"/>
    </row>
    <row r="115" spans="1:25" ht="16.3">
      <c r="A115" s="35"/>
      <c r="B115" s="35"/>
      <c r="C115" s="17"/>
      <c r="D115" s="12"/>
      <c r="E115" s="12"/>
      <c r="F115" s="12"/>
      <c r="G115" s="12"/>
      <c r="H115" s="12"/>
      <c r="I115" s="12"/>
      <c r="J115" s="12"/>
      <c r="K115" s="12"/>
      <c r="L115" s="12"/>
      <c r="M115" s="12"/>
      <c r="N115" s="12"/>
      <c r="O115" s="12"/>
      <c r="P115" s="12"/>
      <c r="Q115" s="12"/>
      <c r="R115" s="12"/>
      <c r="S115" s="12"/>
      <c r="T115" s="12"/>
      <c r="U115" s="12"/>
      <c r="V115" s="12"/>
      <c r="W115" s="12"/>
      <c r="X115" s="12"/>
      <c r="Y115" s="12"/>
    </row>
    <row r="116" spans="1:25" ht="16.3">
      <c r="A116" s="38"/>
      <c r="B116" s="40"/>
      <c r="C116" s="17"/>
      <c r="D116" s="12"/>
      <c r="E116" s="12"/>
      <c r="F116" s="12"/>
      <c r="G116" s="12"/>
      <c r="H116" s="12"/>
      <c r="I116" s="12"/>
      <c r="J116" s="12"/>
      <c r="K116" s="12"/>
      <c r="L116" s="12"/>
      <c r="M116" s="12"/>
      <c r="N116" s="12"/>
      <c r="O116" s="12"/>
      <c r="P116" s="12"/>
      <c r="Q116" s="12"/>
      <c r="R116" s="12"/>
      <c r="S116" s="12"/>
      <c r="T116" s="12"/>
      <c r="U116" s="12"/>
      <c r="V116" s="12"/>
      <c r="W116" s="12"/>
      <c r="X116" s="12"/>
      <c r="Y116" s="12"/>
    </row>
    <row r="117" spans="1:25" ht="16.3">
      <c r="A117" s="44"/>
      <c r="B117" s="35"/>
      <c r="C117" s="17"/>
      <c r="D117" s="12"/>
      <c r="E117" s="12"/>
      <c r="F117" s="12"/>
      <c r="G117" s="12"/>
      <c r="H117" s="12"/>
      <c r="I117" s="12"/>
      <c r="J117" s="12"/>
      <c r="K117" s="12"/>
      <c r="L117" s="12"/>
      <c r="M117" s="12"/>
      <c r="N117" s="12"/>
      <c r="O117" s="12"/>
      <c r="P117" s="12"/>
      <c r="Q117" s="12"/>
      <c r="R117" s="12"/>
      <c r="S117" s="12"/>
      <c r="T117" s="12"/>
      <c r="U117" s="12"/>
      <c r="V117" s="12"/>
      <c r="W117" s="12"/>
      <c r="X117" s="12"/>
      <c r="Y117" s="12"/>
    </row>
    <row r="118" spans="1:25" ht="16.3">
      <c r="A118" s="38"/>
      <c r="B118" s="40"/>
      <c r="C118" s="11"/>
      <c r="D118" s="12"/>
      <c r="E118" s="12"/>
      <c r="F118" s="12"/>
      <c r="G118" s="12"/>
      <c r="H118" s="12"/>
      <c r="I118" s="12"/>
      <c r="J118" s="12"/>
      <c r="K118" s="12"/>
      <c r="L118" s="12"/>
      <c r="M118" s="12"/>
      <c r="N118" s="12"/>
      <c r="O118" s="12"/>
      <c r="P118" s="12"/>
      <c r="Q118" s="12"/>
      <c r="R118" s="12"/>
      <c r="S118" s="12"/>
      <c r="T118" s="12"/>
      <c r="U118" s="12"/>
      <c r="V118" s="12"/>
      <c r="W118" s="12"/>
      <c r="X118" s="12"/>
      <c r="Y118" s="12"/>
    </row>
    <row r="119" spans="1:25" ht="16.3">
      <c r="A119" s="35"/>
      <c r="B119" s="35"/>
      <c r="C119" s="11"/>
      <c r="D119" s="12"/>
      <c r="E119" s="12"/>
      <c r="F119" s="12"/>
      <c r="G119" s="12"/>
      <c r="H119" s="12"/>
      <c r="I119" s="12"/>
      <c r="J119" s="12"/>
      <c r="K119" s="12"/>
      <c r="L119" s="12"/>
      <c r="M119" s="12"/>
      <c r="N119" s="12"/>
      <c r="O119" s="12"/>
      <c r="P119" s="12"/>
      <c r="Q119" s="12"/>
      <c r="R119" s="12"/>
      <c r="S119" s="12"/>
      <c r="T119" s="12"/>
      <c r="U119" s="12"/>
      <c r="V119" s="12"/>
      <c r="W119" s="12"/>
      <c r="X119" s="12"/>
      <c r="Y119" s="12"/>
    </row>
    <row r="120" spans="1:25" ht="16.3">
      <c r="A120" s="35"/>
      <c r="B120" s="35"/>
      <c r="C120" s="11"/>
      <c r="D120" s="12"/>
      <c r="E120" s="12"/>
      <c r="F120" s="12"/>
      <c r="G120" s="12"/>
      <c r="H120" s="12"/>
      <c r="I120" s="12"/>
      <c r="J120" s="12"/>
      <c r="K120" s="12"/>
      <c r="L120" s="12"/>
      <c r="M120" s="12"/>
      <c r="N120" s="12"/>
      <c r="O120" s="12"/>
      <c r="P120" s="12"/>
      <c r="Q120" s="12"/>
      <c r="R120" s="12"/>
      <c r="S120" s="12"/>
      <c r="T120" s="12"/>
      <c r="U120" s="12"/>
      <c r="V120" s="12"/>
      <c r="W120" s="12"/>
      <c r="X120" s="12"/>
      <c r="Y120" s="12"/>
    </row>
    <row r="121" spans="1:25" ht="16.3">
      <c r="A121" s="35"/>
      <c r="B121" s="36"/>
      <c r="C121" s="11"/>
      <c r="D121" s="12"/>
      <c r="E121" s="12"/>
      <c r="F121" s="12"/>
      <c r="G121" s="12"/>
      <c r="H121" s="12"/>
      <c r="I121" s="12"/>
      <c r="J121" s="12"/>
      <c r="K121" s="12"/>
      <c r="L121" s="12"/>
      <c r="M121" s="12"/>
      <c r="N121" s="12"/>
      <c r="O121" s="12"/>
      <c r="P121" s="12"/>
      <c r="Q121" s="12"/>
      <c r="R121" s="12"/>
      <c r="S121" s="12"/>
      <c r="T121" s="12"/>
      <c r="U121" s="12"/>
      <c r="V121" s="12"/>
      <c r="W121" s="12"/>
      <c r="X121" s="12"/>
      <c r="Y121" s="12"/>
    </row>
    <row r="122" spans="1:25" ht="16.3">
      <c r="A122" s="35"/>
      <c r="B122" s="36"/>
      <c r="C122" s="11"/>
      <c r="D122" s="12"/>
      <c r="E122" s="12"/>
      <c r="F122" s="12"/>
      <c r="G122" s="12"/>
      <c r="H122" s="12"/>
      <c r="I122" s="12"/>
      <c r="J122" s="12"/>
      <c r="K122" s="12"/>
      <c r="L122" s="12"/>
      <c r="M122" s="12"/>
      <c r="N122" s="12"/>
      <c r="O122" s="12"/>
      <c r="P122" s="12"/>
      <c r="Q122" s="12"/>
      <c r="R122" s="12"/>
      <c r="S122" s="12"/>
      <c r="T122" s="12"/>
      <c r="U122" s="12"/>
      <c r="V122" s="12"/>
      <c r="W122" s="12"/>
      <c r="X122" s="12"/>
      <c r="Y122" s="12"/>
    </row>
    <row r="123" spans="1:25" ht="16.3">
      <c r="A123" s="35"/>
      <c r="B123" s="36"/>
      <c r="C123" s="11"/>
      <c r="D123" s="12"/>
      <c r="E123" s="12"/>
      <c r="F123" s="12"/>
      <c r="G123" s="12"/>
      <c r="H123" s="12"/>
      <c r="I123" s="12"/>
      <c r="J123" s="12"/>
      <c r="K123" s="12"/>
      <c r="L123" s="12"/>
      <c r="M123" s="12"/>
      <c r="N123" s="12"/>
      <c r="O123" s="12"/>
      <c r="P123" s="12"/>
      <c r="Q123" s="12"/>
      <c r="R123" s="12"/>
      <c r="S123" s="12"/>
      <c r="T123" s="12"/>
      <c r="U123" s="12"/>
      <c r="V123" s="12"/>
      <c r="W123" s="12"/>
      <c r="X123" s="12"/>
      <c r="Y123" s="12"/>
    </row>
    <row r="124" spans="1:25" ht="16.3">
      <c r="A124" s="35"/>
      <c r="B124" s="36"/>
      <c r="C124" s="11"/>
      <c r="D124" s="12"/>
      <c r="E124" s="12"/>
      <c r="F124" s="12"/>
      <c r="G124" s="12"/>
      <c r="H124" s="12"/>
      <c r="I124" s="12"/>
      <c r="J124" s="12"/>
      <c r="K124" s="12"/>
      <c r="L124" s="12"/>
      <c r="M124" s="12"/>
      <c r="N124" s="12"/>
      <c r="O124" s="12"/>
      <c r="P124" s="12"/>
      <c r="Q124" s="12"/>
      <c r="R124" s="12"/>
      <c r="S124" s="12"/>
      <c r="T124" s="12"/>
      <c r="U124" s="12"/>
      <c r="V124" s="12"/>
      <c r="W124" s="12"/>
      <c r="X124" s="12"/>
      <c r="Y124" s="12"/>
    </row>
    <row r="125" spans="1:25" ht="16.3">
      <c r="A125" s="35"/>
      <c r="B125" s="36"/>
      <c r="C125" s="11"/>
      <c r="D125" s="12"/>
      <c r="E125" s="12"/>
      <c r="F125" s="12"/>
      <c r="G125" s="12"/>
      <c r="H125" s="12"/>
      <c r="I125" s="12"/>
      <c r="J125" s="12"/>
      <c r="K125" s="12"/>
      <c r="L125" s="12"/>
      <c r="M125" s="12"/>
      <c r="N125" s="12"/>
      <c r="O125" s="12"/>
      <c r="P125" s="12"/>
      <c r="Q125" s="12"/>
      <c r="R125" s="12"/>
      <c r="S125" s="12"/>
      <c r="T125" s="12"/>
      <c r="U125" s="12"/>
      <c r="V125" s="12"/>
      <c r="W125" s="12"/>
      <c r="X125" s="12"/>
      <c r="Y125" s="12"/>
    </row>
    <row r="126" spans="1:25" ht="16.3">
      <c r="A126" s="35"/>
      <c r="B126" s="36"/>
      <c r="C126" s="11"/>
      <c r="D126" s="12"/>
      <c r="E126" s="12"/>
      <c r="F126" s="12"/>
      <c r="G126" s="12"/>
      <c r="H126" s="12"/>
      <c r="I126" s="12"/>
      <c r="J126" s="12"/>
      <c r="K126" s="12"/>
      <c r="L126" s="12"/>
      <c r="M126" s="12"/>
      <c r="N126" s="12"/>
      <c r="O126" s="12"/>
      <c r="P126" s="12"/>
      <c r="Q126" s="12"/>
      <c r="R126" s="12"/>
      <c r="S126" s="12"/>
      <c r="T126" s="12"/>
      <c r="U126" s="12"/>
      <c r="V126" s="12"/>
      <c r="W126" s="12"/>
      <c r="X126" s="12"/>
      <c r="Y126" s="12"/>
    </row>
    <row r="127" spans="1:25" ht="16.3">
      <c r="A127" s="35"/>
      <c r="B127" s="36"/>
      <c r="C127" s="11"/>
      <c r="D127" s="12"/>
      <c r="E127" s="12"/>
      <c r="F127" s="12"/>
      <c r="G127" s="12"/>
      <c r="H127" s="12"/>
      <c r="I127" s="12"/>
      <c r="J127" s="12"/>
      <c r="K127" s="12"/>
      <c r="L127" s="12"/>
      <c r="M127" s="12"/>
      <c r="N127" s="12"/>
      <c r="O127" s="12"/>
      <c r="P127" s="12"/>
      <c r="Q127" s="12"/>
      <c r="R127" s="12"/>
      <c r="S127" s="12"/>
      <c r="T127" s="12"/>
      <c r="U127" s="12"/>
      <c r="V127" s="12"/>
      <c r="W127" s="12"/>
      <c r="X127" s="12"/>
      <c r="Y127" s="12"/>
    </row>
    <row r="128" spans="1:25" ht="16.3">
      <c r="A128" s="35"/>
      <c r="B128" s="36"/>
      <c r="C128" s="17"/>
      <c r="D128" s="12"/>
      <c r="E128" s="12"/>
      <c r="F128" s="12"/>
      <c r="G128" s="12"/>
      <c r="H128" s="12"/>
      <c r="I128" s="12"/>
      <c r="J128" s="12"/>
      <c r="K128" s="12"/>
      <c r="L128" s="12"/>
      <c r="M128" s="12"/>
      <c r="N128" s="12"/>
      <c r="O128" s="12"/>
      <c r="P128" s="12"/>
      <c r="Q128" s="12"/>
      <c r="R128" s="12"/>
      <c r="S128" s="12"/>
      <c r="T128" s="12"/>
      <c r="U128" s="12"/>
      <c r="V128" s="12"/>
      <c r="W128" s="12"/>
      <c r="X128" s="12"/>
      <c r="Y128" s="12"/>
    </row>
    <row r="129" spans="1:25" ht="16.3">
      <c r="A129" s="38"/>
      <c r="B129" s="36"/>
      <c r="C129" s="17"/>
      <c r="D129" s="12"/>
      <c r="E129" s="12"/>
      <c r="F129" s="12"/>
      <c r="G129" s="12"/>
      <c r="H129" s="12"/>
      <c r="I129" s="12"/>
      <c r="J129" s="12"/>
      <c r="K129" s="12"/>
      <c r="L129" s="12"/>
      <c r="M129" s="12"/>
      <c r="N129" s="12"/>
      <c r="O129" s="12"/>
      <c r="P129" s="12"/>
      <c r="Q129" s="12"/>
      <c r="R129" s="12"/>
      <c r="S129" s="12"/>
      <c r="T129" s="12"/>
      <c r="U129" s="12"/>
      <c r="V129" s="12"/>
      <c r="W129" s="12"/>
      <c r="X129" s="12"/>
      <c r="Y129" s="12"/>
    </row>
    <row r="130" spans="1:25" ht="16.3">
      <c r="A130" s="44"/>
      <c r="B130" s="36"/>
      <c r="C130" s="17"/>
      <c r="D130" s="12"/>
      <c r="E130" s="12"/>
      <c r="F130" s="12"/>
      <c r="G130" s="12"/>
      <c r="H130" s="12"/>
      <c r="I130" s="12"/>
      <c r="J130" s="12"/>
      <c r="K130" s="12"/>
      <c r="L130" s="12"/>
      <c r="M130" s="12"/>
      <c r="N130" s="12"/>
      <c r="O130" s="12"/>
      <c r="P130" s="12"/>
      <c r="Q130" s="12"/>
      <c r="R130" s="12"/>
      <c r="S130" s="12"/>
      <c r="T130" s="12"/>
      <c r="U130" s="12"/>
      <c r="V130" s="12"/>
      <c r="W130" s="12"/>
      <c r="X130" s="12"/>
      <c r="Y130" s="12"/>
    </row>
    <row r="131" spans="1:25" ht="16.3">
      <c r="A131" s="38"/>
      <c r="B131" s="40"/>
      <c r="C131" s="11"/>
      <c r="D131" s="12"/>
      <c r="E131" s="12"/>
      <c r="F131" s="12"/>
      <c r="G131" s="12"/>
      <c r="H131" s="12"/>
      <c r="I131" s="12"/>
      <c r="J131" s="12"/>
      <c r="K131" s="12"/>
      <c r="L131" s="12"/>
      <c r="M131" s="12"/>
      <c r="N131" s="12"/>
      <c r="O131" s="12"/>
      <c r="P131" s="12"/>
      <c r="Q131" s="12"/>
      <c r="R131" s="12"/>
      <c r="S131" s="12"/>
      <c r="T131" s="12"/>
      <c r="U131" s="12"/>
      <c r="V131" s="12"/>
      <c r="W131" s="12"/>
      <c r="X131" s="12"/>
      <c r="Y131" s="12"/>
    </row>
    <row r="132" spans="1:25" ht="16.3">
      <c r="A132" s="44"/>
      <c r="B132" s="35"/>
      <c r="C132" s="11"/>
      <c r="D132" s="12"/>
      <c r="E132" s="12"/>
      <c r="F132" s="12"/>
      <c r="G132" s="12"/>
      <c r="H132" s="12"/>
      <c r="I132" s="12"/>
      <c r="J132" s="12"/>
      <c r="K132" s="12"/>
      <c r="L132" s="12"/>
      <c r="M132" s="12"/>
      <c r="N132" s="12"/>
      <c r="O132" s="12"/>
      <c r="P132" s="12"/>
      <c r="Q132" s="12"/>
      <c r="R132" s="12"/>
      <c r="S132" s="12"/>
      <c r="T132" s="12"/>
      <c r="U132" s="12"/>
      <c r="V132" s="12"/>
      <c r="W132" s="12"/>
      <c r="X132" s="12"/>
      <c r="Y132" s="12"/>
    </row>
    <row r="133" spans="1:25" ht="16.3">
      <c r="A133" s="35"/>
      <c r="B133" s="35"/>
      <c r="C133" s="11"/>
      <c r="D133" s="12"/>
      <c r="E133" s="12"/>
      <c r="F133" s="12"/>
      <c r="G133" s="12"/>
      <c r="H133" s="12"/>
      <c r="I133" s="12"/>
      <c r="J133" s="12"/>
      <c r="K133" s="12"/>
      <c r="L133" s="12"/>
      <c r="M133" s="12"/>
      <c r="N133" s="12"/>
      <c r="O133" s="12"/>
      <c r="P133" s="12"/>
      <c r="Q133" s="12"/>
      <c r="R133" s="12"/>
      <c r="S133" s="12"/>
      <c r="T133" s="12"/>
      <c r="U133" s="12"/>
      <c r="V133" s="12"/>
      <c r="W133" s="12"/>
      <c r="X133" s="12"/>
      <c r="Y133" s="12"/>
    </row>
    <row r="134" spans="1:25" ht="16.3">
      <c r="A134" s="35"/>
      <c r="B134" s="35"/>
      <c r="C134" s="11"/>
      <c r="D134" s="12"/>
      <c r="E134" s="12"/>
      <c r="F134" s="12"/>
      <c r="G134" s="12"/>
      <c r="H134" s="12"/>
      <c r="I134" s="12"/>
      <c r="J134" s="12"/>
      <c r="K134" s="12"/>
      <c r="L134" s="12"/>
      <c r="M134" s="12"/>
      <c r="N134" s="12"/>
      <c r="O134" s="12"/>
      <c r="P134" s="12"/>
      <c r="Q134" s="12"/>
      <c r="R134" s="12"/>
      <c r="S134" s="12"/>
      <c r="T134" s="12"/>
      <c r="U134" s="12"/>
      <c r="V134" s="12"/>
      <c r="W134" s="12"/>
      <c r="X134" s="12"/>
      <c r="Y134" s="12"/>
    </row>
    <row r="135" spans="1:25" ht="16.3">
      <c r="A135" s="35"/>
      <c r="B135" s="35"/>
      <c r="C135" s="11"/>
      <c r="D135" s="12"/>
      <c r="E135" s="12"/>
      <c r="F135" s="12"/>
      <c r="G135" s="12"/>
      <c r="H135" s="12"/>
      <c r="I135" s="12"/>
      <c r="J135" s="12"/>
      <c r="K135" s="12"/>
      <c r="L135" s="12"/>
      <c r="M135" s="12"/>
      <c r="N135" s="12"/>
      <c r="O135" s="12"/>
      <c r="P135" s="12"/>
      <c r="Q135" s="12"/>
      <c r="R135" s="12"/>
      <c r="S135" s="12"/>
      <c r="T135" s="12"/>
      <c r="U135" s="12"/>
      <c r="V135" s="12"/>
      <c r="W135" s="12"/>
      <c r="X135" s="12"/>
      <c r="Y135" s="12"/>
    </row>
    <row r="136" spans="1:25" ht="16.3">
      <c r="A136" s="35"/>
      <c r="B136" s="35"/>
      <c r="C136" s="11"/>
      <c r="D136" s="12"/>
      <c r="E136" s="12"/>
      <c r="F136" s="12"/>
      <c r="G136" s="12"/>
      <c r="H136" s="12"/>
      <c r="I136" s="12"/>
      <c r="J136" s="12"/>
      <c r="K136" s="12"/>
      <c r="L136" s="12"/>
      <c r="M136" s="12"/>
      <c r="N136" s="12"/>
      <c r="O136" s="12"/>
      <c r="P136" s="12"/>
      <c r="Q136" s="12"/>
      <c r="R136" s="12"/>
      <c r="S136" s="12"/>
      <c r="T136" s="12"/>
      <c r="U136" s="12"/>
      <c r="V136" s="12"/>
      <c r="W136" s="12"/>
      <c r="X136" s="12"/>
      <c r="Y136" s="12"/>
    </row>
    <row r="137" spans="1:25" ht="16.3">
      <c r="A137" s="35"/>
      <c r="B137" s="35"/>
      <c r="C137" s="17"/>
      <c r="D137" s="12"/>
      <c r="E137" s="12"/>
      <c r="F137" s="12"/>
      <c r="G137" s="12"/>
      <c r="H137" s="12"/>
      <c r="I137" s="12"/>
      <c r="J137" s="12"/>
      <c r="K137" s="12"/>
      <c r="L137" s="12"/>
      <c r="M137" s="12"/>
      <c r="N137" s="12"/>
      <c r="O137" s="12"/>
      <c r="P137" s="12"/>
      <c r="Q137" s="12"/>
      <c r="R137" s="12"/>
      <c r="S137" s="12"/>
      <c r="T137" s="12"/>
      <c r="U137" s="12"/>
      <c r="V137" s="12"/>
      <c r="W137" s="12"/>
      <c r="X137" s="12"/>
      <c r="Y137" s="12"/>
    </row>
    <row r="138" spans="1:25" ht="16.3">
      <c r="A138" s="38"/>
      <c r="B138" s="40"/>
      <c r="C138" s="11"/>
      <c r="D138" s="12"/>
      <c r="E138" s="12"/>
      <c r="F138" s="12"/>
      <c r="G138" s="12"/>
      <c r="H138" s="12"/>
      <c r="I138" s="12"/>
      <c r="J138" s="12"/>
      <c r="K138" s="12"/>
      <c r="L138" s="12"/>
      <c r="M138" s="12"/>
      <c r="N138" s="12"/>
      <c r="O138" s="12"/>
      <c r="P138" s="12"/>
      <c r="Q138" s="12"/>
      <c r="R138" s="12"/>
      <c r="S138" s="12"/>
      <c r="T138" s="12"/>
      <c r="U138" s="12"/>
      <c r="V138" s="12"/>
      <c r="W138" s="12"/>
      <c r="X138" s="12"/>
      <c r="Y138" s="12"/>
    </row>
    <row r="139" spans="1:25" ht="16.3">
      <c r="A139" s="35"/>
      <c r="B139" s="35"/>
      <c r="C139" s="11"/>
      <c r="D139" s="12"/>
      <c r="E139" s="12"/>
      <c r="F139" s="12"/>
      <c r="G139" s="12"/>
      <c r="H139" s="12"/>
      <c r="I139" s="12"/>
      <c r="J139" s="12"/>
      <c r="K139" s="12"/>
      <c r="L139" s="12"/>
      <c r="M139" s="12"/>
      <c r="N139" s="12"/>
      <c r="O139" s="12"/>
      <c r="P139" s="12"/>
      <c r="Q139" s="12"/>
      <c r="R139" s="12"/>
      <c r="S139" s="12"/>
      <c r="T139" s="12"/>
      <c r="U139" s="12"/>
      <c r="V139" s="12"/>
      <c r="W139" s="12"/>
      <c r="X139" s="12"/>
      <c r="Y139" s="12"/>
    </row>
    <row r="140" spans="1:25" ht="16.3">
      <c r="A140" s="35"/>
      <c r="B140" s="36"/>
      <c r="C140" s="11"/>
      <c r="D140" s="12"/>
      <c r="E140" s="12"/>
      <c r="F140" s="12"/>
      <c r="G140" s="12"/>
      <c r="H140" s="12"/>
      <c r="I140" s="12"/>
      <c r="J140" s="12"/>
      <c r="K140" s="12"/>
      <c r="L140" s="12"/>
      <c r="M140" s="12"/>
      <c r="N140" s="12"/>
      <c r="O140" s="12"/>
      <c r="P140" s="12"/>
      <c r="Q140" s="12"/>
      <c r="R140" s="12"/>
      <c r="S140" s="12"/>
      <c r="T140" s="12"/>
      <c r="U140" s="12"/>
      <c r="V140" s="12"/>
      <c r="W140" s="12"/>
      <c r="X140" s="12"/>
      <c r="Y140" s="12"/>
    </row>
    <row r="141" spans="1:25" ht="16.3">
      <c r="A141" s="35"/>
      <c r="B141" s="36"/>
      <c r="C141" s="11"/>
      <c r="D141" s="12"/>
      <c r="E141" s="12"/>
      <c r="F141" s="12"/>
      <c r="G141" s="12"/>
      <c r="H141" s="12"/>
      <c r="I141" s="12"/>
      <c r="J141" s="12"/>
      <c r="K141" s="12"/>
      <c r="L141" s="12"/>
      <c r="M141" s="12"/>
      <c r="N141" s="12"/>
      <c r="O141" s="12"/>
      <c r="P141" s="12"/>
      <c r="Q141" s="12"/>
      <c r="R141" s="12"/>
      <c r="S141" s="12"/>
      <c r="T141" s="12"/>
      <c r="U141" s="12"/>
      <c r="V141" s="12"/>
      <c r="W141" s="12"/>
      <c r="X141" s="12"/>
      <c r="Y141" s="12"/>
    </row>
    <row r="142" spans="1:25" ht="16.3">
      <c r="A142" s="35"/>
      <c r="B142" s="36"/>
      <c r="C142" s="11"/>
      <c r="D142" s="12"/>
      <c r="E142" s="12"/>
      <c r="F142" s="12"/>
      <c r="G142" s="12"/>
      <c r="H142" s="12"/>
      <c r="I142" s="12"/>
      <c r="J142" s="12"/>
      <c r="K142" s="12"/>
      <c r="L142" s="12"/>
      <c r="M142" s="12"/>
      <c r="N142" s="12"/>
      <c r="O142" s="12"/>
      <c r="P142" s="12"/>
      <c r="Q142" s="12"/>
      <c r="R142" s="12"/>
      <c r="S142" s="12"/>
      <c r="T142" s="12"/>
      <c r="U142" s="12"/>
      <c r="V142" s="12"/>
      <c r="W142" s="12"/>
      <c r="X142" s="12"/>
      <c r="Y142" s="12"/>
    </row>
    <row r="143" spans="1:25" ht="16.3">
      <c r="A143" s="35"/>
      <c r="B143" s="36"/>
      <c r="C143" s="17"/>
      <c r="D143" s="12"/>
      <c r="E143" s="12"/>
      <c r="F143" s="12"/>
      <c r="G143" s="12"/>
      <c r="H143" s="12"/>
      <c r="I143" s="12"/>
      <c r="J143" s="12"/>
      <c r="K143" s="12"/>
      <c r="L143" s="12"/>
      <c r="M143" s="12"/>
      <c r="N143" s="12"/>
      <c r="O143" s="12"/>
      <c r="P143" s="12"/>
      <c r="Q143" s="12"/>
      <c r="R143" s="12"/>
      <c r="S143" s="12"/>
      <c r="T143" s="12"/>
      <c r="U143" s="12"/>
      <c r="V143" s="12"/>
      <c r="W143" s="12"/>
      <c r="X143" s="12"/>
      <c r="Y143" s="12"/>
    </row>
    <row r="144" spans="1:25" ht="16.3">
      <c r="A144" s="38"/>
      <c r="B144" s="40"/>
      <c r="C144" s="11"/>
      <c r="D144" s="12"/>
      <c r="E144" s="12"/>
      <c r="F144" s="12"/>
      <c r="G144" s="12"/>
      <c r="H144" s="12"/>
      <c r="I144" s="12"/>
      <c r="J144" s="12"/>
      <c r="K144" s="12"/>
      <c r="L144" s="12"/>
      <c r="M144" s="12"/>
      <c r="N144" s="12"/>
      <c r="O144" s="12"/>
      <c r="P144" s="12"/>
      <c r="Q144" s="12"/>
      <c r="R144" s="12"/>
      <c r="S144" s="12"/>
      <c r="T144" s="12"/>
      <c r="U144" s="12"/>
      <c r="V144" s="12"/>
      <c r="W144" s="12"/>
      <c r="X144" s="12"/>
      <c r="Y144" s="12"/>
    </row>
    <row r="145" spans="1:25" ht="16.3">
      <c r="A145" s="35"/>
      <c r="B145" s="35"/>
      <c r="C145" s="11"/>
      <c r="D145" s="12"/>
      <c r="E145" s="12"/>
      <c r="F145" s="12"/>
      <c r="G145" s="12"/>
      <c r="H145" s="12"/>
      <c r="I145" s="12"/>
      <c r="J145" s="12"/>
      <c r="K145" s="12"/>
      <c r="L145" s="12"/>
      <c r="M145" s="12"/>
      <c r="N145" s="12"/>
      <c r="O145" s="12"/>
      <c r="P145" s="12"/>
      <c r="Q145" s="12"/>
      <c r="R145" s="12"/>
      <c r="S145" s="12"/>
      <c r="T145" s="12"/>
      <c r="U145" s="12"/>
      <c r="V145" s="12"/>
      <c r="W145" s="12"/>
      <c r="X145" s="12"/>
      <c r="Y145" s="12"/>
    </row>
    <row r="146" spans="1:25" ht="16.3">
      <c r="A146" s="35"/>
      <c r="B146" s="35"/>
      <c r="C146" s="11"/>
      <c r="D146" s="12"/>
      <c r="E146" s="12"/>
      <c r="F146" s="12"/>
      <c r="G146" s="12"/>
      <c r="H146" s="12"/>
      <c r="I146" s="12"/>
      <c r="J146" s="12"/>
      <c r="K146" s="12"/>
      <c r="L146" s="12"/>
      <c r="M146" s="12"/>
      <c r="N146" s="12"/>
      <c r="O146" s="12"/>
      <c r="P146" s="12"/>
      <c r="Q146" s="12"/>
      <c r="R146" s="12"/>
      <c r="S146" s="12"/>
      <c r="T146" s="12"/>
      <c r="U146" s="12"/>
      <c r="V146" s="12"/>
      <c r="W146" s="12"/>
      <c r="X146" s="12"/>
      <c r="Y146" s="12"/>
    </row>
    <row r="147" spans="1:25" ht="16.3">
      <c r="A147" s="35"/>
      <c r="B147" s="35"/>
      <c r="C147" s="11"/>
      <c r="D147" s="12"/>
      <c r="E147" s="12"/>
      <c r="F147" s="12"/>
      <c r="G147" s="12"/>
      <c r="H147" s="12"/>
      <c r="I147" s="12"/>
      <c r="J147" s="12"/>
      <c r="K147" s="12"/>
      <c r="L147" s="12"/>
      <c r="M147" s="12"/>
      <c r="N147" s="12"/>
      <c r="O147" s="12"/>
      <c r="P147" s="12"/>
      <c r="Q147" s="12"/>
      <c r="R147" s="12"/>
      <c r="S147" s="12"/>
      <c r="T147" s="12"/>
      <c r="U147" s="12"/>
      <c r="V147" s="12"/>
      <c r="W147" s="12"/>
      <c r="X147" s="12"/>
      <c r="Y147" s="12"/>
    </row>
    <row r="148" spans="1:25" ht="16.3">
      <c r="A148" s="35"/>
      <c r="B148" s="35"/>
      <c r="C148" s="11"/>
      <c r="D148" s="12"/>
      <c r="E148" s="12"/>
      <c r="F148" s="12"/>
      <c r="G148" s="12"/>
      <c r="H148" s="12"/>
      <c r="I148" s="12"/>
      <c r="J148" s="12"/>
      <c r="K148" s="12"/>
      <c r="L148" s="12"/>
      <c r="M148" s="12"/>
      <c r="N148" s="12"/>
      <c r="O148" s="12"/>
      <c r="P148" s="12"/>
      <c r="Q148" s="12"/>
      <c r="R148" s="12"/>
      <c r="S148" s="12"/>
      <c r="T148" s="12"/>
      <c r="U148" s="12"/>
      <c r="V148" s="12"/>
      <c r="W148" s="12"/>
      <c r="X148" s="12"/>
      <c r="Y148" s="12"/>
    </row>
    <row r="149" spans="1:25" ht="16.3">
      <c r="A149" s="35"/>
      <c r="B149" s="35"/>
      <c r="C149" s="11"/>
      <c r="D149" s="12"/>
      <c r="E149" s="12"/>
      <c r="F149" s="12"/>
      <c r="G149" s="12"/>
      <c r="H149" s="12"/>
      <c r="I149" s="12"/>
      <c r="J149" s="12"/>
      <c r="K149" s="12"/>
      <c r="L149" s="12"/>
      <c r="M149" s="12"/>
      <c r="N149" s="12"/>
      <c r="O149" s="12"/>
      <c r="P149" s="12"/>
      <c r="Q149" s="12"/>
      <c r="R149" s="12"/>
      <c r="S149" s="12"/>
      <c r="T149" s="12"/>
      <c r="U149" s="12"/>
      <c r="V149" s="12"/>
      <c r="W149" s="12"/>
      <c r="X149" s="12"/>
      <c r="Y149" s="12"/>
    </row>
    <row r="150" spans="1:25" ht="16.3">
      <c r="A150" s="35"/>
      <c r="B150" s="35"/>
      <c r="C150" s="11"/>
      <c r="D150" s="12"/>
      <c r="E150" s="12"/>
      <c r="F150" s="12"/>
      <c r="G150" s="12"/>
      <c r="H150" s="12"/>
      <c r="I150" s="12"/>
      <c r="J150" s="12"/>
      <c r="K150" s="12"/>
      <c r="L150" s="12"/>
      <c r="M150" s="12"/>
      <c r="N150" s="12"/>
      <c r="O150" s="12"/>
      <c r="P150" s="12"/>
      <c r="Q150" s="12"/>
      <c r="R150" s="12"/>
      <c r="S150" s="12"/>
      <c r="T150" s="12"/>
      <c r="U150" s="12"/>
      <c r="V150" s="12"/>
      <c r="W150" s="12"/>
      <c r="X150" s="12"/>
      <c r="Y150" s="12"/>
    </row>
    <row r="151" spans="1:25" ht="16.3">
      <c r="A151" s="35"/>
      <c r="B151" s="35"/>
      <c r="C151" s="11"/>
      <c r="D151" s="12"/>
      <c r="E151" s="12"/>
      <c r="F151" s="12"/>
      <c r="G151" s="12"/>
      <c r="H151" s="12"/>
      <c r="I151" s="12"/>
      <c r="J151" s="12"/>
      <c r="K151" s="12"/>
      <c r="L151" s="12"/>
      <c r="M151" s="12"/>
      <c r="N151" s="12"/>
      <c r="O151" s="12"/>
      <c r="P151" s="12"/>
      <c r="Q151" s="12"/>
      <c r="R151" s="12"/>
      <c r="S151" s="12"/>
      <c r="T151" s="12"/>
      <c r="U151" s="12"/>
      <c r="V151" s="12"/>
      <c r="W151" s="12"/>
      <c r="X151" s="12"/>
      <c r="Y151" s="12"/>
    </row>
    <row r="152" spans="1:25" ht="16.3">
      <c r="A152" s="35"/>
      <c r="B152" s="35"/>
      <c r="C152" s="17"/>
      <c r="D152" s="12"/>
      <c r="E152" s="12"/>
      <c r="F152" s="12"/>
      <c r="G152" s="12"/>
      <c r="H152" s="12"/>
      <c r="I152" s="12"/>
      <c r="J152" s="12"/>
      <c r="K152" s="12"/>
      <c r="L152" s="12"/>
      <c r="M152" s="12"/>
      <c r="N152" s="12"/>
      <c r="O152" s="12"/>
      <c r="P152" s="12"/>
      <c r="Q152" s="12"/>
      <c r="R152" s="12"/>
      <c r="S152" s="12"/>
      <c r="T152" s="12"/>
      <c r="U152" s="12"/>
      <c r="V152" s="12"/>
      <c r="W152" s="12"/>
      <c r="X152" s="12"/>
      <c r="Y152" s="12"/>
    </row>
    <row r="153" spans="1:25" ht="16.3">
      <c r="A153" s="38"/>
      <c r="B153" s="40"/>
      <c r="C153" s="11"/>
      <c r="D153" s="12"/>
      <c r="E153" s="12"/>
      <c r="F153" s="12"/>
      <c r="G153" s="12"/>
      <c r="H153" s="12"/>
      <c r="I153" s="12"/>
      <c r="J153" s="12"/>
      <c r="K153" s="12"/>
      <c r="L153" s="12"/>
      <c r="M153" s="12"/>
      <c r="N153" s="12"/>
      <c r="O153" s="12"/>
      <c r="P153" s="12"/>
      <c r="Q153" s="12"/>
      <c r="R153" s="12"/>
      <c r="S153" s="12"/>
      <c r="T153" s="12"/>
      <c r="U153" s="12"/>
      <c r="V153" s="12"/>
      <c r="W153" s="12"/>
      <c r="X153" s="12"/>
      <c r="Y153" s="12"/>
    </row>
    <row r="154" spans="1:25" ht="16.3">
      <c r="A154" s="35"/>
      <c r="B154" s="36"/>
      <c r="C154" s="11"/>
      <c r="D154" s="12"/>
      <c r="E154" s="12"/>
      <c r="F154" s="12"/>
      <c r="G154" s="12"/>
      <c r="H154" s="12"/>
      <c r="I154" s="12"/>
      <c r="J154" s="12"/>
      <c r="K154" s="12"/>
      <c r="L154" s="12"/>
      <c r="M154" s="12"/>
      <c r="N154" s="12"/>
      <c r="O154" s="12"/>
      <c r="P154" s="12"/>
      <c r="Q154" s="12"/>
      <c r="R154" s="12"/>
      <c r="S154" s="12"/>
      <c r="T154" s="12"/>
      <c r="U154" s="12"/>
      <c r="V154" s="12"/>
      <c r="W154" s="12"/>
      <c r="X154" s="12"/>
      <c r="Y154" s="12"/>
    </row>
    <row r="155" spans="1:25" ht="16.3">
      <c r="A155" s="35"/>
      <c r="B155" s="36"/>
      <c r="C155" s="11"/>
      <c r="D155" s="12"/>
      <c r="E155" s="12"/>
      <c r="F155" s="12"/>
      <c r="G155" s="12"/>
      <c r="H155" s="12"/>
      <c r="I155" s="12"/>
      <c r="J155" s="12"/>
      <c r="K155" s="12"/>
      <c r="L155" s="12"/>
      <c r="M155" s="12"/>
      <c r="N155" s="12"/>
      <c r="O155" s="12"/>
      <c r="P155" s="12"/>
      <c r="Q155" s="12"/>
      <c r="R155" s="12"/>
      <c r="S155" s="12"/>
      <c r="T155" s="12"/>
      <c r="U155" s="12"/>
      <c r="V155" s="12"/>
      <c r="W155" s="12"/>
      <c r="X155" s="12"/>
      <c r="Y155" s="12"/>
    </row>
    <row r="156" spans="1:25" ht="16.3">
      <c r="A156" s="35"/>
      <c r="B156" s="36"/>
      <c r="C156" s="11"/>
      <c r="D156" s="12"/>
      <c r="E156" s="12"/>
      <c r="F156" s="12"/>
      <c r="G156" s="12"/>
      <c r="H156" s="12"/>
      <c r="I156" s="12"/>
      <c r="J156" s="12"/>
      <c r="K156" s="12"/>
      <c r="L156" s="12"/>
      <c r="M156" s="12"/>
      <c r="N156" s="12"/>
      <c r="O156" s="12"/>
      <c r="P156" s="12"/>
      <c r="Q156" s="12"/>
      <c r="R156" s="12"/>
      <c r="S156" s="12"/>
      <c r="T156" s="12"/>
      <c r="U156" s="12"/>
      <c r="V156" s="12"/>
      <c r="W156" s="12"/>
      <c r="X156" s="12"/>
      <c r="Y156" s="12"/>
    </row>
    <row r="157" spans="1:25" ht="16.3">
      <c r="A157" s="35"/>
      <c r="B157" s="36"/>
      <c r="C157" s="11"/>
      <c r="D157" s="12"/>
      <c r="E157" s="12"/>
      <c r="F157" s="12"/>
      <c r="G157" s="12"/>
      <c r="H157" s="12"/>
      <c r="I157" s="12"/>
      <c r="J157" s="12"/>
      <c r="K157" s="12"/>
      <c r="L157" s="12"/>
      <c r="M157" s="12"/>
      <c r="N157" s="12"/>
      <c r="O157" s="12"/>
      <c r="P157" s="12"/>
      <c r="Q157" s="12"/>
      <c r="R157" s="12"/>
      <c r="S157" s="12"/>
      <c r="T157" s="12"/>
      <c r="U157" s="12"/>
      <c r="V157" s="12"/>
      <c r="W157" s="12"/>
      <c r="X157" s="12"/>
      <c r="Y157" s="12"/>
    </row>
    <row r="158" spans="1:25" ht="16.3">
      <c r="A158" s="35"/>
      <c r="B158" s="36"/>
      <c r="C158" s="11"/>
      <c r="D158" s="12"/>
      <c r="E158" s="12"/>
      <c r="F158" s="12"/>
      <c r="G158" s="12"/>
      <c r="H158" s="12"/>
      <c r="I158" s="12"/>
      <c r="J158" s="12"/>
      <c r="K158" s="12"/>
      <c r="L158" s="12"/>
      <c r="M158" s="12"/>
      <c r="N158" s="12"/>
      <c r="O158" s="12"/>
      <c r="P158" s="12"/>
      <c r="Q158" s="12"/>
      <c r="R158" s="12"/>
      <c r="S158" s="12"/>
      <c r="T158" s="12"/>
      <c r="U158" s="12"/>
      <c r="V158" s="12"/>
      <c r="W158" s="12"/>
      <c r="X158" s="12"/>
      <c r="Y158" s="12"/>
    </row>
    <row r="159" spans="1:25" ht="16.3">
      <c r="A159" s="35"/>
      <c r="B159" s="36"/>
      <c r="C159" s="11"/>
      <c r="D159" s="12"/>
      <c r="E159" s="12"/>
      <c r="F159" s="12"/>
      <c r="G159" s="12"/>
      <c r="H159" s="12"/>
      <c r="I159" s="12"/>
      <c r="J159" s="12"/>
      <c r="K159" s="12"/>
      <c r="L159" s="12"/>
      <c r="M159" s="12"/>
      <c r="N159" s="12"/>
      <c r="O159" s="12"/>
      <c r="P159" s="12"/>
      <c r="Q159" s="12"/>
      <c r="R159" s="12"/>
      <c r="S159" s="12"/>
      <c r="T159" s="12"/>
      <c r="U159" s="12"/>
      <c r="V159" s="12"/>
      <c r="W159" s="12"/>
      <c r="X159" s="12"/>
      <c r="Y159" s="12"/>
    </row>
    <row r="160" spans="1:25" ht="16.3">
      <c r="A160" s="35"/>
      <c r="B160" s="36"/>
      <c r="C160" s="11"/>
      <c r="D160" s="12"/>
      <c r="E160" s="12"/>
      <c r="F160" s="12"/>
      <c r="G160" s="12"/>
      <c r="H160" s="12"/>
      <c r="I160" s="12"/>
      <c r="J160" s="12"/>
      <c r="K160" s="12"/>
      <c r="L160" s="12"/>
      <c r="M160" s="12"/>
      <c r="N160" s="12"/>
      <c r="O160" s="12"/>
      <c r="P160" s="12"/>
      <c r="Q160" s="12"/>
      <c r="R160" s="12"/>
      <c r="S160" s="12"/>
      <c r="T160" s="12"/>
      <c r="U160" s="12"/>
      <c r="V160" s="12"/>
      <c r="W160" s="12"/>
      <c r="X160" s="12"/>
      <c r="Y160" s="12"/>
    </row>
    <row r="161" spans="1:25" ht="16.3">
      <c r="A161" s="35"/>
      <c r="B161" s="36"/>
      <c r="C161" s="17"/>
      <c r="D161" s="12"/>
      <c r="E161" s="12"/>
      <c r="F161" s="12"/>
      <c r="G161" s="12"/>
      <c r="H161" s="12"/>
      <c r="I161" s="12"/>
      <c r="J161" s="12"/>
      <c r="K161" s="12"/>
      <c r="L161" s="12"/>
      <c r="M161" s="12"/>
      <c r="N161" s="12"/>
      <c r="O161" s="12"/>
      <c r="P161" s="12"/>
      <c r="Q161" s="12"/>
      <c r="R161" s="12"/>
      <c r="S161" s="12"/>
      <c r="T161" s="12"/>
      <c r="U161" s="12"/>
      <c r="V161" s="12"/>
      <c r="W161" s="12"/>
      <c r="X161" s="12"/>
      <c r="Y161" s="12"/>
    </row>
    <row r="162" spans="1:25" ht="16.3">
      <c r="A162" s="38"/>
      <c r="B162" s="40"/>
      <c r="C162" s="11"/>
      <c r="D162" s="12"/>
      <c r="E162" s="12"/>
      <c r="F162" s="12"/>
      <c r="G162" s="12"/>
      <c r="H162" s="12"/>
      <c r="I162" s="12"/>
      <c r="J162" s="12"/>
      <c r="K162" s="12"/>
      <c r="L162" s="12"/>
      <c r="M162" s="12"/>
      <c r="N162" s="12"/>
      <c r="O162" s="12"/>
      <c r="P162" s="12"/>
      <c r="Q162" s="12"/>
      <c r="R162" s="12"/>
      <c r="S162" s="12"/>
      <c r="T162" s="12"/>
      <c r="U162" s="12"/>
      <c r="V162" s="12"/>
      <c r="W162" s="12"/>
      <c r="X162" s="12"/>
      <c r="Y162" s="12"/>
    </row>
    <row r="163" spans="1:25" ht="16.3">
      <c r="A163" s="35"/>
      <c r="B163" s="35"/>
      <c r="C163" s="11"/>
      <c r="D163" s="12"/>
      <c r="E163" s="12"/>
      <c r="F163" s="12"/>
      <c r="G163" s="12"/>
      <c r="H163" s="12"/>
      <c r="I163" s="12"/>
      <c r="J163" s="12"/>
      <c r="K163" s="12"/>
      <c r="L163" s="12"/>
      <c r="M163" s="12"/>
      <c r="N163" s="12"/>
      <c r="O163" s="12"/>
      <c r="P163" s="12"/>
      <c r="Q163" s="12"/>
      <c r="R163" s="12"/>
      <c r="S163" s="12"/>
      <c r="T163" s="12"/>
      <c r="U163" s="12"/>
      <c r="V163" s="12"/>
      <c r="W163" s="12"/>
      <c r="X163" s="12"/>
      <c r="Y163" s="12"/>
    </row>
    <row r="164" spans="1:25" ht="16.3">
      <c r="A164" s="35"/>
      <c r="B164" s="35"/>
      <c r="C164" s="11"/>
      <c r="D164" s="12"/>
      <c r="E164" s="12"/>
      <c r="F164" s="12"/>
      <c r="G164" s="12"/>
      <c r="H164" s="12"/>
      <c r="I164" s="12"/>
      <c r="J164" s="12"/>
      <c r="K164" s="12"/>
      <c r="L164" s="12"/>
      <c r="M164" s="12"/>
      <c r="N164" s="12"/>
      <c r="O164" s="12"/>
      <c r="P164" s="12"/>
      <c r="Q164" s="12"/>
      <c r="R164" s="12"/>
      <c r="S164" s="12"/>
      <c r="T164" s="12"/>
      <c r="U164" s="12"/>
      <c r="V164" s="12"/>
      <c r="W164" s="12"/>
      <c r="X164" s="12"/>
      <c r="Y164" s="12"/>
    </row>
    <row r="165" spans="1:25" ht="16.3">
      <c r="A165" s="35"/>
      <c r="B165" s="35"/>
      <c r="C165" s="11"/>
      <c r="D165" s="12"/>
      <c r="E165" s="12"/>
      <c r="F165" s="12"/>
      <c r="G165" s="12"/>
      <c r="H165" s="12"/>
      <c r="I165" s="12"/>
      <c r="J165" s="12"/>
      <c r="K165" s="12"/>
      <c r="L165" s="12"/>
      <c r="M165" s="12"/>
      <c r="N165" s="12"/>
      <c r="O165" s="12"/>
      <c r="P165" s="12"/>
      <c r="Q165" s="12"/>
      <c r="R165" s="12"/>
      <c r="S165" s="12"/>
      <c r="T165" s="12"/>
      <c r="U165" s="12"/>
      <c r="V165" s="12"/>
      <c r="W165" s="12"/>
      <c r="X165" s="12"/>
      <c r="Y165" s="12"/>
    </row>
    <row r="166" spans="1:25" ht="16.3">
      <c r="A166" s="35"/>
      <c r="B166" s="35"/>
      <c r="C166" s="11"/>
      <c r="D166" s="12"/>
      <c r="E166" s="12"/>
      <c r="F166" s="12"/>
      <c r="G166" s="12"/>
      <c r="H166" s="12"/>
      <c r="I166" s="12"/>
      <c r="J166" s="12"/>
      <c r="K166" s="12"/>
      <c r="L166" s="12"/>
      <c r="M166" s="12"/>
      <c r="N166" s="12"/>
      <c r="O166" s="12"/>
      <c r="P166" s="12"/>
      <c r="Q166" s="12"/>
      <c r="R166" s="12"/>
      <c r="S166" s="12"/>
      <c r="T166" s="12"/>
      <c r="U166" s="12"/>
      <c r="V166" s="12"/>
      <c r="W166" s="12"/>
      <c r="X166" s="12"/>
      <c r="Y166" s="12"/>
    </row>
    <row r="167" spans="1:25" ht="16.3">
      <c r="A167" s="35"/>
      <c r="B167" s="35"/>
      <c r="C167" s="11"/>
      <c r="D167" s="12"/>
      <c r="E167" s="12"/>
      <c r="F167" s="12"/>
      <c r="G167" s="12"/>
      <c r="H167" s="12"/>
      <c r="I167" s="12"/>
      <c r="J167" s="12"/>
      <c r="K167" s="12"/>
      <c r="L167" s="12"/>
      <c r="M167" s="12"/>
      <c r="N167" s="12"/>
      <c r="O167" s="12"/>
      <c r="P167" s="12"/>
      <c r="Q167" s="12"/>
      <c r="R167" s="12"/>
      <c r="S167" s="12"/>
      <c r="T167" s="12"/>
      <c r="U167" s="12"/>
      <c r="V167" s="12"/>
      <c r="W167" s="12"/>
      <c r="X167" s="12"/>
      <c r="Y167" s="12"/>
    </row>
    <row r="168" spans="1:25" ht="16.3">
      <c r="A168" s="35"/>
      <c r="B168" s="35"/>
      <c r="C168" s="11"/>
      <c r="D168" s="12"/>
      <c r="E168" s="12"/>
      <c r="F168" s="12"/>
      <c r="G168" s="12"/>
      <c r="H168" s="12"/>
      <c r="I168" s="12"/>
      <c r="J168" s="12"/>
      <c r="K168" s="12"/>
      <c r="L168" s="12"/>
      <c r="M168" s="12"/>
      <c r="N168" s="12"/>
      <c r="O168" s="12"/>
      <c r="P168" s="12"/>
      <c r="Q168" s="12"/>
      <c r="R168" s="12"/>
      <c r="S168" s="12"/>
      <c r="T168" s="12"/>
      <c r="U168" s="12"/>
      <c r="V168" s="12"/>
      <c r="W168" s="12"/>
      <c r="X168" s="12"/>
      <c r="Y168" s="12"/>
    </row>
    <row r="169" spans="1:25" ht="16.3">
      <c r="A169" s="35"/>
      <c r="B169" s="35"/>
      <c r="C169" s="17"/>
      <c r="D169" s="12"/>
      <c r="E169" s="12"/>
      <c r="F169" s="12"/>
      <c r="G169" s="12"/>
      <c r="H169" s="12"/>
      <c r="I169" s="12"/>
      <c r="J169" s="12"/>
      <c r="K169" s="12"/>
      <c r="L169" s="12"/>
      <c r="M169" s="12"/>
      <c r="N169" s="12"/>
      <c r="O169" s="12"/>
      <c r="P169" s="12"/>
      <c r="Q169" s="12"/>
      <c r="R169" s="12"/>
      <c r="S169" s="12"/>
      <c r="T169" s="12"/>
      <c r="U169" s="12"/>
      <c r="V169" s="12"/>
      <c r="W169" s="12"/>
      <c r="X169" s="12"/>
      <c r="Y169" s="12"/>
    </row>
    <row r="170" spans="1:25" ht="16.3">
      <c r="A170" s="38"/>
      <c r="B170" s="40"/>
      <c r="C170" s="11"/>
      <c r="D170" s="12"/>
      <c r="E170" s="12"/>
      <c r="F170" s="12"/>
      <c r="G170" s="12"/>
      <c r="H170" s="12"/>
      <c r="I170" s="12"/>
      <c r="J170" s="12"/>
      <c r="K170" s="12"/>
      <c r="L170" s="12"/>
      <c r="M170" s="12"/>
      <c r="N170" s="12"/>
      <c r="O170" s="12"/>
      <c r="P170" s="12"/>
      <c r="Q170" s="12"/>
      <c r="R170" s="12"/>
      <c r="S170" s="12"/>
      <c r="T170" s="12"/>
      <c r="U170" s="12"/>
      <c r="V170" s="12"/>
      <c r="W170" s="12"/>
      <c r="X170" s="12"/>
      <c r="Y170" s="12"/>
    </row>
    <row r="171" spans="1:25" ht="16.3">
      <c r="A171" s="35"/>
      <c r="B171" s="35"/>
      <c r="C171" s="11"/>
      <c r="D171" s="12"/>
      <c r="E171" s="12"/>
      <c r="F171" s="12"/>
      <c r="G171" s="12"/>
      <c r="H171" s="12"/>
      <c r="I171" s="12"/>
      <c r="J171" s="12"/>
      <c r="K171" s="12"/>
      <c r="L171" s="12"/>
      <c r="M171" s="12"/>
      <c r="N171" s="12"/>
      <c r="O171" s="12"/>
      <c r="P171" s="12"/>
      <c r="Q171" s="12"/>
      <c r="R171" s="12"/>
      <c r="S171" s="12"/>
      <c r="T171" s="12"/>
      <c r="U171" s="12"/>
      <c r="V171" s="12"/>
      <c r="W171" s="12"/>
      <c r="X171" s="12"/>
      <c r="Y171" s="12"/>
    </row>
    <row r="172" spans="1:25" ht="16.3">
      <c r="A172" s="35"/>
      <c r="B172" s="36"/>
      <c r="C172" s="11"/>
      <c r="D172" s="12"/>
      <c r="E172" s="12"/>
      <c r="F172" s="12"/>
      <c r="G172" s="12"/>
      <c r="H172" s="12"/>
      <c r="I172" s="12"/>
      <c r="J172" s="12"/>
      <c r="K172" s="12"/>
      <c r="L172" s="12"/>
      <c r="M172" s="12"/>
      <c r="N172" s="12"/>
      <c r="O172" s="12"/>
      <c r="P172" s="12"/>
      <c r="Q172" s="12"/>
      <c r="R172" s="12"/>
      <c r="S172" s="12"/>
      <c r="T172" s="12"/>
      <c r="U172" s="12"/>
      <c r="V172" s="12"/>
      <c r="W172" s="12"/>
      <c r="X172" s="12"/>
      <c r="Y172" s="12"/>
    </row>
    <row r="173" spans="1:25" ht="16.3">
      <c r="A173" s="35"/>
      <c r="B173" s="36"/>
      <c r="C173" s="17"/>
      <c r="D173" s="12"/>
      <c r="E173" s="12"/>
      <c r="F173" s="12"/>
      <c r="G173" s="12"/>
      <c r="H173" s="12"/>
      <c r="I173" s="12"/>
      <c r="J173" s="12"/>
      <c r="K173" s="12"/>
      <c r="L173" s="12"/>
      <c r="M173" s="12"/>
      <c r="N173" s="12"/>
      <c r="O173" s="12"/>
      <c r="P173" s="12"/>
      <c r="Q173" s="12"/>
      <c r="R173" s="12"/>
      <c r="S173" s="12"/>
      <c r="T173" s="12"/>
      <c r="U173" s="12"/>
      <c r="V173" s="12"/>
      <c r="W173" s="12"/>
      <c r="X173" s="12"/>
      <c r="Y173" s="12"/>
    </row>
    <row r="174" spans="1:25" ht="16.3">
      <c r="A174" s="38"/>
      <c r="B174" s="40"/>
      <c r="C174" s="11"/>
      <c r="D174" s="12"/>
      <c r="E174" s="12"/>
      <c r="F174" s="12"/>
      <c r="G174" s="12"/>
      <c r="H174" s="12"/>
      <c r="I174" s="12"/>
      <c r="J174" s="12"/>
      <c r="K174" s="12"/>
      <c r="L174" s="12"/>
      <c r="M174" s="12"/>
      <c r="N174" s="12"/>
      <c r="O174" s="12"/>
      <c r="P174" s="12"/>
      <c r="Q174" s="12"/>
      <c r="R174" s="12"/>
      <c r="S174" s="12"/>
      <c r="T174" s="12"/>
      <c r="U174" s="12"/>
      <c r="V174" s="12"/>
      <c r="W174" s="12"/>
      <c r="X174" s="12"/>
      <c r="Y174" s="12"/>
    </row>
    <row r="175" spans="1:25" ht="16.3">
      <c r="A175" s="35"/>
      <c r="B175" s="35"/>
      <c r="C175" s="11"/>
      <c r="D175" s="12"/>
      <c r="E175" s="12"/>
      <c r="F175" s="12"/>
      <c r="G175" s="12"/>
      <c r="H175" s="12"/>
      <c r="I175" s="12"/>
      <c r="J175" s="12"/>
      <c r="K175" s="12"/>
      <c r="L175" s="12"/>
      <c r="M175" s="12"/>
      <c r="N175" s="12"/>
      <c r="O175" s="12"/>
      <c r="P175" s="12"/>
      <c r="Q175" s="12"/>
      <c r="R175" s="12"/>
      <c r="S175" s="12"/>
      <c r="T175" s="12"/>
      <c r="U175" s="12"/>
      <c r="V175" s="12"/>
      <c r="W175" s="12"/>
      <c r="X175" s="12"/>
      <c r="Y175" s="12"/>
    </row>
    <row r="176" spans="1:25" ht="16.3">
      <c r="A176" s="35"/>
      <c r="B176" s="35"/>
      <c r="C176" s="11"/>
      <c r="D176" s="12"/>
      <c r="E176" s="12"/>
      <c r="F176" s="12"/>
      <c r="G176" s="12"/>
      <c r="H176" s="12"/>
      <c r="I176" s="12"/>
      <c r="J176" s="12"/>
      <c r="K176" s="12"/>
      <c r="L176" s="12"/>
      <c r="M176" s="12"/>
      <c r="N176" s="12"/>
      <c r="O176" s="12"/>
      <c r="P176" s="12"/>
      <c r="Q176" s="12"/>
      <c r="R176" s="12"/>
      <c r="S176" s="12"/>
      <c r="T176" s="12"/>
      <c r="U176" s="12"/>
      <c r="V176" s="12"/>
      <c r="W176" s="12"/>
      <c r="X176" s="12"/>
      <c r="Y176" s="12"/>
    </row>
    <row r="177" spans="1:25" ht="16.3">
      <c r="A177" s="35"/>
      <c r="B177" s="35"/>
      <c r="C177" s="11"/>
      <c r="D177" s="12"/>
      <c r="E177" s="12"/>
      <c r="F177" s="12"/>
      <c r="G177" s="12"/>
      <c r="H177" s="12"/>
      <c r="I177" s="12"/>
      <c r="J177" s="12"/>
      <c r="K177" s="12"/>
      <c r="L177" s="12"/>
      <c r="M177" s="12"/>
      <c r="N177" s="12"/>
      <c r="O177" s="12"/>
      <c r="P177" s="12"/>
      <c r="Q177" s="12"/>
      <c r="R177" s="12"/>
      <c r="S177" s="12"/>
      <c r="T177" s="12"/>
      <c r="U177" s="12"/>
      <c r="V177" s="12"/>
      <c r="W177" s="12"/>
      <c r="X177" s="12"/>
      <c r="Y177" s="12"/>
    </row>
    <row r="178" spans="1:25" ht="16.3">
      <c r="A178" s="35"/>
      <c r="B178" s="35"/>
      <c r="C178" s="11"/>
      <c r="D178" s="12"/>
      <c r="E178" s="12"/>
      <c r="F178" s="12"/>
      <c r="G178" s="12"/>
      <c r="H178" s="12"/>
      <c r="I178" s="12"/>
      <c r="J178" s="12"/>
      <c r="K178" s="12"/>
      <c r="L178" s="12"/>
      <c r="M178" s="12"/>
      <c r="N178" s="12"/>
      <c r="O178" s="12"/>
      <c r="P178" s="12"/>
      <c r="Q178" s="12"/>
      <c r="R178" s="12"/>
      <c r="S178" s="12"/>
      <c r="T178" s="12"/>
      <c r="U178" s="12"/>
      <c r="V178" s="12"/>
      <c r="W178" s="12"/>
      <c r="X178" s="12"/>
      <c r="Y178" s="12"/>
    </row>
    <row r="179" spans="1:25" ht="16.3">
      <c r="A179" s="35"/>
      <c r="B179" s="35"/>
      <c r="C179" s="11"/>
      <c r="D179" s="12"/>
      <c r="E179" s="12"/>
      <c r="F179" s="12"/>
      <c r="G179" s="12"/>
      <c r="H179" s="12"/>
      <c r="I179" s="12"/>
      <c r="J179" s="12"/>
      <c r="K179" s="12"/>
      <c r="L179" s="12"/>
      <c r="M179" s="12"/>
      <c r="N179" s="12"/>
      <c r="O179" s="12"/>
      <c r="P179" s="12"/>
      <c r="Q179" s="12"/>
      <c r="R179" s="12"/>
      <c r="S179" s="12"/>
      <c r="T179" s="12"/>
      <c r="U179" s="12"/>
      <c r="V179" s="12"/>
      <c r="W179" s="12"/>
      <c r="X179" s="12"/>
      <c r="Y179" s="12"/>
    </row>
    <row r="180" spans="1:25" ht="16.3">
      <c r="A180" s="35"/>
      <c r="B180" s="35"/>
      <c r="C180" s="11"/>
      <c r="D180" s="12"/>
      <c r="E180" s="12"/>
      <c r="F180" s="12"/>
      <c r="G180" s="12"/>
      <c r="H180" s="12"/>
      <c r="I180" s="12"/>
      <c r="J180" s="12"/>
      <c r="K180" s="12"/>
      <c r="L180" s="12"/>
      <c r="M180" s="12"/>
      <c r="N180" s="12"/>
      <c r="O180" s="12"/>
      <c r="P180" s="12"/>
      <c r="Q180" s="12"/>
      <c r="R180" s="12"/>
      <c r="S180" s="12"/>
      <c r="T180" s="12"/>
      <c r="U180" s="12"/>
      <c r="V180" s="12"/>
      <c r="W180" s="12"/>
      <c r="X180" s="12"/>
      <c r="Y180" s="12"/>
    </row>
    <row r="181" spans="1:25" ht="16.3">
      <c r="A181" s="35"/>
      <c r="B181" s="35"/>
      <c r="C181" s="17"/>
      <c r="D181" s="12"/>
      <c r="E181" s="12"/>
      <c r="F181" s="12"/>
      <c r="G181" s="12"/>
      <c r="H181" s="12"/>
      <c r="I181" s="12"/>
      <c r="J181" s="12"/>
      <c r="K181" s="12"/>
      <c r="L181" s="12"/>
      <c r="M181" s="12"/>
      <c r="N181" s="12"/>
      <c r="O181" s="12"/>
      <c r="P181" s="12"/>
      <c r="Q181" s="12"/>
      <c r="R181" s="12"/>
      <c r="S181" s="12"/>
      <c r="T181" s="12"/>
      <c r="U181" s="12"/>
      <c r="V181" s="12"/>
      <c r="W181" s="12"/>
      <c r="X181" s="12"/>
      <c r="Y181" s="12"/>
    </row>
    <row r="182" spans="1:25" ht="16.3">
      <c r="A182" s="38"/>
      <c r="B182" s="40"/>
      <c r="C182" s="11"/>
      <c r="D182" s="12"/>
      <c r="E182" s="12"/>
      <c r="F182" s="12"/>
      <c r="G182" s="12"/>
      <c r="H182" s="12"/>
      <c r="I182" s="12"/>
      <c r="J182" s="12"/>
      <c r="K182" s="12"/>
      <c r="L182" s="12"/>
      <c r="M182" s="12"/>
      <c r="N182" s="12"/>
      <c r="O182" s="12"/>
      <c r="P182" s="12"/>
      <c r="Q182" s="12"/>
      <c r="R182" s="12"/>
      <c r="S182" s="12"/>
      <c r="T182" s="12"/>
      <c r="U182" s="12"/>
      <c r="V182" s="12"/>
      <c r="W182" s="12"/>
      <c r="X182" s="12"/>
      <c r="Y182" s="12"/>
    </row>
    <row r="183" spans="1:25" ht="16.3">
      <c r="A183" s="35"/>
      <c r="B183" s="35"/>
      <c r="C183" s="11"/>
      <c r="D183" s="12"/>
      <c r="E183" s="12"/>
      <c r="F183" s="12"/>
      <c r="G183" s="12"/>
      <c r="H183" s="12"/>
      <c r="I183" s="12"/>
      <c r="J183" s="12"/>
      <c r="K183" s="12"/>
      <c r="L183" s="12"/>
      <c r="M183" s="12"/>
      <c r="N183" s="12"/>
      <c r="O183" s="12"/>
      <c r="P183" s="12"/>
      <c r="Q183" s="12"/>
      <c r="R183" s="12"/>
      <c r="S183" s="12"/>
      <c r="T183" s="12"/>
      <c r="U183" s="12"/>
      <c r="V183" s="12"/>
      <c r="W183" s="12"/>
      <c r="X183" s="12"/>
      <c r="Y183" s="12"/>
    </row>
    <row r="184" spans="1:25" ht="16.3">
      <c r="A184" s="35"/>
      <c r="B184" s="36"/>
      <c r="C184" s="17"/>
      <c r="D184" s="12"/>
      <c r="E184" s="12"/>
      <c r="F184" s="12"/>
      <c r="G184" s="12"/>
      <c r="H184" s="12"/>
      <c r="I184" s="12"/>
      <c r="J184" s="12"/>
      <c r="K184" s="12"/>
      <c r="L184" s="12"/>
      <c r="M184" s="12"/>
      <c r="N184" s="12"/>
      <c r="O184" s="12"/>
      <c r="P184" s="12"/>
      <c r="Q184" s="12"/>
      <c r="R184" s="12"/>
      <c r="S184" s="12"/>
      <c r="T184" s="12"/>
      <c r="U184" s="12"/>
      <c r="V184" s="12"/>
      <c r="W184" s="12"/>
      <c r="X184" s="12"/>
      <c r="Y184" s="12"/>
    </row>
    <row r="185" spans="1:25" ht="16.3">
      <c r="A185" s="38"/>
      <c r="B185" s="40"/>
      <c r="C185" s="11"/>
      <c r="D185" s="12"/>
      <c r="E185" s="12"/>
      <c r="F185" s="12"/>
      <c r="G185" s="12"/>
      <c r="H185" s="12"/>
      <c r="I185" s="12"/>
      <c r="J185" s="12"/>
      <c r="K185" s="12"/>
      <c r="L185" s="12"/>
      <c r="M185" s="12"/>
      <c r="N185" s="12"/>
      <c r="O185" s="12"/>
      <c r="P185" s="12"/>
      <c r="Q185" s="12"/>
      <c r="R185" s="12"/>
      <c r="S185" s="12"/>
      <c r="T185" s="12"/>
      <c r="U185" s="12"/>
      <c r="V185" s="12"/>
      <c r="W185" s="12"/>
      <c r="X185" s="12"/>
      <c r="Y185" s="12"/>
    </row>
    <row r="186" spans="1:25" ht="16.3">
      <c r="A186" s="35"/>
      <c r="B186" s="35"/>
      <c r="C186" s="11"/>
      <c r="D186" s="12"/>
      <c r="E186" s="12"/>
      <c r="F186" s="12"/>
      <c r="G186" s="12"/>
      <c r="H186" s="12"/>
      <c r="I186" s="12"/>
      <c r="J186" s="12"/>
      <c r="K186" s="12"/>
      <c r="L186" s="12"/>
      <c r="M186" s="12"/>
      <c r="N186" s="12"/>
      <c r="O186" s="12"/>
      <c r="P186" s="12"/>
      <c r="Q186" s="12"/>
      <c r="R186" s="12"/>
      <c r="S186" s="12"/>
      <c r="T186" s="12"/>
      <c r="U186" s="12"/>
      <c r="V186" s="12"/>
      <c r="W186" s="12"/>
      <c r="X186" s="12"/>
      <c r="Y186" s="12"/>
    </row>
    <row r="187" spans="1:25" ht="16.3">
      <c r="A187" s="35"/>
      <c r="B187" s="35"/>
      <c r="C187" s="11"/>
      <c r="D187" s="12"/>
      <c r="E187" s="12"/>
      <c r="F187" s="12"/>
      <c r="G187" s="12"/>
      <c r="H187" s="12"/>
      <c r="I187" s="12"/>
      <c r="J187" s="12"/>
      <c r="K187" s="12"/>
      <c r="L187" s="12"/>
      <c r="M187" s="12"/>
      <c r="N187" s="12"/>
      <c r="O187" s="12"/>
      <c r="P187" s="12"/>
      <c r="Q187" s="12"/>
      <c r="R187" s="12"/>
      <c r="S187" s="12"/>
      <c r="T187" s="12"/>
      <c r="U187" s="12"/>
      <c r="V187" s="12"/>
      <c r="W187" s="12"/>
      <c r="X187" s="12"/>
      <c r="Y187" s="12"/>
    </row>
    <row r="188" spans="1:25" ht="16.3">
      <c r="A188" s="35"/>
      <c r="B188" s="35"/>
      <c r="C188" s="11"/>
      <c r="D188" s="12"/>
      <c r="E188" s="12"/>
      <c r="F188" s="12"/>
      <c r="G188" s="12"/>
      <c r="H188" s="12"/>
      <c r="I188" s="12"/>
      <c r="J188" s="12"/>
      <c r="K188" s="12"/>
      <c r="L188" s="12"/>
      <c r="M188" s="12"/>
      <c r="N188" s="12"/>
      <c r="O188" s="12"/>
      <c r="P188" s="12"/>
      <c r="Q188" s="12"/>
      <c r="R188" s="12"/>
      <c r="S188" s="12"/>
      <c r="T188" s="12"/>
      <c r="U188" s="12"/>
      <c r="V188" s="12"/>
      <c r="W188" s="12"/>
      <c r="X188" s="12"/>
      <c r="Y188" s="12"/>
    </row>
    <row r="189" spans="1:25" ht="16.3">
      <c r="A189" s="35"/>
      <c r="B189" s="35"/>
      <c r="C189" s="11"/>
      <c r="D189" s="12"/>
      <c r="E189" s="12"/>
      <c r="F189" s="12"/>
      <c r="G189" s="12"/>
      <c r="H189" s="12"/>
      <c r="I189" s="12"/>
      <c r="J189" s="12"/>
      <c r="K189" s="12"/>
      <c r="L189" s="12"/>
      <c r="M189" s="12"/>
      <c r="N189" s="12"/>
      <c r="O189" s="12"/>
      <c r="P189" s="12"/>
      <c r="Q189" s="12"/>
      <c r="R189" s="12"/>
      <c r="S189" s="12"/>
      <c r="T189" s="12"/>
      <c r="U189" s="12"/>
      <c r="V189" s="12"/>
      <c r="W189" s="12"/>
      <c r="X189" s="12"/>
      <c r="Y189" s="12"/>
    </row>
    <row r="190" spans="1:25" ht="16.3">
      <c r="A190" s="35"/>
      <c r="B190" s="35"/>
      <c r="C190" s="11"/>
      <c r="D190" s="12"/>
      <c r="E190" s="12"/>
      <c r="F190" s="12"/>
      <c r="G190" s="12"/>
      <c r="H190" s="12"/>
      <c r="I190" s="12"/>
      <c r="J190" s="12"/>
      <c r="K190" s="12"/>
      <c r="L190" s="12"/>
      <c r="M190" s="12"/>
      <c r="N190" s="12"/>
      <c r="O190" s="12"/>
      <c r="P190" s="12"/>
      <c r="Q190" s="12"/>
      <c r="R190" s="12"/>
      <c r="S190" s="12"/>
      <c r="T190" s="12"/>
      <c r="U190" s="12"/>
      <c r="V190" s="12"/>
      <c r="W190" s="12"/>
      <c r="X190" s="12"/>
      <c r="Y190" s="12"/>
    </row>
    <row r="191" spans="1:25" ht="16.3">
      <c r="A191" s="35"/>
      <c r="B191" s="35"/>
      <c r="C191" s="11"/>
      <c r="D191" s="12"/>
      <c r="E191" s="12"/>
      <c r="F191" s="12"/>
      <c r="G191" s="12"/>
      <c r="H191" s="12"/>
      <c r="I191" s="12"/>
      <c r="J191" s="12"/>
      <c r="K191" s="12"/>
      <c r="L191" s="12"/>
      <c r="M191" s="12"/>
      <c r="N191" s="12"/>
      <c r="O191" s="12"/>
      <c r="P191" s="12"/>
      <c r="Q191" s="12"/>
      <c r="R191" s="12"/>
      <c r="S191" s="12"/>
      <c r="T191" s="12"/>
      <c r="U191" s="12"/>
      <c r="V191" s="12"/>
      <c r="W191" s="12"/>
      <c r="X191" s="12"/>
      <c r="Y191" s="12"/>
    </row>
    <row r="192" spans="1:25" ht="16.3">
      <c r="A192" s="17"/>
      <c r="B192" s="17"/>
      <c r="C192" s="11"/>
      <c r="D192" s="12"/>
      <c r="E192" s="12"/>
      <c r="F192" s="12"/>
      <c r="G192" s="12"/>
      <c r="H192" s="12"/>
      <c r="I192" s="12"/>
      <c r="J192" s="12"/>
      <c r="K192" s="12"/>
      <c r="L192" s="12"/>
      <c r="M192" s="12"/>
      <c r="N192" s="12"/>
      <c r="O192" s="12"/>
      <c r="P192" s="12"/>
      <c r="Q192" s="12"/>
      <c r="R192" s="12"/>
      <c r="S192" s="12"/>
      <c r="T192" s="12"/>
      <c r="U192" s="12"/>
      <c r="V192" s="12"/>
      <c r="W192" s="12"/>
      <c r="X192" s="12"/>
      <c r="Y192" s="12"/>
    </row>
    <row r="193" spans="1:25" ht="16.3">
      <c r="A193" s="17"/>
      <c r="B193" s="17"/>
      <c r="C193" s="11"/>
      <c r="D193" s="12"/>
      <c r="E193" s="12"/>
      <c r="F193" s="12"/>
      <c r="G193" s="12"/>
      <c r="H193" s="12"/>
      <c r="I193" s="12"/>
      <c r="J193" s="12"/>
      <c r="K193" s="12"/>
      <c r="L193" s="12"/>
      <c r="M193" s="12"/>
      <c r="N193" s="12"/>
      <c r="O193" s="12"/>
      <c r="P193" s="12"/>
      <c r="Q193" s="12"/>
      <c r="R193" s="12"/>
      <c r="S193" s="12"/>
      <c r="T193" s="12"/>
      <c r="U193" s="12"/>
      <c r="V193" s="12"/>
      <c r="W193" s="12"/>
      <c r="X193" s="12"/>
      <c r="Y193" s="12"/>
    </row>
    <row r="194" spans="1:25" ht="16.3">
      <c r="A194" s="17"/>
      <c r="B194" s="17"/>
      <c r="C194" s="11"/>
      <c r="D194" s="12"/>
      <c r="E194" s="12"/>
      <c r="F194" s="12"/>
      <c r="G194" s="12"/>
      <c r="H194" s="12"/>
      <c r="I194" s="12"/>
      <c r="J194" s="12"/>
      <c r="K194" s="12"/>
      <c r="L194" s="12"/>
      <c r="M194" s="12"/>
      <c r="N194" s="12"/>
      <c r="O194" s="12"/>
      <c r="P194" s="12"/>
      <c r="Q194" s="12"/>
      <c r="R194" s="12"/>
      <c r="S194" s="12"/>
      <c r="T194" s="12"/>
      <c r="U194" s="12"/>
      <c r="V194" s="12"/>
      <c r="W194" s="12"/>
      <c r="X194" s="12"/>
      <c r="Y194" s="12"/>
    </row>
    <row r="195" spans="1:25" ht="16.3">
      <c r="A195" s="17"/>
      <c r="B195" s="17"/>
      <c r="C195" s="11"/>
      <c r="D195" s="12"/>
      <c r="E195" s="12"/>
      <c r="F195" s="12"/>
      <c r="G195" s="12"/>
      <c r="H195" s="12"/>
      <c r="I195" s="12"/>
      <c r="J195" s="12"/>
      <c r="K195" s="12"/>
      <c r="L195" s="12"/>
      <c r="M195" s="12"/>
      <c r="N195" s="12"/>
      <c r="O195" s="12"/>
      <c r="P195" s="12"/>
      <c r="Q195" s="12"/>
      <c r="R195" s="12"/>
      <c r="S195" s="12"/>
      <c r="T195" s="12"/>
      <c r="U195" s="12"/>
      <c r="V195" s="12"/>
      <c r="W195" s="12"/>
      <c r="X195" s="12"/>
      <c r="Y195" s="12"/>
    </row>
    <row r="196" spans="1:25" ht="16.3">
      <c r="A196" s="17"/>
      <c r="B196" s="17"/>
      <c r="C196" s="11"/>
      <c r="D196" s="12"/>
      <c r="E196" s="12"/>
      <c r="F196" s="12"/>
      <c r="G196" s="12"/>
      <c r="H196" s="12"/>
      <c r="I196" s="12"/>
      <c r="J196" s="12"/>
      <c r="K196" s="12"/>
      <c r="L196" s="12"/>
      <c r="M196" s="12"/>
      <c r="N196" s="12"/>
      <c r="O196" s="12"/>
      <c r="P196" s="12"/>
      <c r="Q196" s="12"/>
      <c r="R196" s="12"/>
      <c r="S196" s="12"/>
      <c r="T196" s="12"/>
      <c r="U196" s="12"/>
      <c r="V196" s="12"/>
      <c r="W196" s="12"/>
      <c r="X196" s="12"/>
      <c r="Y196" s="12"/>
    </row>
    <row r="197" spans="1:25" ht="16.3">
      <c r="A197" s="17"/>
      <c r="B197" s="17"/>
      <c r="C197" s="17"/>
      <c r="D197" s="12"/>
      <c r="E197" s="12"/>
      <c r="F197" s="12"/>
      <c r="G197" s="12"/>
      <c r="H197" s="12"/>
      <c r="I197" s="12"/>
      <c r="J197" s="12"/>
      <c r="K197" s="12"/>
      <c r="L197" s="12"/>
      <c r="M197" s="12"/>
      <c r="N197" s="12"/>
      <c r="O197" s="12"/>
      <c r="P197" s="12"/>
      <c r="Q197" s="12"/>
      <c r="R197" s="12"/>
      <c r="S197" s="12"/>
      <c r="T197" s="12"/>
      <c r="U197" s="12"/>
      <c r="V197" s="12"/>
      <c r="W197" s="12"/>
      <c r="X197" s="12"/>
      <c r="Y197" s="12"/>
    </row>
    <row r="198" spans="1:25" ht="16.3">
      <c r="A198" s="65"/>
      <c r="B198" s="11"/>
      <c r="C198" s="11"/>
      <c r="D198" s="12"/>
      <c r="E198" s="12"/>
      <c r="F198" s="12"/>
      <c r="G198" s="12"/>
      <c r="H198" s="12"/>
      <c r="I198" s="12"/>
      <c r="J198" s="12"/>
      <c r="K198" s="12"/>
      <c r="L198" s="12"/>
      <c r="M198" s="12"/>
      <c r="N198" s="12"/>
      <c r="O198" s="12"/>
      <c r="P198" s="12"/>
      <c r="Q198" s="12"/>
      <c r="R198" s="12"/>
      <c r="S198" s="12"/>
      <c r="T198" s="12"/>
      <c r="U198" s="12"/>
      <c r="V198" s="12"/>
      <c r="W198" s="12"/>
      <c r="X198" s="12"/>
      <c r="Y198" s="12"/>
    </row>
    <row r="199" spans="1:25" ht="16.3">
      <c r="A199" s="17"/>
      <c r="B199" s="17"/>
      <c r="C199" s="11"/>
      <c r="D199" s="12"/>
      <c r="E199" s="12"/>
      <c r="F199" s="12"/>
      <c r="G199" s="12"/>
      <c r="H199" s="12"/>
      <c r="I199" s="12"/>
      <c r="J199" s="12"/>
      <c r="K199" s="12"/>
      <c r="L199" s="12"/>
      <c r="M199" s="12"/>
      <c r="N199" s="12"/>
      <c r="O199" s="12"/>
      <c r="P199" s="12"/>
      <c r="Q199" s="12"/>
      <c r="R199" s="12"/>
      <c r="S199" s="12"/>
      <c r="T199" s="12"/>
      <c r="U199" s="12"/>
      <c r="V199" s="12"/>
      <c r="W199" s="12"/>
      <c r="X199" s="12"/>
      <c r="Y199" s="12"/>
    </row>
    <row r="200" spans="1:25" ht="16.3">
      <c r="A200" s="17"/>
      <c r="B200" s="12"/>
      <c r="C200" s="11"/>
      <c r="D200" s="12"/>
      <c r="E200" s="12"/>
      <c r="F200" s="12"/>
      <c r="G200" s="12"/>
      <c r="H200" s="12"/>
      <c r="I200" s="12"/>
      <c r="J200" s="12"/>
      <c r="K200" s="12"/>
      <c r="L200" s="12"/>
      <c r="M200" s="12"/>
      <c r="N200" s="12"/>
      <c r="O200" s="12"/>
      <c r="P200" s="12"/>
      <c r="Q200" s="12"/>
      <c r="R200" s="12"/>
      <c r="S200" s="12"/>
      <c r="T200" s="12"/>
      <c r="U200" s="12"/>
      <c r="V200" s="12"/>
      <c r="W200" s="12"/>
      <c r="X200" s="12"/>
      <c r="Y200" s="12"/>
    </row>
    <row r="201" spans="1:25" ht="16.3">
      <c r="A201" s="17"/>
      <c r="B201" s="12"/>
      <c r="C201" s="11"/>
      <c r="D201" s="12"/>
      <c r="E201" s="12"/>
      <c r="F201" s="12"/>
      <c r="G201" s="12"/>
      <c r="H201" s="12"/>
      <c r="I201" s="12"/>
      <c r="J201" s="12"/>
      <c r="K201" s="12"/>
      <c r="L201" s="12"/>
      <c r="M201" s="12"/>
      <c r="N201" s="12"/>
      <c r="O201" s="12"/>
      <c r="P201" s="12"/>
      <c r="Q201" s="12"/>
      <c r="R201" s="12"/>
      <c r="S201" s="12"/>
      <c r="T201" s="12"/>
      <c r="U201" s="12"/>
      <c r="V201" s="12"/>
      <c r="W201" s="12"/>
      <c r="X201" s="12"/>
      <c r="Y201" s="12"/>
    </row>
    <row r="202" spans="1:25" ht="16.3">
      <c r="A202" s="17"/>
      <c r="B202" s="12"/>
      <c r="C202" s="11"/>
      <c r="D202" s="12"/>
      <c r="E202" s="12"/>
      <c r="F202" s="12"/>
      <c r="G202" s="12"/>
      <c r="H202" s="12"/>
      <c r="I202" s="12"/>
      <c r="J202" s="12"/>
      <c r="K202" s="12"/>
      <c r="L202" s="12"/>
      <c r="M202" s="12"/>
      <c r="N202" s="12"/>
      <c r="O202" s="12"/>
      <c r="P202" s="12"/>
      <c r="Q202" s="12"/>
      <c r="R202" s="12"/>
      <c r="S202" s="12"/>
      <c r="T202" s="12"/>
      <c r="U202" s="12"/>
      <c r="V202" s="12"/>
      <c r="W202" s="12"/>
      <c r="X202" s="12"/>
      <c r="Y202" s="12"/>
    </row>
    <row r="203" spans="1:25" ht="16.3">
      <c r="A203" s="17"/>
      <c r="B203" s="12"/>
      <c r="C203" s="11"/>
      <c r="D203" s="12"/>
      <c r="E203" s="12"/>
      <c r="F203" s="12"/>
      <c r="G203" s="12"/>
      <c r="H203" s="12"/>
      <c r="I203" s="12"/>
      <c r="J203" s="12"/>
      <c r="K203" s="12"/>
      <c r="L203" s="12"/>
      <c r="M203" s="12"/>
      <c r="N203" s="12"/>
      <c r="O203" s="12"/>
      <c r="P203" s="12"/>
      <c r="Q203" s="12"/>
      <c r="R203" s="12"/>
      <c r="S203" s="12"/>
      <c r="T203" s="12"/>
      <c r="U203" s="12"/>
      <c r="V203" s="12"/>
      <c r="W203" s="12"/>
      <c r="X203" s="12"/>
      <c r="Y203" s="12"/>
    </row>
    <row r="204" spans="1:25" ht="16.3">
      <c r="A204" s="17"/>
      <c r="B204" s="12"/>
      <c r="C204" s="17"/>
      <c r="D204" s="12"/>
      <c r="E204" s="12"/>
      <c r="F204" s="12"/>
      <c r="G204" s="12"/>
      <c r="H204" s="12"/>
      <c r="I204" s="12"/>
      <c r="J204" s="12"/>
      <c r="K204" s="12"/>
      <c r="L204" s="12"/>
      <c r="M204" s="12"/>
      <c r="N204" s="12"/>
      <c r="O204" s="12"/>
      <c r="P204" s="12"/>
      <c r="Q204" s="12"/>
      <c r="R204" s="12"/>
      <c r="S204" s="12"/>
      <c r="T204" s="12"/>
      <c r="U204" s="12"/>
      <c r="V204" s="12"/>
      <c r="W204" s="12"/>
      <c r="X204" s="12"/>
      <c r="Y204" s="12"/>
    </row>
    <row r="205" spans="1:25" ht="16.3">
      <c r="A205" s="65"/>
      <c r="B205" s="11"/>
      <c r="C205" s="11"/>
      <c r="D205" s="12"/>
      <c r="E205" s="12"/>
      <c r="F205" s="12"/>
      <c r="G205" s="12"/>
      <c r="H205" s="12"/>
      <c r="I205" s="12"/>
      <c r="J205" s="12"/>
      <c r="K205" s="12"/>
      <c r="L205" s="12"/>
      <c r="M205" s="12"/>
      <c r="N205" s="12"/>
      <c r="O205" s="12"/>
      <c r="P205" s="12"/>
      <c r="Q205" s="12"/>
      <c r="R205" s="12"/>
      <c r="S205" s="12"/>
      <c r="T205" s="12"/>
      <c r="U205" s="12"/>
      <c r="V205" s="12"/>
      <c r="W205" s="12"/>
      <c r="X205" s="12"/>
      <c r="Y205" s="12"/>
    </row>
    <row r="206" spans="1:25" ht="16.3">
      <c r="A206" s="17"/>
      <c r="B206" s="12"/>
      <c r="C206" s="11"/>
      <c r="D206" s="12"/>
      <c r="E206" s="12"/>
      <c r="F206" s="12"/>
      <c r="G206" s="12"/>
      <c r="H206" s="12"/>
      <c r="I206" s="12"/>
      <c r="J206" s="12"/>
      <c r="K206" s="12"/>
      <c r="L206" s="12"/>
      <c r="M206" s="12"/>
      <c r="N206" s="12"/>
      <c r="O206" s="12"/>
      <c r="P206" s="12"/>
      <c r="Q206" s="12"/>
      <c r="R206" s="12"/>
      <c r="S206" s="12"/>
      <c r="T206" s="12"/>
      <c r="U206" s="12"/>
      <c r="V206" s="12"/>
      <c r="W206" s="12"/>
      <c r="X206" s="12"/>
      <c r="Y206" s="12"/>
    </row>
    <row r="207" spans="1:25" ht="16.3">
      <c r="A207" s="17"/>
      <c r="B207" s="12"/>
      <c r="C207" s="11"/>
      <c r="D207" s="12"/>
      <c r="E207" s="12"/>
      <c r="F207" s="12"/>
      <c r="G207" s="12"/>
      <c r="H207" s="12"/>
      <c r="I207" s="12"/>
      <c r="J207" s="12"/>
      <c r="K207" s="12"/>
      <c r="L207" s="12"/>
      <c r="M207" s="12"/>
      <c r="N207" s="12"/>
      <c r="O207" s="12"/>
      <c r="P207" s="12"/>
      <c r="Q207" s="12"/>
      <c r="R207" s="12"/>
      <c r="S207" s="12"/>
      <c r="T207" s="12"/>
      <c r="U207" s="12"/>
      <c r="V207" s="12"/>
      <c r="W207" s="12"/>
      <c r="X207" s="12"/>
      <c r="Y207" s="12"/>
    </row>
    <row r="208" spans="1:25" ht="16.3">
      <c r="A208" s="17"/>
      <c r="B208" s="12"/>
      <c r="C208" s="11"/>
      <c r="D208" s="12"/>
      <c r="E208" s="12"/>
      <c r="F208" s="12"/>
      <c r="G208" s="12"/>
      <c r="H208" s="12"/>
      <c r="I208" s="12"/>
      <c r="J208" s="12"/>
      <c r="K208" s="12"/>
      <c r="L208" s="12"/>
      <c r="M208" s="12"/>
      <c r="N208" s="12"/>
      <c r="O208" s="12"/>
      <c r="P208" s="12"/>
      <c r="Q208" s="12"/>
      <c r="R208" s="12"/>
      <c r="S208" s="12"/>
      <c r="T208" s="12"/>
      <c r="U208" s="12"/>
      <c r="V208" s="12"/>
      <c r="W208" s="12"/>
      <c r="X208" s="12"/>
      <c r="Y208" s="12"/>
    </row>
    <row r="209" spans="1:25" ht="16.3">
      <c r="A209" s="17"/>
      <c r="B209" s="12"/>
      <c r="C209" s="11"/>
      <c r="D209" s="12"/>
      <c r="E209" s="12"/>
      <c r="F209" s="12"/>
      <c r="G209" s="12"/>
      <c r="H209" s="12"/>
      <c r="I209" s="12"/>
      <c r="J209" s="12"/>
      <c r="K209" s="12"/>
      <c r="L209" s="12"/>
      <c r="M209" s="12"/>
      <c r="N209" s="12"/>
      <c r="O209" s="12"/>
      <c r="P209" s="12"/>
      <c r="Q209" s="12"/>
      <c r="R209" s="12"/>
      <c r="S209" s="12"/>
      <c r="T209" s="12"/>
      <c r="U209" s="12"/>
      <c r="V209" s="12"/>
      <c r="W209" s="12"/>
      <c r="X209" s="12"/>
      <c r="Y209" s="12"/>
    </row>
    <row r="210" spans="1:25" ht="16.3">
      <c r="A210" s="17"/>
      <c r="B210" s="12"/>
      <c r="C210" s="11"/>
      <c r="D210" s="12"/>
      <c r="E210" s="12"/>
      <c r="F210" s="12"/>
      <c r="G210" s="12"/>
      <c r="H210" s="12"/>
      <c r="I210" s="12"/>
      <c r="J210" s="12"/>
      <c r="K210" s="12"/>
      <c r="L210" s="12"/>
      <c r="M210" s="12"/>
      <c r="N210" s="12"/>
      <c r="O210" s="12"/>
      <c r="P210" s="12"/>
      <c r="Q210" s="12"/>
      <c r="R210" s="12"/>
      <c r="S210" s="12"/>
      <c r="T210" s="12"/>
      <c r="U210" s="12"/>
      <c r="V210" s="12"/>
      <c r="W210" s="12"/>
      <c r="X210" s="12"/>
      <c r="Y210" s="12"/>
    </row>
    <row r="211" spans="1:25" ht="16.3">
      <c r="A211" s="17"/>
      <c r="B211" s="12"/>
      <c r="C211" s="11"/>
      <c r="D211" s="12"/>
      <c r="E211" s="12"/>
      <c r="F211" s="12"/>
      <c r="G211" s="12"/>
      <c r="H211" s="12"/>
      <c r="I211" s="12"/>
      <c r="J211" s="12"/>
      <c r="K211" s="12"/>
      <c r="L211" s="12"/>
      <c r="M211" s="12"/>
      <c r="N211" s="12"/>
      <c r="O211" s="12"/>
      <c r="P211" s="12"/>
      <c r="Q211" s="12"/>
      <c r="R211" s="12"/>
      <c r="S211" s="12"/>
      <c r="T211" s="12"/>
      <c r="U211" s="12"/>
      <c r="V211" s="12"/>
      <c r="W211" s="12"/>
      <c r="X211" s="12"/>
      <c r="Y211" s="12"/>
    </row>
    <row r="212" spans="1:25" ht="16.3">
      <c r="A212" s="17"/>
      <c r="B212" s="12"/>
      <c r="C212" s="17"/>
      <c r="D212" s="12"/>
      <c r="E212" s="12"/>
      <c r="F212" s="12"/>
      <c r="G212" s="12"/>
      <c r="H212" s="12"/>
      <c r="I212" s="12"/>
      <c r="J212" s="12"/>
      <c r="K212" s="12"/>
      <c r="L212" s="12"/>
      <c r="M212" s="12"/>
      <c r="N212" s="12"/>
      <c r="O212" s="12"/>
      <c r="P212" s="12"/>
      <c r="Q212" s="12"/>
      <c r="R212" s="12"/>
      <c r="S212" s="12"/>
      <c r="T212" s="12"/>
      <c r="U212" s="12"/>
      <c r="V212" s="12"/>
      <c r="W212" s="12"/>
      <c r="X212" s="12"/>
      <c r="Y212" s="12"/>
    </row>
    <row r="213" spans="1:25" ht="16.3">
      <c r="A213" s="17"/>
      <c r="B213" s="12"/>
      <c r="C213" s="17"/>
      <c r="D213" s="12"/>
      <c r="E213" s="12"/>
      <c r="F213" s="12"/>
      <c r="G213" s="12"/>
      <c r="H213" s="12"/>
      <c r="I213" s="12"/>
      <c r="J213" s="12"/>
      <c r="K213" s="12"/>
      <c r="L213" s="12"/>
      <c r="M213" s="12"/>
      <c r="N213" s="12"/>
      <c r="O213" s="12"/>
      <c r="P213" s="12"/>
      <c r="Q213" s="12"/>
      <c r="R213" s="12"/>
      <c r="S213" s="12"/>
      <c r="T213" s="12"/>
      <c r="U213" s="12"/>
      <c r="V213" s="12"/>
      <c r="W213" s="12"/>
      <c r="X213" s="12"/>
      <c r="Y213" s="12"/>
    </row>
    <row r="214" spans="1:25" ht="16.3">
      <c r="A214" s="17"/>
      <c r="B214" s="12"/>
      <c r="C214" s="17"/>
      <c r="D214" s="12"/>
      <c r="E214" s="12"/>
      <c r="F214" s="12"/>
      <c r="G214" s="12"/>
      <c r="H214" s="12"/>
      <c r="I214" s="12"/>
      <c r="J214" s="12"/>
      <c r="K214" s="12"/>
      <c r="L214" s="12"/>
      <c r="M214" s="12"/>
      <c r="N214" s="12"/>
      <c r="O214" s="12"/>
      <c r="P214" s="12"/>
      <c r="Q214" s="12"/>
      <c r="R214" s="12"/>
      <c r="S214" s="12"/>
      <c r="T214" s="12"/>
      <c r="U214" s="12"/>
      <c r="V214" s="12"/>
      <c r="W214" s="12"/>
      <c r="X214" s="12"/>
      <c r="Y214" s="12"/>
    </row>
    <row r="215" spans="1:25" ht="16.3">
      <c r="A215" s="17"/>
      <c r="B215" s="12"/>
      <c r="C215" s="17"/>
      <c r="D215" s="12"/>
      <c r="E215" s="12"/>
      <c r="F215" s="12"/>
      <c r="G215" s="12"/>
      <c r="H215" s="12"/>
      <c r="I215" s="12"/>
      <c r="J215" s="12"/>
      <c r="K215" s="12"/>
      <c r="L215" s="12"/>
      <c r="M215" s="12"/>
      <c r="N215" s="12"/>
      <c r="O215" s="12"/>
      <c r="P215" s="12"/>
      <c r="Q215" s="12"/>
      <c r="R215" s="12"/>
      <c r="S215" s="12"/>
      <c r="T215" s="12"/>
      <c r="U215" s="12"/>
      <c r="V215" s="12"/>
      <c r="W215" s="12"/>
      <c r="X215" s="12"/>
      <c r="Y215" s="12"/>
    </row>
    <row r="216" spans="1:25" ht="16.3">
      <c r="A216" s="17"/>
      <c r="B216" s="12"/>
      <c r="C216" s="17"/>
      <c r="D216" s="12"/>
      <c r="E216" s="12"/>
      <c r="F216" s="12"/>
      <c r="G216" s="12"/>
      <c r="H216" s="12"/>
      <c r="I216" s="12"/>
      <c r="J216" s="12"/>
      <c r="K216" s="12"/>
      <c r="L216" s="12"/>
      <c r="M216" s="12"/>
      <c r="N216" s="12"/>
      <c r="O216" s="12"/>
      <c r="P216" s="12"/>
      <c r="Q216" s="12"/>
      <c r="R216" s="12"/>
      <c r="S216" s="12"/>
      <c r="T216" s="12"/>
      <c r="U216" s="12"/>
      <c r="V216" s="12"/>
      <c r="W216" s="12"/>
      <c r="X216" s="12"/>
      <c r="Y216" s="12"/>
    </row>
    <row r="217" spans="1:25" ht="16.3">
      <c r="A217" s="17"/>
      <c r="B217" s="12"/>
      <c r="C217" s="17"/>
      <c r="D217" s="12"/>
      <c r="E217" s="12"/>
      <c r="F217" s="12"/>
      <c r="G217" s="12"/>
      <c r="H217" s="12"/>
      <c r="I217" s="12"/>
      <c r="J217" s="12"/>
      <c r="K217" s="12"/>
      <c r="L217" s="12"/>
      <c r="M217" s="12"/>
      <c r="N217" s="12"/>
      <c r="O217" s="12"/>
      <c r="P217" s="12"/>
      <c r="Q217" s="12"/>
      <c r="R217" s="12"/>
      <c r="S217" s="12"/>
      <c r="T217" s="12"/>
      <c r="U217" s="12"/>
      <c r="V217" s="12"/>
      <c r="W217" s="12"/>
      <c r="X217" s="12"/>
      <c r="Y217" s="12"/>
    </row>
    <row r="218" spans="1:25" ht="16.3">
      <c r="A218" s="17"/>
      <c r="B218" s="12"/>
      <c r="C218" s="17"/>
      <c r="D218" s="12"/>
      <c r="E218" s="12"/>
      <c r="F218" s="12"/>
      <c r="G218" s="12"/>
      <c r="H218" s="12"/>
      <c r="I218" s="12"/>
      <c r="J218" s="12"/>
      <c r="K218" s="12"/>
      <c r="L218" s="12"/>
      <c r="M218" s="12"/>
      <c r="N218" s="12"/>
      <c r="O218" s="12"/>
      <c r="P218" s="12"/>
      <c r="Q218" s="12"/>
      <c r="R218" s="12"/>
      <c r="S218" s="12"/>
      <c r="T218" s="12"/>
      <c r="U218" s="12"/>
      <c r="V218" s="12"/>
      <c r="W218" s="12"/>
      <c r="X218" s="12"/>
      <c r="Y218" s="12"/>
    </row>
    <row r="219" spans="1:25" ht="16.3">
      <c r="A219" s="17"/>
      <c r="B219" s="12"/>
      <c r="C219" s="17"/>
      <c r="D219" s="12"/>
      <c r="E219" s="12"/>
      <c r="F219" s="12"/>
      <c r="G219" s="12"/>
      <c r="H219" s="12"/>
      <c r="I219" s="12"/>
      <c r="J219" s="12"/>
      <c r="K219" s="12"/>
      <c r="L219" s="12"/>
      <c r="M219" s="12"/>
      <c r="N219" s="12"/>
      <c r="O219" s="12"/>
      <c r="P219" s="12"/>
      <c r="Q219" s="12"/>
      <c r="R219" s="12"/>
      <c r="S219" s="12"/>
      <c r="T219" s="12"/>
      <c r="U219" s="12"/>
      <c r="V219" s="12"/>
      <c r="W219" s="12"/>
      <c r="X219" s="12"/>
      <c r="Y219" s="12"/>
    </row>
    <row r="220" spans="1:25" ht="16.3">
      <c r="A220" s="17"/>
      <c r="B220" s="12"/>
      <c r="C220" s="17"/>
      <c r="D220" s="12"/>
      <c r="E220" s="12"/>
      <c r="F220" s="12"/>
      <c r="G220" s="12"/>
      <c r="H220" s="12"/>
      <c r="I220" s="12"/>
      <c r="J220" s="12"/>
      <c r="K220" s="12"/>
      <c r="L220" s="12"/>
      <c r="M220" s="12"/>
      <c r="N220" s="12"/>
      <c r="O220" s="12"/>
      <c r="P220" s="12"/>
      <c r="Q220" s="12"/>
      <c r="R220" s="12"/>
      <c r="S220" s="12"/>
      <c r="T220" s="12"/>
      <c r="U220" s="12"/>
      <c r="V220" s="12"/>
      <c r="W220" s="12"/>
      <c r="X220" s="12"/>
      <c r="Y220" s="12"/>
    </row>
    <row r="221" spans="1:25" ht="16.3">
      <c r="A221" s="17"/>
      <c r="B221" s="12"/>
      <c r="C221" s="17"/>
      <c r="D221" s="12"/>
      <c r="E221" s="12"/>
      <c r="F221" s="12"/>
      <c r="G221" s="12"/>
      <c r="H221" s="12"/>
      <c r="I221" s="12"/>
      <c r="J221" s="12"/>
      <c r="K221" s="12"/>
      <c r="L221" s="12"/>
      <c r="M221" s="12"/>
      <c r="N221" s="12"/>
      <c r="O221" s="12"/>
      <c r="P221" s="12"/>
      <c r="Q221" s="12"/>
      <c r="R221" s="12"/>
      <c r="S221" s="12"/>
      <c r="T221" s="12"/>
      <c r="U221" s="12"/>
      <c r="V221" s="12"/>
      <c r="W221" s="12"/>
      <c r="X221" s="12"/>
      <c r="Y221" s="12"/>
    </row>
    <row r="222" spans="1:25" ht="16.3">
      <c r="A222" s="17"/>
      <c r="B222" s="12"/>
      <c r="C222" s="17"/>
      <c r="D222" s="12"/>
      <c r="E222" s="12"/>
      <c r="F222" s="12"/>
      <c r="G222" s="12"/>
      <c r="H222" s="12"/>
      <c r="I222" s="12"/>
      <c r="J222" s="12"/>
      <c r="K222" s="12"/>
      <c r="L222" s="12"/>
      <c r="M222" s="12"/>
      <c r="N222" s="12"/>
      <c r="O222" s="12"/>
      <c r="P222" s="12"/>
      <c r="Q222" s="12"/>
      <c r="R222" s="12"/>
      <c r="S222" s="12"/>
      <c r="T222" s="12"/>
      <c r="U222" s="12"/>
      <c r="V222" s="12"/>
      <c r="W222" s="12"/>
      <c r="X222" s="12"/>
      <c r="Y222" s="12"/>
    </row>
    <row r="223" spans="1:25" ht="16.3">
      <c r="A223" s="17"/>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row>
    <row r="224" spans="1:25" ht="16.3">
      <c r="A224" s="17"/>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row>
    <row r="225" spans="1:25" ht="16.3">
      <c r="A225" s="17"/>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row>
    <row r="226" spans="1:25" ht="16.3">
      <c r="A226" s="17"/>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row>
    <row r="227" spans="1:25" ht="16.3">
      <c r="A227" s="17"/>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row>
    <row r="228" spans="1:25" ht="16.3">
      <c r="A228" s="17"/>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row>
    <row r="229" spans="1:25" ht="16.3">
      <c r="A229" s="17"/>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row>
    <row r="230" spans="1:25" ht="16.3">
      <c r="A230" s="17"/>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row>
    <row r="231" spans="1:25" ht="16.3">
      <c r="A231" s="17"/>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row>
    <row r="232" spans="1:25" ht="16.3">
      <c r="A232" s="17"/>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row>
    <row r="233" spans="1:25" ht="16.3">
      <c r="A233" s="17"/>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row>
    <row r="234" spans="1:25" ht="16.3">
      <c r="A234" s="17"/>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row>
    <row r="235" spans="1:25" ht="16.3">
      <c r="A235" s="17"/>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row>
    <row r="236" spans="1:25" ht="16.3">
      <c r="A236" s="17"/>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row>
    <row r="237" spans="1:25" ht="16.3">
      <c r="A237" s="17"/>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row>
    <row r="238" spans="1:25" ht="16.3">
      <c r="A238" s="17"/>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row>
    <row r="239" spans="1:25" ht="16.3">
      <c r="A239" s="17"/>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row>
    <row r="240" spans="1:25" ht="16.3">
      <c r="A240" s="17"/>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row>
    <row r="241" spans="1:25" ht="16.3">
      <c r="A241" s="17"/>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row>
    <row r="242" spans="1:25" ht="16.3">
      <c r="A242" s="17"/>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row>
    <row r="243" spans="1:25" ht="16.3">
      <c r="A243" s="17"/>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row>
    <row r="244" spans="1:25" ht="16.3">
      <c r="A244" s="17"/>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row>
    <row r="245" spans="1:25" ht="16.3">
      <c r="A245" s="17"/>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row>
    <row r="246" spans="1:25" ht="16.3">
      <c r="A246" s="17"/>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row>
    <row r="247" spans="1:25" ht="16.3">
      <c r="A247" s="17"/>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row>
    <row r="248" spans="1:25" ht="16.3">
      <c r="A248" s="17"/>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row>
    <row r="249" spans="1:25" ht="16.3">
      <c r="A249" s="17"/>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row>
    <row r="250" spans="1:25" ht="16.3">
      <c r="A250" s="17"/>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row>
    <row r="251" spans="1:25" ht="16.3">
      <c r="A251" s="17"/>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row>
    <row r="252" spans="1:25" ht="16.3">
      <c r="A252" s="17"/>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row>
    <row r="253" spans="1:25" ht="16.3">
      <c r="A253" s="17"/>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row>
    <row r="254" spans="1:25" ht="16.3">
      <c r="A254" s="17"/>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row>
    <row r="255" spans="1:25" ht="16.3">
      <c r="A255" s="17"/>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row>
    <row r="256" spans="1:25" ht="16.3">
      <c r="A256" s="17"/>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row>
    <row r="257" spans="1:25" ht="16.3">
      <c r="A257" s="17"/>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row>
    <row r="258" spans="1:25" ht="16.3">
      <c r="A258" s="17"/>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row>
    <row r="259" spans="1:25" ht="16.3">
      <c r="A259" s="17"/>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row>
    <row r="260" spans="1:25" ht="16.3">
      <c r="A260" s="17"/>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row>
    <row r="261" spans="1:25" ht="16.3">
      <c r="A261" s="17"/>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row>
    <row r="262" spans="1:25" ht="16.3">
      <c r="A262" s="17"/>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row>
    <row r="263" spans="1:25" ht="16.3">
      <c r="A263" s="17"/>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row>
    <row r="264" spans="1:25" ht="16.3">
      <c r="A264" s="17"/>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row>
    <row r="265" spans="1:25" ht="16.3">
      <c r="A265" s="17"/>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row>
    <row r="266" spans="1:25" ht="16.3">
      <c r="A266" s="17"/>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row>
    <row r="267" spans="1:25" ht="16.3">
      <c r="A267" s="17"/>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row>
    <row r="268" spans="1:25" ht="16.3">
      <c r="A268" s="17"/>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row>
    <row r="269" spans="1:25" ht="16.3">
      <c r="A269" s="17"/>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row>
    <row r="270" spans="1:25" ht="16.3">
      <c r="A270" s="17"/>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row>
    <row r="271" spans="1:25" ht="16.3">
      <c r="A271" s="17"/>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row>
    <row r="272" spans="1:25" ht="16.3">
      <c r="A272" s="17"/>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row>
    <row r="273" spans="1:25" ht="16.3">
      <c r="A273" s="17"/>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row>
    <row r="274" spans="1:25" ht="16.3">
      <c r="A274" s="17"/>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row>
    <row r="275" spans="1:25" ht="16.3">
      <c r="A275" s="17"/>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row>
    <row r="276" spans="1:25" ht="16.3">
      <c r="A276" s="17"/>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row>
    <row r="277" spans="1:25" ht="16.3">
      <c r="A277" s="17"/>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row>
    <row r="278" spans="1:25" ht="16.3">
      <c r="A278" s="17"/>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row>
    <row r="279" spans="1:25" ht="16.3">
      <c r="A279" s="17"/>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row>
    <row r="280" spans="1:25" ht="16.3">
      <c r="A280" s="17"/>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row>
    <row r="281" spans="1:25" ht="16.3">
      <c r="A281" s="17"/>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row>
    <row r="282" spans="1:25" ht="16.3">
      <c r="A282" s="17"/>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row>
    <row r="283" spans="1:25" ht="16.3">
      <c r="A283" s="17"/>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row>
    <row r="284" spans="1:25" ht="16.3">
      <c r="A284" s="17"/>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row>
    <row r="285" spans="1:25" ht="16.3">
      <c r="A285" s="17"/>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row>
    <row r="286" spans="1:25" ht="16.3">
      <c r="A286" s="17"/>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row>
    <row r="287" spans="1:25" ht="16.3">
      <c r="A287" s="17"/>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row>
    <row r="288" spans="1:25" ht="16.3">
      <c r="A288" s="17"/>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row>
    <row r="289" spans="1:25" ht="16.3">
      <c r="A289" s="17"/>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row>
    <row r="290" spans="1:25" ht="16.3">
      <c r="A290" s="17"/>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row>
    <row r="291" spans="1:25" ht="16.3">
      <c r="A291" s="17"/>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row>
    <row r="292" spans="1:25" ht="16.3">
      <c r="A292" s="17"/>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row>
    <row r="293" spans="1:25" ht="16.3">
      <c r="A293" s="17"/>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row>
    <row r="294" spans="1:25" ht="16.3">
      <c r="A294" s="17"/>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row>
    <row r="295" spans="1:25" ht="16.3">
      <c r="A295" s="17"/>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row>
    <row r="296" spans="1:25" ht="16.3">
      <c r="A296" s="17"/>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row>
    <row r="297" spans="1:25" ht="16.3">
      <c r="A297" s="17"/>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row>
    <row r="298" spans="1:25" ht="16.3">
      <c r="A298" s="17"/>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row>
    <row r="299" spans="1:25" ht="16.3">
      <c r="A299" s="17"/>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row>
    <row r="300" spans="1:25" ht="16.3">
      <c r="A300" s="17"/>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row>
    <row r="301" spans="1:25" ht="16.3">
      <c r="A301" s="17"/>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row>
    <row r="302" spans="1:25" ht="16.3">
      <c r="A302" s="17"/>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row>
    <row r="303" spans="1:25" ht="16.3">
      <c r="A303" s="17"/>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row>
    <row r="304" spans="1:25" ht="16.3">
      <c r="A304" s="17"/>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row>
    <row r="305" spans="1:25" ht="16.3">
      <c r="A305" s="17"/>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row>
    <row r="306" spans="1:25" ht="16.3">
      <c r="A306" s="17"/>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row>
    <row r="307" spans="1:25" ht="16.3">
      <c r="A307" s="17"/>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row>
    <row r="308" spans="1:25" ht="16.3">
      <c r="A308" s="17"/>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row>
    <row r="309" spans="1:25" ht="16.3">
      <c r="A309" s="17"/>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row>
    <row r="310" spans="1:25" ht="16.3">
      <c r="A310" s="17"/>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row>
    <row r="311" spans="1:25" ht="16.3">
      <c r="A311" s="17"/>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row>
    <row r="312" spans="1:25" ht="16.3">
      <c r="A312" s="17"/>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row>
    <row r="313" spans="1:25" ht="16.3">
      <c r="A313" s="17"/>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row>
    <row r="314" spans="1:25" ht="16.3">
      <c r="A314" s="17"/>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row>
    <row r="315" spans="1:25" ht="16.3">
      <c r="A315" s="17"/>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row>
    <row r="316" spans="1:25" ht="16.3">
      <c r="A316" s="17"/>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row>
    <row r="317" spans="1:25" ht="16.3">
      <c r="A317" s="17"/>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row>
    <row r="318" spans="1:25" ht="16.3">
      <c r="A318" s="17"/>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row>
    <row r="319" spans="1:25" ht="16.3">
      <c r="A319" s="17"/>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row>
    <row r="320" spans="1:25" ht="16.3">
      <c r="A320" s="17"/>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row>
    <row r="321" spans="1:25" ht="16.3">
      <c r="A321" s="17"/>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row>
    <row r="322" spans="1:25" ht="16.3">
      <c r="A322" s="17"/>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row>
    <row r="323" spans="1:25" ht="16.3">
      <c r="A323" s="17"/>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row>
    <row r="324" spans="1:25" ht="16.3">
      <c r="A324" s="17"/>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row>
    <row r="325" spans="1:25" ht="16.3">
      <c r="A325" s="17"/>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row>
    <row r="326" spans="1:25" ht="16.3">
      <c r="A326" s="17"/>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row>
    <row r="327" spans="1:25" ht="16.3">
      <c r="A327" s="17"/>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row>
    <row r="328" spans="1:25" ht="16.3">
      <c r="A328" s="17"/>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row>
    <row r="329" spans="1:25" ht="16.3">
      <c r="A329" s="17"/>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row>
    <row r="330" spans="1:25" ht="16.3">
      <c r="A330" s="17"/>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row>
    <row r="331" spans="1:25" ht="16.3">
      <c r="A331" s="17"/>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row>
    <row r="332" spans="1:25" ht="16.3">
      <c r="A332" s="17"/>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row>
    <row r="333" spans="1:25" ht="16.3">
      <c r="A333" s="17"/>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row>
    <row r="334" spans="1:25" ht="16.3">
      <c r="A334" s="17"/>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row>
    <row r="335" spans="1:25" ht="16.3">
      <c r="A335" s="17"/>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row>
    <row r="336" spans="1:25" ht="16.3">
      <c r="A336" s="17"/>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row>
    <row r="337" spans="1:25" ht="16.3">
      <c r="A337" s="17"/>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row>
    <row r="338" spans="1:25" ht="16.3">
      <c r="A338" s="17"/>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row>
    <row r="339" spans="1:25" ht="16.3">
      <c r="A339" s="17"/>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row>
    <row r="340" spans="1:25" ht="16.3">
      <c r="A340" s="17"/>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row>
    <row r="341" spans="1:25" ht="16.3">
      <c r="A341" s="17"/>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row>
    <row r="342" spans="1:25" ht="16.3">
      <c r="A342" s="17"/>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row>
    <row r="343" spans="1:25" ht="16.3">
      <c r="A343" s="17"/>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row>
    <row r="344" spans="1:25" ht="16.3">
      <c r="A344" s="17"/>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row>
    <row r="345" spans="1:25" ht="16.3">
      <c r="A345" s="17"/>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row>
    <row r="346" spans="1:25" ht="16.3">
      <c r="A346" s="17"/>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row>
    <row r="347" spans="1:25" ht="16.3">
      <c r="A347" s="17"/>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row>
    <row r="348" spans="1:25" ht="16.3">
      <c r="A348" s="17"/>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row>
    <row r="349" spans="1:25" ht="16.3">
      <c r="A349" s="17"/>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row>
    <row r="350" spans="1:25" ht="16.3">
      <c r="A350" s="17"/>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row>
    <row r="351" spans="1:25" ht="16.3">
      <c r="A351" s="17"/>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row>
    <row r="352" spans="1:25" ht="16.3">
      <c r="A352" s="17"/>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row>
    <row r="353" spans="1:25" ht="16.3">
      <c r="A353" s="17"/>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row>
    <row r="354" spans="1:25" ht="16.3">
      <c r="A354" s="17"/>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row>
    <row r="355" spans="1:25" ht="16.3">
      <c r="A355" s="17"/>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row>
    <row r="356" spans="1:25" ht="16.3">
      <c r="A356" s="17"/>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row>
    <row r="357" spans="1:25" ht="16.3">
      <c r="A357" s="17"/>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row>
    <row r="358" spans="1:25" ht="16.3">
      <c r="A358" s="17"/>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row>
    <row r="359" spans="1:25" ht="16.3">
      <c r="A359" s="17"/>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row>
    <row r="360" spans="1:25" ht="16.3">
      <c r="A360" s="17"/>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row>
    <row r="361" spans="1:25" ht="16.3">
      <c r="A361" s="17"/>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row>
    <row r="362" spans="1:25" ht="16.3">
      <c r="A362" s="17"/>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row>
    <row r="363" spans="1:25" ht="16.3">
      <c r="A363" s="17"/>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row>
    <row r="364" spans="1:25" ht="16.3">
      <c r="A364" s="17"/>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row>
    <row r="365" spans="1:25" ht="16.3">
      <c r="A365" s="17"/>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row>
    <row r="366" spans="1:25" ht="16.3">
      <c r="A366" s="17"/>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row>
    <row r="367" spans="1:25" ht="16.3">
      <c r="A367" s="17"/>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row>
    <row r="368" spans="1:25" ht="16.3">
      <c r="A368" s="17"/>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row>
    <row r="369" spans="1:25" ht="16.3">
      <c r="A369" s="17"/>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row>
    <row r="370" spans="1:25" ht="16.3">
      <c r="A370" s="17"/>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row>
    <row r="371" spans="1:25" ht="16.3">
      <c r="A371" s="17"/>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row>
    <row r="372" spans="1:25" ht="16.3">
      <c r="A372" s="17"/>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row>
    <row r="373" spans="1:25" ht="16.3">
      <c r="A373" s="17"/>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row>
    <row r="374" spans="1:25" ht="16.3">
      <c r="A374" s="17"/>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row>
    <row r="375" spans="1:25" ht="16.3">
      <c r="A375" s="17"/>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row>
    <row r="376" spans="1:25" ht="16.3">
      <c r="A376" s="17"/>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row>
    <row r="377" spans="1:25" ht="16.3">
      <c r="A377" s="17"/>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row>
    <row r="378" spans="1:25" ht="16.3">
      <c r="A378" s="17"/>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row>
    <row r="379" spans="1:25" ht="16.3">
      <c r="A379" s="17"/>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row>
    <row r="380" spans="1:25" ht="16.3">
      <c r="A380" s="17"/>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row>
    <row r="381" spans="1:25" ht="16.3">
      <c r="A381" s="17"/>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row>
    <row r="382" spans="1:25" ht="16.3">
      <c r="A382" s="17"/>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row>
    <row r="383" spans="1:25" ht="16.3">
      <c r="A383" s="17"/>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row>
    <row r="384" spans="1:25" ht="16.3">
      <c r="A384" s="17"/>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row>
    <row r="385" spans="1:25" ht="16.3">
      <c r="A385" s="17"/>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row>
    <row r="386" spans="1:25" ht="16.3">
      <c r="A386" s="17"/>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row>
    <row r="387" spans="1:25" ht="16.3">
      <c r="A387" s="17"/>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row>
    <row r="388" spans="1:25" ht="16.3">
      <c r="A388" s="17"/>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row>
    <row r="389" spans="1:25" ht="16.3">
      <c r="A389" s="17"/>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row>
    <row r="390" spans="1:25" ht="16.3">
      <c r="A390" s="17"/>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row>
    <row r="391" spans="1:25" ht="16.3">
      <c r="A391" s="17"/>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row>
    <row r="392" spans="1:25" ht="16.3">
      <c r="A392" s="17"/>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row>
    <row r="393" spans="1:25" ht="16.3">
      <c r="A393" s="17"/>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row>
    <row r="394" spans="1:25" ht="16.3">
      <c r="A394" s="17"/>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row>
    <row r="395" spans="1:25" ht="16.3">
      <c r="A395" s="17"/>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row>
    <row r="396" spans="1:25" ht="16.3">
      <c r="A396" s="17"/>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row>
    <row r="397" spans="1:25" ht="16.3">
      <c r="A397" s="17"/>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row>
    <row r="398" spans="1:25" ht="16.3">
      <c r="A398" s="17"/>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row>
    <row r="399" spans="1:25" ht="16.3">
      <c r="A399" s="17"/>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row>
    <row r="400" spans="1:25" ht="16.3">
      <c r="A400" s="17"/>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row>
    <row r="401" spans="1:25" ht="16.3">
      <c r="A401" s="17"/>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row>
    <row r="402" spans="1:25" ht="16.3">
      <c r="A402" s="17"/>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row>
    <row r="403" spans="1:25" ht="16.3">
      <c r="A403" s="17"/>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row>
    <row r="404" spans="1:25" ht="16.3">
      <c r="A404" s="17"/>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row>
    <row r="405" spans="1:25" ht="16.3">
      <c r="A405" s="17"/>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row>
    <row r="406" spans="1:25" ht="16.3">
      <c r="A406" s="17"/>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row>
    <row r="407" spans="1:25" ht="16.3">
      <c r="A407" s="17"/>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row>
    <row r="408" spans="1:25" ht="16.3">
      <c r="A408" s="17"/>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row>
    <row r="409" spans="1:25" ht="16.3">
      <c r="A409" s="17"/>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row>
    <row r="410" spans="1:25" ht="16.3">
      <c r="A410" s="17"/>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row>
    <row r="411" spans="1:25" ht="16.3">
      <c r="A411" s="17"/>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row>
    <row r="412" spans="1:25" ht="16.3">
      <c r="A412" s="17"/>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row>
    <row r="413" spans="1:25" ht="16.3">
      <c r="A413" s="17"/>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row>
    <row r="414" spans="1:25" ht="16.3">
      <c r="A414" s="17"/>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row>
    <row r="415" spans="1:25" ht="16.3">
      <c r="A415" s="17"/>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row>
    <row r="416" spans="1:25" ht="16.3">
      <c r="A416" s="17"/>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row>
    <row r="417" spans="1:25" ht="16.3">
      <c r="A417" s="17"/>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row>
    <row r="418" spans="1:25" ht="16.3">
      <c r="A418" s="17"/>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row>
    <row r="419" spans="1:25" ht="16.3">
      <c r="A419" s="17"/>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row>
    <row r="420" spans="1:25" ht="16.3">
      <c r="A420" s="17"/>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row>
    <row r="421" spans="1:25" ht="16.3">
      <c r="A421" s="17"/>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row>
    <row r="422" spans="1:25" ht="16.3">
      <c r="A422" s="17"/>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row>
    <row r="423" spans="1:25" ht="16.3">
      <c r="A423" s="17"/>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row>
    <row r="424" spans="1:25" ht="16.3">
      <c r="A424" s="17"/>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row>
    <row r="425" spans="1:25" ht="16.3">
      <c r="A425" s="17"/>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row>
    <row r="426" spans="1:25" ht="16.3">
      <c r="A426" s="17"/>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row>
    <row r="427" spans="1:25" ht="16.3">
      <c r="A427" s="17"/>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row>
    <row r="428" spans="1:25" ht="16.3">
      <c r="A428" s="17"/>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row>
    <row r="429" spans="1:25" ht="16.3">
      <c r="A429" s="17"/>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row>
    <row r="430" spans="1:25" ht="16.3">
      <c r="A430" s="17"/>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row>
    <row r="431" spans="1:25" ht="16.3">
      <c r="A431" s="17"/>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row>
    <row r="432" spans="1:25" ht="16.3">
      <c r="A432" s="17"/>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row>
    <row r="433" spans="1:25" ht="16.3">
      <c r="A433" s="17"/>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row>
    <row r="434" spans="1:25" ht="16.3">
      <c r="A434" s="17"/>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row>
    <row r="435" spans="1:25" ht="16.3">
      <c r="A435" s="17"/>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row>
    <row r="436" spans="1:25" ht="16.3">
      <c r="A436" s="17"/>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row>
    <row r="437" spans="1:25" ht="16.3">
      <c r="A437" s="17"/>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row>
    <row r="438" spans="1:25" ht="16.3">
      <c r="A438" s="17"/>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row>
    <row r="439" spans="1:25" ht="16.3">
      <c r="A439" s="17"/>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row>
    <row r="440" spans="1:25" ht="16.3">
      <c r="A440" s="17"/>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row>
    <row r="441" spans="1:25" ht="16.3">
      <c r="A441" s="17"/>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row>
    <row r="442" spans="1:25" ht="16.3">
      <c r="A442" s="17"/>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row>
    <row r="443" spans="1:25" ht="16.3">
      <c r="A443" s="17"/>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row>
    <row r="444" spans="1:25" ht="16.3">
      <c r="A444" s="17"/>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row>
    <row r="445" spans="1:25" ht="16.3">
      <c r="A445" s="17"/>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row>
    <row r="446" spans="1:25" ht="16.3">
      <c r="A446" s="17"/>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row>
    <row r="447" spans="1:25" ht="16.3">
      <c r="A447" s="17"/>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row>
    <row r="448" spans="1:25" ht="16.3">
      <c r="A448" s="17"/>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row>
    <row r="449" spans="1:25" ht="16.3">
      <c r="A449" s="17"/>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row>
    <row r="450" spans="1:25" ht="16.3">
      <c r="A450" s="17"/>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row>
    <row r="451" spans="1:25" ht="16.3">
      <c r="A451" s="17"/>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row>
    <row r="452" spans="1:25" ht="16.3">
      <c r="A452" s="17"/>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row>
    <row r="453" spans="1:25" ht="16.3">
      <c r="A453" s="17"/>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row>
    <row r="454" spans="1:25" ht="16.3">
      <c r="A454" s="17"/>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row>
    <row r="455" spans="1:25" ht="16.3">
      <c r="A455" s="17"/>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row>
    <row r="456" spans="1:25" ht="16.3">
      <c r="A456" s="17"/>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row>
    <row r="457" spans="1:25" ht="16.3">
      <c r="A457" s="17"/>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row>
    <row r="458" spans="1:25" ht="16.3">
      <c r="A458" s="17"/>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row>
    <row r="459" spans="1:25" ht="16.3">
      <c r="A459" s="17"/>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row>
    <row r="460" spans="1:25" ht="16.3">
      <c r="A460" s="17"/>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row>
    <row r="461" spans="1:25" ht="16.3">
      <c r="A461" s="17"/>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row>
    <row r="462" spans="1:25" ht="16.3">
      <c r="A462" s="17"/>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row>
    <row r="463" spans="1:25" ht="16.3">
      <c r="A463" s="17"/>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row>
    <row r="464" spans="1:25" ht="16.3">
      <c r="A464" s="17"/>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row>
    <row r="465" spans="1:25" ht="16.3">
      <c r="A465" s="17"/>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row>
    <row r="466" spans="1:25" ht="16.3">
      <c r="A466" s="17"/>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row>
    <row r="467" spans="1:25" ht="16.3">
      <c r="A467" s="17"/>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row>
    <row r="468" spans="1:25" ht="16.3">
      <c r="A468" s="17"/>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row>
    <row r="469" spans="1:25" ht="16.3">
      <c r="A469" s="17"/>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row>
    <row r="470" spans="1:25" ht="16.3">
      <c r="A470" s="17"/>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row>
    <row r="471" spans="1:25" ht="16.3">
      <c r="A471" s="17"/>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row>
    <row r="472" spans="1:25" ht="16.3">
      <c r="A472" s="17"/>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row>
    <row r="473" spans="1:25" ht="16.3">
      <c r="A473" s="17"/>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row>
    <row r="474" spans="1:25" ht="16.3">
      <c r="A474" s="17"/>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row>
    <row r="475" spans="1:25" ht="16.3">
      <c r="A475" s="17"/>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row>
    <row r="476" spans="1:25" ht="16.3">
      <c r="A476" s="17"/>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row>
    <row r="477" spans="1:25" ht="16.3">
      <c r="A477" s="17"/>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row>
    <row r="478" spans="1:25" ht="16.3">
      <c r="A478" s="17"/>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row>
    <row r="479" spans="1:25" ht="16.3">
      <c r="A479" s="17"/>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row>
    <row r="480" spans="1:25" ht="16.3">
      <c r="A480" s="17"/>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row>
    <row r="481" spans="1:25" ht="16.3">
      <c r="A481" s="17"/>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row>
    <row r="482" spans="1:25" ht="16.3">
      <c r="A482" s="17"/>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row>
    <row r="483" spans="1:25" ht="16.3">
      <c r="A483" s="17"/>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row>
    <row r="484" spans="1:25" ht="16.3">
      <c r="A484" s="17"/>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row>
    <row r="485" spans="1:25" ht="16.3">
      <c r="A485" s="17"/>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row>
    <row r="486" spans="1:25" ht="16.3">
      <c r="A486" s="17"/>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row>
    <row r="487" spans="1:25" ht="16.3">
      <c r="A487" s="17"/>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row>
    <row r="488" spans="1:25" ht="16.3">
      <c r="A488" s="17"/>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row>
    <row r="489" spans="1:25" ht="16.3">
      <c r="A489" s="17"/>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row>
    <row r="490" spans="1:25" ht="16.3">
      <c r="A490" s="17"/>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row>
    <row r="491" spans="1:25" ht="16.3">
      <c r="A491" s="17"/>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row>
    <row r="492" spans="1:25" ht="16.3">
      <c r="A492" s="17"/>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row>
    <row r="493" spans="1:25" ht="16.3">
      <c r="A493" s="17"/>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row>
    <row r="494" spans="1:25" ht="16.3">
      <c r="A494" s="17"/>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row>
    <row r="495" spans="1:25" ht="16.3">
      <c r="A495" s="17"/>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row>
    <row r="496" spans="1:25" ht="16.3">
      <c r="A496" s="17"/>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row>
    <row r="497" spans="1:25" ht="16.3">
      <c r="A497" s="17"/>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row>
    <row r="498" spans="1:25" ht="16.3">
      <c r="A498" s="17"/>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row>
    <row r="499" spans="1:25" ht="16.3">
      <c r="A499" s="17"/>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row>
    <row r="500" spans="1:25" ht="16.3">
      <c r="A500" s="17"/>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row>
    <row r="501" spans="1:25" ht="16.3">
      <c r="A501" s="17"/>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row>
    <row r="502" spans="1:25" ht="16.3">
      <c r="A502" s="17"/>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row>
    <row r="503" spans="1:25" ht="16.3">
      <c r="A503" s="17"/>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row>
    <row r="504" spans="1:25" ht="16.3">
      <c r="A504" s="17"/>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row>
    <row r="505" spans="1:25" ht="16.3">
      <c r="A505" s="17"/>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row>
    <row r="506" spans="1:25" ht="16.3">
      <c r="A506" s="17"/>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row>
    <row r="507" spans="1:25" ht="16.3">
      <c r="A507" s="17"/>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row>
    <row r="508" spans="1:25" ht="16.3">
      <c r="A508" s="17"/>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row>
    <row r="509" spans="1:25" ht="16.3">
      <c r="A509" s="17"/>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row>
    <row r="510" spans="1:25" ht="16.3">
      <c r="A510" s="17"/>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row>
    <row r="511" spans="1:25" ht="16.3">
      <c r="A511" s="17"/>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row>
    <row r="512" spans="1:25" ht="16.3">
      <c r="A512" s="17"/>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row>
    <row r="513" spans="1:25" ht="16.3">
      <c r="A513" s="17"/>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row>
    <row r="514" spans="1:25" ht="16.3">
      <c r="A514" s="17"/>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row>
    <row r="515" spans="1:25" ht="16.3">
      <c r="A515" s="17"/>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row>
    <row r="516" spans="1:25" ht="16.3">
      <c r="A516" s="17"/>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row>
    <row r="517" spans="1:25" ht="16.3">
      <c r="A517" s="17"/>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row>
    <row r="518" spans="1:25" ht="16.3">
      <c r="A518" s="17"/>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row>
    <row r="519" spans="1:25" ht="16.3">
      <c r="A519" s="17"/>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row>
    <row r="520" spans="1:25" ht="16.3">
      <c r="A520" s="17"/>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row>
    <row r="521" spans="1:25" ht="16.3">
      <c r="A521" s="17"/>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row>
    <row r="522" spans="1:25" ht="16.3">
      <c r="A522" s="17"/>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row>
    <row r="523" spans="1:25" ht="16.3">
      <c r="A523" s="17"/>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row>
    <row r="524" spans="1:25" ht="16.3">
      <c r="A524" s="17"/>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row>
    <row r="525" spans="1:25" ht="16.3">
      <c r="A525" s="17"/>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row>
    <row r="526" spans="1:25" ht="16.3">
      <c r="A526" s="17"/>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row>
    <row r="527" spans="1:25" ht="16.3">
      <c r="A527" s="17"/>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row>
    <row r="528" spans="1:25" ht="16.3">
      <c r="A528" s="17"/>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row>
    <row r="529" spans="1:25" ht="16.3">
      <c r="A529" s="17"/>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row>
    <row r="530" spans="1:25" ht="16.3">
      <c r="A530" s="17"/>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row>
    <row r="531" spans="1:25" ht="16.3">
      <c r="A531" s="17"/>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row>
    <row r="532" spans="1:25" ht="16.3">
      <c r="A532" s="17"/>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row>
    <row r="533" spans="1:25" ht="16.3">
      <c r="A533" s="17"/>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row>
    <row r="534" spans="1:25" ht="16.3">
      <c r="A534" s="17"/>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row>
    <row r="535" spans="1:25" ht="16.3">
      <c r="A535" s="17"/>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row>
    <row r="536" spans="1:25" ht="16.3">
      <c r="A536" s="17"/>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row>
    <row r="537" spans="1:25" ht="16.3">
      <c r="A537" s="17"/>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row>
    <row r="538" spans="1:25" ht="16.3">
      <c r="A538" s="17"/>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row>
    <row r="539" spans="1:25" ht="16.3">
      <c r="A539" s="17"/>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row>
    <row r="540" spans="1:25" ht="16.3">
      <c r="A540" s="17"/>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row>
    <row r="541" spans="1:25" ht="16.3">
      <c r="A541" s="17"/>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row>
    <row r="542" spans="1:25" ht="16.3">
      <c r="A542" s="17"/>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row>
    <row r="543" spans="1:25" ht="16.3">
      <c r="A543" s="17"/>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row>
    <row r="544" spans="1:25" ht="16.3">
      <c r="A544" s="17"/>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row>
    <row r="545" spans="1:25" ht="16.3">
      <c r="A545" s="17"/>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row>
    <row r="546" spans="1:25" ht="16.3">
      <c r="A546" s="17"/>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row>
    <row r="547" spans="1:25" ht="16.3">
      <c r="A547" s="17"/>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row>
    <row r="548" spans="1:25" ht="16.3">
      <c r="A548" s="17"/>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row>
    <row r="549" spans="1:25" ht="16.3">
      <c r="A549" s="17"/>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row>
    <row r="550" spans="1:25" ht="16.3">
      <c r="A550" s="17"/>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row>
    <row r="551" spans="1:25" ht="16.3">
      <c r="A551" s="17"/>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row>
    <row r="552" spans="1:25" ht="16.3">
      <c r="A552" s="17"/>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row>
    <row r="553" spans="1:25" ht="16.3">
      <c r="A553" s="17"/>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row>
    <row r="554" spans="1:25" ht="16.3">
      <c r="A554" s="17"/>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row>
    <row r="555" spans="1:25" ht="16.3">
      <c r="A555" s="17"/>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row>
    <row r="556" spans="1:25" ht="16.3">
      <c r="A556" s="17"/>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row>
    <row r="557" spans="1:25" ht="16.3">
      <c r="A557" s="17"/>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row>
    <row r="558" spans="1:25" ht="16.3">
      <c r="A558" s="17"/>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row>
    <row r="559" spans="1:25" ht="16.3">
      <c r="A559" s="17"/>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row>
    <row r="560" spans="1:25" ht="16.3">
      <c r="A560" s="17"/>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row>
    <row r="561" spans="1:25" ht="16.3">
      <c r="A561" s="17"/>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row>
    <row r="562" spans="1:25" ht="16.3">
      <c r="A562" s="17"/>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row>
    <row r="563" spans="1:25" ht="16.3">
      <c r="A563" s="17"/>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row>
    <row r="564" spans="1:25" ht="16.3">
      <c r="A564" s="17"/>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row>
    <row r="565" spans="1:25" ht="16.3">
      <c r="A565" s="17"/>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row>
    <row r="566" spans="1:25" ht="16.3">
      <c r="A566" s="17"/>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row>
    <row r="567" spans="1:25" ht="16.3">
      <c r="A567" s="17"/>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row>
    <row r="568" spans="1:25" ht="16.3">
      <c r="A568" s="17"/>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row>
    <row r="569" spans="1:25" ht="16.3">
      <c r="A569" s="17"/>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row>
    <row r="570" spans="1:25" ht="16.3">
      <c r="A570" s="17"/>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row>
    <row r="571" spans="1:25" ht="16.3">
      <c r="A571" s="17"/>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row>
    <row r="572" spans="1:25" ht="16.3">
      <c r="A572" s="17"/>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row>
    <row r="573" spans="1:25" ht="16.3">
      <c r="A573" s="17"/>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row>
    <row r="574" spans="1:25" ht="16.3">
      <c r="A574" s="17"/>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row>
    <row r="575" spans="1:25" ht="16.3">
      <c r="A575" s="17"/>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row>
    <row r="576" spans="1:25" ht="16.3">
      <c r="A576" s="17"/>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row>
    <row r="577" spans="1:25" ht="16.3">
      <c r="A577" s="17"/>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row>
    <row r="578" spans="1:25" ht="16.3">
      <c r="A578" s="17"/>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row>
    <row r="579" spans="1:25" ht="16.3">
      <c r="A579" s="17"/>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row>
    <row r="580" spans="1:25" ht="16.3">
      <c r="A580" s="17"/>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row>
    <row r="581" spans="1:25" ht="16.3">
      <c r="A581" s="17"/>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row>
    <row r="582" spans="1:25" ht="16.3">
      <c r="A582" s="17"/>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row>
    <row r="583" spans="1:25" ht="16.3">
      <c r="A583" s="17"/>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row>
    <row r="584" spans="1:25" ht="16.3">
      <c r="A584" s="17"/>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row>
    <row r="585" spans="1:25" ht="16.3">
      <c r="A585" s="17"/>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row>
    <row r="586" spans="1:25" ht="16.3">
      <c r="A586" s="17"/>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row>
    <row r="587" spans="1:25" ht="16.3">
      <c r="A587" s="17"/>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row>
    <row r="588" spans="1:25" ht="16.3">
      <c r="A588" s="17"/>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row>
    <row r="589" spans="1:25" ht="16.3">
      <c r="A589" s="17"/>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row>
    <row r="590" spans="1:25" ht="16.3">
      <c r="A590" s="17"/>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row>
    <row r="591" spans="1:25" ht="16.3">
      <c r="A591" s="17"/>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row>
    <row r="592" spans="1:25" ht="16.3">
      <c r="A592" s="17"/>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row>
    <row r="593" spans="1:25" ht="16.3">
      <c r="A593" s="17"/>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row>
    <row r="594" spans="1:25" ht="16.3">
      <c r="A594" s="17"/>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row>
    <row r="595" spans="1:25" ht="16.3">
      <c r="A595" s="17"/>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row>
    <row r="596" spans="1:25" ht="16.3">
      <c r="A596" s="17"/>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row>
    <row r="597" spans="1:25" ht="16.3">
      <c r="A597" s="17"/>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row>
    <row r="598" spans="1:25" ht="16.3">
      <c r="A598" s="17"/>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row>
    <row r="599" spans="1:25" ht="16.3">
      <c r="A599" s="17"/>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row>
    <row r="600" spans="1:25" ht="16.3">
      <c r="A600" s="17"/>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row>
    <row r="601" spans="1:25" ht="16.3">
      <c r="A601" s="17"/>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row>
    <row r="602" spans="1:25" ht="16.3">
      <c r="A602" s="17"/>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row>
    <row r="603" spans="1:25" ht="16.3">
      <c r="A603" s="17"/>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row>
    <row r="604" spans="1:25" ht="16.3">
      <c r="A604" s="17"/>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row>
    <row r="605" spans="1:25" ht="16.3">
      <c r="A605" s="17"/>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row>
    <row r="606" spans="1:25" ht="16.3">
      <c r="A606" s="17"/>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row>
    <row r="607" spans="1:25" ht="16.3">
      <c r="A607" s="17"/>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row>
    <row r="608" spans="1:25" ht="16.3">
      <c r="A608" s="17"/>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row>
    <row r="609" spans="1:25" ht="16.3">
      <c r="A609" s="17"/>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row>
    <row r="610" spans="1:25" ht="16.3">
      <c r="A610" s="17"/>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row>
    <row r="611" spans="1:25" ht="16.3">
      <c r="A611" s="17"/>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row>
    <row r="612" spans="1:25" ht="16.3">
      <c r="A612" s="17"/>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row>
    <row r="613" spans="1:25" ht="16.3">
      <c r="A613" s="17"/>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row>
    <row r="614" spans="1:25" ht="16.3">
      <c r="A614" s="17"/>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row>
    <row r="615" spans="1:25" ht="16.3">
      <c r="A615" s="17"/>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row>
    <row r="616" spans="1:25" ht="16.3">
      <c r="A616" s="17"/>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row>
    <row r="617" spans="1:25" ht="16.3">
      <c r="A617" s="17"/>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row>
    <row r="618" spans="1:25" ht="16.3">
      <c r="A618" s="17"/>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row>
    <row r="619" spans="1:25" ht="16.3">
      <c r="A619" s="17"/>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row>
    <row r="620" spans="1:25" ht="16.3">
      <c r="A620" s="17"/>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row>
    <row r="621" spans="1:25" ht="16.3">
      <c r="A621" s="17"/>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row>
    <row r="622" spans="1:25" ht="16.3">
      <c r="A622" s="17"/>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row>
    <row r="623" spans="1:25" ht="16.3">
      <c r="A623" s="17"/>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row>
    <row r="624" spans="1:25" ht="16.3">
      <c r="A624" s="17"/>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row>
    <row r="625" spans="1:25" ht="16.3">
      <c r="A625" s="17"/>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row>
    <row r="626" spans="1:25" ht="16.3">
      <c r="A626" s="17"/>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row>
    <row r="627" spans="1:25" ht="16.3">
      <c r="A627" s="17"/>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row>
    <row r="628" spans="1:25" ht="16.3">
      <c r="A628" s="17"/>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row>
    <row r="629" spans="1:25" ht="16.3">
      <c r="A629" s="17"/>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row>
    <row r="630" spans="1:25" ht="16.3">
      <c r="A630" s="17"/>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row>
    <row r="631" spans="1:25" ht="16.3">
      <c r="A631" s="17"/>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row>
    <row r="632" spans="1:25" ht="16.3">
      <c r="A632" s="17"/>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row>
    <row r="633" spans="1:25" ht="16.3">
      <c r="A633" s="17"/>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row>
    <row r="634" spans="1:25" ht="16.3">
      <c r="A634" s="17"/>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row>
    <row r="635" spans="1:25" ht="16.3">
      <c r="A635" s="17"/>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row>
    <row r="636" spans="1:25" ht="16.3">
      <c r="A636" s="17"/>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row>
    <row r="637" spans="1:25" ht="16.3">
      <c r="A637" s="17"/>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row>
    <row r="638" spans="1:25" ht="16.3">
      <c r="A638" s="17"/>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row>
    <row r="639" spans="1:25" ht="16.3">
      <c r="A639" s="17"/>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row>
    <row r="640" spans="1:25" ht="16.3">
      <c r="A640" s="17"/>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row>
    <row r="641" spans="1:25" ht="16.3">
      <c r="A641" s="17"/>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row>
    <row r="642" spans="1:25" ht="16.3">
      <c r="A642" s="17"/>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row>
    <row r="643" spans="1:25" ht="16.3">
      <c r="A643" s="17"/>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row>
    <row r="644" spans="1:25" ht="16.3">
      <c r="A644" s="17"/>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row>
    <row r="645" spans="1:25" ht="16.3">
      <c r="A645" s="17"/>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row>
    <row r="646" spans="1:25" ht="16.3">
      <c r="A646" s="17"/>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row>
    <row r="647" spans="1:25" ht="16.3">
      <c r="A647" s="17"/>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row>
    <row r="648" spans="1:25" ht="16.3">
      <c r="A648" s="17"/>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row>
    <row r="649" spans="1:25" ht="16.3">
      <c r="A649" s="17"/>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row>
    <row r="650" spans="1:25" ht="16.3">
      <c r="A650" s="17"/>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row>
    <row r="651" spans="1:25" ht="16.3">
      <c r="A651" s="17"/>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row>
    <row r="652" spans="1:25" ht="16.3">
      <c r="A652" s="17"/>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row>
    <row r="653" spans="1:25" ht="16.3">
      <c r="A653" s="17"/>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row>
    <row r="654" spans="1:25" ht="16.3">
      <c r="A654" s="17"/>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row>
    <row r="655" spans="1:25" ht="16.3">
      <c r="A655" s="17"/>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row>
    <row r="656" spans="1:25" ht="16.3">
      <c r="A656" s="17"/>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row>
    <row r="657" spans="1:25" ht="16.3">
      <c r="A657" s="17"/>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row>
    <row r="658" spans="1:25" ht="16.3">
      <c r="A658" s="17"/>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row>
    <row r="659" spans="1:25" ht="16.3">
      <c r="A659" s="17"/>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row>
    <row r="660" spans="1:25" ht="16.3">
      <c r="A660" s="17"/>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row>
    <row r="661" spans="1:25" ht="16.3">
      <c r="A661" s="17"/>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row>
    <row r="662" spans="1:25" ht="16.3">
      <c r="A662" s="17"/>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row>
    <row r="663" spans="1:25" ht="16.3">
      <c r="A663" s="17"/>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row>
    <row r="664" spans="1:25" ht="16.3">
      <c r="A664" s="17"/>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row>
    <row r="665" spans="1:25" ht="16.3">
      <c r="A665" s="17"/>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row>
    <row r="666" spans="1:25" ht="16.3">
      <c r="A666" s="17"/>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row>
    <row r="667" spans="1:25" ht="16.3">
      <c r="A667" s="17"/>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row>
    <row r="668" spans="1:25" ht="16.3">
      <c r="A668" s="17"/>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row>
    <row r="669" spans="1:25" ht="16.3">
      <c r="A669" s="17"/>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row>
    <row r="670" spans="1:25" ht="16.3">
      <c r="A670" s="17"/>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row>
    <row r="671" spans="1:25" ht="16.3">
      <c r="A671" s="17"/>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row>
    <row r="672" spans="1:25" ht="16.3">
      <c r="A672" s="17"/>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row>
    <row r="673" spans="1:25" ht="16.3">
      <c r="A673" s="17"/>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row>
    <row r="674" spans="1:25" ht="16.3">
      <c r="A674" s="17"/>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row>
    <row r="675" spans="1:25" ht="16.3">
      <c r="A675" s="17"/>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row>
    <row r="676" spans="1:25" ht="16.3">
      <c r="A676" s="17"/>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row>
    <row r="677" spans="1:25" ht="16.3">
      <c r="A677" s="17"/>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row>
    <row r="678" spans="1:25" ht="16.3">
      <c r="A678" s="17"/>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row>
    <row r="679" spans="1:25" ht="16.3">
      <c r="A679" s="17"/>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row>
    <row r="680" spans="1:25" ht="16.3">
      <c r="A680" s="17"/>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row>
    <row r="681" spans="1:25" ht="16.3">
      <c r="A681" s="17"/>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row>
    <row r="682" spans="1:25" ht="16.3">
      <c r="A682" s="17"/>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row>
    <row r="683" spans="1:25" ht="16.3">
      <c r="A683" s="17"/>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row>
    <row r="684" spans="1:25" ht="16.3">
      <c r="A684" s="17"/>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row>
    <row r="685" spans="1:25" ht="16.3">
      <c r="A685" s="17"/>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row>
    <row r="686" spans="1:25" ht="16.3">
      <c r="A686" s="17"/>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row>
    <row r="687" spans="1:25" ht="16.3">
      <c r="A687" s="17"/>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row>
    <row r="688" spans="1:25" ht="16.3">
      <c r="A688" s="17"/>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row>
    <row r="689" spans="1:25" ht="16.3">
      <c r="A689" s="17"/>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row>
    <row r="690" spans="1:25" ht="16.3">
      <c r="A690" s="17"/>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row>
    <row r="691" spans="1:25" ht="16.3">
      <c r="A691" s="17"/>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row>
    <row r="692" spans="1:25" ht="16.3">
      <c r="A692" s="17"/>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row>
    <row r="693" spans="1:25" ht="16.3">
      <c r="A693" s="17"/>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row>
    <row r="694" spans="1:25" ht="16.3">
      <c r="A694" s="17"/>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row>
    <row r="695" spans="1:25" ht="16.3">
      <c r="A695" s="17"/>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row>
    <row r="696" spans="1:25" ht="16.3">
      <c r="A696" s="17"/>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row>
    <row r="697" spans="1:25" ht="16.3">
      <c r="A697" s="17"/>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row>
    <row r="698" spans="1:25" ht="16.3">
      <c r="A698" s="17"/>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row>
    <row r="699" spans="1:25" ht="16.3">
      <c r="A699" s="17"/>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row>
    <row r="700" spans="1:25" ht="16.3">
      <c r="A700" s="17"/>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row>
    <row r="701" spans="1:25" ht="16.3">
      <c r="A701" s="17"/>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row>
    <row r="702" spans="1:25" ht="16.3">
      <c r="A702" s="17"/>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row>
    <row r="703" spans="1:25" ht="16.3">
      <c r="A703" s="17"/>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row>
    <row r="704" spans="1:25" ht="16.3">
      <c r="A704" s="17"/>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row>
    <row r="705" spans="1:25" ht="16.3">
      <c r="A705" s="17"/>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row>
    <row r="706" spans="1:25" ht="16.3">
      <c r="A706" s="17"/>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row>
    <row r="707" spans="1:25" ht="16.3">
      <c r="A707" s="17"/>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row>
    <row r="708" spans="1:25" ht="16.3">
      <c r="A708" s="17"/>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row>
    <row r="709" spans="1:25" ht="16.3">
      <c r="A709" s="17"/>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row>
    <row r="710" spans="1:25" ht="16.3">
      <c r="A710" s="17"/>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row>
    <row r="711" spans="1:25" ht="16.3">
      <c r="A711" s="17"/>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row>
    <row r="712" spans="1:25" ht="16.3">
      <c r="A712" s="17"/>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row>
    <row r="713" spans="1:25" ht="16.3">
      <c r="A713" s="17"/>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row>
    <row r="714" spans="1:25" ht="16.3">
      <c r="A714" s="17"/>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row>
    <row r="715" spans="1:25" ht="16.3">
      <c r="A715" s="17"/>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row>
    <row r="716" spans="1:25" ht="16.3">
      <c r="A716" s="17"/>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row>
    <row r="717" spans="1:25" ht="16.3">
      <c r="A717" s="17"/>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row>
    <row r="718" spans="1:25" ht="16.3">
      <c r="A718" s="17"/>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row>
    <row r="719" spans="1:25" ht="16.3">
      <c r="A719" s="17"/>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row>
    <row r="720" spans="1:25" ht="16.3">
      <c r="A720" s="17"/>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row>
    <row r="721" spans="1:25" ht="16.3">
      <c r="A721" s="17"/>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row>
    <row r="722" spans="1:25" ht="16.3">
      <c r="A722" s="17"/>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row>
    <row r="723" spans="1:25" ht="16.3">
      <c r="A723" s="17"/>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row>
    <row r="724" spans="1:25" ht="16.3">
      <c r="A724" s="17"/>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row>
    <row r="725" spans="1:25" ht="16.3">
      <c r="A725" s="17"/>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row>
    <row r="726" spans="1:25" ht="16.3">
      <c r="A726" s="17"/>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row>
    <row r="727" spans="1:25" ht="16.3">
      <c r="A727" s="17"/>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row>
    <row r="728" spans="1:25" ht="16.3">
      <c r="A728" s="17"/>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row>
    <row r="729" spans="1:25" ht="16.3">
      <c r="A729" s="17"/>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row>
    <row r="730" spans="1:25" ht="16.3">
      <c r="A730" s="17"/>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row>
    <row r="731" spans="1:25" ht="16.3">
      <c r="A731" s="17"/>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row>
    <row r="732" spans="1:25" ht="16.3">
      <c r="A732" s="17"/>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row>
    <row r="733" spans="1:25" ht="16.3">
      <c r="A733" s="17"/>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row>
    <row r="734" spans="1:25" ht="16.3">
      <c r="A734" s="17"/>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row>
    <row r="735" spans="1:25" ht="16.3">
      <c r="A735" s="17"/>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row>
    <row r="736" spans="1:25" ht="16.3">
      <c r="A736" s="17"/>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row>
    <row r="737" spans="1:25" ht="16.3">
      <c r="A737" s="17"/>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row>
    <row r="738" spans="1:25" ht="16.3">
      <c r="A738" s="17"/>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row>
    <row r="739" spans="1:25" ht="16.3">
      <c r="A739" s="17"/>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row>
    <row r="740" spans="1:25" ht="16.3">
      <c r="A740" s="17"/>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row>
    <row r="741" spans="1:25" ht="16.3">
      <c r="A741" s="17"/>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row>
    <row r="742" spans="1:25" ht="16.3">
      <c r="A742" s="17"/>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row>
    <row r="743" spans="1:25" ht="16.3">
      <c r="A743" s="17"/>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row>
    <row r="744" spans="1:25" ht="16.3">
      <c r="A744" s="17"/>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row>
    <row r="745" spans="1:25" ht="16.3">
      <c r="A745" s="17"/>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row>
    <row r="746" spans="1:25" ht="16.3">
      <c r="A746" s="17"/>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row>
    <row r="747" spans="1:25" ht="16.3">
      <c r="A747" s="17"/>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row>
    <row r="748" spans="1:25" ht="16.3">
      <c r="A748" s="17"/>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row>
    <row r="749" spans="1:25" ht="16.3">
      <c r="A749" s="17"/>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row>
    <row r="750" spans="1:25" ht="16.3">
      <c r="A750" s="17"/>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row>
    <row r="751" spans="1:25" ht="16.3">
      <c r="A751" s="17"/>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row>
    <row r="752" spans="1:25" ht="16.3">
      <c r="A752" s="17"/>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row>
    <row r="753" spans="1:25" ht="16.3">
      <c r="A753" s="17"/>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row>
    <row r="754" spans="1:25" ht="16.3">
      <c r="A754" s="17"/>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row>
    <row r="755" spans="1:25" ht="16.3">
      <c r="A755" s="17"/>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row>
    <row r="756" spans="1:25" ht="16.3">
      <c r="A756" s="17"/>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row>
    <row r="757" spans="1:25" ht="16.3">
      <c r="A757" s="17"/>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row>
    <row r="758" spans="1:25" ht="16.3">
      <c r="A758" s="17"/>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row>
    <row r="759" spans="1:25" ht="16.3">
      <c r="A759" s="17"/>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row>
    <row r="760" spans="1:25" ht="16.3">
      <c r="A760" s="17"/>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row>
    <row r="761" spans="1:25" ht="16.3">
      <c r="A761" s="17"/>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row>
    <row r="762" spans="1:25" ht="16.3">
      <c r="A762" s="17"/>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row>
    <row r="763" spans="1:25" ht="16.3">
      <c r="A763" s="17"/>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row>
    <row r="764" spans="1:25" ht="16.3">
      <c r="A764" s="17"/>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row>
    <row r="765" spans="1:25" ht="16.3">
      <c r="A765" s="17"/>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row>
    <row r="766" spans="1:25" ht="16.3">
      <c r="A766" s="17"/>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row>
    <row r="767" spans="1:25" ht="16.3">
      <c r="A767" s="17"/>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row>
    <row r="768" spans="1:25" ht="16.3">
      <c r="A768" s="17"/>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row>
    <row r="769" spans="1:25" ht="16.3">
      <c r="A769" s="17"/>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row>
    <row r="770" spans="1:25" ht="16.3">
      <c r="A770" s="17"/>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row>
    <row r="771" spans="1:25" ht="16.3">
      <c r="A771" s="17"/>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row>
    <row r="772" spans="1:25" ht="16.3">
      <c r="A772" s="17"/>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row>
    <row r="773" spans="1:25" ht="16.3">
      <c r="A773" s="17"/>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row>
    <row r="774" spans="1:25" ht="16.3">
      <c r="A774" s="17"/>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row>
    <row r="775" spans="1:25" ht="16.3">
      <c r="A775" s="17"/>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row>
    <row r="776" spans="1:25" ht="16.3">
      <c r="A776" s="17"/>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row>
    <row r="777" spans="1:25" ht="16.3">
      <c r="A777" s="17"/>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row>
    <row r="778" spans="1:25" ht="16.3">
      <c r="A778" s="17"/>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row>
    <row r="779" spans="1:25" ht="16.3">
      <c r="A779" s="17"/>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row>
    <row r="780" spans="1:25" ht="16.3">
      <c r="A780" s="17"/>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row>
    <row r="781" spans="1:25" ht="16.3">
      <c r="A781" s="17"/>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row>
    <row r="782" spans="1:25" ht="16.3">
      <c r="A782" s="17"/>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row>
    <row r="783" spans="1:25" ht="16.3">
      <c r="A783" s="17"/>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row>
    <row r="784" spans="1:25" ht="16.3">
      <c r="A784" s="17"/>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row>
    <row r="785" spans="1:25" ht="16.3">
      <c r="A785" s="17"/>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row>
    <row r="786" spans="1:25" ht="16.3">
      <c r="A786" s="17"/>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row>
    <row r="787" spans="1:25" ht="16.3">
      <c r="A787" s="17"/>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row>
    <row r="788" spans="1:25" ht="16.3">
      <c r="A788" s="17"/>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row>
    <row r="789" spans="1:25" ht="16.3">
      <c r="A789" s="17"/>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row>
    <row r="790" spans="1:25" ht="16.3">
      <c r="A790" s="17"/>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row>
    <row r="791" spans="1:25" ht="16.3">
      <c r="A791" s="17"/>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row>
    <row r="792" spans="1:25" ht="16.3">
      <c r="A792" s="17"/>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row>
    <row r="793" spans="1:25" ht="16.3">
      <c r="A793" s="17"/>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row>
    <row r="794" spans="1:25" ht="16.3">
      <c r="A794" s="17"/>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row>
    <row r="795" spans="1:25" ht="16.3">
      <c r="A795" s="17"/>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row>
    <row r="796" spans="1:25" ht="16.3">
      <c r="A796" s="17"/>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row>
    <row r="797" spans="1:25" ht="16.3">
      <c r="A797" s="17"/>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row>
    <row r="798" spans="1:25" ht="16.3">
      <c r="A798" s="17"/>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row>
    <row r="799" spans="1:25" ht="16.3">
      <c r="A799" s="17"/>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row>
    <row r="800" spans="1:25" ht="16.3">
      <c r="A800" s="17"/>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row>
    <row r="801" spans="1:25" ht="16.3">
      <c r="A801" s="17"/>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row>
    <row r="802" spans="1:25" ht="16.3">
      <c r="A802" s="17"/>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row>
    <row r="803" spans="1:25" ht="16.3">
      <c r="A803" s="17"/>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row>
    <row r="804" spans="1:25" ht="16.3">
      <c r="A804" s="17"/>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row>
    <row r="805" spans="1:25" ht="16.3">
      <c r="A805" s="17"/>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row>
    <row r="806" spans="1:25" ht="16.3">
      <c r="A806" s="17"/>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row>
    <row r="807" spans="1:25" ht="16.3">
      <c r="A807" s="17"/>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row>
    <row r="808" spans="1:25" ht="16.3">
      <c r="A808" s="17"/>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row>
    <row r="809" spans="1:25" ht="16.3">
      <c r="A809" s="17"/>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row>
    <row r="810" spans="1:25" ht="16.3">
      <c r="A810" s="17"/>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row>
    <row r="811" spans="1:25" ht="16.3">
      <c r="A811" s="17"/>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row>
    <row r="812" spans="1:25" ht="16.3">
      <c r="A812" s="17"/>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row>
    <row r="813" spans="1:25" ht="16.3">
      <c r="A813" s="17"/>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row>
    <row r="814" spans="1:25" ht="16.3">
      <c r="A814" s="17"/>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row>
    <row r="815" spans="1:25" ht="16.3">
      <c r="A815" s="17"/>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row>
    <row r="816" spans="1:25" ht="16.3">
      <c r="A816" s="17"/>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row>
    <row r="817" spans="1:25" ht="16.3">
      <c r="A817" s="17"/>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row>
    <row r="818" spans="1:25" ht="16.3">
      <c r="A818" s="17"/>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row>
    <row r="819" spans="1:25" ht="16.3">
      <c r="A819" s="17"/>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row>
    <row r="820" spans="1:25" ht="16.3">
      <c r="A820" s="17"/>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row>
    <row r="821" spans="1:25" ht="16.3">
      <c r="A821" s="17"/>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row>
    <row r="822" spans="1:25" ht="16.3">
      <c r="A822" s="17"/>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row>
    <row r="823" spans="1:25" ht="16.3">
      <c r="A823" s="17"/>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row>
    <row r="824" spans="1:25" ht="16.3">
      <c r="A824" s="17"/>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row>
    <row r="825" spans="1:25" ht="16.3">
      <c r="A825" s="17"/>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row>
    <row r="826" spans="1:25" ht="16.3">
      <c r="A826" s="17"/>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row>
    <row r="827" spans="1:25" ht="16.3">
      <c r="A827" s="17"/>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row>
    <row r="828" spans="1:25" ht="16.3">
      <c r="A828" s="17"/>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row>
    <row r="829" spans="1:25" ht="16.3">
      <c r="A829" s="17"/>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row>
    <row r="830" spans="1:25" ht="16.3">
      <c r="A830" s="17"/>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row>
    <row r="831" spans="1:25" ht="16.3">
      <c r="A831" s="17"/>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row>
    <row r="832" spans="1:25" ht="16.3">
      <c r="A832" s="17"/>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row>
    <row r="833" spans="1:25" ht="16.3">
      <c r="A833" s="17"/>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row>
    <row r="834" spans="1:25" ht="16.3">
      <c r="A834" s="17"/>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row>
    <row r="835" spans="1:25" ht="16.3">
      <c r="A835" s="17"/>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row>
    <row r="836" spans="1:25" ht="16.3">
      <c r="A836" s="17"/>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row>
    <row r="837" spans="1:25" ht="16.3">
      <c r="A837" s="17"/>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row>
    <row r="838" spans="1:25" ht="16.3">
      <c r="A838" s="17"/>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row>
    <row r="839" spans="1:25" ht="16.3">
      <c r="A839" s="17"/>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row>
    <row r="840" spans="1:25" ht="16.3">
      <c r="A840" s="17"/>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row>
    <row r="841" spans="1:25" ht="16.3">
      <c r="A841" s="17"/>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row>
    <row r="842" spans="1:25" ht="16.3">
      <c r="A842" s="17"/>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row>
    <row r="843" spans="1:25" ht="16.3">
      <c r="A843" s="17"/>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row>
    <row r="844" spans="1:25" ht="16.3">
      <c r="A844" s="17"/>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row>
    <row r="845" spans="1:25" ht="16.3">
      <c r="A845" s="17"/>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row>
    <row r="846" spans="1:25" ht="16.3">
      <c r="A846" s="17"/>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row>
    <row r="847" spans="1:25" ht="16.3">
      <c r="A847" s="17"/>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row>
    <row r="848" spans="1:25" ht="16.3">
      <c r="A848" s="17"/>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row>
    <row r="849" spans="1:25" ht="16.3">
      <c r="A849" s="17"/>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row>
    <row r="850" spans="1:25" ht="16.3">
      <c r="A850" s="17"/>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row>
    <row r="851" spans="1:25" ht="16.3">
      <c r="A851" s="17"/>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row>
    <row r="852" spans="1:25" ht="16.3">
      <c r="A852" s="17"/>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row>
    <row r="853" spans="1:25" ht="16.3">
      <c r="A853" s="17"/>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row>
    <row r="854" spans="1:25" ht="16.3">
      <c r="A854" s="17"/>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row>
    <row r="855" spans="1:25" ht="16.3">
      <c r="A855" s="17"/>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row>
    <row r="856" spans="1:25" ht="16.3">
      <c r="A856" s="17"/>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row>
    <row r="857" spans="1:25" ht="16.3">
      <c r="A857" s="17"/>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row>
    <row r="858" spans="1:25" ht="16.3">
      <c r="A858" s="17"/>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row>
    <row r="859" spans="1:25" ht="16.3">
      <c r="A859" s="17"/>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row>
    <row r="860" spans="1:25" ht="16.3">
      <c r="A860" s="17"/>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row>
    <row r="861" spans="1:25" ht="16.3">
      <c r="A861" s="17"/>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row>
    <row r="862" spans="1:25" ht="16.3">
      <c r="A862" s="17"/>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row>
    <row r="863" spans="1:25" ht="16.3">
      <c r="A863" s="17"/>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row>
    <row r="864" spans="1:25" ht="16.3">
      <c r="A864" s="17"/>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row>
    <row r="865" spans="1:25" ht="16.3">
      <c r="A865" s="17"/>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row>
    <row r="866" spans="1:25" ht="16.3">
      <c r="A866" s="17"/>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row>
    <row r="867" spans="1:25" ht="16.3">
      <c r="A867" s="17"/>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row>
    <row r="868" spans="1:25" ht="16.3">
      <c r="A868" s="17"/>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row>
    <row r="869" spans="1:25" ht="16.3">
      <c r="A869" s="17"/>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row>
    <row r="870" spans="1:25" ht="16.3">
      <c r="A870" s="17"/>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row>
    <row r="871" spans="1:25" ht="16.3">
      <c r="A871" s="17"/>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row>
    <row r="872" spans="1:25" ht="16.3">
      <c r="A872" s="17"/>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row>
    <row r="873" spans="1:25" ht="16.3">
      <c r="A873" s="17"/>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row>
    <row r="874" spans="1:25" ht="16.3">
      <c r="A874" s="17"/>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row>
    <row r="875" spans="1:25" ht="16.3">
      <c r="A875" s="17"/>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row>
    <row r="876" spans="1:25" ht="16.3">
      <c r="A876" s="17"/>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row>
    <row r="877" spans="1:25" ht="16.3">
      <c r="A877" s="17"/>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row>
    <row r="878" spans="1:25" ht="16.3">
      <c r="A878" s="17"/>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row>
    <row r="879" spans="1:25" ht="16.3">
      <c r="A879" s="17"/>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row>
    <row r="880" spans="1:25" ht="16.3">
      <c r="A880" s="17"/>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row>
    <row r="881" spans="1:25" ht="16.3">
      <c r="A881" s="17"/>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row>
    <row r="882" spans="1:25" ht="16.3">
      <c r="A882" s="17"/>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row>
    <row r="883" spans="1:25" ht="16.3">
      <c r="A883" s="17"/>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row>
    <row r="884" spans="1:25" ht="16.3">
      <c r="A884" s="17"/>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row>
    <row r="885" spans="1:25" ht="16.3">
      <c r="A885" s="17"/>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row>
    <row r="886" spans="1:25" ht="16.3">
      <c r="A886" s="17"/>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row>
    <row r="887" spans="1:25" ht="16.3">
      <c r="A887" s="17"/>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row>
    <row r="888" spans="1:25" ht="16.3">
      <c r="A888" s="17"/>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row>
    <row r="889" spans="1:25" ht="16.3">
      <c r="A889" s="17"/>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row>
    <row r="890" spans="1:25" ht="16.3">
      <c r="A890" s="17"/>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row>
    <row r="891" spans="1:25" ht="16.3">
      <c r="A891" s="17"/>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row>
    <row r="892" spans="1:25" ht="16.3">
      <c r="A892" s="17"/>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row>
    <row r="893" spans="1:25" ht="16.3">
      <c r="A893" s="17"/>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row>
    <row r="894" spans="1:25" ht="16.3">
      <c r="A894" s="17"/>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row>
    <row r="895" spans="1:25" ht="16.3">
      <c r="A895" s="17"/>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row>
    <row r="896" spans="1:25" ht="16.3">
      <c r="A896" s="17"/>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row>
    <row r="897" spans="1:25" ht="16.3">
      <c r="A897" s="17"/>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row>
    <row r="898" spans="1:25" ht="16.3">
      <c r="A898" s="17"/>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row>
    <row r="899" spans="1:25" ht="16.3">
      <c r="A899" s="17"/>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row>
    <row r="900" spans="1:25" ht="16.3">
      <c r="A900" s="17"/>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row>
    <row r="901" spans="1:25" ht="16.3">
      <c r="A901" s="17"/>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row>
    <row r="902" spans="1:25" ht="16.3">
      <c r="A902" s="17"/>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row>
    <row r="903" spans="1:25" ht="16.3">
      <c r="A903" s="17"/>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row>
    <row r="904" spans="1:25" ht="16.3">
      <c r="A904" s="17"/>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row>
    <row r="905" spans="1:25" ht="16.3">
      <c r="A905" s="17"/>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row>
    <row r="906" spans="1:25" ht="16.3">
      <c r="A906" s="17"/>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row>
    <row r="907" spans="1:25" ht="16.3">
      <c r="A907" s="17"/>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row>
    <row r="908" spans="1:25" ht="16.3">
      <c r="A908" s="17"/>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row>
    <row r="909" spans="1:25" ht="16.3">
      <c r="A909" s="17"/>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row>
    <row r="910" spans="1:25" ht="16.3">
      <c r="A910" s="17"/>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row>
    <row r="911" spans="1:25" ht="16.3">
      <c r="A911" s="17"/>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row>
    <row r="912" spans="1:25" ht="16.3">
      <c r="A912" s="17"/>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row>
    <row r="913" spans="1:25" ht="16.3">
      <c r="A913" s="17"/>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row>
    <row r="914" spans="1:25" ht="16.3">
      <c r="A914" s="17"/>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row>
    <row r="915" spans="1:25" ht="16.3">
      <c r="A915" s="17"/>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row>
    <row r="916" spans="1:25" ht="16.3">
      <c r="A916" s="17"/>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row>
    <row r="917" spans="1:25" ht="16.3">
      <c r="A917" s="17"/>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row>
    <row r="918" spans="1:25" ht="16.3">
      <c r="A918" s="17"/>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row>
    <row r="919" spans="1:25" ht="16.3">
      <c r="A919" s="17"/>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row>
    <row r="920" spans="1:25" ht="16.3">
      <c r="A920" s="17"/>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row>
    <row r="921" spans="1:25" ht="16.3">
      <c r="A921" s="17"/>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row>
    <row r="922" spans="1:25" ht="16.3">
      <c r="A922" s="17"/>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row>
    <row r="923" spans="1:25" ht="16.3">
      <c r="A923" s="17"/>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row>
    <row r="924" spans="1:25" ht="16.3">
      <c r="A924" s="17"/>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row>
    <row r="925" spans="1:25" ht="16.3">
      <c r="A925" s="17"/>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row>
    <row r="926" spans="1:25" ht="16.3">
      <c r="A926" s="17"/>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row>
    <row r="927" spans="1:25" ht="16.3">
      <c r="A927" s="17"/>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row>
    <row r="928" spans="1:25" ht="16.3">
      <c r="A928" s="17"/>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row>
    <row r="929" spans="1:25" ht="16.3">
      <c r="A929" s="17"/>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row>
    <row r="930" spans="1:25" ht="16.3">
      <c r="A930" s="17"/>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row>
    <row r="931" spans="1:25" ht="16.3">
      <c r="A931" s="17"/>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row>
    <row r="932" spans="1:25" ht="16.3">
      <c r="A932" s="17"/>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row>
    <row r="933" spans="1:25" ht="16.3">
      <c r="A933" s="17"/>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row>
    <row r="934" spans="1:25" ht="16.3">
      <c r="A934" s="17"/>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row>
    <row r="935" spans="1:25" ht="16.3">
      <c r="A935" s="17"/>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row>
    <row r="936" spans="1:25" ht="16.3">
      <c r="A936" s="17"/>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row>
    <row r="937" spans="1:25" ht="16.3">
      <c r="A937" s="17"/>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row>
    <row r="938" spans="1:25" ht="16.3">
      <c r="A938" s="17"/>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row>
    <row r="939" spans="1:25" ht="16.3">
      <c r="A939" s="17"/>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row>
    <row r="940" spans="1:25" ht="16.3">
      <c r="A940" s="17"/>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row>
    <row r="941" spans="1:25" ht="16.3">
      <c r="A941" s="17"/>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row>
    <row r="942" spans="1:25" ht="16.3">
      <c r="A942" s="17"/>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row>
    <row r="943" spans="1:25" ht="16.3">
      <c r="A943" s="17"/>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row>
    <row r="944" spans="1:25" ht="16.3">
      <c r="A944" s="17"/>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row>
    <row r="945" spans="1:25" ht="16.3">
      <c r="A945" s="17"/>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row>
    <row r="946" spans="1:25" ht="16.3">
      <c r="A946" s="17"/>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row>
    <row r="947" spans="1:25" ht="16.3">
      <c r="A947" s="17"/>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row>
    <row r="948" spans="1:25" ht="16.3">
      <c r="A948" s="17"/>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row>
    <row r="949" spans="1:25" ht="16.3">
      <c r="A949" s="17"/>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row>
    <row r="950" spans="1:25" ht="16.3">
      <c r="A950" s="17"/>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row>
    <row r="951" spans="1:25" ht="16.3">
      <c r="A951" s="17"/>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row>
    <row r="952" spans="1:25" ht="16.3">
      <c r="A952" s="17"/>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row>
    <row r="953" spans="1:25" ht="16.3">
      <c r="A953" s="17"/>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row>
    <row r="954" spans="1:25" ht="16.3">
      <c r="A954" s="17"/>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row>
    <row r="955" spans="1:25" ht="16.3">
      <c r="A955" s="17"/>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row>
    <row r="956" spans="1:25" ht="16.3">
      <c r="A956" s="17"/>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row>
    <row r="957" spans="1:25" ht="16.3">
      <c r="A957" s="17"/>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row>
    <row r="958" spans="1:25" ht="16.3">
      <c r="A958" s="17"/>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row>
    <row r="959" spans="1:25" ht="16.3">
      <c r="A959" s="17"/>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row>
    <row r="960" spans="1:25" ht="16.3">
      <c r="A960" s="17"/>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row>
    <row r="961" spans="1:25" ht="16.3">
      <c r="A961" s="17"/>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row>
    <row r="962" spans="1:25" ht="16.3">
      <c r="A962" s="17"/>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row>
    <row r="963" spans="1:25" ht="16.3">
      <c r="A963" s="17"/>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row>
    <row r="964" spans="1:25" ht="16.3">
      <c r="A964" s="17"/>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row>
    <row r="965" spans="1:25" ht="16.3">
      <c r="A965" s="17"/>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row>
    <row r="966" spans="1:25" ht="16.3">
      <c r="A966" s="17"/>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row>
    <row r="967" spans="1:25" ht="16.3">
      <c r="A967" s="17"/>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row>
    <row r="968" spans="1:25" ht="16.3">
      <c r="A968" s="17"/>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row>
    <row r="969" spans="1:25" ht="16.3">
      <c r="A969" s="17"/>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row>
    <row r="970" spans="1:25" ht="16.3">
      <c r="A970" s="17"/>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row>
    <row r="971" spans="1:25" ht="16.3">
      <c r="A971" s="17"/>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row>
    <row r="972" spans="1:25" ht="16.3">
      <c r="A972" s="17"/>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row>
    <row r="973" spans="1:25" ht="16.3">
      <c r="A973" s="17"/>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row>
    <row r="974" spans="1:25" ht="16.3">
      <c r="A974" s="17"/>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row>
    <row r="975" spans="1:25" ht="16.3">
      <c r="A975" s="17"/>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row>
    <row r="976" spans="1:25" ht="16.3">
      <c r="A976" s="17"/>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row>
    <row r="977" spans="1:25" ht="16.3">
      <c r="A977" s="17"/>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row>
    <row r="978" spans="1:25" ht="16.3">
      <c r="A978" s="17"/>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row>
    <row r="979" spans="1:25" ht="16.3">
      <c r="A979" s="17"/>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row>
    <row r="980" spans="1:25" ht="16.3">
      <c r="A980" s="17"/>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row>
    <row r="981" spans="1:25" ht="16.3">
      <c r="A981" s="17"/>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row>
    <row r="982" spans="1:25" ht="16.3">
      <c r="A982" s="17"/>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row>
    <row r="983" spans="1:25" ht="16.3">
      <c r="A983" s="17"/>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row>
    <row r="984" spans="1:25" ht="16.3">
      <c r="A984" s="17"/>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row>
    <row r="985" spans="1:25" ht="16.3">
      <c r="A985" s="17"/>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row>
    <row r="986" spans="1:25" ht="16.3">
      <c r="A986" s="17"/>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row>
    <row r="987" spans="1:25" ht="16.3">
      <c r="A987" s="17"/>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row>
    <row r="988" spans="1:25" ht="16.3">
      <c r="A988" s="17"/>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row>
    <row r="989" spans="1:25" ht="16.3">
      <c r="A989" s="17"/>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row>
    <row r="990" spans="1:25" ht="16.3">
      <c r="A990" s="17"/>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row>
    <row r="991" spans="1:25" ht="16.3">
      <c r="A991" s="17"/>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row>
    <row r="992" spans="1:25" ht="16.3">
      <c r="A992" s="17"/>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C1135"/>
  <sheetViews>
    <sheetView tabSelected="1" workbookViewId="0">
      <pane xSplit="2" ySplit="2" topLeftCell="H90" activePane="bottomRight" state="frozen"/>
      <selection pane="topRight" activeCell="C1" sqref="C1"/>
      <selection pane="bottomLeft" activeCell="A3" sqref="A3"/>
      <selection pane="bottomRight" activeCell="O90" sqref="O90"/>
    </sheetView>
  </sheetViews>
  <sheetFormatPr defaultColWidth="14.375" defaultRowHeight="15.8" customHeight="1"/>
  <cols>
    <col min="1" max="1" width="9.25" customWidth="1"/>
    <col min="2" max="2" width="16.25" customWidth="1"/>
    <col min="3" max="3" width="37.875" customWidth="1"/>
    <col min="4" max="4" width="14.375" customWidth="1"/>
    <col min="5" max="6" width="25.25" customWidth="1"/>
    <col min="7" max="7" width="21.75" customWidth="1"/>
    <col min="8" max="8" width="17.375" customWidth="1"/>
    <col min="9" max="9" width="10.625" customWidth="1"/>
    <col min="10" max="10" width="12.875" customWidth="1"/>
    <col min="11" max="11" width="8.625" customWidth="1"/>
    <col min="12" max="12" width="29" customWidth="1"/>
    <col min="13" max="13" width="29.125" customWidth="1"/>
    <col min="14" max="14" width="29.875" customWidth="1"/>
    <col min="15" max="15" width="28.625" customWidth="1"/>
    <col min="16" max="16" width="9.375" customWidth="1"/>
    <col min="17" max="17" width="8.125" hidden="1" customWidth="1"/>
    <col min="18" max="18" width="8.125" customWidth="1"/>
  </cols>
  <sheetData>
    <row r="1" spans="1:29" ht="12.9">
      <c r="A1" s="297" t="s">
        <v>2</v>
      </c>
      <c r="B1" s="297" t="s">
        <v>3</v>
      </c>
      <c r="C1" s="297" t="s">
        <v>5</v>
      </c>
      <c r="D1" s="297" t="s">
        <v>6</v>
      </c>
      <c r="E1" s="303" t="s">
        <v>7</v>
      </c>
      <c r="F1" s="304"/>
      <c r="G1" s="297" t="s">
        <v>9</v>
      </c>
      <c r="H1" s="302" t="s">
        <v>14</v>
      </c>
      <c r="I1" s="295" t="s">
        <v>19</v>
      </c>
      <c r="J1" s="295" t="s">
        <v>31</v>
      </c>
      <c r="K1" s="295" t="s">
        <v>33</v>
      </c>
      <c r="L1" s="297" t="s">
        <v>34</v>
      </c>
      <c r="M1" s="297" t="s">
        <v>36</v>
      </c>
      <c r="N1" s="299" t="s">
        <v>39</v>
      </c>
      <c r="O1" s="301" t="s">
        <v>44</v>
      </c>
      <c r="P1" s="300" t="s">
        <v>46</v>
      </c>
      <c r="Q1" s="300" t="s">
        <v>47</v>
      </c>
      <c r="R1" s="300" t="s">
        <v>48</v>
      </c>
      <c r="S1" s="21"/>
      <c r="T1" s="21"/>
      <c r="U1" s="21"/>
      <c r="V1" s="21"/>
      <c r="W1" s="21"/>
      <c r="X1" s="21"/>
      <c r="Y1" s="21"/>
      <c r="Z1" s="21"/>
      <c r="AA1" s="21"/>
      <c r="AB1" s="21"/>
      <c r="AC1" s="21"/>
    </row>
    <row r="2" spans="1:29" ht="12.9">
      <c r="A2" s="298"/>
      <c r="B2" s="298"/>
      <c r="C2" s="298"/>
      <c r="D2" s="298"/>
      <c r="E2" s="23" t="s">
        <v>59</v>
      </c>
      <c r="F2" s="23" t="s">
        <v>68</v>
      </c>
      <c r="G2" s="298"/>
      <c r="H2" s="296"/>
      <c r="I2" s="296"/>
      <c r="J2" s="296"/>
      <c r="K2" s="296"/>
      <c r="L2" s="298"/>
      <c r="M2" s="298"/>
      <c r="N2" s="298"/>
      <c r="O2" s="298"/>
      <c r="P2" s="298"/>
      <c r="Q2" s="298"/>
      <c r="R2" s="298"/>
      <c r="S2" s="24"/>
      <c r="T2" s="24"/>
      <c r="U2" s="24"/>
      <c r="V2" s="24"/>
      <c r="W2" s="24"/>
      <c r="X2" s="24"/>
      <c r="Y2" s="24"/>
      <c r="Z2" s="24"/>
      <c r="AA2" s="24"/>
      <c r="AB2" s="24"/>
      <c r="AC2" s="24"/>
    </row>
    <row r="3" spans="1:29" ht="409.6">
      <c r="A3" s="25" t="s">
        <v>87</v>
      </c>
      <c r="B3" s="25" t="s">
        <v>95</v>
      </c>
      <c r="C3" s="26" t="s">
        <v>97</v>
      </c>
      <c r="D3" s="26" t="s">
        <v>107</v>
      </c>
      <c r="E3" s="27" t="s">
        <v>109</v>
      </c>
      <c r="F3" s="25" t="s">
        <v>110</v>
      </c>
      <c r="G3" s="31" t="str">
        <f>HYPERLINK("https://www.acquisition.gov/browse/index/far","FAR 1.102-4, FAR 10.001(a)(2)(i) Policy")</f>
        <v>FAR 1.102-4, FAR 10.001(a)(2)(i) Policy</v>
      </c>
      <c r="H3" s="33"/>
      <c r="I3" s="34" t="s">
        <v>111</v>
      </c>
      <c r="J3" s="37" t="s">
        <v>112</v>
      </c>
      <c r="K3" s="37" t="s">
        <v>113</v>
      </c>
      <c r="L3" s="25" t="s">
        <v>114</v>
      </c>
      <c r="M3" s="39" t="s">
        <v>115</v>
      </c>
      <c r="N3" s="41" t="s">
        <v>116</v>
      </c>
      <c r="O3" s="43"/>
      <c r="P3" s="45" t="b">
        <f t="shared" ref="P3:P6" si="0">IF(AND(O3="Meet the requirements traceability “out of the box”"), 10, IF(AND(O3="Can meet the requirements traceability with configuration or through the use of another commercial product “out of the box” or other arrangement as part of the service offering quoted (i.e. at no additional cost)"), 8, IF(AND(O3="Can meet the requirements traceability with customization at additional cost"), 3, IF(AND(O3="Cannot meet the requirements traceability requirement"), 0))))</f>
        <v>0</v>
      </c>
      <c r="Q3" s="45">
        <f t="shared" ref="Q3:Q13" si="1">IF(J3="Unidentified",0,3)</f>
        <v>3</v>
      </c>
      <c r="R3" s="45">
        <f t="shared" ref="R3:R13" si="2">IF(P3=FALSE,0,IF(P3&gt;4,(P3+Q3),P3))</f>
        <v>0</v>
      </c>
      <c r="T3" s="24"/>
      <c r="U3" s="24"/>
      <c r="V3" s="24"/>
      <c r="W3" s="24"/>
      <c r="X3" s="24"/>
      <c r="Y3" s="24"/>
      <c r="Z3" s="24"/>
      <c r="AA3" s="24"/>
      <c r="AB3" s="24"/>
      <c r="AC3" s="24"/>
    </row>
    <row r="4" spans="1:29" ht="130.44999999999999">
      <c r="A4" s="25" t="s">
        <v>87</v>
      </c>
      <c r="B4" s="25" t="s">
        <v>95</v>
      </c>
      <c r="C4" s="26" t="s">
        <v>97</v>
      </c>
      <c r="D4" s="26" t="s">
        <v>117</v>
      </c>
      <c r="E4" s="27" t="s">
        <v>118</v>
      </c>
      <c r="F4" s="25" t="s">
        <v>119</v>
      </c>
      <c r="G4" s="47" t="str">
        <f>HYPERLINK("https://www.acquisition.gov/content/7103-agency-head-responsibilities#i1118821","FAR 7.103 Agency head responsibilities [acquisition planning]")</f>
        <v>FAR 7.103 Agency head responsibilities [acquisition planning]</v>
      </c>
      <c r="H4" s="33"/>
      <c r="I4" s="34" t="s">
        <v>126</v>
      </c>
      <c r="J4" s="37" t="s">
        <v>112</v>
      </c>
      <c r="K4" s="37" t="s">
        <v>127</v>
      </c>
      <c r="L4" s="25" t="s">
        <v>128</v>
      </c>
      <c r="M4" s="39" t="s">
        <v>129</v>
      </c>
      <c r="N4" s="41" t="s">
        <v>130</v>
      </c>
      <c r="O4" s="64"/>
      <c r="P4" s="45" t="b">
        <f t="shared" si="0"/>
        <v>0</v>
      </c>
      <c r="Q4" s="45">
        <f t="shared" si="1"/>
        <v>3</v>
      </c>
      <c r="R4" s="45">
        <f t="shared" si="2"/>
        <v>0</v>
      </c>
      <c r="S4" s="24"/>
      <c r="T4" s="24"/>
      <c r="U4" s="24"/>
      <c r="V4" s="24"/>
      <c r="W4" s="24"/>
      <c r="X4" s="24"/>
      <c r="Y4" s="24"/>
      <c r="Z4" s="24"/>
      <c r="AA4" s="24"/>
      <c r="AB4" s="24"/>
      <c r="AC4" s="24"/>
    </row>
    <row r="5" spans="1:29" ht="239.1">
      <c r="A5" s="25" t="s">
        <v>87</v>
      </c>
      <c r="B5" s="25" t="s">
        <v>95</v>
      </c>
      <c r="C5" s="26" t="s">
        <v>97</v>
      </c>
      <c r="D5" s="26" t="s">
        <v>131</v>
      </c>
      <c r="E5" s="27" t="s">
        <v>132</v>
      </c>
      <c r="F5" s="25" t="s">
        <v>133</v>
      </c>
      <c r="G5" s="50" t="str">
        <f>HYPERLINK("https://www.acquisition.gov/content/subpart-31-safeguards#id1617MA00YYT","FAR 3.101; FAR 3.104")</f>
        <v>FAR 3.101; FAR 3.104</v>
      </c>
      <c r="H5" s="52" t="str">
        <f>HYPERLINK("https://www.acquisition.gov/sites/default/files/current/gsam/html/GSAMTOC503.html#wp434343","GSAM 503.101; GSAM 503.104; Ethics and Procurement Authority from the Office of Governmentwide Ethics @ https://www.fai.gov/pdfs/OGEprocurementintegrity_07.pdf;")</f>
        <v>GSAM 503.101; GSAM 503.104; Ethics and Procurement Authority from the Office of Governmentwide Ethics @ https://www.fai.gov/pdfs/OGEprocurementintegrity_07.pdf;</v>
      </c>
      <c r="I5" s="34" t="s">
        <v>139</v>
      </c>
      <c r="J5" s="37" t="s">
        <v>112</v>
      </c>
      <c r="K5" s="37" t="s">
        <v>140</v>
      </c>
      <c r="L5" s="25" t="s">
        <v>141</v>
      </c>
      <c r="M5" s="39" t="s">
        <v>142</v>
      </c>
      <c r="N5" s="41" t="s">
        <v>143</v>
      </c>
      <c r="O5" s="64"/>
      <c r="P5" s="45" t="b">
        <f t="shared" si="0"/>
        <v>0</v>
      </c>
      <c r="Q5" s="45">
        <f t="shared" si="1"/>
        <v>3</v>
      </c>
      <c r="R5" s="45">
        <f t="shared" si="2"/>
        <v>0</v>
      </c>
      <c r="S5" s="24"/>
      <c r="T5" s="24"/>
      <c r="U5" s="24"/>
      <c r="V5" s="24"/>
      <c r="W5" s="24"/>
      <c r="X5" s="24"/>
      <c r="Y5" s="24"/>
      <c r="Z5" s="24"/>
      <c r="AA5" s="24"/>
      <c r="AB5" s="24"/>
      <c r="AC5" s="24"/>
    </row>
    <row r="6" spans="1:29" ht="282.60000000000002">
      <c r="A6" s="25" t="s">
        <v>87</v>
      </c>
      <c r="B6" s="25" t="s">
        <v>95</v>
      </c>
      <c r="C6" s="26" t="s">
        <v>97</v>
      </c>
      <c r="D6" s="26" t="s">
        <v>144</v>
      </c>
      <c r="E6" s="27" t="s">
        <v>145</v>
      </c>
      <c r="F6" s="25" t="s">
        <v>146</v>
      </c>
      <c r="G6" s="50" t="str">
        <f>HYPERLINK("https://www.acquisition.gov/content/subpart-71-acquisition-plans#i1118772","FAR 7.1")</f>
        <v>FAR 7.1</v>
      </c>
      <c r="H6" s="53" t="str">
        <f>HYPERLINK("https://www.acquisition.gov/sites/default/files/current/gsam/html/Part507.html#wp1858104","GSAM 507.1")</f>
        <v>GSAM 507.1</v>
      </c>
      <c r="I6" s="34" t="s">
        <v>150</v>
      </c>
      <c r="J6" s="37" t="s">
        <v>112</v>
      </c>
      <c r="K6" s="37" t="s">
        <v>151</v>
      </c>
      <c r="L6" s="25" t="s">
        <v>152</v>
      </c>
      <c r="M6" s="39" t="s">
        <v>153</v>
      </c>
      <c r="N6" s="41" t="s">
        <v>154</v>
      </c>
      <c r="O6" s="64"/>
      <c r="P6" s="45" t="b">
        <f t="shared" si="0"/>
        <v>0</v>
      </c>
      <c r="Q6" s="45">
        <f t="shared" si="1"/>
        <v>3</v>
      </c>
      <c r="R6" s="45">
        <f t="shared" si="2"/>
        <v>0</v>
      </c>
      <c r="S6" s="24"/>
      <c r="T6" s="24"/>
      <c r="U6" s="24"/>
      <c r="V6" s="24"/>
      <c r="W6" s="24"/>
      <c r="X6" s="24"/>
      <c r="Y6" s="24"/>
      <c r="Z6" s="24"/>
      <c r="AA6" s="24"/>
      <c r="AB6" s="24"/>
      <c r="AC6" s="24"/>
    </row>
    <row r="7" spans="1:29" ht="5.95" customHeight="1">
      <c r="A7" s="55"/>
      <c r="B7" s="55"/>
      <c r="C7" s="56"/>
      <c r="D7" s="56"/>
      <c r="E7" s="55"/>
      <c r="F7" s="55"/>
      <c r="G7" s="59"/>
      <c r="H7" s="60"/>
      <c r="I7" s="61"/>
      <c r="J7" s="60"/>
      <c r="K7" s="60"/>
      <c r="L7" s="63"/>
      <c r="M7" s="63"/>
      <c r="N7" s="63"/>
      <c r="O7" s="64"/>
      <c r="P7" s="45"/>
      <c r="Q7" s="45">
        <f t="shared" si="1"/>
        <v>3</v>
      </c>
      <c r="R7" s="45">
        <f t="shared" si="2"/>
        <v>0</v>
      </c>
      <c r="S7" s="24"/>
      <c r="T7" s="24"/>
      <c r="U7" s="24"/>
      <c r="V7" s="24"/>
      <c r="W7" s="24"/>
      <c r="X7" s="24"/>
      <c r="Y7" s="24"/>
      <c r="Z7" s="24"/>
      <c r="AA7" s="24"/>
      <c r="AB7" s="24"/>
      <c r="AC7" s="24"/>
    </row>
    <row r="8" spans="1:29" ht="119.55">
      <c r="A8" s="25" t="s">
        <v>168</v>
      </c>
      <c r="B8" s="25" t="s">
        <v>169</v>
      </c>
      <c r="C8" s="66" t="s">
        <v>170</v>
      </c>
      <c r="D8" s="66" t="s">
        <v>179</v>
      </c>
      <c r="E8" s="25" t="s">
        <v>180</v>
      </c>
      <c r="F8" s="25" t="s">
        <v>181</v>
      </c>
      <c r="G8" s="67" t="str">
        <f>HYPERLINK("https://www.acquisition.gov/browse/index/far","FAR 7.102(a), FAR 10.001, FAR 17.502-1")</f>
        <v>FAR 7.102(a), FAR 10.001, FAR 17.502-1</v>
      </c>
      <c r="H8" s="68" t="str">
        <f t="shared" ref="H8:H13" si="3">HYPERLINK("https://www.whitehouse.gov/wp-content/uploads/2019/03/M-19-13.pdf","M-19-13 Category Management: Making Smarter Use of Common Contract Solutions and Practices")</f>
        <v>M-19-13 Category Management: Making Smarter Use of Common Contract Solutions and Practices</v>
      </c>
      <c r="I8" s="69" t="s">
        <v>189</v>
      </c>
      <c r="J8" s="37" t="s">
        <v>190</v>
      </c>
      <c r="K8" s="37" t="s">
        <v>191</v>
      </c>
      <c r="L8" s="70" t="s">
        <v>192</v>
      </c>
      <c r="M8" s="39" t="s">
        <v>194</v>
      </c>
      <c r="N8" s="41" t="s">
        <v>196</v>
      </c>
      <c r="O8" s="64"/>
      <c r="P8" s="45" t="b">
        <f t="shared" ref="P8:P13" si="4">IF(AND(O8="Meet the requirements traceability “out of the box”"), 10, IF(AND(O8="Can meet the requirements traceability with configuration or through the use of another commercial product “out of the box” or other arrangement as part of the service offering quoted (i.e. at no additional cost)"), 8, IF(AND(O8="Can meet the requirements traceability with customization at additional cost"), 3, IF(AND(O8="Cannot meet the requirements traceability requirement"), 0))))</f>
        <v>0</v>
      </c>
      <c r="Q8" s="45">
        <f t="shared" si="1"/>
        <v>3</v>
      </c>
      <c r="R8" s="45">
        <f t="shared" si="2"/>
        <v>0</v>
      </c>
      <c r="S8" s="24"/>
      <c r="T8" s="24"/>
      <c r="U8" s="24"/>
      <c r="V8" s="24"/>
      <c r="W8" s="24"/>
      <c r="X8" s="24"/>
      <c r="Y8" s="24"/>
      <c r="Z8" s="24"/>
      <c r="AA8" s="24"/>
      <c r="AB8" s="24"/>
      <c r="AC8" s="24"/>
    </row>
    <row r="9" spans="1:29" ht="260.85000000000002">
      <c r="A9" s="25" t="s">
        <v>168</v>
      </c>
      <c r="B9" s="25" t="s">
        <v>169</v>
      </c>
      <c r="C9" s="66" t="s">
        <v>170</v>
      </c>
      <c r="D9" s="66" t="s">
        <v>179</v>
      </c>
      <c r="E9" s="25" t="s">
        <v>204</v>
      </c>
      <c r="F9" s="25" t="s">
        <v>206</v>
      </c>
      <c r="G9" s="50" t="str">
        <f t="shared" ref="G9:G13" si="5">HYPERLINK("https://www.acquisition.gov/content/17502-1-general#i1102811","FAR 17.502-1(c)")</f>
        <v>FAR 17.502-1(c)</v>
      </c>
      <c r="H9" s="68" t="str">
        <f t="shared" si="3"/>
        <v>M-19-13 Category Management: Making Smarter Use of Common Contract Solutions and Practices</v>
      </c>
      <c r="I9" s="69" t="s">
        <v>210</v>
      </c>
      <c r="J9" s="37" t="s">
        <v>112</v>
      </c>
      <c r="K9" s="37" t="s">
        <v>212</v>
      </c>
      <c r="L9" s="25" t="s">
        <v>213</v>
      </c>
      <c r="M9" s="39" t="s">
        <v>214</v>
      </c>
      <c r="N9" s="41" t="s">
        <v>215</v>
      </c>
      <c r="O9" s="64"/>
      <c r="P9" s="45" t="b">
        <f t="shared" si="4"/>
        <v>0</v>
      </c>
      <c r="Q9" s="45">
        <f t="shared" si="1"/>
        <v>3</v>
      </c>
      <c r="R9" s="45">
        <f t="shared" si="2"/>
        <v>0</v>
      </c>
      <c r="S9" s="24"/>
      <c r="T9" s="24"/>
      <c r="U9" s="24"/>
      <c r="V9" s="24"/>
      <c r="W9" s="24"/>
      <c r="X9" s="24"/>
      <c r="Y9" s="24"/>
      <c r="Z9" s="24"/>
      <c r="AA9" s="24"/>
      <c r="AB9" s="24"/>
      <c r="AC9" s="24"/>
    </row>
    <row r="10" spans="1:29" ht="97.85">
      <c r="A10" s="25" t="s">
        <v>168</v>
      </c>
      <c r="B10" s="25" t="s">
        <v>169</v>
      </c>
      <c r="C10" s="66" t="s">
        <v>170</v>
      </c>
      <c r="D10" s="66" t="s">
        <v>179</v>
      </c>
      <c r="E10" s="25" t="s">
        <v>218</v>
      </c>
      <c r="F10" s="25" t="s">
        <v>219</v>
      </c>
      <c r="G10" s="50" t="str">
        <f t="shared" si="5"/>
        <v>FAR 17.502-1(c)</v>
      </c>
      <c r="H10" s="68" t="str">
        <f t="shared" si="3"/>
        <v>M-19-13 Category Management: Making Smarter Use of Common Contract Solutions and Practices</v>
      </c>
      <c r="I10" s="69" t="s">
        <v>220</v>
      </c>
      <c r="J10" s="37" t="s">
        <v>112</v>
      </c>
      <c r="K10" s="37" t="s">
        <v>221</v>
      </c>
      <c r="L10" s="25" t="s">
        <v>222</v>
      </c>
      <c r="M10" s="25" t="s">
        <v>223</v>
      </c>
      <c r="N10" s="41" t="s">
        <v>224</v>
      </c>
      <c r="O10" s="64"/>
      <c r="P10" s="45" t="b">
        <f t="shared" si="4"/>
        <v>0</v>
      </c>
      <c r="Q10" s="45">
        <f t="shared" si="1"/>
        <v>3</v>
      </c>
      <c r="R10" s="45">
        <f t="shared" si="2"/>
        <v>0</v>
      </c>
      <c r="S10" s="24"/>
      <c r="T10" s="24"/>
      <c r="U10" s="24"/>
      <c r="V10" s="24"/>
      <c r="W10" s="24"/>
      <c r="X10" s="24"/>
      <c r="Y10" s="24"/>
      <c r="Z10" s="24"/>
      <c r="AA10" s="24"/>
      <c r="AB10" s="24"/>
      <c r="AC10" s="24"/>
    </row>
    <row r="11" spans="1:29" ht="152.15">
      <c r="A11" s="25" t="s">
        <v>168</v>
      </c>
      <c r="B11" s="25" t="s">
        <v>169</v>
      </c>
      <c r="C11" s="66" t="s">
        <v>170</v>
      </c>
      <c r="D11" s="66" t="s">
        <v>179</v>
      </c>
      <c r="E11" s="25" t="s">
        <v>227</v>
      </c>
      <c r="F11" s="25" t="s">
        <v>228</v>
      </c>
      <c r="G11" s="50" t="str">
        <f t="shared" si="5"/>
        <v>FAR 17.502-1(c)</v>
      </c>
      <c r="H11" s="68" t="str">
        <f t="shared" si="3"/>
        <v>M-19-13 Category Management: Making Smarter Use of Common Contract Solutions and Practices</v>
      </c>
      <c r="I11" s="69" t="s">
        <v>232</v>
      </c>
      <c r="J11" s="37" t="s">
        <v>112</v>
      </c>
      <c r="K11" s="37" t="s">
        <v>233</v>
      </c>
      <c r="L11" s="25" t="s">
        <v>234</v>
      </c>
      <c r="M11" s="39" t="s">
        <v>235</v>
      </c>
      <c r="N11" s="41" t="s">
        <v>236</v>
      </c>
      <c r="O11" s="64"/>
      <c r="P11" s="45" t="b">
        <f t="shared" si="4"/>
        <v>0</v>
      </c>
      <c r="Q11" s="45">
        <f t="shared" si="1"/>
        <v>3</v>
      </c>
      <c r="R11" s="45">
        <f t="shared" si="2"/>
        <v>0</v>
      </c>
      <c r="S11" s="24"/>
      <c r="T11" s="24"/>
      <c r="U11" s="24"/>
      <c r="V11" s="24"/>
      <c r="W11" s="24"/>
      <c r="X11" s="24"/>
      <c r="Y11" s="24"/>
      <c r="Z11" s="24"/>
      <c r="AA11" s="24"/>
      <c r="AB11" s="24"/>
      <c r="AC11" s="24"/>
    </row>
    <row r="12" spans="1:29" ht="152.15">
      <c r="A12" s="25" t="s">
        <v>168</v>
      </c>
      <c r="B12" s="25" t="s">
        <v>169</v>
      </c>
      <c r="C12" s="66" t="s">
        <v>170</v>
      </c>
      <c r="D12" s="66" t="s">
        <v>179</v>
      </c>
      <c r="E12" s="25" t="s">
        <v>237</v>
      </c>
      <c r="F12" s="25" t="s">
        <v>238</v>
      </c>
      <c r="G12" s="50" t="str">
        <f t="shared" si="5"/>
        <v>FAR 17.502-1(c)</v>
      </c>
      <c r="H12" s="68" t="str">
        <f t="shared" si="3"/>
        <v>M-19-13 Category Management: Making Smarter Use of Common Contract Solutions and Practices</v>
      </c>
      <c r="I12" s="69" t="s">
        <v>232</v>
      </c>
      <c r="J12" s="37" t="s">
        <v>112</v>
      </c>
      <c r="K12" s="37" t="s">
        <v>239</v>
      </c>
      <c r="L12" s="25" t="s">
        <v>240</v>
      </c>
      <c r="M12" s="39" t="s">
        <v>241</v>
      </c>
      <c r="N12" s="41" t="s">
        <v>242</v>
      </c>
      <c r="O12" s="64"/>
      <c r="P12" s="45" t="b">
        <f t="shared" si="4"/>
        <v>0</v>
      </c>
      <c r="Q12" s="45">
        <f t="shared" si="1"/>
        <v>3</v>
      </c>
      <c r="R12" s="45">
        <f t="shared" si="2"/>
        <v>0</v>
      </c>
      <c r="S12" s="24"/>
      <c r="T12" s="24"/>
      <c r="U12" s="24"/>
      <c r="V12" s="24"/>
      <c r="W12" s="24"/>
      <c r="X12" s="24"/>
      <c r="Y12" s="24"/>
      <c r="Z12" s="24"/>
      <c r="AA12" s="24"/>
      <c r="AB12" s="24"/>
      <c r="AC12" s="24"/>
    </row>
    <row r="13" spans="1:29" ht="108.7">
      <c r="A13" s="25" t="s">
        <v>168</v>
      </c>
      <c r="B13" s="25" t="s">
        <v>169</v>
      </c>
      <c r="C13" s="66" t="s">
        <v>170</v>
      </c>
      <c r="D13" s="66" t="s">
        <v>179</v>
      </c>
      <c r="E13" s="25" t="s">
        <v>243</v>
      </c>
      <c r="F13" s="25" t="s">
        <v>201</v>
      </c>
      <c r="G13" s="50" t="str">
        <f t="shared" si="5"/>
        <v>FAR 17.502-1(c)</v>
      </c>
      <c r="H13" s="68" t="str">
        <f t="shared" si="3"/>
        <v>M-19-13 Category Management: Making Smarter Use of Common Contract Solutions and Practices</v>
      </c>
      <c r="I13" s="69" t="s">
        <v>250</v>
      </c>
      <c r="J13" s="37" t="s">
        <v>190</v>
      </c>
      <c r="K13" s="37" t="s">
        <v>251</v>
      </c>
      <c r="L13" s="25" t="s">
        <v>252</v>
      </c>
      <c r="M13" s="25" t="s">
        <v>253</v>
      </c>
      <c r="N13" s="41" t="s">
        <v>254</v>
      </c>
      <c r="O13" s="64"/>
      <c r="P13" s="45" t="b">
        <f t="shared" si="4"/>
        <v>0</v>
      </c>
      <c r="Q13" s="45">
        <f t="shared" si="1"/>
        <v>3</v>
      </c>
      <c r="R13" s="45">
        <f t="shared" si="2"/>
        <v>0</v>
      </c>
      <c r="S13" s="24"/>
      <c r="T13" s="24"/>
      <c r="U13" s="24"/>
      <c r="V13" s="24"/>
      <c r="W13" s="24"/>
      <c r="X13" s="24"/>
      <c r="Y13" s="24"/>
      <c r="Z13" s="24"/>
      <c r="AA13" s="24"/>
      <c r="AB13" s="24"/>
      <c r="AC13" s="24"/>
    </row>
    <row r="14" spans="1:29" ht="4.5999999999999996" customHeight="1">
      <c r="A14" s="55"/>
      <c r="B14" s="55"/>
      <c r="C14" s="56"/>
      <c r="D14" s="56"/>
      <c r="E14" s="55"/>
      <c r="F14" s="55"/>
      <c r="G14" s="59"/>
      <c r="H14" s="60"/>
      <c r="I14" s="61"/>
      <c r="J14" s="60"/>
      <c r="K14" s="60"/>
      <c r="L14" s="63"/>
      <c r="M14" s="63"/>
      <c r="N14" s="63"/>
      <c r="O14" s="64"/>
      <c r="P14" s="45"/>
      <c r="Q14" s="45"/>
      <c r="R14" s="45"/>
      <c r="S14" s="24"/>
      <c r="T14" s="24"/>
      <c r="U14" s="24"/>
      <c r="V14" s="24"/>
      <c r="W14" s="24"/>
      <c r="X14" s="24"/>
      <c r="Y14" s="24"/>
      <c r="Z14" s="24"/>
      <c r="AA14" s="24"/>
      <c r="AB14" s="24"/>
      <c r="AC14" s="24"/>
    </row>
    <row r="15" spans="1:29" ht="184.75">
      <c r="A15" s="25" t="s">
        <v>261</v>
      </c>
      <c r="B15" s="25" t="s">
        <v>262</v>
      </c>
      <c r="C15" s="66" t="s">
        <v>263</v>
      </c>
      <c r="D15" s="26" t="s">
        <v>264</v>
      </c>
      <c r="E15" s="25" t="s">
        <v>265</v>
      </c>
      <c r="F15" s="54" t="s">
        <v>266</v>
      </c>
      <c r="G15" s="73" t="str">
        <f t="shared" ref="G15:G16" si="6">HYPERLINK("https://www.acquisition.gov/content/10001-policy#i1114676","FAR 10.001 Policy [market research]")</f>
        <v>FAR 10.001 Policy [market research]</v>
      </c>
      <c r="H15" s="74"/>
      <c r="I15" s="69" t="s">
        <v>267</v>
      </c>
      <c r="J15" s="37" t="s">
        <v>268</v>
      </c>
      <c r="K15" s="37" t="s">
        <v>269</v>
      </c>
      <c r="L15" s="70" t="s">
        <v>270</v>
      </c>
      <c r="M15" s="39" t="s">
        <v>271</v>
      </c>
      <c r="N15" s="41" t="s">
        <v>274</v>
      </c>
      <c r="O15" s="64"/>
      <c r="P15" s="45" t="b">
        <f t="shared" ref="P15:P38" si="7">IF(AND(O15="Meet the requirements traceability “out of the box”"), 10, IF(AND(O15="Can meet the requirements traceability with configuration or through the use of another commercial product “out of the box” or other arrangement as part of the service offering quoted (i.e. at no additional cost)"), 8, IF(AND(O15="Can meet the requirements traceability with customization at additional cost"), 3, IF(AND(O15="Cannot meet the requirements traceability requirement"), 0))))</f>
        <v>0</v>
      </c>
      <c r="Q15" s="45">
        <f t="shared" ref="Q15:Q38" si="8">IF(J15="Unidentified",0,3)</f>
        <v>3</v>
      </c>
      <c r="R15" s="45">
        <f t="shared" ref="R15:R38" si="9">IF(P15=FALSE,0,IF(P15&gt;4,(P15+Q15),P15))</f>
        <v>0</v>
      </c>
      <c r="S15" s="24"/>
      <c r="T15" s="24"/>
      <c r="U15" s="24"/>
      <c r="V15" s="24"/>
      <c r="W15" s="24"/>
      <c r="X15" s="24"/>
      <c r="Y15" s="24"/>
      <c r="Z15" s="24"/>
      <c r="AA15" s="24"/>
      <c r="AB15" s="24"/>
      <c r="AC15" s="24"/>
    </row>
    <row r="16" spans="1:29" ht="130.44999999999999">
      <c r="A16" s="25" t="s">
        <v>261</v>
      </c>
      <c r="B16" s="25" t="s">
        <v>262</v>
      </c>
      <c r="C16" s="66" t="s">
        <v>263</v>
      </c>
      <c r="D16" s="26" t="s">
        <v>277</v>
      </c>
      <c r="E16" s="27" t="s">
        <v>278</v>
      </c>
      <c r="F16" s="25" t="s">
        <v>279</v>
      </c>
      <c r="G16" s="73" t="str">
        <f t="shared" si="6"/>
        <v>FAR 10.001 Policy [market research]</v>
      </c>
      <c r="H16" s="74"/>
      <c r="I16" s="34" t="s">
        <v>282</v>
      </c>
      <c r="J16" s="37" t="s">
        <v>268</v>
      </c>
      <c r="K16" s="37" t="s">
        <v>283</v>
      </c>
      <c r="L16" s="25" t="s">
        <v>284</v>
      </c>
      <c r="M16" s="39" t="s">
        <v>285</v>
      </c>
      <c r="N16" s="41" t="s">
        <v>286</v>
      </c>
      <c r="O16" s="64"/>
      <c r="P16" s="45" t="b">
        <f t="shared" si="7"/>
        <v>0</v>
      </c>
      <c r="Q16" s="45">
        <f t="shared" si="8"/>
        <v>3</v>
      </c>
      <c r="R16" s="45">
        <f t="shared" si="9"/>
        <v>0</v>
      </c>
      <c r="S16" s="24"/>
      <c r="T16" s="24"/>
      <c r="U16" s="24"/>
      <c r="V16" s="24"/>
      <c r="W16" s="24"/>
      <c r="X16" s="24"/>
      <c r="Y16" s="24"/>
      <c r="Z16" s="24"/>
      <c r="AA16" s="24"/>
      <c r="AB16" s="24"/>
      <c r="AC16" s="24"/>
    </row>
    <row r="17" spans="1:29" ht="97.85">
      <c r="A17" s="25" t="s">
        <v>261</v>
      </c>
      <c r="B17" s="25" t="s">
        <v>262</v>
      </c>
      <c r="C17" s="66" t="s">
        <v>263</v>
      </c>
      <c r="D17" s="26" t="s">
        <v>287</v>
      </c>
      <c r="E17" s="27" t="s">
        <v>288</v>
      </c>
      <c r="F17" s="25" t="s">
        <v>167</v>
      </c>
      <c r="G17" s="73" t="str">
        <f>HYPERLINK("https://www.acquisition.gov/browse/index/far","FAR 10.002(b)(2) Procedures [market research]. FAR 7.103(n) Agency-head responsibilities [acquisition plans]")</f>
        <v>FAR 10.002(b)(2) Procedures [market research]. FAR 7.103(n) Agency-head responsibilities [acquisition plans]</v>
      </c>
      <c r="H17" s="76" t="str">
        <f t="shared" ref="H17:H26" si="10">HYPERLINK("https://www.acquisition.gov/sites/default/files/current/gsam/html/Part510.html","GSAM 510.002")</f>
        <v>GSAM 510.002</v>
      </c>
      <c r="I17" s="34" t="s">
        <v>291</v>
      </c>
      <c r="J17" s="37" t="s">
        <v>190</v>
      </c>
      <c r="K17" s="37" t="s">
        <v>292</v>
      </c>
      <c r="L17" s="25" t="s">
        <v>293</v>
      </c>
      <c r="M17" s="25" t="s">
        <v>294</v>
      </c>
      <c r="N17" s="41" t="s">
        <v>298</v>
      </c>
      <c r="O17" s="64"/>
      <c r="P17" s="45" t="b">
        <f t="shared" si="7"/>
        <v>0</v>
      </c>
      <c r="Q17" s="45">
        <f t="shared" si="8"/>
        <v>3</v>
      </c>
      <c r="R17" s="45">
        <f t="shared" si="9"/>
        <v>0</v>
      </c>
      <c r="S17" s="24"/>
      <c r="T17" s="24"/>
      <c r="U17" s="24"/>
      <c r="V17" s="24"/>
      <c r="W17" s="24"/>
      <c r="X17" s="24"/>
      <c r="Y17" s="24"/>
      <c r="Z17" s="24"/>
      <c r="AA17" s="24"/>
      <c r="AB17" s="24"/>
      <c r="AC17" s="24"/>
    </row>
    <row r="18" spans="1:29" ht="130.44999999999999">
      <c r="A18" s="25" t="s">
        <v>261</v>
      </c>
      <c r="B18" s="25" t="s">
        <v>262</v>
      </c>
      <c r="C18" s="66" t="s">
        <v>263</v>
      </c>
      <c r="D18" s="26" t="s">
        <v>299</v>
      </c>
      <c r="E18" s="27" t="s">
        <v>300</v>
      </c>
      <c r="F18" s="54" t="s">
        <v>301</v>
      </c>
      <c r="G18" s="73" t="str">
        <f>HYPERLINK("https://www.acquisition.gov/content/10002-procedures#i1114728","FAR 10.002(b)(2)(i) Procedures [market research]")</f>
        <v>FAR 10.002(b)(2)(i) Procedures [market research]</v>
      </c>
      <c r="H18" s="76" t="str">
        <f t="shared" si="10"/>
        <v>GSAM 510.002</v>
      </c>
      <c r="I18" s="34" t="s">
        <v>139</v>
      </c>
      <c r="J18" s="37" t="s">
        <v>112</v>
      </c>
      <c r="K18" s="37" t="s">
        <v>302</v>
      </c>
      <c r="L18" s="70" t="s">
        <v>303</v>
      </c>
      <c r="M18" s="25" t="s">
        <v>304</v>
      </c>
      <c r="N18" s="41" t="s">
        <v>307</v>
      </c>
      <c r="O18" s="64"/>
      <c r="P18" s="45" t="b">
        <f t="shared" si="7"/>
        <v>0</v>
      </c>
      <c r="Q18" s="45">
        <f t="shared" si="8"/>
        <v>3</v>
      </c>
      <c r="R18" s="45">
        <f t="shared" si="9"/>
        <v>0</v>
      </c>
      <c r="S18" s="24"/>
      <c r="T18" s="24"/>
      <c r="U18" s="24"/>
      <c r="V18" s="24"/>
      <c r="W18" s="24"/>
      <c r="X18" s="24"/>
      <c r="Y18" s="24"/>
      <c r="Z18" s="24"/>
      <c r="AA18" s="24"/>
      <c r="AB18" s="24"/>
      <c r="AC18" s="24"/>
    </row>
    <row r="19" spans="1:29" ht="108.7">
      <c r="A19" s="25" t="s">
        <v>261</v>
      </c>
      <c r="B19" s="25" t="s">
        <v>262</v>
      </c>
      <c r="C19" s="66" t="s">
        <v>263</v>
      </c>
      <c r="D19" s="26" t="s">
        <v>311</v>
      </c>
      <c r="E19" s="27" t="s">
        <v>312</v>
      </c>
      <c r="F19" s="25" t="s">
        <v>167</v>
      </c>
      <c r="G19" s="73" t="str">
        <f>HYPERLINK("https://www.acquisition.gov/content/10002-procedures#i1114728","FAR 10.002(b)(2)(ii) Procedures [market research]")</f>
        <v>FAR 10.002(b)(2)(ii) Procedures [market research]</v>
      </c>
      <c r="H19" s="76" t="str">
        <f t="shared" si="10"/>
        <v>GSAM 510.002</v>
      </c>
      <c r="I19" s="34" t="s">
        <v>317</v>
      </c>
      <c r="J19" s="37" t="s">
        <v>268</v>
      </c>
      <c r="K19" s="37" t="s">
        <v>319</v>
      </c>
      <c r="L19" s="25" t="s">
        <v>293</v>
      </c>
      <c r="M19" s="25" t="s">
        <v>320</v>
      </c>
      <c r="N19" s="41" t="s">
        <v>321</v>
      </c>
      <c r="O19" s="64"/>
      <c r="P19" s="45" t="b">
        <f t="shared" si="7"/>
        <v>0</v>
      </c>
      <c r="Q19" s="45">
        <f t="shared" si="8"/>
        <v>3</v>
      </c>
      <c r="R19" s="45">
        <f t="shared" si="9"/>
        <v>0</v>
      </c>
      <c r="S19" s="24"/>
      <c r="T19" s="24"/>
      <c r="U19" s="24"/>
      <c r="V19" s="24"/>
      <c r="W19" s="24"/>
      <c r="X19" s="24"/>
      <c r="Y19" s="24"/>
      <c r="Z19" s="24"/>
      <c r="AA19" s="24"/>
      <c r="AB19" s="24"/>
      <c r="AC19" s="24"/>
    </row>
    <row r="20" spans="1:29" ht="108.7">
      <c r="A20" s="25" t="s">
        <v>261</v>
      </c>
      <c r="B20" s="25" t="s">
        <v>262</v>
      </c>
      <c r="C20" s="66" t="s">
        <v>263</v>
      </c>
      <c r="D20" s="26" t="s">
        <v>324</v>
      </c>
      <c r="E20" s="27" t="s">
        <v>326</v>
      </c>
      <c r="F20" s="25" t="s">
        <v>167</v>
      </c>
      <c r="G20" s="73" t="str">
        <f>HYPERLINK("https://www.acquisition.gov/content/10002-procedures#i1114728","FAR 10.002(b)(2)(iii) Procedures [market research]")</f>
        <v>FAR 10.002(b)(2)(iii) Procedures [market research]</v>
      </c>
      <c r="H20" s="76" t="str">
        <f t="shared" si="10"/>
        <v>GSAM 510.002</v>
      </c>
      <c r="I20" s="34" t="s">
        <v>329</v>
      </c>
      <c r="J20" s="37" t="s">
        <v>268</v>
      </c>
      <c r="K20" s="37" t="s">
        <v>330</v>
      </c>
      <c r="L20" s="70" t="s">
        <v>331</v>
      </c>
      <c r="M20" s="39" t="s">
        <v>332</v>
      </c>
      <c r="N20" s="41" t="s">
        <v>333</v>
      </c>
      <c r="O20" s="64"/>
      <c r="P20" s="45" t="b">
        <f t="shared" si="7"/>
        <v>0</v>
      </c>
      <c r="Q20" s="45">
        <f t="shared" si="8"/>
        <v>3</v>
      </c>
      <c r="R20" s="45">
        <f t="shared" si="9"/>
        <v>0</v>
      </c>
      <c r="S20" s="24"/>
      <c r="T20" s="24"/>
      <c r="U20" s="24"/>
      <c r="V20" s="24"/>
      <c r="W20" s="24"/>
      <c r="X20" s="24"/>
      <c r="Y20" s="24"/>
      <c r="Z20" s="24"/>
      <c r="AA20" s="24"/>
      <c r="AB20" s="24"/>
      <c r="AC20" s="24"/>
    </row>
    <row r="21" spans="1:29" ht="141.30000000000001">
      <c r="A21" s="25" t="s">
        <v>261</v>
      </c>
      <c r="B21" s="25" t="s">
        <v>262</v>
      </c>
      <c r="C21" s="66" t="s">
        <v>263</v>
      </c>
      <c r="D21" s="26" t="s">
        <v>335</v>
      </c>
      <c r="E21" s="27" t="s">
        <v>336</v>
      </c>
      <c r="F21" s="25" t="s">
        <v>337</v>
      </c>
      <c r="G21" s="73" t="str">
        <f>HYPERLINK("https://www.acquisition.gov/content/10002-procedures#i1114728","FAR 10.002(b)(2)(iv) Procedures [market research].")</f>
        <v>FAR 10.002(b)(2)(iv) Procedures [market research].</v>
      </c>
      <c r="H21" s="76" t="str">
        <f t="shared" si="10"/>
        <v>GSAM 510.002</v>
      </c>
      <c r="I21" s="34" t="s">
        <v>317</v>
      </c>
      <c r="J21" s="37" t="s">
        <v>268</v>
      </c>
      <c r="K21" s="37" t="s">
        <v>339</v>
      </c>
      <c r="L21" s="25" t="s">
        <v>340</v>
      </c>
      <c r="M21" s="25" t="s">
        <v>341</v>
      </c>
      <c r="N21" s="41" t="s">
        <v>342</v>
      </c>
      <c r="O21" s="64"/>
      <c r="P21" s="45" t="b">
        <f t="shared" si="7"/>
        <v>0</v>
      </c>
      <c r="Q21" s="45">
        <f t="shared" si="8"/>
        <v>3</v>
      </c>
      <c r="R21" s="45">
        <f t="shared" si="9"/>
        <v>0</v>
      </c>
      <c r="S21" s="24"/>
      <c r="T21" s="24"/>
      <c r="U21" s="24"/>
      <c r="V21" s="24"/>
      <c r="W21" s="24"/>
      <c r="X21" s="24"/>
      <c r="Y21" s="24"/>
      <c r="Z21" s="24"/>
      <c r="AA21" s="24"/>
      <c r="AB21" s="24"/>
      <c r="AC21" s="24"/>
    </row>
    <row r="22" spans="1:29" ht="97.85">
      <c r="A22" s="25" t="s">
        <v>261</v>
      </c>
      <c r="B22" s="25" t="s">
        <v>262</v>
      </c>
      <c r="C22" s="66" t="s">
        <v>263</v>
      </c>
      <c r="D22" s="26" t="s">
        <v>345</v>
      </c>
      <c r="E22" s="27" t="s">
        <v>346</v>
      </c>
      <c r="F22" s="25" t="s">
        <v>347</v>
      </c>
      <c r="G22" s="73" t="str">
        <f>HYPERLINK("https://www.acquisition.gov/content/10002-procedures#i1114728","FAR 10.002(b)(2)(v) Procedures [market research].")</f>
        <v>FAR 10.002(b)(2)(v) Procedures [market research].</v>
      </c>
      <c r="H22" s="76" t="str">
        <f t="shared" si="10"/>
        <v>GSAM 510.002</v>
      </c>
      <c r="I22" s="34" t="s">
        <v>350</v>
      </c>
      <c r="J22" s="37" t="s">
        <v>268</v>
      </c>
      <c r="K22" s="37" t="s">
        <v>352</v>
      </c>
      <c r="L22" s="25" t="s">
        <v>353</v>
      </c>
      <c r="M22" s="25" t="s">
        <v>354</v>
      </c>
      <c r="N22" s="41" t="s">
        <v>355</v>
      </c>
      <c r="O22" s="64"/>
      <c r="P22" s="45" t="b">
        <f t="shared" si="7"/>
        <v>0</v>
      </c>
      <c r="Q22" s="45">
        <f t="shared" si="8"/>
        <v>3</v>
      </c>
      <c r="R22" s="45">
        <f t="shared" si="9"/>
        <v>0</v>
      </c>
      <c r="S22" s="24"/>
      <c r="T22" s="24"/>
      <c r="U22" s="24"/>
      <c r="V22" s="24"/>
      <c r="W22" s="24"/>
      <c r="X22" s="24"/>
      <c r="Y22" s="24"/>
      <c r="Z22" s="24"/>
      <c r="AA22" s="24"/>
      <c r="AB22" s="24"/>
      <c r="AC22" s="24"/>
    </row>
    <row r="23" spans="1:29" ht="119.55">
      <c r="A23" s="25" t="s">
        <v>261</v>
      </c>
      <c r="B23" s="25" t="s">
        <v>262</v>
      </c>
      <c r="C23" s="66" t="s">
        <v>263</v>
      </c>
      <c r="D23" s="26" t="s">
        <v>359</v>
      </c>
      <c r="E23" s="27" t="s">
        <v>360</v>
      </c>
      <c r="F23" s="54" t="s">
        <v>167</v>
      </c>
      <c r="G23" s="73" t="str">
        <f>HYPERLINK("https://www.acquisition.gov/content/10002-procedures#i1114728","FAR 10.002(b)(2)(vi) Procedures [market research]")</f>
        <v>FAR 10.002(b)(2)(vi) Procedures [market research]</v>
      </c>
      <c r="H23" s="76" t="str">
        <f t="shared" si="10"/>
        <v>GSAM 510.002</v>
      </c>
      <c r="I23" s="34" t="s">
        <v>282</v>
      </c>
      <c r="J23" s="37" t="s">
        <v>268</v>
      </c>
      <c r="K23" s="37" t="s">
        <v>361</v>
      </c>
      <c r="L23" s="25" t="s">
        <v>362</v>
      </c>
      <c r="M23" s="39" t="s">
        <v>363</v>
      </c>
      <c r="N23" s="41" t="s">
        <v>364</v>
      </c>
      <c r="O23" s="64"/>
      <c r="P23" s="45" t="b">
        <f t="shared" si="7"/>
        <v>0</v>
      </c>
      <c r="Q23" s="45">
        <f t="shared" si="8"/>
        <v>3</v>
      </c>
      <c r="R23" s="45">
        <f t="shared" si="9"/>
        <v>0</v>
      </c>
      <c r="S23" s="24"/>
      <c r="T23" s="24"/>
      <c r="U23" s="24"/>
      <c r="V23" s="24"/>
      <c r="W23" s="24"/>
      <c r="X23" s="24"/>
      <c r="Y23" s="24"/>
      <c r="Z23" s="24"/>
      <c r="AA23" s="24"/>
      <c r="AB23" s="24"/>
      <c r="AC23" s="24"/>
    </row>
    <row r="24" spans="1:29" ht="130.44999999999999">
      <c r="A24" s="25" t="s">
        <v>261</v>
      </c>
      <c r="B24" s="25" t="s">
        <v>262</v>
      </c>
      <c r="C24" s="66" t="s">
        <v>263</v>
      </c>
      <c r="D24" s="26" t="s">
        <v>367</v>
      </c>
      <c r="E24" s="27" t="s">
        <v>368</v>
      </c>
      <c r="F24" s="25" t="s">
        <v>369</v>
      </c>
      <c r="G24" s="73" t="str">
        <f>HYPERLINK("https://www.acquisition.gov/content/10002-procedures#i1114728","FAR 10.002(b)(2)(vii) Procedures [market research]")</f>
        <v>FAR 10.002(b)(2)(vii) Procedures [market research]</v>
      </c>
      <c r="H24" s="76" t="str">
        <f t="shared" si="10"/>
        <v>GSAM 510.002</v>
      </c>
      <c r="I24" s="34" t="s">
        <v>371</v>
      </c>
      <c r="J24" s="37" t="s">
        <v>268</v>
      </c>
      <c r="K24" s="37" t="s">
        <v>374</v>
      </c>
      <c r="L24" s="25" t="s">
        <v>375</v>
      </c>
      <c r="M24" s="39" t="s">
        <v>376</v>
      </c>
      <c r="N24" s="41" t="s">
        <v>377</v>
      </c>
      <c r="O24" s="64"/>
      <c r="P24" s="45" t="b">
        <f t="shared" si="7"/>
        <v>0</v>
      </c>
      <c r="Q24" s="45">
        <f t="shared" si="8"/>
        <v>3</v>
      </c>
      <c r="R24" s="45">
        <f t="shared" si="9"/>
        <v>0</v>
      </c>
      <c r="S24" s="24"/>
      <c r="T24" s="24"/>
      <c r="U24" s="24"/>
      <c r="V24" s="24"/>
      <c r="W24" s="24"/>
      <c r="X24" s="24"/>
      <c r="Y24" s="24"/>
      <c r="Z24" s="24"/>
      <c r="AA24" s="24"/>
      <c r="AB24" s="24"/>
      <c r="AC24" s="24"/>
    </row>
    <row r="25" spans="1:29" ht="195.65">
      <c r="A25" s="25" t="s">
        <v>261</v>
      </c>
      <c r="B25" s="25" t="s">
        <v>262</v>
      </c>
      <c r="C25" s="66" t="s">
        <v>263</v>
      </c>
      <c r="D25" s="26" t="s">
        <v>380</v>
      </c>
      <c r="E25" s="27" t="s">
        <v>381</v>
      </c>
      <c r="F25" s="25" t="s">
        <v>382</v>
      </c>
      <c r="G25" s="73" t="str">
        <f>HYPERLINK("https://www.acquisition.gov/content/10002-procedures#i1114728","FAR 10.002(b)(2)(viii) Procedures [market research]")</f>
        <v>FAR 10.002(b)(2)(viii) Procedures [market research]</v>
      </c>
      <c r="H25" s="76" t="str">
        <f t="shared" si="10"/>
        <v>GSAM 510.002</v>
      </c>
      <c r="I25" s="34" t="s">
        <v>386</v>
      </c>
      <c r="J25" s="37" t="s">
        <v>190</v>
      </c>
      <c r="K25" s="37" t="s">
        <v>387</v>
      </c>
      <c r="L25" s="78" t="s">
        <v>388</v>
      </c>
      <c r="M25" s="39" t="s">
        <v>389</v>
      </c>
      <c r="N25" s="41" t="s">
        <v>390</v>
      </c>
      <c r="O25" s="64"/>
      <c r="P25" s="45" t="b">
        <f t="shared" si="7"/>
        <v>0</v>
      </c>
      <c r="Q25" s="45">
        <f t="shared" si="8"/>
        <v>3</v>
      </c>
      <c r="R25" s="45">
        <f t="shared" si="9"/>
        <v>0</v>
      </c>
      <c r="S25" s="24"/>
      <c r="T25" s="24"/>
      <c r="U25" s="24"/>
      <c r="V25" s="24"/>
      <c r="W25" s="24"/>
      <c r="X25" s="24"/>
      <c r="Y25" s="24"/>
      <c r="Z25" s="24"/>
      <c r="AA25" s="24"/>
      <c r="AB25" s="24"/>
      <c r="AC25" s="24"/>
    </row>
    <row r="26" spans="1:29" ht="130.44999999999999">
      <c r="A26" s="25" t="s">
        <v>261</v>
      </c>
      <c r="B26" s="25" t="s">
        <v>262</v>
      </c>
      <c r="C26" s="66" t="s">
        <v>263</v>
      </c>
      <c r="D26" s="26" t="s">
        <v>393</v>
      </c>
      <c r="E26" s="25" t="s">
        <v>394</v>
      </c>
      <c r="F26" s="25" t="s">
        <v>395</v>
      </c>
      <c r="G26" s="73" t="str">
        <f>HYPERLINK("https://www.acquisition.gov/content/10002-procedures#i1114728","FAR 10.002(e) Procedures [market research]")</f>
        <v>FAR 10.002(e) Procedures [market research]</v>
      </c>
      <c r="H26" s="76" t="str">
        <f t="shared" si="10"/>
        <v>GSAM 510.002</v>
      </c>
      <c r="I26" s="34" t="s">
        <v>396</v>
      </c>
      <c r="J26" s="37" t="s">
        <v>268</v>
      </c>
      <c r="K26" s="37" t="s">
        <v>397</v>
      </c>
      <c r="L26" s="25" t="s">
        <v>399</v>
      </c>
      <c r="M26" s="39" t="s">
        <v>401</v>
      </c>
      <c r="N26" s="41" t="s">
        <v>403</v>
      </c>
      <c r="O26" s="64"/>
      <c r="P26" s="45" t="b">
        <f t="shared" si="7"/>
        <v>0</v>
      </c>
      <c r="Q26" s="45">
        <f t="shared" si="8"/>
        <v>3</v>
      </c>
      <c r="R26" s="45">
        <f t="shared" si="9"/>
        <v>0</v>
      </c>
      <c r="S26" s="24"/>
      <c r="T26" s="24"/>
      <c r="U26" s="24"/>
      <c r="V26" s="24"/>
      <c r="W26" s="24"/>
      <c r="X26" s="24"/>
      <c r="Y26" s="24"/>
      <c r="Z26" s="24"/>
      <c r="AA26" s="24"/>
      <c r="AB26" s="24"/>
      <c r="AC26" s="24"/>
    </row>
    <row r="27" spans="1:29" ht="128.25" customHeight="1">
      <c r="A27" s="25" t="s">
        <v>261</v>
      </c>
      <c r="B27" s="25" t="s">
        <v>262</v>
      </c>
      <c r="C27" s="66" t="s">
        <v>263</v>
      </c>
      <c r="D27" s="66" t="s">
        <v>404</v>
      </c>
      <c r="E27" s="25" t="s">
        <v>406</v>
      </c>
      <c r="F27" s="79" t="s">
        <v>167</v>
      </c>
      <c r="G27" s="50" t="str">
        <f>HYPERLINK("https://www.acquisition.gov/content/13102-source-list#id1617MD00TVX","FAR 13.102 Source list [simplified acquisition procedures].")</f>
        <v>FAR 13.102 Source list [simplified acquisition procedures].</v>
      </c>
      <c r="H27" s="33"/>
      <c r="I27" s="34" t="s">
        <v>408</v>
      </c>
      <c r="J27" s="37" t="s">
        <v>268</v>
      </c>
      <c r="K27" s="37" t="s">
        <v>409</v>
      </c>
      <c r="L27" s="25" t="s">
        <v>410</v>
      </c>
      <c r="M27" s="39" t="s">
        <v>412</v>
      </c>
      <c r="N27" s="41" t="s">
        <v>414</v>
      </c>
      <c r="O27" s="64"/>
      <c r="P27" s="45" t="b">
        <f t="shared" si="7"/>
        <v>0</v>
      </c>
      <c r="Q27" s="45">
        <f t="shared" si="8"/>
        <v>3</v>
      </c>
      <c r="R27" s="45">
        <f t="shared" si="9"/>
        <v>0</v>
      </c>
      <c r="S27" s="24"/>
      <c r="T27" s="24"/>
      <c r="U27" s="24"/>
      <c r="V27" s="24"/>
      <c r="W27" s="24"/>
      <c r="X27" s="24"/>
      <c r="Y27" s="24"/>
      <c r="Z27" s="24"/>
      <c r="AA27" s="24"/>
      <c r="AB27" s="24"/>
      <c r="AC27" s="24"/>
    </row>
    <row r="28" spans="1:29" ht="86.95">
      <c r="A28" s="25" t="s">
        <v>261</v>
      </c>
      <c r="B28" s="25" t="s">
        <v>262</v>
      </c>
      <c r="C28" s="66" t="s">
        <v>263</v>
      </c>
      <c r="D28" s="66" t="s">
        <v>415</v>
      </c>
      <c r="E28" s="25" t="s">
        <v>416</v>
      </c>
      <c r="F28" s="79" t="s">
        <v>167</v>
      </c>
      <c r="G28" s="50" t="str">
        <f>HYPERLINK("https://www.acquisition.gov/browse/index/far","FAR Subpart 4.11 System for Award Management. FAR 13.102 Source list [simplified acquisition procedures].")</f>
        <v>FAR Subpart 4.11 System for Award Management. FAR 13.102 Source list [simplified acquisition procedures].</v>
      </c>
      <c r="H28" s="80" t="str">
        <f>HYPERLINK("https://www.acquisition.gov/sites/default/files/current/gsam/html/Part504.html","GSAM 504.11")</f>
        <v>GSAM 504.11</v>
      </c>
      <c r="I28" s="34" t="s">
        <v>408</v>
      </c>
      <c r="J28" s="37" t="s">
        <v>268</v>
      </c>
      <c r="K28" s="37" t="s">
        <v>419</v>
      </c>
      <c r="L28" s="25" t="s">
        <v>420</v>
      </c>
      <c r="M28" s="25" t="s">
        <v>421</v>
      </c>
      <c r="N28" s="41" t="s">
        <v>422</v>
      </c>
      <c r="O28" s="64"/>
      <c r="P28" s="45" t="b">
        <f t="shared" si="7"/>
        <v>0</v>
      </c>
      <c r="Q28" s="45">
        <f t="shared" si="8"/>
        <v>3</v>
      </c>
      <c r="R28" s="45">
        <f t="shared" si="9"/>
        <v>0</v>
      </c>
      <c r="S28" s="24"/>
      <c r="T28" s="24"/>
      <c r="U28" s="24"/>
      <c r="V28" s="24"/>
      <c r="W28" s="24"/>
      <c r="X28" s="24"/>
      <c r="Y28" s="24"/>
      <c r="Z28" s="24"/>
      <c r="AA28" s="24"/>
      <c r="AB28" s="24"/>
      <c r="AC28" s="24"/>
    </row>
    <row r="29" spans="1:29" ht="119.55">
      <c r="A29" s="25" t="s">
        <v>261</v>
      </c>
      <c r="B29" s="25" t="s">
        <v>262</v>
      </c>
      <c r="C29" s="66" t="s">
        <v>263</v>
      </c>
      <c r="D29" s="66" t="s">
        <v>425</v>
      </c>
      <c r="E29" s="25" t="s">
        <v>426</v>
      </c>
      <c r="F29" s="79" t="s">
        <v>167</v>
      </c>
      <c r="G29" s="81" t="s">
        <v>427</v>
      </c>
      <c r="H29" s="33"/>
      <c r="I29" s="34" t="s">
        <v>428</v>
      </c>
      <c r="J29" s="37" t="s">
        <v>268</v>
      </c>
      <c r="K29" s="37" t="s">
        <v>429</v>
      </c>
      <c r="L29" s="25" t="s">
        <v>430</v>
      </c>
      <c r="M29" s="39" t="s">
        <v>431</v>
      </c>
      <c r="N29" s="41" t="s">
        <v>432</v>
      </c>
      <c r="O29" s="64"/>
      <c r="P29" s="45" t="b">
        <f t="shared" si="7"/>
        <v>0</v>
      </c>
      <c r="Q29" s="45">
        <f t="shared" si="8"/>
        <v>3</v>
      </c>
      <c r="R29" s="45">
        <f t="shared" si="9"/>
        <v>0</v>
      </c>
      <c r="S29" s="24"/>
      <c r="T29" s="24"/>
      <c r="U29" s="24"/>
      <c r="V29" s="24"/>
      <c r="W29" s="24"/>
      <c r="X29" s="24"/>
      <c r="Y29" s="24"/>
      <c r="Z29" s="24"/>
      <c r="AA29" s="24"/>
      <c r="AB29" s="24"/>
      <c r="AC29" s="24"/>
    </row>
    <row r="30" spans="1:29" ht="119.55">
      <c r="A30" s="25" t="s">
        <v>261</v>
      </c>
      <c r="B30" s="25" t="s">
        <v>262</v>
      </c>
      <c r="C30" s="66" t="s">
        <v>263</v>
      </c>
      <c r="D30" s="66" t="s">
        <v>435</v>
      </c>
      <c r="E30" s="25" t="s">
        <v>436</v>
      </c>
      <c r="F30" s="79" t="s">
        <v>167</v>
      </c>
      <c r="G30" s="81" t="s">
        <v>427</v>
      </c>
      <c r="H30" s="33"/>
      <c r="I30" s="34" t="s">
        <v>428</v>
      </c>
      <c r="J30" s="37" t="s">
        <v>268</v>
      </c>
      <c r="K30" s="75" t="s">
        <v>429</v>
      </c>
      <c r="L30" s="25" t="s">
        <v>430</v>
      </c>
      <c r="M30" s="39" t="s">
        <v>431</v>
      </c>
      <c r="N30" s="41" t="s">
        <v>432</v>
      </c>
      <c r="O30" s="64"/>
      <c r="P30" s="45" t="b">
        <f t="shared" si="7"/>
        <v>0</v>
      </c>
      <c r="Q30" s="45">
        <f t="shared" si="8"/>
        <v>3</v>
      </c>
      <c r="R30" s="45">
        <f t="shared" si="9"/>
        <v>0</v>
      </c>
      <c r="S30" s="24"/>
      <c r="T30" s="24"/>
      <c r="U30" s="24"/>
      <c r="V30" s="24"/>
      <c r="W30" s="24"/>
      <c r="X30" s="24"/>
      <c r="Y30" s="24"/>
      <c r="Z30" s="24"/>
      <c r="AA30" s="24"/>
      <c r="AB30" s="24"/>
      <c r="AC30" s="24"/>
    </row>
    <row r="31" spans="1:29" ht="119.55">
      <c r="A31" s="25" t="s">
        <v>261</v>
      </c>
      <c r="B31" s="25" t="s">
        <v>262</v>
      </c>
      <c r="C31" s="66" t="s">
        <v>263</v>
      </c>
      <c r="D31" s="66" t="s">
        <v>440</v>
      </c>
      <c r="E31" s="25" t="s">
        <v>442</v>
      </c>
      <c r="F31" s="79" t="s">
        <v>167</v>
      </c>
      <c r="G31" s="81" t="s">
        <v>427</v>
      </c>
      <c r="H31" s="33"/>
      <c r="I31" s="34" t="s">
        <v>428</v>
      </c>
      <c r="J31" s="37" t="s">
        <v>268</v>
      </c>
      <c r="K31" s="75" t="s">
        <v>429</v>
      </c>
      <c r="L31" s="25" t="s">
        <v>430</v>
      </c>
      <c r="M31" s="39" t="s">
        <v>431</v>
      </c>
      <c r="N31" s="41" t="s">
        <v>432</v>
      </c>
      <c r="O31" s="64"/>
      <c r="P31" s="45" t="b">
        <f t="shared" si="7"/>
        <v>0</v>
      </c>
      <c r="Q31" s="45">
        <f t="shared" si="8"/>
        <v>3</v>
      </c>
      <c r="R31" s="45">
        <f t="shared" si="9"/>
        <v>0</v>
      </c>
      <c r="S31" s="24"/>
      <c r="T31" s="24"/>
      <c r="U31" s="24"/>
      <c r="V31" s="24"/>
      <c r="W31" s="24"/>
      <c r="X31" s="24"/>
      <c r="Y31" s="24"/>
      <c r="Z31" s="24"/>
      <c r="AA31" s="24"/>
      <c r="AB31" s="24"/>
      <c r="AC31" s="24"/>
    </row>
    <row r="32" spans="1:29" ht="119.55">
      <c r="A32" s="25" t="s">
        <v>261</v>
      </c>
      <c r="B32" s="25" t="s">
        <v>262</v>
      </c>
      <c r="C32" s="66" t="s">
        <v>263</v>
      </c>
      <c r="D32" s="66" t="s">
        <v>445</v>
      </c>
      <c r="E32" s="25" t="s">
        <v>446</v>
      </c>
      <c r="F32" s="79" t="s">
        <v>167</v>
      </c>
      <c r="G32" s="81" t="s">
        <v>427</v>
      </c>
      <c r="H32" s="33"/>
      <c r="I32" s="34" t="s">
        <v>428</v>
      </c>
      <c r="J32" s="37" t="s">
        <v>268</v>
      </c>
      <c r="K32" s="75" t="s">
        <v>429</v>
      </c>
      <c r="L32" s="25" t="s">
        <v>430</v>
      </c>
      <c r="M32" s="39" t="s">
        <v>431</v>
      </c>
      <c r="N32" s="41" t="s">
        <v>432</v>
      </c>
      <c r="O32" s="64"/>
      <c r="P32" s="45" t="b">
        <f t="shared" si="7"/>
        <v>0</v>
      </c>
      <c r="Q32" s="45">
        <f t="shared" si="8"/>
        <v>3</v>
      </c>
      <c r="R32" s="45">
        <f t="shared" si="9"/>
        <v>0</v>
      </c>
      <c r="S32" s="24"/>
      <c r="T32" s="24"/>
      <c r="U32" s="24"/>
      <c r="V32" s="24"/>
      <c r="W32" s="24"/>
      <c r="X32" s="24"/>
      <c r="Y32" s="24"/>
      <c r="Z32" s="24"/>
      <c r="AA32" s="24"/>
      <c r="AB32" s="24"/>
      <c r="AC32" s="24"/>
    </row>
    <row r="33" spans="1:29" ht="119.55">
      <c r="A33" s="25" t="s">
        <v>261</v>
      </c>
      <c r="B33" s="25" t="s">
        <v>262</v>
      </c>
      <c r="C33" s="66" t="s">
        <v>263</v>
      </c>
      <c r="D33" s="66" t="s">
        <v>449</v>
      </c>
      <c r="E33" s="70" t="s">
        <v>450</v>
      </c>
      <c r="F33" s="79" t="s">
        <v>167</v>
      </c>
      <c r="G33" s="81" t="s">
        <v>427</v>
      </c>
      <c r="H33" s="33"/>
      <c r="I33" s="34" t="s">
        <v>428</v>
      </c>
      <c r="J33" s="37" t="s">
        <v>268</v>
      </c>
      <c r="K33" s="75" t="s">
        <v>429</v>
      </c>
      <c r="L33" s="25" t="s">
        <v>430</v>
      </c>
      <c r="M33" s="39" t="s">
        <v>431</v>
      </c>
      <c r="N33" s="41" t="s">
        <v>432</v>
      </c>
      <c r="O33" s="64"/>
      <c r="P33" s="45" t="b">
        <f t="shared" si="7"/>
        <v>0</v>
      </c>
      <c r="Q33" s="45">
        <f t="shared" si="8"/>
        <v>3</v>
      </c>
      <c r="R33" s="45">
        <f t="shared" si="9"/>
        <v>0</v>
      </c>
      <c r="S33" s="24"/>
      <c r="T33" s="24"/>
      <c r="U33" s="24"/>
      <c r="V33" s="24"/>
      <c r="W33" s="24"/>
      <c r="X33" s="24"/>
      <c r="Y33" s="24"/>
      <c r="Z33" s="24"/>
      <c r="AA33" s="24"/>
      <c r="AB33" s="24"/>
      <c r="AC33" s="24"/>
    </row>
    <row r="34" spans="1:29" ht="119.55">
      <c r="A34" s="25" t="s">
        <v>261</v>
      </c>
      <c r="B34" s="25" t="s">
        <v>262</v>
      </c>
      <c r="C34" s="66" t="s">
        <v>263</v>
      </c>
      <c r="D34" s="66" t="s">
        <v>453</v>
      </c>
      <c r="E34" s="25" t="s">
        <v>454</v>
      </c>
      <c r="F34" s="79" t="s">
        <v>167</v>
      </c>
      <c r="G34" s="81" t="s">
        <v>427</v>
      </c>
      <c r="H34" s="33"/>
      <c r="I34" s="34" t="s">
        <v>428</v>
      </c>
      <c r="J34" s="37" t="s">
        <v>268</v>
      </c>
      <c r="K34" s="75" t="s">
        <v>429</v>
      </c>
      <c r="L34" s="25" t="s">
        <v>430</v>
      </c>
      <c r="M34" s="39" t="s">
        <v>431</v>
      </c>
      <c r="N34" s="41" t="s">
        <v>432</v>
      </c>
      <c r="O34" s="64"/>
      <c r="P34" s="45" t="b">
        <f t="shared" si="7"/>
        <v>0</v>
      </c>
      <c r="Q34" s="45">
        <f t="shared" si="8"/>
        <v>3</v>
      </c>
      <c r="R34" s="45">
        <f t="shared" si="9"/>
        <v>0</v>
      </c>
      <c r="S34" s="24"/>
      <c r="T34" s="24"/>
      <c r="U34" s="24"/>
      <c r="V34" s="24"/>
      <c r="W34" s="24"/>
      <c r="X34" s="24"/>
      <c r="Y34" s="24"/>
      <c r="Z34" s="24"/>
      <c r="AA34" s="24"/>
      <c r="AB34" s="24"/>
      <c r="AC34" s="24"/>
    </row>
    <row r="35" spans="1:29" ht="119.55">
      <c r="A35" s="25" t="s">
        <v>261</v>
      </c>
      <c r="B35" s="25" t="s">
        <v>262</v>
      </c>
      <c r="C35" s="66" t="s">
        <v>263</v>
      </c>
      <c r="D35" s="66" t="s">
        <v>461</v>
      </c>
      <c r="E35" s="25" t="s">
        <v>462</v>
      </c>
      <c r="F35" s="79" t="s">
        <v>167</v>
      </c>
      <c r="G35" s="81" t="s">
        <v>427</v>
      </c>
      <c r="H35" s="33"/>
      <c r="I35" s="34" t="s">
        <v>428</v>
      </c>
      <c r="J35" s="37" t="s">
        <v>268</v>
      </c>
      <c r="K35" s="75" t="s">
        <v>429</v>
      </c>
      <c r="L35" s="25" t="s">
        <v>430</v>
      </c>
      <c r="M35" s="39" t="s">
        <v>431</v>
      </c>
      <c r="N35" s="41" t="s">
        <v>432</v>
      </c>
      <c r="O35" s="64"/>
      <c r="P35" s="45" t="b">
        <f t="shared" si="7"/>
        <v>0</v>
      </c>
      <c r="Q35" s="45">
        <f t="shared" si="8"/>
        <v>3</v>
      </c>
      <c r="R35" s="45">
        <f t="shared" si="9"/>
        <v>0</v>
      </c>
      <c r="S35" s="24"/>
      <c r="T35" s="24"/>
      <c r="U35" s="24"/>
      <c r="V35" s="24"/>
      <c r="W35" s="24"/>
      <c r="X35" s="24"/>
      <c r="Y35" s="24"/>
      <c r="Z35" s="24"/>
      <c r="AA35" s="24"/>
      <c r="AB35" s="24"/>
      <c r="AC35" s="24"/>
    </row>
    <row r="36" spans="1:29" ht="86.95">
      <c r="A36" s="25" t="s">
        <v>261</v>
      </c>
      <c r="B36" s="25" t="s">
        <v>262</v>
      </c>
      <c r="C36" s="66" t="s">
        <v>263</v>
      </c>
      <c r="D36" s="66" t="s">
        <v>465</v>
      </c>
      <c r="E36" s="25" t="s">
        <v>467</v>
      </c>
      <c r="F36" s="79" t="s">
        <v>167</v>
      </c>
      <c r="G36" s="50" t="str">
        <f>HYPERLINK("https://www.acquisition.gov/content/part-9-contractor-qualifications#i1115204","FAR 9.404 System for Award Management Exclusions.")</f>
        <v>FAR 9.404 System for Award Management Exclusions.</v>
      </c>
      <c r="H36" s="33"/>
      <c r="I36" s="34" t="s">
        <v>470</v>
      </c>
      <c r="J36" s="37" t="s">
        <v>268</v>
      </c>
      <c r="K36" s="83" t="s">
        <v>471</v>
      </c>
      <c r="L36" s="25" t="s">
        <v>472</v>
      </c>
      <c r="M36" s="25" t="s">
        <v>473</v>
      </c>
      <c r="N36" s="41" t="s">
        <v>474</v>
      </c>
      <c r="O36" s="64"/>
      <c r="P36" s="45" t="b">
        <f t="shared" si="7"/>
        <v>0</v>
      </c>
      <c r="Q36" s="45">
        <f t="shared" si="8"/>
        <v>3</v>
      </c>
      <c r="R36" s="45">
        <f t="shared" si="9"/>
        <v>0</v>
      </c>
      <c r="S36" s="24"/>
      <c r="T36" s="24"/>
      <c r="U36" s="24"/>
      <c r="V36" s="24"/>
      <c r="W36" s="24"/>
      <c r="X36" s="24"/>
      <c r="Y36" s="24"/>
      <c r="Z36" s="24"/>
      <c r="AA36" s="24"/>
      <c r="AB36" s="24"/>
      <c r="AC36" s="24"/>
    </row>
    <row r="37" spans="1:29" ht="217.4">
      <c r="A37" s="25" t="s">
        <v>261</v>
      </c>
      <c r="B37" s="25" t="s">
        <v>262</v>
      </c>
      <c r="C37" s="66" t="s">
        <v>263</v>
      </c>
      <c r="D37" s="66" t="s">
        <v>477</v>
      </c>
      <c r="E37" s="25" t="s">
        <v>478</v>
      </c>
      <c r="F37" s="79" t="s">
        <v>479</v>
      </c>
      <c r="G37" s="50" t="str">
        <f>HYPERLINK("https://www.acquisition.gov/browse/index/far","FAR 15.202(a) Advisory multi-step process [contracting by negotiation]. FAR 5.204 Presolicitation notices [publicizing contract actions].")</f>
        <v>FAR 15.202(a) Advisory multi-step process [contracting by negotiation]. FAR 5.204 Presolicitation notices [publicizing contract actions].</v>
      </c>
      <c r="H37" s="33"/>
      <c r="I37" s="34" t="s">
        <v>470</v>
      </c>
      <c r="J37" s="37" t="s">
        <v>268</v>
      </c>
      <c r="K37" s="83" t="s">
        <v>484</v>
      </c>
      <c r="L37" s="78" t="s">
        <v>485</v>
      </c>
      <c r="M37" s="25" t="s">
        <v>486</v>
      </c>
      <c r="N37" s="41" t="s">
        <v>487</v>
      </c>
      <c r="O37" s="64"/>
      <c r="P37" s="45" t="b">
        <f t="shared" si="7"/>
        <v>0</v>
      </c>
      <c r="Q37" s="45">
        <f t="shared" si="8"/>
        <v>3</v>
      </c>
      <c r="R37" s="45">
        <f t="shared" si="9"/>
        <v>0</v>
      </c>
      <c r="S37" s="24"/>
      <c r="T37" s="24"/>
      <c r="U37" s="24"/>
      <c r="V37" s="24"/>
      <c r="W37" s="24"/>
      <c r="X37" s="24"/>
      <c r="Y37" s="24"/>
      <c r="Z37" s="24"/>
      <c r="AA37" s="24"/>
      <c r="AB37" s="24"/>
      <c r="AC37" s="24"/>
    </row>
    <row r="38" spans="1:29" ht="119.55">
      <c r="A38" s="25" t="s">
        <v>261</v>
      </c>
      <c r="B38" s="25" t="s">
        <v>262</v>
      </c>
      <c r="C38" s="66" t="s">
        <v>263</v>
      </c>
      <c r="D38" s="66" t="s">
        <v>491</v>
      </c>
      <c r="E38" s="25" t="s">
        <v>492</v>
      </c>
      <c r="F38" s="79" t="s">
        <v>167</v>
      </c>
      <c r="G38" s="50" t="str">
        <f>HYPERLINK("https://www.acquisition.gov/content/15202-advisory-multi-step-process#id1617MD00VWR","FAR 15.202(b) Advisory multi-step process [contracting by negotiation].")</f>
        <v>FAR 15.202(b) Advisory multi-step process [contracting by negotiation].</v>
      </c>
      <c r="H38" s="33"/>
      <c r="I38" s="34" t="s">
        <v>428</v>
      </c>
      <c r="J38" s="37" t="s">
        <v>268</v>
      </c>
      <c r="K38" s="84" t="s">
        <v>429</v>
      </c>
      <c r="L38" s="25" t="s">
        <v>499</v>
      </c>
      <c r="M38" s="39" t="s">
        <v>431</v>
      </c>
      <c r="N38" s="41" t="s">
        <v>500</v>
      </c>
      <c r="O38" s="64"/>
      <c r="P38" s="45" t="b">
        <f t="shared" si="7"/>
        <v>0</v>
      </c>
      <c r="Q38" s="45">
        <f t="shared" si="8"/>
        <v>3</v>
      </c>
      <c r="R38" s="45">
        <f t="shared" si="9"/>
        <v>0</v>
      </c>
      <c r="S38" s="24"/>
      <c r="T38" s="24"/>
      <c r="U38" s="24"/>
      <c r="V38" s="24"/>
      <c r="W38" s="24"/>
      <c r="X38" s="24"/>
      <c r="Y38" s="24"/>
      <c r="Z38" s="24"/>
      <c r="AA38" s="24"/>
      <c r="AB38" s="24"/>
      <c r="AC38" s="24"/>
    </row>
    <row r="39" spans="1:29" ht="4.5999999999999996" customHeight="1">
      <c r="A39" s="55"/>
      <c r="B39" s="55"/>
      <c r="C39" s="56"/>
      <c r="D39" s="56"/>
      <c r="E39" s="55"/>
      <c r="F39" s="55"/>
      <c r="G39" s="59"/>
      <c r="H39" s="60"/>
      <c r="I39" s="61"/>
      <c r="J39" s="60"/>
      <c r="K39" s="60"/>
      <c r="L39" s="63"/>
      <c r="M39" s="63"/>
      <c r="N39" s="63"/>
      <c r="O39" s="64"/>
      <c r="P39" s="45"/>
      <c r="Q39" s="45"/>
      <c r="R39" s="45"/>
      <c r="S39" s="24"/>
      <c r="T39" s="24"/>
      <c r="U39" s="24"/>
      <c r="V39" s="24"/>
      <c r="W39" s="24"/>
      <c r="X39" s="24"/>
      <c r="Y39" s="24"/>
      <c r="Z39" s="24"/>
      <c r="AA39" s="24"/>
      <c r="AB39" s="24"/>
      <c r="AC39" s="24"/>
    </row>
    <row r="40" spans="1:29" ht="152.15">
      <c r="A40" s="25" t="s">
        <v>505</v>
      </c>
      <c r="B40" s="25" t="s">
        <v>506</v>
      </c>
      <c r="C40" s="66" t="s">
        <v>507</v>
      </c>
      <c r="D40" s="66" t="s">
        <v>179</v>
      </c>
      <c r="E40" s="25" t="s">
        <v>508</v>
      </c>
      <c r="F40" s="79" t="s">
        <v>509</v>
      </c>
      <c r="G40" s="50" t="str">
        <f t="shared" ref="G40:G41" si="11">HYPERLINK("https://www.acquisition.gov/content/10002-procedures#i1114728","FAR 10.002(b)(2)(iii) Procedures [market research]")</f>
        <v>FAR 10.002(b)(2)(iii) Procedures [market research]</v>
      </c>
      <c r="H40" s="76" t="str">
        <f t="shared" ref="H40:H41" si="12">HYPERLINK("https://www.acquisition.gov/sites/default/files/current/gsam/html/Part510.html","GSAM 510.002")</f>
        <v>GSAM 510.002</v>
      </c>
      <c r="I40" s="34" t="s">
        <v>386</v>
      </c>
      <c r="J40" s="37" t="s">
        <v>190</v>
      </c>
      <c r="K40" s="83" t="s">
        <v>513</v>
      </c>
      <c r="L40" s="25" t="s">
        <v>514</v>
      </c>
      <c r="M40" s="25" t="s">
        <v>515</v>
      </c>
      <c r="N40" s="41" t="s">
        <v>516</v>
      </c>
      <c r="O40" s="64"/>
      <c r="P40" s="45" t="b">
        <f t="shared" ref="P40:P41" si="13">IF(AND(O40="Meet the requirements traceability “out of the box”"), 10, IF(AND(O40="Can meet the requirements traceability with configuration or through the use of another commercial product “out of the box” or other arrangement as part of the service offering quoted (i.e. at no additional cost)"), 8, IF(AND(O40="Can meet the requirements traceability with customization at additional cost"), 3, IF(AND(O40="Cannot meet the requirements traceability requirement"), 0))))</f>
        <v>0</v>
      </c>
      <c r="Q40" s="45">
        <f t="shared" ref="Q40:Q41" si="14">IF(J40="Unidentified",0,3)</f>
        <v>3</v>
      </c>
      <c r="R40" s="45">
        <f t="shared" ref="R40:R41" si="15">IF(P40=FALSE,0,IF(P40&gt;4,(P40+Q40),P40))</f>
        <v>0</v>
      </c>
      <c r="S40" s="24"/>
      <c r="T40" s="24"/>
      <c r="U40" s="24"/>
      <c r="V40" s="24"/>
      <c r="W40" s="24"/>
      <c r="X40" s="24"/>
      <c r="Y40" s="24"/>
      <c r="Z40" s="24"/>
      <c r="AA40" s="24"/>
      <c r="AB40" s="24"/>
      <c r="AC40" s="24"/>
    </row>
    <row r="41" spans="1:29" ht="184.75">
      <c r="A41" s="25" t="s">
        <v>505</v>
      </c>
      <c r="B41" s="25" t="s">
        <v>506</v>
      </c>
      <c r="C41" s="66" t="s">
        <v>507</v>
      </c>
      <c r="D41" s="66" t="s">
        <v>179</v>
      </c>
      <c r="E41" s="25" t="s">
        <v>528</v>
      </c>
      <c r="F41" s="79" t="s">
        <v>529</v>
      </c>
      <c r="G41" s="50" t="str">
        <f t="shared" si="11"/>
        <v>FAR 10.002(b)(2)(iii) Procedures [market research]</v>
      </c>
      <c r="H41" s="76" t="str">
        <f t="shared" si="12"/>
        <v>GSAM 510.002</v>
      </c>
      <c r="I41" s="34" t="s">
        <v>386</v>
      </c>
      <c r="J41" s="37" t="s">
        <v>190</v>
      </c>
      <c r="K41" s="83" t="s">
        <v>536</v>
      </c>
      <c r="L41" s="25" t="s">
        <v>538</v>
      </c>
      <c r="M41" s="25" t="s">
        <v>539</v>
      </c>
      <c r="N41" s="41" t="s">
        <v>540</v>
      </c>
      <c r="O41" s="64"/>
      <c r="P41" s="45" t="b">
        <f t="shared" si="13"/>
        <v>0</v>
      </c>
      <c r="Q41" s="45">
        <f t="shared" si="14"/>
        <v>3</v>
      </c>
      <c r="R41" s="45">
        <f t="shared" si="15"/>
        <v>0</v>
      </c>
      <c r="S41" s="24"/>
      <c r="T41" s="24"/>
      <c r="U41" s="24"/>
      <c r="V41" s="24"/>
      <c r="W41" s="24"/>
      <c r="X41" s="24"/>
      <c r="Y41" s="24"/>
      <c r="Z41" s="24"/>
      <c r="AA41" s="24"/>
      <c r="AB41" s="24"/>
      <c r="AC41" s="24"/>
    </row>
    <row r="42" spans="1:29" ht="4.5999999999999996" customHeight="1">
      <c r="A42" s="55"/>
      <c r="B42" s="55"/>
      <c r="C42" s="56"/>
      <c r="D42" s="56"/>
      <c r="E42" s="55"/>
      <c r="F42" s="55"/>
      <c r="G42" s="59"/>
      <c r="H42" s="60"/>
      <c r="I42" s="61"/>
      <c r="J42" s="60"/>
      <c r="K42" s="60"/>
      <c r="L42" s="63"/>
      <c r="M42" s="63"/>
      <c r="N42" s="63"/>
      <c r="O42" s="64"/>
      <c r="P42" s="45"/>
      <c r="Q42" s="45"/>
      <c r="R42" s="45"/>
      <c r="S42" s="24"/>
      <c r="T42" s="24"/>
      <c r="U42" s="24"/>
      <c r="V42" s="24"/>
      <c r="W42" s="24"/>
      <c r="X42" s="24"/>
      <c r="Y42" s="24"/>
      <c r="Z42" s="24"/>
      <c r="AA42" s="24"/>
      <c r="AB42" s="24"/>
      <c r="AC42" s="24"/>
    </row>
    <row r="43" spans="1:29" ht="119.55">
      <c r="A43" s="25" t="s">
        <v>543</v>
      </c>
      <c r="B43" s="25" t="s">
        <v>544</v>
      </c>
      <c r="C43" s="26" t="s">
        <v>546</v>
      </c>
      <c r="D43" s="26" t="s">
        <v>548</v>
      </c>
      <c r="E43" s="27" t="s">
        <v>550</v>
      </c>
      <c r="F43" s="27" t="s">
        <v>552</v>
      </c>
      <c r="G43" s="50" t="str">
        <f>HYPERLINK("https://www.acquisition.gov/content/7105-contents-written-acquisition-plans#i1118935","FAR 7.105")</f>
        <v>FAR 7.105</v>
      </c>
      <c r="H43" s="80" t="str">
        <f t="shared" ref="H43:H44" si="16">HYPERLINK("https://www.acquisition.gov/sites/default/files/current/gsam/html/Part507.html#wp1859407","GSAM 507.105")</f>
        <v>GSAM 507.105</v>
      </c>
      <c r="I43" s="34" t="s">
        <v>555</v>
      </c>
      <c r="J43" s="37" t="s">
        <v>268</v>
      </c>
      <c r="K43" s="83" t="s">
        <v>556</v>
      </c>
      <c r="L43" s="25" t="s">
        <v>557</v>
      </c>
      <c r="M43" s="25" t="s">
        <v>558</v>
      </c>
      <c r="N43" s="41" t="s">
        <v>559</v>
      </c>
      <c r="O43" s="64"/>
      <c r="P43" s="45" t="b">
        <f t="shared" ref="P43:P142" si="17">IF(AND(O43="Meet the requirements traceability “out of the box”"), 10, IF(AND(O43="Can meet the requirements traceability with configuration or through the use of another commercial product “out of the box” or other arrangement as part of the service offering quoted (i.e. at no additional cost)"), 8, IF(AND(O43="Can meet the requirements traceability with customization at additional cost"), 3, IF(AND(O43="Cannot meet the requirements traceability requirement"), 0))))</f>
        <v>0</v>
      </c>
      <c r="Q43" s="45">
        <f t="shared" ref="Q43:Q142" si="18">IF(J43="Unidentified",0,3)</f>
        <v>3</v>
      </c>
      <c r="R43" s="45">
        <f t="shared" ref="R43:R142" si="19">IF(P43=FALSE,0,IF(P43&gt;4,(P43+Q43),P43))</f>
        <v>0</v>
      </c>
      <c r="S43" s="24"/>
      <c r="T43" s="24"/>
      <c r="U43" s="24"/>
      <c r="V43" s="24"/>
      <c r="W43" s="24"/>
      <c r="X43" s="24"/>
      <c r="Y43" s="24"/>
      <c r="Z43" s="24"/>
      <c r="AA43" s="24"/>
      <c r="AB43" s="24"/>
      <c r="AC43" s="24"/>
    </row>
    <row r="44" spans="1:29" ht="326.05">
      <c r="A44" s="25" t="s">
        <v>543</v>
      </c>
      <c r="B44" s="25" t="s">
        <v>544</v>
      </c>
      <c r="C44" s="26" t="s">
        <v>546</v>
      </c>
      <c r="D44" s="26" t="s">
        <v>564</v>
      </c>
      <c r="E44" s="27" t="s">
        <v>565</v>
      </c>
      <c r="F44" s="27" t="s">
        <v>552</v>
      </c>
      <c r="G44" s="50" t="str">
        <f>HYPERLINK("https://www.acquisition.gov/content/7105-contents-written-acquisition-plans#i1118935","FAR 7.105(b)(1)")</f>
        <v>FAR 7.105(b)(1)</v>
      </c>
      <c r="H44" s="80" t="str">
        <f t="shared" si="16"/>
        <v>GSAM 507.105</v>
      </c>
      <c r="I44" s="34" t="s">
        <v>555</v>
      </c>
      <c r="J44" s="37" t="s">
        <v>268</v>
      </c>
      <c r="K44" s="83" t="s">
        <v>573</v>
      </c>
      <c r="L44" s="25" t="s">
        <v>574</v>
      </c>
      <c r="M44" s="25" t="s">
        <v>575</v>
      </c>
      <c r="N44" s="41" t="s">
        <v>576</v>
      </c>
      <c r="O44" s="64"/>
      <c r="P44" s="45" t="b">
        <f t="shared" si="17"/>
        <v>0</v>
      </c>
      <c r="Q44" s="45">
        <f t="shared" si="18"/>
        <v>3</v>
      </c>
      <c r="R44" s="45">
        <f t="shared" si="19"/>
        <v>0</v>
      </c>
      <c r="S44" s="24"/>
      <c r="T44" s="24"/>
      <c r="U44" s="24"/>
      <c r="V44" s="24"/>
      <c r="W44" s="24"/>
      <c r="X44" s="24"/>
      <c r="Y44" s="24"/>
      <c r="Z44" s="24"/>
      <c r="AA44" s="24"/>
      <c r="AB44" s="24"/>
      <c r="AC44" s="24"/>
    </row>
    <row r="45" spans="1:29" ht="195.65">
      <c r="A45" s="25" t="s">
        <v>543</v>
      </c>
      <c r="B45" s="25" t="s">
        <v>544</v>
      </c>
      <c r="C45" s="26" t="s">
        <v>546</v>
      </c>
      <c r="D45" s="26" t="s">
        <v>579</v>
      </c>
      <c r="E45" s="54" t="s">
        <v>580</v>
      </c>
      <c r="F45" s="54" t="s">
        <v>581</v>
      </c>
      <c r="G45" s="50" t="str">
        <f>HYPERLINK("https://www.acquisition.gov/content/7104-general-procedures#i1118917","FAR 7.104")</f>
        <v>FAR 7.104</v>
      </c>
      <c r="H45" s="80" t="str">
        <f t="shared" ref="H45:H46" si="20">HYPERLINK("https://www.acquisition.gov/sites/default/files/current/gsam/html/Part501.html#wp1865939","GSAM 501.104")</f>
        <v>GSAM 501.104</v>
      </c>
      <c r="I45" s="34" t="s">
        <v>586</v>
      </c>
      <c r="J45" s="37" t="s">
        <v>268</v>
      </c>
      <c r="K45" s="83" t="s">
        <v>587</v>
      </c>
      <c r="L45" s="25" t="s">
        <v>588</v>
      </c>
      <c r="M45" s="39" t="s">
        <v>590</v>
      </c>
      <c r="N45" s="41" t="s">
        <v>592</v>
      </c>
      <c r="O45" s="64"/>
      <c r="P45" s="45" t="b">
        <f t="shared" si="17"/>
        <v>0</v>
      </c>
      <c r="Q45" s="45">
        <f t="shared" si="18"/>
        <v>3</v>
      </c>
      <c r="R45" s="45">
        <f t="shared" si="19"/>
        <v>0</v>
      </c>
      <c r="S45" s="24"/>
      <c r="T45" s="24"/>
      <c r="U45" s="24"/>
      <c r="V45" s="24"/>
      <c r="W45" s="24"/>
      <c r="X45" s="24"/>
      <c r="Y45" s="24"/>
      <c r="Z45" s="24"/>
      <c r="AA45" s="24"/>
      <c r="AB45" s="24"/>
      <c r="AC45" s="24"/>
    </row>
    <row r="46" spans="1:29" ht="195.65">
      <c r="A46" s="25" t="s">
        <v>543</v>
      </c>
      <c r="B46" s="25" t="s">
        <v>544</v>
      </c>
      <c r="C46" s="26" t="s">
        <v>546</v>
      </c>
      <c r="D46" s="26" t="s">
        <v>595</v>
      </c>
      <c r="E46" s="54" t="s">
        <v>596</v>
      </c>
      <c r="F46" s="54" t="s">
        <v>597</v>
      </c>
      <c r="G46" s="50" t="str">
        <f t="shared" ref="G46:G47" si="21">HYPERLINK("https://www.acquisition.gov/content/7104-general-procedures#i1118917","FAR 7.104(a)")</f>
        <v>FAR 7.104(a)</v>
      </c>
      <c r="H46" s="80" t="str">
        <f t="shared" si="20"/>
        <v>GSAM 501.104</v>
      </c>
      <c r="I46" s="34" t="s">
        <v>586</v>
      </c>
      <c r="J46" s="37" t="s">
        <v>268</v>
      </c>
      <c r="K46" s="83" t="s">
        <v>601</v>
      </c>
      <c r="L46" s="25" t="s">
        <v>602</v>
      </c>
      <c r="M46" s="39" t="s">
        <v>603</v>
      </c>
      <c r="N46" s="41" t="s">
        <v>604</v>
      </c>
      <c r="O46" s="64"/>
      <c r="P46" s="45" t="b">
        <f t="shared" si="17"/>
        <v>0</v>
      </c>
      <c r="Q46" s="45">
        <f t="shared" si="18"/>
        <v>3</v>
      </c>
      <c r="R46" s="45">
        <f t="shared" si="19"/>
        <v>0</v>
      </c>
      <c r="S46" s="24"/>
      <c r="T46" s="24"/>
      <c r="U46" s="24"/>
      <c r="V46" s="24"/>
      <c r="W46" s="24"/>
      <c r="X46" s="24"/>
      <c r="Y46" s="24"/>
      <c r="Z46" s="24"/>
      <c r="AA46" s="24"/>
      <c r="AB46" s="24"/>
      <c r="AC46" s="24"/>
    </row>
    <row r="47" spans="1:29" ht="108.7">
      <c r="A47" s="25" t="s">
        <v>543</v>
      </c>
      <c r="B47" s="25" t="s">
        <v>544</v>
      </c>
      <c r="C47" s="26" t="s">
        <v>546</v>
      </c>
      <c r="D47" s="26" t="s">
        <v>609</v>
      </c>
      <c r="E47" s="54" t="s">
        <v>610</v>
      </c>
      <c r="F47" s="25" t="s">
        <v>275</v>
      </c>
      <c r="G47" s="50" t="str">
        <f t="shared" si="21"/>
        <v>FAR 7.104(a)</v>
      </c>
      <c r="H47" s="87"/>
      <c r="I47" s="34" t="s">
        <v>586</v>
      </c>
      <c r="J47" s="37" t="s">
        <v>268</v>
      </c>
      <c r="K47" s="83" t="s">
        <v>614</v>
      </c>
      <c r="L47" s="25" t="s">
        <v>615</v>
      </c>
      <c r="M47" s="39" t="s">
        <v>616</v>
      </c>
      <c r="N47" s="41" t="s">
        <v>617</v>
      </c>
      <c r="O47" s="64"/>
      <c r="P47" s="45" t="b">
        <f t="shared" si="17"/>
        <v>0</v>
      </c>
      <c r="Q47" s="45">
        <f t="shared" si="18"/>
        <v>3</v>
      </c>
      <c r="R47" s="45">
        <f t="shared" si="19"/>
        <v>0</v>
      </c>
      <c r="S47" s="24"/>
      <c r="T47" s="24"/>
      <c r="U47" s="24"/>
      <c r="V47" s="24"/>
      <c r="W47" s="24"/>
      <c r="X47" s="24"/>
      <c r="Y47" s="24"/>
      <c r="Z47" s="24"/>
      <c r="AA47" s="24"/>
      <c r="AB47" s="24"/>
      <c r="AC47" s="24"/>
    </row>
    <row r="48" spans="1:29" ht="195.65">
      <c r="A48" s="25" t="s">
        <v>543</v>
      </c>
      <c r="B48" s="25" t="s">
        <v>544</v>
      </c>
      <c r="C48" s="26" t="s">
        <v>546</v>
      </c>
      <c r="D48" s="26" t="s">
        <v>622</v>
      </c>
      <c r="E48" s="54" t="s">
        <v>623</v>
      </c>
      <c r="F48" s="25" t="s">
        <v>624</v>
      </c>
      <c r="G48" s="73" t="str">
        <f>HYPERLINK("https://www.acquisition.gov/content/7104-general-procedures#i1118917","FAR 7.104(a) General procedures [acquisition plans]")</f>
        <v>FAR 7.104(a) General procedures [acquisition plans]</v>
      </c>
      <c r="H48" s="74"/>
      <c r="I48" s="34" t="s">
        <v>627</v>
      </c>
      <c r="J48" s="37" t="s">
        <v>268</v>
      </c>
      <c r="K48" s="83" t="s">
        <v>628</v>
      </c>
      <c r="L48" s="25" t="s">
        <v>629</v>
      </c>
      <c r="M48" s="25" t="s">
        <v>630</v>
      </c>
      <c r="N48" s="41" t="s">
        <v>631</v>
      </c>
      <c r="O48" s="64"/>
      <c r="P48" s="45" t="b">
        <f t="shared" si="17"/>
        <v>0</v>
      </c>
      <c r="Q48" s="45">
        <f t="shared" si="18"/>
        <v>3</v>
      </c>
      <c r="R48" s="45">
        <f t="shared" si="19"/>
        <v>0</v>
      </c>
      <c r="S48" s="24"/>
      <c r="T48" s="24"/>
      <c r="U48" s="24"/>
      <c r="V48" s="24"/>
      <c r="W48" s="24"/>
      <c r="X48" s="24"/>
      <c r="Y48" s="24"/>
      <c r="Z48" s="24"/>
      <c r="AA48" s="24"/>
      <c r="AB48" s="24"/>
      <c r="AC48" s="24"/>
    </row>
    <row r="49" spans="1:29" ht="108.7">
      <c r="A49" s="25" t="s">
        <v>543</v>
      </c>
      <c r="B49" s="25" t="s">
        <v>544</v>
      </c>
      <c r="C49" s="26" t="s">
        <v>546</v>
      </c>
      <c r="D49" s="26" t="s">
        <v>635</v>
      </c>
      <c r="E49" s="25" t="s">
        <v>637</v>
      </c>
      <c r="F49" s="25" t="s">
        <v>638</v>
      </c>
      <c r="G49" s="50" t="str">
        <f>HYPERLINK("https://www.acquisition.gov/browse/index/far","FAR 2.101 Advisory and assistance services [definitions]. FAR 2.101 Architect-engineer services [definitions]. FAR 2.101 Supplies [definitions]. FAR 37.101 Service contract [definitions]. ")</f>
        <v xml:space="preserve">FAR 2.101 Advisory and assistance services [definitions]. FAR 2.101 Architect-engineer services [definitions]. FAR 2.101 Supplies [definitions]. FAR 37.101 Service contract [definitions]. </v>
      </c>
      <c r="H49" s="33"/>
      <c r="I49" s="34" t="s">
        <v>641</v>
      </c>
      <c r="J49" s="37" t="s">
        <v>268</v>
      </c>
      <c r="K49" s="83" t="s">
        <v>642</v>
      </c>
      <c r="L49" s="25" t="s">
        <v>643</v>
      </c>
      <c r="M49" s="25" t="s">
        <v>644</v>
      </c>
      <c r="N49" s="41" t="s">
        <v>645</v>
      </c>
      <c r="O49" s="64"/>
      <c r="P49" s="45" t="b">
        <f t="shared" si="17"/>
        <v>0</v>
      </c>
      <c r="Q49" s="45">
        <f t="shared" si="18"/>
        <v>3</v>
      </c>
      <c r="R49" s="45">
        <f t="shared" si="19"/>
        <v>0</v>
      </c>
      <c r="S49" s="24"/>
      <c r="T49" s="24"/>
      <c r="U49" s="24"/>
      <c r="V49" s="24"/>
      <c r="W49" s="24"/>
      <c r="X49" s="24"/>
      <c r="Y49" s="24"/>
      <c r="Z49" s="24"/>
      <c r="AA49" s="24"/>
      <c r="AB49" s="24"/>
      <c r="AC49" s="24"/>
    </row>
    <row r="50" spans="1:29" ht="108.7">
      <c r="A50" s="25" t="s">
        <v>543</v>
      </c>
      <c r="B50" s="25" t="s">
        <v>544</v>
      </c>
      <c r="C50" s="26" t="s">
        <v>546</v>
      </c>
      <c r="D50" s="26" t="s">
        <v>649</v>
      </c>
      <c r="E50" s="25" t="s">
        <v>651</v>
      </c>
      <c r="F50" s="25" t="s">
        <v>652</v>
      </c>
      <c r="G50" s="50" t="str">
        <f>HYPERLINK("https://www.acquisition.gov/content/part-8-required-sources-supplies-and-services","FAR 8.002 Priorities for use of mandatory government sources [required sources of supplies and services]. FAR 8.003 Use of other mandatory sources [required sources of supplies and services]. ")</f>
        <v xml:space="preserve">FAR 8.002 Priorities for use of mandatory government sources [required sources of supplies and services]. FAR 8.003 Use of other mandatory sources [required sources of supplies and services]. </v>
      </c>
      <c r="H50" s="33"/>
      <c r="I50" s="34" t="s">
        <v>641</v>
      </c>
      <c r="J50" s="37" t="s">
        <v>268</v>
      </c>
      <c r="K50" s="83" t="s">
        <v>656</v>
      </c>
      <c r="L50" s="25" t="s">
        <v>657</v>
      </c>
      <c r="M50" s="25" t="s">
        <v>658</v>
      </c>
      <c r="N50" s="41" t="s">
        <v>645</v>
      </c>
      <c r="O50" s="64"/>
      <c r="P50" s="45" t="b">
        <f t="shared" si="17"/>
        <v>0</v>
      </c>
      <c r="Q50" s="45">
        <f t="shared" si="18"/>
        <v>3</v>
      </c>
      <c r="R50" s="45">
        <f t="shared" si="19"/>
        <v>0</v>
      </c>
      <c r="S50" s="24"/>
      <c r="T50" s="24"/>
      <c r="U50" s="24"/>
      <c r="V50" s="24"/>
      <c r="W50" s="24"/>
      <c r="X50" s="24"/>
      <c r="Y50" s="24"/>
      <c r="Z50" s="24"/>
      <c r="AA50" s="24"/>
      <c r="AB50" s="24"/>
      <c r="AC50" s="24"/>
    </row>
    <row r="51" spans="1:29" ht="108.7">
      <c r="A51" s="25" t="s">
        <v>543</v>
      </c>
      <c r="B51" s="25" t="s">
        <v>544</v>
      </c>
      <c r="C51" s="26" t="s">
        <v>546</v>
      </c>
      <c r="D51" s="26" t="s">
        <v>659</v>
      </c>
      <c r="E51" s="25" t="s">
        <v>661</v>
      </c>
      <c r="F51" s="25" t="s">
        <v>652</v>
      </c>
      <c r="G51" s="50" t="e">
        <f>HYPERLINK("https://www.acquisition.gov/content/part-8-required-sources-supplies-and-services","FAR 8.002 Priorities for use of mandatory government sources [required sources of services]. FAR 8.703 Procurement list [acquisition from nonprofit agencies employing people who are blind or severely disabled]. FAR 8.704 Purchase priorities [acquisition f"&amp;"rom nonprofit agencies employing people who are blind or severely disabled]")</f>
        <v>#VALUE!</v>
      </c>
      <c r="H51" s="33"/>
      <c r="I51" s="34" t="s">
        <v>641</v>
      </c>
      <c r="J51" s="37" t="s">
        <v>268</v>
      </c>
      <c r="K51" s="83" t="s">
        <v>668</v>
      </c>
      <c r="L51" s="25" t="s">
        <v>669</v>
      </c>
      <c r="M51" s="25" t="s">
        <v>670</v>
      </c>
      <c r="N51" s="41" t="s">
        <v>645</v>
      </c>
      <c r="O51" s="64"/>
      <c r="P51" s="45" t="b">
        <f t="shared" si="17"/>
        <v>0</v>
      </c>
      <c r="Q51" s="45">
        <f t="shared" si="18"/>
        <v>3</v>
      </c>
      <c r="R51" s="45">
        <f t="shared" si="19"/>
        <v>0</v>
      </c>
      <c r="S51" s="24"/>
      <c r="T51" s="24"/>
      <c r="U51" s="24"/>
      <c r="V51" s="24"/>
      <c r="W51" s="24"/>
      <c r="X51" s="24"/>
      <c r="Y51" s="24"/>
      <c r="Z51" s="24"/>
      <c r="AA51" s="24"/>
      <c r="AB51" s="24"/>
      <c r="AC51" s="24"/>
    </row>
    <row r="52" spans="1:29" ht="108.7">
      <c r="A52" s="25" t="s">
        <v>543</v>
      </c>
      <c r="B52" s="25" t="s">
        <v>544</v>
      </c>
      <c r="C52" s="26" t="s">
        <v>546</v>
      </c>
      <c r="D52" s="26" t="s">
        <v>671</v>
      </c>
      <c r="E52" s="25" t="s">
        <v>672</v>
      </c>
      <c r="F52" s="25" t="s">
        <v>652</v>
      </c>
      <c r="G52" s="50" t="str">
        <f>HYPERLINK("https://www.acquisition.gov/content/8004-use-other-sources#i1118226","FAR 8.004 Use of other sources [required sources of supplies and services]. ")</f>
        <v xml:space="preserve">FAR 8.004 Use of other sources [required sources of supplies and services]. </v>
      </c>
      <c r="H52" s="33"/>
      <c r="I52" s="34" t="s">
        <v>641</v>
      </c>
      <c r="J52" s="37" t="s">
        <v>268</v>
      </c>
      <c r="K52" s="83" t="s">
        <v>678</v>
      </c>
      <c r="L52" s="25" t="s">
        <v>679</v>
      </c>
      <c r="M52" s="25" t="s">
        <v>658</v>
      </c>
      <c r="N52" s="41" t="s">
        <v>645</v>
      </c>
      <c r="O52" s="64"/>
      <c r="P52" s="45" t="b">
        <f t="shared" si="17"/>
        <v>0</v>
      </c>
      <c r="Q52" s="45">
        <f t="shared" si="18"/>
        <v>3</v>
      </c>
      <c r="R52" s="45">
        <f t="shared" si="19"/>
        <v>0</v>
      </c>
      <c r="S52" s="24"/>
      <c r="T52" s="24"/>
      <c r="U52" s="24"/>
      <c r="V52" s="24"/>
      <c r="W52" s="24"/>
      <c r="X52" s="24"/>
      <c r="Y52" s="24"/>
      <c r="Z52" s="24"/>
      <c r="AA52" s="24"/>
      <c r="AB52" s="24"/>
      <c r="AC52" s="24"/>
    </row>
    <row r="53" spans="1:29" ht="108.7">
      <c r="A53" s="25" t="s">
        <v>543</v>
      </c>
      <c r="B53" s="25" t="s">
        <v>544</v>
      </c>
      <c r="C53" s="26" t="s">
        <v>546</v>
      </c>
      <c r="D53" s="26" t="s">
        <v>680</v>
      </c>
      <c r="E53" s="25" t="s">
        <v>681</v>
      </c>
      <c r="F53" s="25" t="s">
        <v>652</v>
      </c>
      <c r="G53" s="50" t="str">
        <f>HYPERLINK("https://www.acquisition.gov/content/8003-use-other-mandatory-sources#i8_003","FAR 8.003 Use of other mandatory sources. ")</f>
        <v xml:space="preserve">FAR 8.003 Use of other mandatory sources. </v>
      </c>
      <c r="H53" s="33"/>
      <c r="I53" s="34" t="s">
        <v>641</v>
      </c>
      <c r="J53" s="37" t="s">
        <v>268</v>
      </c>
      <c r="K53" s="84" t="s">
        <v>678</v>
      </c>
      <c r="L53" s="25" t="s">
        <v>682</v>
      </c>
      <c r="M53" s="25" t="s">
        <v>658</v>
      </c>
      <c r="N53" s="41" t="s">
        <v>645</v>
      </c>
      <c r="O53" s="64"/>
      <c r="P53" s="45" t="b">
        <f t="shared" si="17"/>
        <v>0</v>
      </c>
      <c r="Q53" s="45">
        <f t="shared" si="18"/>
        <v>3</v>
      </c>
      <c r="R53" s="45">
        <f t="shared" si="19"/>
        <v>0</v>
      </c>
      <c r="S53" s="24"/>
      <c r="T53" s="24"/>
      <c r="U53" s="24"/>
      <c r="V53" s="24"/>
      <c r="W53" s="24"/>
      <c r="X53" s="24"/>
      <c r="Y53" s="24"/>
      <c r="Z53" s="24"/>
      <c r="AA53" s="24"/>
      <c r="AB53" s="24"/>
      <c r="AC53" s="24"/>
    </row>
    <row r="54" spans="1:29" ht="108.7">
      <c r="A54" s="25" t="s">
        <v>543</v>
      </c>
      <c r="B54" s="25" t="s">
        <v>544</v>
      </c>
      <c r="C54" s="26" t="s">
        <v>546</v>
      </c>
      <c r="D54" s="26" t="s">
        <v>683</v>
      </c>
      <c r="E54" s="85" t="s">
        <v>684</v>
      </c>
      <c r="F54" s="85" t="s">
        <v>685</v>
      </c>
      <c r="G54" s="50" t="str">
        <f>HYPERLINK("https://www.acquisition.gov/content/subpart-167-agreements#i1103566","FAR 16.702(a) Description [basic agreements]. FAR 16.703(a) Description [basic ordering agreements]")</f>
        <v>FAR 16.702(a) Description [basic agreements]. FAR 16.703(a) Description [basic ordering agreements]</v>
      </c>
      <c r="H54" s="88"/>
      <c r="I54" s="34" t="s">
        <v>689</v>
      </c>
      <c r="J54" s="37" t="s">
        <v>268</v>
      </c>
      <c r="K54" s="83" t="s">
        <v>690</v>
      </c>
      <c r="L54" s="25" t="s">
        <v>691</v>
      </c>
      <c r="M54" s="25" t="s">
        <v>692</v>
      </c>
      <c r="N54" s="41" t="s">
        <v>645</v>
      </c>
      <c r="O54" s="64"/>
      <c r="P54" s="45" t="b">
        <f t="shared" si="17"/>
        <v>0</v>
      </c>
      <c r="Q54" s="45">
        <f t="shared" si="18"/>
        <v>3</v>
      </c>
      <c r="R54" s="45">
        <f t="shared" si="19"/>
        <v>0</v>
      </c>
      <c r="S54" s="24"/>
      <c r="T54" s="24"/>
      <c r="U54" s="24"/>
      <c r="V54" s="24"/>
      <c r="W54" s="24"/>
      <c r="X54" s="24"/>
      <c r="Y54" s="24"/>
      <c r="Z54" s="24"/>
      <c r="AA54" s="24"/>
      <c r="AB54" s="24"/>
      <c r="AC54" s="24"/>
    </row>
    <row r="55" spans="1:29" ht="108.7">
      <c r="A55" s="25" t="s">
        <v>543</v>
      </c>
      <c r="B55" s="25" t="s">
        <v>544</v>
      </c>
      <c r="C55" s="26" t="s">
        <v>546</v>
      </c>
      <c r="D55" s="26" t="s">
        <v>697</v>
      </c>
      <c r="E55" s="85" t="s">
        <v>698</v>
      </c>
      <c r="F55" s="85" t="s">
        <v>685</v>
      </c>
      <c r="G55" s="50" t="str">
        <f>HYPERLINK("https://www.acquisition.gov/content/subpart-167-agreements#i1103566","FAR 16.702(b) Application [basic agreements]. FAR 16.703(b) Application [basic ordering agreements].")</f>
        <v>FAR 16.702(b) Application [basic agreements]. FAR 16.703(b) Application [basic ordering agreements].</v>
      </c>
      <c r="H55" s="88"/>
      <c r="I55" s="34" t="s">
        <v>689</v>
      </c>
      <c r="J55" s="37" t="s">
        <v>268</v>
      </c>
      <c r="K55" s="83" t="s">
        <v>702</v>
      </c>
      <c r="L55" s="25" t="s">
        <v>703</v>
      </c>
      <c r="M55" s="25" t="s">
        <v>704</v>
      </c>
      <c r="N55" s="41" t="s">
        <v>645</v>
      </c>
      <c r="O55" s="64"/>
      <c r="P55" s="45" t="b">
        <f t="shared" si="17"/>
        <v>0</v>
      </c>
      <c r="Q55" s="45">
        <f t="shared" si="18"/>
        <v>3</v>
      </c>
      <c r="R55" s="45">
        <f t="shared" si="19"/>
        <v>0</v>
      </c>
      <c r="S55" s="24"/>
      <c r="T55" s="24"/>
      <c r="U55" s="24"/>
      <c r="V55" s="24"/>
      <c r="W55" s="24"/>
      <c r="X55" s="24"/>
      <c r="Y55" s="24"/>
      <c r="Z55" s="24"/>
      <c r="AA55" s="24"/>
      <c r="AB55" s="24"/>
      <c r="AC55" s="24"/>
    </row>
    <row r="56" spans="1:29" ht="108.7">
      <c r="A56" s="25" t="s">
        <v>543</v>
      </c>
      <c r="B56" s="25" t="s">
        <v>544</v>
      </c>
      <c r="C56" s="26" t="s">
        <v>546</v>
      </c>
      <c r="D56" s="26" t="s">
        <v>709</v>
      </c>
      <c r="E56" s="25" t="s">
        <v>710</v>
      </c>
      <c r="F56" s="25" t="s">
        <v>711</v>
      </c>
      <c r="G56" s="50" t="str">
        <f>HYPERLINK("https://www.acquisition.gov/content/subpart-161-selecting-contract-types#i1105123","FAR 16.103(d) Negotiating contract type. FAR 16.104 Factors in selecting contract types. ")</f>
        <v xml:space="preserve">FAR 16.103(d) Negotiating contract type. FAR 16.104 Factors in selecting contract types. </v>
      </c>
      <c r="H56" s="33"/>
      <c r="I56" s="34" t="s">
        <v>689</v>
      </c>
      <c r="J56" s="37" t="s">
        <v>268</v>
      </c>
      <c r="K56" s="83" t="s">
        <v>714</v>
      </c>
      <c r="L56" s="25" t="s">
        <v>715</v>
      </c>
      <c r="M56" s="89" t="s">
        <v>716</v>
      </c>
      <c r="N56" s="41" t="s">
        <v>645</v>
      </c>
      <c r="O56" s="64"/>
      <c r="P56" s="45" t="b">
        <f t="shared" si="17"/>
        <v>0</v>
      </c>
      <c r="Q56" s="45">
        <f t="shared" si="18"/>
        <v>3</v>
      </c>
      <c r="R56" s="45">
        <f t="shared" si="19"/>
        <v>0</v>
      </c>
      <c r="S56" s="24"/>
      <c r="T56" s="24"/>
      <c r="U56" s="24"/>
      <c r="V56" s="24"/>
      <c r="W56" s="24"/>
      <c r="X56" s="24"/>
      <c r="Y56" s="24"/>
      <c r="Z56" s="24"/>
      <c r="AA56" s="24"/>
      <c r="AB56" s="24"/>
      <c r="AC56" s="24"/>
    </row>
    <row r="57" spans="1:29" ht="108.7">
      <c r="A57" s="25" t="s">
        <v>543</v>
      </c>
      <c r="B57" s="25" t="s">
        <v>544</v>
      </c>
      <c r="C57" s="26" t="s">
        <v>546</v>
      </c>
      <c r="D57" s="26" t="s">
        <v>723</v>
      </c>
      <c r="E57" s="25" t="s">
        <v>724</v>
      </c>
      <c r="F57" s="25" t="s">
        <v>711</v>
      </c>
      <c r="G57" s="50" t="str">
        <f>HYPERLINK("https://www.acquisition.gov/content/subpart-162-fixed-price-contracts#i1104838","FAR 16.2 Fixed-price contracts")</f>
        <v>FAR 16.2 Fixed-price contracts</v>
      </c>
      <c r="H57" s="80" t="str">
        <f>HYPERLINK("https://www.acquisition.gov/sites/default/files/current/gsam/html/Part516.html#wp1858824","GSAM 516.2")</f>
        <v>GSAM 516.2</v>
      </c>
      <c r="I57" s="34" t="s">
        <v>689</v>
      </c>
      <c r="J57" s="37" t="s">
        <v>268</v>
      </c>
      <c r="K57" s="83" t="s">
        <v>729</v>
      </c>
      <c r="L57" s="25" t="s">
        <v>730</v>
      </c>
      <c r="M57" s="89" t="s">
        <v>731</v>
      </c>
      <c r="N57" s="41" t="s">
        <v>645</v>
      </c>
      <c r="O57" s="64"/>
      <c r="P57" s="45" t="b">
        <f t="shared" si="17"/>
        <v>0</v>
      </c>
      <c r="Q57" s="45">
        <f t="shared" si="18"/>
        <v>3</v>
      </c>
      <c r="R57" s="45">
        <f t="shared" si="19"/>
        <v>0</v>
      </c>
      <c r="S57" s="24"/>
      <c r="T57" s="24"/>
      <c r="U57" s="24"/>
      <c r="V57" s="24"/>
      <c r="W57" s="24"/>
      <c r="X57" s="24"/>
      <c r="Y57" s="24"/>
      <c r="Z57" s="24"/>
      <c r="AA57" s="24"/>
      <c r="AB57" s="24"/>
      <c r="AC57" s="24"/>
    </row>
    <row r="58" spans="1:29" ht="108.7">
      <c r="A58" s="25" t="s">
        <v>543</v>
      </c>
      <c r="B58" s="25" t="s">
        <v>544</v>
      </c>
      <c r="C58" s="26" t="s">
        <v>546</v>
      </c>
      <c r="D58" s="26" t="s">
        <v>734</v>
      </c>
      <c r="E58" s="25" t="s">
        <v>735</v>
      </c>
      <c r="F58" s="25" t="s">
        <v>711</v>
      </c>
      <c r="G58" s="50" t="str">
        <f>HYPERLINK("https://www.acquisition.gov/content/part-16-types-contracts","FAR 16.103(b) Negotiating contract type.  FAR 16.202 Firm-fixed-price contracts [fixed-price contracts]. ")</f>
        <v xml:space="preserve">FAR 16.103(b) Negotiating contract type.  FAR 16.202 Firm-fixed-price contracts [fixed-price contracts]. </v>
      </c>
      <c r="H58" s="33"/>
      <c r="I58" s="34" t="s">
        <v>689</v>
      </c>
      <c r="J58" s="37" t="s">
        <v>268</v>
      </c>
      <c r="K58" s="83" t="s">
        <v>739</v>
      </c>
      <c r="L58" s="25" t="s">
        <v>740</v>
      </c>
      <c r="M58" s="89" t="s">
        <v>741</v>
      </c>
      <c r="N58" s="41" t="s">
        <v>645</v>
      </c>
      <c r="O58" s="64"/>
      <c r="P58" s="45" t="b">
        <f t="shared" si="17"/>
        <v>0</v>
      </c>
      <c r="Q58" s="45">
        <f t="shared" si="18"/>
        <v>3</v>
      </c>
      <c r="R58" s="45">
        <f t="shared" si="19"/>
        <v>0</v>
      </c>
      <c r="S58" s="24"/>
      <c r="T58" s="24"/>
      <c r="U58" s="24"/>
      <c r="V58" s="24"/>
      <c r="W58" s="24"/>
      <c r="X58" s="24"/>
      <c r="Y58" s="24"/>
      <c r="Z58" s="24"/>
      <c r="AA58" s="24"/>
      <c r="AB58" s="24"/>
      <c r="AC58" s="24"/>
    </row>
    <row r="59" spans="1:29" ht="108.7">
      <c r="A59" s="25" t="s">
        <v>543</v>
      </c>
      <c r="B59" s="25" t="s">
        <v>544</v>
      </c>
      <c r="C59" s="26" t="s">
        <v>546</v>
      </c>
      <c r="D59" s="26" t="s">
        <v>742</v>
      </c>
      <c r="E59" s="25" t="s">
        <v>743</v>
      </c>
      <c r="F59" s="25" t="s">
        <v>711</v>
      </c>
      <c r="G59" s="50" t="str">
        <f>HYPERLINK("https://www.acquisition.gov/content/16203-fixed-price-contracts-economic-price-adjustment#i1104876","FAR 16.203 Fixed-price contracts with economic price adjustment [fixed-price contracts]. ")</f>
        <v xml:space="preserve">FAR 16.203 Fixed-price contracts with economic price adjustment [fixed-price contracts]. </v>
      </c>
      <c r="H59" s="80" t="str">
        <f>HYPERLINK("https://www.acquisition.gov/sites/default/files/current/gsam/html/Part516.html#wp1858824","GSAM 516.203")</f>
        <v>GSAM 516.203</v>
      </c>
      <c r="I59" s="34" t="s">
        <v>689</v>
      </c>
      <c r="J59" s="37" t="s">
        <v>268</v>
      </c>
      <c r="K59" s="83" t="s">
        <v>749</v>
      </c>
      <c r="L59" s="25" t="s">
        <v>750</v>
      </c>
      <c r="M59" s="89" t="s">
        <v>751</v>
      </c>
      <c r="N59" s="41" t="s">
        <v>645</v>
      </c>
      <c r="O59" s="64"/>
      <c r="P59" s="45" t="b">
        <f t="shared" si="17"/>
        <v>0</v>
      </c>
      <c r="Q59" s="45">
        <f t="shared" si="18"/>
        <v>3</v>
      </c>
      <c r="R59" s="45">
        <f t="shared" si="19"/>
        <v>0</v>
      </c>
      <c r="S59" s="24"/>
      <c r="T59" s="24"/>
      <c r="U59" s="24"/>
      <c r="V59" s="24"/>
      <c r="W59" s="24"/>
      <c r="X59" s="24"/>
      <c r="Y59" s="24"/>
      <c r="Z59" s="24"/>
      <c r="AA59" s="24"/>
      <c r="AB59" s="24"/>
      <c r="AC59" s="24"/>
    </row>
    <row r="60" spans="1:29" ht="108.7">
      <c r="A60" s="25" t="s">
        <v>543</v>
      </c>
      <c r="B60" s="25" t="s">
        <v>544</v>
      </c>
      <c r="C60" s="26" t="s">
        <v>546</v>
      </c>
      <c r="D60" s="26" t="s">
        <v>754</v>
      </c>
      <c r="E60" s="25" t="s">
        <v>755</v>
      </c>
      <c r="F60" s="25" t="s">
        <v>711</v>
      </c>
      <c r="G60" s="50" t="str">
        <f>HYPERLINK("https://www.acquisition.gov/content/part-16-types-contracts","FAR 16.204 Fixed-price incentive contracts [fixed price contracts]. FAR 16.403 Fixed-price incentive contracts [incentive contracts]. ")</f>
        <v xml:space="preserve">FAR 16.204 Fixed-price incentive contracts [fixed price contracts]. FAR 16.403 Fixed-price incentive contracts [incentive contracts]. </v>
      </c>
      <c r="H60" s="80" t="str">
        <f>HYPERLINK("https://www.acquisition.gov/sites/default/files/current/gsam/html/Part516.html#wp1858824","GSAM 516.403")</f>
        <v>GSAM 516.403</v>
      </c>
      <c r="I60" s="34" t="s">
        <v>689</v>
      </c>
      <c r="J60" s="37" t="s">
        <v>268</v>
      </c>
      <c r="K60" s="83" t="s">
        <v>759</v>
      </c>
      <c r="L60" s="25" t="s">
        <v>760</v>
      </c>
      <c r="M60" s="89" t="s">
        <v>761</v>
      </c>
      <c r="N60" s="41" t="s">
        <v>645</v>
      </c>
      <c r="O60" s="64"/>
      <c r="P60" s="45" t="b">
        <f t="shared" si="17"/>
        <v>0</v>
      </c>
      <c r="Q60" s="45">
        <f t="shared" si="18"/>
        <v>3</v>
      </c>
      <c r="R60" s="45">
        <f t="shared" si="19"/>
        <v>0</v>
      </c>
      <c r="S60" s="24"/>
      <c r="T60" s="24"/>
      <c r="U60" s="24"/>
      <c r="V60" s="24"/>
      <c r="W60" s="24"/>
      <c r="X60" s="24"/>
      <c r="Y60" s="24"/>
      <c r="Z60" s="24"/>
      <c r="AA60" s="24"/>
      <c r="AB60" s="24"/>
      <c r="AC60" s="24"/>
    </row>
    <row r="61" spans="1:29" ht="108.7">
      <c r="A61" s="25" t="s">
        <v>543</v>
      </c>
      <c r="B61" s="25" t="s">
        <v>544</v>
      </c>
      <c r="C61" s="26" t="s">
        <v>546</v>
      </c>
      <c r="D61" s="26" t="s">
        <v>764</v>
      </c>
      <c r="E61" s="25" t="s">
        <v>765</v>
      </c>
      <c r="F61" s="25" t="s">
        <v>711</v>
      </c>
      <c r="G61" s="50" t="str">
        <f>HYPERLINK("https://www.acquisition.gov/content/subpart-164-incentive-contracts#i1104343","FAR 16.401(e)(1) Application [incentive contracts]. FAR 16.404 Fixed-price contracts with award fees [incentive contracts]. ")</f>
        <v xml:space="preserve">FAR 16.401(e)(1) Application [incentive contracts]. FAR 16.404 Fixed-price contracts with award fees [incentive contracts]. </v>
      </c>
      <c r="H61" s="33"/>
      <c r="I61" s="34" t="s">
        <v>689</v>
      </c>
      <c r="J61" s="37" t="s">
        <v>268</v>
      </c>
      <c r="K61" s="83" t="s">
        <v>768</v>
      </c>
      <c r="L61" s="25" t="s">
        <v>769</v>
      </c>
      <c r="M61" s="89" t="s">
        <v>770</v>
      </c>
      <c r="N61" s="41" t="s">
        <v>645</v>
      </c>
      <c r="O61" s="64"/>
      <c r="P61" s="45" t="b">
        <f t="shared" si="17"/>
        <v>0</v>
      </c>
      <c r="Q61" s="45">
        <f t="shared" si="18"/>
        <v>3</v>
      </c>
      <c r="R61" s="45">
        <f t="shared" si="19"/>
        <v>0</v>
      </c>
      <c r="S61" s="24"/>
      <c r="T61" s="24"/>
      <c r="U61" s="24"/>
      <c r="V61" s="24"/>
      <c r="W61" s="24"/>
      <c r="X61" s="24"/>
      <c r="Y61" s="24"/>
      <c r="Z61" s="24"/>
      <c r="AA61" s="24"/>
      <c r="AB61" s="24"/>
      <c r="AC61" s="24"/>
    </row>
    <row r="62" spans="1:29" ht="108.7">
      <c r="A62" s="25" t="s">
        <v>543</v>
      </c>
      <c r="B62" s="25" t="s">
        <v>544</v>
      </c>
      <c r="C62" s="26" t="s">
        <v>546</v>
      </c>
      <c r="D62" s="26" t="s">
        <v>773</v>
      </c>
      <c r="E62" s="25" t="s">
        <v>774</v>
      </c>
      <c r="F62" s="25" t="s">
        <v>711</v>
      </c>
      <c r="G62" s="50" t="str">
        <f>HYPERLINK("https://www.acquisition.gov/content/16205-fixed-price-contracts-prospective-price-redetermination#i1104997","FAR 16.205 Fixed-price contracts with prospective price redetermination [fixed-price contracts]. ")</f>
        <v xml:space="preserve">FAR 16.205 Fixed-price contracts with prospective price redetermination [fixed-price contracts]. </v>
      </c>
      <c r="H62" s="33"/>
      <c r="I62" s="34" t="s">
        <v>689</v>
      </c>
      <c r="J62" s="37" t="s">
        <v>268</v>
      </c>
      <c r="K62" s="83" t="s">
        <v>775</v>
      </c>
      <c r="L62" s="25" t="s">
        <v>777</v>
      </c>
      <c r="M62" s="89" t="s">
        <v>779</v>
      </c>
      <c r="N62" s="41" t="s">
        <v>645</v>
      </c>
      <c r="O62" s="64"/>
      <c r="P62" s="45" t="b">
        <f t="shared" si="17"/>
        <v>0</v>
      </c>
      <c r="Q62" s="45">
        <f t="shared" si="18"/>
        <v>3</v>
      </c>
      <c r="R62" s="45">
        <f t="shared" si="19"/>
        <v>0</v>
      </c>
      <c r="S62" s="24"/>
      <c r="T62" s="24"/>
      <c r="U62" s="24"/>
      <c r="V62" s="24"/>
      <c r="W62" s="24"/>
      <c r="X62" s="24"/>
      <c r="Y62" s="24"/>
      <c r="Z62" s="24"/>
      <c r="AA62" s="24"/>
      <c r="AB62" s="24"/>
      <c r="AC62" s="24"/>
    </row>
    <row r="63" spans="1:29" ht="130.44999999999999">
      <c r="A63" s="25" t="s">
        <v>543</v>
      </c>
      <c r="B63" s="25" t="s">
        <v>544</v>
      </c>
      <c r="C63" s="26" t="s">
        <v>546</v>
      </c>
      <c r="D63" s="26" t="s">
        <v>780</v>
      </c>
      <c r="E63" s="25" t="s">
        <v>781</v>
      </c>
      <c r="F63" s="25" t="s">
        <v>711</v>
      </c>
      <c r="G63" s="50" t="str">
        <f>HYPERLINK("https://www.acquisition.gov/content/16207-firm-fixed-price-level-effort-term-contracts#i1105063","FAR 16.207 Firm-fixed-price, level-ofeffort term contracts [fixed-price contracts]. ")</f>
        <v xml:space="preserve">FAR 16.207 Firm-fixed-price, level-ofeffort term contracts [fixed-price contracts]. </v>
      </c>
      <c r="H63" s="33"/>
      <c r="I63" s="34" t="s">
        <v>689</v>
      </c>
      <c r="J63" s="37" t="s">
        <v>268</v>
      </c>
      <c r="K63" s="83" t="s">
        <v>785</v>
      </c>
      <c r="L63" s="25" t="s">
        <v>786</v>
      </c>
      <c r="M63" s="89" t="s">
        <v>787</v>
      </c>
      <c r="N63" s="41" t="s">
        <v>788</v>
      </c>
      <c r="O63" s="64"/>
      <c r="P63" s="45" t="b">
        <f t="shared" si="17"/>
        <v>0</v>
      </c>
      <c r="Q63" s="45">
        <f t="shared" si="18"/>
        <v>3</v>
      </c>
      <c r="R63" s="45">
        <f t="shared" si="19"/>
        <v>0</v>
      </c>
      <c r="S63" s="24"/>
      <c r="T63" s="24"/>
      <c r="U63" s="24"/>
      <c r="V63" s="24"/>
      <c r="W63" s="24"/>
      <c r="X63" s="24"/>
      <c r="Y63" s="24"/>
      <c r="Z63" s="24"/>
      <c r="AA63" s="24"/>
      <c r="AB63" s="24"/>
      <c r="AC63" s="24"/>
    </row>
    <row r="64" spans="1:29" ht="141.30000000000001">
      <c r="A64" s="25" t="s">
        <v>543</v>
      </c>
      <c r="B64" s="25" t="s">
        <v>544</v>
      </c>
      <c r="C64" s="26" t="s">
        <v>546</v>
      </c>
      <c r="D64" s="26" t="s">
        <v>793</v>
      </c>
      <c r="E64" s="25" t="s">
        <v>794</v>
      </c>
      <c r="F64" s="25" t="s">
        <v>711</v>
      </c>
      <c r="G64" s="50" t="str">
        <f>HYPERLINK("https://www.acquisition.gov/content/subpart-163-cost-reimbursement-contracts#i1104629","FAR 16.3 Cost-reimbursement contracts. ")</f>
        <v xml:space="preserve">FAR 16.3 Cost-reimbursement contracts. </v>
      </c>
      <c r="H64" s="33"/>
      <c r="I64" s="34" t="s">
        <v>689</v>
      </c>
      <c r="J64" s="37" t="s">
        <v>268</v>
      </c>
      <c r="K64" s="83" t="s">
        <v>798</v>
      </c>
      <c r="L64" s="25" t="s">
        <v>799</v>
      </c>
      <c r="M64" s="89" t="s">
        <v>800</v>
      </c>
      <c r="N64" s="41" t="s">
        <v>801</v>
      </c>
      <c r="O64" s="64"/>
      <c r="P64" s="45" t="b">
        <f t="shared" si="17"/>
        <v>0</v>
      </c>
      <c r="Q64" s="45">
        <f t="shared" si="18"/>
        <v>3</v>
      </c>
      <c r="R64" s="45">
        <f t="shared" si="19"/>
        <v>0</v>
      </c>
      <c r="S64" s="24"/>
      <c r="T64" s="24"/>
      <c r="U64" s="24"/>
      <c r="V64" s="24"/>
      <c r="W64" s="24"/>
      <c r="X64" s="24"/>
      <c r="Y64" s="24"/>
      <c r="Z64" s="24"/>
      <c r="AA64" s="24"/>
      <c r="AB64" s="24"/>
      <c r="AC64" s="24"/>
    </row>
    <row r="65" spans="1:29" ht="130.44999999999999">
      <c r="A65" s="25" t="s">
        <v>543</v>
      </c>
      <c r="B65" s="25" t="s">
        <v>544</v>
      </c>
      <c r="C65" s="26" t="s">
        <v>546</v>
      </c>
      <c r="D65" s="26" t="s">
        <v>802</v>
      </c>
      <c r="E65" s="25" t="s">
        <v>803</v>
      </c>
      <c r="F65" s="25" t="s">
        <v>711</v>
      </c>
      <c r="G65" s="50" t="str">
        <f>HYPERLINK("https://www.acquisition.gov/content/16303-cost-sharing-contracts","FAR 16.303 Cost-sharing contracts [cost-reimbursement contracts]. ")</f>
        <v xml:space="preserve">FAR 16.303 Cost-sharing contracts [cost-reimbursement contracts]. </v>
      </c>
      <c r="H65" s="33"/>
      <c r="I65" s="34" t="s">
        <v>689</v>
      </c>
      <c r="J65" s="37" t="s">
        <v>268</v>
      </c>
      <c r="K65" s="83" t="s">
        <v>809</v>
      </c>
      <c r="L65" s="25" t="s">
        <v>810</v>
      </c>
      <c r="M65" s="89" t="s">
        <v>811</v>
      </c>
      <c r="N65" s="41" t="s">
        <v>812</v>
      </c>
      <c r="O65" s="64"/>
      <c r="P65" s="45" t="b">
        <f t="shared" si="17"/>
        <v>0</v>
      </c>
      <c r="Q65" s="45">
        <f t="shared" si="18"/>
        <v>3</v>
      </c>
      <c r="R65" s="45">
        <f t="shared" si="19"/>
        <v>0</v>
      </c>
      <c r="S65" s="24"/>
      <c r="T65" s="24"/>
      <c r="U65" s="24"/>
      <c r="V65" s="24"/>
      <c r="W65" s="24"/>
      <c r="X65" s="24"/>
      <c r="Y65" s="24"/>
      <c r="Z65" s="24"/>
      <c r="AA65" s="24"/>
      <c r="AB65" s="24"/>
      <c r="AC65" s="24"/>
    </row>
    <row r="66" spans="1:29" ht="141.30000000000001">
      <c r="A66" s="25" t="s">
        <v>543</v>
      </c>
      <c r="B66" s="25" t="s">
        <v>544</v>
      </c>
      <c r="C66" s="26" t="s">
        <v>546</v>
      </c>
      <c r="D66" s="26" t="s">
        <v>815</v>
      </c>
      <c r="E66" s="25" t="s">
        <v>816</v>
      </c>
      <c r="F66" s="25" t="s">
        <v>711</v>
      </c>
      <c r="G66" s="50" t="str">
        <f>HYPERLINK("https://www.acquisition.gov/content/part-16-types-contracts","FAR 16.304 Cost-plus-incentive-fee contracts [cost-reimbursement contracts]. FAR 16.405-1 Cost-plus-incentive-fee contracts [cost-reimbursement incentive contracts]. ")</f>
        <v xml:space="preserve">FAR 16.304 Cost-plus-incentive-fee contracts [cost-reimbursement contracts]. FAR 16.405-1 Cost-plus-incentive-fee contracts [cost-reimbursement incentive contracts]. </v>
      </c>
      <c r="H66" s="90" t="str">
        <f t="shared" ref="H66:H67" si="22">HYPERLINK("https://www.acquisition.gov/sites/default/files/current/gsam/html/Part516.html#wp1858140","GSAM 516.4, Incentive Contracts")</f>
        <v>GSAM 516.4, Incentive Contracts</v>
      </c>
      <c r="I66" s="34" t="s">
        <v>689</v>
      </c>
      <c r="J66" s="37" t="s">
        <v>268</v>
      </c>
      <c r="K66" s="83" t="s">
        <v>820</v>
      </c>
      <c r="L66" s="25" t="s">
        <v>821</v>
      </c>
      <c r="M66" s="89" t="s">
        <v>822</v>
      </c>
      <c r="N66" s="41" t="s">
        <v>823</v>
      </c>
      <c r="O66" s="64"/>
      <c r="P66" s="45" t="b">
        <f t="shared" si="17"/>
        <v>0</v>
      </c>
      <c r="Q66" s="45">
        <f t="shared" si="18"/>
        <v>3</v>
      </c>
      <c r="R66" s="45">
        <f t="shared" si="19"/>
        <v>0</v>
      </c>
      <c r="S66" s="24"/>
      <c r="T66" s="24"/>
      <c r="U66" s="24"/>
      <c r="V66" s="24"/>
      <c r="W66" s="24"/>
      <c r="X66" s="24"/>
      <c r="Y66" s="24"/>
      <c r="Z66" s="24"/>
      <c r="AA66" s="24"/>
      <c r="AB66" s="24"/>
      <c r="AC66" s="24"/>
    </row>
    <row r="67" spans="1:29" ht="141.30000000000001">
      <c r="A67" s="25" t="s">
        <v>543</v>
      </c>
      <c r="B67" s="25" t="s">
        <v>544</v>
      </c>
      <c r="C67" s="26" t="s">
        <v>546</v>
      </c>
      <c r="D67" s="26" t="s">
        <v>829</v>
      </c>
      <c r="E67" s="25" t="s">
        <v>830</v>
      </c>
      <c r="F67" s="25" t="s">
        <v>711</v>
      </c>
      <c r="G67" s="50" t="str">
        <f>HYPERLINK("https://www.acquisition.gov/content/part-16-types-contracts","FAR 16.305 Cost-plus- award-fee contracts [cost-reimbursement contracts]. FAR 16.405-2 Cost-plus-award-fee contracts [cost-reimbursement incentive contracts]. ")</f>
        <v xml:space="preserve">FAR 16.305 Cost-plus- award-fee contracts [cost-reimbursement contracts]. FAR 16.405-2 Cost-plus-award-fee contracts [cost-reimbursement incentive contracts]. </v>
      </c>
      <c r="H67" s="90" t="str">
        <f t="shared" si="22"/>
        <v>GSAM 516.4, Incentive Contracts</v>
      </c>
      <c r="I67" s="34" t="s">
        <v>689</v>
      </c>
      <c r="J67" s="37" t="s">
        <v>268</v>
      </c>
      <c r="K67" s="83" t="s">
        <v>837</v>
      </c>
      <c r="L67" s="25" t="s">
        <v>838</v>
      </c>
      <c r="M67" s="89" t="s">
        <v>839</v>
      </c>
      <c r="N67" s="41" t="s">
        <v>840</v>
      </c>
      <c r="O67" s="64"/>
      <c r="P67" s="45" t="b">
        <f t="shared" si="17"/>
        <v>0</v>
      </c>
      <c r="Q67" s="45">
        <f t="shared" si="18"/>
        <v>3</v>
      </c>
      <c r="R67" s="45">
        <f t="shared" si="19"/>
        <v>0</v>
      </c>
      <c r="S67" s="24"/>
      <c r="T67" s="24"/>
      <c r="U67" s="24"/>
      <c r="V67" s="24"/>
      <c r="W67" s="24"/>
      <c r="X67" s="24"/>
      <c r="Y67" s="24"/>
      <c r="Z67" s="24"/>
      <c r="AA67" s="24"/>
      <c r="AB67" s="24"/>
      <c r="AC67" s="24"/>
    </row>
    <row r="68" spans="1:29" ht="141.30000000000001">
      <c r="A68" s="25" t="s">
        <v>543</v>
      </c>
      <c r="B68" s="25" t="s">
        <v>544</v>
      </c>
      <c r="C68" s="26" t="s">
        <v>546</v>
      </c>
      <c r="D68" s="26" t="s">
        <v>841</v>
      </c>
      <c r="E68" s="25" t="s">
        <v>842</v>
      </c>
      <c r="F68" s="25" t="s">
        <v>711</v>
      </c>
      <c r="G68" s="50" t="str">
        <f>HYPERLINK("https://www.acquisition.gov/content/16306-cost-plus-fixed-fee-contracts#i1104719","FAR 16.306 Cost-plus-fixed-fee contracts [cost-reimbursement contracts].")</f>
        <v>FAR 16.306 Cost-plus-fixed-fee contracts [cost-reimbursement contracts].</v>
      </c>
      <c r="H68" s="88"/>
      <c r="I68" s="34" t="s">
        <v>689</v>
      </c>
      <c r="J68" s="37" t="s">
        <v>268</v>
      </c>
      <c r="K68" s="83" t="s">
        <v>848</v>
      </c>
      <c r="L68" s="25" t="s">
        <v>849</v>
      </c>
      <c r="M68" s="89" t="s">
        <v>850</v>
      </c>
      <c r="N68" s="41" t="s">
        <v>851</v>
      </c>
      <c r="O68" s="64"/>
      <c r="P68" s="45" t="b">
        <f t="shared" si="17"/>
        <v>0</v>
      </c>
      <c r="Q68" s="45">
        <f t="shared" si="18"/>
        <v>3</v>
      </c>
      <c r="R68" s="45">
        <f t="shared" si="19"/>
        <v>0</v>
      </c>
      <c r="S68" s="24"/>
      <c r="T68" s="24"/>
      <c r="U68" s="24"/>
      <c r="V68" s="24"/>
      <c r="W68" s="24"/>
      <c r="X68" s="24"/>
      <c r="Y68" s="24"/>
      <c r="Z68" s="24"/>
      <c r="AA68" s="24"/>
      <c r="AB68" s="24"/>
      <c r="AC68" s="24"/>
    </row>
    <row r="69" spans="1:29" ht="108.7">
      <c r="A69" s="25" t="s">
        <v>543</v>
      </c>
      <c r="B69" s="25" t="s">
        <v>544</v>
      </c>
      <c r="C69" s="26" t="s">
        <v>546</v>
      </c>
      <c r="D69" s="26" t="s">
        <v>852</v>
      </c>
      <c r="E69" s="25" t="s">
        <v>853</v>
      </c>
      <c r="F69" s="25" t="s">
        <v>711</v>
      </c>
      <c r="G69" s="50" t="str">
        <f>HYPERLINK("https://www.acquisition.gov/content/subpart-165-indefinite-delivery-contracts#i1103875","FAR Subpart 16.5 Indefinite-delivery contracts")</f>
        <v>FAR Subpart 16.5 Indefinite-delivery contracts</v>
      </c>
      <c r="H69" s="80" t="str">
        <f>HYPERLINK("https://www.acquisition.gov/sites/default/files/current/gsam/html/Part516.html#wp1859665","GSAM 516.505")</f>
        <v>GSAM 516.505</v>
      </c>
      <c r="I69" s="34" t="s">
        <v>689</v>
      </c>
      <c r="J69" s="37" t="s">
        <v>268</v>
      </c>
      <c r="K69" s="83" t="s">
        <v>854</v>
      </c>
      <c r="L69" s="25" t="s">
        <v>855</v>
      </c>
      <c r="M69" s="89" t="s">
        <v>856</v>
      </c>
      <c r="N69" s="41" t="s">
        <v>645</v>
      </c>
      <c r="O69" s="64"/>
      <c r="P69" s="45" t="b">
        <f t="shared" si="17"/>
        <v>0</v>
      </c>
      <c r="Q69" s="45">
        <f t="shared" si="18"/>
        <v>3</v>
      </c>
      <c r="R69" s="45">
        <f t="shared" si="19"/>
        <v>0</v>
      </c>
      <c r="S69" s="24"/>
      <c r="T69" s="24"/>
      <c r="U69" s="24"/>
      <c r="V69" s="24"/>
      <c r="W69" s="24"/>
      <c r="X69" s="24"/>
      <c r="Y69" s="24"/>
      <c r="Z69" s="24"/>
      <c r="AA69" s="24"/>
      <c r="AB69" s="24"/>
      <c r="AC69" s="24"/>
    </row>
    <row r="70" spans="1:29" ht="108.7">
      <c r="A70" s="25" t="s">
        <v>543</v>
      </c>
      <c r="B70" s="25" t="s">
        <v>544</v>
      </c>
      <c r="C70" s="26" t="s">
        <v>546</v>
      </c>
      <c r="D70" s="26" t="s">
        <v>857</v>
      </c>
      <c r="E70" s="25" t="s">
        <v>858</v>
      </c>
      <c r="F70" s="25" t="s">
        <v>711</v>
      </c>
      <c r="G70" s="50" t="str">
        <f>HYPERLINK("https://www.acquisition.gov/content/16502-definite-quantity-contracts","FAR 16.502 Definite-quantity contracts [indefinite-delivery contracts]. ")</f>
        <v xml:space="preserve">FAR 16.502 Definite-quantity contracts [indefinite-delivery contracts]. </v>
      </c>
      <c r="H70" s="90" t="str">
        <f t="shared" ref="H70:H71" si="23">HYPERLINK("https://www.acquisition.gov/sites/default/files/current/gsam/html/Part516.html#wp1859990","Subpart 516.5, Indefinite-Delivery Contracts")</f>
        <v>Subpart 516.5, Indefinite-Delivery Contracts</v>
      </c>
      <c r="I70" s="34" t="s">
        <v>689</v>
      </c>
      <c r="J70" s="37" t="s">
        <v>268</v>
      </c>
      <c r="K70" s="83" t="s">
        <v>867</v>
      </c>
      <c r="L70" s="25" t="s">
        <v>868</v>
      </c>
      <c r="M70" s="89" t="s">
        <v>869</v>
      </c>
      <c r="N70" s="41" t="s">
        <v>645</v>
      </c>
      <c r="O70" s="64"/>
      <c r="P70" s="45" t="b">
        <f t="shared" si="17"/>
        <v>0</v>
      </c>
      <c r="Q70" s="45">
        <f t="shared" si="18"/>
        <v>3</v>
      </c>
      <c r="R70" s="45">
        <f t="shared" si="19"/>
        <v>0</v>
      </c>
      <c r="S70" s="24"/>
      <c r="T70" s="24"/>
      <c r="U70" s="24"/>
      <c r="V70" s="24"/>
      <c r="W70" s="24"/>
      <c r="X70" s="24"/>
      <c r="Y70" s="24"/>
      <c r="Z70" s="24"/>
      <c r="AA70" s="24"/>
      <c r="AB70" s="24"/>
      <c r="AC70" s="24"/>
    </row>
    <row r="71" spans="1:29" ht="108.7">
      <c r="A71" s="25" t="s">
        <v>543</v>
      </c>
      <c r="B71" s="25" t="s">
        <v>544</v>
      </c>
      <c r="C71" s="26" t="s">
        <v>546</v>
      </c>
      <c r="D71" s="26" t="s">
        <v>874</v>
      </c>
      <c r="E71" s="25" t="s">
        <v>875</v>
      </c>
      <c r="F71" s="25" t="s">
        <v>711</v>
      </c>
      <c r="G71" s="50" t="str">
        <f>HYPERLINK("https://www.acquisition.gov/content/16504-indefinite-quantity-contracts#i1103941","FAR 16.504 Indefinite-quantity contracts [indefinite-delivery contracts]. ")</f>
        <v xml:space="preserve">FAR 16.504 Indefinite-quantity contracts [indefinite-delivery contracts]. </v>
      </c>
      <c r="H71" s="90" t="str">
        <f t="shared" si="23"/>
        <v>Subpart 516.5, Indefinite-Delivery Contracts</v>
      </c>
      <c r="I71" s="34" t="s">
        <v>689</v>
      </c>
      <c r="J71" s="37" t="s">
        <v>268</v>
      </c>
      <c r="K71" s="83" t="s">
        <v>878</v>
      </c>
      <c r="L71" s="25" t="s">
        <v>879</v>
      </c>
      <c r="M71" s="89" t="s">
        <v>880</v>
      </c>
      <c r="N71" s="41" t="s">
        <v>645</v>
      </c>
      <c r="O71" s="64"/>
      <c r="P71" s="45" t="b">
        <f t="shared" si="17"/>
        <v>0</v>
      </c>
      <c r="Q71" s="45">
        <f t="shared" si="18"/>
        <v>3</v>
      </c>
      <c r="R71" s="45">
        <f t="shared" si="19"/>
        <v>0</v>
      </c>
      <c r="S71" s="24"/>
      <c r="T71" s="24"/>
      <c r="U71" s="24"/>
      <c r="V71" s="24"/>
      <c r="W71" s="24"/>
      <c r="X71" s="24"/>
      <c r="Y71" s="24"/>
      <c r="Z71" s="24"/>
      <c r="AA71" s="24"/>
      <c r="AB71" s="24"/>
      <c r="AC71" s="24"/>
    </row>
    <row r="72" spans="1:29" ht="108.7">
      <c r="A72" s="25" t="s">
        <v>543</v>
      </c>
      <c r="B72" s="25" t="s">
        <v>544</v>
      </c>
      <c r="C72" s="26" t="s">
        <v>546</v>
      </c>
      <c r="D72" s="26" t="s">
        <v>881</v>
      </c>
      <c r="E72" s="25" t="s">
        <v>882</v>
      </c>
      <c r="F72" s="25" t="s">
        <v>711</v>
      </c>
      <c r="G72" s="50" t="str">
        <f>HYPERLINK("https://www.acquisition.gov/content/16503-requirements-contracts","FAR 16.503 Requirements contracts [indefinite-delivery contracts]. ")</f>
        <v xml:space="preserve">FAR 16.503 Requirements contracts [indefinite-delivery contracts]. </v>
      </c>
      <c r="H72" s="88"/>
      <c r="I72" s="34" t="s">
        <v>689</v>
      </c>
      <c r="J72" s="37" t="s">
        <v>268</v>
      </c>
      <c r="K72" s="83" t="s">
        <v>887</v>
      </c>
      <c r="L72" s="25" t="s">
        <v>888</v>
      </c>
      <c r="M72" s="89" t="s">
        <v>889</v>
      </c>
      <c r="N72" s="41" t="s">
        <v>645</v>
      </c>
      <c r="O72" s="64"/>
      <c r="P72" s="45" t="b">
        <f t="shared" si="17"/>
        <v>0</v>
      </c>
      <c r="Q72" s="45">
        <f t="shared" si="18"/>
        <v>3</v>
      </c>
      <c r="R72" s="45">
        <f t="shared" si="19"/>
        <v>0</v>
      </c>
      <c r="S72" s="24"/>
      <c r="T72" s="24"/>
      <c r="U72" s="24"/>
      <c r="V72" s="24"/>
      <c r="W72" s="24"/>
      <c r="X72" s="24"/>
      <c r="Y72" s="24"/>
      <c r="Z72" s="24"/>
      <c r="AA72" s="24"/>
      <c r="AB72" s="24"/>
      <c r="AC72" s="24"/>
    </row>
    <row r="73" spans="1:29" ht="163.05000000000001">
      <c r="A73" s="25" t="s">
        <v>543</v>
      </c>
      <c r="B73" s="25" t="s">
        <v>544</v>
      </c>
      <c r="C73" s="26" t="s">
        <v>546</v>
      </c>
      <c r="D73" s="26" t="s">
        <v>893</v>
      </c>
      <c r="E73" s="25" t="s">
        <v>894</v>
      </c>
      <c r="F73" s="25" t="s">
        <v>711</v>
      </c>
      <c r="G73" s="50" t="str">
        <f>HYPERLINK("https://www.acquisition.gov/content/16601-time-and-materials-contracts","FAR 16.601 Time-and-materials contracts")</f>
        <v>FAR 16.601 Time-and-materials contracts</v>
      </c>
      <c r="H73" s="74"/>
      <c r="I73" s="34" t="s">
        <v>689</v>
      </c>
      <c r="J73" s="37" t="s">
        <v>268</v>
      </c>
      <c r="K73" s="83" t="s">
        <v>899</v>
      </c>
      <c r="L73" s="25" t="s">
        <v>900</v>
      </c>
      <c r="M73" s="89" t="s">
        <v>901</v>
      </c>
      <c r="N73" s="41" t="s">
        <v>902</v>
      </c>
      <c r="O73" s="64"/>
      <c r="P73" s="45" t="b">
        <f t="shared" si="17"/>
        <v>0</v>
      </c>
      <c r="Q73" s="45">
        <f t="shared" si="18"/>
        <v>3</v>
      </c>
      <c r="R73" s="45">
        <f t="shared" si="19"/>
        <v>0</v>
      </c>
      <c r="S73" s="24"/>
      <c r="T73" s="24"/>
      <c r="U73" s="24"/>
      <c r="V73" s="24"/>
      <c r="W73" s="24"/>
      <c r="X73" s="24"/>
      <c r="Y73" s="24"/>
      <c r="Z73" s="24"/>
      <c r="AA73" s="24"/>
      <c r="AB73" s="24"/>
      <c r="AC73" s="24"/>
    </row>
    <row r="74" spans="1:29" ht="163.05000000000001">
      <c r="A74" s="25" t="s">
        <v>543</v>
      </c>
      <c r="B74" s="25" t="s">
        <v>544</v>
      </c>
      <c r="C74" s="26" t="s">
        <v>546</v>
      </c>
      <c r="D74" s="26" t="s">
        <v>907</v>
      </c>
      <c r="E74" s="25" t="s">
        <v>909</v>
      </c>
      <c r="F74" s="25" t="s">
        <v>711</v>
      </c>
      <c r="G74" s="50" t="str">
        <f>HYPERLINK("https://www.acquisition.gov/content/16602-labor-hour-contracts","FAR 16.602 Labor-hour contracts")</f>
        <v>FAR 16.602 Labor-hour contracts</v>
      </c>
      <c r="H74" s="88"/>
      <c r="I74" s="34" t="s">
        <v>689</v>
      </c>
      <c r="J74" s="37" t="s">
        <v>268</v>
      </c>
      <c r="K74" s="83" t="s">
        <v>910</v>
      </c>
      <c r="L74" s="25" t="s">
        <v>911</v>
      </c>
      <c r="M74" s="89" t="s">
        <v>912</v>
      </c>
      <c r="N74" s="41" t="s">
        <v>913</v>
      </c>
      <c r="O74" s="64"/>
      <c r="P74" s="45" t="b">
        <f t="shared" si="17"/>
        <v>0</v>
      </c>
      <c r="Q74" s="45">
        <f t="shared" si="18"/>
        <v>3</v>
      </c>
      <c r="R74" s="45">
        <f t="shared" si="19"/>
        <v>0</v>
      </c>
      <c r="S74" s="24"/>
      <c r="T74" s="24"/>
      <c r="U74" s="24"/>
      <c r="V74" s="24"/>
      <c r="W74" s="24"/>
      <c r="X74" s="24"/>
      <c r="Y74" s="24"/>
      <c r="Z74" s="24"/>
      <c r="AA74" s="24"/>
      <c r="AB74" s="24"/>
      <c r="AC74" s="24"/>
    </row>
    <row r="75" spans="1:29" ht="108.7">
      <c r="A75" s="25" t="s">
        <v>543</v>
      </c>
      <c r="B75" s="25" t="s">
        <v>544</v>
      </c>
      <c r="C75" s="26" t="s">
        <v>546</v>
      </c>
      <c r="D75" s="26" t="s">
        <v>915</v>
      </c>
      <c r="E75" s="25" t="s">
        <v>917</v>
      </c>
      <c r="F75" s="25" t="s">
        <v>918</v>
      </c>
      <c r="G75" s="50" t="str">
        <f>HYPERLINK("https://www.acquisition.gov/content/subpart-161-selecting-contract-types","FAR 16.103(d) Negotiating contract type. FAR 16.104 Factors in selecting contract types. ")</f>
        <v xml:space="preserve">FAR 16.103(d) Negotiating contract type. FAR 16.104 Factors in selecting contract types. </v>
      </c>
      <c r="H75" s="88"/>
      <c r="I75" s="34" t="s">
        <v>689</v>
      </c>
      <c r="J75" s="37" t="s">
        <v>268</v>
      </c>
      <c r="K75" s="83" t="s">
        <v>924</v>
      </c>
      <c r="L75" s="25" t="s">
        <v>925</v>
      </c>
      <c r="M75" s="89" t="s">
        <v>926</v>
      </c>
      <c r="N75" s="92" t="s">
        <v>927</v>
      </c>
      <c r="O75" s="64"/>
      <c r="P75" s="45" t="b">
        <f t="shared" si="17"/>
        <v>0</v>
      </c>
      <c r="Q75" s="45">
        <f t="shared" si="18"/>
        <v>3</v>
      </c>
      <c r="R75" s="45">
        <f t="shared" si="19"/>
        <v>0</v>
      </c>
      <c r="S75" s="24"/>
      <c r="T75" s="24"/>
      <c r="U75" s="24"/>
      <c r="V75" s="24"/>
      <c r="W75" s="24"/>
      <c r="X75" s="24"/>
      <c r="Y75" s="24"/>
      <c r="Z75" s="24"/>
      <c r="AA75" s="24"/>
      <c r="AB75" s="24"/>
      <c r="AC75" s="24"/>
    </row>
    <row r="76" spans="1:29" ht="152.15">
      <c r="A76" s="25" t="s">
        <v>543</v>
      </c>
      <c r="B76" s="25" t="s">
        <v>544</v>
      </c>
      <c r="C76" s="26" t="s">
        <v>546</v>
      </c>
      <c r="D76" s="26" t="s">
        <v>965</v>
      </c>
      <c r="E76" s="25" t="s">
        <v>966</v>
      </c>
      <c r="F76" s="25" t="s">
        <v>967</v>
      </c>
      <c r="G76" s="50" t="str">
        <f>HYPERLINK("https://www.acquisition.gov/content/19502-2-total-small-business-set-asides","FAR 19.502-2(a) Total small business set-asides.")</f>
        <v>FAR 19.502-2(a) Total small business set-asides.</v>
      </c>
      <c r="H76" s="80" t="str">
        <f t="shared" ref="H76:H78" si="24">HYPERLINK("https://www.acquisition.gov/sites/default/files/current/gsam/html/Part519.html#wp1858125","GSAM 519.502")</f>
        <v>GSAM 519.502</v>
      </c>
      <c r="I76" s="34" t="s">
        <v>973</v>
      </c>
      <c r="J76" s="37" t="s">
        <v>268</v>
      </c>
      <c r="K76" s="83" t="s">
        <v>977</v>
      </c>
      <c r="L76" s="25" t="s">
        <v>978</v>
      </c>
      <c r="M76" s="39" t="s">
        <v>979</v>
      </c>
      <c r="N76" s="41" t="s">
        <v>980</v>
      </c>
      <c r="O76" s="64"/>
      <c r="P76" s="45" t="b">
        <f t="shared" si="17"/>
        <v>0</v>
      </c>
      <c r="Q76" s="45">
        <f t="shared" si="18"/>
        <v>3</v>
      </c>
      <c r="R76" s="45">
        <f t="shared" si="19"/>
        <v>0</v>
      </c>
      <c r="S76" s="24"/>
      <c r="T76" s="24"/>
      <c r="U76" s="24"/>
      <c r="V76" s="24"/>
      <c r="W76" s="24"/>
      <c r="X76" s="24"/>
      <c r="Y76" s="24"/>
      <c r="Z76" s="24"/>
      <c r="AA76" s="24"/>
      <c r="AB76" s="24"/>
      <c r="AC76" s="24"/>
    </row>
    <row r="77" spans="1:29" ht="184.75">
      <c r="A77" s="25" t="s">
        <v>543</v>
      </c>
      <c r="B77" s="25" t="s">
        <v>544</v>
      </c>
      <c r="C77" s="26" t="s">
        <v>546</v>
      </c>
      <c r="D77" s="26" t="s">
        <v>986</v>
      </c>
      <c r="E77" s="25" t="s">
        <v>987</v>
      </c>
      <c r="F77" s="25" t="s">
        <v>988</v>
      </c>
      <c r="G77" s="50" t="str">
        <f>HYPERLINK("https://www.acquisition.gov/content/19502-2-total-small-business-set-asides","FAR 19.502-2(a) Total small business set-asides. FAR 19.502-2(c) Total small business set-asides. ")</f>
        <v xml:space="preserve">FAR 19.502-2(a) Total small business set-asides. FAR 19.502-2(c) Total small business set-asides. </v>
      </c>
      <c r="H77" s="80" t="str">
        <f t="shared" si="24"/>
        <v>GSAM 519.502</v>
      </c>
      <c r="I77" s="34" t="s">
        <v>989</v>
      </c>
      <c r="J77" s="37" t="s">
        <v>268</v>
      </c>
      <c r="K77" s="83" t="s">
        <v>995</v>
      </c>
      <c r="L77" s="25" t="s">
        <v>996</v>
      </c>
      <c r="M77" s="25" t="s">
        <v>997</v>
      </c>
      <c r="N77" s="41" t="s">
        <v>998</v>
      </c>
      <c r="O77" s="64"/>
      <c r="P77" s="45" t="b">
        <f t="shared" si="17"/>
        <v>0</v>
      </c>
      <c r="Q77" s="45">
        <f t="shared" si="18"/>
        <v>3</v>
      </c>
      <c r="R77" s="45">
        <f t="shared" si="19"/>
        <v>0</v>
      </c>
      <c r="S77" s="24"/>
      <c r="T77" s="24"/>
      <c r="U77" s="24"/>
      <c r="V77" s="24"/>
      <c r="W77" s="24"/>
      <c r="X77" s="24"/>
      <c r="Y77" s="24"/>
      <c r="Z77" s="24"/>
      <c r="AA77" s="24"/>
      <c r="AB77" s="24"/>
      <c r="AC77" s="24"/>
    </row>
    <row r="78" spans="1:29" ht="108.7">
      <c r="A78" s="25" t="s">
        <v>543</v>
      </c>
      <c r="B78" s="25" t="s">
        <v>544</v>
      </c>
      <c r="C78" s="26" t="s">
        <v>546</v>
      </c>
      <c r="D78" s="26" t="s">
        <v>1005</v>
      </c>
      <c r="E78" s="25" t="s">
        <v>1007</v>
      </c>
      <c r="F78" s="25" t="s">
        <v>1009</v>
      </c>
      <c r="G78" s="50" t="str">
        <f>HYPERLINK("https://www.acquisition.gov/content/19502-2-total-small-business-set-asides","FAR 19.502-2(a) Total small business set-asides.")</f>
        <v>FAR 19.502-2(a) Total small business set-asides.</v>
      </c>
      <c r="H78" s="80" t="str">
        <f t="shared" si="24"/>
        <v>GSAM 519.502</v>
      </c>
      <c r="I78" s="96"/>
      <c r="J78" s="37" t="s">
        <v>463</v>
      </c>
      <c r="K78" s="83" t="s">
        <v>1011</v>
      </c>
      <c r="L78" s="25" t="s">
        <v>1012</v>
      </c>
      <c r="M78" s="25" t="s">
        <v>1012</v>
      </c>
      <c r="N78" s="25" t="s">
        <v>1012</v>
      </c>
      <c r="O78" s="64"/>
      <c r="P78" s="45" t="b">
        <f t="shared" si="17"/>
        <v>0</v>
      </c>
      <c r="Q78" s="45">
        <f t="shared" si="18"/>
        <v>0</v>
      </c>
      <c r="R78" s="45">
        <f t="shared" si="19"/>
        <v>0</v>
      </c>
      <c r="S78" s="24"/>
      <c r="T78" s="24"/>
      <c r="U78" s="24"/>
      <c r="V78" s="24"/>
      <c r="W78" s="24"/>
      <c r="X78" s="24"/>
      <c r="Y78" s="24"/>
      <c r="Z78" s="24"/>
      <c r="AA78" s="24"/>
      <c r="AB78" s="24"/>
      <c r="AC78" s="24"/>
    </row>
    <row r="79" spans="1:29" ht="173.9">
      <c r="A79" s="25" t="s">
        <v>543</v>
      </c>
      <c r="B79" s="25" t="s">
        <v>544</v>
      </c>
      <c r="C79" s="26" t="s">
        <v>546</v>
      </c>
      <c r="D79" s="26" t="s">
        <v>1013</v>
      </c>
      <c r="E79" s="25" t="s">
        <v>1014</v>
      </c>
      <c r="F79" s="25" t="s">
        <v>1015</v>
      </c>
      <c r="G79" s="50" t="str">
        <f>HYPERLINK("https://www.acquisition.gov/content/19202-2-locating-small-business-sources","FAR 19.202-2 Locating small business sources. ")</f>
        <v xml:space="preserve">FAR 19.202-2 Locating small business sources. </v>
      </c>
      <c r="H79" s="80" t="str">
        <f>HYPERLINK("https://www.acquisition.gov/sites/default/files/current/gsam/html/Part519.html#wp1865032","GSAM 519.202")</f>
        <v>GSAM 519.202</v>
      </c>
      <c r="I79" s="34" t="s">
        <v>1016</v>
      </c>
      <c r="J79" s="37" t="s">
        <v>268</v>
      </c>
      <c r="K79" s="83" t="s">
        <v>1017</v>
      </c>
      <c r="L79" s="25" t="s">
        <v>1018</v>
      </c>
      <c r="M79" s="39" t="s">
        <v>1019</v>
      </c>
      <c r="N79" s="41" t="s">
        <v>1020</v>
      </c>
      <c r="O79" s="64"/>
      <c r="P79" s="45" t="b">
        <f t="shared" si="17"/>
        <v>0</v>
      </c>
      <c r="Q79" s="45">
        <f t="shared" si="18"/>
        <v>3</v>
      </c>
      <c r="R79" s="45">
        <f t="shared" si="19"/>
        <v>0</v>
      </c>
      <c r="S79" s="24"/>
      <c r="T79" s="24"/>
      <c r="U79" s="24"/>
      <c r="V79" s="24"/>
      <c r="W79" s="24"/>
      <c r="X79" s="24"/>
      <c r="Y79" s="24"/>
      <c r="Z79" s="24"/>
      <c r="AA79" s="24"/>
      <c r="AB79" s="24"/>
      <c r="AC79" s="24"/>
    </row>
    <row r="80" spans="1:29" ht="141.30000000000001">
      <c r="A80" s="25" t="s">
        <v>543</v>
      </c>
      <c r="B80" s="25" t="s">
        <v>544</v>
      </c>
      <c r="C80" s="26" t="s">
        <v>546</v>
      </c>
      <c r="D80" s="26" t="s">
        <v>1025</v>
      </c>
      <c r="E80" s="25" t="s">
        <v>1026</v>
      </c>
      <c r="F80" s="25" t="s">
        <v>1027</v>
      </c>
      <c r="G80" s="50" t="str">
        <f>HYPERLINK("https://www.acquisition.gov/content/part-19-small-business-programs","FAR 19.1305 HUBZone set-aside procedures. FAR 19.1405 Service-disabled veteranowned small business set-aside procedures. FAR 19.1505 Set-aside procedures [Woman-Owned Small Business (WOSB) program]. ")</f>
        <v xml:space="preserve">FAR 19.1305 HUBZone set-aside procedures. FAR 19.1405 Service-disabled veteranowned small business set-aside procedures. FAR 19.1505 Set-aside procedures [Woman-Owned Small Business (WOSB) program]. </v>
      </c>
      <c r="H80" s="33"/>
      <c r="I80" s="34" t="s">
        <v>1016</v>
      </c>
      <c r="J80" s="37" t="s">
        <v>268</v>
      </c>
      <c r="K80" s="83" t="s">
        <v>1035</v>
      </c>
      <c r="L80" s="25" t="s">
        <v>1036</v>
      </c>
      <c r="M80" s="39" t="s">
        <v>1040</v>
      </c>
      <c r="N80" s="41" t="s">
        <v>1042</v>
      </c>
      <c r="O80" s="64"/>
      <c r="P80" s="45" t="b">
        <f t="shared" si="17"/>
        <v>0</v>
      </c>
      <c r="Q80" s="45">
        <f t="shared" si="18"/>
        <v>3</v>
      </c>
      <c r="R80" s="45">
        <f t="shared" si="19"/>
        <v>0</v>
      </c>
      <c r="S80" s="24"/>
      <c r="T80" s="24"/>
      <c r="U80" s="24"/>
      <c r="V80" s="24"/>
      <c r="W80" s="24"/>
      <c r="X80" s="24"/>
      <c r="Y80" s="24"/>
      <c r="Z80" s="24"/>
      <c r="AA80" s="24"/>
      <c r="AB80" s="24"/>
      <c r="AC80" s="24"/>
    </row>
    <row r="81" spans="1:29" ht="108.7">
      <c r="A81" s="25" t="s">
        <v>543</v>
      </c>
      <c r="B81" s="25" t="s">
        <v>544</v>
      </c>
      <c r="C81" s="26" t="s">
        <v>546</v>
      </c>
      <c r="D81" s="26" t="s">
        <v>1045</v>
      </c>
      <c r="E81" s="25" t="s">
        <v>1046</v>
      </c>
      <c r="F81" s="25" t="s">
        <v>347</v>
      </c>
      <c r="G81" s="81" t="s">
        <v>1047</v>
      </c>
      <c r="H81" s="33"/>
      <c r="I81" s="34" t="s">
        <v>1048</v>
      </c>
      <c r="J81" s="37" t="s">
        <v>268</v>
      </c>
      <c r="K81" s="83" t="s">
        <v>1049</v>
      </c>
      <c r="L81" s="70" t="s">
        <v>1050</v>
      </c>
      <c r="M81" s="39" t="s">
        <v>1051</v>
      </c>
      <c r="N81" s="41" t="s">
        <v>1052</v>
      </c>
      <c r="O81" s="64"/>
      <c r="P81" s="45" t="b">
        <f t="shared" si="17"/>
        <v>0</v>
      </c>
      <c r="Q81" s="45">
        <f t="shared" si="18"/>
        <v>3</v>
      </c>
      <c r="R81" s="45">
        <f t="shared" si="19"/>
        <v>0</v>
      </c>
      <c r="S81" s="24"/>
      <c r="T81" s="24"/>
      <c r="U81" s="24"/>
      <c r="V81" s="24"/>
      <c r="W81" s="24"/>
      <c r="X81" s="24"/>
      <c r="Y81" s="24"/>
      <c r="Z81" s="24"/>
      <c r="AA81" s="24"/>
      <c r="AB81" s="24"/>
      <c r="AC81" s="24"/>
    </row>
    <row r="82" spans="1:29" ht="141.30000000000001">
      <c r="A82" s="25" t="s">
        <v>543</v>
      </c>
      <c r="B82" s="25" t="s">
        <v>544</v>
      </c>
      <c r="C82" s="26" t="s">
        <v>546</v>
      </c>
      <c r="D82" s="26" t="s">
        <v>1056</v>
      </c>
      <c r="E82" s="25" t="s">
        <v>1057</v>
      </c>
      <c r="F82" s="25" t="s">
        <v>1058</v>
      </c>
      <c r="G82" s="50" t="str">
        <f>HYPERLINK("https://www.acquisition.gov/content/19502-2-total-small-business-set-asides","FAR 19.502-2(b) Total small business set-asides. FAR 19.502-2(c) Total small business set-asides. ")</f>
        <v xml:space="preserve">FAR 19.502-2(b) Total small business set-asides. FAR 19.502-2(c) Total small business set-asides. </v>
      </c>
      <c r="H82" s="80" t="str">
        <f t="shared" ref="H82:H85" si="25">HYPERLINK("https://www.acquisition.gov/sites/default/files/current/gsam/html/Part519.html#wp1865032","GSAM 519.502")</f>
        <v>GSAM 519.502</v>
      </c>
      <c r="I82" s="34" t="s">
        <v>1016</v>
      </c>
      <c r="J82" s="37" t="s">
        <v>268</v>
      </c>
      <c r="K82" s="84" t="s">
        <v>977</v>
      </c>
      <c r="L82" s="25" t="s">
        <v>1067</v>
      </c>
      <c r="M82" s="39" t="s">
        <v>1068</v>
      </c>
      <c r="N82" s="41" t="s">
        <v>1069</v>
      </c>
      <c r="O82" s="64"/>
      <c r="P82" s="45" t="b">
        <f t="shared" si="17"/>
        <v>0</v>
      </c>
      <c r="Q82" s="45">
        <f t="shared" si="18"/>
        <v>3</v>
      </c>
      <c r="R82" s="45">
        <f t="shared" si="19"/>
        <v>0</v>
      </c>
      <c r="S82" s="24"/>
      <c r="T82" s="24"/>
      <c r="U82" s="24"/>
      <c r="V82" s="24"/>
      <c r="W82" s="24"/>
      <c r="X82" s="24"/>
      <c r="Y82" s="24"/>
      <c r="Z82" s="24"/>
      <c r="AA82" s="24"/>
      <c r="AB82" s="24"/>
      <c r="AC82" s="24"/>
    </row>
    <row r="83" spans="1:29" ht="108.7">
      <c r="A83" s="25" t="s">
        <v>543</v>
      </c>
      <c r="B83" s="25" t="s">
        <v>544</v>
      </c>
      <c r="C83" s="26" t="s">
        <v>546</v>
      </c>
      <c r="D83" s="26" t="s">
        <v>1071</v>
      </c>
      <c r="E83" s="25" t="s">
        <v>1072</v>
      </c>
      <c r="F83" s="25" t="s">
        <v>685</v>
      </c>
      <c r="G83" s="50" t="str">
        <f>HYPERLINK("https://www.acquisition.gov/content/19502-3-partial-set-asides","FAR 19.502-3(a)(2) Partial set-asides. ")</f>
        <v xml:space="preserve">FAR 19.502-3(a)(2) Partial set-asides. </v>
      </c>
      <c r="H83" s="80" t="str">
        <f t="shared" si="25"/>
        <v>GSAM 519.502</v>
      </c>
      <c r="I83" s="34" t="s">
        <v>1016</v>
      </c>
      <c r="J83" s="37" t="s">
        <v>268</v>
      </c>
      <c r="K83" s="83" t="s">
        <v>1076</v>
      </c>
      <c r="L83" s="25" t="s">
        <v>1077</v>
      </c>
      <c r="M83" s="39" t="s">
        <v>1078</v>
      </c>
      <c r="N83" s="41" t="s">
        <v>1079</v>
      </c>
      <c r="O83" s="64"/>
      <c r="P83" s="45" t="b">
        <f t="shared" si="17"/>
        <v>0</v>
      </c>
      <c r="Q83" s="45">
        <f t="shared" si="18"/>
        <v>3</v>
      </c>
      <c r="R83" s="45">
        <f t="shared" si="19"/>
        <v>0</v>
      </c>
      <c r="S83" s="24"/>
      <c r="T83" s="24"/>
      <c r="U83" s="24"/>
      <c r="V83" s="24"/>
      <c r="W83" s="24"/>
      <c r="X83" s="24"/>
      <c r="Y83" s="24"/>
      <c r="Z83" s="24"/>
      <c r="AA83" s="24"/>
      <c r="AB83" s="24"/>
      <c r="AC83" s="24"/>
    </row>
    <row r="84" spans="1:29" ht="108.7">
      <c r="A84" s="25" t="s">
        <v>543</v>
      </c>
      <c r="B84" s="25" t="s">
        <v>544</v>
      </c>
      <c r="C84" s="26" t="s">
        <v>546</v>
      </c>
      <c r="D84" s="26" t="s">
        <v>1082</v>
      </c>
      <c r="E84" s="25" t="s">
        <v>1083</v>
      </c>
      <c r="F84" s="25" t="s">
        <v>1084</v>
      </c>
      <c r="G84" s="50" t="str">
        <f>HYPERLINK("https://www.acquisition.gov/content/19502-3-partial-set-asides","FAR 19.502-3(a)(3) Partial set-asides. ")</f>
        <v xml:space="preserve">FAR 19.502-3(a)(3) Partial set-asides. </v>
      </c>
      <c r="H84" s="80" t="str">
        <f t="shared" si="25"/>
        <v>GSAM 519.502</v>
      </c>
      <c r="I84" s="34" t="s">
        <v>1016</v>
      </c>
      <c r="J84" s="37" t="s">
        <v>268</v>
      </c>
      <c r="K84" s="83" t="s">
        <v>1096</v>
      </c>
      <c r="L84" s="25" t="s">
        <v>1098</v>
      </c>
      <c r="M84" s="39" t="s">
        <v>1100</v>
      </c>
      <c r="N84" s="41" t="s">
        <v>1079</v>
      </c>
      <c r="O84" s="64"/>
      <c r="P84" s="45" t="b">
        <f t="shared" si="17"/>
        <v>0</v>
      </c>
      <c r="Q84" s="45">
        <f t="shared" si="18"/>
        <v>3</v>
      </c>
      <c r="R84" s="45">
        <f t="shared" si="19"/>
        <v>0</v>
      </c>
      <c r="S84" s="24"/>
      <c r="T84" s="24"/>
      <c r="U84" s="24"/>
      <c r="V84" s="24"/>
      <c r="W84" s="24"/>
      <c r="X84" s="24"/>
      <c r="Y84" s="24"/>
      <c r="Z84" s="24"/>
      <c r="AA84" s="24"/>
      <c r="AB84" s="24"/>
      <c r="AC84" s="24"/>
    </row>
    <row r="85" spans="1:29" ht="108.7">
      <c r="A85" s="25" t="s">
        <v>543</v>
      </c>
      <c r="B85" s="25" t="s">
        <v>544</v>
      </c>
      <c r="C85" s="26" t="s">
        <v>546</v>
      </c>
      <c r="D85" s="26" t="s">
        <v>1103</v>
      </c>
      <c r="E85" s="25" t="s">
        <v>1104</v>
      </c>
      <c r="F85" s="25" t="s">
        <v>685</v>
      </c>
      <c r="G85" s="50" t="str">
        <f>HYPERLINK("https://www.acquisition.gov/content/19502-3-partial-set-asides","FAR 19.502-3(b) Partial set-asides. ")</f>
        <v xml:space="preserve">FAR 19.502-3(b) Partial set-asides. </v>
      </c>
      <c r="H85" s="80" t="str">
        <f t="shared" si="25"/>
        <v>GSAM 519.502</v>
      </c>
      <c r="I85" s="34" t="s">
        <v>1109</v>
      </c>
      <c r="J85" s="37" t="s">
        <v>268</v>
      </c>
      <c r="K85" s="83" t="s">
        <v>1110</v>
      </c>
      <c r="L85" s="25" t="s">
        <v>1111</v>
      </c>
      <c r="M85" s="39" t="s">
        <v>1112</v>
      </c>
      <c r="N85" s="41" t="s">
        <v>1113</v>
      </c>
      <c r="O85" s="64"/>
      <c r="P85" s="45" t="b">
        <f t="shared" si="17"/>
        <v>0</v>
      </c>
      <c r="Q85" s="45">
        <f t="shared" si="18"/>
        <v>3</v>
      </c>
      <c r="R85" s="45">
        <f t="shared" si="19"/>
        <v>0</v>
      </c>
      <c r="S85" s="24"/>
      <c r="T85" s="24"/>
      <c r="U85" s="24"/>
      <c r="V85" s="24"/>
      <c r="W85" s="24"/>
      <c r="X85" s="24"/>
      <c r="Y85" s="24"/>
      <c r="Z85" s="24"/>
      <c r="AA85" s="24"/>
      <c r="AB85" s="24"/>
      <c r="AC85" s="24"/>
    </row>
    <row r="86" spans="1:29" ht="108.7">
      <c r="A86" s="25" t="s">
        <v>543</v>
      </c>
      <c r="B86" s="25" t="s">
        <v>544</v>
      </c>
      <c r="C86" s="26" t="s">
        <v>546</v>
      </c>
      <c r="D86" s="26" t="s">
        <v>1117</v>
      </c>
      <c r="E86" s="25" t="s">
        <v>1120</v>
      </c>
      <c r="F86" s="25" t="s">
        <v>685</v>
      </c>
      <c r="G86" s="50" t="str">
        <f>HYPERLINK("https://www.acquisition.gov/content/subpart-198-contracting-small-business-administration-8a-program#i1099848","FAR 19.803 Selecting acquisitions for the 8(a) program. FAR 19.804-1 Agency evaluations [evaluation, offering, and acceptance]. ")</f>
        <v xml:space="preserve">FAR 19.803 Selecting acquisitions for the 8(a) program. FAR 19.804-1 Agency evaluations [evaluation, offering, and acceptance]. </v>
      </c>
      <c r="H86" s="80" t="str">
        <f>HYPERLINK("https://www.acquisition.gov/sites/default/files/current/gsam/html/Part519.html#wp1858420","GSAM 519.803")</f>
        <v>GSAM 519.803</v>
      </c>
      <c r="I86" s="34" t="s">
        <v>1128</v>
      </c>
      <c r="J86" s="37" t="s">
        <v>268</v>
      </c>
      <c r="K86" s="83" t="s">
        <v>1130</v>
      </c>
      <c r="L86" s="25" t="s">
        <v>1132</v>
      </c>
      <c r="M86" s="25" t="s">
        <v>1134</v>
      </c>
      <c r="N86" s="41" t="s">
        <v>1079</v>
      </c>
      <c r="O86" s="64"/>
      <c r="P86" s="45" t="b">
        <f t="shared" si="17"/>
        <v>0</v>
      </c>
      <c r="Q86" s="45">
        <f t="shared" si="18"/>
        <v>3</v>
      </c>
      <c r="R86" s="45">
        <f t="shared" si="19"/>
        <v>0</v>
      </c>
      <c r="S86" s="24"/>
      <c r="T86" s="24"/>
      <c r="U86" s="24"/>
      <c r="V86" s="24"/>
      <c r="W86" s="24"/>
      <c r="X86" s="24"/>
      <c r="Y86" s="24"/>
      <c r="Z86" s="24"/>
      <c r="AA86" s="24"/>
      <c r="AB86" s="24"/>
      <c r="AC86" s="24"/>
    </row>
    <row r="87" spans="1:29" ht="108.7">
      <c r="A87" s="25" t="s">
        <v>543</v>
      </c>
      <c r="B87" s="25" t="s">
        <v>544</v>
      </c>
      <c r="C87" s="26" t="s">
        <v>546</v>
      </c>
      <c r="D87" s="26" t="s">
        <v>1139</v>
      </c>
      <c r="E87" s="25" t="s">
        <v>1140</v>
      </c>
      <c r="F87" s="25" t="s">
        <v>976</v>
      </c>
      <c r="G87" s="50" t="str">
        <f>HYPERLINK("https://www.acquisition.gov/content/19805-competitive-8a","FAR 19.805 Competitive 8(a) [contracting with the Small Business Administration (the 8(a) Program)].")</f>
        <v>FAR 19.805 Competitive 8(a) [contracting with the Small Business Administration (the 8(a) Program)].</v>
      </c>
      <c r="H87" s="33"/>
      <c r="I87" s="34" t="s">
        <v>1109</v>
      </c>
      <c r="J87" s="37" t="s">
        <v>268</v>
      </c>
      <c r="K87" s="83" t="s">
        <v>1148</v>
      </c>
      <c r="L87" s="25" t="s">
        <v>1149</v>
      </c>
      <c r="M87" s="25" t="s">
        <v>1150</v>
      </c>
      <c r="N87" s="41" t="s">
        <v>1079</v>
      </c>
      <c r="O87" s="64"/>
      <c r="P87" s="45" t="b">
        <f t="shared" si="17"/>
        <v>0</v>
      </c>
      <c r="Q87" s="45">
        <f t="shared" si="18"/>
        <v>3</v>
      </c>
      <c r="R87" s="45">
        <f t="shared" si="19"/>
        <v>0</v>
      </c>
      <c r="S87" s="24"/>
      <c r="T87" s="24"/>
      <c r="U87" s="24"/>
      <c r="V87" s="24"/>
      <c r="W87" s="24"/>
      <c r="X87" s="24"/>
      <c r="Y87" s="24"/>
      <c r="Z87" s="24"/>
      <c r="AA87" s="24"/>
      <c r="AB87" s="24"/>
      <c r="AC87" s="24"/>
    </row>
    <row r="88" spans="1:29" ht="108.7">
      <c r="A88" s="25" t="s">
        <v>543</v>
      </c>
      <c r="B88" s="25" t="s">
        <v>544</v>
      </c>
      <c r="C88" s="26" t="s">
        <v>546</v>
      </c>
      <c r="D88" s="26" t="s">
        <v>1162</v>
      </c>
      <c r="E88" s="85" t="s">
        <v>1163</v>
      </c>
      <c r="F88" s="85" t="s">
        <v>685</v>
      </c>
      <c r="G88" s="50" t="str">
        <f>HYPERLINK("https://www.acquisition.gov/content/17502-1-general","FAR 17.502-1(a) Determination of the best procurement approach [general].")</f>
        <v>FAR 17.502-1(a) Determination of the best procurement approach [general].</v>
      </c>
      <c r="H88" s="88"/>
      <c r="I88" s="34" t="s">
        <v>1169</v>
      </c>
      <c r="J88" s="37" t="s">
        <v>112</v>
      </c>
      <c r="K88" s="83" t="s">
        <v>1170</v>
      </c>
      <c r="L88" s="25" t="s">
        <v>1172</v>
      </c>
      <c r="M88" s="25" t="s">
        <v>1174</v>
      </c>
      <c r="N88" s="41" t="s">
        <v>1079</v>
      </c>
      <c r="O88" s="64"/>
      <c r="P88" s="45" t="b">
        <f t="shared" si="17"/>
        <v>0</v>
      </c>
      <c r="Q88" s="45">
        <f t="shared" si="18"/>
        <v>3</v>
      </c>
      <c r="R88" s="45">
        <f t="shared" si="19"/>
        <v>0</v>
      </c>
      <c r="S88" s="24"/>
      <c r="T88" s="24"/>
      <c r="U88" s="24"/>
      <c r="V88" s="24"/>
      <c r="W88" s="24"/>
      <c r="X88" s="24"/>
      <c r="Y88" s="24"/>
      <c r="Z88" s="24"/>
      <c r="AA88" s="24"/>
      <c r="AB88" s="24"/>
      <c r="AC88" s="24"/>
    </row>
    <row r="89" spans="1:29" ht="108.7">
      <c r="A89" s="25" t="s">
        <v>543</v>
      </c>
      <c r="B89" s="25" t="s">
        <v>544</v>
      </c>
      <c r="C89" s="26" t="s">
        <v>546</v>
      </c>
      <c r="D89" s="26" t="s">
        <v>1182</v>
      </c>
      <c r="E89" s="85" t="s">
        <v>1183</v>
      </c>
      <c r="F89" s="85" t="s">
        <v>685</v>
      </c>
      <c r="G89" s="50" t="str">
        <f>HYPERLINK("https://www.acquisition.gov/content/17502-1-general","FAR 17.502-1(a)(1) Assisted acquisitions [determination of best procurement approach].")</f>
        <v>FAR 17.502-1(a)(1) Assisted acquisitions [determination of best procurement approach].</v>
      </c>
      <c r="H89" s="88"/>
      <c r="I89" s="34" t="s">
        <v>1169</v>
      </c>
      <c r="J89" s="37" t="s">
        <v>112</v>
      </c>
      <c r="K89" s="83" t="s">
        <v>1190</v>
      </c>
      <c r="L89" s="25" t="s">
        <v>1192</v>
      </c>
      <c r="M89" s="25" t="s">
        <v>1193</v>
      </c>
      <c r="N89" s="41" t="s">
        <v>1079</v>
      </c>
      <c r="O89" s="64"/>
      <c r="P89" s="45" t="b">
        <f t="shared" si="17"/>
        <v>0</v>
      </c>
      <c r="Q89" s="45">
        <f t="shared" si="18"/>
        <v>3</v>
      </c>
      <c r="R89" s="45">
        <f t="shared" si="19"/>
        <v>0</v>
      </c>
      <c r="S89" s="24"/>
      <c r="T89" s="24"/>
      <c r="U89" s="24"/>
      <c r="V89" s="24"/>
      <c r="W89" s="24"/>
      <c r="X89" s="24"/>
      <c r="Y89" s="24"/>
      <c r="Z89" s="24"/>
      <c r="AA89" s="24"/>
      <c r="AB89" s="24"/>
      <c r="AC89" s="24"/>
    </row>
    <row r="90" spans="1:29" ht="108.7">
      <c r="A90" s="25" t="s">
        <v>543</v>
      </c>
      <c r="B90" s="25" t="s">
        <v>544</v>
      </c>
      <c r="C90" s="26" t="s">
        <v>546</v>
      </c>
      <c r="D90" s="26" t="s">
        <v>1197</v>
      </c>
      <c r="E90" s="85" t="s">
        <v>1199</v>
      </c>
      <c r="F90" s="85" t="s">
        <v>685</v>
      </c>
      <c r="G90" s="50" t="str">
        <f>HYPERLINK("https://www.acquisition.gov/content/17502-1-general","FAR 17.5021(a)(2) Direct acquisition [determination of best procurement approach].")</f>
        <v>FAR 17.5021(a)(2) Direct acquisition [determination of best procurement approach].</v>
      </c>
      <c r="H90" s="88"/>
      <c r="I90" s="34" t="s">
        <v>1169</v>
      </c>
      <c r="J90" s="37" t="s">
        <v>112</v>
      </c>
      <c r="K90" s="83" t="s">
        <v>1209</v>
      </c>
      <c r="L90" s="25" t="s">
        <v>1210</v>
      </c>
      <c r="M90" s="25" t="s">
        <v>1211</v>
      </c>
      <c r="N90" s="41" t="s">
        <v>1079</v>
      </c>
      <c r="O90" s="64"/>
      <c r="P90" s="45" t="b">
        <f t="shared" si="17"/>
        <v>0</v>
      </c>
      <c r="Q90" s="45">
        <f t="shared" si="18"/>
        <v>3</v>
      </c>
      <c r="R90" s="45">
        <f t="shared" si="19"/>
        <v>0</v>
      </c>
      <c r="S90" s="24"/>
      <c r="T90" s="24"/>
      <c r="U90" s="24"/>
      <c r="V90" s="24"/>
      <c r="W90" s="24"/>
      <c r="X90" s="24"/>
      <c r="Y90" s="24"/>
      <c r="Z90" s="24"/>
      <c r="AA90" s="24"/>
      <c r="AB90" s="24"/>
      <c r="AC90" s="24"/>
    </row>
    <row r="91" spans="1:29" ht="108.7">
      <c r="A91" s="25" t="s">
        <v>543</v>
      </c>
      <c r="B91" s="25" t="s">
        <v>544</v>
      </c>
      <c r="C91" s="26" t="s">
        <v>546</v>
      </c>
      <c r="D91" s="26" t="s">
        <v>1217</v>
      </c>
      <c r="E91" s="85" t="s">
        <v>1218</v>
      </c>
      <c r="F91" s="85" t="s">
        <v>1058</v>
      </c>
      <c r="G91" s="50" t="str">
        <f>HYPERLINK("https://www.acquisition.gov/content/17500-scope-subpart","FAR 17.500 Scope of subpart [interagency acquisitions].")</f>
        <v>FAR 17.500 Scope of subpart [interagency acquisitions].</v>
      </c>
      <c r="H91" s="88"/>
      <c r="I91" s="34" t="s">
        <v>1169</v>
      </c>
      <c r="J91" s="37" t="s">
        <v>112</v>
      </c>
      <c r="K91" s="83" t="s">
        <v>1229</v>
      </c>
      <c r="L91" s="25" t="s">
        <v>1231</v>
      </c>
      <c r="M91" s="25" t="s">
        <v>1233</v>
      </c>
      <c r="N91" s="41" t="s">
        <v>1079</v>
      </c>
      <c r="O91" s="64"/>
      <c r="P91" s="45" t="b">
        <f t="shared" si="17"/>
        <v>0</v>
      </c>
      <c r="Q91" s="45">
        <f t="shared" si="18"/>
        <v>3</v>
      </c>
      <c r="R91" s="45">
        <f t="shared" si="19"/>
        <v>0</v>
      </c>
      <c r="S91" s="24"/>
      <c r="T91" s="24"/>
      <c r="U91" s="24"/>
      <c r="V91" s="24"/>
      <c r="W91" s="24"/>
      <c r="X91" s="24"/>
      <c r="Y91" s="24"/>
      <c r="Z91" s="24"/>
      <c r="AA91" s="24"/>
      <c r="AB91" s="24"/>
      <c r="AC91" s="24"/>
    </row>
    <row r="92" spans="1:29" ht="108.7">
      <c r="A92" s="25" t="s">
        <v>543</v>
      </c>
      <c r="B92" s="25" t="s">
        <v>544</v>
      </c>
      <c r="C92" s="26" t="s">
        <v>546</v>
      </c>
      <c r="D92" s="26" t="s">
        <v>1238</v>
      </c>
      <c r="E92" s="85" t="s">
        <v>1239</v>
      </c>
      <c r="F92" s="85" t="s">
        <v>1058</v>
      </c>
      <c r="G92" s="50" t="str">
        <f>HYPERLINK("https://www.acquisition.gov/content/17502-2-economy-act#i1102847","31 U.S.C. §1535 Agency agreements. FAR 17.502-2 The Economy Act [procedures].")</f>
        <v>31 U.S.C. §1535 Agency agreements. FAR 17.502-2 The Economy Act [procedures].</v>
      </c>
      <c r="H92" s="88"/>
      <c r="I92" s="34" t="s">
        <v>1169</v>
      </c>
      <c r="J92" s="37" t="s">
        <v>112</v>
      </c>
      <c r="K92" s="83" t="s">
        <v>1250</v>
      </c>
      <c r="L92" s="25" t="s">
        <v>1251</v>
      </c>
      <c r="M92" s="25" t="s">
        <v>1233</v>
      </c>
      <c r="N92" s="41" t="s">
        <v>1079</v>
      </c>
      <c r="O92" s="64"/>
      <c r="P92" s="45" t="b">
        <f t="shared" si="17"/>
        <v>0</v>
      </c>
      <c r="Q92" s="45">
        <f t="shared" si="18"/>
        <v>3</v>
      </c>
      <c r="R92" s="45">
        <f t="shared" si="19"/>
        <v>0</v>
      </c>
      <c r="S92" s="24"/>
      <c r="T92" s="24"/>
      <c r="U92" s="24"/>
      <c r="V92" s="24"/>
      <c r="W92" s="24"/>
      <c r="X92" s="24"/>
      <c r="Y92" s="24"/>
      <c r="Z92" s="24"/>
      <c r="AA92" s="24"/>
      <c r="AB92" s="24"/>
      <c r="AC92" s="24"/>
    </row>
    <row r="93" spans="1:29" ht="108.7">
      <c r="A93" s="25" t="s">
        <v>543</v>
      </c>
      <c r="B93" s="25" t="s">
        <v>544</v>
      </c>
      <c r="C93" s="26" t="s">
        <v>546</v>
      </c>
      <c r="D93" s="26" t="s">
        <v>1261</v>
      </c>
      <c r="E93" s="85" t="s">
        <v>1262</v>
      </c>
      <c r="F93" s="85" t="s">
        <v>358</v>
      </c>
      <c r="G93" s="50" t="str">
        <f>HYPERLINK("https://www.acquisition.gov/content/19502-2-total-small-business-set-asides","FAR 17.502-2(c) Requirements for determinations and findings [The Economy Act].")</f>
        <v>FAR 17.502-2(c) Requirements for determinations and findings [The Economy Act].</v>
      </c>
      <c r="H93" s="88"/>
      <c r="I93" s="34" t="s">
        <v>1169</v>
      </c>
      <c r="J93" s="37" t="s">
        <v>112</v>
      </c>
      <c r="K93" s="83" t="s">
        <v>1270</v>
      </c>
      <c r="L93" s="25" t="s">
        <v>1272</v>
      </c>
      <c r="M93" s="25" t="s">
        <v>1275</v>
      </c>
      <c r="N93" s="41" t="s">
        <v>1276</v>
      </c>
      <c r="O93" s="64"/>
      <c r="P93" s="45" t="b">
        <f t="shared" si="17"/>
        <v>0</v>
      </c>
      <c r="Q93" s="45">
        <f t="shared" si="18"/>
        <v>3</v>
      </c>
      <c r="R93" s="45">
        <f t="shared" si="19"/>
        <v>0</v>
      </c>
      <c r="S93" s="24"/>
      <c r="T93" s="24"/>
      <c r="U93" s="24"/>
      <c r="V93" s="24"/>
      <c r="W93" s="24"/>
      <c r="X93" s="24"/>
      <c r="Y93" s="24"/>
      <c r="Z93" s="24"/>
      <c r="AA93" s="24"/>
      <c r="AB93" s="24"/>
      <c r="AC93" s="24"/>
    </row>
    <row r="94" spans="1:29" ht="217.4">
      <c r="A94" s="25" t="s">
        <v>543</v>
      </c>
      <c r="B94" s="25" t="s">
        <v>544</v>
      </c>
      <c r="C94" s="26" t="s">
        <v>546</v>
      </c>
      <c r="D94" s="26" t="s">
        <v>1281</v>
      </c>
      <c r="E94" s="85" t="s">
        <v>1283</v>
      </c>
      <c r="F94" s="85" t="s">
        <v>1285</v>
      </c>
      <c r="G94" s="50" t="str">
        <f>HYPERLINK("https://www.acquisition.gov/content/19502-2-total-small-business-set-asides","FAR 17.502-2(c)(2) Requirements for determinations and findings [The Economy Act].")</f>
        <v>FAR 17.502-2(c)(2) Requirements for determinations and findings [The Economy Act].</v>
      </c>
      <c r="H94" s="88"/>
      <c r="I94" s="34" t="s">
        <v>220</v>
      </c>
      <c r="J94" s="37" t="s">
        <v>112</v>
      </c>
      <c r="K94" s="83" t="s">
        <v>1290</v>
      </c>
      <c r="L94" s="25" t="s">
        <v>1291</v>
      </c>
      <c r="M94" s="25" t="s">
        <v>1292</v>
      </c>
      <c r="N94" s="41" t="s">
        <v>1293</v>
      </c>
      <c r="O94" s="64"/>
      <c r="P94" s="45" t="b">
        <f t="shared" si="17"/>
        <v>0</v>
      </c>
      <c r="Q94" s="45">
        <f t="shared" si="18"/>
        <v>3</v>
      </c>
      <c r="R94" s="45">
        <f t="shared" si="19"/>
        <v>0</v>
      </c>
      <c r="S94" s="24"/>
      <c r="T94" s="24"/>
      <c r="U94" s="24"/>
      <c r="V94" s="24"/>
      <c r="W94" s="24"/>
      <c r="X94" s="24"/>
      <c r="Y94" s="24"/>
      <c r="Z94" s="24"/>
      <c r="AA94" s="24"/>
      <c r="AB94" s="24"/>
      <c r="AC94" s="24"/>
    </row>
    <row r="95" spans="1:29" ht="131.30000000000001" customHeight="1">
      <c r="A95" s="25" t="s">
        <v>543</v>
      </c>
      <c r="B95" s="25" t="s">
        <v>544</v>
      </c>
      <c r="C95" s="26" t="s">
        <v>546</v>
      </c>
      <c r="D95" s="26" t="s">
        <v>1297</v>
      </c>
      <c r="E95" s="85" t="s">
        <v>1298</v>
      </c>
      <c r="F95" s="85" t="s">
        <v>1285</v>
      </c>
      <c r="G95" s="50" t="str">
        <f>HYPERLINK("https://www.acquisition.gov/content/19502-2-total-small-business-set-asides","FAR 17.502-2(c)(3) Requirements for determinations and findings [The Economy Act].")</f>
        <v>FAR 17.502-2(c)(3) Requirements for determinations and findings [The Economy Act].</v>
      </c>
      <c r="H95" s="88"/>
      <c r="I95" s="34" t="s">
        <v>220</v>
      </c>
      <c r="J95" s="37" t="s">
        <v>112</v>
      </c>
      <c r="K95" s="83" t="s">
        <v>1305</v>
      </c>
      <c r="L95" s="25" t="s">
        <v>1307</v>
      </c>
      <c r="M95" s="25" t="s">
        <v>1309</v>
      </c>
      <c r="N95" s="41" t="s">
        <v>1310</v>
      </c>
      <c r="O95" s="64"/>
      <c r="P95" s="45" t="b">
        <f t="shared" si="17"/>
        <v>0</v>
      </c>
      <c r="Q95" s="45">
        <f t="shared" si="18"/>
        <v>3</v>
      </c>
      <c r="R95" s="45">
        <f t="shared" si="19"/>
        <v>0</v>
      </c>
      <c r="S95" s="24"/>
      <c r="T95" s="24"/>
      <c r="U95" s="24"/>
      <c r="V95" s="24"/>
      <c r="W95" s="24"/>
      <c r="X95" s="24"/>
      <c r="Y95" s="24"/>
      <c r="Z95" s="24"/>
      <c r="AA95" s="24"/>
      <c r="AB95" s="24"/>
      <c r="AC95" s="24"/>
    </row>
    <row r="96" spans="1:29" ht="108.7">
      <c r="A96" s="25" t="s">
        <v>543</v>
      </c>
      <c r="B96" s="25" t="s">
        <v>544</v>
      </c>
      <c r="C96" s="26" t="s">
        <v>546</v>
      </c>
      <c r="D96" s="26" t="s">
        <v>1315</v>
      </c>
      <c r="E96" s="85" t="s">
        <v>1316</v>
      </c>
      <c r="F96" s="85" t="s">
        <v>1317</v>
      </c>
      <c r="G96" s="50" t="str">
        <f>HYPERLINK("https://www.acquisition.gov/content/19502-2-total-small-business-set-asides","FAR 17.502-2(d) Payment [The Economy Act].")</f>
        <v>FAR 17.502-2(d) Payment [The Economy Act].</v>
      </c>
      <c r="H96" s="88"/>
      <c r="I96" s="34" t="s">
        <v>1324</v>
      </c>
      <c r="J96" s="37" t="s">
        <v>112</v>
      </c>
      <c r="K96" s="83" t="s">
        <v>1325</v>
      </c>
      <c r="L96" s="25" t="s">
        <v>1326</v>
      </c>
      <c r="M96" s="25" t="s">
        <v>1327</v>
      </c>
      <c r="N96" s="41" t="s">
        <v>1328</v>
      </c>
      <c r="O96" s="64"/>
      <c r="P96" s="45" t="b">
        <f t="shared" si="17"/>
        <v>0</v>
      </c>
      <c r="Q96" s="45">
        <f t="shared" si="18"/>
        <v>3</v>
      </c>
      <c r="R96" s="45">
        <f t="shared" si="19"/>
        <v>0</v>
      </c>
      <c r="S96" s="24"/>
      <c r="T96" s="24"/>
      <c r="U96" s="24"/>
      <c r="V96" s="24"/>
      <c r="W96" s="24"/>
      <c r="X96" s="24"/>
      <c r="Y96" s="24"/>
      <c r="Z96" s="24"/>
      <c r="AA96" s="24"/>
      <c r="AB96" s="24"/>
      <c r="AC96" s="24"/>
    </row>
    <row r="97" spans="1:29" ht="108.7">
      <c r="A97" s="25" t="s">
        <v>543</v>
      </c>
      <c r="B97" s="25" t="s">
        <v>544</v>
      </c>
      <c r="C97" s="26" t="s">
        <v>546</v>
      </c>
      <c r="D97" s="26" t="s">
        <v>1332</v>
      </c>
      <c r="E97" s="85" t="s">
        <v>1333</v>
      </c>
      <c r="F97" s="85" t="s">
        <v>358</v>
      </c>
      <c r="G97" s="50" t="str">
        <f t="shared" ref="G97:G98" si="26">HYPERLINK("https://www.acquisition.gov/content/17502-1-general","FAR 17.502-1(a)(1) Assisted acquisitions [determination of the best procurement approach].")</f>
        <v>FAR 17.502-1(a)(1) Assisted acquisitions [determination of the best procurement approach].</v>
      </c>
      <c r="H97" s="88"/>
      <c r="I97" s="34" t="s">
        <v>1343</v>
      </c>
      <c r="J97" s="37" t="s">
        <v>268</v>
      </c>
      <c r="K97" s="83" t="s">
        <v>1344</v>
      </c>
      <c r="L97" s="25" t="s">
        <v>1345</v>
      </c>
      <c r="M97" s="39" t="s">
        <v>1346</v>
      </c>
      <c r="N97" s="41" t="s">
        <v>1347</v>
      </c>
      <c r="O97" s="64"/>
      <c r="P97" s="45" t="b">
        <f t="shared" si="17"/>
        <v>0</v>
      </c>
      <c r="Q97" s="45">
        <f t="shared" si="18"/>
        <v>3</v>
      </c>
      <c r="R97" s="45">
        <f t="shared" si="19"/>
        <v>0</v>
      </c>
      <c r="S97" s="24"/>
      <c r="T97" s="24"/>
      <c r="U97" s="24"/>
      <c r="V97" s="24"/>
      <c r="W97" s="24"/>
      <c r="X97" s="24"/>
      <c r="Y97" s="24"/>
      <c r="Z97" s="24"/>
      <c r="AA97" s="24"/>
      <c r="AB97" s="24"/>
      <c r="AC97" s="24"/>
    </row>
    <row r="98" spans="1:29" ht="108.7">
      <c r="A98" s="25" t="s">
        <v>543</v>
      </c>
      <c r="B98" s="25" t="s">
        <v>544</v>
      </c>
      <c r="C98" s="26" t="s">
        <v>546</v>
      </c>
      <c r="D98" s="26" t="s">
        <v>1354</v>
      </c>
      <c r="E98" s="85" t="s">
        <v>1355</v>
      </c>
      <c r="F98" s="85" t="s">
        <v>1356</v>
      </c>
      <c r="G98" s="50" t="str">
        <f t="shared" si="26"/>
        <v>FAR 17.502-1(a)(1) Assisted acquisitions [determination of the best procurement approach].</v>
      </c>
      <c r="H98" s="88"/>
      <c r="I98" s="34" t="s">
        <v>1343</v>
      </c>
      <c r="J98" s="37" t="s">
        <v>268</v>
      </c>
      <c r="K98" s="83" t="s">
        <v>1360</v>
      </c>
      <c r="L98" s="25" t="s">
        <v>1362</v>
      </c>
      <c r="M98" s="39" t="s">
        <v>1363</v>
      </c>
      <c r="N98" s="41" t="s">
        <v>1364</v>
      </c>
      <c r="O98" s="64"/>
      <c r="P98" s="45" t="b">
        <f t="shared" si="17"/>
        <v>0</v>
      </c>
      <c r="Q98" s="45">
        <f t="shared" si="18"/>
        <v>3</v>
      </c>
      <c r="R98" s="45">
        <f t="shared" si="19"/>
        <v>0</v>
      </c>
      <c r="S98" s="24"/>
      <c r="T98" s="24"/>
      <c r="U98" s="24"/>
      <c r="V98" s="24"/>
      <c r="W98" s="24"/>
      <c r="X98" s="24"/>
      <c r="Y98" s="24"/>
      <c r="Z98" s="24"/>
      <c r="AA98" s="24"/>
      <c r="AB98" s="24"/>
      <c r="AC98" s="24"/>
    </row>
    <row r="99" spans="1:29" ht="108.7">
      <c r="A99" s="25" t="s">
        <v>543</v>
      </c>
      <c r="B99" s="25" t="s">
        <v>544</v>
      </c>
      <c r="C99" s="26" t="s">
        <v>546</v>
      </c>
      <c r="D99" s="26" t="s">
        <v>1372</v>
      </c>
      <c r="E99" s="85" t="s">
        <v>1373</v>
      </c>
      <c r="F99" s="85" t="s">
        <v>1374</v>
      </c>
      <c r="G99" s="50" t="str">
        <f>HYPERLINK("https://www.acquisition.gov/content/17503-ordering-procedures","FAR 17.503(d)(1) Ordering procedures [interagency acquisitions].")</f>
        <v>FAR 17.503(d)(1) Ordering procedures [interagency acquisitions].</v>
      </c>
      <c r="H99" s="88"/>
      <c r="I99" s="34" t="s">
        <v>1343</v>
      </c>
      <c r="J99" s="37" t="s">
        <v>268</v>
      </c>
      <c r="K99" s="83" t="s">
        <v>1377</v>
      </c>
      <c r="L99" s="25" t="s">
        <v>1378</v>
      </c>
      <c r="M99" s="25" t="s">
        <v>1379</v>
      </c>
      <c r="N99" s="41" t="s">
        <v>1380</v>
      </c>
      <c r="O99" s="64"/>
      <c r="P99" s="45" t="b">
        <f t="shared" si="17"/>
        <v>0</v>
      </c>
      <c r="Q99" s="45">
        <f t="shared" si="18"/>
        <v>3</v>
      </c>
      <c r="R99" s="45">
        <f t="shared" si="19"/>
        <v>0</v>
      </c>
      <c r="S99" s="24"/>
      <c r="T99" s="24"/>
      <c r="U99" s="24"/>
      <c r="V99" s="24"/>
      <c r="W99" s="24"/>
      <c r="X99" s="24"/>
      <c r="Y99" s="24"/>
      <c r="Z99" s="24"/>
      <c r="AA99" s="24"/>
      <c r="AB99" s="24"/>
      <c r="AC99" s="24"/>
    </row>
    <row r="100" spans="1:29" ht="195.65">
      <c r="A100" s="25" t="s">
        <v>543</v>
      </c>
      <c r="B100" s="25" t="s">
        <v>544</v>
      </c>
      <c r="C100" s="26" t="s">
        <v>546</v>
      </c>
      <c r="D100" s="26" t="s">
        <v>1381</v>
      </c>
      <c r="E100" s="85" t="s">
        <v>1382</v>
      </c>
      <c r="F100" s="85" t="s">
        <v>1383</v>
      </c>
      <c r="G100" s="50" t="str">
        <f>HYPERLINK("https://www.acquisition.gov/content/17502-1-general","FAR 17.502-1(b)(1)(i) Assisted acquisitions [written agreement on responsibility for management and administration].")</f>
        <v>FAR 17.502-1(b)(1)(i) Assisted acquisitions [written agreement on responsibility for management and administration].</v>
      </c>
      <c r="H100" s="88"/>
      <c r="I100" s="34" t="s">
        <v>1384</v>
      </c>
      <c r="J100" s="37" t="s">
        <v>112</v>
      </c>
      <c r="K100" s="83" t="s">
        <v>1385</v>
      </c>
      <c r="L100" s="25" t="s">
        <v>1386</v>
      </c>
      <c r="M100" s="25" t="s">
        <v>1387</v>
      </c>
      <c r="N100" s="41" t="s">
        <v>1388</v>
      </c>
      <c r="O100" s="64"/>
      <c r="P100" s="45" t="b">
        <f t="shared" si="17"/>
        <v>0</v>
      </c>
      <c r="Q100" s="45">
        <f t="shared" si="18"/>
        <v>3</v>
      </c>
      <c r="R100" s="45">
        <f t="shared" si="19"/>
        <v>0</v>
      </c>
      <c r="S100" s="24"/>
      <c r="T100" s="24"/>
      <c r="U100" s="24"/>
      <c r="V100" s="24"/>
      <c r="W100" s="24"/>
      <c r="X100" s="24"/>
      <c r="Y100" s="24"/>
      <c r="Z100" s="24"/>
      <c r="AA100" s="24"/>
      <c r="AB100" s="24"/>
      <c r="AC100" s="24"/>
    </row>
    <row r="101" spans="1:29" ht="152.15">
      <c r="A101" s="25" t="s">
        <v>543</v>
      </c>
      <c r="B101" s="25" t="s">
        <v>544</v>
      </c>
      <c r="C101" s="26" t="s">
        <v>546</v>
      </c>
      <c r="D101" s="26" t="s">
        <v>1392</v>
      </c>
      <c r="E101" s="85" t="s">
        <v>1393</v>
      </c>
      <c r="F101" s="85" t="s">
        <v>1383</v>
      </c>
      <c r="G101" s="50" t="e">
        <f>HYPERLINK("https://www.acquisition.gov/content/part-17-special-contracting-methods#i1102811","FAR 17.502-1(b)(1)(i) Assisted acquisitions [written agreement on responsibility for management and administration]. Memorandum for Chief Acquisition Officers, Senior Procurement Executives, Improving the Management and Use of Interagency Acquisitions, Of"&amp;"fice of Federal Procurement Policy, June 6, 2008.")</f>
        <v>#VALUE!</v>
      </c>
      <c r="H101" s="88"/>
      <c r="I101" s="34" t="s">
        <v>1384</v>
      </c>
      <c r="J101" s="37" t="s">
        <v>112</v>
      </c>
      <c r="K101" s="84" t="s">
        <v>1385</v>
      </c>
      <c r="L101" s="25" t="s">
        <v>1406</v>
      </c>
      <c r="M101" s="25" t="s">
        <v>1407</v>
      </c>
      <c r="N101" s="41" t="s">
        <v>1408</v>
      </c>
      <c r="O101" s="64"/>
      <c r="P101" s="45" t="b">
        <f t="shared" si="17"/>
        <v>0</v>
      </c>
      <c r="Q101" s="45">
        <f t="shared" si="18"/>
        <v>3</v>
      </c>
      <c r="R101" s="45">
        <f t="shared" si="19"/>
        <v>0</v>
      </c>
      <c r="S101" s="24"/>
      <c r="T101" s="24"/>
      <c r="U101" s="24"/>
      <c r="V101" s="24"/>
      <c r="W101" s="24"/>
      <c r="X101" s="24"/>
      <c r="Y101" s="24"/>
      <c r="Z101" s="24"/>
      <c r="AA101" s="24"/>
      <c r="AB101" s="24"/>
      <c r="AC101" s="24"/>
    </row>
    <row r="102" spans="1:29" ht="141.30000000000001">
      <c r="A102" s="25" t="s">
        <v>543</v>
      </c>
      <c r="B102" s="25" t="s">
        <v>544</v>
      </c>
      <c r="C102" s="26" t="s">
        <v>546</v>
      </c>
      <c r="D102" s="26" t="s">
        <v>1415</v>
      </c>
      <c r="E102" s="85" t="s">
        <v>1416</v>
      </c>
      <c r="F102" s="85" t="s">
        <v>1417</v>
      </c>
      <c r="G102" s="104" t="str">
        <f>HYPERLINK("https://obamawhitehouse.archives.gov/sites/default/files/omb/assets/procurement/iac_revised.pdf","Memorandum for Chief Acquisition Officers, Senior Procurement Executives, Improving the Management and Use of Interagency Acquisitions, Office of Federal Procurement Policy, June 6, 2008.")</f>
        <v>Memorandum for Chief Acquisition Officers, Senior Procurement Executives, Improving the Management and Use of Interagency Acquisitions, Office of Federal Procurement Policy, June 6, 2008.</v>
      </c>
      <c r="H102" s="88"/>
      <c r="I102" s="34" t="s">
        <v>1384</v>
      </c>
      <c r="J102" s="37" t="s">
        <v>112</v>
      </c>
      <c r="K102" s="84" t="s">
        <v>1385</v>
      </c>
      <c r="L102" s="25" t="s">
        <v>1430</v>
      </c>
      <c r="M102" s="25" t="s">
        <v>1431</v>
      </c>
      <c r="N102" s="41" t="s">
        <v>1432</v>
      </c>
      <c r="O102" s="64"/>
      <c r="P102" s="45" t="b">
        <f t="shared" si="17"/>
        <v>0</v>
      </c>
      <c r="Q102" s="45">
        <f t="shared" si="18"/>
        <v>3</v>
      </c>
      <c r="R102" s="45">
        <f t="shared" si="19"/>
        <v>0</v>
      </c>
      <c r="S102" s="24"/>
      <c r="T102" s="24"/>
      <c r="U102" s="24"/>
      <c r="V102" s="24"/>
      <c r="W102" s="24"/>
      <c r="X102" s="24"/>
      <c r="Y102" s="24"/>
      <c r="Z102" s="24"/>
      <c r="AA102" s="24"/>
      <c r="AB102" s="24"/>
      <c r="AC102" s="24"/>
    </row>
    <row r="103" spans="1:29" ht="358.65">
      <c r="A103" s="25" t="s">
        <v>543</v>
      </c>
      <c r="B103" s="25" t="s">
        <v>544</v>
      </c>
      <c r="C103" s="26" t="s">
        <v>546</v>
      </c>
      <c r="D103" s="26" t="s">
        <v>1436</v>
      </c>
      <c r="E103" s="85" t="s">
        <v>1437</v>
      </c>
      <c r="F103" s="85" t="s">
        <v>1438</v>
      </c>
      <c r="G103" s="50" t="e">
        <f>HYPERLINK("https://www.acquisition.gov/content/part-17-special-contracting-methods#i1102811","FAR 17.502-1(b)(1)(i) Assisted acquisitions [written agreement on responsibility for management and administration]. Memorandum for Chief Acquisition Officers, Senior Procurement Executives, Improving the Management and Use of Interagency Acquisitions, Of"&amp;"fice of Federal Procurement Policy, June 6, 2008.")</f>
        <v>#VALUE!</v>
      </c>
      <c r="H103" s="88"/>
      <c r="I103" s="34" t="s">
        <v>1384</v>
      </c>
      <c r="J103" s="37" t="s">
        <v>112</v>
      </c>
      <c r="K103" s="84" t="s">
        <v>1385</v>
      </c>
      <c r="L103" s="25" t="s">
        <v>1449</v>
      </c>
      <c r="M103" s="25" t="s">
        <v>1450</v>
      </c>
      <c r="N103" s="41" t="s">
        <v>1451</v>
      </c>
      <c r="O103" s="64"/>
      <c r="P103" s="45" t="b">
        <f t="shared" si="17"/>
        <v>0</v>
      </c>
      <c r="Q103" s="45">
        <f t="shared" si="18"/>
        <v>3</v>
      </c>
      <c r="R103" s="45">
        <f t="shared" si="19"/>
        <v>0</v>
      </c>
      <c r="S103" s="24"/>
      <c r="T103" s="24"/>
      <c r="U103" s="24"/>
      <c r="V103" s="24"/>
      <c r="W103" s="24"/>
      <c r="X103" s="24"/>
      <c r="Y103" s="24"/>
      <c r="Z103" s="24"/>
      <c r="AA103" s="24"/>
      <c r="AB103" s="24"/>
      <c r="AC103" s="24"/>
    </row>
    <row r="104" spans="1:29" ht="184.75">
      <c r="A104" s="25" t="s">
        <v>543</v>
      </c>
      <c r="B104" s="25" t="s">
        <v>544</v>
      </c>
      <c r="C104" s="26" t="s">
        <v>546</v>
      </c>
      <c r="D104" s="26" t="s">
        <v>1458</v>
      </c>
      <c r="E104" s="85" t="s">
        <v>1459</v>
      </c>
      <c r="F104" s="85" t="s">
        <v>1460</v>
      </c>
      <c r="G104" s="104" t="str">
        <f t="shared" ref="G104:G108" si="27">HYPERLINK("https://obamawhitehouse.archives.gov/sites/default/files/omb/assets/procurement/iac_revised.pdf","Memorandum for Chief Acquisition Officers, Senior Procurement Executives, Improving the Management and Use of Interagency Acquisitions, Office of Federal Procurement Policy, June 6, 2008.")</f>
        <v>Memorandum for Chief Acquisition Officers, Senior Procurement Executives, Improving the Management and Use of Interagency Acquisitions, Office of Federal Procurement Policy, June 6, 2008.</v>
      </c>
      <c r="H104" s="88"/>
      <c r="I104" s="34" t="s">
        <v>1384</v>
      </c>
      <c r="J104" s="37" t="s">
        <v>112</v>
      </c>
      <c r="K104" s="84" t="s">
        <v>1385</v>
      </c>
      <c r="L104" s="25" t="s">
        <v>1468</v>
      </c>
      <c r="M104" s="25" t="s">
        <v>1469</v>
      </c>
      <c r="N104" s="41" t="s">
        <v>1470</v>
      </c>
      <c r="O104" s="64"/>
      <c r="P104" s="45" t="b">
        <f t="shared" si="17"/>
        <v>0</v>
      </c>
      <c r="Q104" s="45">
        <f t="shared" si="18"/>
        <v>3</v>
      </c>
      <c r="R104" s="45">
        <f t="shared" si="19"/>
        <v>0</v>
      </c>
      <c r="S104" s="24"/>
      <c r="T104" s="24"/>
      <c r="U104" s="24"/>
      <c r="V104" s="24"/>
      <c r="W104" s="24"/>
      <c r="X104" s="24"/>
      <c r="Y104" s="24"/>
      <c r="Z104" s="24"/>
      <c r="AA104" s="24"/>
      <c r="AB104" s="24"/>
      <c r="AC104" s="24"/>
    </row>
    <row r="105" spans="1:29" ht="130.44999999999999">
      <c r="A105" s="25" t="s">
        <v>543</v>
      </c>
      <c r="B105" s="25" t="s">
        <v>544</v>
      </c>
      <c r="C105" s="26" t="s">
        <v>546</v>
      </c>
      <c r="D105" s="26" t="s">
        <v>1479</v>
      </c>
      <c r="E105" s="85" t="s">
        <v>1480</v>
      </c>
      <c r="F105" s="85" t="s">
        <v>1481</v>
      </c>
      <c r="G105" s="104" t="str">
        <f t="shared" si="27"/>
        <v>Memorandum for Chief Acquisition Officers, Senior Procurement Executives, Improving the Management and Use of Interagency Acquisitions, Office of Federal Procurement Policy, June 6, 2008.</v>
      </c>
      <c r="H105" s="88"/>
      <c r="I105" s="34" t="s">
        <v>1384</v>
      </c>
      <c r="J105" s="37" t="s">
        <v>112</v>
      </c>
      <c r="K105" s="84" t="s">
        <v>1385</v>
      </c>
      <c r="L105" s="25" t="s">
        <v>1482</v>
      </c>
      <c r="M105" s="25" t="s">
        <v>1484</v>
      </c>
      <c r="N105" s="41" t="s">
        <v>1487</v>
      </c>
      <c r="O105" s="64"/>
      <c r="P105" s="45" t="b">
        <f t="shared" si="17"/>
        <v>0</v>
      </c>
      <c r="Q105" s="45">
        <f t="shared" si="18"/>
        <v>3</v>
      </c>
      <c r="R105" s="45">
        <f t="shared" si="19"/>
        <v>0</v>
      </c>
      <c r="S105" s="24"/>
      <c r="T105" s="24"/>
      <c r="U105" s="24"/>
      <c r="V105" s="24"/>
      <c r="W105" s="24"/>
      <c r="X105" s="24"/>
      <c r="Y105" s="24"/>
      <c r="Z105" s="24"/>
      <c r="AA105" s="24"/>
      <c r="AB105" s="24"/>
      <c r="AC105" s="24"/>
    </row>
    <row r="106" spans="1:29" ht="239.1">
      <c r="A106" s="25" t="s">
        <v>543</v>
      </c>
      <c r="B106" s="25" t="s">
        <v>544</v>
      </c>
      <c r="C106" s="26" t="s">
        <v>546</v>
      </c>
      <c r="D106" s="26" t="s">
        <v>1491</v>
      </c>
      <c r="E106" s="85" t="s">
        <v>1493</v>
      </c>
      <c r="F106" s="85" t="s">
        <v>1495</v>
      </c>
      <c r="G106" s="104" t="str">
        <f t="shared" si="27"/>
        <v>Memorandum for Chief Acquisition Officers, Senior Procurement Executives, Improving the Management and Use of Interagency Acquisitions, Office of Federal Procurement Policy, June 6, 2008.</v>
      </c>
      <c r="H106" s="88"/>
      <c r="I106" s="34" t="s">
        <v>1384</v>
      </c>
      <c r="J106" s="37" t="s">
        <v>112</v>
      </c>
      <c r="K106" s="84" t="s">
        <v>1385</v>
      </c>
      <c r="L106" s="25" t="s">
        <v>1499</v>
      </c>
      <c r="M106" s="25" t="s">
        <v>1500</v>
      </c>
      <c r="N106" s="41" t="s">
        <v>1502</v>
      </c>
      <c r="O106" s="64"/>
      <c r="P106" s="45" t="b">
        <f t="shared" si="17"/>
        <v>0</v>
      </c>
      <c r="Q106" s="45">
        <f t="shared" si="18"/>
        <v>3</v>
      </c>
      <c r="R106" s="45">
        <f t="shared" si="19"/>
        <v>0</v>
      </c>
      <c r="S106" s="24"/>
      <c r="T106" s="24"/>
      <c r="U106" s="24"/>
      <c r="V106" s="24"/>
      <c r="W106" s="24"/>
      <c r="X106" s="24"/>
      <c r="Y106" s="24"/>
      <c r="Z106" s="24"/>
      <c r="AA106" s="24"/>
      <c r="AB106" s="24"/>
      <c r="AC106" s="24"/>
    </row>
    <row r="107" spans="1:29" ht="152.15">
      <c r="A107" s="25" t="s">
        <v>543</v>
      </c>
      <c r="B107" s="25" t="s">
        <v>544</v>
      </c>
      <c r="C107" s="26" t="s">
        <v>546</v>
      </c>
      <c r="D107" s="26" t="s">
        <v>1505</v>
      </c>
      <c r="E107" s="85" t="s">
        <v>1507</v>
      </c>
      <c r="F107" s="85" t="s">
        <v>1509</v>
      </c>
      <c r="G107" s="104" t="str">
        <f t="shared" si="27"/>
        <v>Memorandum for Chief Acquisition Officers, Senior Procurement Executives, Improving the Management and Use of Interagency Acquisitions, Office of Federal Procurement Policy, June 6, 2008.</v>
      </c>
      <c r="H107" s="88"/>
      <c r="I107" s="34" t="s">
        <v>1384</v>
      </c>
      <c r="J107" s="37" t="s">
        <v>112</v>
      </c>
      <c r="K107" s="84" t="s">
        <v>1385</v>
      </c>
      <c r="L107" s="25" t="s">
        <v>1511</v>
      </c>
      <c r="M107" s="25" t="s">
        <v>1512</v>
      </c>
      <c r="N107" s="41" t="s">
        <v>1513</v>
      </c>
      <c r="O107" s="64"/>
      <c r="P107" s="45" t="b">
        <f t="shared" si="17"/>
        <v>0</v>
      </c>
      <c r="Q107" s="45">
        <f t="shared" si="18"/>
        <v>3</v>
      </c>
      <c r="R107" s="45">
        <f t="shared" si="19"/>
        <v>0</v>
      </c>
      <c r="S107" s="24"/>
      <c r="T107" s="24"/>
      <c r="U107" s="24"/>
      <c r="V107" s="24"/>
      <c r="W107" s="24"/>
      <c r="X107" s="24"/>
      <c r="Y107" s="24"/>
      <c r="Z107" s="24"/>
      <c r="AA107" s="24"/>
      <c r="AB107" s="24"/>
      <c r="AC107" s="24"/>
    </row>
    <row r="108" spans="1:29" ht="206.5">
      <c r="A108" s="25" t="s">
        <v>543</v>
      </c>
      <c r="B108" s="25" t="s">
        <v>544</v>
      </c>
      <c r="C108" s="26" t="s">
        <v>546</v>
      </c>
      <c r="D108" s="26" t="s">
        <v>1522</v>
      </c>
      <c r="E108" s="85" t="s">
        <v>1523</v>
      </c>
      <c r="F108" s="85" t="s">
        <v>1524</v>
      </c>
      <c r="G108" s="104" t="str">
        <f t="shared" si="27"/>
        <v>Memorandum for Chief Acquisition Officers, Senior Procurement Executives, Improving the Management and Use of Interagency Acquisitions, Office of Federal Procurement Policy, June 6, 2008.</v>
      </c>
      <c r="H108" s="88"/>
      <c r="I108" s="34" t="s">
        <v>1384</v>
      </c>
      <c r="J108" s="37" t="s">
        <v>112</v>
      </c>
      <c r="K108" s="84" t="s">
        <v>1385</v>
      </c>
      <c r="L108" s="25" t="s">
        <v>1527</v>
      </c>
      <c r="M108" s="25" t="s">
        <v>1528</v>
      </c>
      <c r="N108" s="41" t="s">
        <v>1529</v>
      </c>
      <c r="O108" s="64"/>
      <c r="P108" s="45" t="b">
        <f t="shared" si="17"/>
        <v>0</v>
      </c>
      <c r="Q108" s="45">
        <f t="shared" si="18"/>
        <v>3</v>
      </c>
      <c r="R108" s="45">
        <f t="shared" si="19"/>
        <v>0</v>
      </c>
      <c r="S108" s="24"/>
      <c r="T108" s="24"/>
      <c r="U108" s="24"/>
      <c r="V108" s="24"/>
      <c r="W108" s="24"/>
      <c r="X108" s="24"/>
      <c r="Y108" s="24"/>
      <c r="Z108" s="24"/>
      <c r="AA108" s="24"/>
      <c r="AB108" s="24"/>
      <c r="AC108" s="24"/>
    </row>
    <row r="109" spans="1:29" ht="108.7">
      <c r="A109" s="25" t="s">
        <v>543</v>
      </c>
      <c r="B109" s="25" t="s">
        <v>544</v>
      </c>
      <c r="C109" s="26" t="s">
        <v>546</v>
      </c>
      <c r="D109" s="26" t="s">
        <v>1537</v>
      </c>
      <c r="E109" s="85" t="s">
        <v>1538</v>
      </c>
      <c r="F109" s="85" t="s">
        <v>1539</v>
      </c>
      <c r="G109" s="50" t="str">
        <f>HYPERLINK("https://www.acquisition.gov/content/17503-ordering-procedures","FAR 17.503(c) Ordering procedures [interagency acquisitions].")</f>
        <v>FAR 17.503(c) Ordering procedures [interagency acquisitions].</v>
      </c>
      <c r="H109" s="88"/>
      <c r="I109" s="34" t="s">
        <v>1384</v>
      </c>
      <c r="J109" s="37" t="s">
        <v>112</v>
      </c>
      <c r="K109" s="84" t="s">
        <v>1385</v>
      </c>
      <c r="L109" s="25" t="s">
        <v>1544</v>
      </c>
      <c r="M109" s="25" t="s">
        <v>1546</v>
      </c>
      <c r="N109" s="41" t="s">
        <v>1547</v>
      </c>
      <c r="O109" s="64"/>
      <c r="P109" s="45" t="b">
        <f t="shared" si="17"/>
        <v>0</v>
      </c>
      <c r="Q109" s="45">
        <f t="shared" si="18"/>
        <v>3</v>
      </c>
      <c r="R109" s="45">
        <f t="shared" si="19"/>
        <v>0</v>
      </c>
      <c r="S109" s="24"/>
      <c r="T109" s="24"/>
      <c r="U109" s="24"/>
      <c r="V109" s="24"/>
      <c r="W109" s="24"/>
      <c r="X109" s="24"/>
      <c r="Y109" s="24"/>
      <c r="Z109" s="24"/>
      <c r="AA109" s="24"/>
      <c r="AB109" s="24"/>
      <c r="AC109" s="24"/>
    </row>
    <row r="110" spans="1:29" ht="108.7">
      <c r="A110" s="25" t="s">
        <v>543</v>
      </c>
      <c r="B110" s="25" t="s">
        <v>544</v>
      </c>
      <c r="C110" s="26" t="s">
        <v>546</v>
      </c>
      <c r="D110" s="26" t="s">
        <v>1551</v>
      </c>
      <c r="E110" s="85" t="s">
        <v>1552</v>
      </c>
      <c r="F110" s="85" t="s">
        <v>1553</v>
      </c>
      <c r="G110" s="106" t="str">
        <f>HYPERLINK("https://www.acquisition.gov/browse/index/far","FAR 17.503(b) Ordering procedures [interagency acquisitions]
FAR 53.213")</f>
        <v>FAR 17.503(b) Ordering procedures [interagency acquisitions]
FAR 53.213</v>
      </c>
      <c r="H110" s="107" t="str">
        <f>HYPERLINK("https://www.acquisition.gov/content/part-553-forms#RWCYWMBX","GSAM 553.300-70")</f>
        <v>GSAM 553.300-70</v>
      </c>
      <c r="I110" s="34" t="s">
        <v>1384</v>
      </c>
      <c r="J110" s="37" t="s">
        <v>112</v>
      </c>
      <c r="K110" s="84" t="s">
        <v>1385</v>
      </c>
      <c r="L110" s="25" t="s">
        <v>1579</v>
      </c>
      <c r="M110" s="25" t="s">
        <v>1581</v>
      </c>
      <c r="N110" s="41" t="s">
        <v>1582</v>
      </c>
      <c r="O110" s="64"/>
      <c r="P110" s="45" t="b">
        <f t="shared" si="17"/>
        <v>0</v>
      </c>
      <c r="Q110" s="45">
        <f t="shared" si="18"/>
        <v>3</v>
      </c>
      <c r="R110" s="45">
        <f t="shared" si="19"/>
        <v>0</v>
      </c>
      <c r="S110" s="24"/>
      <c r="T110" s="24"/>
      <c r="U110" s="24"/>
      <c r="V110" s="24"/>
      <c r="W110" s="24"/>
      <c r="X110" s="24"/>
      <c r="Y110" s="24"/>
      <c r="Z110" s="24"/>
      <c r="AA110" s="24"/>
      <c r="AB110" s="24"/>
      <c r="AC110" s="24"/>
    </row>
    <row r="111" spans="1:29" ht="108.7">
      <c r="A111" s="25" t="s">
        <v>543</v>
      </c>
      <c r="B111" s="25" t="s">
        <v>544</v>
      </c>
      <c r="C111" s="26" t="s">
        <v>546</v>
      </c>
      <c r="D111" s="26" t="s">
        <v>1588</v>
      </c>
      <c r="E111" s="85" t="s">
        <v>1589</v>
      </c>
      <c r="F111" s="85" t="s">
        <v>1590</v>
      </c>
      <c r="G111" s="104" t="str">
        <f t="shared" ref="G111:G112" si="28">HYPERLINK("https://obamawhitehouse.archives.gov/sites/default/files/omb/assets/procurement/iac_revised.pdf","Memorandum for Chief Acquisition Officers, Senior Procurement Executives, Improving the Management and Use of Interagency Acquisitions, Office of Federal Procurement Policy, June 6, 2008.")</f>
        <v>Memorandum for Chief Acquisition Officers, Senior Procurement Executives, Improving the Management and Use of Interagency Acquisitions, Office of Federal Procurement Policy, June 6, 2008.</v>
      </c>
      <c r="H111" s="88"/>
      <c r="I111" s="34" t="s">
        <v>1384</v>
      </c>
      <c r="J111" s="37" t="s">
        <v>112</v>
      </c>
      <c r="K111" s="84" t="s">
        <v>1385</v>
      </c>
      <c r="L111" s="25" t="s">
        <v>1600</v>
      </c>
      <c r="M111" s="25" t="s">
        <v>1601</v>
      </c>
      <c r="N111" s="41" t="s">
        <v>1602</v>
      </c>
      <c r="O111" s="64"/>
      <c r="P111" s="45" t="b">
        <f t="shared" si="17"/>
        <v>0</v>
      </c>
      <c r="Q111" s="45">
        <f t="shared" si="18"/>
        <v>3</v>
      </c>
      <c r="R111" s="45">
        <f t="shared" si="19"/>
        <v>0</v>
      </c>
      <c r="S111" s="24"/>
      <c r="T111" s="24"/>
      <c r="U111" s="24"/>
      <c r="V111" s="24"/>
      <c r="W111" s="24"/>
      <c r="X111" s="24"/>
      <c r="Y111" s="24"/>
      <c r="Z111" s="24"/>
      <c r="AA111" s="24"/>
      <c r="AB111" s="24"/>
      <c r="AC111" s="24"/>
    </row>
    <row r="112" spans="1:29" ht="108.7">
      <c r="A112" s="25" t="s">
        <v>543</v>
      </c>
      <c r="B112" s="25" t="s">
        <v>544</v>
      </c>
      <c r="C112" s="26" t="s">
        <v>546</v>
      </c>
      <c r="D112" s="26" t="s">
        <v>1609</v>
      </c>
      <c r="E112" s="85" t="s">
        <v>1610</v>
      </c>
      <c r="F112" s="85" t="s">
        <v>1611</v>
      </c>
      <c r="G112" s="104" t="str">
        <f t="shared" si="28"/>
        <v>Memorandum for Chief Acquisition Officers, Senior Procurement Executives, Improving the Management and Use of Interagency Acquisitions, Office of Federal Procurement Policy, June 6, 2008.</v>
      </c>
      <c r="H112" s="88"/>
      <c r="I112" s="34" t="s">
        <v>1384</v>
      </c>
      <c r="J112" s="37" t="s">
        <v>112</v>
      </c>
      <c r="K112" s="84" t="s">
        <v>1385</v>
      </c>
      <c r="L112" s="25" t="s">
        <v>1614</v>
      </c>
      <c r="M112" s="25" t="s">
        <v>1615</v>
      </c>
      <c r="N112" s="41" t="s">
        <v>1616</v>
      </c>
      <c r="O112" s="64"/>
      <c r="P112" s="45" t="b">
        <f t="shared" si="17"/>
        <v>0</v>
      </c>
      <c r="Q112" s="45">
        <f t="shared" si="18"/>
        <v>3</v>
      </c>
      <c r="R112" s="45">
        <f t="shared" si="19"/>
        <v>0</v>
      </c>
      <c r="S112" s="24"/>
      <c r="T112" s="24"/>
      <c r="U112" s="24"/>
      <c r="V112" s="24"/>
      <c r="W112" s="24"/>
      <c r="X112" s="24"/>
      <c r="Y112" s="24"/>
      <c r="Z112" s="24"/>
      <c r="AA112" s="24"/>
      <c r="AB112" s="24"/>
      <c r="AC112" s="24"/>
    </row>
    <row r="113" spans="1:29" ht="108.7">
      <c r="A113" s="25" t="s">
        <v>543</v>
      </c>
      <c r="B113" s="25" t="s">
        <v>544</v>
      </c>
      <c r="C113" s="26" t="s">
        <v>546</v>
      </c>
      <c r="D113" s="26" t="s">
        <v>1617</v>
      </c>
      <c r="E113" s="85" t="s">
        <v>1618</v>
      </c>
      <c r="F113" s="85" t="s">
        <v>1619</v>
      </c>
      <c r="G113" s="50" t="str">
        <f>HYPERLINK("https://www.acquisition.gov/content/17500-scope-subpart#id1617MA040HU","FAR 17.500 Scope of subpart [interagency acquisitions].")</f>
        <v>FAR 17.500 Scope of subpart [interagency acquisitions].</v>
      </c>
      <c r="H113" s="88"/>
      <c r="I113" s="34" t="s">
        <v>1384</v>
      </c>
      <c r="J113" s="37" t="s">
        <v>112</v>
      </c>
      <c r="K113" s="84" t="s">
        <v>1385</v>
      </c>
      <c r="L113" s="25" t="s">
        <v>1627</v>
      </c>
      <c r="M113" s="39" t="s">
        <v>1628</v>
      </c>
      <c r="N113" s="41" t="s">
        <v>1629</v>
      </c>
      <c r="O113" s="64"/>
      <c r="P113" s="45" t="b">
        <f t="shared" si="17"/>
        <v>0</v>
      </c>
      <c r="Q113" s="45">
        <f t="shared" si="18"/>
        <v>3</v>
      </c>
      <c r="R113" s="45">
        <f t="shared" si="19"/>
        <v>0</v>
      </c>
      <c r="S113" s="24"/>
      <c r="T113" s="24"/>
      <c r="U113" s="24"/>
      <c r="V113" s="24"/>
      <c r="W113" s="24"/>
      <c r="X113" s="24"/>
      <c r="Y113" s="24"/>
      <c r="Z113" s="24"/>
      <c r="AA113" s="24"/>
      <c r="AB113" s="24"/>
      <c r="AC113" s="24"/>
    </row>
    <row r="114" spans="1:29" ht="108.7">
      <c r="A114" s="25" t="s">
        <v>543</v>
      </c>
      <c r="B114" s="25" t="s">
        <v>544</v>
      </c>
      <c r="C114" s="26" t="s">
        <v>546</v>
      </c>
      <c r="D114" s="26" t="s">
        <v>1636</v>
      </c>
      <c r="E114" s="85" t="s">
        <v>1637</v>
      </c>
      <c r="F114" s="85" t="s">
        <v>1638</v>
      </c>
      <c r="G114" s="50" t="str">
        <f>HYPERLINK("https://www.acquisition.gov/content/17502-2-economy-act#i1102847","31 U.S.C. §1535 Agency agreements. FAR 17.502-2 The Economy Act [procedures].")</f>
        <v>31 U.S.C. §1535 Agency agreements. FAR 17.502-2 The Economy Act [procedures].</v>
      </c>
      <c r="H114" s="88"/>
      <c r="I114" s="34" t="s">
        <v>1384</v>
      </c>
      <c r="J114" s="37" t="s">
        <v>112</v>
      </c>
      <c r="K114" s="84" t="s">
        <v>1385</v>
      </c>
      <c r="L114" s="25" t="s">
        <v>1251</v>
      </c>
      <c r="M114" s="25" t="s">
        <v>1233</v>
      </c>
      <c r="N114" s="41" t="s">
        <v>1079</v>
      </c>
      <c r="O114" s="64"/>
      <c r="P114" s="45" t="b">
        <f t="shared" si="17"/>
        <v>0</v>
      </c>
      <c r="Q114" s="45">
        <f t="shared" si="18"/>
        <v>3</v>
      </c>
      <c r="R114" s="45">
        <f t="shared" si="19"/>
        <v>0</v>
      </c>
      <c r="S114" s="24"/>
      <c r="T114" s="24"/>
      <c r="U114" s="24"/>
      <c r="V114" s="24"/>
      <c r="W114" s="24"/>
      <c r="X114" s="24"/>
      <c r="Y114" s="24"/>
      <c r="Z114" s="24"/>
      <c r="AA114" s="24"/>
      <c r="AB114" s="24"/>
      <c r="AC114" s="24"/>
    </row>
    <row r="115" spans="1:29" ht="108.7">
      <c r="A115" s="25" t="s">
        <v>543</v>
      </c>
      <c r="B115" s="25" t="s">
        <v>544</v>
      </c>
      <c r="C115" s="26" t="s">
        <v>546</v>
      </c>
      <c r="D115" s="26" t="s">
        <v>1646</v>
      </c>
      <c r="E115" s="85" t="s">
        <v>1647</v>
      </c>
      <c r="F115" s="85" t="s">
        <v>358</v>
      </c>
      <c r="G115" s="50" t="str">
        <f>HYPERLINK("https://www.acquisition.gov/content/17502-2-economy-act#i1102847","FAR 17.502-2(c) Requirements for determinations and findings [The Economy Act].")</f>
        <v>FAR 17.502-2(c) Requirements for determinations and findings [The Economy Act].</v>
      </c>
      <c r="H115" s="88"/>
      <c r="I115" s="34" t="s">
        <v>1384</v>
      </c>
      <c r="J115" s="37" t="s">
        <v>112</v>
      </c>
      <c r="K115" s="84" t="s">
        <v>1385</v>
      </c>
      <c r="L115" s="25" t="s">
        <v>1654</v>
      </c>
      <c r="M115" s="25" t="s">
        <v>1275</v>
      </c>
      <c r="N115" s="41" t="s">
        <v>1276</v>
      </c>
      <c r="O115" s="64"/>
      <c r="P115" s="45" t="b">
        <f t="shared" si="17"/>
        <v>0</v>
      </c>
      <c r="Q115" s="45">
        <f t="shared" si="18"/>
        <v>3</v>
      </c>
      <c r="R115" s="45">
        <f t="shared" si="19"/>
        <v>0</v>
      </c>
      <c r="S115" s="24"/>
      <c r="T115" s="24"/>
      <c r="U115" s="24"/>
      <c r="V115" s="24"/>
      <c r="W115" s="24"/>
      <c r="X115" s="24"/>
      <c r="Y115" s="24"/>
      <c r="Z115" s="24"/>
      <c r="AA115" s="24"/>
      <c r="AB115" s="24"/>
      <c r="AC115" s="24"/>
    </row>
    <row r="116" spans="1:29" ht="217.4">
      <c r="A116" s="25" t="s">
        <v>543</v>
      </c>
      <c r="B116" s="25" t="s">
        <v>544</v>
      </c>
      <c r="C116" s="26" t="s">
        <v>546</v>
      </c>
      <c r="D116" s="26" t="s">
        <v>1658</v>
      </c>
      <c r="E116" s="85" t="s">
        <v>1283</v>
      </c>
      <c r="F116" s="85" t="s">
        <v>1285</v>
      </c>
      <c r="G116" s="50" t="str">
        <f>HYPERLINK("https://www.acquisition.gov/content/17502-2-economy-act#i1102847","FAR 17.502-2(c)(2) Requirements for determinations and findings [The Economy Act].")</f>
        <v>FAR 17.502-2(c)(2) Requirements for determinations and findings [The Economy Act].</v>
      </c>
      <c r="H116" s="88"/>
      <c r="I116" s="34" t="s">
        <v>1384</v>
      </c>
      <c r="J116" s="37" t="s">
        <v>112</v>
      </c>
      <c r="K116" s="84" t="s">
        <v>1385</v>
      </c>
      <c r="L116" s="25" t="s">
        <v>1291</v>
      </c>
      <c r="M116" s="25" t="s">
        <v>1292</v>
      </c>
      <c r="N116" s="41" t="s">
        <v>1293</v>
      </c>
      <c r="O116" s="64"/>
      <c r="P116" s="45" t="b">
        <f t="shared" si="17"/>
        <v>0</v>
      </c>
      <c r="Q116" s="45">
        <f t="shared" si="18"/>
        <v>3</v>
      </c>
      <c r="R116" s="45">
        <f t="shared" si="19"/>
        <v>0</v>
      </c>
      <c r="S116" s="24"/>
      <c r="T116" s="24"/>
      <c r="U116" s="24"/>
      <c r="V116" s="24"/>
      <c r="W116" s="24"/>
      <c r="X116" s="24"/>
      <c r="Y116" s="24"/>
      <c r="Z116" s="24"/>
      <c r="AA116" s="24"/>
      <c r="AB116" s="24"/>
      <c r="AC116" s="24"/>
    </row>
    <row r="117" spans="1:29" ht="108.7">
      <c r="A117" s="25" t="s">
        <v>543</v>
      </c>
      <c r="B117" s="25" t="s">
        <v>544</v>
      </c>
      <c r="C117" s="26" t="s">
        <v>546</v>
      </c>
      <c r="D117" s="26" t="s">
        <v>1669</v>
      </c>
      <c r="E117" s="85" t="s">
        <v>1298</v>
      </c>
      <c r="F117" s="85" t="s">
        <v>1285</v>
      </c>
      <c r="G117" s="50" t="str">
        <f>HYPERLINK("https://www.acquisition.gov/content/17502-2-economy-act#i1102847","FAR 17.502-2(c)(3) Requirements for determinations and findings [The Economy Act].")</f>
        <v>FAR 17.502-2(c)(3) Requirements for determinations and findings [The Economy Act].</v>
      </c>
      <c r="H117" s="88"/>
      <c r="I117" s="34" t="s">
        <v>1384</v>
      </c>
      <c r="J117" s="37" t="s">
        <v>112</v>
      </c>
      <c r="K117" s="84" t="s">
        <v>1385</v>
      </c>
      <c r="L117" s="25" t="s">
        <v>1307</v>
      </c>
      <c r="M117" s="25" t="s">
        <v>1309</v>
      </c>
      <c r="N117" s="41" t="s">
        <v>1310</v>
      </c>
      <c r="O117" s="64"/>
      <c r="P117" s="45" t="b">
        <f t="shared" si="17"/>
        <v>0</v>
      </c>
      <c r="Q117" s="45">
        <f t="shared" si="18"/>
        <v>3</v>
      </c>
      <c r="R117" s="45">
        <f t="shared" si="19"/>
        <v>0</v>
      </c>
      <c r="S117" s="24"/>
      <c r="T117" s="24"/>
      <c r="U117" s="24"/>
      <c r="V117" s="24"/>
      <c r="W117" s="24"/>
      <c r="X117" s="24"/>
      <c r="Y117" s="24"/>
      <c r="Z117" s="24"/>
      <c r="AA117" s="24"/>
      <c r="AB117" s="24"/>
      <c r="AC117" s="24"/>
    </row>
    <row r="118" spans="1:29" ht="108.7">
      <c r="A118" s="25" t="s">
        <v>543</v>
      </c>
      <c r="B118" s="25" t="s">
        <v>544</v>
      </c>
      <c r="C118" s="26" t="s">
        <v>546</v>
      </c>
      <c r="D118" s="26" t="s">
        <v>1677</v>
      </c>
      <c r="E118" s="85" t="s">
        <v>1316</v>
      </c>
      <c r="F118" s="85" t="s">
        <v>1317</v>
      </c>
      <c r="G118" s="50" t="str">
        <f>HYPERLINK("https://www.acquisition.gov/content/part-17-special-contracting-methods#i1102847","FAR 17.502-2(d) Payment [The Economy Act].")</f>
        <v>FAR 17.502-2(d) Payment [The Economy Act].</v>
      </c>
      <c r="H118" s="88"/>
      <c r="I118" s="34" t="s">
        <v>1384</v>
      </c>
      <c r="J118" s="37" t="s">
        <v>112</v>
      </c>
      <c r="K118" s="84" t="s">
        <v>1385</v>
      </c>
      <c r="L118" s="25" t="s">
        <v>1326</v>
      </c>
      <c r="M118" s="25" t="s">
        <v>1327</v>
      </c>
      <c r="N118" s="41" t="s">
        <v>1328</v>
      </c>
      <c r="O118" s="64"/>
      <c r="P118" s="45" t="b">
        <f t="shared" si="17"/>
        <v>0</v>
      </c>
      <c r="Q118" s="45">
        <f t="shared" si="18"/>
        <v>3</v>
      </c>
      <c r="R118" s="45">
        <f t="shared" si="19"/>
        <v>0</v>
      </c>
      <c r="S118" s="24"/>
      <c r="T118" s="24"/>
      <c r="U118" s="24"/>
      <c r="V118" s="24"/>
      <c r="W118" s="24"/>
      <c r="X118" s="24"/>
      <c r="Y118" s="24"/>
      <c r="Z118" s="24"/>
      <c r="AA118" s="24"/>
      <c r="AB118" s="24"/>
      <c r="AC118" s="24"/>
    </row>
    <row r="119" spans="1:29" ht="108.7">
      <c r="A119" s="25" t="s">
        <v>543</v>
      </c>
      <c r="B119" s="25" t="s">
        <v>544</v>
      </c>
      <c r="C119" s="26" t="s">
        <v>546</v>
      </c>
      <c r="D119" s="26" t="s">
        <v>1687</v>
      </c>
      <c r="E119" s="85" t="s">
        <v>1688</v>
      </c>
      <c r="F119" s="85" t="s">
        <v>1689</v>
      </c>
      <c r="G119" s="50" t="str">
        <f t="shared" ref="G119:G120" si="29">HYPERLINK("https://www.acquisition.gov/content/17502-1-general","FAR 17.502-1(a)(2) Direct acquisitions [determination of the best procurement approach].")</f>
        <v>FAR 17.502-1(a)(2) Direct acquisitions [determination of the best procurement approach].</v>
      </c>
      <c r="H119" s="88"/>
      <c r="I119" s="34" t="s">
        <v>1384</v>
      </c>
      <c r="J119" s="37" t="s">
        <v>112</v>
      </c>
      <c r="K119" s="84" t="s">
        <v>1385</v>
      </c>
      <c r="L119" s="25" t="s">
        <v>1627</v>
      </c>
      <c r="M119" s="39" t="s">
        <v>1628</v>
      </c>
      <c r="N119" s="41" t="s">
        <v>1629</v>
      </c>
      <c r="O119" s="64"/>
      <c r="P119" s="45" t="b">
        <f t="shared" si="17"/>
        <v>0</v>
      </c>
      <c r="Q119" s="45">
        <f t="shared" si="18"/>
        <v>3</v>
      </c>
      <c r="R119" s="45">
        <f t="shared" si="19"/>
        <v>0</v>
      </c>
      <c r="S119" s="24"/>
      <c r="T119" s="24"/>
      <c r="U119" s="24"/>
      <c r="V119" s="24"/>
      <c r="W119" s="24"/>
      <c r="X119" s="24"/>
      <c r="Y119" s="24"/>
      <c r="Z119" s="24"/>
      <c r="AA119" s="24"/>
      <c r="AB119" s="24"/>
      <c r="AC119" s="24"/>
    </row>
    <row r="120" spans="1:29" ht="108.7">
      <c r="A120" s="25" t="s">
        <v>543</v>
      </c>
      <c r="B120" s="25" t="s">
        <v>544</v>
      </c>
      <c r="C120" s="26" t="s">
        <v>546</v>
      </c>
      <c r="D120" s="26" t="s">
        <v>1700</v>
      </c>
      <c r="E120" s="85" t="s">
        <v>1702</v>
      </c>
      <c r="F120" s="85" t="s">
        <v>1704</v>
      </c>
      <c r="G120" s="50" t="str">
        <f t="shared" si="29"/>
        <v>FAR 17.502-1(a)(2) Direct acquisitions [determination of the best procurement approach].</v>
      </c>
      <c r="H120" s="88"/>
      <c r="I120" s="34" t="s">
        <v>1384</v>
      </c>
      <c r="J120" s="37" t="s">
        <v>112</v>
      </c>
      <c r="K120" s="84" t="s">
        <v>1385</v>
      </c>
      <c r="L120" s="25" t="s">
        <v>1362</v>
      </c>
      <c r="M120" s="39" t="s">
        <v>1363</v>
      </c>
      <c r="N120" s="41" t="s">
        <v>1364</v>
      </c>
      <c r="O120" s="64"/>
      <c r="P120" s="45" t="b">
        <f t="shared" si="17"/>
        <v>0</v>
      </c>
      <c r="Q120" s="45">
        <f t="shared" si="18"/>
        <v>3</v>
      </c>
      <c r="R120" s="45">
        <f t="shared" si="19"/>
        <v>0</v>
      </c>
      <c r="S120" s="24"/>
      <c r="T120" s="24"/>
      <c r="U120" s="24"/>
      <c r="V120" s="24"/>
      <c r="W120" s="24"/>
      <c r="X120" s="24"/>
      <c r="Y120" s="24"/>
      <c r="Z120" s="24"/>
      <c r="AA120" s="24"/>
      <c r="AB120" s="24"/>
      <c r="AC120" s="24"/>
    </row>
    <row r="121" spans="1:29" ht="108.7">
      <c r="A121" s="25" t="s">
        <v>543</v>
      </c>
      <c r="B121" s="25" t="s">
        <v>544</v>
      </c>
      <c r="C121" s="26" t="s">
        <v>546</v>
      </c>
      <c r="D121" s="26" t="s">
        <v>1715</v>
      </c>
      <c r="E121" s="85" t="s">
        <v>1538</v>
      </c>
      <c r="F121" s="85" t="s">
        <v>1539</v>
      </c>
      <c r="G121" s="50" t="str">
        <f>HYPERLINK("https://www.acquisition.gov/content/17503-ordering-procedures","FAR 17.503(c) Ordering procedures [interagency acquisitions].")</f>
        <v>FAR 17.503(c) Ordering procedures [interagency acquisitions].</v>
      </c>
      <c r="H121" s="88"/>
      <c r="I121" s="34" t="s">
        <v>1384</v>
      </c>
      <c r="J121" s="37" t="s">
        <v>112</v>
      </c>
      <c r="K121" s="84" t="s">
        <v>1385</v>
      </c>
      <c r="L121" s="25" t="s">
        <v>1544</v>
      </c>
      <c r="M121" s="25" t="s">
        <v>1546</v>
      </c>
      <c r="N121" s="41" t="s">
        <v>1547</v>
      </c>
      <c r="O121" s="64"/>
      <c r="P121" s="45" t="b">
        <f t="shared" si="17"/>
        <v>0</v>
      </c>
      <c r="Q121" s="45">
        <f t="shared" si="18"/>
        <v>3</v>
      </c>
      <c r="R121" s="45">
        <f t="shared" si="19"/>
        <v>0</v>
      </c>
      <c r="S121" s="24"/>
      <c r="T121" s="24"/>
      <c r="U121" s="24"/>
      <c r="V121" s="24"/>
      <c r="W121" s="24"/>
      <c r="X121" s="24"/>
      <c r="Y121" s="24"/>
      <c r="Z121" s="24"/>
      <c r="AA121" s="24"/>
      <c r="AB121" s="24"/>
      <c r="AC121" s="24"/>
    </row>
    <row r="122" spans="1:29" ht="108.7">
      <c r="A122" s="25" t="s">
        <v>543</v>
      </c>
      <c r="B122" s="25" t="s">
        <v>544</v>
      </c>
      <c r="C122" s="26" t="s">
        <v>546</v>
      </c>
      <c r="D122" s="26" t="s">
        <v>1726</v>
      </c>
      <c r="E122" s="85" t="s">
        <v>1728</v>
      </c>
      <c r="F122" s="85" t="s">
        <v>1553</v>
      </c>
      <c r="G122" s="106" t="str">
        <f>HYPERLINK("https://www.acquisition.gov/browse/index/far","FAR 17.503(b) Ordering procedures [interagency acquisitions]
FAR 53.213")</f>
        <v>FAR 17.503(b) Ordering procedures [interagency acquisitions]
FAR 53.213</v>
      </c>
      <c r="H122" s="107" t="str">
        <f>HYPERLINK("https://www.acquisition.gov/content/part-553-forms#RWCYWMBX","GSAM 553.300-70")</f>
        <v>GSAM 553.300-70</v>
      </c>
      <c r="I122" s="110"/>
      <c r="J122" s="37" t="s">
        <v>463</v>
      </c>
      <c r="K122" s="83" t="s">
        <v>1738</v>
      </c>
      <c r="L122" s="25" t="s">
        <v>1579</v>
      </c>
      <c r="M122" s="25" t="s">
        <v>1581</v>
      </c>
      <c r="N122" s="41" t="s">
        <v>1582</v>
      </c>
      <c r="O122" s="64"/>
      <c r="P122" s="45" t="b">
        <f t="shared" si="17"/>
        <v>0</v>
      </c>
      <c r="Q122" s="45">
        <f t="shared" si="18"/>
        <v>0</v>
      </c>
      <c r="R122" s="45">
        <f t="shared" si="19"/>
        <v>0</v>
      </c>
      <c r="S122" s="24"/>
      <c r="T122" s="24"/>
      <c r="U122" s="24"/>
      <c r="V122" s="24"/>
      <c r="W122" s="24"/>
      <c r="X122" s="24"/>
      <c r="Y122" s="24"/>
      <c r="Z122" s="24"/>
      <c r="AA122" s="24"/>
      <c r="AB122" s="24"/>
      <c r="AC122" s="24"/>
    </row>
    <row r="123" spans="1:29" ht="119.55">
      <c r="A123" s="25" t="s">
        <v>543</v>
      </c>
      <c r="B123" s="25" t="s">
        <v>544</v>
      </c>
      <c r="C123" s="26" t="s">
        <v>546</v>
      </c>
      <c r="D123" s="26" t="s">
        <v>1742</v>
      </c>
      <c r="E123" s="85" t="s">
        <v>1743</v>
      </c>
      <c r="F123" s="85" t="s">
        <v>1027</v>
      </c>
      <c r="G123" s="50" t="str">
        <f>HYPERLINK("https://www.acquisition.gov/content/subpart-84-federal-supply-schedules#i1117301","FAR 8.405-1(b) Orders at or below the micro-purchase threshold [ordering procedures for supplies, and services not requiring a statement of work].  FAR 8.405-2(c)(1) Orders at, or below, the micro-purchase threshold [request for quotation procedures].")</f>
        <v>FAR 8.405-1(b) Orders at or below the micro-purchase threshold [ordering procedures for supplies, and services not requiring a statement of work].  FAR 8.405-2(c)(1) Orders at, or below, the micro-purchase threshold [request for quotation procedures].</v>
      </c>
      <c r="H123" s="33"/>
      <c r="I123" s="34" t="s">
        <v>593</v>
      </c>
      <c r="J123" s="37" t="s">
        <v>268</v>
      </c>
      <c r="K123" s="83" t="s">
        <v>1748</v>
      </c>
      <c r="L123" s="77" t="s">
        <v>1749</v>
      </c>
      <c r="M123" s="25" t="s">
        <v>1750</v>
      </c>
      <c r="N123" s="41" t="s">
        <v>1751</v>
      </c>
      <c r="O123" s="64"/>
      <c r="P123" s="45" t="b">
        <f t="shared" si="17"/>
        <v>0</v>
      </c>
      <c r="Q123" s="45">
        <f t="shared" si="18"/>
        <v>3</v>
      </c>
      <c r="R123" s="45">
        <f t="shared" si="19"/>
        <v>0</v>
      </c>
      <c r="S123" s="24"/>
      <c r="T123" s="24"/>
      <c r="U123" s="24"/>
      <c r="V123" s="24"/>
      <c r="W123" s="24"/>
      <c r="X123" s="24"/>
      <c r="Y123" s="24"/>
      <c r="Z123" s="24"/>
      <c r="AA123" s="24"/>
      <c r="AB123" s="24"/>
      <c r="AC123" s="24"/>
    </row>
    <row r="124" spans="1:29" ht="108.7">
      <c r="A124" s="25" t="s">
        <v>543</v>
      </c>
      <c r="B124" s="25" t="s">
        <v>544</v>
      </c>
      <c r="C124" s="26" t="s">
        <v>546</v>
      </c>
      <c r="D124" s="26" t="s">
        <v>1752</v>
      </c>
      <c r="E124" s="85" t="s">
        <v>1753</v>
      </c>
      <c r="F124" s="85" t="s">
        <v>1027</v>
      </c>
      <c r="G124" s="50" t="e">
        <f>HYPERLINK("https://www.acquisition.gov/content/subpart-84-federal-supply-schedules#i1117301","FAR 8.405-1(c) Ordering procedures for supplies, and services not requiring a statement of work [ordering procedures for Federal Supply Schedules]. FAR 8.405-3(b)(1) For supplies, and for services not requiring a statement of work [competitive procedures "&amp;"for establishing a BPA].")</f>
        <v>#VALUE!</v>
      </c>
      <c r="H124" s="33"/>
      <c r="I124" s="34" t="s">
        <v>593</v>
      </c>
      <c r="J124" s="37" t="s">
        <v>268</v>
      </c>
      <c r="K124" s="84" t="s">
        <v>1748</v>
      </c>
      <c r="L124" s="41" t="s">
        <v>1760</v>
      </c>
      <c r="M124" s="25" t="s">
        <v>1761</v>
      </c>
      <c r="N124" s="92" t="s">
        <v>1762</v>
      </c>
      <c r="O124" s="64"/>
      <c r="P124" s="45" t="b">
        <f t="shared" si="17"/>
        <v>0</v>
      </c>
      <c r="Q124" s="45">
        <f t="shared" si="18"/>
        <v>3</v>
      </c>
      <c r="R124" s="45">
        <f t="shared" si="19"/>
        <v>0</v>
      </c>
      <c r="S124" s="24"/>
      <c r="T124" s="24"/>
      <c r="U124" s="24"/>
      <c r="V124" s="24"/>
      <c r="W124" s="24"/>
      <c r="X124" s="24"/>
      <c r="Y124" s="24"/>
      <c r="Z124" s="24"/>
      <c r="AA124" s="24"/>
      <c r="AB124" s="24"/>
      <c r="AC124" s="24"/>
    </row>
    <row r="125" spans="1:29" ht="108.7">
      <c r="A125" s="25" t="s">
        <v>543</v>
      </c>
      <c r="B125" s="25" t="s">
        <v>544</v>
      </c>
      <c r="C125" s="26" t="s">
        <v>546</v>
      </c>
      <c r="D125" s="26" t="s">
        <v>1771</v>
      </c>
      <c r="E125" s="85" t="s">
        <v>1772</v>
      </c>
      <c r="F125" s="85" t="s">
        <v>1774</v>
      </c>
      <c r="G125" s="50" t="e">
        <f>HYPERLINK("https://www.acquisition.gov/content/subpart-84-federal-supply-schedules#i1117301","FAR 8.405-1(c) Orders exceeding the micro-purchase threshold but not exceeding the simplified acquisition threshold [ordering procedures for supplies, and services not requiring a statement of work].  FAR 8.405-3(b)(1)(i) If the estimated value of the BPA"&amp;" does not exceed the simplified acquisition threshold. [For supplies, and for services not requiring a statement of work].")</f>
        <v>#VALUE!</v>
      </c>
      <c r="H125" s="33"/>
      <c r="I125" s="34" t="s">
        <v>593</v>
      </c>
      <c r="J125" s="37" t="s">
        <v>268</v>
      </c>
      <c r="K125" s="83" t="s">
        <v>1782</v>
      </c>
      <c r="L125" s="77" t="s">
        <v>1783</v>
      </c>
      <c r="M125" s="25" t="s">
        <v>1785</v>
      </c>
      <c r="N125" s="41" t="s">
        <v>1787</v>
      </c>
      <c r="O125" s="64"/>
      <c r="P125" s="45" t="b">
        <f t="shared" si="17"/>
        <v>0</v>
      </c>
      <c r="Q125" s="45">
        <f t="shared" si="18"/>
        <v>3</v>
      </c>
      <c r="R125" s="45">
        <f t="shared" si="19"/>
        <v>0</v>
      </c>
      <c r="S125" s="24"/>
      <c r="T125" s="24"/>
      <c r="U125" s="24"/>
      <c r="V125" s="24"/>
      <c r="W125" s="24"/>
      <c r="X125" s="24"/>
      <c r="Y125" s="24"/>
      <c r="Z125" s="24"/>
      <c r="AA125" s="24"/>
      <c r="AB125" s="24"/>
      <c r="AC125" s="24"/>
    </row>
    <row r="126" spans="1:29" ht="108.7">
      <c r="A126" s="25" t="s">
        <v>543</v>
      </c>
      <c r="B126" s="25" t="s">
        <v>544</v>
      </c>
      <c r="C126" s="26" t="s">
        <v>546</v>
      </c>
      <c r="D126" s="26" t="s">
        <v>1796</v>
      </c>
      <c r="E126" s="70" t="s">
        <v>1797</v>
      </c>
      <c r="F126" s="25" t="s">
        <v>1798</v>
      </c>
      <c r="G126" s="50" t="str">
        <f>HYPERLINK("https://www.acquisition.gov/content/13003-policy#id1617MD00S3U","FAR 13.003 Policy [simplified acquisition procedures].")</f>
        <v>FAR 13.003 Policy [simplified acquisition procedures].</v>
      </c>
      <c r="H126" s="33"/>
      <c r="I126" s="34" t="s">
        <v>673</v>
      </c>
      <c r="J126" s="37" t="s">
        <v>268</v>
      </c>
      <c r="K126" s="83" t="s">
        <v>1802</v>
      </c>
      <c r="L126" s="25" t="s">
        <v>1803</v>
      </c>
      <c r="M126" s="25" t="s">
        <v>1804</v>
      </c>
      <c r="N126" s="41" t="s">
        <v>1079</v>
      </c>
      <c r="O126" s="64"/>
      <c r="P126" s="45" t="b">
        <f t="shared" si="17"/>
        <v>0</v>
      </c>
      <c r="Q126" s="45">
        <f t="shared" si="18"/>
        <v>3</v>
      </c>
      <c r="R126" s="45">
        <f t="shared" si="19"/>
        <v>0</v>
      </c>
      <c r="S126" s="24"/>
      <c r="T126" s="24"/>
      <c r="U126" s="24"/>
      <c r="V126" s="24"/>
      <c r="W126" s="24"/>
      <c r="X126" s="24"/>
      <c r="Y126" s="24"/>
      <c r="Z126" s="24"/>
      <c r="AA126" s="24"/>
      <c r="AB126" s="24"/>
      <c r="AC126" s="24"/>
    </row>
    <row r="127" spans="1:29" ht="206.5">
      <c r="A127" s="25" t="s">
        <v>543</v>
      </c>
      <c r="B127" s="25" t="s">
        <v>544</v>
      </c>
      <c r="C127" s="26" t="s">
        <v>546</v>
      </c>
      <c r="D127" s="26" t="s">
        <v>1808</v>
      </c>
      <c r="E127" s="25" t="s">
        <v>1809</v>
      </c>
      <c r="F127" s="25" t="s">
        <v>1058</v>
      </c>
      <c r="G127" s="50" t="str">
        <f>HYPERLINK("https://www.acquisition.gov/browse/index/far","FAR 2.101 Micro-purchase threshold [definitions]. FAR 13.201 General [actions at or below the micro-purchase threshold]. ")</f>
        <v xml:space="preserve">FAR 2.101 Micro-purchase threshold [definitions]. FAR 13.201 General [actions at or below the micro-purchase threshold]. </v>
      </c>
      <c r="H127" s="33"/>
      <c r="I127" s="34" t="s">
        <v>673</v>
      </c>
      <c r="J127" s="37" t="s">
        <v>268</v>
      </c>
      <c r="K127" s="83" t="s">
        <v>1818</v>
      </c>
      <c r="L127" s="25" t="s">
        <v>1820</v>
      </c>
      <c r="M127" s="25" t="s">
        <v>1823</v>
      </c>
      <c r="N127" s="41" t="s">
        <v>1079</v>
      </c>
      <c r="O127" s="64"/>
      <c r="P127" s="45" t="b">
        <f t="shared" si="17"/>
        <v>0</v>
      </c>
      <c r="Q127" s="45">
        <f t="shared" si="18"/>
        <v>3</v>
      </c>
      <c r="R127" s="45">
        <f t="shared" si="19"/>
        <v>0</v>
      </c>
      <c r="S127" s="24"/>
      <c r="T127" s="24"/>
      <c r="U127" s="24"/>
      <c r="V127" s="24"/>
      <c r="W127" s="24"/>
      <c r="X127" s="24"/>
      <c r="Y127" s="24"/>
      <c r="Z127" s="24"/>
      <c r="AA127" s="24"/>
      <c r="AB127" s="24"/>
      <c r="AC127" s="24"/>
    </row>
    <row r="128" spans="1:29" ht="108.7">
      <c r="A128" s="25" t="s">
        <v>543</v>
      </c>
      <c r="B128" s="25" t="s">
        <v>544</v>
      </c>
      <c r="C128" s="26" t="s">
        <v>546</v>
      </c>
      <c r="D128" s="26" t="s">
        <v>1829</v>
      </c>
      <c r="E128" s="25" t="s">
        <v>1831</v>
      </c>
      <c r="F128" s="25" t="s">
        <v>1058</v>
      </c>
      <c r="G128" s="50" t="str">
        <f>HYPERLINK("https://www.acquisition.gov/content/2101-definitions#i1125359","FAR 2.101 Commercial item [definitions]. ")</f>
        <v xml:space="preserve">FAR 2.101 Commercial item [definitions]. </v>
      </c>
      <c r="H128" s="33"/>
      <c r="I128" s="34" t="s">
        <v>673</v>
      </c>
      <c r="J128" s="37" t="s">
        <v>268</v>
      </c>
      <c r="K128" s="83" t="s">
        <v>1832</v>
      </c>
      <c r="L128" s="25" t="s">
        <v>1833</v>
      </c>
      <c r="M128" s="25" t="s">
        <v>1834</v>
      </c>
      <c r="N128" s="41" t="s">
        <v>1079</v>
      </c>
      <c r="O128" s="64"/>
      <c r="P128" s="45" t="b">
        <f t="shared" si="17"/>
        <v>0</v>
      </c>
      <c r="Q128" s="45">
        <f t="shared" si="18"/>
        <v>3</v>
      </c>
      <c r="R128" s="45">
        <f t="shared" si="19"/>
        <v>0</v>
      </c>
      <c r="S128" s="24"/>
      <c r="T128" s="24"/>
      <c r="U128" s="24"/>
      <c r="V128" s="24"/>
      <c r="W128" s="24"/>
      <c r="X128" s="24"/>
      <c r="Y128" s="24"/>
      <c r="Z128" s="24"/>
      <c r="AA128" s="24"/>
      <c r="AB128" s="24"/>
      <c r="AC128" s="24"/>
    </row>
    <row r="129" spans="1:29" ht="108.7">
      <c r="A129" s="25" t="s">
        <v>543</v>
      </c>
      <c r="B129" s="25" t="s">
        <v>544</v>
      </c>
      <c r="C129" s="26" t="s">
        <v>546</v>
      </c>
      <c r="D129" s="26" t="s">
        <v>1836</v>
      </c>
      <c r="E129" s="25" t="s">
        <v>1837</v>
      </c>
      <c r="F129" s="25" t="s">
        <v>1058</v>
      </c>
      <c r="G129" s="50" t="str">
        <f t="shared" ref="G129:G130" si="30">HYPERLINK("https://www.acquisition.gov/content/part-13-simplified-acquisition-procedures#i1111258","FAR Subpart 13.5 Simplified procedures for certain commercial items")</f>
        <v>FAR Subpart 13.5 Simplified procedures for certain commercial items</v>
      </c>
      <c r="H129" s="33"/>
      <c r="I129" s="34" t="s">
        <v>693</v>
      </c>
      <c r="J129" s="37" t="s">
        <v>268</v>
      </c>
      <c r="K129" s="83" t="s">
        <v>1842</v>
      </c>
      <c r="L129" s="25" t="s">
        <v>1844</v>
      </c>
      <c r="M129" s="25" t="s">
        <v>1847</v>
      </c>
      <c r="N129" s="41" t="s">
        <v>1079</v>
      </c>
      <c r="O129" s="64"/>
      <c r="P129" s="45" t="b">
        <f t="shared" si="17"/>
        <v>0</v>
      </c>
      <c r="Q129" s="45">
        <f t="shared" si="18"/>
        <v>3</v>
      </c>
      <c r="R129" s="45">
        <f t="shared" si="19"/>
        <v>0</v>
      </c>
      <c r="S129" s="24"/>
      <c r="T129" s="24"/>
      <c r="U129" s="24"/>
      <c r="V129" s="24"/>
      <c r="W129" s="24"/>
      <c r="X129" s="24"/>
      <c r="Y129" s="24"/>
      <c r="Z129" s="24"/>
      <c r="AA129" s="24"/>
      <c r="AB129" s="24"/>
      <c r="AC129" s="24"/>
    </row>
    <row r="130" spans="1:29" ht="108.7">
      <c r="A130" s="25" t="s">
        <v>543</v>
      </c>
      <c r="B130" s="25" t="s">
        <v>544</v>
      </c>
      <c r="C130" s="26" t="s">
        <v>546</v>
      </c>
      <c r="D130" s="26" t="s">
        <v>1859</v>
      </c>
      <c r="E130" s="25" t="s">
        <v>1862</v>
      </c>
      <c r="F130" s="25" t="s">
        <v>685</v>
      </c>
      <c r="G130" s="50" t="str">
        <f t="shared" si="30"/>
        <v>FAR Subpart 13.5 Simplified procedures for certain commercial items</v>
      </c>
      <c r="H130" s="33"/>
      <c r="I130" s="34" t="s">
        <v>627</v>
      </c>
      <c r="J130" s="37" t="s">
        <v>268</v>
      </c>
      <c r="K130" s="83" t="s">
        <v>1866</v>
      </c>
      <c r="L130" s="25" t="s">
        <v>1868</v>
      </c>
      <c r="M130" s="25" t="s">
        <v>1869</v>
      </c>
      <c r="N130" s="92" t="s">
        <v>1870</v>
      </c>
      <c r="O130" s="64"/>
      <c r="P130" s="45" t="b">
        <f t="shared" si="17"/>
        <v>0</v>
      </c>
      <c r="Q130" s="45">
        <f t="shared" si="18"/>
        <v>3</v>
      </c>
      <c r="R130" s="45">
        <f t="shared" si="19"/>
        <v>0</v>
      </c>
      <c r="S130" s="24"/>
      <c r="T130" s="24"/>
      <c r="U130" s="24"/>
      <c r="V130" s="24"/>
      <c r="W130" s="24"/>
      <c r="X130" s="24"/>
      <c r="Y130" s="24"/>
      <c r="Z130" s="24"/>
      <c r="AA130" s="24"/>
      <c r="AB130" s="24"/>
      <c r="AC130" s="24"/>
    </row>
    <row r="131" spans="1:29" ht="108.7">
      <c r="A131" s="25" t="s">
        <v>543</v>
      </c>
      <c r="B131" s="25" t="s">
        <v>544</v>
      </c>
      <c r="C131" s="26" t="s">
        <v>546</v>
      </c>
      <c r="D131" s="26" t="s">
        <v>1883</v>
      </c>
      <c r="E131" s="25" t="s">
        <v>1884</v>
      </c>
      <c r="F131" s="25" t="s">
        <v>1779</v>
      </c>
      <c r="G131" s="50" t="str">
        <f>HYPERLINK("https://www.acquisition.gov/content/13105-synopsis-and-posting-requirements#i1112257","FAR 13.105 Synopsis and posting requirements [procedures].")</f>
        <v>FAR 13.105 Synopsis and posting requirements [procedures].</v>
      </c>
      <c r="H131" s="33"/>
      <c r="I131" s="34" t="s">
        <v>1889</v>
      </c>
      <c r="J131" s="37" t="s">
        <v>268</v>
      </c>
      <c r="K131" s="83" t="s">
        <v>1893</v>
      </c>
      <c r="L131" s="25" t="s">
        <v>1894</v>
      </c>
      <c r="M131" s="25" t="s">
        <v>1902</v>
      </c>
      <c r="N131" s="92" t="s">
        <v>1903</v>
      </c>
      <c r="O131" s="64"/>
      <c r="P131" s="45" t="b">
        <f t="shared" si="17"/>
        <v>0</v>
      </c>
      <c r="Q131" s="45">
        <f t="shared" si="18"/>
        <v>3</v>
      </c>
      <c r="R131" s="45">
        <f t="shared" si="19"/>
        <v>0</v>
      </c>
      <c r="S131" s="24"/>
      <c r="T131" s="24"/>
      <c r="U131" s="24"/>
      <c r="V131" s="24"/>
      <c r="W131" s="24"/>
      <c r="X131" s="24"/>
      <c r="Y131" s="24"/>
      <c r="Z131" s="24"/>
      <c r="AA131" s="24"/>
      <c r="AB131" s="24"/>
      <c r="AC131" s="24"/>
    </row>
    <row r="132" spans="1:29" ht="108.7">
      <c r="A132" s="25" t="s">
        <v>543</v>
      </c>
      <c r="B132" s="25" t="s">
        <v>544</v>
      </c>
      <c r="C132" s="26" t="s">
        <v>546</v>
      </c>
      <c r="D132" s="26" t="s">
        <v>1912</v>
      </c>
      <c r="E132" s="25" t="s">
        <v>1913</v>
      </c>
      <c r="F132" s="25" t="s">
        <v>1058</v>
      </c>
      <c r="G132" s="50" t="str">
        <f>HYPERLINK("https://www.acquisition.gov/content/2101-definitions#i1125359","FAR 2.101 Simplified acquisition threshold [definitions]. ")</f>
        <v xml:space="preserve">FAR 2.101 Simplified acquisition threshold [definitions]. </v>
      </c>
      <c r="H132" s="33"/>
      <c r="I132" s="34" t="s">
        <v>673</v>
      </c>
      <c r="J132" s="37" t="s">
        <v>268</v>
      </c>
      <c r="K132" s="83" t="s">
        <v>1924</v>
      </c>
      <c r="L132" s="25" t="s">
        <v>1925</v>
      </c>
      <c r="M132" s="25" t="s">
        <v>1926</v>
      </c>
      <c r="N132" s="41" t="s">
        <v>1079</v>
      </c>
      <c r="O132" s="64"/>
      <c r="P132" s="45" t="b">
        <f t="shared" si="17"/>
        <v>0</v>
      </c>
      <c r="Q132" s="45">
        <f t="shared" si="18"/>
        <v>3</v>
      </c>
      <c r="R132" s="45">
        <f t="shared" si="19"/>
        <v>0</v>
      </c>
      <c r="S132" s="24"/>
      <c r="T132" s="24"/>
      <c r="U132" s="24"/>
      <c r="V132" s="24"/>
      <c r="W132" s="24"/>
      <c r="X132" s="24"/>
      <c r="Y132" s="24"/>
      <c r="Z132" s="24"/>
      <c r="AA132" s="24"/>
      <c r="AB132" s="24"/>
      <c r="AC132" s="24"/>
    </row>
    <row r="133" spans="1:29" ht="108.7">
      <c r="A133" s="25" t="s">
        <v>543</v>
      </c>
      <c r="B133" s="25" t="s">
        <v>544</v>
      </c>
      <c r="C133" s="26" t="s">
        <v>546</v>
      </c>
      <c r="D133" s="26" t="s">
        <v>1931</v>
      </c>
      <c r="E133" s="25" t="s">
        <v>1933</v>
      </c>
      <c r="F133" s="25" t="s">
        <v>685</v>
      </c>
      <c r="G133" s="50" t="str">
        <f>HYPERLINK("https://www.acquisition.gov/content/13000-scope-part#id1617MA020J8","FAR 13.000 Scope of part [simplified acquisition procedures].")</f>
        <v>FAR 13.000 Scope of part [simplified acquisition procedures].</v>
      </c>
      <c r="H133" s="33"/>
      <c r="I133" s="34" t="s">
        <v>689</v>
      </c>
      <c r="J133" s="37" t="s">
        <v>268</v>
      </c>
      <c r="K133" s="83" t="s">
        <v>1941</v>
      </c>
      <c r="L133" s="25" t="s">
        <v>1943</v>
      </c>
      <c r="M133" s="25" t="s">
        <v>1869</v>
      </c>
      <c r="N133" s="92" t="s">
        <v>1870</v>
      </c>
      <c r="O133" s="64"/>
      <c r="P133" s="45" t="b">
        <f t="shared" si="17"/>
        <v>0</v>
      </c>
      <c r="Q133" s="45">
        <f t="shared" si="18"/>
        <v>3</v>
      </c>
      <c r="R133" s="45">
        <f t="shared" si="19"/>
        <v>0</v>
      </c>
      <c r="S133" s="24"/>
      <c r="T133" s="24"/>
      <c r="U133" s="24"/>
      <c r="V133" s="24"/>
      <c r="W133" s="24"/>
      <c r="X133" s="24"/>
      <c r="Y133" s="24"/>
      <c r="Z133" s="24"/>
      <c r="AA133" s="24"/>
      <c r="AB133" s="24"/>
      <c r="AC133" s="24"/>
    </row>
    <row r="134" spans="1:29" ht="108.7">
      <c r="A134" s="25" t="s">
        <v>543</v>
      </c>
      <c r="B134" s="25" t="s">
        <v>544</v>
      </c>
      <c r="C134" s="26" t="s">
        <v>546</v>
      </c>
      <c r="D134" s="26" t="s">
        <v>1947</v>
      </c>
      <c r="E134" s="25" t="s">
        <v>1948</v>
      </c>
      <c r="F134" s="25" t="s">
        <v>1058</v>
      </c>
      <c r="G134" s="50" t="str">
        <f>HYPERLINK("https://www.acquisition.gov/content/13003-policy","FAR 13.303-1 General [blanket purchase agreements (BPAs)]. FAR 13.303-7 Completion of BPAs. ")</f>
        <v xml:space="preserve">FAR 13.303-1 General [blanket purchase agreements (BPAs)]. FAR 13.303-7 Completion of BPAs. </v>
      </c>
      <c r="H134" s="33"/>
      <c r="I134" s="34" t="s">
        <v>689</v>
      </c>
      <c r="J134" s="37" t="s">
        <v>268</v>
      </c>
      <c r="K134" s="83" t="s">
        <v>1954</v>
      </c>
      <c r="L134" s="25" t="s">
        <v>1955</v>
      </c>
      <c r="M134" s="25" t="s">
        <v>1956</v>
      </c>
      <c r="N134" s="41" t="s">
        <v>1079</v>
      </c>
      <c r="O134" s="64"/>
      <c r="P134" s="45" t="b">
        <f t="shared" si="17"/>
        <v>0</v>
      </c>
      <c r="Q134" s="45">
        <f t="shared" si="18"/>
        <v>3</v>
      </c>
      <c r="R134" s="45">
        <f t="shared" si="19"/>
        <v>0</v>
      </c>
      <c r="S134" s="24"/>
      <c r="T134" s="24"/>
      <c r="U134" s="24"/>
      <c r="V134" s="24"/>
      <c r="W134" s="24"/>
      <c r="X134" s="24"/>
      <c r="Y134" s="24"/>
      <c r="Z134" s="24"/>
      <c r="AA134" s="24"/>
      <c r="AB134" s="24"/>
      <c r="AC134" s="24"/>
    </row>
    <row r="135" spans="1:29" ht="108.7">
      <c r="A135" s="25" t="s">
        <v>543</v>
      </c>
      <c r="B135" s="25" t="s">
        <v>544</v>
      </c>
      <c r="C135" s="26" t="s">
        <v>546</v>
      </c>
      <c r="D135" s="26" t="s">
        <v>1964</v>
      </c>
      <c r="E135" s="25" t="s">
        <v>1965</v>
      </c>
      <c r="F135" s="25" t="s">
        <v>1966</v>
      </c>
      <c r="G135" s="50" t="str">
        <f>HYPERLINK("https://www.acquisition.gov/content/13303-2-establishment-bpas","FAR 13.303-2 Establishment of BPAs. ")</f>
        <v xml:space="preserve">FAR 13.303-2 Establishment of BPAs. </v>
      </c>
      <c r="H135" s="33"/>
      <c r="I135" s="34" t="s">
        <v>689</v>
      </c>
      <c r="J135" s="37" t="s">
        <v>268</v>
      </c>
      <c r="K135" s="83" t="s">
        <v>1974</v>
      </c>
      <c r="L135" s="25" t="s">
        <v>1975</v>
      </c>
      <c r="M135" s="25" t="s">
        <v>1976</v>
      </c>
      <c r="N135" s="41" t="s">
        <v>1079</v>
      </c>
      <c r="O135" s="64"/>
      <c r="P135" s="45" t="b">
        <f t="shared" si="17"/>
        <v>0</v>
      </c>
      <c r="Q135" s="45">
        <f t="shared" si="18"/>
        <v>3</v>
      </c>
      <c r="R135" s="45">
        <f t="shared" si="19"/>
        <v>0</v>
      </c>
      <c r="S135" s="24"/>
      <c r="T135" s="24"/>
      <c r="U135" s="24"/>
      <c r="V135" s="24"/>
      <c r="W135" s="24"/>
      <c r="X135" s="24"/>
      <c r="Y135" s="24"/>
      <c r="Z135" s="24"/>
      <c r="AA135" s="24"/>
      <c r="AB135" s="24"/>
      <c r="AC135" s="24"/>
    </row>
    <row r="136" spans="1:29" ht="108.7">
      <c r="A136" s="25" t="s">
        <v>543</v>
      </c>
      <c r="B136" s="25" t="s">
        <v>544</v>
      </c>
      <c r="C136" s="26" t="s">
        <v>546</v>
      </c>
      <c r="D136" s="26" t="s">
        <v>1980</v>
      </c>
      <c r="E136" s="25" t="s">
        <v>1981</v>
      </c>
      <c r="F136" s="25" t="s">
        <v>1982</v>
      </c>
      <c r="G136" s="50" t="str">
        <f>HYPERLINK("https://www.acquisition.gov/content/6401-sealed-bidding-and-competitive-proposals#i1119378","FAR 6.401(a) Sealed bids (sealed bbidding and competitive proposals)")</f>
        <v>FAR 6.401(a) Sealed bids (sealed bbidding and competitive proposals)</v>
      </c>
      <c r="H136" s="88"/>
      <c r="I136" s="34" t="s">
        <v>689</v>
      </c>
      <c r="J136" s="37" t="s">
        <v>268</v>
      </c>
      <c r="K136" s="83" t="s">
        <v>1984</v>
      </c>
      <c r="L136" s="25" t="s">
        <v>1985</v>
      </c>
      <c r="M136" s="25" t="s">
        <v>1986</v>
      </c>
      <c r="N136" s="41" t="s">
        <v>1079</v>
      </c>
      <c r="O136" s="64"/>
      <c r="P136" s="45" t="b">
        <f t="shared" si="17"/>
        <v>0</v>
      </c>
      <c r="Q136" s="45">
        <f t="shared" si="18"/>
        <v>3</v>
      </c>
      <c r="R136" s="45">
        <f t="shared" si="19"/>
        <v>0</v>
      </c>
      <c r="S136" s="24"/>
      <c r="T136" s="24"/>
      <c r="U136" s="24"/>
      <c r="V136" s="24"/>
      <c r="W136" s="24"/>
      <c r="X136" s="24"/>
      <c r="Y136" s="24"/>
      <c r="Z136" s="24"/>
      <c r="AA136" s="24"/>
      <c r="AB136" s="24"/>
      <c r="AC136" s="24"/>
    </row>
    <row r="137" spans="1:29" ht="108.7">
      <c r="A137" s="25" t="s">
        <v>543</v>
      </c>
      <c r="B137" s="25" t="s">
        <v>544</v>
      </c>
      <c r="C137" s="26" t="s">
        <v>546</v>
      </c>
      <c r="D137" s="26" t="s">
        <v>1992</v>
      </c>
      <c r="E137" s="25" t="s">
        <v>1993</v>
      </c>
      <c r="F137" s="25" t="s">
        <v>1994</v>
      </c>
      <c r="G137" s="50" t="str">
        <f>HYPERLINK("https://www.acquisition.gov/content/part-14-sealed-bidding#id1617MD00VJG","FAR 14.501 General [two-step sealed bidding]. FAR 14.502 Conditions for use [twostep sealed bidding].")</f>
        <v>FAR 14.501 General [two-step sealed bidding]. FAR 14.502 Conditions for use [twostep sealed bidding].</v>
      </c>
      <c r="H137" s="88"/>
      <c r="I137" s="34" t="s">
        <v>689</v>
      </c>
      <c r="J137" s="37" t="s">
        <v>268</v>
      </c>
      <c r="K137" s="83" t="s">
        <v>2001</v>
      </c>
      <c r="L137" s="25" t="s">
        <v>2002</v>
      </c>
      <c r="M137" s="25" t="s">
        <v>2003</v>
      </c>
      <c r="N137" s="41" t="s">
        <v>1079</v>
      </c>
      <c r="O137" s="64"/>
      <c r="P137" s="45" t="b">
        <f t="shared" si="17"/>
        <v>0</v>
      </c>
      <c r="Q137" s="45">
        <f t="shared" si="18"/>
        <v>3</v>
      </c>
      <c r="R137" s="45">
        <f t="shared" si="19"/>
        <v>0</v>
      </c>
      <c r="S137" s="24"/>
      <c r="T137" s="24"/>
      <c r="U137" s="24"/>
      <c r="V137" s="24"/>
      <c r="W137" s="24"/>
      <c r="X137" s="24"/>
      <c r="Y137" s="24"/>
      <c r="Z137" s="24"/>
      <c r="AA137" s="24"/>
      <c r="AB137" s="24"/>
      <c r="AC137" s="24"/>
    </row>
    <row r="138" spans="1:29" ht="108.7">
      <c r="A138" s="25" t="s">
        <v>543</v>
      </c>
      <c r="B138" s="25" t="s">
        <v>544</v>
      </c>
      <c r="C138" s="26" t="s">
        <v>546</v>
      </c>
      <c r="D138" s="26" t="s">
        <v>2012</v>
      </c>
      <c r="E138" s="25" t="s">
        <v>2013</v>
      </c>
      <c r="F138" s="25" t="s">
        <v>685</v>
      </c>
      <c r="G138" s="50" t="str">
        <f>HYPERLINK("https://www.acquisition.gov/content/16504-indefinite-quantity-contracts#i1103941","FAR 16.504 Indefinite-quantity contracts [indefinite-delivery contracts].")</f>
        <v>FAR 16.504 Indefinite-quantity contracts [indefinite-delivery contracts].</v>
      </c>
      <c r="H138" s="33"/>
      <c r="I138" s="34" t="s">
        <v>689</v>
      </c>
      <c r="J138" s="37" t="s">
        <v>268</v>
      </c>
      <c r="K138" s="83" t="s">
        <v>2018</v>
      </c>
      <c r="L138" s="25" t="s">
        <v>2019</v>
      </c>
      <c r="M138" s="25" t="s">
        <v>2020</v>
      </c>
      <c r="N138" s="41" t="s">
        <v>1079</v>
      </c>
      <c r="O138" s="64"/>
      <c r="P138" s="45" t="b">
        <f t="shared" si="17"/>
        <v>0</v>
      </c>
      <c r="Q138" s="45">
        <f t="shared" si="18"/>
        <v>3</v>
      </c>
      <c r="R138" s="45">
        <f t="shared" si="19"/>
        <v>0</v>
      </c>
      <c r="S138" s="24"/>
      <c r="T138" s="24"/>
      <c r="U138" s="24"/>
      <c r="V138" s="24"/>
      <c r="W138" s="24"/>
      <c r="X138" s="24"/>
      <c r="Y138" s="24"/>
      <c r="Z138" s="24"/>
      <c r="AA138" s="24"/>
      <c r="AB138" s="24"/>
      <c r="AC138" s="24"/>
    </row>
    <row r="139" spans="1:29" ht="108.7">
      <c r="A139" s="25" t="s">
        <v>543</v>
      </c>
      <c r="B139" s="25" t="s">
        <v>544</v>
      </c>
      <c r="C139" s="26" t="s">
        <v>546</v>
      </c>
      <c r="D139" s="26" t="s">
        <v>2027</v>
      </c>
      <c r="E139" s="25" t="s">
        <v>2029</v>
      </c>
      <c r="F139" s="25" t="s">
        <v>2030</v>
      </c>
      <c r="G139" s="50" t="str">
        <f>HYPERLINK("https://www.acquisition.gov/content/16504-indefinite-quantity-contracts#i1103941","FAR 16.504(c) Multiple-award preference [indefinite-quantity contracts]. ")</f>
        <v xml:space="preserve">FAR 16.504(c) Multiple-award preference [indefinite-quantity contracts]. </v>
      </c>
      <c r="H139" s="33"/>
      <c r="I139" s="34" t="s">
        <v>689</v>
      </c>
      <c r="J139" s="37" t="s">
        <v>268</v>
      </c>
      <c r="K139" s="83" t="s">
        <v>2041</v>
      </c>
      <c r="L139" s="25" t="s">
        <v>2042</v>
      </c>
      <c r="M139" s="25" t="s">
        <v>2043</v>
      </c>
      <c r="N139" s="41" t="s">
        <v>1079</v>
      </c>
      <c r="O139" s="64"/>
      <c r="P139" s="45" t="b">
        <f t="shared" si="17"/>
        <v>0</v>
      </c>
      <c r="Q139" s="45">
        <f t="shared" si="18"/>
        <v>3</v>
      </c>
      <c r="R139" s="45">
        <f t="shared" si="19"/>
        <v>0</v>
      </c>
      <c r="S139" s="24"/>
      <c r="T139" s="24"/>
      <c r="U139" s="24"/>
      <c r="V139" s="24"/>
      <c r="W139" s="24"/>
      <c r="X139" s="24"/>
      <c r="Y139" s="24"/>
      <c r="Z139" s="24"/>
      <c r="AA139" s="24"/>
      <c r="AB139" s="24"/>
      <c r="AC139" s="24"/>
    </row>
    <row r="140" spans="1:29" ht="108.7">
      <c r="A140" s="25" t="s">
        <v>543</v>
      </c>
      <c r="B140" s="25" t="s">
        <v>544</v>
      </c>
      <c r="C140" s="26" t="s">
        <v>546</v>
      </c>
      <c r="D140" s="26" t="s">
        <v>2048</v>
      </c>
      <c r="E140" s="25" t="s">
        <v>2049</v>
      </c>
      <c r="F140" s="25" t="s">
        <v>2050</v>
      </c>
      <c r="G140" s="50" t="str">
        <f>HYPERLINK("https://www.acquisition.gov/content/16504-indefinite-quantity-contracts#i1103941","FAR 16.504(c)(1)(ii)(C) Planning the acquisition [multiple-award preference]. ")</f>
        <v xml:space="preserve">FAR 16.504(c)(1)(ii)(C) Planning the acquisition [multiple-award preference]. </v>
      </c>
      <c r="H140" s="33"/>
      <c r="I140" s="34" t="s">
        <v>689</v>
      </c>
      <c r="J140" s="37" t="s">
        <v>268</v>
      </c>
      <c r="K140" s="83" t="s">
        <v>2058</v>
      </c>
      <c r="L140" s="25" t="s">
        <v>2059</v>
      </c>
      <c r="M140" s="25" t="s">
        <v>2060</v>
      </c>
      <c r="N140" s="41" t="s">
        <v>2061</v>
      </c>
      <c r="O140" s="64"/>
      <c r="P140" s="45" t="b">
        <f t="shared" si="17"/>
        <v>0</v>
      </c>
      <c r="Q140" s="45">
        <f t="shared" si="18"/>
        <v>3</v>
      </c>
      <c r="R140" s="45">
        <f t="shared" si="19"/>
        <v>0</v>
      </c>
      <c r="S140" s="24"/>
      <c r="T140" s="24"/>
      <c r="U140" s="24"/>
      <c r="V140" s="24"/>
      <c r="W140" s="24"/>
      <c r="X140" s="24"/>
      <c r="Y140" s="24"/>
      <c r="Z140" s="24"/>
      <c r="AA140" s="24"/>
      <c r="AB140" s="24"/>
      <c r="AC140" s="24"/>
    </row>
    <row r="141" spans="1:29" ht="108.7">
      <c r="A141" s="25" t="s">
        <v>543</v>
      </c>
      <c r="B141" s="25" t="s">
        <v>544</v>
      </c>
      <c r="C141" s="26" t="s">
        <v>546</v>
      </c>
      <c r="D141" s="26" t="s">
        <v>2069</v>
      </c>
      <c r="E141" s="25" t="s">
        <v>2070</v>
      </c>
      <c r="F141" s="25" t="s">
        <v>2071</v>
      </c>
      <c r="G141" s="50" t="str">
        <f>HYPERLINK("https://www.acquisition.gov/content/16505-ordering","FAR 16.505(a)(2) General [ordering].")</f>
        <v>FAR 16.505(a)(2) General [ordering].</v>
      </c>
      <c r="H141" s="80" t="str">
        <f>HYPERLINK("https://www.acquisition.gov/sites/default/files/current/gsam/html/Part516.html#wp1859966","GSAM 516.505")</f>
        <v>GSAM 516.505</v>
      </c>
      <c r="I141" s="34" t="s">
        <v>593</v>
      </c>
      <c r="J141" s="37" t="s">
        <v>268</v>
      </c>
      <c r="K141" s="83" t="s">
        <v>2079</v>
      </c>
      <c r="L141" s="25" t="s">
        <v>2080</v>
      </c>
      <c r="M141" s="25" t="s">
        <v>2081</v>
      </c>
      <c r="N141" s="41" t="s">
        <v>1079</v>
      </c>
      <c r="O141" s="64"/>
      <c r="P141" s="45" t="b">
        <f t="shared" si="17"/>
        <v>0</v>
      </c>
      <c r="Q141" s="45">
        <f t="shared" si="18"/>
        <v>3</v>
      </c>
      <c r="R141" s="45">
        <f t="shared" si="19"/>
        <v>0</v>
      </c>
      <c r="S141" s="24"/>
      <c r="T141" s="24"/>
      <c r="U141" s="24"/>
      <c r="V141" s="24"/>
      <c r="W141" s="24"/>
      <c r="X141" s="24"/>
      <c r="Y141" s="24"/>
      <c r="Z141" s="24"/>
      <c r="AA141" s="24"/>
      <c r="AB141" s="24"/>
      <c r="AC141" s="24"/>
    </row>
    <row r="142" spans="1:29" ht="108.7">
      <c r="A142" s="25" t="s">
        <v>543</v>
      </c>
      <c r="B142" s="25" t="s">
        <v>544</v>
      </c>
      <c r="C142" s="26" t="s">
        <v>546</v>
      </c>
      <c r="D142" s="26" t="s">
        <v>2086</v>
      </c>
      <c r="E142" s="25" t="s">
        <v>2087</v>
      </c>
      <c r="F142" s="25" t="s">
        <v>685</v>
      </c>
      <c r="G142" s="50" t="str">
        <f>HYPERLINK("https://www.acquisition.gov/browse/index/far","FAR 6.401 Sealed bidding and competitive proposals [competition requirements]. FAR 13.500 General [simplified procedures for certain commercial items]. FAR Part 15 Contracting by negotiation.")</f>
        <v>FAR 6.401 Sealed bidding and competitive proposals [competition requirements]. FAR 13.500 General [simplified procedures for certain commercial items]. FAR Part 15 Contracting by negotiation.</v>
      </c>
      <c r="H142" s="33"/>
      <c r="I142" s="34" t="s">
        <v>593</v>
      </c>
      <c r="J142" s="37" t="s">
        <v>268</v>
      </c>
      <c r="K142" s="83" t="s">
        <v>2090</v>
      </c>
      <c r="L142" s="25" t="s">
        <v>2059</v>
      </c>
      <c r="M142" s="25" t="s">
        <v>2060</v>
      </c>
      <c r="N142" s="41" t="s">
        <v>2061</v>
      </c>
      <c r="O142" s="64"/>
      <c r="P142" s="45" t="b">
        <f t="shared" si="17"/>
        <v>0</v>
      </c>
      <c r="Q142" s="45">
        <f t="shared" si="18"/>
        <v>3</v>
      </c>
      <c r="R142" s="45">
        <f t="shared" si="19"/>
        <v>0</v>
      </c>
      <c r="S142" s="24"/>
      <c r="T142" s="24"/>
      <c r="U142" s="24"/>
      <c r="V142" s="24"/>
      <c r="W142" s="24"/>
      <c r="X142" s="24"/>
      <c r="Y142" s="24"/>
      <c r="Z142" s="24"/>
      <c r="AA142" s="24"/>
      <c r="AB142" s="24"/>
      <c r="AC142" s="24"/>
    </row>
    <row r="143" spans="1:29" ht="4.5999999999999996" customHeight="1">
      <c r="A143" s="55"/>
      <c r="B143" s="55"/>
      <c r="C143" s="56"/>
      <c r="D143" s="56"/>
      <c r="E143" s="55"/>
      <c r="F143" s="55"/>
      <c r="G143" s="59"/>
      <c r="H143" s="60"/>
      <c r="I143" s="61"/>
      <c r="J143" s="60"/>
      <c r="K143" s="60"/>
      <c r="L143" s="63"/>
      <c r="M143" s="63"/>
      <c r="N143" s="63"/>
      <c r="O143" s="24"/>
      <c r="P143" s="114"/>
      <c r="Q143" s="24"/>
      <c r="R143" s="24"/>
      <c r="S143" s="24"/>
      <c r="T143" s="24"/>
      <c r="U143" s="24"/>
      <c r="V143" s="24"/>
      <c r="W143" s="24"/>
      <c r="X143" s="24"/>
      <c r="Y143" s="24"/>
      <c r="Z143" s="24"/>
      <c r="AA143" s="24"/>
      <c r="AB143" s="24"/>
      <c r="AC143" s="24"/>
    </row>
    <row r="144" spans="1:29" ht="15.65">
      <c r="I144" s="115"/>
      <c r="Q144" s="16"/>
      <c r="R144" s="116">
        <f>SUM(R3:R142)</f>
        <v>0</v>
      </c>
    </row>
    <row r="145" spans="1:29" ht="16.3">
      <c r="A145" s="70"/>
      <c r="B145" s="24"/>
      <c r="C145" s="24"/>
      <c r="D145" s="24"/>
      <c r="E145" s="24"/>
      <c r="F145" s="24"/>
      <c r="G145" s="117"/>
      <c r="H145" s="117"/>
      <c r="I145" s="118"/>
      <c r="J145" s="119"/>
      <c r="K145" s="119"/>
      <c r="L145" s="24"/>
      <c r="M145" s="24"/>
      <c r="N145" s="24"/>
      <c r="O145" s="24"/>
      <c r="P145" s="114"/>
      <c r="Q145" s="24"/>
      <c r="R145" s="24"/>
      <c r="S145" s="24"/>
      <c r="T145" s="24"/>
      <c r="U145" s="24"/>
      <c r="V145" s="24"/>
      <c r="W145" s="24"/>
      <c r="X145" s="24"/>
      <c r="Y145" s="24"/>
      <c r="Z145" s="24"/>
      <c r="AA145" s="24"/>
      <c r="AB145" s="24"/>
      <c r="AC145" s="24"/>
    </row>
    <row r="146" spans="1:29" ht="16.3">
      <c r="A146" s="70"/>
      <c r="B146" s="24"/>
      <c r="C146" s="24"/>
      <c r="D146" s="24"/>
      <c r="E146" s="24"/>
      <c r="F146" s="24"/>
      <c r="G146" s="117"/>
      <c r="H146" s="117"/>
      <c r="I146" s="118"/>
      <c r="J146" s="119"/>
      <c r="K146" s="119"/>
      <c r="L146" s="24"/>
      <c r="M146" s="24"/>
      <c r="N146" s="24"/>
      <c r="O146" s="24"/>
      <c r="P146" s="114"/>
      <c r="Q146" s="24"/>
      <c r="R146" s="24"/>
      <c r="S146" s="24"/>
      <c r="T146" s="24"/>
      <c r="U146" s="24"/>
      <c r="V146" s="24"/>
      <c r="W146" s="24"/>
      <c r="X146" s="24"/>
      <c r="Y146" s="24"/>
      <c r="Z146" s="24"/>
      <c r="AA146" s="24"/>
      <c r="AB146" s="24"/>
      <c r="AC146" s="24"/>
    </row>
    <row r="147" spans="1:29" ht="16.3">
      <c r="A147" s="24"/>
      <c r="B147" s="24"/>
      <c r="C147" s="24"/>
      <c r="D147" s="24"/>
      <c r="E147" s="24"/>
      <c r="F147" s="24"/>
      <c r="G147" s="117"/>
      <c r="H147" s="117"/>
      <c r="I147" s="118"/>
      <c r="J147" s="119"/>
      <c r="K147" s="119"/>
      <c r="L147" s="24"/>
      <c r="M147" s="24"/>
      <c r="N147" s="24"/>
      <c r="O147" s="24"/>
      <c r="P147" s="114"/>
      <c r="Q147" s="24"/>
      <c r="R147" s="24"/>
      <c r="S147" s="24"/>
      <c r="T147" s="24"/>
      <c r="U147" s="24"/>
      <c r="V147" s="24"/>
      <c r="W147" s="24"/>
      <c r="X147" s="24"/>
      <c r="Y147" s="24"/>
      <c r="Z147" s="24"/>
      <c r="AA147" s="24"/>
      <c r="AB147" s="24"/>
      <c r="AC147" s="24"/>
    </row>
    <row r="148" spans="1:29" ht="16.3">
      <c r="A148" s="24"/>
      <c r="B148" s="24"/>
      <c r="C148" s="24"/>
      <c r="D148" s="24"/>
      <c r="E148" s="24"/>
      <c r="F148" s="24"/>
      <c r="G148" s="117"/>
      <c r="H148" s="117"/>
      <c r="I148" s="118"/>
      <c r="J148" s="119"/>
      <c r="K148" s="119"/>
      <c r="L148" s="24"/>
      <c r="M148" s="24"/>
      <c r="N148" s="24"/>
      <c r="O148" s="24"/>
      <c r="P148" s="114"/>
      <c r="Q148" s="24"/>
      <c r="R148" s="24"/>
      <c r="S148" s="24"/>
      <c r="T148" s="24"/>
      <c r="U148" s="24"/>
      <c r="V148" s="24"/>
      <c r="W148" s="24"/>
      <c r="X148" s="24"/>
      <c r="Y148" s="24"/>
      <c r="Z148" s="24"/>
      <c r="AA148" s="24"/>
      <c r="AB148" s="24"/>
      <c r="AC148" s="24"/>
    </row>
    <row r="149" spans="1:29" ht="16.3">
      <c r="A149" s="24"/>
      <c r="B149" s="24"/>
      <c r="C149" s="24"/>
      <c r="D149" s="24"/>
      <c r="E149" s="24"/>
      <c r="F149" s="24"/>
      <c r="G149" s="117"/>
      <c r="H149" s="117"/>
      <c r="I149" s="118"/>
      <c r="J149" s="119"/>
      <c r="K149" s="119"/>
      <c r="L149" s="24"/>
      <c r="M149" s="24"/>
      <c r="N149" s="24"/>
      <c r="O149" s="24"/>
      <c r="P149" s="114"/>
      <c r="Q149" s="24"/>
      <c r="R149" s="24"/>
      <c r="S149" s="24"/>
      <c r="T149" s="24"/>
      <c r="U149" s="24"/>
      <c r="V149" s="24"/>
      <c r="W149" s="24"/>
      <c r="X149" s="24"/>
      <c r="Y149" s="24"/>
      <c r="Z149" s="24"/>
      <c r="AA149" s="24"/>
      <c r="AB149" s="24"/>
      <c r="AC149" s="24"/>
    </row>
    <row r="150" spans="1:29" ht="16.3">
      <c r="A150" s="24"/>
      <c r="B150" s="24"/>
      <c r="C150" s="24"/>
      <c r="D150" s="24"/>
      <c r="E150" s="24"/>
      <c r="F150" s="24"/>
      <c r="G150" s="117"/>
      <c r="H150" s="117"/>
      <c r="I150" s="118"/>
      <c r="J150" s="119"/>
      <c r="K150" s="119"/>
      <c r="L150" s="24"/>
      <c r="M150" s="24"/>
      <c r="N150" s="24"/>
      <c r="O150" s="24"/>
      <c r="P150" s="114"/>
      <c r="Q150" s="24"/>
      <c r="R150" s="24"/>
      <c r="S150" s="24"/>
      <c r="T150" s="24"/>
      <c r="U150" s="24"/>
      <c r="V150" s="24"/>
      <c r="W150" s="24"/>
      <c r="X150" s="24"/>
      <c r="Y150" s="24"/>
      <c r="Z150" s="24"/>
      <c r="AA150" s="24"/>
      <c r="AB150" s="24"/>
      <c r="AC150" s="24"/>
    </row>
    <row r="151" spans="1:29" ht="16.3">
      <c r="A151" s="24"/>
      <c r="B151" s="24"/>
      <c r="C151" s="24"/>
      <c r="D151" s="24"/>
      <c r="E151" s="24"/>
      <c r="F151" s="24"/>
      <c r="G151" s="117"/>
      <c r="H151" s="117"/>
      <c r="I151" s="118"/>
      <c r="J151" s="119"/>
      <c r="K151" s="119"/>
      <c r="L151" s="24"/>
      <c r="M151" s="24"/>
      <c r="N151" s="24"/>
      <c r="O151" s="24"/>
      <c r="P151" s="114"/>
      <c r="Q151" s="24"/>
      <c r="R151" s="24"/>
      <c r="S151" s="24"/>
      <c r="T151" s="24"/>
      <c r="U151" s="24"/>
      <c r="V151" s="24"/>
      <c r="W151" s="24"/>
      <c r="X151" s="24"/>
      <c r="Y151" s="24"/>
      <c r="Z151" s="24"/>
      <c r="AA151" s="24"/>
      <c r="AB151" s="24"/>
      <c r="AC151" s="24"/>
    </row>
    <row r="152" spans="1:29" ht="16.3">
      <c r="A152" s="24"/>
      <c r="B152" s="24"/>
      <c r="C152" s="24"/>
      <c r="D152" s="24"/>
      <c r="E152" s="24"/>
      <c r="F152" s="24"/>
      <c r="G152" s="117"/>
      <c r="H152" s="117"/>
      <c r="I152" s="118"/>
      <c r="J152" s="119"/>
      <c r="K152" s="119"/>
      <c r="L152" s="24"/>
      <c r="M152" s="24"/>
      <c r="N152" s="24"/>
      <c r="O152" s="24"/>
      <c r="P152" s="114"/>
      <c r="Q152" s="24"/>
      <c r="R152" s="24"/>
      <c r="S152" s="24"/>
      <c r="T152" s="24"/>
      <c r="U152" s="24"/>
      <c r="V152" s="24"/>
      <c r="W152" s="24"/>
      <c r="X152" s="24"/>
      <c r="Y152" s="24"/>
      <c r="Z152" s="24"/>
      <c r="AA152" s="24"/>
      <c r="AB152" s="24"/>
      <c r="AC152" s="24"/>
    </row>
    <row r="153" spans="1:29" ht="16.3">
      <c r="A153" s="24"/>
      <c r="B153" s="24"/>
      <c r="C153" s="24"/>
      <c r="D153" s="24"/>
      <c r="E153" s="24"/>
      <c r="F153" s="24"/>
      <c r="G153" s="117"/>
      <c r="H153" s="117"/>
      <c r="I153" s="118"/>
      <c r="J153" s="119"/>
      <c r="K153" s="119"/>
      <c r="L153" s="24"/>
      <c r="M153" s="24"/>
      <c r="N153" s="24"/>
      <c r="O153" s="24"/>
      <c r="P153" s="114"/>
      <c r="Q153" s="24"/>
      <c r="R153" s="24"/>
      <c r="S153" s="24"/>
      <c r="T153" s="24"/>
      <c r="U153" s="24"/>
      <c r="V153" s="24"/>
      <c r="W153" s="24"/>
      <c r="X153" s="24"/>
      <c r="Y153" s="24"/>
      <c r="Z153" s="24"/>
      <c r="AA153" s="24"/>
      <c r="AB153" s="24"/>
      <c r="AC153" s="24"/>
    </row>
    <row r="154" spans="1:29" ht="16.3">
      <c r="A154" s="24"/>
      <c r="B154" s="24"/>
      <c r="C154" s="24"/>
      <c r="D154" s="24"/>
      <c r="E154" s="24"/>
      <c r="F154" s="24"/>
      <c r="G154" s="117"/>
      <c r="H154" s="117"/>
      <c r="I154" s="118"/>
      <c r="J154" s="119"/>
      <c r="K154" s="119"/>
      <c r="L154" s="24"/>
      <c r="M154" s="24"/>
      <c r="N154" s="24"/>
      <c r="O154" s="24"/>
      <c r="P154" s="114"/>
      <c r="Q154" s="24"/>
      <c r="R154" s="24"/>
      <c r="S154" s="24"/>
      <c r="T154" s="24"/>
      <c r="U154" s="24"/>
      <c r="V154" s="24"/>
      <c r="W154" s="24"/>
      <c r="X154" s="24"/>
      <c r="Y154" s="24"/>
      <c r="Z154" s="24"/>
      <c r="AA154" s="24"/>
      <c r="AB154" s="24"/>
      <c r="AC154" s="24"/>
    </row>
    <row r="155" spans="1:29" ht="16.3">
      <c r="A155" s="24"/>
      <c r="B155" s="24"/>
      <c r="C155" s="24"/>
      <c r="D155" s="24"/>
      <c r="E155" s="24"/>
      <c r="F155" s="24"/>
      <c r="G155" s="117"/>
      <c r="H155" s="117"/>
      <c r="I155" s="118"/>
      <c r="J155" s="119"/>
      <c r="K155" s="119"/>
      <c r="L155" s="24"/>
      <c r="M155" s="24"/>
      <c r="N155" s="24"/>
      <c r="O155" s="24"/>
      <c r="P155" s="114"/>
      <c r="Q155" s="24"/>
      <c r="R155" s="24"/>
      <c r="S155" s="24"/>
      <c r="T155" s="24"/>
      <c r="U155" s="24"/>
      <c r="V155" s="24"/>
      <c r="W155" s="24"/>
      <c r="X155" s="24"/>
      <c r="Y155" s="24"/>
      <c r="Z155" s="24"/>
      <c r="AA155" s="24"/>
      <c r="AB155" s="24"/>
      <c r="AC155" s="24"/>
    </row>
    <row r="156" spans="1:29" ht="16.3">
      <c r="A156" s="24"/>
      <c r="B156" s="24"/>
      <c r="C156" s="24"/>
      <c r="D156" s="24"/>
      <c r="E156" s="24"/>
      <c r="F156" s="24"/>
      <c r="G156" s="117"/>
      <c r="H156" s="117"/>
      <c r="I156" s="118"/>
      <c r="J156" s="119"/>
      <c r="K156" s="119"/>
      <c r="L156" s="24"/>
      <c r="M156" s="24"/>
      <c r="N156" s="24"/>
      <c r="O156" s="24"/>
      <c r="P156" s="114"/>
      <c r="Q156" s="24"/>
      <c r="R156" s="24"/>
      <c r="S156" s="24"/>
      <c r="T156" s="24"/>
      <c r="U156" s="24"/>
      <c r="V156" s="24"/>
      <c r="W156" s="24"/>
      <c r="X156" s="24"/>
      <c r="Y156" s="24"/>
      <c r="Z156" s="24"/>
      <c r="AA156" s="24"/>
      <c r="AB156" s="24"/>
      <c r="AC156" s="24"/>
    </row>
    <row r="157" spans="1:29" ht="16.3">
      <c r="A157" s="24"/>
      <c r="B157" s="24"/>
      <c r="C157" s="24"/>
      <c r="D157" s="24"/>
      <c r="E157" s="24"/>
      <c r="F157" s="24"/>
      <c r="G157" s="117"/>
      <c r="H157" s="117"/>
      <c r="I157" s="118"/>
      <c r="J157" s="119"/>
      <c r="K157" s="119"/>
      <c r="L157" s="24"/>
      <c r="M157" s="24"/>
      <c r="N157" s="24"/>
      <c r="O157" s="24"/>
      <c r="P157" s="114"/>
      <c r="Q157" s="24"/>
      <c r="R157" s="24"/>
      <c r="S157" s="24"/>
      <c r="T157" s="24"/>
      <c r="U157" s="24"/>
      <c r="V157" s="24"/>
      <c r="W157" s="24"/>
      <c r="X157" s="24"/>
      <c r="Y157" s="24"/>
      <c r="Z157" s="24"/>
      <c r="AA157" s="24"/>
      <c r="AB157" s="24"/>
      <c r="AC157" s="24"/>
    </row>
    <row r="158" spans="1:29" ht="16.3">
      <c r="A158" s="24"/>
      <c r="B158" s="24"/>
      <c r="C158" s="24"/>
      <c r="D158" s="24"/>
      <c r="E158" s="24"/>
      <c r="F158" s="24"/>
      <c r="G158" s="117"/>
      <c r="H158" s="117"/>
      <c r="I158" s="118"/>
      <c r="J158" s="119"/>
      <c r="K158" s="119"/>
      <c r="L158" s="24"/>
      <c r="M158" s="24"/>
      <c r="N158" s="24"/>
      <c r="O158" s="24"/>
      <c r="P158" s="114"/>
      <c r="Q158" s="24"/>
      <c r="R158" s="24"/>
      <c r="S158" s="24"/>
      <c r="T158" s="24"/>
      <c r="U158" s="24"/>
      <c r="V158" s="24"/>
      <c r="W158" s="24"/>
      <c r="X158" s="24"/>
      <c r="Y158" s="24"/>
      <c r="Z158" s="24"/>
      <c r="AA158" s="24"/>
      <c r="AB158" s="24"/>
      <c r="AC158" s="24"/>
    </row>
    <row r="159" spans="1:29" ht="16.3">
      <c r="A159" s="24"/>
      <c r="B159" s="24"/>
      <c r="C159" s="24"/>
      <c r="D159" s="24"/>
      <c r="E159" s="24"/>
      <c r="F159" s="24"/>
      <c r="G159" s="117"/>
      <c r="H159" s="117"/>
      <c r="I159" s="118"/>
      <c r="J159" s="119"/>
      <c r="K159" s="119"/>
      <c r="L159" s="24"/>
      <c r="M159" s="24"/>
      <c r="N159" s="24"/>
      <c r="O159" s="24"/>
      <c r="P159" s="114"/>
      <c r="Q159" s="24"/>
      <c r="R159" s="24"/>
      <c r="S159" s="24"/>
      <c r="T159" s="24"/>
      <c r="U159" s="24"/>
      <c r="V159" s="24"/>
      <c r="W159" s="24"/>
      <c r="X159" s="24"/>
      <c r="Y159" s="24"/>
      <c r="Z159" s="24"/>
      <c r="AA159" s="24"/>
      <c r="AB159" s="24"/>
      <c r="AC159" s="24"/>
    </row>
    <row r="160" spans="1:29" ht="16.3">
      <c r="A160" s="24"/>
      <c r="B160" s="24"/>
      <c r="C160" s="24"/>
      <c r="D160" s="24"/>
      <c r="E160" s="24"/>
      <c r="F160" s="24"/>
      <c r="G160" s="117"/>
      <c r="H160" s="117"/>
      <c r="I160" s="118"/>
      <c r="J160" s="119"/>
      <c r="K160" s="119"/>
      <c r="L160" s="24"/>
      <c r="M160" s="24"/>
      <c r="N160" s="24"/>
      <c r="O160" s="24"/>
      <c r="P160" s="114"/>
      <c r="Q160" s="24"/>
      <c r="R160" s="24"/>
      <c r="S160" s="24"/>
      <c r="T160" s="24"/>
      <c r="U160" s="24"/>
      <c r="V160" s="24"/>
      <c r="W160" s="24"/>
      <c r="X160" s="24"/>
      <c r="Y160" s="24"/>
      <c r="Z160" s="24"/>
      <c r="AA160" s="24"/>
      <c r="AB160" s="24"/>
      <c r="AC160" s="24"/>
    </row>
    <row r="161" spans="1:29" ht="16.3">
      <c r="A161" s="24"/>
      <c r="B161" s="24"/>
      <c r="C161" s="24"/>
      <c r="D161" s="24"/>
      <c r="E161" s="24"/>
      <c r="F161" s="24"/>
      <c r="G161" s="117"/>
      <c r="H161" s="117"/>
      <c r="I161" s="118"/>
      <c r="J161" s="119"/>
      <c r="K161" s="119"/>
      <c r="L161" s="24"/>
      <c r="M161" s="24"/>
      <c r="N161" s="24"/>
      <c r="O161" s="24"/>
      <c r="P161" s="114"/>
      <c r="Q161" s="24"/>
      <c r="R161" s="24"/>
      <c r="S161" s="24"/>
      <c r="T161" s="24"/>
      <c r="U161" s="24"/>
      <c r="V161" s="24"/>
      <c r="W161" s="24"/>
      <c r="X161" s="24"/>
      <c r="Y161" s="24"/>
      <c r="Z161" s="24"/>
      <c r="AA161" s="24"/>
      <c r="AB161" s="24"/>
      <c r="AC161" s="24"/>
    </row>
    <row r="162" spans="1:29" ht="16.3">
      <c r="A162" s="24"/>
      <c r="B162" s="24"/>
      <c r="C162" s="24"/>
      <c r="D162" s="24"/>
      <c r="E162" s="24"/>
      <c r="F162" s="24"/>
      <c r="G162" s="117"/>
      <c r="H162" s="117"/>
      <c r="I162" s="118"/>
      <c r="J162" s="119"/>
      <c r="K162" s="119"/>
      <c r="L162" s="24"/>
      <c r="M162" s="24"/>
      <c r="N162" s="24"/>
      <c r="O162" s="24"/>
      <c r="P162" s="114"/>
      <c r="Q162" s="24"/>
      <c r="R162" s="24"/>
      <c r="S162" s="24"/>
      <c r="T162" s="24"/>
      <c r="U162" s="24"/>
      <c r="V162" s="24"/>
      <c r="W162" s="24"/>
      <c r="X162" s="24"/>
      <c r="Y162" s="24"/>
      <c r="Z162" s="24"/>
      <c r="AA162" s="24"/>
      <c r="AB162" s="24"/>
      <c r="AC162" s="24"/>
    </row>
    <row r="163" spans="1:29" ht="16.3">
      <c r="A163" s="24"/>
      <c r="B163" s="24"/>
      <c r="C163" s="24"/>
      <c r="D163" s="24"/>
      <c r="E163" s="24"/>
      <c r="F163" s="24"/>
      <c r="G163" s="117"/>
      <c r="H163" s="117"/>
      <c r="I163" s="118"/>
      <c r="J163" s="119"/>
      <c r="K163" s="119"/>
      <c r="L163" s="24"/>
      <c r="M163" s="24"/>
      <c r="N163" s="24"/>
      <c r="O163" s="24"/>
      <c r="P163" s="114"/>
      <c r="Q163" s="24"/>
      <c r="R163" s="24"/>
      <c r="S163" s="24"/>
      <c r="T163" s="24"/>
      <c r="U163" s="24"/>
      <c r="V163" s="24"/>
      <c r="W163" s="24"/>
      <c r="X163" s="24"/>
      <c r="Y163" s="24"/>
      <c r="Z163" s="24"/>
      <c r="AA163" s="24"/>
      <c r="AB163" s="24"/>
      <c r="AC163" s="24"/>
    </row>
    <row r="164" spans="1:29" ht="16.3">
      <c r="A164" s="24"/>
      <c r="B164" s="24"/>
      <c r="C164" s="24"/>
      <c r="D164" s="24"/>
      <c r="E164" s="24"/>
      <c r="F164" s="24"/>
      <c r="G164" s="117"/>
      <c r="H164" s="117"/>
      <c r="I164" s="118"/>
      <c r="J164" s="119"/>
      <c r="K164" s="119"/>
      <c r="L164" s="24"/>
      <c r="M164" s="24"/>
      <c r="N164" s="24"/>
      <c r="O164" s="24"/>
      <c r="P164" s="114"/>
      <c r="Q164" s="24"/>
      <c r="R164" s="24"/>
      <c r="S164" s="24"/>
      <c r="T164" s="24"/>
      <c r="U164" s="24"/>
      <c r="V164" s="24"/>
      <c r="W164" s="24"/>
      <c r="X164" s="24"/>
      <c r="Y164" s="24"/>
      <c r="Z164" s="24"/>
      <c r="AA164" s="24"/>
      <c r="AB164" s="24"/>
      <c r="AC164" s="24"/>
    </row>
    <row r="165" spans="1:29" ht="16.3">
      <c r="A165" s="24"/>
      <c r="B165" s="24"/>
      <c r="C165" s="24"/>
      <c r="D165" s="24"/>
      <c r="E165" s="24"/>
      <c r="F165" s="24"/>
      <c r="G165" s="117"/>
      <c r="H165" s="117"/>
      <c r="I165" s="118"/>
      <c r="J165" s="119"/>
      <c r="K165" s="119"/>
      <c r="L165" s="24"/>
      <c r="M165" s="24"/>
      <c r="N165" s="24"/>
      <c r="O165" s="24"/>
      <c r="P165" s="114"/>
      <c r="Q165" s="24"/>
      <c r="R165" s="24"/>
      <c r="S165" s="24"/>
      <c r="T165" s="24"/>
      <c r="U165" s="24"/>
      <c r="V165" s="24"/>
      <c r="W165" s="24"/>
      <c r="X165" s="24"/>
      <c r="Y165" s="24"/>
      <c r="Z165" s="24"/>
      <c r="AA165" s="24"/>
      <c r="AB165" s="24"/>
      <c r="AC165" s="24"/>
    </row>
    <row r="166" spans="1:29" ht="16.3">
      <c r="A166" s="24"/>
      <c r="B166" s="24"/>
      <c r="C166" s="24"/>
      <c r="D166" s="24"/>
      <c r="E166" s="24"/>
      <c r="F166" s="24"/>
      <c r="G166" s="117"/>
      <c r="H166" s="117"/>
      <c r="I166" s="118"/>
      <c r="J166" s="119"/>
      <c r="K166" s="119"/>
      <c r="L166" s="24"/>
      <c r="M166" s="24"/>
      <c r="N166" s="24"/>
      <c r="O166" s="24"/>
      <c r="P166" s="114"/>
      <c r="Q166" s="24"/>
      <c r="R166" s="24"/>
      <c r="S166" s="24"/>
      <c r="T166" s="24"/>
      <c r="U166" s="24"/>
      <c r="V166" s="24"/>
      <c r="W166" s="24"/>
      <c r="X166" s="24"/>
      <c r="Y166" s="24"/>
      <c r="Z166" s="24"/>
      <c r="AA166" s="24"/>
      <c r="AB166" s="24"/>
      <c r="AC166" s="24"/>
    </row>
    <row r="167" spans="1:29" ht="16.3">
      <c r="A167" s="24"/>
      <c r="B167" s="24"/>
      <c r="C167" s="24"/>
      <c r="D167" s="24"/>
      <c r="E167" s="24"/>
      <c r="F167" s="24"/>
      <c r="G167" s="117"/>
      <c r="H167" s="117"/>
      <c r="I167" s="118"/>
      <c r="J167" s="119"/>
      <c r="K167" s="119"/>
      <c r="L167" s="24"/>
      <c r="M167" s="24"/>
      <c r="N167" s="24"/>
      <c r="O167" s="24"/>
      <c r="P167" s="114"/>
      <c r="Q167" s="24"/>
      <c r="R167" s="24"/>
      <c r="S167" s="24"/>
      <c r="T167" s="24"/>
      <c r="U167" s="24"/>
      <c r="V167" s="24"/>
      <c r="W167" s="24"/>
      <c r="X167" s="24"/>
      <c r="Y167" s="24"/>
      <c r="Z167" s="24"/>
      <c r="AA167" s="24"/>
      <c r="AB167" s="24"/>
      <c r="AC167" s="24"/>
    </row>
    <row r="168" spans="1:29" ht="16.3">
      <c r="A168" s="24"/>
      <c r="B168" s="24"/>
      <c r="C168" s="24"/>
      <c r="D168" s="24"/>
      <c r="E168" s="24"/>
      <c r="F168" s="24"/>
      <c r="G168" s="117"/>
      <c r="H168" s="117"/>
      <c r="I168" s="118"/>
      <c r="J168" s="119"/>
      <c r="K168" s="119"/>
      <c r="L168" s="24"/>
      <c r="M168" s="24"/>
      <c r="N168" s="24"/>
      <c r="O168" s="24"/>
      <c r="P168" s="114"/>
      <c r="Q168" s="24"/>
      <c r="R168" s="24"/>
      <c r="S168" s="24"/>
      <c r="T168" s="24"/>
      <c r="U168" s="24"/>
      <c r="V168" s="24"/>
      <c r="W168" s="24"/>
      <c r="X168" s="24"/>
      <c r="Y168" s="24"/>
      <c r="Z168" s="24"/>
      <c r="AA168" s="24"/>
      <c r="AB168" s="24"/>
      <c r="AC168" s="24"/>
    </row>
    <row r="169" spans="1:29" ht="16.3">
      <c r="A169" s="24"/>
      <c r="B169" s="24"/>
      <c r="C169" s="24"/>
      <c r="D169" s="24"/>
      <c r="E169" s="24"/>
      <c r="F169" s="24"/>
      <c r="G169" s="117"/>
      <c r="H169" s="117"/>
      <c r="I169" s="118"/>
      <c r="J169" s="119"/>
      <c r="K169" s="119"/>
      <c r="L169" s="24"/>
      <c r="M169" s="24"/>
      <c r="N169" s="24"/>
      <c r="O169" s="24"/>
      <c r="P169" s="114"/>
      <c r="Q169" s="24"/>
      <c r="R169" s="24"/>
      <c r="S169" s="24"/>
      <c r="T169" s="24"/>
      <c r="U169" s="24"/>
      <c r="V169" s="24"/>
      <c r="W169" s="24"/>
      <c r="X169" s="24"/>
      <c r="Y169" s="24"/>
      <c r="Z169" s="24"/>
      <c r="AA169" s="24"/>
      <c r="AB169" s="24"/>
      <c r="AC169" s="24"/>
    </row>
    <row r="170" spans="1:29" ht="16.3">
      <c r="A170" s="24"/>
      <c r="B170" s="24"/>
      <c r="C170" s="24"/>
      <c r="D170" s="24"/>
      <c r="E170" s="24"/>
      <c r="F170" s="24"/>
      <c r="G170" s="117"/>
      <c r="H170" s="117"/>
      <c r="I170" s="118"/>
      <c r="J170" s="119"/>
      <c r="K170" s="119"/>
      <c r="L170" s="24"/>
      <c r="M170" s="24"/>
      <c r="N170" s="24"/>
      <c r="O170" s="24"/>
      <c r="P170" s="114"/>
      <c r="Q170" s="24"/>
      <c r="R170" s="24"/>
      <c r="S170" s="24"/>
      <c r="T170" s="24"/>
      <c r="U170" s="24"/>
      <c r="V170" s="24"/>
      <c r="W170" s="24"/>
      <c r="X170" s="24"/>
      <c r="Y170" s="24"/>
      <c r="Z170" s="24"/>
      <c r="AA170" s="24"/>
      <c r="AB170" s="24"/>
      <c r="AC170" s="24"/>
    </row>
    <row r="171" spans="1:29" ht="16.3">
      <c r="A171" s="24"/>
      <c r="B171" s="24"/>
      <c r="C171" s="24"/>
      <c r="D171" s="24"/>
      <c r="E171" s="24"/>
      <c r="F171" s="24"/>
      <c r="G171" s="117"/>
      <c r="H171" s="117"/>
      <c r="I171" s="118"/>
      <c r="J171" s="119"/>
      <c r="K171" s="119"/>
      <c r="L171" s="24"/>
      <c r="M171" s="24"/>
      <c r="N171" s="24"/>
      <c r="O171" s="24"/>
      <c r="P171" s="114"/>
      <c r="Q171" s="24"/>
      <c r="R171" s="24"/>
      <c r="S171" s="24"/>
      <c r="T171" s="24"/>
      <c r="U171" s="24"/>
      <c r="V171" s="24"/>
      <c r="W171" s="24"/>
      <c r="X171" s="24"/>
      <c r="Y171" s="24"/>
      <c r="Z171" s="24"/>
      <c r="AA171" s="24"/>
      <c r="AB171" s="24"/>
      <c r="AC171" s="24"/>
    </row>
    <row r="172" spans="1:29" ht="16.3">
      <c r="A172" s="24"/>
      <c r="B172" s="24"/>
      <c r="C172" s="24"/>
      <c r="D172" s="24"/>
      <c r="E172" s="24"/>
      <c r="F172" s="24"/>
      <c r="G172" s="117"/>
      <c r="H172" s="117"/>
      <c r="I172" s="118"/>
      <c r="J172" s="119"/>
      <c r="K172" s="119"/>
      <c r="L172" s="24"/>
      <c r="M172" s="24"/>
      <c r="N172" s="24"/>
      <c r="O172" s="24"/>
      <c r="P172" s="114"/>
      <c r="Q172" s="24"/>
      <c r="R172" s="24"/>
      <c r="S172" s="24"/>
      <c r="T172" s="24"/>
      <c r="U172" s="24"/>
      <c r="V172" s="24"/>
      <c r="W172" s="24"/>
      <c r="X172" s="24"/>
      <c r="Y172" s="24"/>
      <c r="Z172" s="24"/>
      <c r="AA172" s="24"/>
      <c r="AB172" s="24"/>
      <c r="AC172" s="24"/>
    </row>
    <row r="173" spans="1:29" ht="16.3">
      <c r="A173" s="24"/>
      <c r="B173" s="24"/>
      <c r="C173" s="24"/>
      <c r="D173" s="24"/>
      <c r="E173" s="24"/>
      <c r="F173" s="24"/>
      <c r="G173" s="117"/>
      <c r="H173" s="117"/>
      <c r="I173" s="118"/>
      <c r="J173" s="119"/>
      <c r="K173" s="119"/>
      <c r="L173" s="24"/>
      <c r="M173" s="24"/>
      <c r="N173" s="24"/>
      <c r="O173" s="24"/>
      <c r="P173" s="114"/>
      <c r="Q173" s="24"/>
      <c r="R173" s="24"/>
      <c r="S173" s="24"/>
      <c r="T173" s="24"/>
      <c r="U173" s="24"/>
      <c r="V173" s="24"/>
      <c r="W173" s="24"/>
      <c r="X173" s="24"/>
      <c r="Y173" s="24"/>
      <c r="Z173" s="24"/>
      <c r="AA173" s="24"/>
      <c r="AB173" s="24"/>
      <c r="AC173" s="24"/>
    </row>
    <row r="174" spans="1:29" ht="16.3">
      <c r="A174" s="24"/>
      <c r="B174" s="24"/>
      <c r="C174" s="24"/>
      <c r="D174" s="24"/>
      <c r="E174" s="24"/>
      <c r="F174" s="24"/>
      <c r="G174" s="117"/>
      <c r="H174" s="117"/>
      <c r="I174" s="118"/>
      <c r="J174" s="119"/>
      <c r="K174" s="119"/>
      <c r="L174" s="24"/>
      <c r="M174" s="24"/>
      <c r="N174" s="24"/>
      <c r="O174" s="24"/>
      <c r="P174" s="114"/>
      <c r="Q174" s="24"/>
      <c r="R174" s="24"/>
      <c r="S174" s="24"/>
      <c r="T174" s="24"/>
      <c r="U174" s="24"/>
      <c r="V174" s="24"/>
      <c r="W174" s="24"/>
      <c r="X174" s="24"/>
      <c r="Y174" s="24"/>
      <c r="Z174" s="24"/>
      <c r="AA174" s="24"/>
      <c r="AB174" s="24"/>
      <c r="AC174" s="24"/>
    </row>
    <row r="175" spans="1:29" ht="16.3">
      <c r="A175" s="24"/>
      <c r="B175" s="24"/>
      <c r="C175" s="24"/>
      <c r="D175" s="24"/>
      <c r="E175" s="24"/>
      <c r="F175" s="24"/>
      <c r="G175" s="117"/>
      <c r="H175" s="117"/>
      <c r="I175" s="118"/>
      <c r="J175" s="119"/>
      <c r="K175" s="119"/>
      <c r="L175" s="24"/>
      <c r="M175" s="24"/>
      <c r="N175" s="24"/>
      <c r="O175" s="24"/>
      <c r="P175" s="114"/>
      <c r="Q175" s="24"/>
      <c r="R175" s="24"/>
      <c r="S175" s="24"/>
      <c r="T175" s="24"/>
      <c r="U175" s="24"/>
      <c r="V175" s="24"/>
      <c r="W175" s="24"/>
      <c r="X175" s="24"/>
      <c r="Y175" s="24"/>
      <c r="Z175" s="24"/>
      <c r="AA175" s="24"/>
      <c r="AB175" s="24"/>
      <c r="AC175" s="24"/>
    </row>
    <row r="176" spans="1:29" ht="16.3">
      <c r="A176" s="24"/>
      <c r="B176" s="24"/>
      <c r="C176" s="24"/>
      <c r="D176" s="24"/>
      <c r="E176" s="24"/>
      <c r="F176" s="24"/>
      <c r="G176" s="117"/>
      <c r="H176" s="117"/>
      <c r="I176" s="118"/>
      <c r="J176" s="119"/>
      <c r="K176" s="119"/>
      <c r="L176" s="24"/>
      <c r="M176" s="24"/>
      <c r="N176" s="24"/>
      <c r="O176" s="24"/>
      <c r="P176" s="114"/>
      <c r="Q176" s="24"/>
      <c r="R176" s="24"/>
      <c r="S176" s="24"/>
      <c r="T176" s="24"/>
      <c r="U176" s="24"/>
      <c r="V176" s="24"/>
      <c r="W176" s="24"/>
      <c r="X176" s="24"/>
      <c r="Y176" s="24"/>
      <c r="Z176" s="24"/>
      <c r="AA176" s="24"/>
      <c r="AB176" s="24"/>
      <c r="AC176" s="24"/>
    </row>
    <row r="177" spans="1:29" ht="16.3">
      <c r="A177" s="24"/>
      <c r="B177" s="24"/>
      <c r="C177" s="24"/>
      <c r="D177" s="24"/>
      <c r="E177" s="24"/>
      <c r="F177" s="24"/>
      <c r="G177" s="117"/>
      <c r="H177" s="117"/>
      <c r="I177" s="118"/>
      <c r="J177" s="119"/>
      <c r="K177" s="119"/>
      <c r="L177" s="24"/>
      <c r="M177" s="24"/>
      <c r="N177" s="24"/>
      <c r="O177" s="24"/>
      <c r="P177" s="114"/>
      <c r="Q177" s="24"/>
      <c r="R177" s="24"/>
      <c r="S177" s="24"/>
      <c r="T177" s="24"/>
      <c r="U177" s="24"/>
      <c r="V177" s="24"/>
      <c r="W177" s="24"/>
      <c r="X177" s="24"/>
      <c r="Y177" s="24"/>
      <c r="Z177" s="24"/>
      <c r="AA177" s="24"/>
      <c r="AB177" s="24"/>
      <c r="AC177" s="24"/>
    </row>
    <row r="178" spans="1:29" ht="16.3">
      <c r="A178" s="24"/>
      <c r="B178" s="24"/>
      <c r="C178" s="24"/>
      <c r="D178" s="24"/>
      <c r="E178" s="24"/>
      <c r="F178" s="24"/>
      <c r="G178" s="117"/>
      <c r="H178" s="117"/>
      <c r="I178" s="118"/>
      <c r="J178" s="119"/>
      <c r="K178" s="119"/>
      <c r="L178" s="24"/>
      <c r="M178" s="24"/>
      <c r="N178" s="24"/>
      <c r="O178" s="24"/>
      <c r="P178" s="114"/>
      <c r="Q178" s="24"/>
      <c r="R178" s="24"/>
      <c r="S178" s="24"/>
      <c r="T178" s="24"/>
      <c r="U178" s="24"/>
      <c r="V178" s="24"/>
      <c r="W178" s="24"/>
      <c r="X178" s="24"/>
      <c r="Y178" s="24"/>
      <c r="Z178" s="24"/>
      <c r="AA178" s="24"/>
      <c r="AB178" s="24"/>
      <c r="AC178" s="24"/>
    </row>
    <row r="179" spans="1:29" ht="16.3">
      <c r="A179" s="24"/>
      <c r="B179" s="24"/>
      <c r="C179" s="24"/>
      <c r="D179" s="24"/>
      <c r="E179" s="24"/>
      <c r="F179" s="24"/>
      <c r="G179" s="117"/>
      <c r="H179" s="117"/>
      <c r="I179" s="118"/>
      <c r="J179" s="119"/>
      <c r="K179" s="119"/>
      <c r="L179" s="24"/>
      <c r="M179" s="24"/>
      <c r="N179" s="24"/>
      <c r="O179" s="24"/>
      <c r="P179" s="114"/>
      <c r="Q179" s="24"/>
      <c r="R179" s="24"/>
      <c r="S179" s="24"/>
      <c r="T179" s="24"/>
      <c r="U179" s="24"/>
      <c r="V179" s="24"/>
      <c r="W179" s="24"/>
      <c r="X179" s="24"/>
      <c r="Y179" s="24"/>
      <c r="Z179" s="24"/>
      <c r="AA179" s="24"/>
      <c r="AB179" s="24"/>
      <c r="AC179" s="24"/>
    </row>
    <row r="180" spans="1:29" ht="16.3">
      <c r="A180" s="24"/>
      <c r="B180" s="24"/>
      <c r="C180" s="24"/>
      <c r="D180" s="24"/>
      <c r="E180" s="24"/>
      <c r="F180" s="24"/>
      <c r="G180" s="117"/>
      <c r="H180" s="117"/>
      <c r="I180" s="118"/>
      <c r="J180" s="119"/>
      <c r="K180" s="119"/>
      <c r="L180" s="24"/>
      <c r="M180" s="24"/>
      <c r="N180" s="24"/>
      <c r="O180" s="24"/>
      <c r="P180" s="114"/>
      <c r="Q180" s="24"/>
      <c r="R180" s="24"/>
      <c r="S180" s="24"/>
      <c r="T180" s="24"/>
      <c r="U180" s="24"/>
      <c r="V180" s="24"/>
      <c r="W180" s="24"/>
      <c r="X180" s="24"/>
      <c r="Y180" s="24"/>
      <c r="Z180" s="24"/>
      <c r="AA180" s="24"/>
      <c r="AB180" s="24"/>
      <c r="AC180" s="24"/>
    </row>
    <row r="181" spans="1:29" ht="16.3">
      <c r="A181" s="24"/>
      <c r="B181" s="24"/>
      <c r="C181" s="24"/>
      <c r="D181" s="24"/>
      <c r="E181" s="24"/>
      <c r="F181" s="24"/>
      <c r="G181" s="117"/>
      <c r="H181" s="117"/>
      <c r="I181" s="118"/>
      <c r="J181" s="119"/>
      <c r="K181" s="119"/>
      <c r="L181" s="24"/>
      <c r="M181" s="24"/>
      <c r="N181" s="24"/>
      <c r="O181" s="24"/>
      <c r="P181" s="114"/>
      <c r="Q181" s="24"/>
      <c r="R181" s="24"/>
      <c r="S181" s="24"/>
      <c r="T181" s="24"/>
      <c r="U181" s="24"/>
      <c r="V181" s="24"/>
      <c r="W181" s="24"/>
      <c r="X181" s="24"/>
      <c r="Y181" s="24"/>
      <c r="Z181" s="24"/>
      <c r="AA181" s="24"/>
      <c r="AB181" s="24"/>
      <c r="AC181" s="24"/>
    </row>
    <row r="182" spans="1:29" ht="16.3">
      <c r="A182" s="24"/>
      <c r="B182" s="24"/>
      <c r="C182" s="24"/>
      <c r="D182" s="24"/>
      <c r="E182" s="24"/>
      <c r="F182" s="24"/>
      <c r="G182" s="117"/>
      <c r="H182" s="117"/>
      <c r="I182" s="118"/>
      <c r="J182" s="119"/>
      <c r="K182" s="119"/>
      <c r="L182" s="24"/>
      <c r="M182" s="24"/>
      <c r="N182" s="24"/>
      <c r="O182" s="24"/>
      <c r="P182" s="114"/>
      <c r="Q182" s="24"/>
      <c r="R182" s="24"/>
      <c r="S182" s="24"/>
      <c r="T182" s="24"/>
      <c r="U182" s="24"/>
      <c r="V182" s="24"/>
      <c r="W182" s="24"/>
      <c r="X182" s="24"/>
      <c r="Y182" s="24"/>
      <c r="Z182" s="24"/>
      <c r="AA182" s="24"/>
      <c r="AB182" s="24"/>
      <c r="AC182" s="24"/>
    </row>
    <row r="183" spans="1:29" ht="16.3">
      <c r="A183" s="24"/>
      <c r="B183" s="24"/>
      <c r="C183" s="24"/>
      <c r="D183" s="24"/>
      <c r="E183" s="24"/>
      <c r="F183" s="24"/>
      <c r="G183" s="117"/>
      <c r="H183" s="117"/>
      <c r="I183" s="118"/>
      <c r="J183" s="119"/>
      <c r="K183" s="119"/>
      <c r="L183" s="24"/>
      <c r="M183" s="24"/>
      <c r="N183" s="24"/>
      <c r="O183" s="24"/>
      <c r="P183" s="114"/>
      <c r="Q183" s="24"/>
      <c r="R183" s="24"/>
      <c r="S183" s="24"/>
      <c r="T183" s="24"/>
      <c r="U183" s="24"/>
      <c r="V183" s="24"/>
      <c r="W183" s="24"/>
      <c r="X183" s="24"/>
      <c r="Y183" s="24"/>
      <c r="Z183" s="24"/>
      <c r="AA183" s="24"/>
      <c r="AB183" s="24"/>
      <c r="AC183" s="24"/>
    </row>
    <row r="184" spans="1:29" ht="16.3">
      <c r="A184" s="24"/>
      <c r="B184" s="24"/>
      <c r="C184" s="24"/>
      <c r="D184" s="24"/>
      <c r="E184" s="24"/>
      <c r="F184" s="24"/>
      <c r="G184" s="117"/>
      <c r="H184" s="117"/>
      <c r="I184" s="118"/>
      <c r="J184" s="119"/>
      <c r="K184" s="119"/>
      <c r="L184" s="24"/>
      <c r="M184" s="24"/>
      <c r="N184" s="24"/>
      <c r="O184" s="24"/>
      <c r="P184" s="114"/>
      <c r="Q184" s="24"/>
      <c r="R184" s="24"/>
      <c r="S184" s="24"/>
      <c r="T184" s="24"/>
      <c r="U184" s="24"/>
      <c r="V184" s="24"/>
      <c r="W184" s="24"/>
      <c r="X184" s="24"/>
      <c r="Y184" s="24"/>
      <c r="Z184" s="24"/>
      <c r="AA184" s="24"/>
      <c r="AB184" s="24"/>
      <c r="AC184" s="24"/>
    </row>
    <row r="185" spans="1:29" ht="16.3">
      <c r="A185" s="24"/>
      <c r="B185" s="24"/>
      <c r="C185" s="24"/>
      <c r="D185" s="24"/>
      <c r="E185" s="24"/>
      <c r="F185" s="24"/>
      <c r="G185" s="117"/>
      <c r="H185" s="117"/>
      <c r="I185" s="118"/>
      <c r="J185" s="119"/>
      <c r="K185" s="119"/>
      <c r="L185" s="24"/>
      <c r="M185" s="24"/>
      <c r="N185" s="24"/>
      <c r="O185" s="24"/>
      <c r="P185" s="114"/>
      <c r="Q185" s="24"/>
      <c r="R185" s="24"/>
      <c r="S185" s="24"/>
      <c r="T185" s="24"/>
      <c r="U185" s="24"/>
      <c r="V185" s="24"/>
      <c r="W185" s="24"/>
      <c r="X185" s="24"/>
      <c r="Y185" s="24"/>
      <c r="Z185" s="24"/>
      <c r="AA185" s="24"/>
      <c r="AB185" s="24"/>
      <c r="AC185" s="24"/>
    </row>
    <row r="186" spans="1:29" ht="16.3">
      <c r="A186" s="24"/>
      <c r="B186" s="24"/>
      <c r="C186" s="24"/>
      <c r="D186" s="24"/>
      <c r="E186" s="24"/>
      <c r="F186" s="24"/>
      <c r="G186" s="117"/>
      <c r="H186" s="117"/>
      <c r="I186" s="118"/>
      <c r="J186" s="119"/>
      <c r="K186" s="119"/>
      <c r="L186" s="24"/>
      <c r="M186" s="24"/>
      <c r="N186" s="24"/>
      <c r="O186" s="24"/>
      <c r="P186" s="114"/>
      <c r="Q186" s="24"/>
      <c r="R186" s="24"/>
      <c r="S186" s="24"/>
      <c r="T186" s="24"/>
      <c r="U186" s="24"/>
      <c r="V186" s="24"/>
      <c r="W186" s="24"/>
      <c r="X186" s="24"/>
      <c r="Y186" s="24"/>
      <c r="Z186" s="24"/>
      <c r="AA186" s="24"/>
      <c r="AB186" s="24"/>
      <c r="AC186" s="24"/>
    </row>
    <row r="187" spans="1:29" ht="16.3">
      <c r="A187" s="24"/>
      <c r="B187" s="24"/>
      <c r="C187" s="24"/>
      <c r="D187" s="24"/>
      <c r="E187" s="24"/>
      <c r="F187" s="24"/>
      <c r="G187" s="117"/>
      <c r="H187" s="117"/>
      <c r="I187" s="118"/>
      <c r="J187" s="119"/>
      <c r="K187" s="119"/>
      <c r="L187" s="24"/>
      <c r="M187" s="24"/>
      <c r="N187" s="24"/>
      <c r="O187" s="24"/>
      <c r="P187" s="114"/>
      <c r="Q187" s="24"/>
      <c r="R187" s="24"/>
      <c r="S187" s="24"/>
      <c r="T187" s="24"/>
      <c r="U187" s="24"/>
      <c r="V187" s="24"/>
      <c r="W187" s="24"/>
      <c r="X187" s="24"/>
      <c r="Y187" s="24"/>
      <c r="Z187" s="24"/>
      <c r="AA187" s="24"/>
      <c r="AB187" s="24"/>
      <c r="AC187" s="24"/>
    </row>
    <row r="188" spans="1:29" ht="16.3">
      <c r="A188" s="24"/>
      <c r="B188" s="24"/>
      <c r="C188" s="24"/>
      <c r="D188" s="24"/>
      <c r="E188" s="24"/>
      <c r="F188" s="24"/>
      <c r="G188" s="117"/>
      <c r="H188" s="117"/>
      <c r="I188" s="118"/>
      <c r="J188" s="119"/>
      <c r="K188" s="119"/>
      <c r="L188" s="24"/>
      <c r="M188" s="24"/>
      <c r="N188" s="24"/>
      <c r="O188" s="24"/>
      <c r="P188" s="114"/>
      <c r="Q188" s="24"/>
      <c r="R188" s="24"/>
      <c r="S188" s="24"/>
      <c r="T188" s="24"/>
      <c r="U188" s="24"/>
      <c r="V188" s="24"/>
      <c r="W188" s="24"/>
      <c r="X188" s="24"/>
      <c r="Y188" s="24"/>
      <c r="Z188" s="24"/>
      <c r="AA188" s="24"/>
      <c r="AB188" s="24"/>
      <c r="AC188" s="24"/>
    </row>
    <row r="189" spans="1:29" ht="16.3">
      <c r="A189" s="24"/>
      <c r="B189" s="24"/>
      <c r="C189" s="24"/>
      <c r="D189" s="24"/>
      <c r="E189" s="24"/>
      <c r="F189" s="24"/>
      <c r="G189" s="117"/>
      <c r="H189" s="117"/>
      <c r="I189" s="118"/>
      <c r="J189" s="119"/>
      <c r="K189" s="119"/>
      <c r="L189" s="24"/>
      <c r="M189" s="24"/>
      <c r="N189" s="24"/>
      <c r="O189" s="24"/>
      <c r="P189" s="114"/>
      <c r="Q189" s="24"/>
      <c r="R189" s="24"/>
      <c r="S189" s="24"/>
      <c r="T189" s="24"/>
      <c r="U189" s="24"/>
      <c r="V189" s="24"/>
      <c r="W189" s="24"/>
      <c r="X189" s="24"/>
      <c r="Y189" s="24"/>
      <c r="Z189" s="24"/>
      <c r="AA189" s="24"/>
      <c r="AB189" s="24"/>
      <c r="AC189" s="24"/>
    </row>
    <row r="190" spans="1:29" ht="16.3">
      <c r="A190" s="24"/>
      <c r="B190" s="24"/>
      <c r="C190" s="24"/>
      <c r="D190" s="24"/>
      <c r="E190" s="24"/>
      <c r="F190" s="24"/>
      <c r="G190" s="117"/>
      <c r="H190" s="117"/>
      <c r="I190" s="118"/>
      <c r="J190" s="119"/>
      <c r="K190" s="119"/>
      <c r="L190" s="24"/>
      <c r="M190" s="24"/>
      <c r="N190" s="24"/>
      <c r="O190" s="24"/>
      <c r="P190" s="114"/>
      <c r="Q190" s="24"/>
      <c r="R190" s="24"/>
      <c r="S190" s="24"/>
      <c r="T190" s="24"/>
      <c r="U190" s="24"/>
      <c r="V190" s="24"/>
      <c r="W190" s="24"/>
      <c r="X190" s="24"/>
      <c r="Y190" s="24"/>
      <c r="Z190" s="24"/>
      <c r="AA190" s="24"/>
      <c r="AB190" s="24"/>
      <c r="AC190" s="24"/>
    </row>
    <row r="191" spans="1:29" ht="16.3">
      <c r="A191" s="24"/>
      <c r="B191" s="24"/>
      <c r="C191" s="24"/>
      <c r="D191" s="24"/>
      <c r="E191" s="24"/>
      <c r="F191" s="24"/>
      <c r="G191" s="117"/>
      <c r="H191" s="117"/>
      <c r="I191" s="118"/>
      <c r="J191" s="119"/>
      <c r="K191" s="119"/>
      <c r="L191" s="24"/>
      <c r="M191" s="24"/>
      <c r="N191" s="24"/>
      <c r="O191" s="24"/>
      <c r="P191" s="114"/>
      <c r="Q191" s="24"/>
      <c r="R191" s="24"/>
      <c r="S191" s="24"/>
      <c r="T191" s="24"/>
      <c r="U191" s="24"/>
      <c r="V191" s="24"/>
      <c r="W191" s="24"/>
      <c r="X191" s="24"/>
      <c r="Y191" s="24"/>
      <c r="Z191" s="24"/>
      <c r="AA191" s="24"/>
      <c r="AB191" s="24"/>
      <c r="AC191" s="24"/>
    </row>
    <row r="192" spans="1:29" ht="16.3">
      <c r="A192" s="24"/>
      <c r="B192" s="24"/>
      <c r="C192" s="24"/>
      <c r="D192" s="24"/>
      <c r="E192" s="24"/>
      <c r="F192" s="24"/>
      <c r="G192" s="117"/>
      <c r="H192" s="117"/>
      <c r="I192" s="118"/>
      <c r="J192" s="119"/>
      <c r="K192" s="119"/>
      <c r="L192" s="24"/>
      <c r="M192" s="24"/>
      <c r="N192" s="24"/>
      <c r="O192" s="24"/>
      <c r="P192" s="114"/>
      <c r="Q192" s="24"/>
      <c r="R192" s="24"/>
      <c r="S192" s="24"/>
      <c r="T192" s="24"/>
      <c r="U192" s="24"/>
      <c r="V192" s="24"/>
      <c r="W192" s="24"/>
      <c r="X192" s="24"/>
      <c r="Y192" s="24"/>
      <c r="Z192" s="24"/>
      <c r="AA192" s="24"/>
      <c r="AB192" s="24"/>
      <c r="AC192" s="24"/>
    </row>
    <row r="193" spans="1:29" ht="16.3">
      <c r="A193" s="24"/>
      <c r="B193" s="24"/>
      <c r="C193" s="24"/>
      <c r="D193" s="24"/>
      <c r="E193" s="24"/>
      <c r="F193" s="24"/>
      <c r="G193" s="117"/>
      <c r="H193" s="117"/>
      <c r="I193" s="118"/>
      <c r="J193" s="119"/>
      <c r="K193" s="119"/>
      <c r="L193" s="24"/>
      <c r="M193" s="24"/>
      <c r="N193" s="24"/>
      <c r="O193" s="24"/>
      <c r="P193" s="114"/>
      <c r="Q193" s="24"/>
      <c r="R193" s="24"/>
      <c r="S193" s="24"/>
      <c r="T193" s="24"/>
      <c r="U193" s="24"/>
      <c r="V193" s="24"/>
      <c r="W193" s="24"/>
      <c r="X193" s="24"/>
      <c r="Y193" s="24"/>
      <c r="Z193" s="24"/>
      <c r="AA193" s="24"/>
      <c r="AB193" s="24"/>
      <c r="AC193" s="24"/>
    </row>
    <row r="194" spans="1:29" ht="16.3">
      <c r="A194" s="24"/>
      <c r="B194" s="24"/>
      <c r="C194" s="24"/>
      <c r="D194" s="24"/>
      <c r="E194" s="24"/>
      <c r="F194" s="24"/>
      <c r="G194" s="117"/>
      <c r="H194" s="117"/>
      <c r="I194" s="118"/>
      <c r="J194" s="119"/>
      <c r="K194" s="119"/>
      <c r="L194" s="24"/>
      <c r="M194" s="24"/>
      <c r="N194" s="24"/>
      <c r="O194" s="24"/>
      <c r="P194" s="114"/>
      <c r="Q194" s="24"/>
      <c r="R194" s="24"/>
      <c r="S194" s="24"/>
      <c r="T194" s="24"/>
      <c r="U194" s="24"/>
      <c r="V194" s="24"/>
      <c r="W194" s="24"/>
      <c r="X194" s="24"/>
      <c r="Y194" s="24"/>
      <c r="Z194" s="24"/>
      <c r="AA194" s="24"/>
      <c r="AB194" s="24"/>
      <c r="AC194" s="24"/>
    </row>
    <row r="195" spans="1:29" ht="16.3">
      <c r="A195" s="24"/>
      <c r="B195" s="24"/>
      <c r="C195" s="24"/>
      <c r="D195" s="24"/>
      <c r="E195" s="24"/>
      <c r="F195" s="24"/>
      <c r="G195" s="117"/>
      <c r="H195" s="117"/>
      <c r="I195" s="118"/>
      <c r="J195" s="119"/>
      <c r="K195" s="119"/>
      <c r="L195" s="24"/>
      <c r="M195" s="24"/>
      <c r="N195" s="24"/>
      <c r="O195" s="24"/>
      <c r="P195" s="114"/>
      <c r="Q195" s="24"/>
      <c r="R195" s="24"/>
      <c r="S195" s="24"/>
      <c r="T195" s="24"/>
      <c r="U195" s="24"/>
      <c r="V195" s="24"/>
      <c r="W195" s="24"/>
      <c r="X195" s="24"/>
      <c r="Y195" s="24"/>
      <c r="Z195" s="24"/>
      <c r="AA195" s="24"/>
      <c r="AB195" s="24"/>
      <c r="AC195" s="24"/>
    </row>
    <row r="196" spans="1:29" ht="16.3">
      <c r="A196" s="24"/>
      <c r="B196" s="24"/>
      <c r="C196" s="24"/>
      <c r="D196" s="24"/>
      <c r="E196" s="24"/>
      <c r="F196" s="24"/>
      <c r="G196" s="117"/>
      <c r="H196" s="117"/>
      <c r="I196" s="118"/>
      <c r="J196" s="119"/>
      <c r="K196" s="119"/>
      <c r="L196" s="24"/>
      <c r="M196" s="24"/>
      <c r="N196" s="24"/>
      <c r="O196" s="24"/>
      <c r="P196" s="114"/>
      <c r="Q196" s="24"/>
      <c r="R196" s="24"/>
      <c r="S196" s="24"/>
      <c r="T196" s="24"/>
      <c r="U196" s="24"/>
      <c r="V196" s="24"/>
      <c r="W196" s="24"/>
      <c r="X196" s="24"/>
      <c r="Y196" s="24"/>
      <c r="Z196" s="24"/>
      <c r="AA196" s="24"/>
      <c r="AB196" s="24"/>
      <c r="AC196" s="24"/>
    </row>
    <row r="197" spans="1:29" ht="16.3">
      <c r="A197" s="24"/>
      <c r="B197" s="24"/>
      <c r="C197" s="24"/>
      <c r="D197" s="24"/>
      <c r="E197" s="24"/>
      <c r="F197" s="24"/>
      <c r="G197" s="117"/>
      <c r="H197" s="117"/>
      <c r="I197" s="118"/>
      <c r="J197" s="119"/>
      <c r="K197" s="119"/>
      <c r="L197" s="24"/>
      <c r="M197" s="24"/>
      <c r="N197" s="24"/>
      <c r="O197" s="24"/>
      <c r="P197" s="114"/>
      <c r="Q197" s="24"/>
      <c r="R197" s="24"/>
      <c r="S197" s="24"/>
      <c r="T197" s="24"/>
      <c r="U197" s="24"/>
      <c r="V197" s="24"/>
      <c r="W197" s="24"/>
      <c r="X197" s="24"/>
      <c r="Y197" s="24"/>
      <c r="Z197" s="24"/>
      <c r="AA197" s="24"/>
      <c r="AB197" s="24"/>
      <c r="AC197" s="24"/>
    </row>
    <row r="198" spans="1:29" ht="16.3">
      <c r="A198" s="24"/>
      <c r="B198" s="24"/>
      <c r="C198" s="24"/>
      <c r="D198" s="24"/>
      <c r="E198" s="24"/>
      <c r="F198" s="24"/>
      <c r="G198" s="117"/>
      <c r="H198" s="117"/>
      <c r="I198" s="118"/>
      <c r="J198" s="119"/>
      <c r="K198" s="119"/>
      <c r="L198" s="24"/>
      <c r="M198" s="24"/>
      <c r="N198" s="24"/>
      <c r="O198" s="24"/>
      <c r="P198" s="114"/>
      <c r="Q198" s="24"/>
      <c r="R198" s="24"/>
      <c r="S198" s="24"/>
      <c r="T198" s="24"/>
      <c r="U198" s="24"/>
      <c r="V198" s="24"/>
      <c r="W198" s="24"/>
      <c r="X198" s="24"/>
      <c r="Y198" s="24"/>
      <c r="Z198" s="24"/>
      <c r="AA198" s="24"/>
      <c r="AB198" s="24"/>
      <c r="AC198" s="24"/>
    </row>
    <row r="199" spans="1:29" ht="16.3">
      <c r="A199" s="24"/>
      <c r="B199" s="24"/>
      <c r="C199" s="24"/>
      <c r="D199" s="24"/>
      <c r="E199" s="24"/>
      <c r="F199" s="24"/>
      <c r="G199" s="117"/>
      <c r="H199" s="117"/>
      <c r="I199" s="118"/>
      <c r="J199" s="119"/>
      <c r="K199" s="119"/>
      <c r="L199" s="24"/>
      <c r="M199" s="24"/>
      <c r="N199" s="24"/>
      <c r="O199" s="24"/>
      <c r="P199" s="114"/>
      <c r="Q199" s="24"/>
      <c r="R199" s="24"/>
      <c r="S199" s="24"/>
      <c r="T199" s="24"/>
      <c r="U199" s="24"/>
      <c r="V199" s="24"/>
      <c r="W199" s="24"/>
      <c r="X199" s="24"/>
      <c r="Y199" s="24"/>
      <c r="Z199" s="24"/>
      <c r="AA199" s="24"/>
      <c r="AB199" s="24"/>
      <c r="AC199" s="24"/>
    </row>
    <row r="200" spans="1:29" ht="16.3">
      <c r="A200" s="24"/>
      <c r="B200" s="24"/>
      <c r="C200" s="24"/>
      <c r="D200" s="24"/>
      <c r="E200" s="24"/>
      <c r="F200" s="24"/>
      <c r="G200" s="117"/>
      <c r="H200" s="117"/>
      <c r="I200" s="118"/>
      <c r="J200" s="119"/>
      <c r="K200" s="119"/>
      <c r="L200" s="24"/>
      <c r="M200" s="24"/>
      <c r="N200" s="24"/>
      <c r="O200" s="24"/>
      <c r="P200" s="114"/>
      <c r="Q200" s="24"/>
      <c r="R200" s="24"/>
      <c r="S200" s="24"/>
      <c r="T200" s="24"/>
      <c r="U200" s="24"/>
      <c r="V200" s="24"/>
      <c r="W200" s="24"/>
      <c r="X200" s="24"/>
      <c r="Y200" s="24"/>
      <c r="Z200" s="24"/>
      <c r="AA200" s="24"/>
      <c r="AB200" s="24"/>
      <c r="AC200" s="24"/>
    </row>
    <row r="201" spans="1:29" ht="16.3">
      <c r="A201" s="24"/>
      <c r="B201" s="24"/>
      <c r="C201" s="24"/>
      <c r="D201" s="24"/>
      <c r="E201" s="24"/>
      <c r="F201" s="24"/>
      <c r="G201" s="117"/>
      <c r="H201" s="117"/>
      <c r="I201" s="118"/>
      <c r="J201" s="119"/>
      <c r="K201" s="119"/>
      <c r="L201" s="24"/>
      <c r="M201" s="24"/>
      <c r="N201" s="24"/>
      <c r="O201" s="24"/>
      <c r="P201" s="114"/>
      <c r="Q201" s="24"/>
      <c r="R201" s="24"/>
      <c r="S201" s="24"/>
      <c r="T201" s="24"/>
      <c r="U201" s="24"/>
      <c r="V201" s="24"/>
      <c r="W201" s="24"/>
      <c r="X201" s="24"/>
      <c r="Y201" s="24"/>
      <c r="Z201" s="24"/>
      <c r="AA201" s="24"/>
      <c r="AB201" s="24"/>
      <c r="AC201" s="24"/>
    </row>
    <row r="202" spans="1:29" ht="16.3">
      <c r="A202" s="24"/>
      <c r="B202" s="24"/>
      <c r="C202" s="24"/>
      <c r="D202" s="24"/>
      <c r="E202" s="24"/>
      <c r="F202" s="24"/>
      <c r="G202" s="117"/>
      <c r="H202" s="117"/>
      <c r="I202" s="118"/>
      <c r="J202" s="119"/>
      <c r="K202" s="119"/>
      <c r="L202" s="24"/>
      <c r="M202" s="24"/>
      <c r="N202" s="24"/>
      <c r="O202" s="24"/>
      <c r="P202" s="114"/>
      <c r="Q202" s="24"/>
      <c r="R202" s="24"/>
      <c r="S202" s="24"/>
      <c r="T202" s="24"/>
      <c r="U202" s="24"/>
      <c r="V202" s="24"/>
      <c r="W202" s="24"/>
      <c r="X202" s="24"/>
      <c r="Y202" s="24"/>
      <c r="Z202" s="24"/>
      <c r="AA202" s="24"/>
      <c r="AB202" s="24"/>
      <c r="AC202" s="24"/>
    </row>
    <row r="203" spans="1:29" ht="16.3">
      <c r="A203" s="24"/>
      <c r="B203" s="24"/>
      <c r="C203" s="24"/>
      <c r="D203" s="24"/>
      <c r="E203" s="24"/>
      <c r="F203" s="24"/>
      <c r="G203" s="117"/>
      <c r="H203" s="117"/>
      <c r="I203" s="118"/>
      <c r="J203" s="119"/>
      <c r="K203" s="119"/>
      <c r="L203" s="24"/>
      <c r="M203" s="24"/>
      <c r="N203" s="24"/>
      <c r="O203" s="24"/>
      <c r="P203" s="114"/>
      <c r="Q203" s="24"/>
      <c r="R203" s="24"/>
      <c r="S203" s="24"/>
      <c r="T203" s="24"/>
      <c r="U203" s="24"/>
      <c r="V203" s="24"/>
      <c r="W203" s="24"/>
      <c r="X203" s="24"/>
      <c r="Y203" s="24"/>
      <c r="Z203" s="24"/>
      <c r="AA203" s="24"/>
      <c r="AB203" s="24"/>
      <c r="AC203" s="24"/>
    </row>
    <row r="204" spans="1:29" ht="16.3">
      <c r="A204" s="24"/>
      <c r="B204" s="24"/>
      <c r="C204" s="24"/>
      <c r="D204" s="24"/>
      <c r="E204" s="24"/>
      <c r="F204" s="24"/>
      <c r="G204" s="117"/>
      <c r="H204" s="117"/>
      <c r="I204" s="118"/>
      <c r="J204" s="119"/>
      <c r="K204" s="119"/>
      <c r="L204" s="24"/>
      <c r="M204" s="24"/>
      <c r="N204" s="24"/>
      <c r="O204" s="24"/>
      <c r="P204" s="114"/>
      <c r="Q204" s="24"/>
      <c r="R204" s="24"/>
      <c r="S204" s="24"/>
      <c r="T204" s="24"/>
      <c r="U204" s="24"/>
      <c r="V204" s="24"/>
      <c r="W204" s="24"/>
      <c r="X204" s="24"/>
      <c r="Y204" s="24"/>
      <c r="Z204" s="24"/>
      <c r="AA204" s="24"/>
      <c r="AB204" s="24"/>
      <c r="AC204" s="24"/>
    </row>
    <row r="205" spans="1:29" ht="16.3">
      <c r="A205" s="24"/>
      <c r="B205" s="24"/>
      <c r="C205" s="24"/>
      <c r="D205" s="24"/>
      <c r="E205" s="24"/>
      <c r="F205" s="24"/>
      <c r="G205" s="117"/>
      <c r="H205" s="117"/>
      <c r="I205" s="118"/>
      <c r="J205" s="119"/>
      <c r="K205" s="119"/>
      <c r="L205" s="24"/>
      <c r="M205" s="24"/>
      <c r="N205" s="24"/>
      <c r="O205" s="24"/>
      <c r="P205" s="114"/>
      <c r="Q205" s="24"/>
      <c r="R205" s="24"/>
      <c r="S205" s="24"/>
      <c r="T205" s="24"/>
      <c r="U205" s="24"/>
      <c r="V205" s="24"/>
      <c r="W205" s="24"/>
      <c r="X205" s="24"/>
      <c r="Y205" s="24"/>
      <c r="Z205" s="24"/>
      <c r="AA205" s="24"/>
      <c r="AB205" s="24"/>
      <c r="AC205" s="24"/>
    </row>
    <row r="206" spans="1:29" ht="16.3">
      <c r="A206" s="24"/>
      <c r="B206" s="24"/>
      <c r="C206" s="24"/>
      <c r="D206" s="24"/>
      <c r="E206" s="24"/>
      <c r="F206" s="24"/>
      <c r="G206" s="117"/>
      <c r="H206" s="117"/>
      <c r="I206" s="118"/>
      <c r="J206" s="119"/>
      <c r="K206" s="119"/>
      <c r="L206" s="24"/>
      <c r="M206" s="24"/>
      <c r="N206" s="24"/>
      <c r="O206" s="24"/>
      <c r="P206" s="114"/>
      <c r="Q206" s="24"/>
      <c r="R206" s="24"/>
      <c r="S206" s="24"/>
      <c r="T206" s="24"/>
      <c r="U206" s="24"/>
      <c r="V206" s="24"/>
      <c r="W206" s="24"/>
      <c r="X206" s="24"/>
      <c r="Y206" s="24"/>
      <c r="Z206" s="24"/>
      <c r="AA206" s="24"/>
      <c r="AB206" s="24"/>
      <c r="AC206" s="24"/>
    </row>
    <row r="207" spans="1:29" ht="16.3">
      <c r="A207" s="24"/>
      <c r="B207" s="24"/>
      <c r="C207" s="24"/>
      <c r="D207" s="24"/>
      <c r="E207" s="24"/>
      <c r="F207" s="24"/>
      <c r="G207" s="117"/>
      <c r="H207" s="117"/>
      <c r="I207" s="118"/>
      <c r="J207" s="119"/>
      <c r="K207" s="119"/>
      <c r="L207" s="24"/>
      <c r="M207" s="24"/>
      <c r="N207" s="24"/>
      <c r="O207" s="24"/>
      <c r="P207" s="114"/>
      <c r="Q207" s="24"/>
      <c r="R207" s="24"/>
      <c r="S207" s="24"/>
      <c r="T207" s="24"/>
      <c r="U207" s="24"/>
      <c r="V207" s="24"/>
      <c r="W207" s="24"/>
      <c r="X207" s="24"/>
      <c r="Y207" s="24"/>
      <c r="Z207" s="24"/>
      <c r="AA207" s="24"/>
      <c r="AB207" s="24"/>
      <c r="AC207" s="24"/>
    </row>
    <row r="208" spans="1:29" ht="16.3">
      <c r="A208" s="24"/>
      <c r="B208" s="24"/>
      <c r="C208" s="24"/>
      <c r="D208" s="24"/>
      <c r="E208" s="24"/>
      <c r="F208" s="24"/>
      <c r="G208" s="117"/>
      <c r="H208" s="117"/>
      <c r="I208" s="118"/>
      <c r="J208" s="119"/>
      <c r="K208" s="119"/>
      <c r="L208" s="24"/>
      <c r="M208" s="24"/>
      <c r="N208" s="24"/>
      <c r="O208" s="24"/>
      <c r="P208" s="114"/>
      <c r="Q208" s="24"/>
      <c r="R208" s="24"/>
      <c r="S208" s="24"/>
      <c r="T208" s="24"/>
      <c r="U208" s="24"/>
      <c r="V208" s="24"/>
      <c r="W208" s="24"/>
      <c r="X208" s="24"/>
      <c r="Y208" s="24"/>
      <c r="Z208" s="24"/>
      <c r="AA208" s="24"/>
      <c r="AB208" s="24"/>
      <c r="AC208" s="24"/>
    </row>
    <row r="209" spans="1:29" ht="16.3">
      <c r="A209" s="24"/>
      <c r="B209" s="24"/>
      <c r="C209" s="24"/>
      <c r="D209" s="24"/>
      <c r="E209" s="24"/>
      <c r="F209" s="24"/>
      <c r="G209" s="117"/>
      <c r="H209" s="117"/>
      <c r="I209" s="118"/>
      <c r="J209" s="119"/>
      <c r="K209" s="119"/>
      <c r="L209" s="24"/>
      <c r="M209" s="24"/>
      <c r="N209" s="24"/>
      <c r="O209" s="24"/>
      <c r="P209" s="114"/>
      <c r="Q209" s="24"/>
      <c r="R209" s="24"/>
      <c r="S209" s="24"/>
      <c r="T209" s="24"/>
      <c r="U209" s="24"/>
      <c r="V209" s="24"/>
      <c r="W209" s="24"/>
      <c r="X209" s="24"/>
      <c r="Y209" s="24"/>
      <c r="Z209" s="24"/>
      <c r="AA209" s="24"/>
      <c r="AB209" s="24"/>
      <c r="AC209" s="24"/>
    </row>
    <row r="210" spans="1:29" ht="16.3">
      <c r="A210" s="24"/>
      <c r="B210" s="24"/>
      <c r="C210" s="24"/>
      <c r="D210" s="24"/>
      <c r="E210" s="24"/>
      <c r="F210" s="24"/>
      <c r="G210" s="117"/>
      <c r="H210" s="117"/>
      <c r="I210" s="118"/>
      <c r="J210" s="119"/>
      <c r="K210" s="119"/>
      <c r="L210" s="24"/>
      <c r="M210" s="24"/>
      <c r="N210" s="24"/>
      <c r="O210" s="24"/>
      <c r="P210" s="114"/>
      <c r="Q210" s="24"/>
      <c r="R210" s="24"/>
      <c r="S210" s="24"/>
      <c r="T210" s="24"/>
      <c r="U210" s="24"/>
      <c r="V210" s="24"/>
      <c r="W210" s="24"/>
      <c r="X210" s="24"/>
      <c r="Y210" s="24"/>
      <c r="Z210" s="24"/>
      <c r="AA210" s="24"/>
      <c r="AB210" s="24"/>
      <c r="AC210" s="24"/>
    </row>
    <row r="211" spans="1:29" ht="16.3">
      <c r="A211" s="24"/>
      <c r="B211" s="24"/>
      <c r="C211" s="24"/>
      <c r="D211" s="24"/>
      <c r="E211" s="24"/>
      <c r="F211" s="24"/>
      <c r="G211" s="117"/>
      <c r="H211" s="117"/>
      <c r="I211" s="118"/>
      <c r="J211" s="119"/>
      <c r="K211" s="119"/>
      <c r="L211" s="24"/>
      <c r="M211" s="24"/>
      <c r="N211" s="24"/>
      <c r="O211" s="24"/>
      <c r="P211" s="114"/>
      <c r="Q211" s="24"/>
      <c r="R211" s="24"/>
      <c r="S211" s="24"/>
      <c r="T211" s="24"/>
      <c r="U211" s="24"/>
      <c r="V211" s="24"/>
      <c r="W211" s="24"/>
      <c r="X211" s="24"/>
      <c r="Y211" s="24"/>
      <c r="Z211" s="24"/>
      <c r="AA211" s="24"/>
      <c r="AB211" s="24"/>
      <c r="AC211" s="24"/>
    </row>
    <row r="212" spans="1:29" ht="16.3">
      <c r="A212" s="24"/>
      <c r="B212" s="24"/>
      <c r="C212" s="24"/>
      <c r="D212" s="24"/>
      <c r="E212" s="24"/>
      <c r="F212" s="24"/>
      <c r="G212" s="117"/>
      <c r="H212" s="117"/>
      <c r="I212" s="118"/>
      <c r="J212" s="119"/>
      <c r="K212" s="119"/>
      <c r="L212" s="24"/>
      <c r="M212" s="24"/>
      <c r="N212" s="24"/>
      <c r="O212" s="24"/>
      <c r="P212" s="114"/>
      <c r="Q212" s="24"/>
      <c r="R212" s="24"/>
      <c r="S212" s="24"/>
      <c r="T212" s="24"/>
      <c r="U212" s="24"/>
      <c r="V212" s="24"/>
      <c r="W212" s="24"/>
      <c r="X212" s="24"/>
      <c r="Y212" s="24"/>
      <c r="Z212" s="24"/>
      <c r="AA212" s="24"/>
      <c r="AB212" s="24"/>
      <c r="AC212" s="24"/>
    </row>
    <row r="213" spans="1:29" ht="16.3">
      <c r="A213" s="24"/>
      <c r="B213" s="24"/>
      <c r="C213" s="24"/>
      <c r="D213" s="24"/>
      <c r="E213" s="24"/>
      <c r="F213" s="24"/>
      <c r="G213" s="117"/>
      <c r="H213" s="117"/>
      <c r="I213" s="118"/>
      <c r="J213" s="119"/>
      <c r="K213" s="119"/>
      <c r="L213" s="24"/>
      <c r="M213" s="24"/>
      <c r="N213" s="24"/>
      <c r="O213" s="24"/>
      <c r="P213" s="114"/>
      <c r="Q213" s="24"/>
      <c r="R213" s="24"/>
      <c r="S213" s="24"/>
      <c r="T213" s="24"/>
      <c r="U213" s="24"/>
      <c r="V213" s="24"/>
      <c r="W213" s="24"/>
      <c r="X213" s="24"/>
      <c r="Y213" s="24"/>
      <c r="Z213" s="24"/>
      <c r="AA213" s="24"/>
      <c r="AB213" s="24"/>
      <c r="AC213" s="24"/>
    </row>
    <row r="214" spans="1:29" ht="16.3">
      <c r="A214" s="24"/>
      <c r="B214" s="24"/>
      <c r="C214" s="24"/>
      <c r="D214" s="24"/>
      <c r="E214" s="24"/>
      <c r="F214" s="24"/>
      <c r="G214" s="117"/>
      <c r="H214" s="117"/>
      <c r="I214" s="118"/>
      <c r="J214" s="119"/>
      <c r="K214" s="119"/>
      <c r="L214" s="24"/>
      <c r="M214" s="24"/>
      <c r="N214" s="24"/>
      <c r="O214" s="24"/>
      <c r="P214" s="114"/>
      <c r="Q214" s="24"/>
      <c r="R214" s="24"/>
      <c r="S214" s="24"/>
      <c r="T214" s="24"/>
      <c r="U214" s="24"/>
      <c r="V214" s="24"/>
      <c r="W214" s="24"/>
      <c r="X214" s="24"/>
      <c r="Y214" s="24"/>
      <c r="Z214" s="24"/>
      <c r="AA214" s="24"/>
      <c r="AB214" s="24"/>
      <c r="AC214" s="24"/>
    </row>
    <row r="215" spans="1:29" ht="16.3">
      <c r="A215" s="24"/>
      <c r="B215" s="24"/>
      <c r="C215" s="24"/>
      <c r="D215" s="24"/>
      <c r="E215" s="24"/>
      <c r="F215" s="24"/>
      <c r="G215" s="117"/>
      <c r="H215" s="117"/>
      <c r="I215" s="118"/>
      <c r="J215" s="119"/>
      <c r="K215" s="119"/>
      <c r="L215" s="24"/>
      <c r="M215" s="24"/>
      <c r="N215" s="24"/>
      <c r="O215" s="24"/>
      <c r="P215" s="114"/>
      <c r="Q215" s="24"/>
      <c r="R215" s="24"/>
      <c r="S215" s="24"/>
      <c r="T215" s="24"/>
      <c r="U215" s="24"/>
      <c r="V215" s="24"/>
      <c r="W215" s="24"/>
      <c r="X215" s="24"/>
      <c r="Y215" s="24"/>
      <c r="Z215" s="24"/>
      <c r="AA215" s="24"/>
      <c r="AB215" s="24"/>
      <c r="AC215" s="24"/>
    </row>
    <row r="216" spans="1:29" ht="16.3">
      <c r="A216" s="24"/>
      <c r="B216" s="24"/>
      <c r="C216" s="24"/>
      <c r="D216" s="24"/>
      <c r="E216" s="24"/>
      <c r="F216" s="24"/>
      <c r="G216" s="117"/>
      <c r="H216" s="117"/>
      <c r="I216" s="118"/>
      <c r="J216" s="119"/>
      <c r="K216" s="119"/>
      <c r="L216" s="24"/>
      <c r="M216" s="24"/>
      <c r="N216" s="24"/>
      <c r="O216" s="24"/>
      <c r="P216" s="114"/>
      <c r="Q216" s="24"/>
      <c r="R216" s="24"/>
      <c r="S216" s="24"/>
      <c r="T216" s="24"/>
      <c r="U216" s="24"/>
      <c r="V216" s="24"/>
      <c r="W216" s="24"/>
      <c r="X216" s="24"/>
      <c r="Y216" s="24"/>
      <c r="Z216" s="24"/>
      <c r="AA216" s="24"/>
      <c r="AB216" s="24"/>
      <c r="AC216" s="24"/>
    </row>
    <row r="217" spans="1:29" ht="16.3">
      <c r="A217" s="24"/>
      <c r="B217" s="24"/>
      <c r="C217" s="24"/>
      <c r="D217" s="24"/>
      <c r="E217" s="24"/>
      <c r="F217" s="24"/>
      <c r="G217" s="117"/>
      <c r="H217" s="117"/>
      <c r="I217" s="118"/>
      <c r="J217" s="119"/>
      <c r="K217" s="119"/>
      <c r="L217" s="24"/>
      <c r="M217" s="24"/>
      <c r="N217" s="24"/>
      <c r="O217" s="24"/>
      <c r="P217" s="114"/>
      <c r="Q217" s="24"/>
      <c r="R217" s="24"/>
      <c r="S217" s="24"/>
      <c r="T217" s="24"/>
      <c r="U217" s="24"/>
      <c r="V217" s="24"/>
      <c r="W217" s="24"/>
      <c r="X217" s="24"/>
      <c r="Y217" s="24"/>
      <c r="Z217" s="24"/>
      <c r="AA217" s="24"/>
      <c r="AB217" s="24"/>
      <c r="AC217" s="24"/>
    </row>
    <row r="218" spans="1:29" ht="16.3">
      <c r="A218" s="24"/>
      <c r="B218" s="24"/>
      <c r="C218" s="24"/>
      <c r="D218" s="24"/>
      <c r="E218" s="24"/>
      <c r="F218" s="24"/>
      <c r="G218" s="117"/>
      <c r="H218" s="117"/>
      <c r="I218" s="118"/>
      <c r="J218" s="119"/>
      <c r="K218" s="119"/>
      <c r="L218" s="24"/>
      <c r="M218" s="24"/>
      <c r="N218" s="24"/>
      <c r="O218" s="24"/>
      <c r="P218" s="114"/>
      <c r="Q218" s="24"/>
      <c r="R218" s="24"/>
      <c r="S218" s="24"/>
      <c r="T218" s="24"/>
      <c r="U218" s="24"/>
      <c r="V218" s="24"/>
      <c r="W218" s="24"/>
      <c r="X218" s="24"/>
      <c r="Y218" s="24"/>
      <c r="Z218" s="24"/>
      <c r="AA218" s="24"/>
      <c r="AB218" s="24"/>
      <c r="AC218" s="24"/>
    </row>
    <row r="219" spans="1:29" ht="16.3">
      <c r="A219" s="24"/>
      <c r="B219" s="24"/>
      <c r="C219" s="24"/>
      <c r="D219" s="24"/>
      <c r="E219" s="24"/>
      <c r="F219" s="24"/>
      <c r="G219" s="117"/>
      <c r="H219" s="117"/>
      <c r="I219" s="118"/>
      <c r="J219" s="119"/>
      <c r="K219" s="119"/>
      <c r="L219" s="24"/>
      <c r="M219" s="24"/>
      <c r="N219" s="24"/>
      <c r="O219" s="24"/>
      <c r="P219" s="114"/>
      <c r="Q219" s="24"/>
      <c r="R219" s="24"/>
      <c r="S219" s="24"/>
      <c r="T219" s="24"/>
      <c r="U219" s="24"/>
      <c r="V219" s="24"/>
      <c r="W219" s="24"/>
      <c r="X219" s="24"/>
      <c r="Y219" s="24"/>
      <c r="Z219" s="24"/>
      <c r="AA219" s="24"/>
      <c r="AB219" s="24"/>
      <c r="AC219" s="24"/>
    </row>
    <row r="220" spans="1:29" ht="16.3">
      <c r="A220" s="24"/>
      <c r="B220" s="24"/>
      <c r="C220" s="24"/>
      <c r="D220" s="24"/>
      <c r="E220" s="24"/>
      <c r="F220" s="24"/>
      <c r="G220" s="117"/>
      <c r="H220" s="117"/>
      <c r="I220" s="118"/>
      <c r="J220" s="119"/>
      <c r="K220" s="119"/>
      <c r="L220" s="24"/>
      <c r="M220" s="24"/>
      <c r="N220" s="24"/>
      <c r="O220" s="24"/>
      <c r="P220" s="114"/>
      <c r="Q220" s="24"/>
      <c r="R220" s="24"/>
      <c r="S220" s="24"/>
      <c r="T220" s="24"/>
      <c r="U220" s="24"/>
      <c r="V220" s="24"/>
      <c r="W220" s="24"/>
      <c r="X220" s="24"/>
      <c r="Y220" s="24"/>
      <c r="Z220" s="24"/>
      <c r="AA220" s="24"/>
      <c r="AB220" s="24"/>
      <c r="AC220" s="24"/>
    </row>
    <row r="221" spans="1:29" ht="16.3">
      <c r="A221" s="24"/>
      <c r="B221" s="24"/>
      <c r="C221" s="24"/>
      <c r="D221" s="24"/>
      <c r="E221" s="24"/>
      <c r="F221" s="24"/>
      <c r="G221" s="117"/>
      <c r="H221" s="117"/>
      <c r="I221" s="118"/>
      <c r="J221" s="119"/>
      <c r="K221" s="119"/>
      <c r="L221" s="24"/>
      <c r="M221" s="24"/>
      <c r="N221" s="24"/>
      <c r="O221" s="24"/>
      <c r="P221" s="114"/>
      <c r="Q221" s="24"/>
      <c r="R221" s="24"/>
      <c r="S221" s="24"/>
      <c r="T221" s="24"/>
      <c r="U221" s="24"/>
      <c r="V221" s="24"/>
      <c r="W221" s="24"/>
      <c r="X221" s="24"/>
      <c r="Y221" s="24"/>
      <c r="Z221" s="24"/>
      <c r="AA221" s="24"/>
      <c r="AB221" s="24"/>
      <c r="AC221" s="24"/>
    </row>
    <row r="222" spans="1:29" ht="16.3">
      <c r="A222" s="24"/>
      <c r="B222" s="24"/>
      <c r="C222" s="24"/>
      <c r="D222" s="24"/>
      <c r="E222" s="24"/>
      <c r="F222" s="24"/>
      <c r="G222" s="117"/>
      <c r="H222" s="117"/>
      <c r="I222" s="118"/>
      <c r="J222" s="119"/>
      <c r="K222" s="119"/>
      <c r="L222" s="24"/>
      <c r="M222" s="24"/>
      <c r="N222" s="24"/>
      <c r="O222" s="24"/>
      <c r="P222" s="114"/>
      <c r="Q222" s="24"/>
      <c r="R222" s="24"/>
      <c r="S222" s="24"/>
      <c r="T222" s="24"/>
      <c r="U222" s="24"/>
      <c r="V222" s="24"/>
      <c r="W222" s="24"/>
      <c r="X222" s="24"/>
      <c r="Y222" s="24"/>
      <c r="Z222" s="24"/>
      <c r="AA222" s="24"/>
      <c r="AB222" s="24"/>
      <c r="AC222" s="24"/>
    </row>
    <row r="223" spans="1:29" ht="16.3">
      <c r="A223" s="24"/>
      <c r="B223" s="24"/>
      <c r="C223" s="24"/>
      <c r="D223" s="24"/>
      <c r="E223" s="24"/>
      <c r="F223" s="24"/>
      <c r="G223" s="117"/>
      <c r="H223" s="117"/>
      <c r="I223" s="118"/>
      <c r="J223" s="119"/>
      <c r="K223" s="119"/>
      <c r="L223" s="24"/>
      <c r="M223" s="24"/>
      <c r="N223" s="24"/>
      <c r="O223" s="24"/>
      <c r="P223" s="114"/>
      <c r="Q223" s="24"/>
      <c r="R223" s="24"/>
      <c r="S223" s="24"/>
      <c r="T223" s="24"/>
      <c r="U223" s="24"/>
      <c r="V223" s="24"/>
      <c r="W223" s="24"/>
      <c r="X223" s="24"/>
      <c r="Y223" s="24"/>
      <c r="Z223" s="24"/>
      <c r="AA223" s="24"/>
      <c r="AB223" s="24"/>
      <c r="AC223" s="24"/>
    </row>
    <row r="224" spans="1:29" ht="16.3">
      <c r="A224" s="24"/>
      <c r="B224" s="24"/>
      <c r="C224" s="24"/>
      <c r="D224" s="24"/>
      <c r="E224" s="24"/>
      <c r="F224" s="24"/>
      <c r="G224" s="117"/>
      <c r="H224" s="117"/>
      <c r="I224" s="118"/>
      <c r="J224" s="119"/>
      <c r="K224" s="119"/>
      <c r="L224" s="24"/>
      <c r="M224" s="24"/>
      <c r="N224" s="24"/>
      <c r="O224" s="24"/>
      <c r="P224" s="114"/>
      <c r="Q224" s="24"/>
      <c r="R224" s="24"/>
      <c r="S224" s="24"/>
      <c r="T224" s="24"/>
      <c r="U224" s="24"/>
      <c r="V224" s="24"/>
      <c r="W224" s="24"/>
      <c r="X224" s="24"/>
      <c r="Y224" s="24"/>
      <c r="Z224" s="24"/>
      <c r="AA224" s="24"/>
      <c r="AB224" s="24"/>
      <c r="AC224" s="24"/>
    </row>
    <row r="225" spans="1:29" ht="16.3">
      <c r="A225" s="24"/>
      <c r="B225" s="24"/>
      <c r="C225" s="24"/>
      <c r="D225" s="24"/>
      <c r="E225" s="24"/>
      <c r="F225" s="24"/>
      <c r="G225" s="117"/>
      <c r="H225" s="117"/>
      <c r="I225" s="118"/>
      <c r="J225" s="119"/>
      <c r="K225" s="119"/>
      <c r="L225" s="24"/>
      <c r="M225" s="24"/>
      <c r="N225" s="24"/>
      <c r="O225" s="24"/>
      <c r="P225" s="114"/>
      <c r="Q225" s="24"/>
      <c r="R225" s="24"/>
      <c r="S225" s="24"/>
      <c r="T225" s="24"/>
      <c r="U225" s="24"/>
      <c r="V225" s="24"/>
      <c r="W225" s="24"/>
      <c r="X225" s="24"/>
      <c r="Y225" s="24"/>
      <c r="Z225" s="24"/>
      <c r="AA225" s="24"/>
      <c r="AB225" s="24"/>
      <c r="AC225" s="24"/>
    </row>
    <row r="226" spans="1:29" ht="16.3">
      <c r="A226" s="24"/>
      <c r="B226" s="24"/>
      <c r="C226" s="24"/>
      <c r="D226" s="24"/>
      <c r="E226" s="24"/>
      <c r="F226" s="24"/>
      <c r="G226" s="117"/>
      <c r="H226" s="117"/>
      <c r="I226" s="118"/>
      <c r="J226" s="119"/>
      <c r="K226" s="119"/>
      <c r="L226" s="24"/>
      <c r="M226" s="24"/>
      <c r="N226" s="24"/>
      <c r="O226" s="24"/>
      <c r="P226" s="114"/>
      <c r="Q226" s="24"/>
      <c r="R226" s="24"/>
      <c r="S226" s="24"/>
      <c r="T226" s="24"/>
      <c r="U226" s="24"/>
      <c r="V226" s="24"/>
      <c r="W226" s="24"/>
      <c r="X226" s="24"/>
      <c r="Y226" s="24"/>
      <c r="Z226" s="24"/>
      <c r="AA226" s="24"/>
      <c r="AB226" s="24"/>
      <c r="AC226" s="24"/>
    </row>
    <row r="227" spans="1:29" ht="16.3">
      <c r="A227" s="24"/>
      <c r="B227" s="24"/>
      <c r="C227" s="24"/>
      <c r="D227" s="24"/>
      <c r="E227" s="24"/>
      <c r="F227" s="24"/>
      <c r="G227" s="117"/>
      <c r="H227" s="117"/>
      <c r="I227" s="118"/>
      <c r="J227" s="119"/>
      <c r="K227" s="119"/>
      <c r="L227" s="24"/>
      <c r="M227" s="24"/>
      <c r="N227" s="24"/>
      <c r="O227" s="24"/>
      <c r="P227" s="114"/>
      <c r="Q227" s="24"/>
      <c r="R227" s="24"/>
      <c r="S227" s="24"/>
      <c r="T227" s="24"/>
      <c r="U227" s="24"/>
      <c r="V227" s="24"/>
      <c r="W227" s="24"/>
      <c r="X227" s="24"/>
      <c r="Y227" s="24"/>
      <c r="Z227" s="24"/>
      <c r="AA227" s="24"/>
      <c r="AB227" s="24"/>
      <c r="AC227" s="24"/>
    </row>
    <row r="228" spans="1:29" ht="16.3">
      <c r="A228" s="24"/>
      <c r="B228" s="24"/>
      <c r="C228" s="24"/>
      <c r="D228" s="24"/>
      <c r="E228" s="24"/>
      <c r="F228" s="24"/>
      <c r="G228" s="117"/>
      <c r="H228" s="117"/>
      <c r="I228" s="118"/>
      <c r="J228" s="119"/>
      <c r="K228" s="119"/>
      <c r="L228" s="24"/>
      <c r="M228" s="24"/>
      <c r="N228" s="24"/>
      <c r="O228" s="24"/>
      <c r="P228" s="114"/>
      <c r="Q228" s="24"/>
      <c r="R228" s="24"/>
      <c r="S228" s="24"/>
      <c r="T228" s="24"/>
      <c r="U228" s="24"/>
      <c r="V228" s="24"/>
      <c r="W228" s="24"/>
      <c r="X228" s="24"/>
      <c r="Y228" s="24"/>
      <c r="Z228" s="24"/>
      <c r="AA228" s="24"/>
      <c r="AB228" s="24"/>
      <c r="AC228" s="24"/>
    </row>
    <row r="229" spans="1:29" ht="16.3">
      <c r="A229" s="24"/>
      <c r="B229" s="24"/>
      <c r="C229" s="24"/>
      <c r="D229" s="24"/>
      <c r="E229" s="24"/>
      <c r="F229" s="24"/>
      <c r="G229" s="117"/>
      <c r="H229" s="117"/>
      <c r="I229" s="118"/>
      <c r="J229" s="119"/>
      <c r="K229" s="119"/>
      <c r="L229" s="24"/>
      <c r="M229" s="24"/>
      <c r="N229" s="24"/>
      <c r="O229" s="24"/>
      <c r="P229" s="114"/>
      <c r="Q229" s="24"/>
      <c r="R229" s="24"/>
      <c r="S229" s="24"/>
      <c r="T229" s="24"/>
      <c r="U229" s="24"/>
      <c r="V229" s="24"/>
      <c r="W229" s="24"/>
      <c r="X229" s="24"/>
      <c r="Y229" s="24"/>
      <c r="Z229" s="24"/>
      <c r="AA229" s="24"/>
      <c r="AB229" s="24"/>
      <c r="AC229" s="24"/>
    </row>
    <row r="230" spans="1:29" ht="16.3">
      <c r="A230" s="24"/>
      <c r="B230" s="24"/>
      <c r="C230" s="24"/>
      <c r="D230" s="24"/>
      <c r="E230" s="24"/>
      <c r="F230" s="24"/>
      <c r="G230" s="117"/>
      <c r="H230" s="117"/>
      <c r="I230" s="118"/>
      <c r="J230" s="119"/>
      <c r="K230" s="119"/>
      <c r="L230" s="24"/>
      <c r="M230" s="24"/>
      <c r="N230" s="24"/>
      <c r="O230" s="24"/>
      <c r="P230" s="114"/>
      <c r="Q230" s="24"/>
      <c r="R230" s="24"/>
      <c r="S230" s="24"/>
      <c r="T230" s="24"/>
      <c r="U230" s="24"/>
      <c r="V230" s="24"/>
      <c r="W230" s="24"/>
      <c r="X230" s="24"/>
      <c r="Y230" s="24"/>
      <c r="Z230" s="24"/>
      <c r="AA230" s="24"/>
      <c r="AB230" s="24"/>
      <c r="AC230" s="24"/>
    </row>
    <row r="231" spans="1:29" ht="16.3">
      <c r="A231" s="24"/>
      <c r="B231" s="24"/>
      <c r="C231" s="24"/>
      <c r="D231" s="24"/>
      <c r="E231" s="24"/>
      <c r="F231" s="24"/>
      <c r="G231" s="117"/>
      <c r="H231" s="117"/>
      <c r="I231" s="118"/>
      <c r="J231" s="119"/>
      <c r="K231" s="119"/>
      <c r="L231" s="24"/>
      <c r="M231" s="24"/>
      <c r="N231" s="24"/>
      <c r="O231" s="24"/>
      <c r="P231" s="114"/>
      <c r="Q231" s="24"/>
      <c r="R231" s="24"/>
      <c r="S231" s="24"/>
      <c r="T231" s="24"/>
      <c r="U231" s="24"/>
      <c r="V231" s="24"/>
      <c r="W231" s="24"/>
      <c r="X231" s="24"/>
      <c r="Y231" s="24"/>
      <c r="Z231" s="24"/>
      <c r="AA231" s="24"/>
      <c r="AB231" s="24"/>
      <c r="AC231" s="24"/>
    </row>
    <row r="232" spans="1:29" ht="16.3">
      <c r="A232" s="24"/>
      <c r="B232" s="24"/>
      <c r="C232" s="24"/>
      <c r="D232" s="24"/>
      <c r="E232" s="24"/>
      <c r="F232" s="24"/>
      <c r="G232" s="117"/>
      <c r="H232" s="117"/>
      <c r="I232" s="118"/>
      <c r="J232" s="119"/>
      <c r="K232" s="119"/>
      <c r="L232" s="24"/>
      <c r="M232" s="24"/>
      <c r="N232" s="24"/>
      <c r="O232" s="24"/>
      <c r="P232" s="114"/>
      <c r="Q232" s="24"/>
      <c r="R232" s="24"/>
      <c r="S232" s="24"/>
      <c r="T232" s="24"/>
      <c r="U232" s="24"/>
      <c r="V232" s="24"/>
      <c r="W232" s="24"/>
      <c r="X232" s="24"/>
      <c r="Y232" s="24"/>
      <c r="Z232" s="24"/>
      <c r="AA232" s="24"/>
      <c r="AB232" s="24"/>
      <c r="AC232" s="24"/>
    </row>
    <row r="233" spans="1:29" ht="16.3">
      <c r="A233" s="24"/>
      <c r="B233" s="24"/>
      <c r="C233" s="24"/>
      <c r="D233" s="24"/>
      <c r="E233" s="24"/>
      <c r="F233" s="24"/>
      <c r="G233" s="117"/>
      <c r="H233" s="117"/>
      <c r="I233" s="118"/>
      <c r="J233" s="119"/>
      <c r="K233" s="119"/>
      <c r="L233" s="24"/>
      <c r="M233" s="24"/>
      <c r="N233" s="24"/>
      <c r="O233" s="24"/>
      <c r="P233" s="114"/>
      <c r="Q233" s="24"/>
      <c r="R233" s="24"/>
      <c r="S233" s="24"/>
      <c r="T233" s="24"/>
      <c r="U233" s="24"/>
      <c r="V233" s="24"/>
      <c r="W233" s="24"/>
      <c r="X233" s="24"/>
      <c r="Y233" s="24"/>
      <c r="Z233" s="24"/>
      <c r="AA233" s="24"/>
      <c r="AB233" s="24"/>
      <c r="AC233" s="24"/>
    </row>
    <row r="234" spans="1:29" ht="16.3">
      <c r="A234" s="24"/>
      <c r="B234" s="24"/>
      <c r="C234" s="24"/>
      <c r="D234" s="24"/>
      <c r="E234" s="24"/>
      <c r="F234" s="24"/>
      <c r="G234" s="117"/>
      <c r="H234" s="117"/>
      <c r="I234" s="118"/>
      <c r="J234" s="119"/>
      <c r="K234" s="119"/>
      <c r="L234" s="24"/>
      <c r="M234" s="24"/>
      <c r="N234" s="24"/>
      <c r="O234" s="24"/>
      <c r="P234" s="114"/>
      <c r="Q234" s="24"/>
      <c r="R234" s="24"/>
      <c r="S234" s="24"/>
      <c r="T234" s="24"/>
      <c r="U234" s="24"/>
      <c r="V234" s="24"/>
      <c r="W234" s="24"/>
      <c r="X234" s="24"/>
      <c r="Y234" s="24"/>
      <c r="Z234" s="24"/>
      <c r="AA234" s="24"/>
      <c r="AB234" s="24"/>
      <c r="AC234" s="24"/>
    </row>
    <row r="235" spans="1:29" ht="16.3">
      <c r="A235" s="24"/>
      <c r="B235" s="24"/>
      <c r="C235" s="24"/>
      <c r="D235" s="24"/>
      <c r="E235" s="24"/>
      <c r="F235" s="24"/>
      <c r="G235" s="117"/>
      <c r="H235" s="117"/>
      <c r="I235" s="118"/>
      <c r="J235" s="119"/>
      <c r="K235" s="119"/>
      <c r="L235" s="24"/>
      <c r="M235" s="24"/>
      <c r="N235" s="24"/>
      <c r="O235" s="24"/>
      <c r="P235" s="114"/>
      <c r="Q235" s="24"/>
      <c r="R235" s="24"/>
      <c r="S235" s="24"/>
      <c r="T235" s="24"/>
      <c r="U235" s="24"/>
      <c r="V235" s="24"/>
      <c r="W235" s="24"/>
      <c r="X235" s="24"/>
      <c r="Y235" s="24"/>
      <c r="Z235" s="24"/>
      <c r="AA235" s="24"/>
      <c r="AB235" s="24"/>
      <c r="AC235" s="24"/>
    </row>
    <row r="236" spans="1:29" ht="16.3">
      <c r="A236" s="24"/>
      <c r="B236" s="24"/>
      <c r="C236" s="24"/>
      <c r="D236" s="24"/>
      <c r="E236" s="24"/>
      <c r="F236" s="24"/>
      <c r="G236" s="117"/>
      <c r="H236" s="117"/>
      <c r="I236" s="118"/>
      <c r="J236" s="119"/>
      <c r="K236" s="119"/>
      <c r="L236" s="24"/>
      <c r="M236" s="24"/>
      <c r="N236" s="24"/>
      <c r="O236" s="24"/>
      <c r="P236" s="114"/>
      <c r="Q236" s="24"/>
      <c r="R236" s="24"/>
      <c r="S236" s="24"/>
      <c r="T236" s="24"/>
      <c r="U236" s="24"/>
      <c r="V236" s="24"/>
      <c r="W236" s="24"/>
      <c r="X236" s="24"/>
      <c r="Y236" s="24"/>
      <c r="Z236" s="24"/>
      <c r="AA236" s="24"/>
      <c r="AB236" s="24"/>
      <c r="AC236" s="24"/>
    </row>
    <row r="237" spans="1:29" ht="16.3">
      <c r="A237" s="24"/>
      <c r="B237" s="24"/>
      <c r="C237" s="24"/>
      <c r="D237" s="24"/>
      <c r="E237" s="24"/>
      <c r="F237" s="24"/>
      <c r="G237" s="117"/>
      <c r="H237" s="117"/>
      <c r="I237" s="118"/>
      <c r="J237" s="119"/>
      <c r="K237" s="119"/>
      <c r="L237" s="24"/>
      <c r="M237" s="24"/>
      <c r="N237" s="24"/>
      <c r="O237" s="24"/>
      <c r="P237" s="114"/>
      <c r="Q237" s="24"/>
      <c r="R237" s="24"/>
      <c r="S237" s="24"/>
      <c r="T237" s="24"/>
      <c r="U237" s="24"/>
      <c r="V237" s="24"/>
      <c r="W237" s="24"/>
      <c r="X237" s="24"/>
      <c r="Y237" s="24"/>
      <c r="Z237" s="24"/>
      <c r="AA237" s="24"/>
      <c r="AB237" s="24"/>
      <c r="AC237" s="24"/>
    </row>
    <row r="238" spans="1:29" ht="16.3">
      <c r="A238" s="24"/>
      <c r="B238" s="24"/>
      <c r="C238" s="24"/>
      <c r="D238" s="24"/>
      <c r="E238" s="24"/>
      <c r="F238" s="24"/>
      <c r="G238" s="117"/>
      <c r="H238" s="117"/>
      <c r="I238" s="118"/>
      <c r="J238" s="119"/>
      <c r="K238" s="119"/>
      <c r="L238" s="24"/>
      <c r="M238" s="24"/>
      <c r="N238" s="24"/>
      <c r="O238" s="24"/>
      <c r="P238" s="114"/>
      <c r="Q238" s="24"/>
      <c r="R238" s="24"/>
      <c r="S238" s="24"/>
      <c r="T238" s="24"/>
      <c r="U238" s="24"/>
      <c r="V238" s="24"/>
      <c r="W238" s="24"/>
      <c r="X238" s="24"/>
      <c r="Y238" s="24"/>
      <c r="Z238" s="24"/>
      <c r="AA238" s="24"/>
      <c r="AB238" s="24"/>
      <c r="AC238" s="24"/>
    </row>
    <row r="239" spans="1:29" ht="16.3">
      <c r="A239" s="24"/>
      <c r="B239" s="24"/>
      <c r="C239" s="24"/>
      <c r="D239" s="24"/>
      <c r="E239" s="24"/>
      <c r="F239" s="24"/>
      <c r="G239" s="117"/>
      <c r="H239" s="117"/>
      <c r="I239" s="118"/>
      <c r="J239" s="119"/>
      <c r="K239" s="119"/>
      <c r="L239" s="24"/>
      <c r="M239" s="24"/>
      <c r="N239" s="24"/>
      <c r="O239" s="24"/>
      <c r="P239" s="114"/>
      <c r="Q239" s="24"/>
      <c r="R239" s="24"/>
      <c r="S239" s="24"/>
      <c r="T239" s="24"/>
      <c r="U239" s="24"/>
      <c r="V239" s="24"/>
      <c r="W239" s="24"/>
      <c r="X239" s="24"/>
      <c r="Y239" s="24"/>
      <c r="Z239" s="24"/>
      <c r="AA239" s="24"/>
      <c r="AB239" s="24"/>
      <c r="AC239" s="24"/>
    </row>
    <row r="240" spans="1:29" ht="16.3">
      <c r="A240" s="24"/>
      <c r="B240" s="24"/>
      <c r="C240" s="24"/>
      <c r="D240" s="24"/>
      <c r="E240" s="24"/>
      <c r="F240" s="24"/>
      <c r="G240" s="117"/>
      <c r="H240" s="117"/>
      <c r="I240" s="118"/>
      <c r="J240" s="119"/>
      <c r="K240" s="119"/>
      <c r="L240" s="24"/>
      <c r="M240" s="24"/>
      <c r="N240" s="24"/>
      <c r="O240" s="24"/>
      <c r="P240" s="114"/>
      <c r="Q240" s="24"/>
      <c r="R240" s="24"/>
      <c r="S240" s="24"/>
      <c r="T240" s="24"/>
      <c r="U240" s="24"/>
      <c r="V240" s="24"/>
      <c r="W240" s="24"/>
      <c r="X240" s="24"/>
      <c r="Y240" s="24"/>
      <c r="Z240" s="24"/>
      <c r="AA240" s="24"/>
      <c r="AB240" s="24"/>
      <c r="AC240" s="24"/>
    </row>
    <row r="241" spans="1:29" ht="16.3">
      <c r="A241" s="24"/>
      <c r="B241" s="24"/>
      <c r="C241" s="24"/>
      <c r="D241" s="24"/>
      <c r="E241" s="24"/>
      <c r="F241" s="24"/>
      <c r="G241" s="117"/>
      <c r="H241" s="117"/>
      <c r="I241" s="118"/>
      <c r="J241" s="119"/>
      <c r="K241" s="119"/>
      <c r="L241" s="24"/>
      <c r="M241" s="24"/>
      <c r="N241" s="24"/>
      <c r="O241" s="24"/>
      <c r="P241" s="114"/>
      <c r="Q241" s="24"/>
      <c r="R241" s="24"/>
      <c r="S241" s="24"/>
      <c r="T241" s="24"/>
      <c r="U241" s="24"/>
      <c r="V241" s="24"/>
      <c r="W241" s="24"/>
      <c r="X241" s="24"/>
      <c r="Y241" s="24"/>
      <c r="Z241" s="24"/>
      <c r="AA241" s="24"/>
      <c r="AB241" s="24"/>
      <c r="AC241" s="24"/>
    </row>
    <row r="242" spans="1:29" ht="16.3">
      <c r="A242" s="24"/>
      <c r="B242" s="24"/>
      <c r="C242" s="24"/>
      <c r="D242" s="24"/>
      <c r="E242" s="24"/>
      <c r="F242" s="24"/>
      <c r="G242" s="117"/>
      <c r="H242" s="117"/>
      <c r="I242" s="118"/>
      <c r="J242" s="119"/>
      <c r="K242" s="119"/>
      <c r="L242" s="24"/>
      <c r="M242" s="24"/>
      <c r="N242" s="24"/>
      <c r="O242" s="24"/>
      <c r="P242" s="114"/>
      <c r="Q242" s="24"/>
      <c r="R242" s="24"/>
      <c r="S242" s="24"/>
      <c r="T242" s="24"/>
      <c r="U242" s="24"/>
      <c r="V242" s="24"/>
      <c r="W242" s="24"/>
      <c r="X242" s="24"/>
      <c r="Y242" s="24"/>
      <c r="Z242" s="24"/>
      <c r="AA242" s="24"/>
      <c r="AB242" s="24"/>
      <c r="AC242" s="24"/>
    </row>
    <row r="243" spans="1:29" ht="16.3">
      <c r="A243" s="24"/>
      <c r="B243" s="24"/>
      <c r="C243" s="24"/>
      <c r="D243" s="24"/>
      <c r="E243" s="24"/>
      <c r="F243" s="24"/>
      <c r="G243" s="117"/>
      <c r="H243" s="117"/>
      <c r="I243" s="118"/>
      <c r="J243" s="119"/>
      <c r="K243" s="119"/>
      <c r="L243" s="24"/>
      <c r="M243" s="24"/>
      <c r="N243" s="24"/>
      <c r="O243" s="24"/>
      <c r="P243" s="114"/>
      <c r="Q243" s="24"/>
      <c r="R243" s="24"/>
      <c r="S243" s="24"/>
      <c r="T243" s="24"/>
      <c r="U243" s="24"/>
      <c r="V243" s="24"/>
      <c r="W243" s="24"/>
      <c r="X243" s="24"/>
      <c r="Y243" s="24"/>
      <c r="Z243" s="24"/>
      <c r="AA243" s="24"/>
      <c r="AB243" s="24"/>
      <c r="AC243" s="24"/>
    </row>
    <row r="244" spans="1:29" ht="16.3">
      <c r="A244" s="24"/>
      <c r="B244" s="24"/>
      <c r="C244" s="24"/>
      <c r="D244" s="24"/>
      <c r="E244" s="24"/>
      <c r="F244" s="24"/>
      <c r="G244" s="117"/>
      <c r="H244" s="117"/>
      <c r="I244" s="118"/>
      <c r="J244" s="119"/>
      <c r="K244" s="119"/>
      <c r="L244" s="24"/>
      <c r="M244" s="24"/>
      <c r="N244" s="24"/>
      <c r="O244" s="24"/>
      <c r="P244" s="114"/>
      <c r="Q244" s="24"/>
      <c r="R244" s="24"/>
      <c r="S244" s="24"/>
      <c r="T244" s="24"/>
      <c r="U244" s="24"/>
      <c r="V244" s="24"/>
      <c r="W244" s="24"/>
      <c r="X244" s="24"/>
      <c r="Y244" s="24"/>
      <c r="Z244" s="24"/>
      <c r="AA244" s="24"/>
      <c r="AB244" s="24"/>
      <c r="AC244" s="24"/>
    </row>
    <row r="245" spans="1:29" ht="16.3">
      <c r="A245" s="24"/>
      <c r="B245" s="24"/>
      <c r="C245" s="24"/>
      <c r="D245" s="24"/>
      <c r="E245" s="24"/>
      <c r="F245" s="24"/>
      <c r="G245" s="117"/>
      <c r="H245" s="117"/>
      <c r="I245" s="118"/>
      <c r="J245" s="119"/>
      <c r="K245" s="119"/>
      <c r="L245" s="24"/>
      <c r="M245" s="24"/>
      <c r="N245" s="24"/>
      <c r="O245" s="24"/>
      <c r="P245" s="114"/>
      <c r="Q245" s="24"/>
      <c r="R245" s="24"/>
      <c r="S245" s="24"/>
      <c r="T245" s="24"/>
      <c r="U245" s="24"/>
      <c r="V245" s="24"/>
      <c r="W245" s="24"/>
      <c r="X245" s="24"/>
      <c r="Y245" s="24"/>
      <c r="Z245" s="24"/>
      <c r="AA245" s="24"/>
      <c r="AB245" s="24"/>
      <c r="AC245" s="24"/>
    </row>
    <row r="246" spans="1:29" ht="16.3">
      <c r="A246" s="24"/>
      <c r="B246" s="24"/>
      <c r="C246" s="24"/>
      <c r="D246" s="24"/>
      <c r="E246" s="24"/>
      <c r="F246" s="24"/>
      <c r="G246" s="117"/>
      <c r="H246" s="117"/>
      <c r="I246" s="118"/>
      <c r="J246" s="119"/>
      <c r="K246" s="119"/>
      <c r="L246" s="24"/>
      <c r="M246" s="24"/>
      <c r="N246" s="24"/>
      <c r="O246" s="24"/>
      <c r="P246" s="114"/>
      <c r="Q246" s="24"/>
      <c r="R246" s="24"/>
      <c r="S246" s="24"/>
      <c r="T246" s="24"/>
      <c r="U246" s="24"/>
      <c r="V246" s="24"/>
      <c r="W246" s="24"/>
      <c r="X246" s="24"/>
      <c r="Y246" s="24"/>
      <c r="Z246" s="24"/>
      <c r="AA246" s="24"/>
      <c r="AB246" s="24"/>
      <c r="AC246" s="24"/>
    </row>
    <row r="247" spans="1:29" ht="16.3">
      <c r="A247" s="24"/>
      <c r="B247" s="24"/>
      <c r="C247" s="24"/>
      <c r="D247" s="24"/>
      <c r="E247" s="24"/>
      <c r="F247" s="24"/>
      <c r="G247" s="117"/>
      <c r="H247" s="117"/>
      <c r="I247" s="118"/>
      <c r="J247" s="119"/>
      <c r="K247" s="119"/>
      <c r="L247" s="24"/>
      <c r="M247" s="24"/>
      <c r="N247" s="24"/>
      <c r="O247" s="24"/>
      <c r="P247" s="114"/>
      <c r="Q247" s="24"/>
      <c r="R247" s="24"/>
      <c r="S247" s="24"/>
      <c r="T247" s="24"/>
      <c r="U247" s="24"/>
      <c r="V247" s="24"/>
      <c r="W247" s="24"/>
      <c r="X247" s="24"/>
      <c r="Y247" s="24"/>
      <c r="Z247" s="24"/>
      <c r="AA247" s="24"/>
      <c r="AB247" s="24"/>
      <c r="AC247" s="24"/>
    </row>
    <row r="248" spans="1:29" ht="16.3">
      <c r="A248" s="24"/>
      <c r="B248" s="24"/>
      <c r="C248" s="24"/>
      <c r="D248" s="24"/>
      <c r="E248" s="24"/>
      <c r="F248" s="24"/>
      <c r="G248" s="117"/>
      <c r="H248" s="117"/>
      <c r="I248" s="118"/>
      <c r="J248" s="119"/>
      <c r="K248" s="119"/>
      <c r="L248" s="24"/>
      <c r="M248" s="24"/>
      <c r="N248" s="24"/>
      <c r="O248" s="24"/>
      <c r="P248" s="114"/>
      <c r="Q248" s="24"/>
      <c r="R248" s="24"/>
      <c r="S248" s="24"/>
      <c r="T248" s="24"/>
      <c r="U248" s="24"/>
      <c r="V248" s="24"/>
      <c r="W248" s="24"/>
      <c r="X248" s="24"/>
      <c r="Y248" s="24"/>
      <c r="Z248" s="24"/>
      <c r="AA248" s="24"/>
      <c r="AB248" s="24"/>
      <c r="AC248" s="24"/>
    </row>
    <row r="249" spans="1:29" ht="16.3">
      <c r="A249" s="24"/>
      <c r="B249" s="24"/>
      <c r="C249" s="24"/>
      <c r="D249" s="24"/>
      <c r="E249" s="24"/>
      <c r="F249" s="24"/>
      <c r="G249" s="117"/>
      <c r="H249" s="117"/>
      <c r="I249" s="118"/>
      <c r="J249" s="119"/>
      <c r="K249" s="119"/>
      <c r="L249" s="24"/>
      <c r="M249" s="24"/>
      <c r="N249" s="24"/>
      <c r="O249" s="24"/>
      <c r="P249" s="114"/>
      <c r="Q249" s="24"/>
      <c r="R249" s="24"/>
      <c r="S249" s="24"/>
      <c r="T249" s="24"/>
      <c r="U249" s="24"/>
      <c r="V249" s="24"/>
      <c r="W249" s="24"/>
      <c r="X249" s="24"/>
      <c r="Y249" s="24"/>
      <c r="Z249" s="24"/>
      <c r="AA249" s="24"/>
      <c r="AB249" s="24"/>
      <c r="AC249" s="24"/>
    </row>
    <row r="250" spans="1:29" ht="16.3">
      <c r="A250" s="24"/>
      <c r="B250" s="24"/>
      <c r="C250" s="24"/>
      <c r="D250" s="24"/>
      <c r="E250" s="24"/>
      <c r="F250" s="24"/>
      <c r="G250" s="117"/>
      <c r="H250" s="117"/>
      <c r="I250" s="118"/>
      <c r="J250" s="119"/>
      <c r="K250" s="119"/>
      <c r="L250" s="24"/>
      <c r="M250" s="24"/>
      <c r="N250" s="24"/>
      <c r="O250" s="24"/>
      <c r="P250" s="114"/>
      <c r="Q250" s="24"/>
      <c r="R250" s="24"/>
      <c r="S250" s="24"/>
      <c r="T250" s="24"/>
      <c r="U250" s="24"/>
      <c r="V250" s="24"/>
      <c r="W250" s="24"/>
      <c r="X250" s="24"/>
      <c r="Y250" s="24"/>
      <c r="Z250" s="24"/>
      <c r="AA250" s="24"/>
      <c r="AB250" s="24"/>
      <c r="AC250" s="24"/>
    </row>
    <row r="251" spans="1:29" ht="16.3">
      <c r="A251" s="24"/>
      <c r="B251" s="24"/>
      <c r="C251" s="24"/>
      <c r="D251" s="24"/>
      <c r="E251" s="24"/>
      <c r="F251" s="24"/>
      <c r="G251" s="117"/>
      <c r="H251" s="117"/>
      <c r="I251" s="118"/>
      <c r="J251" s="119"/>
      <c r="K251" s="119"/>
      <c r="L251" s="24"/>
      <c r="M251" s="24"/>
      <c r="N251" s="24"/>
      <c r="O251" s="24"/>
      <c r="P251" s="114"/>
      <c r="Q251" s="24"/>
      <c r="R251" s="24"/>
      <c r="S251" s="24"/>
      <c r="T251" s="24"/>
      <c r="U251" s="24"/>
      <c r="V251" s="24"/>
      <c r="W251" s="24"/>
      <c r="X251" s="24"/>
      <c r="Y251" s="24"/>
      <c r="Z251" s="24"/>
      <c r="AA251" s="24"/>
      <c r="AB251" s="24"/>
      <c r="AC251" s="24"/>
    </row>
    <row r="252" spans="1:29" ht="16.3">
      <c r="A252" s="24"/>
      <c r="B252" s="24"/>
      <c r="C252" s="24"/>
      <c r="D252" s="24"/>
      <c r="E252" s="24"/>
      <c r="F252" s="24"/>
      <c r="G252" s="117"/>
      <c r="H252" s="117"/>
      <c r="I252" s="118"/>
      <c r="J252" s="119"/>
      <c r="K252" s="119"/>
      <c r="L252" s="24"/>
      <c r="M252" s="24"/>
      <c r="N252" s="24"/>
      <c r="O252" s="24"/>
      <c r="P252" s="114"/>
      <c r="Q252" s="24"/>
      <c r="R252" s="24"/>
      <c r="S252" s="24"/>
      <c r="T252" s="24"/>
      <c r="U252" s="24"/>
      <c r="V252" s="24"/>
      <c r="W252" s="24"/>
      <c r="X252" s="24"/>
      <c r="Y252" s="24"/>
      <c r="Z252" s="24"/>
      <c r="AA252" s="24"/>
      <c r="AB252" s="24"/>
      <c r="AC252" s="24"/>
    </row>
    <row r="253" spans="1:29" ht="16.3">
      <c r="A253" s="24"/>
      <c r="B253" s="24"/>
      <c r="C253" s="24"/>
      <c r="D253" s="24"/>
      <c r="E253" s="24"/>
      <c r="F253" s="24"/>
      <c r="G253" s="117"/>
      <c r="H253" s="117"/>
      <c r="I253" s="118"/>
      <c r="J253" s="119"/>
      <c r="K253" s="119"/>
      <c r="L253" s="24"/>
      <c r="M253" s="24"/>
      <c r="N253" s="24"/>
      <c r="O253" s="24"/>
      <c r="P253" s="114"/>
      <c r="Q253" s="24"/>
      <c r="R253" s="24"/>
      <c r="S253" s="24"/>
      <c r="T253" s="24"/>
      <c r="U253" s="24"/>
      <c r="V253" s="24"/>
      <c r="W253" s="24"/>
      <c r="X253" s="24"/>
      <c r="Y253" s="24"/>
      <c r="Z253" s="24"/>
      <c r="AA253" s="24"/>
      <c r="AB253" s="24"/>
      <c r="AC253" s="24"/>
    </row>
    <row r="254" spans="1:29" ht="16.3">
      <c r="A254" s="24"/>
      <c r="B254" s="24"/>
      <c r="C254" s="24"/>
      <c r="D254" s="24"/>
      <c r="E254" s="24"/>
      <c r="F254" s="24"/>
      <c r="G254" s="117"/>
      <c r="H254" s="117"/>
      <c r="I254" s="118"/>
      <c r="J254" s="119"/>
      <c r="K254" s="119"/>
      <c r="L254" s="24"/>
      <c r="M254" s="24"/>
      <c r="N254" s="24"/>
      <c r="O254" s="24"/>
      <c r="P254" s="114"/>
      <c r="Q254" s="24"/>
      <c r="R254" s="24"/>
      <c r="S254" s="24"/>
      <c r="T254" s="24"/>
      <c r="U254" s="24"/>
      <c r="V254" s="24"/>
      <c r="W254" s="24"/>
      <c r="X254" s="24"/>
      <c r="Y254" s="24"/>
      <c r="Z254" s="24"/>
      <c r="AA254" s="24"/>
      <c r="AB254" s="24"/>
      <c r="AC254" s="24"/>
    </row>
    <row r="255" spans="1:29" ht="16.3">
      <c r="A255" s="24"/>
      <c r="B255" s="24"/>
      <c r="C255" s="24"/>
      <c r="D255" s="24"/>
      <c r="E255" s="24"/>
      <c r="F255" s="24"/>
      <c r="G255" s="117"/>
      <c r="H255" s="117"/>
      <c r="I255" s="118"/>
      <c r="J255" s="119"/>
      <c r="K255" s="119"/>
      <c r="L255" s="24"/>
      <c r="M255" s="24"/>
      <c r="N255" s="24"/>
      <c r="O255" s="24"/>
      <c r="P255" s="114"/>
      <c r="Q255" s="24"/>
      <c r="R255" s="24"/>
      <c r="S255" s="24"/>
      <c r="T255" s="24"/>
      <c r="U255" s="24"/>
      <c r="V255" s="24"/>
      <c r="W255" s="24"/>
      <c r="X255" s="24"/>
      <c r="Y255" s="24"/>
      <c r="Z255" s="24"/>
      <c r="AA255" s="24"/>
      <c r="AB255" s="24"/>
      <c r="AC255" s="24"/>
    </row>
    <row r="256" spans="1:29" ht="16.3">
      <c r="A256" s="24"/>
      <c r="B256" s="24"/>
      <c r="C256" s="24"/>
      <c r="D256" s="24"/>
      <c r="E256" s="24"/>
      <c r="F256" s="24"/>
      <c r="G256" s="117"/>
      <c r="H256" s="117"/>
      <c r="I256" s="118"/>
      <c r="J256" s="119"/>
      <c r="K256" s="119"/>
      <c r="L256" s="24"/>
      <c r="M256" s="24"/>
      <c r="N256" s="24"/>
      <c r="O256" s="24"/>
      <c r="P256" s="114"/>
      <c r="Q256" s="24"/>
      <c r="R256" s="24"/>
      <c r="S256" s="24"/>
      <c r="T256" s="24"/>
      <c r="U256" s="24"/>
      <c r="V256" s="24"/>
      <c r="W256" s="24"/>
      <c r="X256" s="24"/>
      <c r="Y256" s="24"/>
      <c r="Z256" s="24"/>
      <c r="AA256" s="24"/>
      <c r="AB256" s="24"/>
      <c r="AC256" s="24"/>
    </row>
    <row r="257" spans="1:29" ht="16.3">
      <c r="A257" s="24"/>
      <c r="B257" s="24"/>
      <c r="C257" s="24"/>
      <c r="D257" s="24"/>
      <c r="E257" s="24"/>
      <c r="F257" s="24"/>
      <c r="G257" s="117"/>
      <c r="H257" s="117"/>
      <c r="I257" s="118"/>
      <c r="J257" s="119"/>
      <c r="K257" s="119"/>
      <c r="L257" s="24"/>
      <c r="M257" s="24"/>
      <c r="N257" s="24"/>
      <c r="O257" s="24"/>
      <c r="P257" s="114"/>
      <c r="Q257" s="24"/>
      <c r="R257" s="24"/>
      <c r="S257" s="24"/>
      <c r="T257" s="24"/>
      <c r="U257" s="24"/>
      <c r="V257" s="24"/>
      <c r="W257" s="24"/>
      <c r="X257" s="24"/>
      <c r="Y257" s="24"/>
      <c r="Z257" s="24"/>
      <c r="AA257" s="24"/>
      <c r="AB257" s="24"/>
      <c r="AC257" s="24"/>
    </row>
    <row r="258" spans="1:29" ht="16.3">
      <c r="A258" s="24"/>
      <c r="B258" s="24"/>
      <c r="C258" s="24"/>
      <c r="D258" s="24"/>
      <c r="E258" s="24"/>
      <c r="F258" s="24"/>
      <c r="G258" s="117"/>
      <c r="H258" s="117"/>
      <c r="I258" s="118"/>
      <c r="J258" s="119"/>
      <c r="K258" s="119"/>
      <c r="L258" s="24"/>
      <c r="M258" s="24"/>
      <c r="N258" s="24"/>
      <c r="O258" s="24"/>
      <c r="P258" s="114"/>
      <c r="Q258" s="24"/>
      <c r="R258" s="24"/>
      <c r="S258" s="24"/>
      <c r="T258" s="24"/>
      <c r="U258" s="24"/>
      <c r="V258" s="24"/>
      <c r="W258" s="24"/>
      <c r="X258" s="24"/>
      <c r="Y258" s="24"/>
      <c r="Z258" s="24"/>
      <c r="AA258" s="24"/>
      <c r="AB258" s="24"/>
      <c r="AC258" s="24"/>
    </row>
    <row r="259" spans="1:29" ht="16.3">
      <c r="A259" s="24"/>
      <c r="B259" s="24"/>
      <c r="C259" s="24"/>
      <c r="D259" s="24"/>
      <c r="E259" s="24"/>
      <c r="F259" s="24"/>
      <c r="G259" s="117"/>
      <c r="H259" s="117"/>
      <c r="I259" s="118"/>
      <c r="J259" s="119"/>
      <c r="K259" s="119"/>
      <c r="L259" s="24"/>
      <c r="M259" s="24"/>
      <c r="N259" s="24"/>
      <c r="O259" s="24"/>
      <c r="P259" s="114"/>
      <c r="Q259" s="24"/>
      <c r="R259" s="24"/>
      <c r="S259" s="24"/>
      <c r="T259" s="24"/>
      <c r="U259" s="24"/>
      <c r="V259" s="24"/>
      <c r="W259" s="24"/>
      <c r="X259" s="24"/>
      <c r="Y259" s="24"/>
      <c r="Z259" s="24"/>
      <c r="AA259" s="24"/>
      <c r="AB259" s="24"/>
      <c r="AC259" s="24"/>
    </row>
    <row r="260" spans="1:29" ht="16.3">
      <c r="A260" s="24"/>
      <c r="B260" s="24"/>
      <c r="C260" s="24"/>
      <c r="D260" s="24"/>
      <c r="E260" s="24"/>
      <c r="F260" s="24"/>
      <c r="G260" s="117"/>
      <c r="H260" s="117"/>
      <c r="I260" s="118"/>
      <c r="J260" s="119"/>
      <c r="K260" s="119"/>
      <c r="L260" s="24"/>
      <c r="M260" s="24"/>
      <c r="N260" s="24"/>
      <c r="O260" s="24"/>
      <c r="P260" s="114"/>
      <c r="Q260" s="24"/>
      <c r="R260" s="24"/>
      <c r="S260" s="24"/>
      <c r="T260" s="24"/>
      <c r="U260" s="24"/>
      <c r="V260" s="24"/>
      <c r="W260" s="24"/>
      <c r="X260" s="24"/>
      <c r="Y260" s="24"/>
      <c r="Z260" s="24"/>
      <c r="AA260" s="24"/>
      <c r="AB260" s="24"/>
      <c r="AC260" s="24"/>
    </row>
    <row r="261" spans="1:29" ht="16.3">
      <c r="A261" s="24"/>
      <c r="B261" s="24"/>
      <c r="C261" s="24"/>
      <c r="D261" s="24"/>
      <c r="E261" s="24"/>
      <c r="F261" s="24"/>
      <c r="G261" s="117"/>
      <c r="H261" s="117"/>
      <c r="I261" s="118"/>
      <c r="J261" s="119"/>
      <c r="K261" s="119"/>
      <c r="L261" s="24"/>
      <c r="M261" s="24"/>
      <c r="N261" s="24"/>
      <c r="O261" s="24"/>
      <c r="P261" s="114"/>
      <c r="Q261" s="24"/>
      <c r="R261" s="24"/>
      <c r="S261" s="24"/>
      <c r="T261" s="24"/>
      <c r="U261" s="24"/>
      <c r="V261" s="24"/>
      <c r="W261" s="24"/>
      <c r="X261" s="24"/>
      <c r="Y261" s="24"/>
      <c r="Z261" s="24"/>
      <c r="AA261" s="24"/>
      <c r="AB261" s="24"/>
      <c r="AC261" s="24"/>
    </row>
    <row r="262" spans="1:29" ht="16.3">
      <c r="A262" s="24"/>
      <c r="B262" s="24"/>
      <c r="C262" s="24"/>
      <c r="D262" s="24"/>
      <c r="E262" s="24"/>
      <c r="F262" s="24"/>
      <c r="G262" s="117"/>
      <c r="H262" s="117"/>
      <c r="I262" s="118"/>
      <c r="J262" s="119"/>
      <c r="K262" s="119"/>
      <c r="L262" s="24"/>
      <c r="M262" s="24"/>
      <c r="N262" s="24"/>
      <c r="O262" s="24"/>
      <c r="P262" s="114"/>
      <c r="Q262" s="24"/>
      <c r="R262" s="24"/>
      <c r="S262" s="24"/>
      <c r="T262" s="24"/>
      <c r="U262" s="24"/>
      <c r="V262" s="24"/>
      <c r="W262" s="24"/>
      <c r="X262" s="24"/>
      <c r="Y262" s="24"/>
      <c r="Z262" s="24"/>
      <c r="AA262" s="24"/>
      <c r="AB262" s="24"/>
      <c r="AC262" s="24"/>
    </row>
    <row r="263" spans="1:29" ht="16.3">
      <c r="A263" s="24"/>
      <c r="B263" s="24"/>
      <c r="C263" s="24"/>
      <c r="D263" s="24"/>
      <c r="E263" s="24"/>
      <c r="F263" s="24"/>
      <c r="G263" s="117"/>
      <c r="H263" s="117"/>
      <c r="I263" s="118"/>
      <c r="J263" s="119"/>
      <c r="K263" s="119"/>
      <c r="L263" s="24"/>
      <c r="M263" s="24"/>
      <c r="N263" s="24"/>
      <c r="O263" s="24"/>
      <c r="P263" s="114"/>
      <c r="Q263" s="24"/>
      <c r="R263" s="24"/>
      <c r="S263" s="24"/>
      <c r="T263" s="24"/>
      <c r="U263" s="24"/>
      <c r="V263" s="24"/>
      <c r="W263" s="24"/>
      <c r="X263" s="24"/>
      <c r="Y263" s="24"/>
      <c r="Z263" s="24"/>
      <c r="AA263" s="24"/>
      <c r="AB263" s="24"/>
      <c r="AC263" s="24"/>
    </row>
    <row r="264" spans="1:29" ht="16.3">
      <c r="A264" s="24"/>
      <c r="B264" s="24"/>
      <c r="C264" s="24"/>
      <c r="D264" s="24"/>
      <c r="E264" s="24"/>
      <c r="F264" s="24"/>
      <c r="G264" s="117"/>
      <c r="H264" s="117"/>
      <c r="I264" s="118"/>
      <c r="J264" s="119"/>
      <c r="K264" s="119"/>
      <c r="L264" s="24"/>
      <c r="M264" s="24"/>
      <c r="N264" s="24"/>
      <c r="O264" s="24"/>
      <c r="P264" s="114"/>
      <c r="Q264" s="24"/>
      <c r="R264" s="24"/>
      <c r="S264" s="24"/>
      <c r="T264" s="24"/>
      <c r="U264" s="24"/>
      <c r="V264" s="24"/>
      <c r="W264" s="24"/>
      <c r="X264" s="24"/>
      <c r="Y264" s="24"/>
      <c r="Z264" s="24"/>
      <c r="AA264" s="24"/>
      <c r="AB264" s="24"/>
      <c r="AC264" s="24"/>
    </row>
    <row r="265" spans="1:29" ht="16.3">
      <c r="A265" s="24"/>
      <c r="B265" s="24"/>
      <c r="C265" s="24"/>
      <c r="D265" s="24"/>
      <c r="E265" s="24"/>
      <c r="F265" s="24"/>
      <c r="G265" s="117"/>
      <c r="H265" s="117"/>
      <c r="I265" s="118"/>
      <c r="J265" s="119"/>
      <c r="K265" s="119"/>
      <c r="L265" s="24"/>
      <c r="M265" s="24"/>
      <c r="N265" s="24"/>
      <c r="O265" s="24"/>
      <c r="P265" s="114"/>
      <c r="Q265" s="24"/>
      <c r="R265" s="24"/>
      <c r="S265" s="24"/>
      <c r="T265" s="24"/>
      <c r="U265" s="24"/>
      <c r="V265" s="24"/>
      <c r="W265" s="24"/>
      <c r="X265" s="24"/>
      <c r="Y265" s="24"/>
      <c r="Z265" s="24"/>
      <c r="AA265" s="24"/>
      <c r="AB265" s="24"/>
      <c r="AC265" s="24"/>
    </row>
    <row r="266" spans="1:29" ht="16.3">
      <c r="A266" s="24"/>
      <c r="B266" s="24"/>
      <c r="C266" s="24"/>
      <c r="D266" s="24"/>
      <c r="E266" s="24"/>
      <c r="F266" s="24"/>
      <c r="G266" s="117"/>
      <c r="H266" s="117"/>
      <c r="I266" s="118"/>
      <c r="J266" s="119"/>
      <c r="K266" s="119"/>
      <c r="L266" s="24"/>
      <c r="M266" s="24"/>
      <c r="N266" s="24"/>
      <c r="O266" s="24"/>
      <c r="P266" s="114"/>
      <c r="Q266" s="24"/>
      <c r="R266" s="24"/>
      <c r="S266" s="24"/>
      <c r="T266" s="24"/>
      <c r="U266" s="24"/>
      <c r="V266" s="24"/>
      <c r="W266" s="24"/>
      <c r="X266" s="24"/>
      <c r="Y266" s="24"/>
      <c r="Z266" s="24"/>
      <c r="AA266" s="24"/>
      <c r="AB266" s="24"/>
      <c r="AC266" s="24"/>
    </row>
    <row r="267" spans="1:29" ht="16.3">
      <c r="A267" s="24"/>
      <c r="B267" s="24"/>
      <c r="C267" s="24"/>
      <c r="D267" s="24"/>
      <c r="E267" s="24"/>
      <c r="F267" s="24"/>
      <c r="G267" s="117"/>
      <c r="H267" s="117"/>
      <c r="I267" s="118"/>
      <c r="J267" s="119"/>
      <c r="K267" s="119"/>
      <c r="L267" s="24"/>
      <c r="M267" s="24"/>
      <c r="N267" s="24"/>
      <c r="O267" s="24"/>
      <c r="P267" s="114"/>
      <c r="Q267" s="24"/>
      <c r="R267" s="24"/>
      <c r="S267" s="24"/>
      <c r="T267" s="24"/>
      <c r="U267" s="24"/>
      <c r="V267" s="24"/>
      <c r="W267" s="24"/>
      <c r="X267" s="24"/>
      <c r="Y267" s="24"/>
      <c r="Z267" s="24"/>
      <c r="AA267" s="24"/>
      <c r="AB267" s="24"/>
      <c r="AC267" s="24"/>
    </row>
    <row r="268" spans="1:29" ht="16.3">
      <c r="A268" s="24"/>
      <c r="B268" s="24"/>
      <c r="C268" s="24"/>
      <c r="D268" s="24"/>
      <c r="E268" s="24"/>
      <c r="F268" s="24"/>
      <c r="G268" s="117"/>
      <c r="H268" s="117"/>
      <c r="I268" s="118"/>
      <c r="J268" s="119"/>
      <c r="K268" s="119"/>
      <c r="L268" s="24"/>
      <c r="M268" s="24"/>
      <c r="N268" s="24"/>
      <c r="O268" s="24"/>
      <c r="P268" s="114"/>
      <c r="Q268" s="24"/>
      <c r="R268" s="24"/>
      <c r="S268" s="24"/>
      <c r="T268" s="24"/>
      <c r="U268" s="24"/>
      <c r="V268" s="24"/>
      <c r="W268" s="24"/>
      <c r="X268" s="24"/>
      <c r="Y268" s="24"/>
      <c r="Z268" s="24"/>
      <c r="AA268" s="24"/>
      <c r="AB268" s="24"/>
      <c r="AC268" s="24"/>
    </row>
    <row r="269" spans="1:29" ht="16.3">
      <c r="A269" s="24"/>
      <c r="B269" s="24"/>
      <c r="C269" s="24"/>
      <c r="D269" s="24"/>
      <c r="E269" s="24"/>
      <c r="F269" s="24"/>
      <c r="G269" s="117"/>
      <c r="H269" s="117"/>
      <c r="I269" s="118"/>
      <c r="J269" s="119"/>
      <c r="K269" s="119"/>
      <c r="L269" s="24"/>
      <c r="M269" s="24"/>
      <c r="N269" s="24"/>
      <c r="O269" s="24"/>
      <c r="P269" s="114"/>
      <c r="Q269" s="24"/>
      <c r="R269" s="24"/>
      <c r="S269" s="24"/>
      <c r="T269" s="24"/>
      <c r="U269" s="24"/>
      <c r="V269" s="24"/>
      <c r="W269" s="24"/>
      <c r="X269" s="24"/>
      <c r="Y269" s="24"/>
      <c r="Z269" s="24"/>
      <c r="AA269" s="24"/>
      <c r="AB269" s="24"/>
      <c r="AC269" s="24"/>
    </row>
    <row r="270" spans="1:29" ht="16.3">
      <c r="A270" s="24"/>
      <c r="B270" s="24"/>
      <c r="C270" s="24"/>
      <c r="D270" s="24"/>
      <c r="E270" s="24"/>
      <c r="F270" s="24"/>
      <c r="G270" s="117"/>
      <c r="H270" s="117"/>
      <c r="I270" s="118"/>
      <c r="J270" s="119"/>
      <c r="K270" s="119"/>
      <c r="L270" s="24"/>
      <c r="M270" s="24"/>
      <c r="N270" s="24"/>
      <c r="O270" s="24"/>
      <c r="P270" s="114"/>
      <c r="Q270" s="24"/>
      <c r="R270" s="24"/>
      <c r="S270" s="24"/>
      <c r="T270" s="24"/>
      <c r="U270" s="24"/>
      <c r="V270" s="24"/>
      <c r="W270" s="24"/>
      <c r="X270" s="24"/>
      <c r="Y270" s="24"/>
      <c r="Z270" s="24"/>
      <c r="AA270" s="24"/>
      <c r="AB270" s="24"/>
      <c r="AC270" s="24"/>
    </row>
    <row r="271" spans="1:29" ht="16.3">
      <c r="A271" s="24"/>
      <c r="B271" s="24"/>
      <c r="C271" s="24"/>
      <c r="D271" s="24"/>
      <c r="E271" s="24"/>
      <c r="F271" s="24"/>
      <c r="G271" s="117"/>
      <c r="H271" s="117"/>
      <c r="I271" s="118"/>
      <c r="J271" s="119"/>
      <c r="K271" s="119"/>
      <c r="L271" s="24"/>
      <c r="M271" s="24"/>
      <c r="N271" s="24"/>
      <c r="O271" s="24"/>
      <c r="P271" s="114"/>
      <c r="Q271" s="24"/>
      <c r="R271" s="24"/>
      <c r="S271" s="24"/>
      <c r="T271" s="24"/>
      <c r="U271" s="24"/>
      <c r="V271" s="24"/>
      <c r="W271" s="24"/>
      <c r="X271" s="24"/>
      <c r="Y271" s="24"/>
      <c r="Z271" s="24"/>
      <c r="AA271" s="24"/>
      <c r="AB271" s="24"/>
      <c r="AC271" s="24"/>
    </row>
    <row r="272" spans="1:29" ht="16.3">
      <c r="A272" s="24"/>
      <c r="B272" s="24"/>
      <c r="C272" s="24"/>
      <c r="D272" s="24"/>
      <c r="E272" s="24"/>
      <c r="F272" s="24"/>
      <c r="G272" s="117"/>
      <c r="H272" s="117"/>
      <c r="I272" s="118"/>
      <c r="J272" s="119"/>
      <c r="K272" s="119"/>
      <c r="L272" s="24"/>
      <c r="M272" s="24"/>
      <c r="N272" s="24"/>
      <c r="O272" s="24"/>
      <c r="P272" s="114"/>
      <c r="Q272" s="24"/>
      <c r="R272" s="24"/>
      <c r="S272" s="24"/>
      <c r="T272" s="24"/>
      <c r="U272" s="24"/>
      <c r="V272" s="24"/>
      <c r="W272" s="24"/>
      <c r="X272" s="24"/>
      <c r="Y272" s="24"/>
      <c r="Z272" s="24"/>
      <c r="AA272" s="24"/>
      <c r="AB272" s="24"/>
      <c r="AC272" s="24"/>
    </row>
    <row r="273" spans="1:29" ht="16.3">
      <c r="A273" s="24"/>
      <c r="B273" s="24"/>
      <c r="C273" s="24"/>
      <c r="D273" s="24"/>
      <c r="E273" s="24"/>
      <c r="F273" s="24"/>
      <c r="G273" s="117"/>
      <c r="H273" s="117"/>
      <c r="I273" s="118"/>
      <c r="J273" s="119"/>
      <c r="K273" s="119"/>
      <c r="L273" s="24"/>
      <c r="M273" s="24"/>
      <c r="N273" s="24"/>
      <c r="O273" s="24"/>
      <c r="P273" s="114"/>
      <c r="Q273" s="24"/>
      <c r="R273" s="24"/>
      <c r="S273" s="24"/>
      <c r="T273" s="24"/>
      <c r="U273" s="24"/>
      <c r="V273" s="24"/>
      <c r="W273" s="24"/>
      <c r="X273" s="24"/>
      <c r="Y273" s="24"/>
      <c r="Z273" s="24"/>
      <c r="AA273" s="24"/>
      <c r="AB273" s="24"/>
      <c r="AC273" s="24"/>
    </row>
    <row r="274" spans="1:29" ht="16.3">
      <c r="A274" s="24"/>
      <c r="B274" s="24"/>
      <c r="C274" s="24"/>
      <c r="D274" s="24"/>
      <c r="E274" s="24"/>
      <c r="F274" s="24"/>
      <c r="G274" s="117"/>
      <c r="H274" s="117"/>
      <c r="I274" s="118"/>
      <c r="J274" s="119"/>
      <c r="K274" s="119"/>
      <c r="L274" s="24"/>
      <c r="M274" s="24"/>
      <c r="N274" s="24"/>
      <c r="O274" s="24"/>
      <c r="P274" s="114"/>
      <c r="Q274" s="24"/>
      <c r="R274" s="24"/>
      <c r="S274" s="24"/>
      <c r="T274" s="24"/>
      <c r="U274" s="24"/>
      <c r="V274" s="24"/>
      <c r="W274" s="24"/>
      <c r="X274" s="24"/>
      <c r="Y274" s="24"/>
      <c r="Z274" s="24"/>
      <c r="AA274" s="24"/>
      <c r="AB274" s="24"/>
      <c r="AC274" s="24"/>
    </row>
    <row r="275" spans="1:29" ht="16.3">
      <c r="A275" s="24"/>
      <c r="B275" s="24"/>
      <c r="C275" s="24"/>
      <c r="D275" s="24"/>
      <c r="E275" s="24"/>
      <c r="F275" s="24"/>
      <c r="G275" s="117"/>
      <c r="H275" s="117"/>
      <c r="I275" s="118"/>
      <c r="J275" s="119"/>
      <c r="K275" s="119"/>
      <c r="L275" s="24"/>
      <c r="M275" s="24"/>
      <c r="N275" s="24"/>
      <c r="O275" s="24"/>
      <c r="P275" s="114"/>
      <c r="Q275" s="24"/>
      <c r="R275" s="24"/>
      <c r="S275" s="24"/>
      <c r="T275" s="24"/>
      <c r="U275" s="24"/>
      <c r="V275" s="24"/>
      <c r="W275" s="24"/>
      <c r="X275" s="24"/>
      <c r="Y275" s="24"/>
      <c r="Z275" s="24"/>
      <c r="AA275" s="24"/>
      <c r="AB275" s="24"/>
      <c r="AC275" s="24"/>
    </row>
    <row r="276" spans="1:29" ht="16.3">
      <c r="A276" s="24"/>
      <c r="B276" s="24"/>
      <c r="C276" s="24"/>
      <c r="D276" s="24"/>
      <c r="E276" s="24"/>
      <c r="F276" s="24"/>
      <c r="G276" s="117"/>
      <c r="H276" s="117"/>
      <c r="I276" s="118"/>
      <c r="J276" s="119"/>
      <c r="K276" s="119"/>
      <c r="L276" s="24"/>
      <c r="M276" s="24"/>
      <c r="N276" s="24"/>
      <c r="O276" s="24"/>
      <c r="P276" s="114"/>
      <c r="Q276" s="24"/>
      <c r="R276" s="24"/>
      <c r="S276" s="24"/>
      <c r="T276" s="24"/>
      <c r="U276" s="24"/>
      <c r="V276" s="24"/>
      <c r="W276" s="24"/>
      <c r="X276" s="24"/>
      <c r="Y276" s="24"/>
      <c r="Z276" s="24"/>
      <c r="AA276" s="24"/>
      <c r="AB276" s="24"/>
      <c r="AC276" s="24"/>
    </row>
    <row r="277" spans="1:29" ht="16.3">
      <c r="A277" s="24"/>
      <c r="B277" s="24"/>
      <c r="C277" s="24"/>
      <c r="D277" s="24"/>
      <c r="E277" s="24"/>
      <c r="F277" s="24"/>
      <c r="G277" s="117"/>
      <c r="H277" s="117"/>
      <c r="I277" s="118"/>
      <c r="J277" s="119"/>
      <c r="K277" s="119"/>
      <c r="L277" s="24"/>
      <c r="M277" s="24"/>
      <c r="N277" s="24"/>
      <c r="O277" s="24"/>
      <c r="P277" s="114"/>
      <c r="Q277" s="24"/>
      <c r="R277" s="24"/>
      <c r="S277" s="24"/>
      <c r="T277" s="24"/>
      <c r="U277" s="24"/>
      <c r="V277" s="24"/>
      <c r="W277" s="24"/>
      <c r="X277" s="24"/>
      <c r="Y277" s="24"/>
      <c r="Z277" s="24"/>
      <c r="AA277" s="24"/>
      <c r="AB277" s="24"/>
      <c r="AC277" s="24"/>
    </row>
    <row r="278" spans="1:29" ht="16.3">
      <c r="A278" s="24"/>
      <c r="B278" s="24"/>
      <c r="C278" s="24"/>
      <c r="D278" s="24"/>
      <c r="E278" s="24"/>
      <c r="F278" s="24"/>
      <c r="G278" s="117"/>
      <c r="H278" s="117"/>
      <c r="I278" s="118"/>
      <c r="J278" s="119"/>
      <c r="K278" s="119"/>
      <c r="L278" s="24"/>
      <c r="M278" s="24"/>
      <c r="N278" s="24"/>
      <c r="O278" s="24"/>
      <c r="P278" s="114"/>
      <c r="Q278" s="24"/>
      <c r="R278" s="24"/>
      <c r="S278" s="24"/>
      <c r="T278" s="24"/>
      <c r="U278" s="24"/>
      <c r="V278" s="24"/>
      <c r="W278" s="24"/>
      <c r="X278" s="24"/>
      <c r="Y278" s="24"/>
      <c r="Z278" s="24"/>
      <c r="AA278" s="24"/>
      <c r="AB278" s="24"/>
      <c r="AC278" s="24"/>
    </row>
    <row r="279" spans="1:29" ht="16.3">
      <c r="A279" s="24"/>
      <c r="B279" s="24"/>
      <c r="C279" s="24"/>
      <c r="D279" s="24"/>
      <c r="E279" s="24"/>
      <c r="F279" s="24"/>
      <c r="G279" s="117"/>
      <c r="H279" s="117"/>
      <c r="I279" s="118"/>
      <c r="J279" s="119"/>
      <c r="K279" s="119"/>
      <c r="L279" s="24"/>
      <c r="M279" s="24"/>
      <c r="N279" s="24"/>
      <c r="O279" s="24"/>
      <c r="P279" s="114"/>
      <c r="Q279" s="24"/>
      <c r="R279" s="24"/>
      <c r="S279" s="24"/>
      <c r="T279" s="24"/>
      <c r="U279" s="24"/>
      <c r="V279" s="24"/>
      <c r="W279" s="24"/>
      <c r="X279" s="24"/>
      <c r="Y279" s="24"/>
      <c r="Z279" s="24"/>
      <c r="AA279" s="24"/>
      <c r="AB279" s="24"/>
      <c r="AC279" s="24"/>
    </row>
    <row r="280" spans="1:29" ht="16.3">
      <c r="A280" s="24"/>
      <c r="B280" s="24"/>
      <c r="C280" s="24"/>
      <c r="D280" s="24"/>
      <c r="E280" s="24"/>
      <c r="F280" s="24"/>
      <c r="G280" s="117"/>
      <c r="H280" s="117"/>
      <c r="I280" s="118"/>
      <c r="J280" s="119"/>
      <c r="K280" s="119"/>
      <c r="L280" s="24"/>
      <c r="M280" s="24"/>
      <c r="N280" s="24"/>
      <c r="O280" s="24"/>
      <c r="P280" s="114"/>
      <c r="Q280" s="24"/>
      <c r="R280" s="24"/>
      <c r="S280" s="24"/>
      <c r="T280" s="24"/>
      <c r="U280" s="24"/>
      <c r="V280" s="24"/>
      <c r="W280" s="24"/>
      <c r="X280" s="24"/>
      <c r="Y280" s="24"/>
      <c r="Z280" s="24"/>
      <c r="AA280" s="24"/>
      <c r="AB280" s="24"/>
      <c r="AC280" s="24"/>
    </row>
    <row r="281" spans="1:29" ht="16.3">
      <c r="A281" s="24"/>
      <c r="B281" s="24"/>
      <c r="C281" s="24"/>
      <c r="D281" s="24"/>
      <c r="E281" s="24"/>
      <c r="F281" s="24"/>
      <c r="G281" s="117"/>
      <c r="H281" s="117"/>
      <c r="I281" s="118"/>
      <c r="J281" s="119"/>
      <c r="K281" s="119"/>
      <c r="L281" s="24"/>
      <c r="M281" s="24"/>
      <c r="N281" s="24"/>
      <c r="O281" s="24"/>
      <c r="P281" s="114"/>
      <c r="Q281" s="24"/>
      <c r="R281" s="24"/>
      <c r="S281" s="24"/>
      <c r="T281" s="24"/>
      <c r="U281" s="24"/>
      <c r="V281" s="24"/>
      <c r="W281" s="24"/>
      <c r="X281" s="24"/>
      <c r="Y281" s="24"/>
      <c r="Z281" s="24"/>
      <c r="AA281" s="24"/>
      <c r="AB281" s="24"/>
      <c r="AC281" s="24"/>
    </row>
    <row r="282" spans="1:29" ht="16.3">
      <c r="A282" s="24"/>
      <c r="B282" s="24"/>
      <c r="C282" s="24"/>
      <c r="D282" s="24"/>
      <c r="E282" s="24"/>
      <c r="F282" s="24"/>
      <c r="G282" s="117"/>
      <c r="H282" s="117"/>
      <c r="I282" s="118"/>
      <c r="J282" s="119"/>
      <c r="K282" s="119"/>
      <c r="L282" s="24"/>
      <c r="M282" s="24"/>
      <c r="N282" s="24"/>
      <c r="O282" s="24"/>
      <c r="P282" s="114"/>
      <c r="Q282" s="24"/>
      <c r="R282" s="24"/>
      <c r="S282" s="24"/>
      <c r="T282" s="24"/>
      <c r="U282" s="24"/>
      <c r="V282" s="24"/>
      <c r="W282" s="24"/>
      <c r="X282" s="24"/>
      <c r="Y282" s="24"/>
      <c r="Z282" s="24"/>
      <c r="AA282" s="24"/>
      <c r="AB282" s="24"/>
      <c r="AC282" s="24"/>
    </row>
    <row r="283" spans="1:29" ht="16.3">
      <c r="A283" s="24"/>
      <c r="B283" s="24"/>
      <c r="C283" s="24"/>
      <c r="D283" s="24"/>
      <c r="E283" s="24"/>
      <c r="F283" s="24"/>
      <c r="G283" s="117"/>
      <c r="H283" s="117"/>
      <c r="I283" s="118"/>
      <c r="J283" s="119"/>
      <c r="K283" s="119"/>
      <c r="L283" s="24"/>
      <c r="M283" s="24"/>
      <c r="N283" s="24"/>
      <c r="O283" s="24"/>
      <c r="P283" s="114"/>
      <c r="Q283" s="24"/>
      <c r="R283" s="24"/>
      <c r="S283" s="24"/>
      <c r="T283" s="24"/>
      <c r="U283" s="24"/>
      <c r="V283" s="24"/>
      <c r="W283" s="24"/>
      <c r="X283" s="24"/>
      <c r="Y283" s="24"/>
      <c r="Z283" s="24"/>
      <c r="AA283" s="24"/>
      <c r="AB283" s="24"/>
      <c r="AC283" s="24"/>
    </row>
    <row r="284" spans="1:29" ht="16.3">
      <c r="A284" s="24"/>
      <c r="B284" s="24"/>
      <c r="C284" s="24"/>
      <c r="D284" s="24"/>
      <c r="E284" s="24"/>
      <c r="F284" s="24"/>
      <c r="G284" s="117"/>
      <c r="H284" s="117"/>
      <c r="I284" s="118"/>
      <c r="J284" s="119"/>
      <c r="K284" s="119"/>
      <c r="L284" s="24"/>
      <c r="M284" s="24"/>
      <c r="N284" s="24"/>
      <c r="O284" s="24"/>
      <c r="P284" s="114"/>
      <c r="Q284" s="24"/>
      <c r="R284" s="24"/>
      <c r="S284" s="24"/>
      <c r="T284" s="24"/>
      <c r="U284" s="24"/>
      <c r="V284" s="24"/>
      <c r="W284" s="24"/>
      <c r="X284" s="24"/>
      <c r="Y284" s="24"/>
      <c r="Z284" s="24"/>
      <c r="AA284" s="24"/>
      <c r="AB284" s="24"/>
      <c r="AC284" s="24"/>
    </row>
    <row r="285" spans="1:29" ht="16.3">
      <c r="A285" s="24"/>
      <c r="B285" s="24"/>
      <c r="C285" s="24"/>
      <c r="D285" s="24"/>
      <c r="E285" s="24"/>
      <c r="F285" s="24"/>
      <c r="G285" s="117"/>
      <c r="H285" s="117"/>
      <c r="I285" s="118"/>
      <c r="J285" s="119"/>
      <c r="K285" s="119"/>
      <c r="L285" s="24"/>
      <c r="M285" s="24"/>
      <c r="N285" s="24"/>
      <c r="O285" s="24"/>
      <c r="P285" s="114"/>
      <c r="Q285" s="24"/>
      <c r="R285" s="24"/>
      <c r="S285" s="24"/>
      <c r="T285" s="24"/>
      <c r="U285" s="24"/>
      <c r="V285" s="24"/>
      <c r="W285" s="24"/>
      <c r="X285" s="24"/>
      <c r="Y285" s="24"/>
      <c r="Z285" s="24"/>
      <c r="AA285" s="24"/>
      <c r="AB285" s="24"/>
      <c r="AC285" s="24"/>
    </row>
    <row r="286" spans="1:29" ht="16.3">
      <c r="A286" s="24"/>
      <c r="B286" s="24"/>
      <c r="C286" s="24"/>
      <c r="D286" s="24"/>
      <c r="E286" s="24"/>
      <c r="F286" s="24"/>
      <c r="G286" s="117"/>
      <c r="H286" s="117"/>
      <c r="I286" s="118"/>
      <c r="J286" s="119"/>
      <c r="K286" s="119"/>
      <c r="L286" s="24"/>
      <c r="M286" s="24"/>
      <c r="N286" s="24"/>
      <c r="O286" s="24"/>
      <c r="P286" s="114"/>
      <c r="Q286" s="24"/>
      <c r="R286" s="24"/>
      <c r="S286" s="24"/>
      <c r="T286" s="24"/>
      <c r="U286" s="24"/>
      <c r="V286" s="24"/>
      <c r="W286" s="24"/>
      <c r="X286" s="24"/>
      <c r="Y286" s="24"/>
      <c r="Z286" s="24"/>
      <c r="AA286" s="24"/>
      <c r="AB286" s="24"/>
      <c r="AC286" s="24"/>
    </row>
    <row r="287" spans="1:29" ht="16.3">
      <c r="A287" s="24"/>
      <c r="B287" s="24"/>
      <c r="C287" s="24"/>
      <c r="D287" s="24"/>
      <c r="E287" s="24"/>
      <c r="F287" s="24"/>
      <c r="G287" s="117"/>
      <c r="H287" s="117"/>
      <c r="I287" s="118"/>
      <c r="J287" s="119"/>
      <c r="K287" s="119"/>
      <c r="L287" s="24"/>
      <c r="M287" s="24"/>
      <c r="N287" s="24"/>
      <c r="O287" s="24"/>
      <c r="P287" s="114"/>
      <c r="Q287" s="24"/>
      <c r="R287" s="24"/>
      <c r="S287" s="24"/>
      <c r="T287" s="24"/>
      <c r="U287" s="24"/>
      <c r="V287" s="24"/>
      <c r="W287" s="24"/>
      <c r="X287" s="24"/>
      <c r="Y287" s="24"/>
      <c r="Z287" s="24"/>
      <c r="AA287" s="24"/>
      <c r="AB287" s="24"/>
      <c r="AC287" s="24"/>
    </row>
    <row r="288" spans="1:29" ht="16.3">
      <c r="A288" s="24"/>
      <c r="B288" s="24"/>
      <c r="C288" s="24"/>
      <c r="D288" s="24"/>
      <c r="E288" s="24"/>
      <c r="F288" s="24"/>
      <c r="G288" s="117"/>
      <c r="H288" s="117"/>
      <c r="I288" s="118"/>
      <c r="J288" s="119"/>
      <c r="K288" s="119"/>
      <c r="L288" s="24"/>
      <c r="M288" s="24"/>
      <c r="N288" s="24"/>
      <c r="O288" s="24"/>
      <c r="P288" s="114"/>
      <c r="Q288" s="24"/>
      <c r="R288" s="24"/>
      <c r="S288" s="24"/>
      <c r="T288" s="24"/>
      <c r="U288" s="24"/>
      <c r="V288" s="24"/>
      <c r="W288" s="24"/>
      <c r="X288" s="24"/>
      <c r="Y288" s="24"/>
      <c r="Z288" s="24"/>
      <c r="AA288" s="24"/>
      <c r="AB288" s="24"/>
      <c r="AC288" s="24"/>
    </row>
    <row r="289" spans="1:29" ht="16.3">
      <c r="A289" s="24"/>
      <c r="B289" s="24"/>
      <c r="C289" s="24"/>
      <c r="D289" s="24"/>
      <c r="E289" s="24"/>
      <c r="F289" s="24"/>
      <c r="G289" s="117"/>
      <c r="H289" s="117"/>
      <c r="I289" s="118"/>
      <c r="J289" s="119"/>
      <c r="K289" s="119"/>
      <c r="L289" s="24"/>
      <c r="M289" s="24"/>
      <c r="N289" s="24"/>
      <c r="O289" s="24"/>
      <c r="P289" s="114"/>
      <c r="Q289" s="24"/>
      <c r="R289" s="24"/>
      <c r="S289" s="24"/>
      <c r="T289" s="24"/>
      <c r="U289" s="24"/>
      <c r="V289" s="24"/>
      <c r="W289" s="24"/>
      <c r="X289" s="24"/>
      <c r="Y289" s="24"/>
      <c r="Z289" s="24"/>
      <c r="AA289" s="24"/>
      <c r="AB289" s="24"/>
      <c r="AC289" s="24"/>
    </row>
    <row r="290" spans="1:29" ht="16.3">
      <c r="A290" s="24"/>
      <c r="B290" s="24"/>
      <c r="C290" s="24"/>
      <c r="D290" s="24"/>
      <c r="E290" s="24"/>
      <c r="F290" s="24"/>
      <c r="G290" s="117"/>
      <c r="H290" s="117"/>
      <c r="I290" s="118"/>
      <c r="J290" s="119"/>
      <c r="K290" s="119"/>
      <c r="L290" s="24"/>
      <c r="M290" s="24"/>
      <c r="N290" s="24"/>
      <c r="O290" s="24"/>
      <c r="P290" s="114"/>
      <c r="Q290" s="24"/>
      <c r="R290" s="24"/>
      <c r="S290" s="24"/>
      <c r="T290" s="24"/>
      <c r="U290" s="24"/>
      <c r="V290" s="24"/>
      <c r="W290" s="24"/>
      <c r="X290" s="24"/>
      <c r="Y290" s="24"/>
      <c r="Z290" s="24"/>
      <c r="AA290" s="24"/>
      <c r="AB290" s="24"/>
      <c r="AC290" s="24"/>
    </row>
    <row r="291" spans="1:29" ht="16.3">
      <c r="A291" s="24"/>
      <c r="B291" s="24"/>
      <c r="C291" s="24"/>
      <c r="D291" s="24"/>
      <c r="E291" s="24"/>
      <c r="F291" s="24"/>
      <c r="G291" s="117"/>
      <c r="H291" s="117"/>
      <c r="I291" s="118"/>
      <c r="J291" s="119"/>
      <c r="K291" s="119"/>
      <c r="L291" s="24"/>
      <c r="M291" s="24"/>
      <c r="N291" s="24"/>
      <c r="O291" s="24"/>
      <c r="P291" s="114"/>
      <c r="Q291" s="24"/>
      <c r="R291" s="24"/>
      <c r="S291" s="24"/>
      <c r="T291" s="24"/>
      <c r="U291" s="24"/>
      <c r="V291" s="24"/>
      <c r="W291" s="24"/>
      <c r="X291" s="24"/>
      <c r="Y291" s="24"/>
      <c r="Z291" s="24"/>
      <c r="AA291" s="24"/>
      <c r="AB291" s="24"/>
      <c r="AC291" s="24"/>
    </row>
    <row r="292" spans="1:29" ht="16.3">
      <c r="A292" s="24"/>
      <c r="B292" s="24"/>
      <c r="C292" s="24"/>
      <c r="D292" s="24"/>
      <c r="E292" s="24"/>
      <c r="F292" s="24"/>
      <c r="G292" s="117"/>
      <c r="H292" s="117"/>
      <c r="I292" s="118"/>
      <c r="J292" s="119"/>
      <c r="K292" s="119"/>
      <c r="L292" s="24"/>
      <c r="M292" s="24"/>
      <c r="N292" s="24"/>
      <c r="O292" s="24"/>
      <c r="P292" s="114"/>
      <c r="Q292" s="24"/>
      <c r="R292" s="24"/>
      <c r="S292" s="24"/>
      <c r="T292" s="24"/>
      <c r="U292" s="24"/>
      <c r="V292" s="24"/>
      <c r="W292" s="24"/>
      <c r="X292" s="24"/>
      <c r="Y292" s="24"/>
      <c r="Z292" s="24"/>
      <c r="AA292" s="24"/>
      <c r="AB292" s="24"/>
      <c r="AC292" s="24"/>
    </row>
    <row r="293" spans="1:29" ht="16.3">
      <c r="A293" s="24"/>
      <c r="B293" s="24"/>
      <c r="C293" s="24"/>
      <c r="D293" s="24"/>
      <c r="E293" s="24"/>
      <c r="F293" s="24"/>
      <c r="G293" s="117"/>
      <c r="H293" s="117"/>
      <c r="I293" s="118"/>
      <c r="J293" s="119"/>
      <c r="K293" s="119"/>
      <c r="L293" s="24"/>
      <c r="M293" s="24"/>
      <c r="N293" s="24"/>
      <c r="O293" s="24"/>
      <c r="P293" s="114"/>
      <c r="Q293" s="24"/>
      <c r="R293" s="24"/>
      <c r="S293" s="24"/>
      <c r="T293" s="24"/>
      <c r="U293" s="24"/>
      <c r="V293" s="24"/>
      <c r="W293" s="24"/>
      <c r="X293" s="24"/>
      <c r="Y293" s="24"/>
      <c r="Z293" s="24"/>
      <c r="AA293" s="24"/>
      <c r="AB293" s="24"/>
      <c r="AC293" s="24"/>
    </row>
    <row r="294" spans="1:29" ht="16.3">
      <c r="A294" s="24"/>
      <c r="B294" s="24"/>
      <c r="C294" s="24"/>
      <c r="D294" s="24"/>
      <c r="E294" s="24"/>
      <c r="F294" s="24"/>
      <c r="G294" s="117"/>
      <c r="H294" s="117"/>
      <c r="I294" s="118"/>
      <c r="J294" s="119"/>
      <c r="K294" s="119"/>
      <c r="L294" s="24"/>
      <c r="M294" s="24"/>
      <c r="N294" s="24"/>
      <c r="O294" s="24"/>
      <c r="P294" s="114"/>
      <c r="Q294" s="24"/>
      <c r="R294" s="24"/>
      <c r="S294" s="24"/>
      <c r="T294" s="24"/>
      <c r="U294" s="24"/>
      <c r="V294" s="24"/>
      <c r="W294" s="24"/>
      <c r="X294" s="24"/>
      <c r="Y294" s="24"/>
      <c r="Z294" s="24"/>
      <c r="AA294" s="24"/>
      <c r="AB294" s="24"/>
      <c r="AC294" s="24"/>
    </row>
    <row r="295" spans="1:29" ht="16.3">
      <c r="A295" s="24"/>
      <c r="B295" s="24"/>
      <c r="C295" s="24"/>
      <c r="D295" s="24"/>
      <c r="E295" s="24"/>
      <c r="F295" s="24"/>
      <c r="G295" s="117"/>
      <c r="H295" s="117"/>
      <c r="I295" s="118"/>
      <c r="J295" s="119"/>
      <c r="K295" s="119"/>
      <c r="L295" s="24"/>
      <c r="M295" s="24"/>
      <c r="N295" s="24"/>
      <c r="O295" s="24"/>
      <c r="P295" s="114"/>
      <c r="Q295" s="24"/>
      <c r="R295" s="24"/>
      <c r="S295" s="24"/>
      <c r="T295" s="24"/>
      <c r="U295" s="24"/>
      <c r="V295" s="24"/>
      <c r="W295" s="24"/>
      <c r="X295" s="24"/>
      <c r="Y295" s="24"/>
      <c r="Z295" s="24"/>
      <c r="AA295" s="24"/>
      <c r="AB295" s="24"/>
      <c r="AC295" s="24"/>
    </row>
    <row r="296" spans="1:29" ht="16.3">
      <c r="A296" s="24"/>
      <c r="B296" s="24"/>
      <c r="C296" s="24"/>
      <c r="D296" s="24"/>
      <c r="E296" s="24"/>
      <c r="F296" s="24"/>
      <c r="G296" s="117"/>
      <c r="H296" s="117"/>
      <c r="I296" s="118"/>
      <c r="J296" s="119"/>
      <c r="K296" s="119"/>
      <c r="L296" s="24"/>
      <c r="M296" s="24"/>
      <c r="N296" s="24"/>
      <c r="O296" s="24"/>
      <c r="P296" s="114"/>
      <c r="Q296" s="24"/>
      <c r="R296" s="24"/>
      <c r="S296" s="24"/>
      <c r="T296" s="24"/>
      <c r="U296" s="24"/>
      <c r="V296" s="24"/>
      <c r="W296" s="24"/>
      <c r="X296" s="24"/>
      <c r="Y296" s="24"/>
      <c r="Z296" s="24"/>
      <c r="AA296" s="24"/>
      <c r="AB296" s="24"/>
      <c r="AC296" s="24"/>
    </row>
    <row r="297" spans="1:29" ht="16.3">
      <c r="A297" s="24"/>
      <c r="B297" s="24"/>
      <c r="C297" s="24"/>
      <c r="D297" s="24"/>
      <c r="E297" s="24"/>
      <c r="F297" s="24"/>
      <c r="G297" s="117"/>
      <c r="H297" s="117"/>
      <c r="I297" s="118"/>
      <c r="J297" s="119"/>
      <c r="K297" s="119"/>
      <c r="L297" s="24"/>
      <c r="M297" s="24"/>
      <c r="N297" s="24"/>
      <c r="O297" s="24"/>
      <c r="P297" s="114"/>
      <c r="Q297" s="24"/>
      <c r="R297" s="24"/>
      <c r="S297" s="24"/>
      <c r="T297" s="24"/>
      <c r="U297" s="24"/>
      <c r="V297" s="24"/>
      <c r="W297" s="24"/>
      <c r="X297" s="24"/>
      <c r="Y297" s="24"/>
      <c r="Z297" s="24"/>
      <c r="AA297" s="24"/>
      <c r="AB297" s="24"/>
      <c r="AC297" s="24"/>
    </row>
    <row r="298" spans="1:29" ht="16.3">
      <c r="A298" s="24"/>
      <c r="B298" s="24"/>
      <c r="C298" s="24"/>
      <c r="D298" s="24"/>
      <c r="E298" s="24"/>
      <c r="F298" s="24"/>
      <c r="G298" s="117"/>
      <c r="H298" s="117"/>
      <c r="I298" s="118"/>
      <c r="J298" s="119"/>
      <c r="K298" s="119"/>
      <c r="L298" s="24"/>
      <c r="M298" s="24"/>
      <c r="N298" s="24"/>
      <c r="O298" s="24"/>
      <c r="P298" s="114"/>
      <c r="Q298" s="24"/>
      <c r="R298" s="24"/>
      <c r="S298" s="24"/>
      <c r="T298" s="24"/>
      <c r="U298" s="24"/>
      <c r="V298" s="24"/>
      <c r="W298" s="24"/>
      <c r="X298" s="24"/>
      <c r="Y298" s="24"/>
      <c r="Z298" s="24"/>
      <c r="AA298" s="24"/>
      <c r="AB298" s="24"/>
      <c r="AC298" s="24"/>
    </row>
    <row r="299" spans="1:29" ht="16.3">
      <c r="A299" s="24"/>
      <c r="B299" s="24"/>
      <c r="C299" s="24"/>
      <c r="D299" s="24"/>
      <c r="E299" s="24"/>
      <c r="F299" s="24"/>
      <c r="G299" s="117"/>
      <c r="H299" s="117"/>
      <c r="I299" s="118"/>
      <c r="J299" s="119"/>
      <c r="K299" s="119"/>
      <c r="L299" s="24"/>
      <c r="M299" s="24"/>
      <c r="N299" s="24"/>
      <c r="O299" s="24"/>
      <c r="P299" s="114"/>
      <c r="Q299" s="24"/>
      <c r="R299" s="24"/>
      <c r="S299" s="24"/>
      <c r="T299" s="24"/>
      <c r="U299" s="24"/>
      <c r="V299" s="24"/>
      <c r="W299" s="24"/>
      <c r="X299" s="24"/>
      <c r="Y299" s="24"/>
      <c r="Z299" s="24"/>
      <c r="AA299" s="24"/>
      <c r="AB299" s="24"/>
      <c r="AC299" s="24"/>
    </row>
    <row r="300" spans="1:29" ht="16.3">
      <c r="A300" s="24"/>
      <c r="B300" s="24"/>
      <c r="C300" s="24"/>
      <c r="D300" s="24"/>
      <c r="E300" s="24"/>
      <c r="F300" s="24"/>
      <c r="G300" s="117"/>
      <c r="H300" s="117"/>
      <c r="I300" s="118"/>
      <c r="J300" s="119"/>
      <c r="K300" s="119"/>
      <c r="L300" s="24"/>
      <c r="M300" s="24"/>
      <c r="N300" s="24"/>
      <c r="O300" s="24"/>
      <c r="P300" s="114"/>
      <c r="Q300" s="24"/>
      <c r="R300" s="24"/>
      <c r="S300" s="24"/>
      <c r="T300" s="24"/>
      <c r="U300" s="24"/>
      <c r="V300" s="24"/>
      <c r="W300" s="24"/>
      <c r="X300" s="24"/>
      <c r="Y300" s="24"/>
      <c r="Z300" s="24"/>
      <c r="AA300" s="24"/>
      <c r="AB300" s="24"/>
      <c r="AC300" s="24"/>
    </row>
    <row r="301" spans="1:29" ht="16.3">
      <c r="A301" s="24"/>
      <c r="B301" s="24"/>
      <c r="C301" s="24"/>
      <c r="D301" s="24"/>
      <c r="E301" s="24"/>
      <c r="F301" s="24"/>
      <c r="G301" s="117"/>
      <c r="H301" s="117"/>
      <c r="I301" s="118"/>
      <c r="J301" s="119"/>
      <c r="K301" s="119"/>
      <c r="L301" s="24"/>
      <c r="M301" s="24"/>
      <c r="N301" s="24"/>
      <c r="O301" s="24"/>
      <c r="P301" s="114"/>
      <c r="Q301" s="24"/>
      <c r="R301" s="24"/>
      <c r="S301" s="24"/>
      <c r="T301" s="24"/>
      <c r="U301" s="24"/>
      <c r="V301" s="24"/>
      <c r="W301" s="24"/>
      <c r="X301" s="24"/>
      <c r="Y301" s="24"/>
      <c r="Z301" s="24"/>
      <c r="AA301" s="24"/>
      <c r="AB301" s="24"/>
      <c r="AC301" s="24"/>
    </row>
    <row r="302" spans="1:29" ht="16.3">
      <c r="A302" s="24"/>
      <c r="B302" s="24"/>
      <c r="C302" s="24"/>
      <c r="D302" s="24"/>
      <c r="E302" s="24"/>
      <c r="F302" s="24"/>
      <c r="G302" s="117"/>
      <c r="H302" s="117"/>
      <c r="I302" s="118"/>
      <c r="J302" s="119"/>
      <c r="K302" s="119"/>
      <c r="L302" s="24"/>
      <c r="M302" s="24"/>
      <c r="N302" s="24"/>
      <c r="O302" s="24"/>
      <c r="P302" s="114"/>
      <c r="Q302" s="24"/>
      <c r="R302" s="24"/>
      <c r="S302" s="24"/>
      <c r="T302" s="24"/>
      <c r="U302" s="24"/>
      <c r="V302" s="24"/>
      <c r="W302" s="24"/>
      <c r="X302" s="24"/>
      <c r="Y302" s="24"/>
      <c r="Z302" s="24"/>
      <c r="AA302" s="24"/>
      <c r="AB302" s="24"/>
      <c r="AC302" s="24"/>
    </row>
    <row r="303" spans="1:29" ht="16.3">
      <c r="A303" s="24"/>
      <c r="B303" s="24"/>
      <c r="C303" s="24"/>
      <c r="D303" s="24"/>
      <c r="E303" s="24"/>
      <c r="F303" s="24"/>
      <c r="G303" s="117"/>
      <c r="H303" s="117"/>
      <c r="I303" s="118"/>
      <c r="J303" s="119"/>
      <c r="K303" s="119"/>
      <c r="L303" s="24"/>
      <c r="M303" s="24"/>
      <c r="N303" s="24"/>
      <c r="O303" s="24"/>
      <c r="P303" s="114"/>
      <c r="Q303" s="24"/>
      <c r="R303" s="24"/>
      <c r="S303" s="24"/>
      <c r="T303" s="24"/>
      <c r="U303" s="24"/>
      <c r="V303" s="24"/>
      <c r="W303" s="24"/>
      <c r="X303" s="24"/>
      <c r="Y303" s="24"/>
      <c r="Z303" s="24"/>
      <c r="AA303" s="24"/>
      <c r="AB303" s="24"/>
      <c r="AC303" s="24"/>
    </row>
    <row r="304" spans="1:29" ht="16.3">
      <c r="A304" s="24"/>
      <c r="B304" s="24"/>
      <c r="C304" s="24"/>
      <c r="D304" s="24"/>
      <c r="E304" s="24"/>
      <c r="F304" s="24"/>
      <c r="G304" s="117"/>
      <c r="H304" s="117"/>
      <c r="I304" s="118"/>
      <c r="J304" s="119"/>
      <c r="K304" s="119"/>
      <c r="L304" s="24"/>
      <c r="M304" s="24"/>
      <c r="N304" s="24"/>
      <c r="O304" s="24"/>
      <c r="P304" s="114"/>
      <c r="Q304" s="24"/>
      <c r="R304" s="24"/>
      <c r="S304" s="24"/>
      <c r="T304" s="24"/>
      <c r="U304" s="24"/>
      <c r="V304" s="24"/>
      <c r="W304" s="24"/>
      <c r="X304" s="24"/>
      <c r="Y304" s="24"/>
      <c r="Z304" s="24"/>
      <c r="AA304" s="24"/>
      <c r="AB304" s="24"/>
      <c r="AC304" s="24"/>
    </row>
    <row r="305" spans="1:29" ht="16.3">
      <c r="A305" s="24"/>
      <c r="B305" s="24"/>
      <c r="C305" s="24"/>
      <c r="D305" s="24"/>
      <c r="E305" s="24"/>
      <c r="F305" s="24"/>
      <c r="G305" s="117"/>
      <c r="H305" s="117"/>
      <c r="I305" s="118"/>
      <c r="J305" s="119"/>
      <c r="K305" s="119"/>
      <c r="L305" s="24"/>
      <c r="M305" s="24"/>
      <c r="N305" s="24"/>
      <c r="O305" s="24"/>
      <c r="P305" s="114"/>
      <c r="Q305" s="24"/>
      <c r="R305" s="24"/>
      <c r="S305" s="24"/>
      <c r="T305" s="24"/>
      <c r="U305" s="24"/>
      <c r="V305" s="24"/>
      <c r="W305" s="24"/>
      <c r="X305" s="24"/>
      <c r="Y305" s="24"/>
      <c r="Z305" s="24"/>
      <c r="AA305" s="24"/>
      <c r="AB305" s="24"/>
      <c r="AC305" s="24"/>
    </row>
    <row r="306" spans="1:29" ht="16.3">
      <c r="A306" s="24"/>
      <c r="B306" s="24"/>
      <c r="C306" s="24"/>
      <c r="D306" s="24"/>
      <c r="E306" s="24"/>
      <c r="F306" s="24"/>
      <c r="G306" s="117"/>
      <c r="H306" s="117"/>
      <c r="I306" s="118"/>
      <c r="J306" s="119"/>
      <c r="K306" s="119"/>
      <c r="L306" s="24"/>
      <c r="M306" s="24"/>
      <c r="N306" s="24"/>
      <c r="O306" s="24"/>
      <c r="P306" s="114"/>
      <c r="Q306" s="24"/>
      <c r="R306" s="24"/>
      <c r="S306" s="24"/>
      <c r="T306" s="24"/>
      <c r="U306" s="24"/>
      <c r="V306" s="24"/>
      <c r="W306" s="24"/>
      <c r="X306" s="24"/>
      <c r="Y306" s="24"/>
      <c r="Z306" s="24"/>
      <c r="AA306" s="24"/>
      <c r="AB306" s="24"/>
      <c r="AC306" s="24"/>
    </row>
    <row r="307" spans="1:29" ht="16.3">
      <c r="A307" s="24"/>
      <c r="B307" s="24"/>
      <c r="C307" s="24"/>
      <c r="D307" s="24"/>
      <c r="E307" s="24"/>
      <c r="F307" s="24"/>
      <c r="G307" s="117"/>
      <c r="H307" s="117"/>
      <c r="I307" s="118"/>
      <c r="J307" s="119"/>
      <c r="K307" s="119"/>
      <c r="L307" s="24"/>
      <c r="M307" s="24"/>
      <c r="N307" s="24"/>
      <c r="O307" s="24"/>
      <c r="P307" s="114"/>
      <c r="Q307" s="24"/>
      <c r="R307" s="24"/>
      <c r="S307" s="24"/>
      <c r="T307" s="24"/>
      <c r="U307" s="24"/>
      <c r="V307" s="24"/>
      <c r="W307" s="24"/>
      <c r="X307" s="24"/>
      <c r="Y307" s="24"/>
      <c r="Z307" s="24"/>
      <c r="AA307" s="24"/>
      <c r="AB307" s="24"/>
      <c r="AC307" s="24"/>
    </row>
    <row r="308" spans="1:29" ht="16.3">
      <c r="A308" s="24"/>
      <c r="B308" s="24"/>
      <c r="C308" s="24"/>
      <c r="D308" s="24"/>
      <c r="E308" s="24"/>
      <c r="F308" s="24"/>
      <c r="G308" s="117"/>
      <c r="H308" s="117"/>
      <c r="I308" s="118"/>
      <c r="J308" s="119"/>
      <c r="K308" s="119"/>
      <c r="L308" s="24"/>
      <c r="M308" s="24"/>
      <c r="N308" s="24"/>
      <c r="O308" s="24"/>
      <c r="P308" s="114"/>
      <c r="Q308" s="24"/>
      <c r="R308" s="24"/>
      <c r="S308" s="24"/>
      <c r="T308" s="24"/>
      <c r="U308" s="24"/>
      <c r="V308" s="24"/>
      <c r="W308" s="24"/>
      <c r="X308" s="24"/>
      <c r="Y308" s="24"/>
      <c r="Z308" s="24"/>
      <c r="AA308" s="24"/>
      <c r="AB308" s="24"/>
      <c r="AC308" s="24"/>
    </row>
    <row r="309" spans="1:29" ht="16.3">
      <c r="A309" s="24"/>
      <c r="B309" s="24"/>
      <c r="C309" s="24"/>
      <c r="D309" s="24"/>
      <c r="E309" s="24"/>
      <c r="F309" s="24"/>
      <c r="G309" s="117"/>
      <c r="H309" s="117"/>
      <c r="I309" s="118"/>
      <c r="J309" s="119"/>
      <c r="K309" s="119"/>
      <c r="L309" s="24"/>
      <c r="M309" s="24"/>
      <c r="N309" s="24"/>
      <c r="O309" s="24"/>
      <c r="P309" s="114"/>
      <c r="Q309" s="24"/>
      <c r="R309" s="24"/>
      <c r="S309" s="24"/>
      <c r="T309" s="24"/>
      <c r="U309" s="24"/>
      <c r="V309" s="24"/>
      <c r="W309" s="24"/>
      <c r="X309" s="24"/>
      <c r="Y309" s="24"/>
      <c r="Z309" s="24"/>
      <c r="AA309" s="24"/>
      <c r="AB309" s="24"/>
      <c r="AC309" s="24"/>
    </row>
    <row r="310" spans="1:29" ht="16.3">
      <c r="A310" s="24"/>
      <c r="B310" s="24"/>
      <c r="C310" s="24"/>
      <c r="D310" s="24"/>
      <c r="E310" s="24"/>
      <c r="F310" s="24"/>
      <c r="G310" s="117"/>
      <c r="H310" s="117"/>
      <c r="I310" s="118"/>
      <c r="J310" s="119"/>
      <c r="K310" s="119"/>
      <c r="L310" s="24"/>
      <c r="M310" s="24"/>
      <c r="N310" s="24"/>
      <c r="O310" s="24"/>
      <c r="P310" s="114"/>
      <c r="Q310" s="24"/>
      <c r="R310" s="24"/>
      <c r="S310" s="24"/>
      <c r="T310" s="24"/>
      <c r="U310" s="24"/>
      <c r="V310" s="24"/>
      <c r="W310" s="24"/>
      <c r="X310" s="24"/>
      <c r="Y310" s="24"/>
      <c r="Z310" s="24"/>
      <c r="AA310" s="24"/>
      <c r="AB310" s="24"/>
      <c r="AC310" s="24"/>
    </row>
    <row r="311" spans="1:29" ht="16.3">
      <c r="A311" s="24"/>
      <c r="B311" s="24"/>
      <c r="C311" s="24"/>
      <c r="D311" s="24"/>
      <c r="E311" s="24"/>
      <c r="F311" s="24"/>
      <c r="G311" s="117"/>
      <c r="H311" s="117"/>
      <c r="I311" s="118"/>
      <c r="J311" s="119"/>
      <c r="K311" s="119"/>
      <c r="L311" s="24"/>
      <c r="M311" s="24"/>
      <c r="N311" s="24"/>
      <c r="O311" s="24"/>
      <c r="P311" s="114"/>
      <c r="Q311" s="24"/>
      <c r="R311" s="24"/>
      <c r="S311" s="24"/>
      <c r="T311" s="24"/>
      <c r="U311" s="24"/>
      <c r="V311" s="24"/>
      <c r="W311" s="24"/>
      <c r="X311" s="24"/>
      <c r="Y311" s="24"/>
      <c r="Z311" s="24"/>
      <c r="AA311" s="24"/>
      <c r="AB311" s="24"/>
      <c r="AC311" s="24"/>
    </row>
    <row r="312" spans="1:29" ht="16.3">
      <c r="A312" s="24"/>
      <c r="B312" s="24"/>
      <c r="C312" s="24"/>
      <c r="D312" s="24"/>
      <c r="E312" s="24"/>
      <c r="F312" s="24"/>
      <c r="G312" s="117"/>
      <c r="H312" s="117"/>
      <c r="I312" s="118"/>
      <c r="J312" s="119"/>
      <c r="K312" s="119"/>
      <c r="L312" s="24"/>
      <c r="M312" s="24"/>
      <c r="N312" s="24"/>
      <c r="O312" s="24"/>
      <c r="P312" s="114"/>
      <c r="Q312" s="24"/>
      <c r="R312" s="24"/>
      <c r="S312" s="24"/>
      <c r="T312" s="24"/>
      <c r="U312" s="24"/>
      <c r="V312" s="24"/>
      <c r="W312" s="24"/>
      <c r="X312" s="24"/>
      <c r="Y312" s="24"/>
      <c r="Z312" s="24"/>
      <c r="AA312" s="24"/>
      <c r="AB312" s="24"/>
      <c r="AC312" s="24"/>
    </row>
    <row r="313" spans="1:29" ht="16.3">
      <c r="A313" s="24"/>
      <c r="B313" s="24"/>
      <c r="C313" s="24"/>
      <c r="D313" s="24"/>
      <c r="E313" s="24"/>
      <c r="F313" s="24"/>
      <c r="G313" s="117"/>
      <c r="H313" s="117"/>
      <c r="I313" s="118"/>
      <c r="J313" s="119"/>
      <c r="K313" s="119"/>
      <c r="L313" s="24"/>
      <c r="M313" s="24"/>
      <c r="N313" s="24"/>
      <c r="O313" s="24"/>
      <c r="P313" s="114"/>
      <c r="Q313" s="24"/>
      <c r="R313" s="24"/>
      <c r="S313" s="24"/>
      <c r="T313" s="24"/>
      <c r="U313" s="24"/>
      <c r="V313" s="24"/>
      <c r="W313" s="24"/>
      <c r="X313" s="24"/>
      <c r="Y313" s="24"/>
      <c r="Z313" s="24"/>
      <c r="AA313" s="24"/>
      <c r="AB313" s="24"/>
      <c r="AC313" s="24"/>
    </row>
    <row r="314" spans="1:29" ht="16.3">
      <c r="A314" s="24"/>
      <c r="B314" s="24"/>
      <c r="C314" s="24"/>
      <c r="D314" s="24"/>
      <c r="E314" s="24"/>
      <c r="F314" s="24"/>
      <c r="G314" s="117"/>
      <c r="H314" s="117"/>
      <c r="I314" s="118"/>
      <c r="J314" s="119"/>
      <c r="K314" s="119"/>
      <c r="L314" s="24"/>
      <c r="M314" s="24"/>
      <c r="N314" s="24"/>
      <c r="O314" s="24"/>
      <c r="P314" s="114"/>
      <c r="Q314" s="24"/>
      <c r="R314" s="24"/>
      <c r="S314" s="24"/>
      <c r="T314" s="24"/>
      <c r="U314" s="24"/>
      <c r="V314" s="24"/>
      <c r="W314" s="24"/>
      <c r="X314" s="24"/>
      <c r="Y314" s="24"/>
      <c r="Z314" s="24"/>
      <c r="AA314" s="24"/>
      <c r="AB314" s="24"/>
      <c r="AC314" s="24"/>
    </row>
    <row r="315" spans="1:29" ht="16.3">
      <c r="A315" s="24"/>
      <c r="B315" s="24"/>
      <c r="C315" s="24"/>
      <c r="D315" s="24"/>
      <c r="E315" s="24"/>
      <c r="F315" s="24"/>
      <c r="G315" s="117"/>
      <c r="H315" s="117"/>
      <c r="I315" s="118"/>
      <c r="J315" s="119"/>
      <c r="K315" s="119"/>
      <c r="L315" s="24"/>
      <c r="M315" s="24"/>
      <c r="N315" s="24"/>
      <c r="O315" s="24"/>
      <c r="P315" s="114"/>
      <c r="Q315" s="24"/>
      <c r="R315" s="24"/>
      <c r="S315" s="24"/>
      <c r="T315" s="24"/>
      <c r="U315" s="24"/>
      <c r="V315" s="24"/>
      <c r="W315" s="24"/>
      <c r="X315" s="24"/>
      <c r="Y315" s="24"/>
      <c r="Z315" s="24"/>
      <c r="AA315" s="24"/>
      <c r="AB315" s="24"/>
      <c r="AC315" s="24"/>
    </row>
    <row r="316" spans="1:29" ht="16.3">
      <c r="A316" s="24"/>
      <c r="B316" s="24"/>
      <c r="C316" s="24"/>
      <c r="D316" s="24"/>
      <c r="E316" s="24"/>
      <c r="F316" s="24"/>
      <c r="G316" s="117"/>
      <c r="H316" s="117"/>
      <c r="I316" s="118"/>
      <c r="J316" s="119"/>
      <c r="K316" s="119"/>
      <c r="L316" s="24"/>
      <c r="M316" s="24"/>
      <c r="N316" s="24"/>
      <c r="O316" s="24"/>
      <c r="P316" s="114"/>
      <c r="Q316" s="24"/>
      <c r="R316" s="24"/>
      <c r="S316" s="24"/>
      <c r="T316" s="24"/>
      <c r="U316" s="24"/>
      <c r="V316" s="24"/>
      <c r="W316" s="24"/>
      <c r="X316" s="24"/>
      <c r="Y316" s="24"/>
      <c r="Z316" s="24"/>
      <c r="AA316" s="24"/>
      <c r="AB316" s="24"/>
      <c r="AC316" s="24"/>
    </row>
    <row r="317" spans="1:29" ht="16.3">
      <c r="A317" s="24"/>
      <c r="B317" s="24"/>
      <c r="C317" s="24"/>
      <c r="D317" s="24"/>
      <c r="E317" s="24"/>
      <c r="F317" s="24"/>
      <c r="G317" s="117"/>
      <c r="H317" s="117"/>
      <c r="I317" s="118"/>
      <c r="J317" s="119"/>
      <c r="K317" s="119"/>
      <c r="L317" s="24"/>
      <c r="M317" s="24"/>
      <c r="N317" s="24"/>
      <c r="O317" s="24"/>
      <c r="P317" s="114"/>
      <c r="Q317" s="24"/>
      <c r="R317" s="24"/>
      <c r="S317" s="24"/>
      <c r="T317" s="24"/>
      <c r="U317" s="24"/>
      <c r="V317" s="24"/>
      <c r="W317" s="24"/>
      <c r="X317" s="24"/>
      <c r="Y317" s="24"/>
      <c r="Z317" s="24"/>
      <c r="AA317" s="24"/>
      <c r="AB317" s="24"/>
      <c r="AC317" s="24"/>
    </row>
    <row r="318" spans="1:29" ht="16.3">
      <c r="A318" s="24"/>
      <c r="B318" s="24"/>
      <c r="C318" s="24"/>
      <c r="D318" s="24"/>
      <c r="E318" s="24"/>
      <c r="F318" s="24"/>
      <c r="G318" s="117"/>
      <c r="H318" s="117"/>
      <c r="I318" s="118"/>
      <c r="J318" s="119"/>
      <c r="K318" s="119"/>
      <c r="L318" s="24"/>
      <c r="M318" s="24"/>
      <c r="N318" s="24"/>
      <c r="O318" s="24"/>
      <c r="P318" s="114"/>
      <c r="Q318" s="24"/>
      <c r="R318" s="24"/>
      <c r="S318" s="24"/>
      <c r="T318" s="24"/>
      <c r="U318" s="24"/>
      <c r="V318" s="24"/>
      <c r="W318" s="24"/>
      <c r="X318" s="24"/>
      <c r="Y318" s="24"/>
      <c r="Z318" s="24"/>
      <c r="AA318" s="24"/>
      <c r="AB318" s="24"/>
      <c r="AC318" s="24"/>
    </row>
    <row r="319" spans="1:29" ht="16.3">
      <c r="A319" s="24"/>
      <c r="B319" s="24"/>
      <c r="C319" s="24"/>
      <c r="D319" s="24"/>
      <c r="E319" s="24"/>
      <c r="F319" s="24"/>
      <c r="G319" s="117"/>
      <c r="H319" s="117"/>
      <c r="I319" s="118"/>
      <c r="J319" s="119"/>
      <c r="K319" s="119"/>
      <c r="L319" s="24"/>
      <c r="M319" s="24"/>
      <c r="N319" s="24"/>
      <c r="O319" s="24"/>
      <c r="P319" s="114"/>
      <c r="Q319" s="24"/>
      <c r="R319" s="24"/>
      <c r="S319" s="24"/>
      <c r="T319" s="24"/>
      <c r="U319" s="24"/>
      <c r="V319" s="24"/>
      <c r="W319" s="24"/>
      <c r="X319" s="24"/>
      <c r="Y319" s="24"/>
      <c r="Z319" s="24"/>
      <c r="AA319" s="24"/>
      <c r="AB319" s="24"/>
      <c r="AC319" s="24"/>
    </row>
    <row r="320" spans="1:29" ht="16.3">
      <c r="A320" s="24"/>
      <c r="B320" s="24"/>
      <c r="C320" s="24"/>
      <c r="D320" s="24"/>
      <c r="E320" s="24"/>
      <c r="F320" s="24"/>
      <c r="G320" s="117"/>
      <c r="H320" s="117"/>
      <c r="I320" s="118"/>
      <c r="J320" s="119"/>
      <c r="K320" s="119"/>
      <c r="L320" s="24"/>
      <c r="M320" s="24"/>
      <c r="N320" s="24"/>
      <c r="O320" s="24"/>
      <c r="P320" s="114"/>
      <c r="Q320" s="24"/>
      <c r="R320" s="24"/>
      <c r="S320" s="24"/>
      <c r="T320" s="24"/>
      <c r="U320" s="24"/>
      <c r="V320" s="24"/>
      <c r="W320" s="24"/>
      <c r="X320" s="24"/>
      <c r="Y320" s="24"/>
      <c r="Z320" s="24"/>
      <c r="AA320" s="24"/>
      <c r="AB320" s="24"/>
      <c r="AC320" s="24"/>
    </row>
    <row r="321" spans="1:29" ht="16.3">
      <c r="A321" s="24"/>
      <c r="B321" s="24"/>
      <c r="C321" s="24"/>
      <c r="D321" s="24"/>
      <c r="E321" s="24"/>
      <c r="F321" s="24"/>
      <c r="G321" s="117"/>
      <c r="H321" s="117"/>
      <c r="I321" s="118"/>
      <c r="J321" s="119"/>
      <c r="K321" s="119"/>
      <c r="L321" s="24"/>
      <c r="M321" s="24"/>
      <c r="N321" s="24"/>
      <c r="O321" s="24"/>
      <c r="P321" s="114"/>
      <c r="Q321" s="24"/>
      <c r="R321" s="24"/>
      <c r="S321" s="24"/>
      <c r="T321" s="24"/>
      <c r="U321" s="24"/>
      <c r="V321" s="24"/>
      <c r="W321" s="24"/>
      <c r="X321" s="24"/>
      <c r="Y321" s="24"/>
      <c r="Z321" s="24"/>
      <c r="AA321" s="24"/>
      <c r="AB321" s="24"/>
      <c r="AC321" s="24"/>
    </row>
    <row r="322" spans="1:29" ht="16.3">
      <c r="A322" s="24"/>
      <c r="B322" s="24"/>
      <c r="C322" s="24"/>
      <c r="D322" s="24"/>
      <c r="E322" s="24"/>
      <c r="F322" s="24"/>
      <c r="G322" s="117"/>
      <c r="H322" s="117"/>
      <c r="I322" s="118"/>
      <c r="J322" s="119"/>
      <c r="K322" s="119"/>
      <c r="L322" s="24"/>
      <c r="M322" s="24"/>
      <c r="N322" s="24"/>
      <c r="O322" s="24"/>
      <c r="P322" s="114"/>
      <c r="Q322" s="24"/>
      <c r="R322" s="24"/>
      <c r="S322" s="24"/>
      <c r="T322" s="24"/>
      <c r="U322" s="24"/>
      <c r="V322" s="24"/>
      <c r="W322" s="24"/>
      <c r="X322" s="24"/>
      <c r="Y322" s="24"/>
      <c r="Z322" s="24"/>
      <c r="AA322" s="24"/>
      <c r="AB322" s="24"/>
      <c r="AC322" s="24"/>
    </row>
    <row r="323" spans="1:29" ht="16.3">
      <c r="A323" s="24"/>
      <c r="B323" s="24"/>
      <c r="C323" s="24"/>
      <c r="D323" s="24"/>
      <c r="E323" s="24"/>
      <c r="F323" s="24"/>
      <c r="G323" s="117"/>
      <c r="H323" s="117"/>
      <c r="I323" s="118"/>
      <c r="J323" s="119"/>
      <c r="K323" s="119"/>
      <c r="L323" s="24"/>
      <c r="M323" s="24"/>
      <c r="N323" s="24"/>
      <c r="O323" s="24"/>
      <c r="P323" s="114"/>
      <c r="Q323" s="24"/>
      <c r="R323" s="24"/>
      <c r="S323" s="24"/>
      <c r="T323" s="24"/>
      <c r="U323" s="24"/>
      <c r="V323" s="24"/>
      <c r="W323" s="24"/>
      <c r="X323" s="24"/>
      <c r="Y323" s="24"/>
      <c r="Z323" s="24"/>
      <c r="AA323" s="24"/>
      <c r="AB323" s="24"/>
      <c r="AC323" s="24"/>
    </row>
    <row r="324" spans="1:29" ht="16.3">
      <c r="A324" s="24"/>
      <c r="B324" s="24"/>
      <c r="C324" s="24"/>
      <c r="D324" s="24"/>
      <c r="E324" s="24"/>
      <c r="F324" s="24"/>
      <c r="G324" s="117"/>
      <c r="H324" s="117"/>
      <c r="I324" s="118"/>
      <c r="J324" s="119"/>
      <c r="K324" s="119"/>
      <c r="L324" s="24"/>
      <c r="M324" s="24"/>
      <c r="N324" s="24"/>
      <c r="O324" s="24"/>
      <c r="P324" s="114"/>
      <c r="Q324" s="24"/>
      <c r="R324" s="24"/>
      <c r="S324" s="24"/>
      <c r="T324" s="24"/>
      <c r="U324" s="24"/>
      <c r="V324" s="24"/>
      <c r="W324" s="24"/>
      <c r="X324" s="24"/>
      <c r="Y324" s="24"/>
      <c r="Z324" s="24"/>
      <c r="AA324" s="24"/>
      <c r="AB324" s="24"/>
      <c r="AC324" s="24"/>
    </row>
    <row r="325" spans="1:29" ht="16.3">
      <c r="A325" s="24"/>
      <c r="B325" s="24"/>
      <c r="C325" s="24"/>
      <c r="D325" s="24"/>
      <c r="E325" s="24"/>
      <c r="F325" s="24"/>
      <c r="G325" s="117"/>
      <c r="H325" s="117"/>
      <c r="I325" s="118"/>
      <c r="J325" s="119"/>
      <c r="K325" s="119"/>
      <c r="L325" s="24"/>
      <c r="M325" s="24"/>
      <c r="N325" s="24"/>
      <c r="O325" s="24"/>
      <c r="P325" s="114"/>
      <c r="Q325" s="24"/>
      <c r="R325" s="24"/>
      <c r="S325" s="24"/>
      <c r="T325" s="24"/>
      <c r="U325" s="24"/>
      <c r="V325" s="24"/>
      <c r="W325" s="24"/>
      <c r="X325" s="24"/>
      <c r="Y325" s="24"/>
      <c r="Z325" s="24"/>
      <c r="AA325" s="24"/>
      <c r="AB325" s="24"/>
      <c r="AC325" s="24"/>
    </row>
    <row r="326" spans="1:29" ht="16.3">
      <c r="A326" s="24"/>
      <c r="B326" s="24"/>
      <c r="C326" s="24"/>
      <c r="D326" s="24"/>
      <c r="E326" s="24"/>
      <c r="F326" s="24"/>
      <c r="G326" s="117"/>
      <c r="H326" s="117"/>
      <c r="I326" s="118"/>
      <c r="J326" s="119"/>
      <c r="K326" s="119"/>
      <c r="L326" s="24"/>
      <c r="M326" s="24"/>
      <c r="N326" s="24"/>
      <c r="O326" s="24"/>
      <c r="P326" s="114"/>
      <c r="Q326" s="24"/>
      <c r="R326" s="24"/>
      <c r="S326" s="24"/>
      <c r="T326" s="24"/>
      <c r="U326" s="24"/>
      <c r="V326" s="24"/>
      <c r="W326" s="24"/>
      <c r="X326" s="24"/>
      <c r="Y326" s="24"/>
      <c r="Z326" s="24"/>
      <c r="AA326" s="24"/>
      <c r="AB326" s="24"/>
      <c r="AC326" s="24"/>
    </row>
    <row r="327" spans="1:29" ht="16.3">
      <c r="A327" s="24"/>
      <c r="B327" s="24"/>
      <c r="C327" s="24"/>
      <c r="D327" s="24"/>
      <c r="E327" s="24"/>
      <c r="F327" s="24"/>
      <c r="G327" s="117"/>
      <c r="H327" s="117"/>
      <c r="I327" s="118"/>
      <c r="J327" s="119"/>
      <c r="K327" s="119"/>
      <c r="L327" s="24"/>
      <c r="M327" s="24"/>
      <c r="N327" s="24"/>
      <c r="O327" s="24"/>
      <c r="P327" s="114"/>
      <c r="Q327" s="24"/>
      <c r="R327" s="24"/>
      <c r="S327" s="24"/>
      <c r="T327" s="24"/>
      <c r="U327" s="24"/>
      <c r="V327" s="24"/>
      <c r="W327" s="24"/>
      <c r="X327" s="24"/>
      <c r="Y327" s="24"/>
      <c r="Z327" s="24"/>
      <c r="AA327" s="24"/>
      <c r="AB327" s="24"/>
      <c r="AC327" s="24"/>
    </row>
    <row r="328" spans="1:29" ht="16.3">
      <c r="A328" s="24"/>
      <c r="B328" s="24"/>
      <c r="C328" s="24"/>
      <c r="D328" s="24"/>
      <c r="E328" s="24"/>
      <c r="F328" s="24"/>
      <c r="G328" s="117"/>
      <c r="H328" s="117"/>
      <c r="I328" s="118"/>
      <c r="J328" s="119"/>
      <c r="K328" s="119"/>
      <c r="L328" s="24"/>
      <c r="M328" s="24"/>
      <c r="N328" s="24"/>
      <c r="O328" s="24"/>
      <c r="P328" s="114"/>
      <c r="Q328" s="24"/>
      <c r="R328" s="24"/>
      <c r="S328" s="24"/>
      <c r="T328" s="24"/>
      <c r="U328" s="24"/>
      <c r="V328" s="24"/>
      <c r="W328" s="24"/>
      <c r="X328" s="24"/>
      <c r="Y328" s="24"/>
      <c r="Z328" s="24"/>
      <c r="AA328" s="24"/>
      <c r="AB328" s="24"/>
      <c r="AC328" s="24"/>
    </row>
    <row r="329" spans="1:29" ht="16.3">
      <c r="A329" s="24"/>
      <c r="B329" s="24"/>
      <c r="C329" s="24"/>
      <c r="D329" s="24"/>
      <c r="E329" s="24"/>
      <c r="F329" s="24"/>
      <c r="G329" s="117"/>
      <c r="H329" s="117"/>
      <c r="I329" s="118"/>
      <c r="J329" s="119"/>
      <c r="K329" s="119"/>
      <c r="L329" s="24"/>
      <c r="M329" s="24"/>
      <c r="N329" s="24"/>
      <c r="O329" s="24"/>
      <c r="P329" s="114"/>
      <c r="Q329" s="24"/>
      <c r="R329" s="24"/>
      <c r="S329" s="24"/>
      <c r="T329" s="24"/>
      <c r="U329" s="24"/>
      <c r="V329" s="24"/>
      <c r="W329" s="24"/>
      <c r="X329" s="24"/>
      <c r="Y329" s="24"/>
      <c r="Z329" s="24"/>
      <c r="AA329" s="24"/>
      <c r="AB329" s="24"/>
      <c r="AC329" s="24"/>
    </row>
    <row r="330" spans="1:29" ht="16.3">
      <c r="A330" s="24"/>
      <c r="B330" s="24"/>
      <c r="C330" s="24"/>
      <c r="D330" s="24"/>
      <c r="E330" s="24"/>
      <c r="F330" s="24"/>
      <c r="G330" s="117"/>
      <c r="H330" s="117"/>
      <c r="I330" s="118"/>
      <c r="J330" s="119"/>
      <c r="K330" s="119"/>
      <c r="L330" s="24"/>
      <c r="M330" s="24"/>
      <c r="N330" s="24"/>
      <c r="O330" s="24"/>
      <c r="P330" s="114"/>
      <c r="Q330" s="24"/>
      <c r="R330" s="24"/>
      <c r="S330" s="24"/>
      <c r="T330" s="24"/>
      <c r="U330" s="24"/>
      <c r="V330" s="24"/>
      <c r="W330" s="24"/>
      <c r="X330" s="24"/>
      <c r="Y330" s="24"/>
      <c r="Z330" s="24"/>
      <c r="AA330" s="24"/>
      <c r="AB330" s="24"/>
      <c r="AC330" s="24"/>
    </row>
    <row r="331" spans="1:29" ht="16.3">
      <c r="A331" s="24"/>
      <c r="B331" s="24"/>
      <c r="C331" s="24"/>
      <c r="D331" s="24"/>
      <c r="E331" s="24"/>
      <c r="F331" s="24"/>
      <c r="G331" s="117"/>
      <c r="H331" s="117"/>
      <c r="I331" s="118"/>
      <c r="J331" s="119"/>
      <c r="K331" s="119"/>
      <c r="L331" s="24"/>
      <c r="M331" s="24"/>
      <c r="N331" s="24"/>
      <c r="O331" s="24"/>
      <c r="P331" s="114"/>
      <c r="Q331" s="24"/>
      <c r="R331" s="24"/>
      <c r="S331" s="24"/>
      <c r="T331" s="24"/>
      <c r="U331" s="24"/>
      <c r="V331" s="24"/>
      <c r="W331" s="24"/>
      <c r="X331" s="24"/>
      <c r="Y331" s="24"/>
      <c r="Z331" s="24"/>
      <c r="AA331" s="24"/>
      <c r="AB331" s="24"/>
      <c r="AC331" s="24"/>
    </row>
    <row r="332" spans="1:29" ht="16.3">
      <c r="A332" s="24"/>
      <c r="B332" s="24"/>
      <c r="C332" s="24"/>
      <c r="D332" s="24"/>
      <c r="E332" s="24"/>
      <c r="F332" s="24"/>
      <c r="G332" s="117"/>
      <c r="H332" s="117"/>
      <c r="I332" s="118"/>
      <c r="J332" s="119"/>
      <c r="K332" s="119"/>
      <c r="L332" s="24"/>
      <c r="M332" s="24"/>
      <c r="N332" s="24"/>
      <c r="O332" s="24"/>
      <c r="P332" s="114"/>
      <c r="Q332" s="24"/>
      <c r="R332" s="24"/>
      <c r="S332" s="24"/>
      <c r="T332" s="24"/>
      <c r="U332" s="24"/>
      <c r="V332" s="24"/>
      <c r="W332" s="24"/>
      <c r="X332" s="24"/>
      <c r="Y332" s="24"/>
      <c r="Z332" s="24"/>
      <c r="AA332" s="24"/>
      <c r="AB332" s="24"/>
      <c r="AC332" s="24"/>
    </row>
    <row r="333" spans="1:29" ht="16.3">
      <c r="A333" s="24"/>
      <c r="B333" s="24"/>
      <c r="C333" s="24"/>
      <c r="D333" s="24"/>
      <c r="E333" s="24"/>
      <c r="F333" s="24"/>
      <c r="G333" s="117"/>
      <c r="H333" s="117"/>
      <c r="I333" s="118"/>
      <c r="J333" s="119"/>
      <c r="K333" s="119"/>
      <c r="L333" s="24"/>
      <c r="M333" s="24"/>
      <c r="N333" s="24"/>
      <c r="O333" s="24"/>
      <c r="P333" s="114"/>
      <c r="Q333" s="24"/>
      <c r="R333" s="24"/>
      <c r="S333" s="24"/>
      <c r="T333" s="24"/>
      <c r="U333" s="24"/>
      <c r="V333" s="24"/>
      <c r="W333" s="24"/>
      <c r="X333" s="24"/>
      <c r="Y333" s="24"/>
      <c r="Z333" s="24"/>
      <c r="AA333" s="24"/>
      <c r="AB333" s="24"/>
      <c r="AC333" s="24"/>
    </row>
    <row r="334" spans="1:29" ht="16.3">
      <c r="A334" s="24"/>
      <c r="B334" s="24"/>
      <c r="C334" s="24"/>
      <c r="D334" s="24"/>
      <c r="E334" s="24"/>
      <c r="F334" s="24"/>
      <c r="G334" s="117"/>
      <c r="H334" s="117"/>
      <c r="I334" s="118"/>
      <c r="J334" s="119"/>
      <c r="K334" s="119"/>
      <c r="L334" s="24"/>
      <c r="M334" s="24"/>
      <c r="N334" s="24"/>
      <c r="O334" s="24"/>
      <c r="P334" s="114"/>
      <c r="Q334" s="24"/>
      <c r="R334" s="24"/>
      <c r="S334" s="24"/>
      <c r="T334" s="24"/>
      <c r="U334" s="24"/>
      <c r="V334" s="24"/>
      <c r="W334" s="24"/>
      <c r="X334" s="24"/>
      <c r="Y334" s="24"/>
      <c r="Z334" s="24"/>
      <c r="AA334" s="24"/>
      <c r="AB334" s="24"/>
      <c r="AC334" s="24"/>
    </row>
    <row r="335" spans="1:29" ht="16.3">
      <c r="A335" s="24"/>
      <c r="B335" s="24"/>
      <c r="C335" s="24"/>
      <c r="D335" s="24"/>
      <c r="E335" s="24"/>
      <c r="F335" s="24"/>
      <c r="G335" s="117"/>
      <c r="H335" s="117"/>
      <c r="I335" s="118"/>
      <c r="J335" s="119"/>
      <c r="K335" s="119"/>
      <c r="L335" s="24"/>
      <c r="M335" s="24"/>
      <c r="N335" s="24"/>
      <c r="O335" s="24"/>
      <c r="P335" s="114"/>
      <c r="Q335" s="24"/>
      <c r="R335" s="24"/>
      <c r="S335" s="24"/>
      <c r="T335" s="24"/>
      <c r="U335" s="24"/>
      <c r="V335" s="24"/>
      <c r="W335" s="24"/>
      <c r="X335" s="24"/>
      <c r="Y335" s="24"/>
      <c r="Z335" s="24"/>
      <c r="AA335" s="24"/>
      <c r="AB335" s="24"/>
      <c r="AC335" s="24"/>
    </row>
    <row r="336" spans="1:29" ht="16.3">
      <c r="A336" s="24"/>
      <c r="B336" s="24"/>
      <c r="C336" s="24"/>
      <c r="D336" s="24"/>
      <c r="E336" s="24"/>
      <c r="F336" s="24"/>
      <c r="G336" s="117"/>
      <c r="H336" s="117"/>
      <c r="I336" s="118"/>
      <c r="J336" s="119"/>
      <c r="K336" s="119"/>
      <c r="L336" s="24"/>
      <c r="M336" s="24"/>
      <c r="N336" s="24"/>
      <c r="O336" s="24"/>
      <c r="P336" s="114"/>
      <c r="Q336" s="24"/>
      <c r="R336" s="24"/>
      <c r="S336" s="24"/>
      <c r="T336" s="24"/>
      <c r="U336" s="24"/>
      <c r="V336" s="24"/>
      <c r="W336" s="24"/>
      <c r="X336" s="24"/>
      <c r="Y336" s="24"/>
      <c r="Z336" s="24"/>
      <c r="AA336" s="24"/>
      <c r="AB336" s="24"/>
      <c r="AC336" s="24"/>
    </row>
    <row r="337" spans="1:29" ht="16.3">
      <c r="A337" s="24"/>
      <c r="B337" s="24"/>
      <c r="C337" s="24"/>
      <c r="D337" s="24"/>
      <c r="E337" s="24"/>
      <c r="F337" s="24"/>
      <c r="G337" s="117"/>
      <c r="H337" s="117"/>
      <c r="I337" s="118"/>
      <c r="J337" s="119"/>
      <c r="K337" s="119"/>
      <c r="L337" s="24"/>
      <c r="M337" s="24"/>
      <c r="N337" s="24"/>
      <c r="O337" s="24"/>
      <c r="P337" s="114"/>
      <c r="Q337" s="24"/>
      <c r="R337" s="24"/>
      <c r="S337" s="24"/>
      <c r="T337" s="24"/>
      <c r="U337" s="24"/>
      <c r="V337" s="24"/>
      <c r="W337" s="24"/>
      <c r="X337" s="24"/>
      <c r="Y337" s="24"/>
      <c r="Z337" s="24"/>
      <c r="AA337" s="24"/>
      <c r="AB337" s="24"/>
      <c r="AC337" s="24"/>
    </row>
    <row r="338" spans="1:29" ht="16.3">
      <c r="A338" s="24"/>
      <c r="B338" s="24"/>
      <c r="C338" s="24"/>
      <c r="D338" s="24"/>
      <c r="E338" s="24"/>
      <c r="F338" s="24"/>
      <c r="G338" s="117"/>
      <c r="H338" s="117"/>
      <c r="I338" s="118"/>
      <c r="J338" s="119"/>
      <c r="K338" s="119"/>
      <c r="L338" s="24"/>
      <c r="M338" s="24"/>
      <c r="N338" s="24"/>
      <c r="O338" s="24"/>
      <c r="P338" s="114"/>
      <c r="Q338" s="24"/>
      <c r="R338" s="24"/>
      <c r="S338" s="24"/>
      <c r="T338" s="24"/>
      <c r="U338" s="24"/>
      <c r="V338" s="24"/>
      <c r="W338" s="24"/>
      <c r="X338" s="24"/>
      <c r="Y338" s="24"/>
      <c r="Z338" s="24"/>
      <c r="AA338" s="24"/>
      <c r="AB338" s="24"/>
      <c r="AC338" s="24"/>
    </row>
    <row r="339" spans="1:29" ht="16.3">
      <c r="A339" s="24"/>
      <c r="B339" s="24"/>
      <c r="C339" s="24"/>
      <c r="D339" s="24"/>
      <c r="E339" s="24"/>
      <c r="F339" s="24"/>
      <c r="G339" s="117"/>
      <c r="H339" s="117"/>
      <c r="I339" s="118"/>
      <c r="J339" s="119"/>
      <c r="K339" s="119"/>
      <c r="L339" s="24"/>
      <c r="M339" s="24"/>
      <c r="N339" s="24"/>
      <c r="O339" s="24"/>
      <c r="P339" s="114"/>
      <c r="Q339" s="24"/>
      <c r="R339" s="24"/>
      <c r="S339" s="24"/>
      <c r="T339" s="24"/>
      <c r="U339" s="24"/>
      <c r="V339" s="24"/>
      <c r="W339" s="24"/>
      <c r="X339" s="24"/>
      <c r="Y339" s="24"/>
      <c r="Z339" s="24"/>
      <c r="AA339" s="24"/>
      <c r="AB339" s="24"/>
      <c r="AC339" s="24"/>
    </row>
    <row r="340" spans="1:29" ht="16.3">
      <c r="A340" s="24"/>
      <c r="B340" s="24"/>
      <c r="C340" s="24"/>
      <c r="D340" s="24"/>
      <c r="E340" s="24"/>
      <c r="F340" s="24"/>
      <c r="G340" s="117"/>
      <c r="H340" s="117"/>
      <c r="I340" s="118"/>
      <c r="J340" s="119"/>
      <c r="K340" s="119"/>
      <c r="L340" s="24"/>
      <c r="M340" s="24"/>
      <c r="N340" s="24"/>
      <c r="O340" s="24"/>
      <c r="P340" s="114"/>
      <c r="Q340" s="24"/>
      <c r="R340" s="24"/>
      <c r="S340" s="24"/>
      <c r="T340" s="24"/>
      <c r="U340" s="24"/>
      <c r="V340" s="24"/>
      <c r="W340" s="24"/>
      <c r="X340" s="24"/>
      <c r="Y340" s="24"/>
      <c r="Z340" s="24"/>
      <c r="AA340" s="24"/>
      <c r="AB340" s="24"/>
      <c r="AC340" s="24"/>
    </row>
    <row r="341" spans="1:29" ht="16.3">
      <c r="A341" s="24"/>
      <c r="B341" s="24"/>
      <c r="C341" s="24"/>
      <c r="D341" s="24"/>
      <c r="E341" s="24"/>
      <c r="F341" s="24"/>
      <c r="G341" s="117"/>
      <c r="H341" s="117"/>
      <c r="I341" s="118"/>
      <c r="J341" s="119"/>
      <c r="K341" s="119"/>
      <c r="L341" s="24"/>
      <c r="M341" s="24"/>
      <c r="N341" s="24"/>
      <c r="O341" s="24"/>
      <c r="P341" s="114"/>
      <c r="Q341" s="24"/>
      <c r="R341" s="24"/>
      <c r="S341" s="24"/>
      <c r="T341" s="24"/>
      <c r="U341" s="24"/>
      <c r="V341" s="24"/>
      <c r="W341" s="24"/>
      <c r="X341" s="24"/>
      <c r="Y341" s="24"/>
      <c r="Z341" s="24"/>
      <c r="AA341" s="24"/>
      <c r="AB341" s="24"/>
      <c r="AC341" s="24"/>
    </row>
    <row r="342" spans="1:29" ht="16.3">
      <c r="A342" s="24"/>
      <c r="B342" s="24"/>
      <c r="C342" s="24"/>
      <c r="D342" s="24"/>
      <c r="E342" s="24"/>
      <c r="F342" s="24"/>
      <c r="G342" s="117"/>
      <c r="H342" s="117"/>
      <c r="I342" s="118"/>
      <c r="J342" s="119"/>
      <c r="K342" s="119"/>
      <c r="L342" s="24"/>
      <c r="M342" s="24"/>
      <c r="N342" s="24"/>
      <c r="O342" s="24"/>
      <c r="P342" s="114"/>
      <c r="Q342" s="24"/>
      <c r="R342" s="24"/>
      <c r="S342" s="24"/>
      <c r="T342" s="24"/>
      <c r="U342" s="24"/>
      <c r="V342" s="24"/>
      <c r="W342" s="24"/>
      <c r="X342" s="24"/>
      <c r="Y342" s="24"/>
      <c r="Z342" s="24"/>
      <c r="AA342" s="24"/>
      <c r="AB342" s="24"/>
      <c r="AC342" s="24"/>
    </row>
    <row r="343" spans="1:29" ht="16.3">
      <c r="A343" s="24"/>
      <c r="B343" s="24"/>
      <c r="C343" s="24"/>
      <c r="D343" s="24"/>
      <c r="E343" s="24"/>
      <c r="F343" s="24"/>
      <c r="G343" s="117"/>
      <c r="H343" s="117"/>
      <c r="I343" s="118"/>
      <c r="J343" s="119"/>
      <c r="K343" s="119"/>
      <c r="L343" s="24"/>
      <c r="M343" s="24"/>
      <c r="N343" s="24"/>
      <c r="O343" s="24"/>
      <c r="P343" s="114"/>
      <c r="Q343" s="24"/>
      <c r="R343" s="24"/>
      <c r="S343" s="24"/>
      <c r="T343" s="24"/>
      <c r="U343" s="24"/>
      <c r="V343" s="24"/>
      <c r="W343" s="24"/>
      <c r="X343" s="24"/>
      <c r="Y343" s="24"/>
      <c r="Z343" s="24"/>
      <c r="AA343" s="24"/>
      <c r="AB343" s="24"/>
      <c r="AC343" s="24"/>
    </row>
    <row r="344" spans="1:29" ht="16.3">
      <c r="A344" s="24"/>
      <c r="B344" s="24"/>
      <c r="C344" s="24"/>
      <c r="D344" s="24"/>
      <c r="E344" s="24"/>
      <c r="F344" s="24"/>
      <c r="G344" s="117"/>
      <c r="H344" s="117"/>
      <c r="I344" s="118"/>
      <c r="J344" s="119"/>
      <c r="K344" s="119"/>
      <c r="L344" s="24"/>
      <c r="M344" s="24"/>
      <c r="N344" s="24"/>
      <c r="O344" s="24"/>
      <c r="P344" s="114"/>
      <c r="Q344" s="24"/>
      <c r="R344" s="24"/>
      <c r="S344" s="24"/>
      <c r="T344" s="24"/>
      <c r="U344" s="24"/>
      <c r="V344" s="24"/>
      <c r="W344" s="24"/>
      <c r="X344" s="24"/>
      <c r="Y344" s="24"/>
      <c r="Z344" s="24"/>
      <c r="AA344" s="24"/>
      <c r="AB344" s="24"/>
      <c r="AC344" s="24"/>
    </row>
    <row r="345" spans="1:29" ht="16.3">
      <c r="A345" s="24"/>
      <c r="B345" s="24"/>
      <c r="C345" s="24"/>
      <c r="D345" s="24"/>
      <c r="E345" s="24"/>
      <c r="F345" s="24"/>
      <c r="G345" s="117"/>
      <c r="H345" s="117"/>
      <c r="I345" s="118"/>
      <c r="J345" s="119"/>
      <c r="K345" s="119"/>
      <c r="L345" s="24"/>
      <c r="M345" s="24"/>
      <c r="N345" s="24"/>
      <c r="O345" s="24"/>
      <c r="P345" s="114"/>
      <c r="Q345" s="24"/>
      <c r="R345" s="24"/>
      <c r="S345" s="24"/>
      <c r="T345" s="24"/>
      <c r="U345" s="24"/>
      <c r="V345" s="24"/>
      <c r="W345" s="24"/>
      <c r="X345" s="24"/>
      <c r="Y345" s="24"/>
      <c r="Z345" s="24"/>
      <c r="AA345" s="24"/>
      <c r="AB345" s="24"/>
      <c r="AC345" s="24"/>
    </row>
    <row r="346" spans="1:29" ht="16.3">
      <c r="A346" s="24"/>
      <c r="B346" s="24"/>
      <c r="C346" s="24"/>
      <c r="D346" s="24"/>
      <c r="E346" s="24"/>
      <c r="F346" s="24"/>
      <c r="G346" s="117"/>
      <c r="H346" s="117"/>
      <c r="I346" s="118"/>
      <c r="J346" s="119"/>
      <c r="K346" s="119"/>
      <c r="L346" s="24"/>
      <c r="M346" s="24"/>
      <c r="N346" s="24"/>
      <c r="O346" s="24"/>
      <c r="P346" s="114"/>
      <c r="Q346" s="24"/>
      <c r="R346" s="24"/>
      <c r="S346" s="24"/>
      <c r="T346" s="24"/>
      <c r="U346" s="24"/>
      <c r="V346" s="24"/>
      <c r="W346" s="24"/>
      <c r="X346" s="24"/>
      <c r="Y346" s="24"/>
      <c r="Z346" s="24"/>
      <c r="AA346" s="24"/>
      <c r="AB346" s="24"/>
      <c r="AC346" s="24"/>
    </row>
    <row r="347" spans="1:29" ht="16.3">
      <c r="A347" s="24"/>
      <c r="B347" s="24"/>
      <c r="C347" s="24"/>
      <c r="D347" s="24"/>
      <c r="E347" s="24"/>
      <c r="F347" s="24"/>
      <c r="G347" s="117"/>
      <c r="H347" s="117"/>
      <c r="I347" s="118"/>
      <c r="J347" s="119"/>
      <c r="K347" s="119"/>
      <c r="L347" s="24"/>
      <c r="M347" s="24"/>
      <c r="N347" s="24"/>
      <c r="O347" s="24"/>
      <c r="P347" s="114"/>
      <c r="Q347" s="24"/>
      <c r="R347" s="24"/>
      <c r="S347" s="24"/>
      <c r="T347" s="24"/>
      <c r="U347" s="24"/>
      <c r="V347" s="24"/>
      <c r="W347" s="24"/>
      <c r="X347" s="24"/>
      <c r="Y347" s="24"/>
      <c r="Z347" s="24"/>
      <c r="AA347" s="24"/>
      <c r="AB347" s="24"/>
      <c r="AC347" s="24"/>
    </row>
    <row r="348" spans="1:29" ht="16.3">
      <c r="A348" s="24"/>
      <c r="B348" s="24"/>
      <c r="C348" s="24"/>
      <c r="D348" s="24"/>
      <c r="E348" s="24"/>
      <c r="F348" s="24"/>
      <c r="G348" s="117"/>
      <c r="H348" s="117"/>
      <c r="I348" s="118"/>
      <c r="J348" s="119"/>
      <c r="K348" s="119"/>
      <c r="L348" s="24"/>
      <c r="M348" s="24"/>
      <c r="N348" s="24"/>
      <c r="O348" s="24"/>
      <c r="P348" s="114"/>
      <c r="Q348" s="24"/>
      <c r="R348" s="24"/>
      <c r="S348" s="24"/>
      <c r="T348" s="24"/>
      <c r="U348" s="24"/>
      <c r="V348" s="24"/>
      <c r="W348" s="24"/>
      <c r="X348" s="24"/>
      <c r="Y348" s="24"/>
      <c r="Z348" s="24"/>
      <c r="AA348" s="24"/>
      <c r="AB348" s="24"/>
      <c r="AC348" s="24"/>
    </row>
    <row r="349" spans="1:29" ht="16.3">
      <c r="A349" s="24"/>
      <c r="B349" s="24"/>
      <c r="C349" s="24"/>
      <c r="D349" s="24"/>
      <c r="E349" s="24"/>
      <c r="F349" s="24"/>
      <c r="G349" s="117"/>
      <c r="H349" s="117"/>
      <c r="I349" s="118"/>
      <c r="J349" s="119"/>
      <c r="K349" s="119"/>
      <c r="L349" s="24"/>
      <c r="M349" s="24"/>
      <c r="N349" s="24"/>
      <c r="O349" s="24"/>
      <c r="P349" s="114"/>
      <c r="Q349" s="24"/>
      <c r="R349" s="24"/>
      <c r="S349" s="24"/>
      <c r="T349" s="24"/>
      <c r="U349" s="24"/>
      <c r="V349" s="24"/>
      <c r="W349" s="24"/>
      <c r="X349" s="24"/>
      <c r="Y349" s="24"/>
      <c r="Z349" s="24"/>
      <c r="AA349" s="24"/>
      <c r="AB349" s="24"/>
      <c r="AC349" s="24"/>
    </row>
    <row r="350" spans="1:29" ht="16.3">
      <c r="A350" s="24"/>
      <c r="B350" s="24"/>
      <c r="C350" s="24"/>
      <c r="D350" s="24"/>
      <c r="E350" s="24"/>
      <c r="F350" s="24"/>
      <c r="G350" s="117"/>
      <c r="H350" s="117"/>
      <c r="I350" s="118"/>
      <c r="J350" s="119"/>
      <c r="K350" s="119"/>
      <c r="L350" s="24"/>
      <c r="M350" s="24"/>
      <c r="N350" s="24"/>
      <c r="O350" s="24"/>
      <c r="P350" s="114"/>
      <c r="Q350" s="24"/>
      <c r="R350" s="24"/>
      <c r="S350" s="24"/>
      <c r="T350" s="24"/>
      <c r="U350" s="24"/>
      <c r="V350" s="24"/>
      <c r="W350" s="24"/>
      <c r="X350" s="24"/>
      <c r="Y350" s="24"/>
      <c r="Z350" s="24"/>
      <c r="AA350" s="24"/>
      <c r="AB350" s="24"/>
      <c r="AC350" s="24"/>
    </row>
    <row r="351" spans="1:29" ht="16.3">
      <c r="A351" s="24"/>
      <c r="B351" s="24"/>
      <c r="C351" s="24"/>
      <c r="D351" s="24"/>
      <c r="E351" s="24"/>
      <c r="F351" s="24"/>
      <c r="G351" s="117"/>
      <c r="H351" s="117"/>
      <c r="I351" s="118"/>
      <c r="J351" s="119"/>
      <c r="K351" s="119"/>
      <c r="L351" s="24"/>
      <c r="M351" s="24"/>
      <c r="N351" s="24"/>
      <c r="O351" s="24"/>
      <c r="P351" s="114"/>
      <c r="Q351" s="24"/>
      <c r="R351" s="24"/>
      <c r="S351" s="24"/>
      <c r="T351" s="24"/>
      <c r="U351" s="24"/>
      <c r="V351" s="24"/>
      <c r="W351" s="24"/>
      <c r="X351" s="24"/>
      <c r="Y351" s="24"/>
      <c r="Z351" s="24"/>
      <c r="AA351" s="24"/>
      <c r="AB351" s="24"/>
      <c r="AC351" s="24"/>
    </row>
    <row r="352" spans="1:29" ht="16.3">
      <c r="A352" s="24"/>
      <c r="B352" s="24"/>
      <c r="C352" s="24"/>
      <c r="D352" s="24"/>
      <c r="E352" s="24"/>
      <c r="F352" s="24"/>
      <c r="G352" s="117"/>
      <c r="H352" s="117"/>
      <c r="I352" s="118"/>
      <c r="J352" s="119"/>
      <c r="K352" s="119"/>
      <c r="L352" s="24"/>
      <c r="M352" s="24"/>
      <c r="N352" s="24"/>
      <c r="O352" s="24"/>
      <c r="P352" s="114"/>
      <c r="Q352" s="24"/>
      <c r="R352" s="24"/>
      <c r="S352" s="24"/>
      <c r="T352" s="24"/>
      <c r="U352" s="24"/>
      <c r="V352" s="24"/>
      <c r="W352" s="24"/>
      <c r="X352" s="24"/>
      <c r="Y352" s="24"/>
      <c r="Z352" s="24"/>
      <c r="AA352" s="24"/>
      <c r="AB352" s="24"/>
      <c r="AC352" s="24"/>
    </row>
    <row r="353" spans="1:29" ht="16.3">
      <c r="A353" s="24"/>
      <c r="B353" s="24"/>
      <c r="C353" s="24"/>
      <c r="D353" s="24"/>
      <c r="E353" s="24"/>
      <c r="F353" s="24"/>
      <c r="G353" s="117"/>
      <c r="H353" s="117"/>
      <c r="I353" s="118"/>
      <c r="J353" s="119"/>
      <c r="K353" s="119"/>
      <c r="L353" s="24"/>
      <c r="M353" s="24"/>
      <c r="N353" s="24"/>
      <c r="O353" s="24"/>
      <c r="P353" s="114"/>
      <c r="Q353" s="24"/>
      <c r="R353" s="24"/>
      <c r="S353" s="24"/>
      <c r="T353" s="24"/>
      <c r="U353" s="24"/>
      <c r="V353" s="24"/>
      <c r="W353" s="24"/>
      <c r="X353" s="24"/>
      <c r="Y353" s="24"/>
      <c r="Z353" s="24"/>
      <c r="AA353" s="24"/>
      <c r="AB353" s="24"/>
      <c r="AC353" s="24"/>
    </row>
    <row r="354" spans="1:29" ht="16.3">
      <c r="A354" s="24"/>
      <c r="B354" s="24"/>
      <c r="C354" s="24"/>
      <c r="D354" s="24"/>
      <c r="E354" s="24"/>
      <c r="F354" s="24"/>
      <c r="G354" s="117"/>
      <c r="H354" s="117"/>
      <c r="I354" s="118"/>
      <c r="J354" s="119"/>
      <c r="K354" s="119"/>
      <c r="L354" s="24"/>
      <c r="M354" s="24"/>
      <c r="N354" s="24"/>
      <c r="O354" s="24"/>
      <c r="P354" s="114"/>
      <c r="Q354" s="24"/>
      <c r="R354" s="24"/>
      <c r="S354" s="24"/>
      <c r="T354" s="24"/>
      <c r="U354" s="24"/>
      <c r="V354" s="24"/>
      <c r="W354" s="24"/>
      <c r="X354" s="24"/>
      <c r="Y354" s="24"/>
      <c r="Z354" s="24"/>
      <c r="AA354" s="24"/>
      <c r="AB354" s="24"/>
      <c r="AC354" s="24"/>
    </row>
    <row r="355" spans="1:29" ht="16.3">
      <c r="A355" s="24"/>
      <c r="B355" s="24"/>
      <c r="C355" s="24"/>
      <c r="D355" s="24"/>
      <c r="E355" s="24"/>
      <c r="F355" s="24"/>
      <c r="G355" s="117"/>
      <c r="H355" s="117"/>
      <c r="I355" s="118"/>
      <c r="J355" s="119"/>
      <c r="K355" s="119"/>
      <c r="L355" s="24"/>
      <c r="M355" s="24"/>
      <c r="N355" s="24"/>
      <c r="O355" s="24"/>
      <c r="P355" s="114"/>
      <c r="Q355" s="24"/>
      <c r="R355" s="24"/>
      <c r="S355" s="24"/>
      <c r="T355" s="24"/>
      <c r="U355" s="24"/>
      <c r="V355" s="24"/>
      <c r="W355" s="24"/>
      <c r="X355" s="24"/>
      <c r="Y355" s="24"/>
      <c r="Z355" s="24"/>
      <c r="AA355" s="24"/>
      <c r="AB355" s="24"/>
      <c r="AC355" s="24"/>
    </row>
    <row r="356" spans="1:29" ht="16.3">
      <c r="A356" s="24"/>
      <c r="B356" s="24"/>
      <c r="C356" s="24"/>
      <c r="D356" s="24"/>
      <c r="E356" s="24"/>
      <c r="F356" s="24"/>
      <c r="G356" s="117"/>
      <c r="H356" s="117"/>
      <c r="I356" s="118"/>
      <c r="J356" s="119"/>
      <c r="K356" s="119"/>
      <c r="L356" s="24"/>
      <c r="M356" s="24"/>
      <c r="N356" s="24"/>
      <c r="O356" s="24"/>
      <c r="P356" s="114"/>
      <c r="Q356" s="24"/>
      <c r="R356" s="24"/>
      <c r="S356" s="24"/>
      <c r="T356" s="24"/>
      <c r="U356" s="24"/>
      <c r="V356" s="24"/>
      <c r="W356" s="24"/>
      <c r="X356" s="24"/>
      <c r="Y356" s="24"/>
      <c r="Z356" s="24"/>
      <c r="AA356" s="24"/>
      <c r="AB356" s="24"/>
      <c r="AC356" s="24"/>
    </row>
    <row r="357" spans="1:29" ht="16.3">
      <c r="A357" s="24"/>
      <c r="B357" s="24"/>
      <c r="C357" s="24"/>
      <c r="D357" s="24"/>
      <c r="E357" s="24"/>
      <c r="F357" s="24"/>
      <c r="G357" s="117"/>
      <c r="H357" s="117"/>
      <c r="I357" s="118"/>
      <c r="J357" s="119"/>
      <c r="K357" s="119"/>
      <c r="L357" s="24"/>
      <c r="M357" s="24"/>
      <c r="N357" s="24"/>
      <c r="O357" s="24"/>
      <c r="P357" s="114"/>
      <c r="Q357" s="24"/>
      <c r="R357" s="24"/>
      <c r="S357" s="24"/>
      <c r="T357" s="24"/>
      <c r="U357" s="24"/>
      <c r="V357" s="24"/>
      <c r="W357" s="24"/>
      <c r="X357" s="24"/>
      <c r="Y357" s="24"/>
      <c r="Z357" s="24"/>
      <c r="AA357" s="24"/>
      <c r="AB357" s="24"/>
      <c r="AC357" s="24"/>
    </row>
    <row r="358" spans="1:29" ht="16.3">
      <c r="A358" s="24"/>
      <c r="B358" s="24"/>
      <c r="C358" s="24"/>
      <c r="D358" s="24"/>
      <c r="E358" s="24"/>
      <c r="F358" s="24"/>
      <c r="G358" s="117"/>
      <c r="H358" s="117"/>
      <c r="I358" s="118"/>
      <c r="J358" s="119"/>
      <c r="K358" s="119"/>
      <c r="L358" s="24"/>
      <c r="M358" s="24"/>
      <c r="N358" s="24"/>
      <c r="O358" s="24"/>
      <c r="P358" s="114"/>
      <c r="Q358" s="24"/>
      <c r="R358" s="24"/>
      <c r="S358" s="24"/>
      <c r="T358" s="24"/>
      <c r="U358" s="24"/>
      <c r="V358" s="24"/>
      <c r="W358" s="24"/>
      <c r="X358" s="24"/>
      <c r="Y358" s="24"/>
      <c r="Z358" s="24"/>
      <c r="AA358" s="24"/>
      <c r="AB358" s="24"/>
      <c r="AC358" s="24"/>
    </row>
    <row r="359" spans="1:29" ht="16.3">
      <c r="A359" s="24"/>
      <c r="B359" s="24"/>
      <c r="C359" s="24"/>
      <c r="D359" s="24"/>
      <c r="E359" s="24"/>
      <c r="F359" s="24"/>
      <c r="G359" s="117"/>
      <c r="H359" s="117"/>
      <c r="I359" s="118"/>
      <c r="J359" s="119"/>
      <c r="K359" s="119"/>
      <c r="L359" s="24"/>
      <c r="M359" s="24"/>
      <c r="N359" s="24"/>
      <c r="O359" s="24"/>
      <c r="P359" s="114"/>
      <c r="Q359" s="24"/>
      <c r="R359" s="24"/>
      <c r="S359" s="24"/>
      <c r="T359" s="24"/>
      <c r="U359" s="24"/>
      <c r="V359" s="24"/>
      <c r="W359" s="24"/>
      <c r="X359" s="24"/>
      <c r="Y359" s="24"/>
      <c r="Z359" s="24"/>
      <c r="AA359" s="24"/>
      <c r="AB359" s="24"/>
      <c r="AC359" s="24"/>
    </row>
    <row r="360" spans="1:29" ht="16.3">
      <c r="A360" s="24"/>
      <c r="B360" s="24"/>
      <c r="C360" s="24"/>
      <c r="D360" s="24"/>
      <c r="E360" s="24"/>
      <c r="F360" s="24"/>
      <c r="G360" s="117"/>
      <c r="H360" s="117"/>
      <c r="I360" s="118"/>
      <c r="J360" s="119"/>
      <c r="K360" s="119"/>
      <c r="L360" s="24"/>
      <c r="M360" s="24"/>
      <c r="N360" s="24"/>
      <c r="O360" s="24"/>
      <c r="P360" s="114"/>
      <c r="Q360" s="24"/>
      <c r="R360" s="24"/>
      <c r="S360" s="24"/>
      <c r="T360" s="24"/>
      <c r="U360" s="24"/>
      <c r="V360" s="24"/>
      <c r="W360" s="24"/>
      <c r="X360" s="24"/>
      <c r="Y360" s="24"/>
      <c r="Z360" s="24"/>
      <c r="AA360" s="24"/>
      <c r="AB360" s="24"/>
      <c r="AC360" s="24"/>
    </row>
    <row r="361" spans="1:29" ht="16.3">
      <c r="A361" s="24"/>
      <c r="B361" s="24"/>
      <c r="C361" s="24"/>
      <c r="D361" s="24"/>
      <c r="E361" s="24"/>
      <c r="F361" s="24"/>
      <c r="G361" s="117"/>
      <c r="H361" s="117"/>
      <c r="I361" s="118"/>
      <c r="J361" s="119"/>
      <c r="K361" s="119"/>
      <c r="L361" s="24"/>
      <c r="M361" s="24"/>
      <c r="N361" s="24"/>
      <c r="O361" s="24"/>
      <c r="P361" s="114"/>
      <c r="Q361" s="24"/>
      <c r="R361" s="24"/>
      <c r="S361" s="24"/>
      <c r="T361" s="24"/>
      <c r="U361" s="24"/>
      <c r="V361" s="24"/>
      <c r="W361" s="24"/>
      <c r="X361" s="24"/>
      <c r="Y361" s="24"/>
      <c r="Z361" s="24"/>
      <c r="AA361" s="24"/>
      <c r="AB361" s="24"/>
      <c r="AC361" s="24"/>
    </row>
    <row r="362" spans="1:29" ht="16.3">
      <c r="A362" s="24"/>
      <c r="B362" s="24"/>
      <c r="C362" s="24"/>
      <c r="D362" s="24"/>
      <c r="E362" s="24"/>
      <c r="F362" s="24"/>
      <c r="G362" s="117"/>
      <c r="H362" s="117"/>
      <c r="I362" s="118"/>
      <c r="J362" s="119"/>
      <c r="K362" s="119"/>
      <c r="L362" s="24"/>
      <c r="M362" s="24"/>
      <c r="N362" s="24"/>
      <c r="O362" s="24"/>
      <c r="P362" s="114"/>
      <c r="Q362" s="24"/>
      <c r="R362" s="24"/>
      <c r="S362" s="24"/>
      <c r="T362" s="24"/>
      <c r="U362" s="24"/>
      <c r="V362" s="24"/>
      <c r="W362" s="24"/>
      <c r="X362" s="24"/>
      <c r="Y362" s="24"/>
      <c r="Z362" s="24"/>
      <c r="AA362" s="24"/>
      <c r="AB362" s="24"/>
      <c r="AC362" s="24"/>
    </row>
    <row r="363" spans="1:29" ht="16.3">
      <c r="A363" s="24"/>
      <c r="B363" s="24"/>
      <c r="C363" s="24"/>
      <c r="D363" s="24"/>
      <c r="E363" s="24"/>
      <c r="F363" s="24"/>
      <c r="G363" s="117"/>
      <c r="H363" s="117"/>
      <c r="I363" s="118"/>
      <c r="J363" s="119"/>
      <c r="K363" s="119"/>
      <c r="L363" s="24"/>
      <c r="M363" s="24"/>
      <c r="N363" s="24"/>
      <c r="O363" s="24"/>
      <c r="P363" s="114"/>
      <c r="Q363" s="24"/>
      <c r="R363" s="24"/>
      <c r="S363" s="24"/>
      <c r="T363" s="24"/>
      <c r="U363" s="24"/>
      <c r="V363" s="24"/>
      <c r="W363" s="24"/>
      <c r="X363" s="24"/>
      <c r="Y363" s="24"/>
      <c r="Z363" s="24"/>
      <c r="AA363" s="24"/>
      <c r="AB363" s="24"/>
      <c r="AC363" s="24"/>
    </row>
    <row r="364" spans="1:29" ht="16.3">
      <c r="A364" s="24"/>
      <c r="B364" s="24"/>
      <c r="C364" s="24"/>
      <c r="D364" s="24"/>
      <c r="E364" s="24"/>
      <c r="F364" s="24"/>
      <c r="G364" s="117"/>
      <c r="H364" s="117"/>
      <c r="I364" s="118"/>
      <c r="J364" s="119"/>
      <c r="K364" s="119"/>
      <c r="L364" s="24"/>
      <c r="M364" s="24"/>
      <c r="N364" s="24"/>
      <c r="O364" s="24"/>
      <c r="P364" s="114"/>
      <c r="Q364" s="24"/>
      <c r="R364" s="24"/>
      <c r="S364" s="24"/>
      <c r="T364" s="24"/>
      <c r="U364" s="24"/>
      <c r="V364" s="24"/>
      <c r="W364" s="24"/>
      <c r="X364" s="24"/>
      <c r="Y364" s="24"/>
      <c r="Z364" s="24"/>
      <c r="AA364" s="24"/>
      <c r="AB364" s="24"/>
      <c r="AC364" s="24"/>
    </row>
    <row r="365" spans="1:29" ht="16.3">
      <c r="A365" s="24"/>
      <c r="B365" s="24"/>
      <c r="C365" s="24"/>
      <c r="D365" s="24"/>
      <c r="E365" s="24"/>
      <c r="F365" s="24"/>
      <c r="G365" s="117"/>
      <c r="H365" s="117"/>
      <c r="I365" s="118"/>
      <c r="J365" s="119"/>
      <c r="K365" s="119"/>
      <c r="L365" s="24"/>
      <c r="M365" s="24"/>
      <c r="N365" s="24"/>
      <c r="O365" s="24"/>
      <c r="P365" s="114"/>
      <c r="Q365" s="24"/>
      <c r="R365" s="24"/>
      <c r="S365" s="24"/>
      <c r="T365" s="24"/>
      <c r="U365" s="24"/>
      <c r="V365" s="24"/>
      <c r="W365" s="24"/>
      <c r="X365" s="24"/>
      <c r="Y365" s="24"/>
      <c r="Z365" s="24"/>
      <c r="AA365" s="24"/>
      <c r="AB365" s="24"/>
      <c r="AC365" s="24"/>
    </row>
    <row r="366" spans="1:29" ht="16.3">
      <c r="A366" s="24"/>
      <c r="B366" s="24"/>
      <c r="C366" s="24"/>
      <c r="D366" s="24"/>
      <c r="E366" s="24"/>
      <c r="F366" s="24"/>
      <c r="G366" s="117"/>
      <c r="H366" s="117"/>
      <c r="I366" s="118"/>
      <c r="J366" s="119"/>
      <c r="K366" s="119"/>
      <c r="L366" s="24"/>
      <c r="M366" s="24"/>
      <c r="N366" s="24"/>
      <c r="O366" s="24"/>
      <c r="P366" s="114"/>
      <c r="Q366" s="24"/>
      <c r="R366" s="24"/>
      <c r="S366" s="24"/>
      <c r="T366" s="24"/>
      <c r="U366" s="24"/>
      <c r="V366" s="24"/>
      <c r="W366" s="24"/>
      <c r="X366" s="24"/>
      <c r="Y366" s="24"/>
      <c r="Z366" s="24"/>
      <c r="AA366" s="24"/>
      <c r="AB366" s="24"/>
      <c r="AC366" s="24"/>
    </row>
    <row r="367" spans="1:29" ht="16.3">
      <c r="A367" s="24"/>
      <c r="B367" s="24"/>
      <c r="C367" s="24"/>
      <c r="D367" s="24"/>
      <c r="E367" s="24"/>
      <c r="F367" s="24"/>
      <c r="G367" s="117"/>
      <c r="H367" s="117"/>
      <c r="I367" s="118"/>
      <c r="J367" s="119"/>
      <c r="K367" s="119"/>
      <c r="L367" s="24"/>
      <c r="M367" s="24"/>
      <c r="N367" s="24"/>
      <c r="O367" s="24"/>
      <c r="P367" s="114"/>
      <c r="Q367" s="24"/>
      <c r="R367" s="24"/>
      <c r="S367" s="24"/>
      <c r="T367" s="24"/>
      <c r="U367" s="24"/>
      <c r="V367" s="24"/>
      <c r="W367" s="24"/>
      <c r="X367" s="24"/>
      <c r="Y367" s="24"/>
      <c r="Z367" s="24"/>
      <c r="AA367" s="24"/>
      <c r="AB367" s="24"/>
      <c r="AC367" s="24"/>
    </row>
    <row r="368" spans="1:29" ht="16.3">
      <c r="A368" s="24"/>
      <c r="B368" s="24"/>
      <c r="C368" s="24"/>
      <c r="D368" s="24"/>
      <c r="E368" s="24"/>
      <c r="F368" s="24"/>
      <c r="G368" s="117"/>
      <c r="H368" s="117"/>
      <c r="I368" s="118"/>
      <c r="J368" s="119"/>
      <c r="K368" s="119"/>
      <c r="L368" s="24"/>
      <c r="M368" s="24"/>
      <c r="N368" s="24"/>
      <c r="O368" s="24"/>
      <c r="P368" s="114"/>
      <c r="Q368" s="24"/>
      <c r="R368" s="24"/>
      <c r="S368" s="24"/>
      <c r="T368" s="24"/>
      <c r="U368" s="24"/>
      <c r="V368" s="24"/>
      <c r="W368" s="24"/>
      <c r="X368" s="24"/>
      <c r="Y368" s="24"/>
      <c r="Z368" s="24"/>
      <c r="AA368" s="24"/>
      <c r="AB368" s="24"/>
      <c r="AC368" s="24"/>
    </row>
    <row r="369" spans="1:29" ht="16.3">
      <c r="A369" s="24"/>
      <c r="B369" s="24"/>
      <c r="C369" s="24"/>
      <c r="D369" s="24"/>
      <c r="E369" s="24"/>
      <c r="F369" s="24"/>
      <c r="G369" s="117"/>
      <c r="H369" s="117"/>
      <c r="I369" s="118"/>
      <c r="J369" s="119"/>
      <c r="K369" s="119"/>
      <c r="L369" s="24"/>
      <c r="M369" s="24"/>
      <c r="N369" s="24"/>
      <c r="O369" s="24"/>
      <c r="P369" s="114"/>
      <c r="Q369" s="24"/>
      <c r="R369" s="24"/>
      <c r="S369" s="24"/>
      <c r="T369" s="24"/>
      <c r="U369" s="24"/>
      <c r="V369" s="24"/>
      <c r="W369" s="24"/>
      <c r="X369" s="24"/>
      <c r="Y369" s="24"/>
      <c r="Z369" s="24"/>
      <c r="AA369" s="24"/>
      <c r="AB369" s="24"/>
      <c r="AC369" s="24"/>
    </row>
    <row r="370" spans="1:29" ht="16.3">
      <c r="A370" s="24"/>
      <c r="B370" s="24"/>
      <c r="C370" s="24"/>
      <c r="D370" s="24"/>
      <c r="E370" s="24"/>
      <c r="F370" s="24"/>
      <c r="G370" s="117"/>
      <c r="H370" s="117"/>
      <c r="I370" s="118"/>
      <c r="J370" s="119"/>
      <c r="K370" s="119"/>
      <c r="L370" s="24"/>
      <c r="M370" s="24"/>
      <c r="N370" s="24"/>
      <c r="O370" s="24"/>
      <c r="P370" s="114"/>
      <c r="Q370" s="24"/>
      <c r="R370" s="24"/>
      <c r="S370" s="24"/>
      <c r="T370" s="24"/>
      <c r="U370" s="24"/>
      <c r="V370" s="24"/>
      <c r="W370" s="24"/>
      <c r="X370" s="24"/>
      <c r="Y370" s="24"/>
      <c r="Z370" s="24"/>
      <c r="AA370" s="24"/>
      <c r="AB370" s="24"/>
      <c r="AC370" s="24"/>
    </row>
    <row r="371" spans="1:29" ht="16.3">
      <c r="A371" s="24"/>
      <c r="B371" s="24"/>
      <c r="C371" s="24"/>
      <c r="D371" s="24"/>
      <c r="E371" s="24"/>
      <c r="F371" s="24"/>
      <c r="G371" s="117"/>
      <c r="H371" s="117"/>
      <c r="I371" s="118"/>
      <c r="J371" s="119"/>
      <c r="K371" s="119"/>
      <c r="L371" s="24"/>
      <c r="M371" s="24"/>
      <c r="N371" s="24"/>
      <c r="O371" s="24"/>
      <c r="P371" s="114"/>
      <c r="Q371" s="24"/>
      <c r="R371" s="24"/>
      <c r="S371" s="24"/>
      <c r="T371" s="24"/>
      <c r="U371" s="24"/>
      <c r="V371" s="24"/>
      <c r="W371" s="24"/>
      <c r="X371" s="24"/>
      <c r="Y371" s="24"/>
      <c r="Z371" s="24"/>
      <c r="AA371" s="24"/>
      <c r="AB371" s="24"/>
      <c r="AC371" s="24"/>
    </row>
    <row r="372" spans="1:29" ht="16.3">
      <c r="A372" s="24"/>
      <c r="B372" s="24"/>
      <c r="C372" s="24"/>
      <c r="D372" s="24"/>
      <c r="E372" s="24"/>
      <c r="F372" s="24"/>
      <c r="G372" s="117"/>
      <c r="H372" s="117"/>
      <c r="I372" s="118"/>
      <c r="J372" s="119"/>
      <c r="K372" s="119"/>
      <c r="L372" s="24"/>
      <c r="M372" s="24"/>
      <c r="N372" s="24"/>
      <c r="O372" s="24"/>
      <c r="P372" s="114"/>
      <c r="Q372" s="24"/>
      <c r="R372" s="24"/>
      <c r="S372" s="24"/>
      <c r="T372" s="24"/>
      <c r="U372" s="24"/>
      <c r="V372" s="24"/>
      <c r="W372" s="24"/>
      <c r="X372" s="24"/>
      <c r="Y372" s="24"/>
      <c r="Z372" s="24"/>
      <c r="AA372" s="24"/>
      <c r="AB372" s="24"/>
      <c r="AC372" s="24"/>
    </row>
    <row r="373" spans="1:29" ht="16.3">
      <c r="A373" s="24"/>
      <c r="B373" s="24"/>
      <c r="C373" s="24"/>
      <c r="D373" s="24"/>
      <c r="E373" s="24"/>
      <c r="F373" s="24"/>
      <c r="G373" s="117"/>
      <c r="H373" s="117"/>
      <c r="I373" s="118"/>
      <c r="J373" s="119"/>
      <c r="K373" s="119"/>
      <c r="L373" s="24"/>
      <c r="M373" s="24"/>
      <c r="N373" s="24"/>
      <c r="O373" s="24"/>
      <c r="P373" s="114"/>
      <c r="Q373" s="24"/>
      <c r="R373" s="24"/>
      <c r="S373" s="24"/>
      <c r="T373" s="24"/>
      <c r="U373" s="24"/>
      <c r="V373" s="24"/>
      <c r="W373" s="24"/>
      <c r="X373" s="24"/>
      <c r="Y373" s="24"/>
      <c r="Z373" s="24"/>
      <c r="AA373" s="24"/>
      <c r="AB373" s="24"/>
      <c r="AC373" s="24"/>
    </row>
    <row r="374" spans="1:29" ht="16.3">
      <c r="A374" s="24"/>
      <c r="B374" s="24"/>
      <c r="C374" s="24"/>
      <c r="D374" s="24"/>
      <c r="E374" s="24"/>
      <c r="F374" s="24"/>
      <c r="G374" s="117"/>
      <c r="H374" s="117"/>
      <c r="I374" s="118"/>
      <c r="J374" s="119"/>
      <c r="K374" s="119"/>
      <c r="L374" s="24"/>
      <c r="M374" s="24"/>
      <c r="N374" s="24"/>
      <c r="O374" s="24"/>
      <c r="P374" s="114"/>
      <c r="Q374" s="24"/>
      <c r="R374" s="24"/>
      <c r="S374" s="24"/>
      <c r="T374" s="24"/>
      <c r="U374" s="24"/>
      <c r="V374" s="24"/>
      <c r="W374" s="24"/>
      <c r="X374" s="24"/>
      <c r="Y374" s="24"/>
      <c r="Z374" s="24"/>
      <c r="AA374" s="24"/>
      <c r="AB374" s="24"/>
      <c r="AC374" s="24"/>
    </row>
    <row r="375" spans="1:29" ht="16.3">
      <c r="A375" s="24"/>
      <c r="B375" s="24"/>
      <c r="C375" s="24"/>
      <c r="D375" s="24"/>
      <c r="E375" s="24"/>
      <c r="F375" s="24"/>
      <c r="G375" s="117"/>
      <c r="H375" s="117"/>
      <c r="I375" s="118"/>
      <c r="J375" s="119"/>
      <c r="K375" s="119"/>
      <c r="L375" s="24"/>
      <c r="M375" s="24"/>
      <c r="N375" s="24"/>
      <c r="O375" s="24"/>
      <c r="P375" s="114"/>
      <c r="Q375" s="24"/>
      <c r="R375" s="24"/>
      <c r="S375" s="24"/>
      <c r="T375" s="24"/>
      <c r="U375" s="24"/>
      <c r="V375" s="24"/>
      <c r="W375" s="24"/>
      <c r="X375" s="24"/>
      <c r="Y375" s="24"/>
      <c r="Z375" s="24"/>
      <c r="AA375" s="24"/>
      <c r="AB375" s="24"/>
      <c r="AC375" s="24"/>
    </row>
    <row r="376" spans="1:29" ht="16.3">
      <c r="A376" s="24"/>
      <c r="B376" s="24"/>
      <c r="C376" s="24"/>
      <c r="D376" s="24"/>
      <c r="E376" s="24"/>
      <c r="F376" s="24"/>
      <c r="G376" s="117"/>
      <c r="H376" s="117"/>
      <c r="I376" s="118"/>
      <c r="J376" s="119"/>
      <c r="K376" s="119"/>
      <c r="L376" s="24"/>
      <c r="M376" s="24"/>
      <c r="N376" s="24"/>
      <c r="O376" s="24"/>
      <c r="P376" s="114"/>
      <c r="Q376" s="24"/>
      <c r="R376" s="24"/>
      <c r="S376" s="24"/>
      <c r="T376" s="24"/>
      <c r="U376" s="24"/>
      <c r="V376" s="24"/>
      <c r="W376" s="24"/>
      <c r="X376" s="24"/>
      <c r="Y376" s="24"/>
      <c r="Z376" s="24"/>
      <c r="AA376" s="24"/>
      <c r="AB376" s="24"/>
      <c r="AC376" s="24"/>
    </row>
    <row r="377" spans="1:29" ht="16.3">
      <c r="A377" s="24"/>
      <c r="B377" s="24"/>
      <c r="C377" s="24"/>
      <c r="D377" s="24"/>
      <c r="E377" s="24"/>
      <c r="F377" s="24"/>
      <c r="G377" s="117"/>
      <c r="H377" s="117"/>
      <c r="I377" s="118"/>
      <c r="J377" s="119"/>
      <c r="K377" s="119"/>
      <c r="L377" s="24"/>
      <c r="M377" s="24"/>
      <c r="N377" s="24"/>
      <c r="O377" s="24"/>
      <c r="P377" s="114"/>
      <c r="Q377" s="24"/>
      <c r="R377" s="24"/>
      <c r="S377" s="24"/>
      <c r="T377" s="24"/>
      <c r="U377" s="24"/>
      <c r="V377" s="24"/>
      <c r="W377" s="24"/>
      <c r="X377" s="24"/>
      <c r="Y377" s="24"/>
      <c r="Z377" s="24"/>
      <c r="AA377" s="24"/>
      <c r="AB377" s="24"/>
      <c r="AC377" s="24"/>
    </row>
    <row r="378" spans="1:29" ht="16.3">
      <c r="A378" s="24"/>
      <c r="B378" s="24"/>
      <c r="C378" s="24"/>
      <c r="D378" s="24"/>
      <c r="E378" s="24"/>
      <c r="F378" s="24"/>
      <c r="G378" s="117"/>
      <c r="H378" s="117"/>
      <c r="I378" s="118"/>
      <c r="J378" s="119"/>
      <c r="K378" s="119"/>
      <c r="L378" s="24"/>
      <c r="M378" s="24"/>
      <c r="N378" s="24"/>
      <c r="O378" s="24"/>
      <c r="P378" s="114"/>
      <c r="Q378" s="24"/>
      <c r="R378" s="24"/>
      <c r="S378" s="24"/>
      <c r="T378" s="24"/>
      <c r="U378" s="24"/>
      <c r="V378" s="24"/>
      <c r="W378" s="24"/>
      <c r="X378" s="24"/>
      <c r="Y378" s="24"/>
      <c r="Z378" s="24"/>
      <c r="AA378" s="24"/>
      <c r="AB378" s="24"/>
      <c r="AC378" s="24"/>
    </row>
    <row r="379" spans="1:29" ht="16.3">
      <c r="A379" s="24"/>
      <c r="B379" s="24"/>
      <c r="C379" s="24"/>
      <c r="D379" s="24"/>
      <c r="E379" s="24"/>
      <c r="F379" s="24"/>
      <c r="G379" s="117"/>
      <c r="H379" s="117"/>
      <c r="I379" s="118"/>
      <c r="J379" s="119"/>
      <c r="K379" s="119"/>
      <c r="L379" s="24"/>
      <c r="M379" s="24"/>
      <c r="N379" s="24"/>
      <c r="O379" s="24"/>
      <c r="P379" s="114"/>
      <c r="Q379" s="24"/>
      <c r="R379" s="24"/>
      <c r="S379" s="24"/>
      <c r="T379" s="24"/>
      <c r="U379" s="24"/>
      <c r="V379" s="24"/>
      <c r="W379" s="24"/>
      <c r="X379" s="24"/>
      <c r="Y379" s="24"/>
      <c r="Z379" s="24"/>
      <c r="AA379" s="24"/>
      <c r="AB379" s="24"/>
      <c r="AC379" s="24"/>
    </row>
    <row r="380" spans="1:29" ht="16.3">
      <c r="A380" s="24"/>
      <c r="B380" s="24"/>
      <c r="C380" s="24"/>
      <c r="D380" s="24"/>
      <c r="E380" s="24"/>
      <c r="F380" s="24"/>
      <c r="G380" s="117"/>
      <c r="H380" s="117"/>
      <c r="I380" s="118"/>
      <c r="J380" s="119"/>
      <c r="K380" s="119"/>
      <c r="L380" s="24"/>
      <c r="M380" s="24"/>
      <c r="N380" s="24"/>
      <c r="O380" s="24"/>
      <c r="P380" s="114"/>
      <c r="Q380" s="24"/>
      <c r="R380" s="24"/>
      <c r="S380" s="24"/>
      <c r="T380" s="24"/>
      <c r="U380" s="24"/>
      <c r="V380" s="24"/>
      <c r="W380" s="24"/>
      <c r="X380" s="24"/>
      <c r="Y380" s="24"/>
      <c r="Z380" s="24"/>
      <c r="AA380" s="24"/>
      <c r="AB380" s="24"/>
      <c r="AC380" s="24"/>
    </row>
    <row r="381" spans="1:29" ht="16.3">
      <c r="A381" s="24"/>
      <c r="B381" s="24"/>
      <c r="C381" s="24"/>
      <c r="D381" s="24"/>
      <c r="E381" s="24"/>
      <c r="F381" s="24"/>
      <c r="G381" s="117"/>
      <c r="H381" s="117"/>
      <c r="I381" s="118"/>
      <c r="J381" s="119"/>
      <c r="K381" s="119"/>
      <c r="L381" s="24"/>
      <c r="M381" s="24"/>
      <c r="N381" s="24"/>
      <c r="O381" s="24"/>
      <c r="P381" s="114"/>
      <c r="Q381" s="24"/>
      <c r="R381" s="24"/>
      <c r="S381" s="24"/>
      <c r="T381" s="24"/>
      <c r="U381" s="24"/>
      <c r="V381" s="24"/>
      <c r="W381" s="24"/>
      <c r="X381" s="24"/>
      <c r="Y381" s="24"/>
      <c r="Z381" s="24"/>
      <c r="AA381" s="24"/>
      <c r="AB381" s="24"/>
      <c r="AC381" s="24"/>
    </row>
    <row r="382" spans="1:29" ht="16.3">
      <c r="A382" s="24"/>
      <c r="B382" s="24"/>
      <c r="C382" s="24"/>
      <c r="D382" s="24"/>
      <c r="E382" s="24"/>
      <c r="F382" s="24"/>
      <c r="G382" s="117"/>
      <c r="H382" s="117"/>
      <c r="I382" s="118"/>
      <c r="J382" s="119"/>
      <c r="K382" s="119"/>
      <c r="L382" s="24"/>
      <c r="M382" s="24"/>
      <c r="N382" s="24"/>
      <c r="O382" s="24"/>
      <c r="P382" s="114"/>
      <c r="Q382" s="24"/>
      <c r="R382" s="24"/>
      <c r="S382" s="24"/>
      <c r="T382" s="24"/>
      <c r="U382" s="24"/>
      <c r="V382" s="24"/>
      <c r="W382" s="24"/>
      <c r="X382" s="24"/>
      <c r="Y382" s="24"/>
      <c r="Z382" s="24"/>
      <c r="AA382" s="24"/>
      <c r="AB382" s="24"/>
      <c r="AC382" s="24"/>
    </row>
    <row r="383" spans="1:29" ht="16.3">
      <c r="A383" s="24"/>
      <c r="B383" s="24"/>
      <c r="C383" s="24"/>
      <c r="D383" s="24"/>
      <c r="E383" s="24"/>
      <c r="F383" s="24"/>
      <c r="G383" s="117"/>
      <c r="H383" s="117"/>
      <c r="I383" s="118"/>
      <c r="J383" s="119"/>
      <c r="K383" s="119"/>
      <c r="L383" s="24"/>
      <c r="M383" s="24"/>
      <c r="N383" s="24"/>
      <c r="O383" s="24"/>
      <c r="P383" s="114"/>
      <c r="Q383" s="24"/>
      <c r="R383" s="24"/>
      <c r="S383" s="24"/>
      <c r="T383" s="24"/>
      <c r="U383" s="24"/>
      <c r="V383" s="24"/>
      <c r="W383" s="24"/>
      <c r="X383" s="24"/>
      <c r="Y383" s="24"/>
      <c r="Z383" s="24"/>
      <c r="AA383" s="24"/>
      <c r="AB383" s="24"/>
      <c r="AC383" s="24"/>
    </row>
    <row r="384" spans="1:29" ht="16.3">
      <c r="A384" s="24"/>
      <c r="B384" s="24"/>
      <c r="C384" s="24"/>
      <c r="D384" s="24"/>
      <c r="E384" s="24"/>
      <c r="F384" s="24"/>
      <c r="G384" s="117"/>
      <c r="H384" s="117"/>
      <c r="I384" s="118"/>
      <c r="J384" s="119"/>
      <c r="K384" s="119"/>
      <c r="L384" s="24"/>
      <c r="M384" s="24"/>
      <c r="N384" s="24"/>
      <c r="O384" s="24"/>
      <c r="P384" s="114"/>
      <c r="Q384" s="24"/>
      <c r="R384" s="24"/>
      <c r="S384" s="24"/>
      <c r="T384" s="24"/>
      <c r="U384" s="24"/>
      <c r="V384" s="24"/>
      <c r="W384" s="24"/>
      <c r="X384" s="24"/>
      <c r="Y384" s="24"/>
      <c r="Z384" s="24"/>
      <c r="AA384" s="24"/>
      <c r="AB384" s="24"/>
      <c r="AC384" s="24"/>
    </row>
    <row r="385" spans="1:29" ht="16.3">
      <c r="A385" s="24"/>
      <c r="B385" s="24"/>
      <c r="C385" s="24"/>
      <c r="D385" s="24"/>
      <c r="E385" s="24"/>
      <c r="F385" s="24"/>
      <c r="G385" s="117"/>
      <c r="H385" s="117"/>
      <c r="I385" s="118"/>
      <c r="J385" s="119"/>
      <c r="K385" s="119"/>
      <c r="L385" s="24"/>
      <c r="M385" s="24"/>
      <c r="N385" s="24"/>
      <c r="O385" s="24"/>
      <c r="P385" s="114"/>
      <c r="Q385" s="24"/>
      <c r="R385" s="24"/>
      <c r="S385" s="24"/>
      <c r="T385" s="24"/>
      <c r="U385" s="24"/>
      <c r="V385" s="24"/>
      <c r="W385" s="24"/>
      <c r="X385" s="24"/>
      <c r="Y385" s="24"/>
      <c r="Z385" s="24"/>
      <c r="AA385" s="24"/>
      <c r="AB385" s="24"/>
      <c r="AC385" s="24"/>
    </row>
    <row r="386" spans="1:29" ht="16.3">
      <c r="A386" s="24"/>
      <c r="B386" s="24"/>
      <c r="C386" s="24"/>
      <c r="D386" s="24"/>
      <c r="E386" s="24"/>
      <c r="F386" s="24"/>
      <c r="G386" s="117"/>
      <c r="H386" s="117"/>
      <c r="I386" s="118"/>
      <c r="J386" s="119"/>
      <c r="K386" s="119"/>
      <c r="L386" s="24"/>
      <c r="M386" s="24"/>
      <c r="N386" s="24"/>
      <c r="O386" s="24"/>
      <c r="P386" s="114"/>
      <c r="Q386" s="24"/>
      <c r="R386" s="24"/>
      <c r="S386" s="24"/>
      <c r="T386" s="24"/>
      <c r="U386" s="24"/>
      <c r="V386" s="24"/>
      <c r="W386" s="24"/>
      <c r="X386" s="24"/>
      <c r="Y386" s="24"/>
      <c r="Z386" s="24"/>
      <c r="AA386" s="24"/>
      <c r="AB386" s="24"/>
      <c r="AC386" s="24"/>
    </row>
    <row r="387" spans="1:29" ht="16.3">
      <c r="A387" s="24"/>
      <c r="B387" s="24"/>
      <c r="C387" s="24"/>
      <c r="D387" s="24"/>
      <c r="E387" s="24"/>
      <c r="F387" s="24"/>
      <c r="G387" s="117"/>
      <c r="H387" s="117"/>
      <c r="I387" s="118"/>
      <c r="J387" s="119"/>
      <c r="K387" s="119"/>
      <c r="L387" s="24"/>
      <c r="M387" s="24"/>
      <c r="N387" s="24"/>
      <c r="O387" s="24"/>
      <c r="P387" s="114"/>
      <c r="Q387" s="24"/>
      <c r="R387" s="24"/>
      <c r="S387" s="24"/>
      <c r="T387" s="24"/>
      <c r="U387" s="24"/>
      <c r="V387" s="24"/>
      <c r="W387" s="24"/>
      <c r="X387" s="24"/>
      <c r="Y387" s="24"/>
      <c r="Z387" s="24"/>
      <c r="AA387" s="24"/>
      <c r="AB387" s="24"/>
      <c r="AC387" s="24"/>
    </row>
    <row r="388" spans="1:29" ht="16.3">
      <c r="A388" s="24"/>
      <c r="B388" s="24"/>
      <c r="C388" s="24"/>
      <c r="D388" s="24"/>
      <c r="E388" s="24"/>
      <c r="F388" s="24"/>
      <c r="G388" s="117"/>
      <c r="H388" s="117"/>
      <c r="I388" s="118"/>
      <c r="J388" s="119"/>
      <c r="K388" s="119"/>
      <c r="L388" s="24"/>
      <c r="M388" s="24"/>
      <c r="N388" s="24"/>
      <c r="O388" s="24"/>
      <c r="P388" s="114"/>
      <c r="Q388" s="24"/>
      <c r="R388" s="24"/>
      <c r="S388" s="24"/>
      <c r="T388" s="24"/>
      <c r="U388" s="24"/>
      <c r="V388" s="24"/>
      <c r="W388" s="24"/>
      <c r="X388" s="24"/>
      <c r="Y388" s="24"/>
      <c r="Z388" s="24"/>
      <c r="AA388" s="24"/>
      <c r="AB388" s="24"/>
      <c r="AC388" s="24"/>
    </row>
    <row r="389" spans="1:29" ht="16.3">
      <c r="A389" s="24"/>
      <c r="B389" s="24"/>
      <c r="C389" s="24"/>
      <c r="D389" s="24"/>
      <c r="E389" s="24"/>
      <c r="F389" s="24"/>
      <c r="G389" s="117"/>
      <c r="H389" s="117"/>
      <c r="I389" s="118"/>
      <c r="J389" s="119"/>
      <c r="K389" s="119"/>
      <c r="L389" s="24"/>
      <c r="M389" s="24"/>
      <c r="N389" s="24"/>
      <c r="O389" s="24"/>
      <c r="P389" s="114"/>
      <c r="Q389" s="24"/>
      <c r="R389" s="24"/>
      <c r="S389" s="24"/>
      <c r="T389" s="24"/>
      <c r="U389" s="24"/>
      <c r="V389" s="24"/>
      <c r="W389" s="24"/>
      <c r="X389" s="24"/>
      <c r="Y389" s="24"/>
      <c r="Z389" s="24"/>
      <c r="AA389" s="24"/>
      <c r="AB389" s="24"/>
      <c r="AC389" s="24"/>
    </row>
    <row r="390" spans="1:29" ht="16.3">
      <c r="A390" s="24"/>
      <c r="B390" s="24"/>
      <c r="C390" s="24"/>
      <c r="D390" s="24"/>
      <c r="E390" s="24"/>
      <c r="F390" s="24"/>
      <c r="G390" s="117"/>
      <c r="H390" s="117"/>
      <c r="I390" s="118"/>
      <c r="J390" s="119"/>
      <c r="K390" s="119"/>
      <c r="L390" s="24"/>
      <c r="M390" s="24"/>
      <c r="N390" s="24"/>
      <c r="O390" s="24"/>
      <c r="P390" s="114"/>
      <c r="Q390" s="24"/>
      <c r="R390" s="24"/>
      <c r="S390" s="24"/>
      <c r="T390" s="24"/>
      <c r="U390" s="24"/>
      <c r="V390" s="24"/>
      <c r="W390" s="24"/>
      <c r="X390" s="24"/>
      <c r="Y390" s="24"/>
      <c r="Z390" s="24"/>
      <c r="AA390" s="24"/>
      <c r="AB390" s="24"/>
      <c r="AC390" s="24"/>
    </row>
    <row r="391" spans="1:29" ht="16.3">
      <c r="A391" s="24"/>
      <c r="B391" s="24"/>
      <c r="C391" s="24"/>
      <c r="D391" s="24"/>
      <c r="E391" s="24"/>
      <c r="F391" s="24"/>
      <c r="G391" s="117"/>
      <c r="H391" s="117"/>
      <c r="I391" s="118"/>
      <c r="J391" s="119"/>
      <c r="K391" s="119"/>
      <c r="L391" s="24"/>
      <c r="M391" s="24"/>
      <c r="N391" s="24"/>
      <c r="O391" s="24"/>
      <c r="P391" s="114"/>
      <c r="Q391" s="24"/>
      <c r="R391" s="24"/>
      <c r="S391" s="24"/>
      <c r="T391" s="24"/>
      <c r="U391" s="24"/>
      <c r="V391" s="24"/>
      <c r="W391" s="24"/>
      <c r="X391" s="24"/>
      <c r="Y391" s="24"/>
      <c r="Z391" s="24"/>
      <c r="AA391" s="24"/>
      <c r="AB391" s="24"/>
      <c r="AC391" s="24"/>
    </row>
    <row r="392" spans="1:29" ht="16.3">
      <c r="A392" s="24"/>
      <c r="B392" s="24"/>
      <c r="C392" s="24"/>
      <c r="D392" s="24"/>
      <c r="E392" s="24"/>
      <c r="F392" s="24"/>
      <c r="G392" s="117"/>
      <c r="H392" s="117"/>
      <c r="I392" s="118"/>
      <c r="J392" s="119"/>
      <c r="K392" s="119"/>
      <c r="L392" s="24"/>
      <c r="M392" s="24"/>
      <c r="N392" s="24"/>
      <c r="O392" s="24"/>
      <c r="P392" s="114"/>
      <c r="Q392" s="24"/>
      <c r="R392" s="24"/>
      <c r="S392" s="24"/>
      <c r="T392" s="24"/>
      <c r="U392" s="24"/>
      <c r="V392" s="24"/>
      <c r="W392" s="24"/>
      <c r="X392" s="24"/>
      <c r="Y392" s="24"/>
      <c r="Z392" s="24"/>
      <c r="AA392" s="24"/>
      <c r="AB392" s="24"/>
      <c r="AC392" s="24"/>
    </row>
    <row r="393" spans="1:29" ht="16.3">
      <c r="A393" s="24"/>
      <c r="B393" s="24"/>
      <c r="C393" s="24"/>
      <c r="D393" s="24"/>
      <c r="E393" s="24"/>
      <c r="F393" s="24"/>
      <c r="G393" s="117"/>
      <c r="H393" s="117"/>
      <c r="I393" s="118"/>
      <c r="J393" s="119"/>
      <c r="K393" s="119"/>
      <c r="L393" s="24"/>
      <c r="M393" s="24"/>
      <c r="N393" s="24"/>
      <c r="O393" s="24"/>
      <c r="P393" s="114"/>
      <c r="Q393" s="24"/>
      <c r="R393" s="24"/>
      <c r="S393" s="24"/>
      <c r="T393" s="24"/>
      <c r="U393" s="24"/>
      <c r="V393" s="24"/>
      <c r="W393" s="24"/>
      <c r="X393" s="24"/>
      <c r="Y393" s="24"/>
      <c r="Z393" s="24"/>
      <c r="AA393" s="24"/>
      <c r="AB393" s="24"/>
      <c r="AC393" s="24"/>
    </row>
    <row r="394" spans="1:29" ht="16.3">
      <c r="A394" s="24"/>
      <c r="B394" s="24"/>
      <c r="C394" s="24"/>
      <c r="D394" s="24"/>
      <c r="E394" s="24"/>
      <c r="F394" s="24"/>
      <c r="G394" s="117"/>
      <c r="H394" s="117"/>
      <c r="I394" s="118"/>
      <c r="J394" s="119"/>
      <c r="K394" s="119"/>
      <c r="L394" s="24"/>
      <c r="M394" s="24"/>
      <c r="N394" s="24"/>
      <c r="O394" s="24"/>
      <c r="P394" s="114"/>
      <c r="Q394" s="24"/>
      <c r="R394" s="24"/>
      <c r="S394" s="24"/>
      <c r="T394" s="24"/>
      <c r="U394" s="24"/>
      <c r="V394" s="24"/>
      <c r="W394" s="24"/>
      <c r="X394" s="24"/>
      <c r="Y394" s="24"/>
      <c r="Z394" s="24"/>
      <c r="AA394" s="24"/>
      <c r="AB394" s="24"/>
      <c r="AC394" s="24"/>
    </row>
    <row r="395" spans="1:29" ht="16.3">
      <c r="A395" s="24"/>
      <c r="B395" s="24"/>
      <c r="C395" s="24"/>
      <c r="D395" s="24"/>
      <c r="E395" s="24"/>
      <c r="F395" s="24"/>
      <c r="G395" s="117"/>
      <c r="H395" s="117"/>
      <c r="I395" s="118"/>
      <c r="J395" s="119"/>
      <c r="K395" s="119"/>
      <c r="L395" s="24"/>
      <c r="M395" s="24"/>
      <c r="N395" s="24"/>
      <c r="O395" s="24"/>
      <c r="P395" s="114"/>
      <c r="Q395" s="24"/>
      <c r="R395" s="24"/>
      <c r="S395" s="24"/>
      <c r="T395" s="24"/>
      <c r="U395" s="24"/>
      <c r="V395" s="24"/>
      <c r="W395" s="24"/>
      <c r="X395" s="24"/>
      <c r="Y395" s="24"/>
      <c r="Z395" s="24"/>
      <c r="AA395" s="24"/>
      <c r="AB395" s="24"/>
      <c r="AC395" s="24"/>
    </row>
    <row r="396" spans="1:29" ht="16.3">
      <c r="A396" s="24"/>
      <c r="B396" s="24"/>
      <c r="C396" s="24"/>
      <c r="D396" s="24"/>
      <c r="E396" s="24"/>
      <c r="F396" s="24"/>
      <c r="G396" s="117"/>
      <c r="H396" s="117"/>
      <c r="I396" s="118"/>
      <c r="J396" s="119"/>
      <c r="K396" s="119"/>
      <c r="L396" s="24"/>
      <c r="M396" s="24"/>
      <c r="N396" s="24"/>
      <c r="O396" s="24"/>
      <c r="P396" s="114"/>
      <c r="Q396" s="24"/>
      <c r="R396" s="24"/>
      <c r="S396" s="24"/>
      <c r="T396" s="24"/>
      <c r="U396" s="24"/>
      <c r="V396" s="24"/>
      <c r="W396" s="24"/>
      <c r="X396" s="24"/>
      <c r="Y396" s="24"/>
      <c r="Z396" s="24"/>
      <c r="AA396" s="24"/>
      <c r="AB396" s="24"/>
      <c r="AC396" s="24"/>
    </row>
    <row r="397" spans="1:29" ht="16.3">
      <c r="A397" s="24"/>
      <c r="B397" s="24"/>
      <c r="C397" s="24"/>
      <c r="D397" s="24"/>
      <c r="E397" s="24"/>
      <c r="F397" s="24"/>
      <c r="G397" s="117"/>
      <c r="H397" s="117"/>
      <c r="I397" s="118"/>
      <c r="J397" s="119"/>
      <c r="K397" s="119"/>
      <c r="L397" s="24"/>
      <c r="M397" s="24"/>
      <c r="N397" s="24"/>
      <c r="O397" s="24"/>
      <c r="P397" s="114"/>
      <c r="Q397" s="24"/>
      <c r="R397" s="24"/>
      <c r="S397" s="24"/>
      <c r="T397" s="24"/>
      <c r="U397" s="24"/>
      <c r="V397" s="24"/>
      <c r="W397" s="24"/>
      <c r="X397" s="24"/>
      <c r="Y397" s="24"/>
      <c r="Z397" s="24"/>
      <c r="AA397" s="24"/>
      <c r="AB397" s="24"/>
      <c r="AC397" s="24"/>
    </row>
    <row r="398" spans="1:29" ht="16.3">
      <c r="A398" s="24"/>
      <c r="B398" s="24"/>
      <c r="C398" s="24"/>
      <c r="D398" s="24"/>
      <c r="E398" s="24"/>
      <c r="F398" s="24"/>
      <c r="G398" s="117"/>
      <c r="H398" s="117"/>
      <c r="I398" s="118"/>
      <c r="J398" s="119"/>
      <c r="K398" s="119"/>
      <c r="L398" s="24"/>
      <c r="M398" s="24"/>
      <c r="N398" s="24"/>
      <c r="O398" s="24"/>
      <c r="P398" s="114"/>
      <c r="Q398" s="24"/>
      <c r="R398" s="24"/>
      <c r="S398" s="24"/>
      <c r="T398" s="24"/>
      <c r="U398" s="24"/>
      <c r="V398" s="24"/>
      <c r="W398" s="24"/>
      <c r="X398" s="24"/>
      <c r="Y398" s="24"/>
      <c r="Z398" s="24"/>
      <c r="AA398" s="24"/>
      <c r="AB398" s="24"/>
      <c r="AC398" s="24"/>
    </row>
    <row r="399" spans="1:29" ht="16.3">
      <c r="A399" s="24"/>
      <c r="B399" s="24"/>
      <c r="C399" s="24"/>
      <c r="D399" s="24"/>
      <c r="E399" s="24"/>
      <c r="F399" s="24"/>
      <c r="G399" s="117"/>
      <c r="H399" s="117"/>
      <c r="I399" s="118"/>
      <c r="J399" s="119"/>
      <c r="K399" s="119"/>
      <c r="L399" s="24"/>
      <c r="M399" s="24"/>
      <c r="N399" s="24"/>
      <c r="O399" s="24"/>
      <c r="P399" s="114"/>
      <c r="Q399" s="24"/>
      <c r="R399" s="24"/>
      <c r="S399" s="24"/>
      <c r="T399" s="24"/>
      <c r="U399" s="24"/>
      <c r="V399" s="24"/>
      <c r="W399" s="24"/>
      <c r="X399" s="24"/>
      <c r="Y399" s="24"/>
      <c r="Z399" s="24"/>
      <c r="AA399" s="24"/>
      <c r="AB399" s="24"/>
      <c r="AC399" s="24"/>
    </row>
    <row r="400" spans="1:29" ht="16.3">
      <c r="A400" s="24"/>
      <c r="B400" s="24"/>
      <c r="C400" s="24"/>
      <c r="D400" s="24"/>
      <c r="E400" s="24"/>
      <c r="F400" s="24"/>
      <c r="G400" s="117"/>
      <c r="H400" s="117"/>
      <c r="I400" s="118"/>
      <c r="J400" s="119"/>
      <c r="K400" s="119"/>
      <c r="L400" s="24"/>
      <c r="M400" s="24"/>
      <c r="N400" s="24"/>
      <c r="O400" s="24"/>
      <c r="P400" s="114"/>
      <c r="Q400" s="24"/>
      <c r="R400" s="24"/>
      <c r="S400" s="24"/>
      <c r="T400" s="24"/>
      <c r="U400" s="24"/>
      <c r="V400" s="24"/>
      <c r="W400" s="24"/>
      <c r="X400" s="24"/>
      <c r="Y400" s="24"/>
      <c r="Z400" s="24"/>
      <c r="AA400" s="24"/>
      <c r="AB400" s="24"/>
      <c r="AC400" s="24"/>
    </row>
    <row r="401" spans="1:29" ht="16.3">
      <c r="A401" s="24"/>
      <c r="B401" s="24"/>
      <c r="C401" s="24"/>
      <c r="D401" s="24"/>
      <c r="E401" s="24"/>
      <c r="F401" s="24"/>
      <c r="G401" s="117"/>
      <c r="H401" s="117"/>
      <c r="I401" s="118"/>
      <c r="J401" s="119"/>
      <c r="K401" s="119"/>
      <c r="L401" s="24"/>
      <c r="M401" s="24"/>
      <c r="N401" s="24"/>
      <c r="O401" s="24"/>
      <c r="P401" s="114"/>
      <c r="Q401" s="24"/>
      <c r="R401" s="24"/>
      <c r="S401" s="24"/>
      <c r="T401" s="24"/>
      <c r="U401" s="24"/>
      <c r="V401" s="24"/>
      <c r="W401" s="24"/>
      <c r="X401" s="24"/>
      <c r="Y401" s="24"/>
      <c r="Z401" s="24"/>
      <c r="AA401" s="24"/>
      <c r="AB401" s="24"/>
      <c r="AC401" s="24"/>
    </row>
    <row r="402" spans="1:29" ht="16.3">
      <c r="A402" s="24"/>
      <c r="B402" s="24"/>
      <c r="C402" s="24"/>
      <c r="D402" s="24"/>
      <c r="E402" s="24"/>
      <c r="F402" s="24"/>
      <c r="G402" s="117"/>
      <c r="H402" s="117"/>
      <c r="I402" s="118"/>
      <c r="J402" s="119"/>
      <c r="K402" s="119"/>
      <c r="L402" s="24"/>
      <c r="M402" s="24"/>
      <c r="N402" s="24"/>
      <c r="O402" s="24"/>
      <c r="P402" s="114"/>
      <c r="Q402" s="24"/>
      <c r="R402" s="24"/>
      <c r="S402" s="24"/>
      <c r="T402" s="24"/>
      <c r="U402" s="24"/>
      <c r="V402" s="24"/>
      <c r="W402" s="24"/>
      <c r="X402" s="24"/>
      <c r="Y402" s="24"/>
      <c r="Z402" s="24"/>
      <c r="AA402" s="24"/>
      <c r="AB402" s="24"/>
      <c r="AC402" s="24"/>
    </row>
    <row r="403" spans="1:29" ht="16.3">
      <c r="A403" s="24"/>
      <c r="B403" s="24"/>
      <c r="C403" s="24"/>
      <c r="D403" s="24"/>
      <c r="E403" s="24"/>
      <c r="F403" s="24"/>
      <c r="G403" s="117"/>
      <c r="H403" s="117"/>
      <c r="I403" s="118"/>
      <c r="J403" s="119"/>
      <c r="K403" s="119"/>
      <c r="L403" s="24"/>
      <c r="M403" s="24"/>
      <c r="N403" s="24"/>
      <c r="O403" s="24"/>
      <c r="P403" s="114"/>
      <c r="Q403" s="24"/>
      <c r="R403" s="24"/>
      <c r="S403" s="24"/>
      <c r="T403" s="24"/>
      <c r="U403" s="24"/>
      <c r="V403" s="24"/>
      <c r="W403" s="24"/>
      <c r="X403" s="24"/>
      <c r="Y403" s="24"/>
      <c r="Z403" s="24"/>
      <c r="AA403" s="24"/>
      <c r="AB403" s="24"/>
      <c r="AC403" s="24"/>
    </row>
    <row r="404" spans="1:29" ht="16.3">
      <c r="A404" s="24"/>
      <c r="B404" s="24"/>
      <c r="C404" s="24"/>
      <c r="D404" s="24"/>
      <c r="E404" s="24"/>
      <c r="F404" s="24"/>
      <c r="G404" s="117"/>
      <c r="H404" s="117"/>
      <c r="I404" s="118"/>
      <c r="J404" s="119"/>
      <c r="K404" s="119"/>
      <c r="L404" s="24"/>
      <c r="M404" s="24"/>
      <c r="N404" s="24"/>
      <c r="O404" s="24"/>
      <c r="P404" s="114"/>
      <c r="Q404" s="24"/>
      <c r="R404" s="24"/>
      <c r="S404" s="24"/>
      <c r="T404" s="24"/>
      <c r="U404" s="24"/>
      <c r="V404" s="24"/>
      <c r="W404" s="24"/>
      <c r="X404" s="24"/>
      <c r="Y404" s="24"/>
      <c r="Z404" s="24"/>
      <c r="AA404" s="24"/>
      <c r="AB404" s="24"/>
      <c r="AC404" s="24"/>
    </row>
    <row r="405" spans="1:29" ht="16.3">
      <c r="A405" s="24"/>
      <c r="B405" s="24"/>
      <c r="C405" s="24"/>
      <c r="D405" s="24"/>
      <c r="E405" s="24"/>
      <c r="F405" s="24"/>
      <c r="G405" s="117"/>
      <c r="H405" s="117"/>
      <c r="I405" s="118"/>
      <c r="J405" s="119"/>
      <c r="K405" s="119"/>
      <c r="L405" s="24"/>
      <c r="M405" s="24"/>
      <c r="N405" s="24"/>
      <c r="O405" s="24"/>
      <c r="P405" s="114"/>
      <c r="Q405" s="24"/>
      <c r="R405" s="24"/>
      <c r="S405" s="24"/>
      <c r="T405" s="24"/>
      <c r="U405" s="24"/>
      <c r="V405" s="24"/>
      <c r="W405" s="24"/>
      <c r="X405" s="24"/>
      <c r="Y405" s="24"/>
      <c r="Z405" s="24"/>
      <c r="AA405" s="24"/>
      <c r="AB405" s="24"/>
      <c r="AC405" s="24"/>
    </row>
    <row r="406" spans="1:29" ht="16.3">
      <c r="A406" s="24"/>
      <c r="B406" s="24"/>
      <c r="C406" s="24"/>
      <c r="D406" s="24"/>
      <c r="E406" s="24"/>
      <c r="F406" s="24"/>
      <c r="G406" s="117"/>
      <c r="H406" s="117"/>
      <c r="I406" s="118"/>
      <c r="J406" s="119"/>
      <c r="K406" s="119"/>
      <c r="L406" s="24"/>
      <c r="M406" s="24"/>
      <c r="N406" s="24"/>
      <c r="O406" s="24"/>
      <c r="P406" s="114"/>
      <c r="Q406" s="24"/>
      <c r="R406" s="24"/>
      <c r="S406" s="24"/>
      <c r="T406" s="24"/>
      <c r="U406" s="24"/>
      <c r="V406" s="24"/>
      <c r="W406" s="24"/>
      <c r="X406" s="24"/>
      <c r="Y406" s="24"/>
      <c r="Z406" s="24"/>
      <c r="AA406" s="24"/>
      <c r="AB406" s="24"/>
      <c r="AC406" s="24"/>
    </row>
    <row r="407" spans="1:29" ht="16.3">
      <c r="A407" s="24"/>
      <c r="B407" s="24"/>
      <c r="C407" s="24"/>
      <c r="D407" s="24"/>
      <c r="E407" s="24"/>
      <c r="F407" s="24"/>
      <c r="G407" s="117"/>
      <c r="H407" s="117"/>
      <c r="I407" s="118"/>
      <c r="J407" s="119"/>
      <c r="K407" s="119"/>
      <c r="L407" s="24"/>
      <c r="M407" s="24"/>
      <c r="N407" s="24"/>
      <c r="O407" s="24"/>
      <c r="P407" s="114"/>
      <c r="Q407" s="24"/>
      <c r="R407" s="24"/>
      <c r="S407" s="24"/>
      <c r="T407" s="24"/>
      <c r="U407" s="24"/>
      <c r="V407" s="24"/>
      <c r="W407" s="24"/>
      <c r="X407" s="24"/>
      <c r="Y407" s="24"/>
      <c r="Z407" s="24"/>
      <c r="AA407" s="24"/>
      <c r="AB407" s="24"/>
      <c r="AC407" s="24"/>
    </row>
    <row r="408" spans="1:29" ht="16.3">
      <c r="A408" s="24"/>
      <c r="B408" s="24"/>
      <c r="C408" s="24"/>
      <c r="D408" s="24"/>
      <c r="E408" s="24"/>
      <c r="F408" s="24"/>
      <c r="G408" s="117"/>
      <c r="H408" s="117"/>
      <c r="I408" s="118"/>
      <c r="J408" s="119"/>
      <c r="K408" s="119"/>
      <c r="L408" s="24"/>
      <c r="M408" s="24"/>
      <c r="N408" s="24"/>
      <c r="O408" s="24"/>
      <c r="P408" s="114"/>
      <c r="Q408" s="24"/>
      <c r="R408" s="24"/>
      <c r="S408" s="24"/>
      <c r="T408" s="24"/>
      <c r="U408" s="24"/>
      <c r="V408" s="24"/>
      <c r="W408" s="24"/>
      <c r="X408" s="24"/>
      <c r="Y408" s="24"/>
      <c r="Z408" s="24"/>
      <c r="AA408" s="24"/>
      <c r="AB408" s="24"/>
      <c r="AC408" s="24"/>
    </row>
    <row r="409" spans="1:29" ht="16.3">
      <c r="A409" s="24"/>
      <c r="B409" s="24"/>
      <c r="C409" s="24"/>
      <c r="D409" s="24"/>
      <c r="E409" s="24"/>
      <c r="F409" s="24"/>
      <c r="G409" s="117"/>
      <c r="H409" s="117"/>
      <c r="I409" s="118"/>
      <c r="J409" s="119"/>
      <c r="K409" s="119"/>
      <c r="L409" s="24"/>
      <c r="M409" s="24"/>
      <c r="N409" s="24"/>
      <c r="O409" s="24"/>
      <c r="P409" s="114"/>
      <c r="Q409" s="24"/>
      <c r="R409" s="24"/>
      <c r="S409" s="24"/>
      <c r="T409" s="24"/>
      <c r="U409" s="24"/>
      <c r="V409" s="24"/>
      <c r="W409" s="24"/>
      <c r="X409" s="24"/>
      <c r="Y409" s="24"/>
      <c r="Z409" s="24"/>
      <c r="AA409" s="24"/>
      <c r="AB409" s="24"/>
      <c r="AC409" s="24"/>
    </row>
    <row r="410" spans="1:29" ht="16.3">
      <c r="A410" s="24"/>
      <c r="B410" s="24"/>
      <c r="C410" s="24"/>
      <c r="D410" s="24"/>
      <c r="E410" s="24"/>
      <c r="F410" s="24"/>
      <c r="G410" s="117"/>
      <c r="H410" s="117"/>
      <c r="I410" s="118"/>
      <c r="J410" s="119"/>
      <c r="K410" s="119"/>
      <c r="L410" s="24"/>
      <c r="M410" s="24"/>
      <c r="N410" s="24"/>
      <c r="O410" s="24"/>
      <c r="P410" s="114"/>
      <c r="Q410" s="24"/>
      <c r="R410" s="24"/>
      <c r="S410" s="24"/>
      <c r="T410" s="24"/>
      <c r="U410" s="24"/>
      <c r="V410" s="24"/>
      <c r="W410" s="24"/>
      <c r="X410" s="24"/>
      <c r="Y410" s="24"/>
      <c r="Z410" s="24"/>
      <c r="AA410" s="24"/>
      <c r="AB410" s="24"/>
      <c r="AC410" s="24"/>
    </row>
    <row r="411" spans="1:29" ht="16.3">
      <c r="A411" s="24"/>
      <c r="B411" s="24"/>
      <c r="C411" s="24"/>
      <c r="D411" s="24"/>
      <c r="E411" s="24"/>
      <c r="F411" s="24"/>
      <c r="G411" s="117"/>
      <c r="H411" s="117"/>
      <c r="I411" s="118"/>
      <c r="J411" s="119"/>
      <c r="K411" s="119"/>
      <c r="L411" s="24"/>
      <c r="M411" s="24"/>
      <c r="N411" s="24"/>
      <c r="O411" s="24"/>
      <c r="P411" s="114"/>
      <c r="Q411" s="24"/>
      <c r="R411" s="24"/>
      <c r="S411" s="24"/>
      <c r="T411" s="24"/>
      <c r="U411" s="24"/>
      <c r="V411" s="24"/>
      <c r="W411" s="24"/>
      <c r="X411" s="24"/>
      <c r="Y411" s="24"/>
      <c r="Z411" s="24"/>
      <c r="AA411" s="24"/>
      <c r="AB411" s="24"/>
      <c r="AC411" s="24"/>
    </row>
    <row r="412" spans="1:29" ht="16.3">
      <c r="A412" s="24"/>
      <c r="B412" s="24"/>
      <c r="C412" s="24"/>
      <c r="D412" s="24"/>
      <c r="E412" s="24"/>
      <c r="F412" s="24"/>
      <c r="G412" s="117"/>
      <c r="H412" s="117"/>
      <c r="I412" s="118"/>
      <c r="J412" s="119"/>
      <c r="K412" s="119"/>
      <c r="L412" s="24"/>
      <c r="M412" s="24"/>
      <c r="N412" s="24"/>
      <c r="O412" s="24"/>
      <c r="P412" s="114"/>
      <c r="Q412" s="24"/>
      <c r="R412" s="24"/>
      <c r="S412" s="24"/>
      <c r="T412" s="24"/>
      <c r="U412" s="24"/>
      <c r="V412" s="24"/>
      <c r="W412" s="24"/>
      <c r="X412" s="24"/>
      <c r="Y412" s="24"/>
      <c r="Z412" s="24"/>
      <c r="AA412" s="24"/>
      <c r="AB412" s="24"/>
      <c r="AC412" s="24"/>
    </row>
    <row r="413" spans="1:29" ht="16.3">
      <c r="A413" s="24"/>
      <c r="B413" s="24"/>
      <c r="C413" s="24"/>
      <c r="D413" s="24"/>
      <c r="E413" s="24"/>
      <c r="F413" s="24"/>
      <c r="G413" s="117"/>
      <c r="H413" s="117"/>
      <c r="I413" s="118"/>
      <c r="J413" s="119"/>
      <c r="K413" s="119"/>
      <c r="L413" s="24"/>
      <c r="M413" s="24"/>
      <c r="N413" s="24"/>
      <c r="O413" s="24"/>
      <c r="P413" s="114"/>
      <c r="Q413" s="24"/>
      <c r="R413" s="24"/>
      <c r="S413" s="24"/>
      <c r="T413" s="24"/>
      <c r="U413" s="24"/>
      <c r="V413" s="24"/>
      <c r="W413" s="24"/>
      <c r="X413" s="24"/>
      <c r="Y413" s="24"/>
      <c r="Z413" s="24"/>
      <c r="AA413" s="24"/>
      <c r="AB413" s="24"/>
      <c r="AC413" s="24"/>
    </row>
    <row r="414" spans="1:29" ht="16.3">
      <c r="A414" s="24"/>
      <c r="B414" s="24"/>
      <c r="C414" s="24"/>
      <c r="D414" s="24"/>
      <c r="E414" s="24"/>
      <c r="F414" s="24"/>
      <c r="G414" s="117"/>
      <c r="H414" s="117"/>
      <c r="I414" s="118"/>
      <c r="J414" s="119"/>
      <c r="K414" s="119"/>
      <c r="L414" s="24"/>
      <c r="M414" s="24"/>
      <c r="N414" s="24"/>
      <c r="O414" s="24"/>
      <c r="P414" s="114"/>
      <c r="Q414" s="24"/>
      <c r="R414" s="24"/>
      <c r="S414" s="24"/>
      <c r="T414" s="24"/>
      <c r="U414" s="24"/>
      <c r="V414" s="24"/>
      <c r="W414" s="24"/>
      <c r="X414" s="24"/>
      <c r="Y414" s="24"/>
      <c r="Z414" s="24"/>
      <c r="AA414" s="24"/>
      <c r="AB414" s="24"/>
      <c r="AC414" s="24"/>
    </row>
    <row r="415" spans="1:29" ht="16.3">
      <c r="A415" s="24"/>
      <c r="B415" s="24"/>
      <c r="C415" s="24"/>
      <c r="D415" s="24"/>
      <c r="E415" s="24"/>
      <c r="F415" s="24"/>
      <c r="G415" s="117"/>
      <c r="H415" s="117"/>
      <c r="I415" s="118"/>
      <c r="J415" s="119"/>
      <c r="K415" s="119"/>
      <c r="L415" s="24"/>
      <c r="M415" s="24"/>
      <c r="N415" s="24"/>
      <c r="O415" s="24"/>
      <c r="P415" s="114"/>
      <c r="Q415" s="24"/>
      <c r="R415" s="24"/>
      <c r="S415" s="24"/>
      <c r="T415" s="24"/>
      <c r="U415" s="24"/>
      <c r="V415" s="24"/>
      <c r="W415" s="24"/>
      <c r="X415" s="24"/>
      <c r="Y415" s="24"/>
      <c r="Z415" s="24"/>
      <c r="AA415" s="24"/>
      <c r="AB415" s="24"/>
      <c r="AC415" s="24"/>
    </row>
    <row r="416" spans="1:29" ht="16.3">
      <c r="A416" s="24"/>
      <c r="B416" s="24"/>
      <c r="C416" s="24"/>
      <c r="D416" s="24"/>
      <c r="E416" s="24"/>
      <c r="F416" s="24"/>
      <c r="G416" s="117"/>
      <c r="H416" s="117"/>
      <c r="I416" s="118"/>
      <c r="J416" s="119"/>
      <c r="K416" s="119"/>
      <c r="L416" s="24"/>
      <c r="M416" s="24"/>
      <c r="N416" s="24"/>
      <c r="O416" s="24"/>
      <c r="P416" s="114"/>
      <c r="Q416" s="24"/>
      <c r="R416" s="24"/>
      <c r="S416" s="24"/>
      <c r="T416" s="24"/>
      <c r="U416" s="24"/>
      <c r="V416" s="24"/>
      <c r="W416" s="24"/>
      <c r="X416" s="24"/>
      <c r="Y416" s="24"/>
      <c r="Z416" s="24"/>
      <c r="AA416" s="24"/>
      <c r="AB416" s="24"/>
      <c r="AC416" s="24"/>
    </row>
    <row r="417" spans="1:29" ht="16.3">
      <c r="A417" s="24"/>
      <c r="B417" s="24"/>
      <c r="C417" s="24"/>
      <c r="D417" s="24"/>
      <c r="E417" s="24"/>
      <c r="F417" s="24"/>
      <c r="G417" s="117"/>
      <c r="H417" s="117"/>
      <c r="I417" s="118"/>
      <c r="J417" s="119"/>
      <c r="K417" s="119"/>
      <c r="L417" s="24"/>
      <c r="M417" s="24"/>
      <c r="N417" s="24"/>
      <c r="O417" s="24"/>
      <c r="P417" s="114"/>
      <c r="Q417" s="24"/>
      <c r="R417" s="24"/>
      <c r="S417" s="24"/>
      <c r="T417" s="24"/>
      <c r="U417" s="24"/>
      <c r="V417" s="24"/>
      <c r="W417" s="24"/>
      <c r="X417" s="24"/>
      <c r="Y417" s="24"/>
      <c r="Z417" s="24"/>
      <c r="AA417" s="24"/>
      <c r="AB417" s="24"/>
      <c r="AC417" s="24"/>
    </row>
    <row r="418" spans="1:29" ht="16.3">
      <c r="A418" s="24"/>
      <c r="B418" s="24"/>
      <c r="C418" s="24"/>
      <c r="D418" s="24"/>
      <c r="E418" s="24"/>
      <c r="F418" s="24"/>
      <c r="G418" s="117"/>
      <c r="H418" s="117"/>
      <c r="I418" s="118"/>
      <c r="J418" s="119"/>
      <c r="K418" s="119"/>
      <c r="L418" s="24"/>
      <c r="M418" s="24"/>
      <c r="N418" s="24"/>
      <c r="O418" s="24"/>
      <c r="P418" s="114"/>
      <c r="Q418" s="24"/>
      <c r="R418" s="24"/>
      <c r="S418" s="24"/>
      <c r="T418" s="24"/>
      <c r="U418" s="24"/>
      <c r="V418" s="24"/>
      <c r="W418" s="24"/>
      <c r="X418" s="24"/>
      <c r="Y418" s="24"/>
      <c r="Z418" s="24"/>
      <c r="AA418" s="24"/>
      <c r="AB418" s="24"/>
      <c r="AC418" s="24"/>
    </row>
    <row r="419" spans="1:29" ht="16.3">
      <c r="A419" s="24"/>
      <c r="B419" s="24"/>
      <c r="C419" s="24"/>
      <c r="D419" s="24"/>
      <c r="E419" s="24"/>
      <c r="F419" s="24"/>
      <c r="G419" s="117"/>
      <c r="H419" s="117"/>
      <c r="I419" s="118"/>
      <c r="J419" s="119"/>
      <c r="K419" s="119"/>
      <c r="L419" s="24"/>
      <c r="M419" s="24"/>
      <c r="N419" s="24"/>
      <c r="O419" s="24"/>
      <c r="P419" s="114"/>
      <c r="Q419" s="24"/>
      <c r="R419" s="24"/>
      <c r="S419" s="24"/>
      <c r="T419" s="24"/>
      <c r="U419" s="24"/>
      <c r="V419" s="24"/>
      <c r="W419" s="24"/>
      <c r="X419" s="24"/>
      <c r="Y419" s="24"/>
      <c r="Z419" s="24"/>
      <c r="AA419" s="24"/>
      <c r="AB419" s="24"/>
      <c r="AC419" s="24"/>
    </row>
    <row r="420" spans="1:29" ht="16.3">
      <c r="A420" s="24"/>
      <c r="B420" s="24"/>
      <c r="C420" s="24"/>
      <c r="D420" s="24"/>
      <c r="E420" s="24"/>
      <c r="F420" s="24"/>
      <c r="G420" s="117"/>
      <c r="H420" s="117"/>
      <c r="I420" s="118"/>
      <c r="J420" s="119"/>
      <c r="K420" s="119"/>
      <c r="L420" s="24"/>
      <c r="M420" s="24"/>
      <c r="N420" s="24"/>
      <c r="O420" s="24"/>
      <c r="P420" s="114"/>
      <c r="Q420" s="24"/>
      <c r="R420" s="24"/>
      <c r="S420" s="24"/>
      <c r="T420" s="24"/>
      <c r="U420" s="24"/>
      <c r="V420" s="24"/>
      <c r="W420" s="24"/>
      <c r="X420" s="24"/>
      <c r="Y420" s="24"/>
      <c r="Z420" s="24"/>
      <c r="AA420" s="24"/>
      <c r="AB420" s="24"/>
      <c r="AC420" s="24"/>
    </row>
    <row r="421" spans="1:29" ht="16.3">
      <c r="A421" s="24"/>
      <c r="B421" s="24"/>
      <c r="C421" s="24"/>
      <c r="D421" s="24"/>
      <c r="E421" s="24"/>
      <c r="F421" s="24"/>
      <c r="G421" s="117"/>
      <c r="H421" s="117"/>
      <c r="I421" s="118"/>
      <c r="J421" s="119"/>
      <c r="K421" s="119"/>
      <c r="L421" s="24"/>
      <c r="M421" s="24"/>
      <c r="N421" s="24"/>
      <c r="O421" s="24"/>
      <c r="P421" s="114"/>
      <c r="Q421" s="24"/>
      <c r="R421" s="24"/>
      <c r="S421" s="24"/>
      <c r="T421" s="24"/>
      <c r="U421" s="24"/>
      <c r="V421" s="24"/>
      <c r="W421" s="24"/>
      <c r="X421" s="24"/>
      <c r="Y421" s="24"/>
      <c r="Z421" s="24"/>
      <c r="AA421" s="24"/>
      <c r="AB421" s="24"/>
      <c r="AC421" s="24"/>
    </row>
    <row r="422" spans="1:29" ht="16.3">
      <c r="A422" s="24"/>
      <c r="B422" s="24"/>
      <c r="C422" s="24"/>
      <c r="D422" s="24"/>
      <c r="E422" s="24"/>
      <c r="F422" s="24"/>
      <c r="G422" s="117"/>
      <c r="H422" s="117"/>
      <c r="I422" s="118"/>
      <c r="J422" s="119"/>
      <c r="K422" s="119"/>
      <c r="L422" s="24"/>
      <c r="M422" s="24"/>
      <c r="N422" s="24"/>
      <c r="O422" s="24"/>
      <c r="P422" s="114"/>
      <c r="Q422" s="24"/>
      <c r="R422" s="24"/>
      <c r="S422" s="24"/>
      <c r="T422" s="24"/>
      <c r="U422" s="24"/>
      <c r="V422" s="24"/>
      <c r="W422" s="24"/>
      <c r="X422" s="24"/>
      <c r="Y422" s="24"/>
      <c r="Z422" s="24"/>
      <c r="AA422" s="24"/>
      <c r="AB422" s="24"/>
      <c r="AC422" s="24"/>
    </row>
    <row r="423" spans="1:29" ht="16.3">
      <c r="A423" s="24"/>
      <c r="B423" s="24"/>
      <c r="C423" s="24"/>
      <c r="D423" s="24"/>
      <c r="E423" s="24"/>
      <c r="F423" s="24"/>
      <c r="G423" s="117"/>
      <c r="H423" s="117"/>
      <c r="I423" s="118"/>
      <c r="J423" s="119"/>
      <c r="K423" s="119"/>
      <c r="L423" s="24"/>
      <c r="M423" s="24"/>
      <c r="N423" s="24"/>
      <c r="O423" s="24"/>
      <c r="P423" s="114"/>
      <c r="Q423" s="24"/>
      <c r="R423" s="24"/>
      <c r="S423" s="24"/>
      <c r="T423" s="24"/>
      <c r="U423" s="24"/>
      <c r="V423" s="24"/>
      <c r="W423" s="24"/>
      <c r="X423" s="24"/>
      <c r="Y423" s="24"/>
      <c r="Z423" s="24"/>
      <c r="AA423" s="24"/>
      <c r="AB423" s="24"/>
      <c r="AC423" s="24"/>
    </row>
    <row r="424" spans="1:29" ht="16.3">
      <c r="A424" s="24"/>
      <c r="B424" s="24"/>
      <c r="C424" s="24"/>
      <c r="D424" s="24"/>
      <c r="E424" s="24"/>
      <c r="F424" s="24"/>
      <c r="G424" s="117"/>
      <c r="H424" s="117"/>
      <c r="I424" s="118"/>
      <c r="J424" s="119"/>
      <c r="K424" s="119"/>
      <c r="L424" s="24"/>
      <c r="M424" s="24"/>
      <c r="N424" s="24"/>
      <c r="O424" s="24"/>
      <c r="P424" s="114"/>
      <c r="Q424" s="24"/>
      <c r="R424" s="24"/>
      <c r="S424" s="24"/>
      <c r="T424" s="24"/>
      <c r="U424" s="24"/>
      <c r="V424" s="24"/>
      <c r="W424" s="24"/>
      <c r="X424" s="24"/>
      <c r="Y424" s="24"/>
      <c r="Z424" s="24"/>
      <c r="AA424" s="24"/>
      <c r="AB424" s="24"/>
      <c r="AC424" s="24"/>
    </row>
    <row r="425" spans="1:29" ht="16.3">
      <c r="A425" s="24"/>
      <c r="B425" s="24"/>
      <c r="C425" s="24"/>
      <c r="D425" s="24"/>
      <c r="E425" s="24"/>
      <c r="F425" s="24"/>
      <c r="G425" s="117"/>
      <c r="H425" s="117"/>
      <c r="I425" s="118"/>
      <c r="J425" s="119"/>
      <c r="K425" s="119"/>
      <c r="L425" s="24"/>
      <c r="M425" s="24"/>
      <c r="N425" s="24"/>
      <c r="O425" s="24"/>
      <c r="P425" s="114"/>
      <c r="Q425" s="24"/>
      <c r="R425" s="24"/>
      <c r="S425" s="24"/>
      <c r="T425" s="24"/>
      <c r="U425" s="24"/>
      <c r="V425" s="24"/>
      <c r="W425" s="24"/>
      <c r="X425" s="24"/>
      <c r="Y425" s="24"/>
      <c r="Z425" s="24"/>
      <c r="AA425" s="24"/>
      <c r="AB425" s="24"/>
      <c r="AC425" s="24"/>
    </row>
    <row r="426" spans="1:29" ht="16.3">
      <c r="A426" s="24"/>
      <c r="B426" s="24"/>
      <c r="C426" s="24"/>
      <c r="D426" s="24"/>
      <c r="E426" s="24"/>
      <c r="F426" s="24"/>
      <c r="G426" s="117"/>
      <c r="H426" s="117"/>
      <c r="I426" s="118"/>
      <c r="J426" s="119"/>
      <c r="K426" s="119"/>
      <c r="L426" s="24"/>
      <c r="M426" s="24"/>
      <c r="N426" s="24"/>
      <c r="O426" s="24"/>
      <c r="P426" s="114"/>
      <c r="Q426" s="24"/>
      <c r="R426" s="24"/>
      <c r="S426" s="24"/>
      <c r="T426" s="24"/>
      <c r="U426" s="24"/>
      <c r="V426" s="24"/>
      <c r="W426" s="24"/>
      <c r="X426" s="24"/>
      <c r="Y426" s="24"/>
      <c r="Z426" s="24"/>
      <c r="AA426" s="24"/>
      <c r="AB426" s="24"/>
      <c r="AC426" s="24"/>
    </row>
    <row r="427" spans="1:29" ht="16.3">
      <c r="A427" s="24"/>
      <c r="B427" s="24"/>
      <c r="C427" s="24"/>
      <c r="D427" s="24"/>
      <c r="E427" s="24"/>
      <c r="F427" s="24"/>
      <c r="G427" s="117"/>
      <c r="H427" s="117"/>
      <c r="I427" s="118"/>
      <c r="J427" s="119"/>
      <c r="K427" s="119"/>
      <c r="L427" s="24"/>
      <c r="M427" s="24"/>
      <c r="N427" s="24"/>
      <c r="O427" s="24"/>
      <c r="P427" s="114"/>
      <c r="Q427" s="24"/>
      <c r="R427" s="24"/>
      <c r="S427" s="24"/>
      <c r="T427" s="24"/>
      <c r="U427" s="24"/>
      <c r="V427" s="24"/>
      <c r="W427" s="24"/>
      <c r="X427" s="24"/>
      <c r="Y427" s="24"/>
      <c r="Z427" s="24"/>
      <c r="AA427" s="24"/>
      <c r="AB427" s="24"/>
      <c r="AC427" s="24"/>
    </row>
    <row r="428" spans="1:29" ht="16.3">
      <c r="A428" s="24"/>
      <c r="B428" s="24"/>
      <c r="C428" s="24"/>
      <c r="D428" s="24"/>
      <c r="E428" s="24"/>
      <c r="F428" s="24"/>
      <c r="G428" s="117"/>
      <c r="H428" s="117"/>
      <c r="I428" s="118"/>
      <c r="J428" s="119"/>
      <c r="K428" s="119"/>
      <c r="L428" s="24"/>
      <c r="M428" s="24"/>
      <c r="N428" s="24"/>
      <c r="O428" s="24"/>
      <c r="P428" s="114"/>
      <c r="Q428" s="24"/>
      <c r="R428" s="24"/>
      <c r="S428" s="24"/>
      <c r="T428" s="24"/>
      <c r="U428" s="24"/>
      <c r="V428" s="24"/>
      <c r="W428" s="24"/>
      <c r="X428" s="24"/>
      <c r="Y428" s="24"/>
      <c r="Z428" s="24"/>
      <c r="AA428" s="24"/>
      <c r="AB428" s="24"/>
      <c r="AC428" s="24"/>
    </row>
    <row r="429" spans="1:29" ht="16.3">
      <c r="A429" s="24"/>
      <c r="B429" s="24"/>
      <c r="C429" s="24"/>
      <c r="D429" s="24"/>
      <c r="E429" s="24"/>
      <c r="F429" s="24"/>
      <c r="G429" s="117"/>
      <c r="H429" s="117"/>
      <c r="I429" s="118"/>
      <c r="J429" s="119"/>
      <c r="K429" s="119"/>
      <c r="L429" s="24"/>
      <c r="M429" s="24"/>
      <c r="N429" s="24"/>
      <c r="O429" s="24"/>
      <c r="P429" s="114"/>
      <c r="Q429" s="24"/>
      <c r="R429" s="24"/>
      <c r="S429" s="24"/>
      <c r="T429" s="24"/>
      <c r="U429" s="24"/>
      <c r="V429" s="24"/>
      <c r="W429" s="24"/>
      <c r="X429" s="24"/>
      <c r="Y429" s="24"/>
      <c r="Z429" s="24"/>
      <c r="AA429" s="24"/>
      <c r="AB429" s="24"/>
      <c r="AC429" s="24"/>
    </row>
    <row r="430" spans="1:29" ht="16.3">
      <c r="A430" s="24"/>
      <c r="B430" s="24"/>
      <c r="C430" s="24"/>
      <c r="D430" s="24"/>
      <c r="E430" s="24"/>
      <c r="F430" s="24"/>
      <c r="G430" s="117"/>
      <c r="H430" s="117"/>
      <c r="I430" s="118"/>
      <c r="J430" s="119"/>
      <c r="K430" s="119"/>
      <c r="L430" s="24"/>
      <c r="M430" s="24"/>
      <c r="N430" s="24"/>
      <c r="O430" s="24"/>
      <c r="P430" s="114"/>
      <c r="Q430" s="24"/>
      <c r="R430" s="24"/>
      <c r="S430" s="24"/>
      <c r="T430" s="24"/>
      <c r="U430" s="24"/>
      <c r="V430" s="24"/>
      <c r="W430" s="24"/>
      <c r="X430" s="24"/>
      <c r="Y430" s="24"/>
      <c r="Z430" s="24"/>
      <c r="AA430" s="24"/>
      <c r="AB430" s="24"/>
      <c r="AC430" s="24"/>
    </row>
    <row r="431" spans="1:29" ht="16.3">
      <c r="A431" s="24"/>
      <c r="B431" s="24"/>
      <c r="C431" s="24"/>
      <c r="D431" s="24"/>
      <c r="E431" s="24"/>
      <c r="F431" s="24"/>
      <c r="G431" s="117"/>
      <c r="H431" s="117"/>
      <c r="I431" s="118"/>
      <c r="J431" s="119"/>
      <c r="K431" s="119"/>
      <c r="L431" s="24"/>
      <c r="M431" s="24"/>
      <c r="N431" s="24"/>
      <c r="O431" s="24"/>
      <c r="P431" s="114"/>
      <c r="Q431" s="24"/>
      <c r="R431" s="24"/>
      <c r="S431" s="24"/>
      <c r="T431" s="24"/>
      <c r="U431" s="24"/>
      <c r="V431" s="24"/>
      <c r="W431" s="24"/>
      <c r="X431" s="24"/>
      <c r="Y431" s="24"/>
      <c r="Z431" s="24"/>
      <c r="AA431" s="24"/>
      <c r="AB431" s="24"/>
      <c r="AC431" s="24"/>
    </row>
    <row r="432" spans="1:29" ht="16.3">
      <c r="A432" s="24"/>
      <c r="B432" s="24"/>
      <c r="C432" s="24"/>
      <c r="D432" s="24"/>
      <c r="E432" s="24"/>
      <c r="F432" s="24"/>
      <c r="G432" s="117"/>
      <c r="H432" s="117"/>
      <c r="I432" s="118"/>
      <c r="J432" s="119"/>
      <c r="K432" s="119"/>
      <c r="L432" s="24"/>
      <c r="M432" s="24"/>
      <c r="N432" s="24"/>
      <c r="O432" s="24"/>
      <c r="P432" s="114"/>
      <c r="Q432" s="24"/>
      <c r="R432" s="24"/>
      <c r="S432" s="24"/>
      <c r="T432" s="24"/>
      <c r="U432" s="24"/>
      <c r="V432" s="24"/>
      <c r="W432" s="24"/>
      <c r="X432" s="24"/>
      <c r="Y432" s="24"/>
      <c r="Z432" s="24"/>
      <c r="AA432" s="24"/>
      <c r="AB432" s="24"/>
      <c r="AC432" s="24"/>
    </row>
    <row r="433" spans="1:29" ht="16.3">
      <c r="A433" s="24"/>
      <c r="B433" s="24"/>
      <c r="C433" s="24"/>
      <c r="D433" s="24"/>
      <c r="E433" s="24"/>
      <c r="F433" s="24"/>
      <c r="G433" s="117"/>
      <c r="H433" s="117"/>
      <c r="I433" s="118"/>
      <c r="J433" s="119"/>
      <c r="K433" s="119"/>
      <c r="L433" s="24"/>
      <c r="M433" s="24"/>
      <c r="N433" s="24"/>
      <c r="O433" s="24"/>
      <c r="P433" s="114"/>
      <c r="Q433" s="24"/>
      <c r="R433" s="24"/>
      <c r="S433" s="24"/>
      <c r="T433" s="24"/>
      <c r="U433" s="24"/>
      <c r="V433" s="24"/>
      <c r="W433" s="24"/>
      <c r="X433" s="24"/>
      <c r="Y433" s="24"/>
      <c r="Z433" s="24"/>
      <c r="AA433" s="24"/>
      <c r="AB433" s="24"/>
      <c r="AC433" s="24"/>
    </row>
    <row r="434" spans="1:29" ht="16.3">
      <c r="A434" s="24"/>
      <c r="B434" s="24"/>
      <c r="C434" s="24"/>
      <c r="D434" s="24"/>
      <c r="E434" s="24"/>
      <c r="F434" s="24"/>
      <c r="G434" s="117"/>
      <c r="H434" s="117"/>
      <c r="I434" s="118"/>
      <c r="J434" s="119"/>
      <c r="K434" s="119"/>
      <c r="L434" s="24"/>
      <c r="M434" s="24"/>
      <c r="N434" s="24"/>
      <c r="O434" s="24"/>
      <c r="P434" s="114"/>
      <c r="Q434" s="24"/>
      <c r="R434" s="24"/>
      <c r="S434" s="24"/>
      <c r="T434" s="24"/>
      <c r="U434" s="24"/>
      <c r="V434" s="24"/>
      <c r="W434" s="24"/>
      <c r="X434" s="24"/>
      <c r="Y434" s="24"/>
      <c r="Z434" s="24"/>
      <c r="AA434" s="24"/>
      <c r="AB434" s="24"/>
      <c r="AC434" s="24"/>
    </row>
    <row r="435" spans="1:29" ht="16.3">
      <c r="A435" s="24"/>
      <c r="B435" s="24"/>
      <c r="C435" s="24"/>
      <c r="D435" s="24"/>
      <c r="E435" s="24"/>
      <c r="F435" s="24"/>
      <c r="G435" s="117"/>
      <c r="H435" s="117"/>
      <c r="I435" s="118"/>
      <c r="J435" s="119"/>
      <c r="K435" s="119"/>
      <c r="L435" s="24"/>
      <c r="M435" s="24"/>
      <c r="N435" s="24"/>
      <c r="O435" s="24"/>
      <c r="P435" s="114"/>
      <c r="Q435" s="24"/>
      <c r="R435" s="24"/>
      <c r="S435" s="24"/>
      <c r="T435" s="24"/>
      <c r="U435" s="24"/>
      <c r="V435" s="24"/>
      <c r="W435" s="24"/>
      <c r="X435" s="24"/>
      <c r="Y435" s="24"/>
      <c r="Z435" s="24"/>
      <c r="AA435" s="24"/>
      <c r="AB435" s="24"/>
      <c r="AC435" s="24"/>
    </row>
    <row r="436" spans="1:29" ht="16.3">
      <c r="A436" s="24"/>
      <c r="B436" s="24"/>
      <c r="C436" s="24"/>
      <c r="D436" s="24"/>
      <c r="E436" s="24"/>
      <c r="F436" s="24"/>
      <c r="G436" s="117"/>
      <c r="H436" s="117"/>
      <c r="I436" s="118"/>
      <c r="J436" s="119"/>
      <c r="K436" s="119"/>
      <c r="L436" s="24"/>
      <c r="M436" s="24"/>
      <c r="N436" s="24"/>
      <c r="O436" s="24"/>
      <c r="P436" s="114"/>
      <c r="Q436" s="24"/>
      <c r="R436" s="24"/>
      <c r="S436" s="24"/>
      <c r="T436" s="24"/>
      <c r="U436" s="24"/>
      <c r="V436" s="24"/>
      <c r="W436" s="24"/>
      <c r="X436" s="24"/>
      <c r="Y436" s="24"/>
      <c r="Z436" s="24"/>
      <c r="AA436" s="24"/>
      <c r="AB436" s="24"/>
      <c r="AC436" s="24"/>
    </row>
    <row r="437" spans="1:29" ht="16.3">
      <c r="A437" s="24"/>
      <c r="B437" s="24"/>
      <c r="C437" s="24"/>
      <c r="D437" s="24"/>
      <c r="E437" s="24"/>
      <c r="F437" s="24"/>
      <c r="G437" s="117"/>
      <c r="H437" s="117"/>
      <c r="I437" s="118"/>
      <c r="J437" s="119"/>
      <c r="K437" s="119"/>
      <c r="L437" s="24"/>
      <c r="M437" s="24"/>
      <c r="N437" s="24"/>
      <c r="O437" s="24"/>
      <c r="P437" s="114"/>
      <c r="Q437" s="24"/>
      <c r="R437" s="24"/>
      <c r="S437" s="24"/>
      <c r="T437" s="24"/>
      <c r="U437" s="24"/>
      <c r="V437" s="24"/>
      <c r="W437" s="24"/>
      <c r="X437" s="24"/>
      <c r="Y437" s="24"/>
      <c r="Z437" s="24"/>
      <c r="AA437" s="24"/>
      <c r="AB437" s="24"/>
      <c r="AC437" s="24"/>
    </row>
    <row r="438" spans="1:29" ht="16.3">
      <c r="A438" s="24"/>
      <c r="B438" s="24"/>
      <c r="C438" s="24"/>
      <c r="D438" s="24"/>
      <c r="E438" s="24"/>
      <c r="F438" s="24"/>
      <c r="G438" s="117"/>
      <c r="H438" s="117"/>
      <c r="I438" s="118"/>
      <c r="J438" s="119"/>
      <c r="K438" s="119"/>
      <c r="L438" s="24"/>
      <c r="M438" s="24"/>
      <c r="N438" s="24"/>
      <c r="O438" s="24"/>
      <c r="P438" s="114"/>
      <c r="Q438" s="24"/>
      <c r="R438" s="24"/>
      <c r="S438" s="24"/>
      <c r="T438" s="24"/>
      <c r="U438" s="24"/>
      <c r="V438" s="24"/>
      <c r="W438" s="24"/>
      <c r="X438" s="24"/>
      <c r="Y438" s="24"/>
      <c r="Z438" s="24"/>
      <c r="AA438" s="24"/>
      <c r="AB438" s="24"/>
      <c r="AC438" s="24"/>
    </row>
    <row r="439" spans="1:29" ht="16.3">
      <c r="A439" s="24"/>
      <c r="B439" s="24"/>
      <c r="C439" s="24"/>
      <c r="D439" s="24"/>
      <c r="E439" s="24"/>
      <c r="F439" s="24"/>
      <c r="G439" s="117"/>
      <c r="H439" s="117"/>
      <c r="I439" s="118"/>
      <c r="J439" s="119"/>
      <c r="K439" s="119"/>
      <c r="L439" s="24"/>
      <c r="M439" s="24"/>
      <c r="N439" s="24"/>
      <c r="O439" s="24"/>
      <c r="P439" s="114"/>
      <c r="Q439" s="24"/>
      <c r="R439" s="24"/>
      <c r="S439" s="24"/>
      <c r="T439" s="24"/>
      <c r="U439" s="24"/>
      <c r="V439" s="24"/>
      <c r="W439" s="24"/>
      <c r="X439" s="24"/>
      <c r="Y439" s="24"/>
      <c r="Z439" s="24"/>
      <c r="AA439" s="24"/>
      <c r="AB439" s="24"/>
      <c r="AC439" s="24"/>
    </row>
    <row r="440" spans="1:29" ht="16.3">
      <c r="A440" s="24"/>
      <c r="B440" s="24"/>
      <c r="C440" s="24"/>
      <c r="D440" s="24"/>
      <c r="E440" s="24"/>
      <c r="F440" s="24"/>
      <c r="G440" s="117"/>
      <c r="H440" s="117"/>
      <c r="I440" s="118"/>
      <c r="J440" s="119"/>
      <c r="K440" s="119"/>
      <c r="L440" s="24"/>
      <c r="M440" s="24"/>
      <c r="N440" s="24"/>
      <c r="O440" s="24"/>
      <c r="P440" s="114"/>
      <c r="Q440" s="24"/>
      <c r="R440" s="24"/>
      <c r="S440" s="24"/>
      <c r="T440" s="24"/>
      <c r="U440" s="24"/>
      <c r="V440" s="24"/>
      <c r="W440" s="24"/>
      <c r="X440" s="24"/>
      <c r="Y440" s="24"/>
      <c r="Z440" s="24"/>
      <c r="AA440" s="24"/>
      <c r="AB440" s="24"/>
      <c r="AC440" s="24"/>
    </row>
    <row r="441" spans="1:29" ht="16.3">
      <c r="A441" s="24"/>
      <c r="B441" s="24"/>
      <c r="C441" s="24"/>
      <c r="D441" s="24"/>
      <c r="E441" s="24"/>
      <c r="F441" s="24"/>
      <c r="G441" s="117"/>
      <c r="H441" s="117"/>
      <c r="I441" s="118"/>
      <c r="J441" s="119"/>
      <c r="K441" s="119"/>
      <c r="L441" s="24"/>
      <c r="M441" s="24"/>
      <c r="N441" s="24"/>
      <c r="O441" s="24"/>
      <c r="P441" s="114"/>
      <c r="Q441" s="24"/>
      <c r="R441" s="24"/>
      <c r="S441" s="24"/>
      <c r="T441" s="24"/>
      <c r="U441" s="24"/>
      <c r="V441" s="24"/>
      <c r="W441" s="24"/>
      <c r="X441" s="24"/>
      <c r="Y441" s="24"/>
      <c r="Z441" s="24"/>
      <c r="AA441" s="24"/>
      <c r="AB441" s="24"/>
      <c r="AC441" s="24"/>
    </row>
    <row r="442" spans="1:29" ht="16.3">
      <c r="A442" s="24"/>
      <c r="B442" s="24"/>
      <c r="C442" s="24"/>
      <c r="D442" s="24"/>
      <c r="E442" s="24"/>
      <c r="F442" s="24"/>
      <c r="G442" s="117"/>
      <c r="H442" s="117"/>
      <c r="I442" s="118"/>
      <c r="J442" s="119"/>
      <c r="K442" s="119"/>
      <c r="L442" s="24"/>
      <c r="M442" s="24"/>
      <c r="N442" s="24"/>
      <c r="O442" s="24"/>
      <c r="P442" s="114"/>
      <c r="Q442" s="24"/>
      <c r="R442" s="24"/>
      <c r="S442" s="24"/>
      <c r="T442" s="24"/>
      <c r="U442" s="24"/>
      <c r="V442" s="24"/>
      <c r="W442" s="24"/>
      <c r="X442" s="24"/>
      <c r="Y442" s="24"/>
      <c r="Z442" s="24"/>
      <c r="AA442" s="24"/>
      <c r="AB442" s="24"/>
      <c r="AC442" s="24"/>
    </row>
    <row r="443" spans="1:29" ht="16.3">
      <c r="A443" s="24"/>
      <c r="B443" s="24"/>
      <c r="C443" s="24"/>
      <c r="D443" s="24"/>
      <c r="E443" s="24"/>
      <c r="F443" s="24"/>
      <c r="G443" s="117"/>
      <c r="H443" s="117"/>
      <c r="I443" s="118"/>
      <c r="J443" s="119"/>
      <c r="K443" s="119"/>
      <c r="L443" s="24"/>
      <c r="M443" s="24"/>
      <c r="N443" s="24"/>
      <c r="O443" s="24"/>
      <c r="P443" s="114"/>
      <c r="Q443" s="24"/>
      <c r="R443" s="24"/>
      <c r="S443" s="24"/>
      <c r="T443" s="24"/>
      <c r="U443" s="24"/>
      <c r="V443" s="24"/>
      <c r="W443" s="24"/>
      <c r="X443" s="24"/>
      <c r="Y443" s="24"/>
      <c r="Z443" s="24"/>
      <c r="AA443" s="24"/>
      <c r="AB443" s="24"/>
      <c r="AC443" s="24"/>
    </row>
    <row r="444" spans="1:29" ht="16.3">
      <c r="A444" s="24"/>
      <c r="B444" s="24"/>
      <c r="C444" s="24"/>
      <c r="D444" s="24"/>
      <c r="E444" s="24"/>
      <c r="F444" s="24"/>
      <c r="G444" s="117"/>
      <c r="H444" s="117"/>
      <c r="I444" s="118"/>
      <c r="J444" s="119"/>
      <c r="K444" s="119"/>
      <c r="L444" s="24"/>
      <c r="M444" s="24"/>
      <c r="N444" s="24"/>
      <c r="O444" s="24"/>
      <c r="P444" s="114"/>
      <c r="Q444" s="24"/>
      <c r="R444" s="24"/>
      <c r="S444" s="24"/>
      <c r="T444" s="24"/>
      <c r="U444" s="24"/>
      <c r="V444" s="24"/>
      <c r="W444" s="24"/>
      <c r="X444" s="24"/>
      <c r="Y444" s="24"/>
      <c r="Z444" s="24"/>
      <c r="AA444" s="24"/>
      <c r="AB444" s="24"/>
      <c r="AC444" s="24"/>
    </row>
    <row r="445" spans="1:29" ht="16.3">
      <c r="A445" s="24"/>
      <c r="B445" s="24"/>
      <c r="C445" s="24"/>
      <c r="D445" s="24"/>
      <c r="E445" s="24"/>
      <c r="F445" s="24"/>
      <c r="G445" s="117"/>
      <c r="H445" s="117"/>
      <c r="I445" s="118"/>
      <c r="J445" s="119"/>
      <c r="K445" s="119"/>
      <c r="L445" s="24"/>
      <c r="M445" s="24"/>
      <c r="N445" s="24"/>
      <c r="O445" s="24"/>
      <c r="P445" s="114"/>
      <c r="Q445" s="24"/>
      <c r="R445" s="24"/>
      <c r="S445" s="24"/>
      <c r="T445" s="24"/>
      <c r="U445" s="24"/>
      <c r="V445" s="24"/>
      <c r="W445" s="24"/>
      <c r="X445" s="24"/>
      <c r="Y445" s="24"/>
      <c r="Z445" s="24"/>
      <c r="AA445" s="24"/>
      <c r="AB445" s="24"/>
      <c r="AC445" s="24"/>
    </row>
    <row r="446" spans="1:29" ht="16.3">
      <c r="A446" s="24"/>
      <c r="B446" s="24"/>
      <c r="C446" s="24"/>
      <c r="D446" s="24"/>
      <c r="E446" s="24"/>
      <c r="F446" s="24"/>
      <c r="G446" s="117"/>
      <c r="H446" s="117"/>
      <c r="I446" s="118"/>
      <c r="J446" s="119"/>
      <c r="K446" s="119"/>
      <c r="L446" s="24"/>
      <c r="M446" s="24"/>
      <c r="N446" s="24"/>
      <c r="O446" s="24"/>
      <c r="P446" s="114"/>
      <c r="Q446" s="24"/>
      <c r="R446" s="24"/>
      <c r="S446" s="24"/>
      <c r="T446" s="24"/>
      <c r="U446" s="24"/>
      <c r="V446" s="24"/>
      <c r="W446" s="24"/>
      <c r="X446" s="24"/>
      <c r="Y446" s="24"/>
      <c r="Z446" s="24"/>
      <c r="AA446" s="24"/>
      <c r="AB446" s="24"/>
      <c r="AC446" s="24"/>
    </row>
    <row r="447" spans="1:29" ht="16.3">
      <c r="A447" s="24"/>
      <c r="B447" s="24"/>
      <c r="C447" s="24"/>
      <c r="D447" s="24"/>
      <c r="E447" s="24"/>
      <c r="F447" s="24"/>
      <c r="G447" s="117"/>
      <c r="H447" s="117"/>
      <c r="I447" s="118"/>
      <c r="J447" s="119"/>
      <c r="K447" s="119"/>
      <c r="L447" s="24"/>
      <c r="M447" s="24"/>
      <c r="N447" s="24"/>
      <c r="O447" s="24"/>
      <c r="P447" s="114"/>
      <c r="Q447" s="24"/>
      <c r="R447" s="24"/>
      <c r="S447" s="24"/>
      <c r="T447" s="24"/>
      <c r="U447" s="24"/>
      <c r="V447" s="24"/>
      <c r="W447" s="24"/>
      <c r="X447" s="24"/>
      <c r="Y447" s="24"/>
      <c r="Z447" s="24"/>
      <c r="AA447" s="24"/>
      <c r="AB447" s="24"/>
      <c r="AC447" s="24"/>
    </row>
    <row r="448" spans="1:29" ht="16.3">
      <c r="A448" s="24"/>
      <c r="B448" s="24"/>
      <c r="C448" s="24"/>
      <c r="D448" s="24"/>
      <c r="E448" s="24"/>
      <c r="F448" s="24"/>
      <c r="G448" s="117"/>
      <c r="H448" s="117"/>
      <c r="I448" s="118"/>
      <c r="J448" s="119"/>
      <c r="K448" s="119"/>
      <c r="L448" s="24"/>
      <c r="M448" s="24"/>
      <c r="N448" s="24"/>
      <c r="O448" s="24"/>
      <c r="P448" s="114"/>
      <c r="Q448" s="24"/>
      <c r="R448" s="24"/>
      <c r="S448" s="24"/>
      <c r="T448" s="24"/>
      <c r="U448" s="24"/>
      <c r="V448" s="24"/>
      <c r="W448" s="24"/>
      <c r="X448" s="24"/>
      <c r="Y448" s="24"/>
      <c r="Z448" s="24"/>
      <c r="AA448" s="24"/>
      <c r="AB448" s="24"/>
      <c r="AC448" s="24"/>
    </row>
    <row r="449" spans="1:29" ht="16.3">
      <c r="A449" s="24"/>
      <c r="B449" s="24"/>
      <c r="C449" s="24"/>
      <c r="D449" s="24"/>
      <c r="E449" s="24"/>
      <c r="F449" s="24"/>
      <c r="G449" s="117"/>
      <c r="H449" s="117"/>
      <c r="I449" s="118"/>
      <c r="J449" s="119"/>
      <c r="K449" s="119"/>
      <c r="L449" s="24"/>
      <c r="M449" s="24"/>
      <c r="N449" s="24"/>
      <c r="O449" s="24"/>
      <c r="P449" s="114"/>
      <c r="Q449" s="24"/>
      <c r="R449" s="24"/>
      <c r="S449" s="24"/>
      <c r="T449" s="24"/>
      <c r="U449" s="24"/>
      <c r="V449" s="24"/>
      <c r="W449" s="24"/>
      <c r="X449" s="24"/>
      <c r="Y449" s="24"/>
      <c r="Z449" s="24"/>
      <c r="AA449" s="24"/>
      <c r="AB449" s="24"/>
      <c r="AC449" s="24"/>
    </row>
    <row r="450" spans="1:29" ht="16.3">
      <c r="A450" s="24"/>
      <c r="B450" s="24"/>
      <c r="C450" s="24"/>
      <c r="D450" s="24"/>
      <c r="E450" s="24"/>
      <c r="F450" s="24"/>
      <c r="G450" s="117"/>
      <c r="H450" s="117"/>
      <c r="I450" s="118"/>
      <c r="J450" s="119"/>
      <c r="K450" s="119"/>
      <c r="L450" s="24"/>
      <c r="M450" s="24"/>
      <c r="N450" s="24"/>
      <c r="O450" s="24"/>
      <c r="P450" s="114"/>
      <c r="Q450" s="24"/>
      <c r="R450" s="24"/>
      <c r="S450" s="24"/>
      <c r="T450" s="24"/>
      <c r="U450" s="24"/>
      <c r="V450" s="24"/>
      <c r="W450" s="24"/>
      <c r="X450" s="24"/>
      <c r="Y450" s="24"/>
      <c r="Z450" s="24"/>
      <c r="AA450" s="24"/>
      <c r="AB450" s="24"/>
      <c r="AC450" s="24"/>
    </row>
    <row r="451" spans="1:29" ht="16.3">
      <c r="A451" s="24"/>
      <c r="B451" s="24"/>
      <c r="C451" s="24"/>
      <c r="D451" s="24"/>
      <c r="E451" s="24"/>
      <c r="F451" s="24"/>
      <c r="G451" s="117"/>
      <c r="H451" s="117"/>
      <c r="I451" s="118"/>
      <c r="J451" s="119"/>
      <c r="K451" s="119"/>
      <c r="L451" s="24"/>
      <c r="M451" s="24"/>
      <c r="N451" s="24"/>
      <c r="O451" s="24"/>
      <c r="P451" s="114"/>
      <c r="Q451" s="24"/>
      <c r="R451" s="24"/>
      <c r="S451" s="24"/>
      <c r="T451" s="24"/>
      <c r="U451" s="24"/>
      <c r="V451" s="24"/>
      <c r="W451" s="24"/>
      <c r="X451" s="24"/>
      <c r="Y451" s="24"/>
      <c r="Z451" s="24"/>
      <c r="AA451" s="24"/>
      <c r="AB451" s="24"/>
      <c r="AC451" s="24"/>
    </row>
    <row r="452" spans="1:29" ht="16.3">
      <c r="A452" s="24"/>
      <c r="B452" s="24"/>
      <c r="C452" s="24"/>
      <c r="D452" s="24"/>
      <c r="E452" s="24"/>
      <c r="F452" s="24"/>
      <c r="G452" s="117"/>
      <c r="H452" s="117"/>
      <c r="I452" s="118"/>
      <c r="J452" s="119"/>
      <c r="K452" s="119"/>
      <c r="L452" s="24"/>
      <c r="M452" s="24"/>
      <c r="N452" s="24"/>
      <c r="O452" s="24"/>
      <c r="P452" s="114"/>
      <c r="Q452" s="24"/>
      <c r="R452" s="24"/>
      <c r="S452" s="24"/>
      <c r="T452" s="24"/>
      <c r="U452" s="24"/>
      <c r="V452" s="24"/>
      <c r="W452" s="24"/>
      <c r="X452" s="24"/>
      <c r="Y452" s="24"/>
      <c r="Z452" s="24"/>
      <c r="AA452" s="24"/>
      <c r="AB452" s="24"/>
      <c r="AC452" s="24"/>
    </row>
    <row r="453" spans="1:29" ht="16.3">
      <c r="A453" s="24"/>
      <c r="B453" s="24"/>
      <c r="C453" s="24"/>
      <c r="D453" s="24"/>
      <c r="E453" s="24"/>
      <c r="F453" s="24"/>
      <c r="G453" s="117"/>
      <c r="H453" s="117"/>
      <c r="I453" s="118"/>
      <c r="J453" s="119"/>
      <c r="K453" s="119"/>
      <c r="L453" s="24"/>
      <c r="M453" s="24"/>
      <c r="N453" s="24"/>
      <c r="O453" s="24"/>
      <c r="P453" s="114"/>
      <c r="Q453" s="24"/>
      <c r="R453" s="24"/>
      <c r="S453" s="24"/>
      <c r="T453" s="24"/>
      <c r="U453" s="24"/>
      <c r="V453" s="24"/>
      <c r="W453" s="24"/>
      <c r="X453" s="24"/>
      <c r="Y453" s="24"/>
      <c r="Z453" s="24"/>
      <c r="AA453" s="24"/>
      <c r="AB453" s="24"/>
      <c r="AC453" s="24"/>
    </row>
    <row r="454" spans="1:29" ht="16.3">
      <c r="A454" s="24"/>
      <c r="B454" s="24"/>
      <c r="C454" s="24"/>
      <c r="D454" s="24"/>
      <c r="E454" s="24"/>
      <c r="F454" s="24"/>
      <c r="G454" s="117"/>
      <c r="H454" s="117"/>
      <c r="I454" s="118"/>
      <c r="J454" s="119"/>
      <c r="K454" s="119"/>
      <c r="L454" s="24"/>
      <c r="M454" s="24"/>
      <c r="N454" s="24"/>
      <c r="O454" s="24"/>
      <c r="P454" s="114"/>
      <c r="Q454" s="24"/>
      <c r="R454" s="24"/>
      <c r="S454" s="24"/>
      <c r="T454" s="24"/>
      <c r="U454" s="24"/>
      <c r="V454" s="24"/>
      <c r="W454" s="24"/>
      <c r="X454" s="24"/>
      <c r="Y454" s="24"/>
      <c r="Z454" s="24"/>
      <c r="AA454" s="24"/>
      <c r="AB454" s="24"/>
      <c r="AC454" s="24"/>
    </row>
    <row r="455" spans="1:29" ht="16.3">
      <c r="A455" s="24"/>
      <c r="B455" s="24"/>
      <c r="C455" s="24"/>
      <c r="D455" s="24"/>
      <c r="E455" s="24"/>
      <c r="F455" s="24"/>
      <c r="G455" s="117"/>
      <c r="H455" s="117"/>
      <c r="I455" s="118"/>
      <c r="J455" s="119"/>
      <c r="K455" s="119"/>
      <c r="L455" s="24"/>
      <c r="M455" s="24"/>
      <c r="N455" s="24"/>
      <c r="O455" s="24"/>
      <c r="P455" s="114"/>
      <c r="Q455" s="24"/>
      <c r="R455" s="24"/>
      <c r="S455" s="24"/>
      <c r="T455" s="24"/>
      <c r="U455" s="24"/>
      <c r="V455" s="24"/>
      <c r="W455" s="24"/>
      <c r="X455" s="24"/>
      <c r="Y455" s="24"/>
      <c r="Z455" s="24"/>
      <c r="AA455" s="24"/>
      <c r="AB455" s="24"/>
      <c r="AC455" s="24"/>
    </row>
    <row r="456" spans="1:29" ht="16.3">
      <c r="A456" s="24"/>
      <c r="B456" s="24"/>
      <c r="C456" s="24"/>
      <c r="D456" s="24"/>
      <c r="E456" s="24"/>
      <c r="F456" s="24"/>
      <c r="G456" s="117"/>
      <c r="H456" s="117"/>
      <c r="I456" s="118"/>
      <c r="J456" s="119"/>
      <c r="K456" s="119"/>
      <c r="L456" s="24"/>
      <c r="M456" s="24"/>
      <c r="N456" s="24"/>
      <c r="O456" s="24"/>
      <c r="P456" s="114"/>
      <c r="Q456" s="24"/>
      <c r="R456" s="24"/>
      <c r="S456" s="24"/>
      <c r="T456" s="24"/>
      <c r="U456" s="24"/>
      <c r="V456" s="24"/>
      <c r="W456" s="24"/>
      <c r="X456" s="24"/>
      <c r="Y456" s="24"/>
      <c r="Z456" s="24"/>
      <c r="AA456" s="24"/>
      <c r="AB456" s="24"/>
      <c r="AC456" s="24"/>
    </row>
    <row r="457" spans="1:29" ht="16.3">
      <c r="A457" s="24"/>
      <c r="B457" s="24"/>
      <c r="C457" s="24"/>
      <c r="D457" s="24"/>
      <c r="E457" s="24"/>
      <c r="F457" s="24"/>
      <c r="G457" s="117"/>
      <c r="H457" s="117"/>
      <c r="I457" s="118"/>
      <c r="J457" s="119"/>
      <c r="K457" s="119"/>
      <c r="L457" s="24"/>
      <c r="M457" s="24"/>
      <c r="N457" s="24"/>
      <c r="O457" s="24"/>
      <c r="P457" s="114"/>
      <c r="Q457" s="24"/>
      <c r="R457" s="24"/>
      <c r="S457" s="24"/>
      <c r="T457" s="24"/>
      <c r="U457" s="24"/>
      <c r="V457" s="24"/>
      <c r="W457" s="24"/>
      <c r="X457" s="24"/>
      <c r="Y457" s="24"/>
      <c r="Z457" s="24"/>
      <c r="AA457" s="24"/>
      <c r="AB457" s="24"/>
      <c r="AC457" s="24"/>
    </row>
    <row r="458" spans="1:29" ht="16.3">
      <c r="A458" s="24"/>
      <c r="B458" s="24"/>
      <c r="C458" s="24"/>
      <c r="D458" s="24"/>
      <c r="E458" s="24"/>
      <c r="F458" s="24"/>
      <c r="G458" s="117"/>
      <c r="H458" s="117"/>
      <c r="I458" s="118"/>
      <c r="J458" s="119"/>
      <c r="K458" s="119"/>
      <c r="L458" s="24"/>
      <c r="M458" s="24"/>
      <c r="N458" s="24"/>
      <c r="O458" s="24"/>
      <c r="P458" s="114"/>
      <c r="Q458" s="24"/>
      <c r="R458" s="24"/>
      <c r="S458" s="24"/>
      <c r="T458" s="24"/>
      <c r="U458" s="24"/>
      <c r="V458" s="24"/>
      <c r="W458" s="24"/>
      <c r="X458" s="24"/>
      <c r="Y458" s="24"/>
      <c r="Z458" s="24"/>
      <c r="AA458" s="24"/>
      <c r="AB458" s="24"/>
      <c r="AC458" s="24"/>
    </row>
    <row r="459" spans="1:29" ht="16.3">
      <c r="A459" s="24"/>
      <c r="B459" s="24"/>
      <c r="C459" s="24"/>
      <c r="D459" s="24"/>
      <c r="E459" s="24"/>
      <c r="F459" s="24"/>
      <c r="G459" s="117"/>
      <c r="H459" s="117"/>
      <c r="I459" s="118"/>
      <c r="J459" s="119"/>
      <c r="K459" s="119"/>
      <c r="L459" s="24"/>
      <c r="M459" s="24"/>
      <c r="N459" s="24"/>
      <c r="O459" s="24"/>
      <c r="P459" s="114"/>
      <c r="Q459" s="24"/>
      <c r="R459" s="24"/>
      <c r="S459" s="24"/>
      <c r="T459" s="24"/>
      <c r="U459" s="24"/>
      <c r="V459" s="24"/>
      <c r="W459" s="24"/>
      <c r="X459" s="24"/>
      <c r="Y459" s="24"/>
      <c r="Z459" s="24"/>
      <c r="AA459" s="24"/>
      <c r="AB459" s="24"/>
      <c r="AC459" s="24"/>
    </row>
    <row r="460" spans="1:29" ht="16.3">
      <c r="A460" s="24"/>
      <c r="B460" s="24"/>
      <c r="C460" s="24"/>
      <c r="D460" s="24"/>
      <c r="E460" s="24"/>
      <c r="F460" s="24"/>
      <c r="G460" s="117"/>
      <c r="H460" s="117"/>
      <c r="I460" s="118"/>
      <c r="J460" s="119"/>
      <c r="K460" s="119"/>
      <c r="L460" s="24"/>
      <c r="M460" s="24"/>
      <c r="N460" s="24"/>
      <c r="O460" s="24"/>
      <c r="P460" s="114"/>
      <c r="Q460" s="24"/>
      <c r="R460" s="24"/>
      <c r="S460" s="24"/>
      <c r="T460" s="24"/>
      <c r="U460" s="24"/>
      <c r="V460" s="24"/>
      <c r="W460" s="24"/>
      <c r="X460" s="24"/>
      <c r="Y460" s="24"/>
      <c r="Z460" s="24"/>
      <c r="AA460" s="24"/>
      <c r="AB460" s="24"/>
      <c r="AC460" s="24"/>
    </row>
    <row r="461" spans="1:29" ht="16.3">
      <c r="A461" s="24"/>
      <c r="B461" s="24"/>
      <c r="C461" s="24"/>
      <c r="D461" s="24"/>
      <c r="E461" s="24"/>
      <c r="F461" s="24"/>
      <c r="G461" s="117"/>
      <c r="H461" s="117"/>
      <c r="I461" s="118"/>
      <c r="J461" s="119"/>
      <c r="K461" s="119"/>
      <c r="L461" s="24"/>
      <c r="M461" s="24"/>
      <c r="N461" s="24"/>
      <c r="O461" s="24"/>
      <c r="P461" s="114"/>
      <c r="Q461" s="24"/>
      <c r="R461" s="24"/>
      <c r="S461" s="24"/>
      <c r="T461" s="24"/>
      <c r="U461" s="24"/>
      <c r="V461" s="24"/>
      <c r="W461" s="24"/>
      <c r="X461" s="24"/>
      <c r="Y461" s="24"/>
      <c r="Z461" s="24"/>
      <c r="AA461" s="24"/>
      <c r="AB461" s="24"/>
      <c r="AC461" s="24"/>
    </row>
    <row r="462" spans="1:29" ht="16.3">
      <c r="A462" s="24"/>
      <c r="B462" s="24"/>
      <c r="C462" s="24"/>
      <c r="D462" s="24"/>
      <c r="E462" s="24"/>
      <c r="F462" s="24"/>
      <c r="G462" s="117"/>
      <c r="H462" s="117"/>
      <c r="I462" s="118"/>
      <c r="J462" s="119"/>
      <c r="K462" s="119"/>
      <c r="L462" s="24"/>
      <c r="M462" s="24"/>
      <c r="N462" s="24"/>
      <c r="O462" s="24"/>
      <c r="P462" s="114"/>
      <c r="Q462" s="24"/>
      <c r="R462" s="24"/>
      <c r="S462" s="24"/>
      <c r="T462" s="24"/>
      <c r="U462" s="24"/>
      <c r="V462" s="24"/>
      <c r="W462" s="24"/>
      <c r="X462" s="24"/>
      <c r="Y462" s="24"/>
      <c r="Z462" s="24"/>
      <c r="AA462" s="24"/>
      <c r="AB462" s="24"/>
      <c r="AC462" s="24"/>
    </row>
    <row r="463" spans="1:29" ht="16.3">
      <c r="A463" s="24"/>
      <c r="B463" s="24"/>
      <c r="C463" s="24"/>
      <c r="D463" s="24"/>
      <c r="E463" s="24"/>
      <c r="F463" s="24"/>
      <c r="G463" s="117"/>
      <c r="H463" s="117"/>
      <c r="I463" s="118"/>
      <c r="J463" s="119"/>
      <c r="K463" s="119"/>
      <c r="L463" s="24"/>
      <c r="M463" s="24"/>
      <c r="N463" s="24"/>
      <c r="O463" s="24"/>
      <c r="P463" s="114"/>
      <c r="Q463" s="24"/>
      <c r="R463" s="24"/>
      <c r="S463" s="24"/>
      <c r="T463" s="24"/>
      <c r="U463" s="24"/>
      <c r="V463" s="24"/>
      <c r="W463" s="24"/>
      <c r="X463" s="24"/>
      <c r="Y463" s="24"/>
      <c r="Z463" s="24"/>
      <c r="AA463" s="24"/>
      <c r="AB463" s="24"/>
      <c r="AC463" s="24"/>
    </row>
    <row r="464" spans="1:29" ht="16.3">
      <c r="A464" s="24"/>
      <c r="B464" s="24"/>
      <c r="C464" s="24"/>
      <c r="D464" s="24"/>
      <c r="E464" s="24"/>
      <c r="F464" s="24"/>
      <c r="G464" s="117"/>
      <c r="H464" s="117"/>
      <c r="I464" s="118"/>
      <c r="J464" s="119"/>
      <c r="K464" s="119"/>
      <c r="L464" s="24"/>
      <c r="M464" s="24"/>
      <c r="N464" s="24"/>
      <c r="O464" s="24"/>
      <c r="P464" s="114"/>
      <c r="Q464" s="24"/>
      <c r="R464" s="24"/>
      <c r="S464" s="24"/>
      <c r="T464" s="24"/>
      <c r="U464" s="24"/>
      <c r="V464" s="24"/>
      <c r="W464" s="24"/>
      <c r="X464" s="24"/>
      <c r="Y464" s="24"/>
      <c r="Z464" s="24"/>
      <c r="AA464" s="24"/>
      <c r="AB464" s="24"/>
      <c r="AC464" s="24"/>
    </row>
    <row r="465" spans="1:29" ht="16.3">
      <c r="A465" s="24"/>
      <c r="B465" s="24"/>
      <c r="C465" s="24"/>
      <c r="D465" s="24"/>
      <c r="E465" s="24"/>
      <c r="F465" s="24"/>
      <c r="G465" s="117"/>
      <c r="H465" s="117"/>
      <c r="I465" s="118"/>
      <c r="J465" s="119"/>
      <c r="K465" s="119"/>
      <c r="L465" s="24"/>
      <c r="M465" s="24"/>
      <c r="N465" s="24"/>
      <c r="O465" s="24"/>
      <c r="P465" s="114"/>
      <c r="Q465" s="24"/>
      <c r="R465" s="24"/>
      <c r="S465" s="24"/>
      <c r="T465" s="24"/>
      <c r="U465" s="24"/>
      <c r="V465" s="24"/>
      <c r="W465" s="24"/>
      <c r="X465" s="24"/>
      <c r="Y465" s="24"/>
      <c r="Z465" s="24"/>
      <c r="AA465" s="24"/>
      <c r="AB465" s="24"/>
      <c r="AC465" s="24"/>
    </row>
    <row r="466" spans="1:29" ht="16.3">
      <c r="A466" s="24"/>
      <c r="B466" s="24"/>
      <c r="C466" s="24"/>
      <c r="D466" s="24"/>
      <c r="E466" s="24"/>
      <c r="F466" s="24"/>
      <c r="G466" s="117"/>
      <c r="H466" s="117"/>
      <c r="I466" s="118"/>
      <c r="J466" s="119"/>
      <c r="K466" s="119"/>
      <c r="L466" s="24"/>
      <c r="M466" s="24"/>
      <c r="N466" s="24"/>
      <c r="O466" s="24"/>
      <c r="P466" s="114"/>
      <c r="Q466" s="24"/>
      <c r="R466" s="24"/>
      <c r="S466" s="24"/>
      <c r="T466" s="24"/>
      <c r="U466" s="24"/>
      <c r="V466" s="24"/>
      <c r="W466" s="24"/>
      <c r="X466" s="24"/>
      <c r="Y466" s="24"/>
      <c r="Z466" s="24"/>
      <c r="AA466" s="24"/>
      <c r="AB466" s="24"/>
      <c r="AC466" s="24"/>
    </row>
    <row r="467" spans="1:29" ht="16.3">
      <c r="A467" s="24"/>
      <c r="B467" s="24"/>
      <c r="C467" s="24"/>
      <c r="D467" s="24"/>
      <c r="E467" s="24"/>
      <c r="F467" s="24"/>
      <c r="G467" s="117"/>
      <c r="H467" s="117"/>
      <c r="I467" s="118"/>
      <c r="J467" s="119"/>
      <c r="K467" s="119"/>
      <c r="L467" s="24"/>
      <c r="M467" s="24"/>
      <c r="N467" s="24"/>
      <c r="O467" s="24"/>
      <c r="P467" s="114"/>
      <c r="Q467" s="24"/>
      <c r="R467" s="24"/>
      <c r="S467" s="24"/>
      <c r="T467" s="24"/>
      <c r="U467" s="24"/>
      <c r="V467" s="24"/>
      <c r="W467" s="24"/>
      <c r="X467" s="24"/>
      <c r="Y467" s="24"/>
      <c r="Z467" s="24"/>
      <c r="AA467" s="24"/>
      <c r="AB467" s="24"/>
      <c r="AC467" s="24"/>
    </row>
    <row r="468" spans="1:29" ht="16.3">
      <c r="A468" s="24"/>
      <c r="B468" s="24"/>
      <c r="C468" s="24"/>
      <c r="D468" s="24"/>
      <c r="E468" s="24"/>
      <c r="F468" s="24"/>
      <c r="G468" s="117"/>
      <c r="H468" s="117"/>
      <c r="I468" s="118"/>
      <c r="J468" s="119"/>
      <c r="K468" s="119"/>
      <c r="L468" s="24"/>
      <c r="M468" s="24"/>
      <c r="N468" s="24"/>
      <c r="O468" s="24"/>
      <c r="P468" s="114"/>
      <c r="Q468" s="24"/>
      <c r="R468" s="24"/>
      <c r="S468" s="24"/>
      <c r="T468" s="24"/>
      <c r="U468" s="24"/>
      <c r="V468" s="24"/>
      <c r="W468" s="24"/>
      <c r="X468" s="24"/>
      <c r="Y468" s="24"/>
      <c r="Z468" s="24"/>
      <c r="AA468" s="24"/>
      <c r="AB468" s="24"/>
      <c r="AC468" s="24"/>
    </row>
    <row r="469" spans="1:29" ht="16.3">
      <c r="A469" s="24"/>
      <c r="B469" s="24"/>
      <c r="C469" s="24"/>
      <c r="D469" s="24"/>
      <c r="E469" s="24"/>
      <c r="F469" s="24"/>
      <c r="G469" s="117"/>
      <c r="H469" s="117"/>
      <c r="I469" s="118"/>
      <c r="J469" s="119"/>
      <c r="K469" s="119"/>
      <c r="L469" s="24"/>
      <c r="M469" s="24"/>
      <c r="N469" s="24"/>
      <c r="O469" s="24"/>
      <c r="P469" s="114"/>
      <c r="Q469" s="24"/>
      <c r="R469" s="24"/>
      <c r="S469" s="24"/>
      <c r="T469" s="24"/>
      <c r="U469" s="24"/>
      <c r="V469" s="24"/>
      <c r="W469" s="24"/>
      <c r="X469" s="24"/>
      <c r="Y469" s="24"/>
      <c r="Z469" s="24"/>
      <c r="AA469" s="24"/>
      <c r="AB469" s="24"/>
      <c r="AC469" s="24"/>
    </row>
    <row r="470" spans="1:29" ht="16.3">
      <c r="A470" s="24"/>
      <c r="B470" s="24"/>
      <c r="C470" s="24"/>
      <c r="D470" s="24"/>
      <c r="E470" s="24"/>
      <c r="F470" s="24"/>
      <c r="G470" s="117"/>
      <c r="H470" s="117"/>
      <c r="I470" s="118"/>
      <c r="J470" s="119"/>
      <c r="K470" s="119"/>
      <c r="L470" s="24"/>
      <c r="M470" s="24"/>
      <c r="N470" s="24"/>
      <c r="O470" s="24"/>
      <c r="P470" s="114"/>
      <c r="Q470" s="24"/>
      <c r="R470" s="24"/>
      <c r="S470" s="24"/>
      <c r="T470" s="24"/>
      <c r="U470" s="24"/>
      <c r="V470" s="24"/>
      <c r="W470" s="24"/>
      <c r="X470" s="24"/>
      <c r="Y470" s="24"/>
      <c r="Z470" s="24"/>
      <c r="AA470" s="24"/>
      <c r="AB470" s="24"/>
      <c r="AC470" s="24"/>
    </row>
    <row r="471" spans="1:29" ht="16.3">
      <c r="A471" s="24"/>
      <c r="B471" s="24"/>
      <c r="C471" s="24"/>
      <c r="D471" s="24"/>
      <c r="E471" s="24"/>
      <c r="F471" s="24"/>
      <c r="G471" s="117"/>
      <c r="H471" s="117"/>
      <c r="I471" s="118"/>
      <c r="J471" s="119"/>
      <c r="K471" s="119"/>
      <c r="L471" s="24"/>
      <c r="M471" s="24"/>
      <c r="N471" s="24"/>
      <c r="O471" s="24"/>
      <c r="P471" s="114"/>
      <c r="Q471" s="24"/>
      <c r="R471" s="24"/>
      <c r="S471" s="24"/>
      <c r="T471" s="24"/>
      <c r="U471" s="24"/>
      <c r="V471" s="24"/>
      <c r="W471" s="24"/>
      <c r="X471" s="24"/>
      <c r="Y471" s="24"/>
      <c r="Z471" s="24"/>
      <c r="AA471" s="24"/>
      <c r="AB471" s="24"/>
      <c r="AC471" s="24"/>
    </row>
    <row r="472" spans="1:29" ht="16.3">
      <c r="A472" s="24"/>
      <c r="B472" s="24"/>
      <c r="C472" s="24"/>
      <c r="D472" s="24"/>
      <c r="E472" s="24"/>
      <c r="F472" s="24"/>
      <c r="G472" s="117"/>
      <c r="H472" s="117"/>
      <c r="I472" s="118"/>
      <c r="J472" s="119"/>
      <c r="K472" s="119"/>
      <c r="L472" s="24"/>
      <c r="M472" s="24"/>
      <c r="N472" s="24"/>
      <c r="O472" s="24"/>
      <c r="P472" s="114"/>
      <c r="Q472" s="24"/>
      <c r="R472" s="24"/>
      <c r="S472" s="24"/>
      <c r="T472" s="24"/>
      <c r="U472" s="24"/>
      <c r="V472" s="24"/>
      <c r="W472" s="24"/>
      <c r="X472" s="24"/>
      <c r="Y472" s="24"/>
      <c r="Z472" s="24"/>
      <c r="AA472" s="24"/>
      <c r="AB472" s="24"/>
      <c r="AC472" s="24"/>
    </row>
    <row r="473" spans="1:29" ht="16.3">
      <c r="A473" s="24"/>
      <c r="B473" s="24"/>
      <c r="C473" s="24"/>
      <c r="D473" s="24"/>
      <c r="E473" s="24"/>
      <c r="F473" s="24"/>
      <c r="G473" s="117"/>
      <c r="H473" s="117"/>
      <c r="I473" s="118"/>
      <c r="J473" s="119"/>
      <c r="K473" s="119"/>
      <c r="L473" s="24"/>
      <c r="M473" s="24"/>
      <c r="N473" s="24"/>
      <c r="O473" s="24"/>
      <c r="P473" s="114"/>
      <c r="Q473" s="24"/>
      <c r="R473" s="24"/>
      <c r="S473" s="24"/>
      <c r="T473" s="24"/>
      <c r="U473" s="24"/>
      <c r="V473" s="24"/>
      <c r="W473" s="24"/>
      <c r="X473" s="24"/>
      <c r="Y473" s="24"/>
      <c r="Z473" s="24"/>
      <c r="AA473" s="24"/>
      <c r="AB473" s="24"/>
      <c r="AC473" s="24"/>
    </row>
    <row r="474" spans="1:29" ht="16.3">
      <c r="A474" s="24"/>
      <c r="B474" s="24"/>
      <c r="C474" s="24"/>
      <c r="D474" s="24"/>
      <c r="E474" s="24"/>
      <c r="F474" s="24"/>
      <c r="G474" s="117"/>
      <c r="H474" s="117"/>
      <c r="I474" s="118"/>
      <c r="J474" s="119"/>
      <c r="K474" s="119"/>
      <c r="L474" s="24"/>
      <c r="M474" s="24"/>
      <c r="N474" s="24"/>
      <c r="O474" s="24"/>
      <c r="P474" s="114"/>
      <c r="Q474" s="24"/>
      <c r="R474" s="24"/>
      <c r="S474" s="24"/>
      <c r="T474" s="24"/>
      <c r="U474" s="24"/>
      <c r="V474" s="24"/>
      <c r="W474" s="24"/>
      <c r="X474" s="24"/>
      <c r="Y474" s="24"/>
      <c r="Z474" s="24"/>
      <c r="AA474" s="24"/>
      <c r="AB474" s="24"/>
      <c r="AC474" s="24"/>
    </row>
    <row r="475" spans="1:29" ht="16.3">
      <c r="A475" s="24"/>
      <c r="B475" s="24"/>
      <c r="C475" s="24"/>
      <c r="D475" s="24"/>
      <c r="E475" s="24"/>
      <c r="F475" s="24"/>
      <c r="G475" s="117"/>
      <c r="H475" s="117"/>
      <c r="I475" s="118"/>
      <c r="J475" s="119"/>
      <c r="K475" s="119"/>
      <c r="L475" s="24"/>
      <c r="M475" s="24"/>
      <c r="N475" s="24"/>
      <c r="O475" s="24"/>
      <c r="P475" s="114"/>
      <c r="Q475" s="24"/>
      <c r="R475" s="24"/>
      <c r="S475" s="24"/>
      <c r="T475" s="24"/>
      <c r="U475" s="24"/>
      <c r="V475" s="24"/>
      <c r="W475" s="24"/>
      <c r="X475" s="24"/>
      <c r="Y475" s="24"/>
      <c r="Z475" s="24"/>
      <c r="AA475" s="24"/>
      <c r="AB475" s="24"/>
      <c r="AC475" s="24"/>
    </row>
    <row r="476" spans="1:29" ht="16.3">
      <c r="A476" s="24"/>
      <c r="B476" s="24"/>
      <c r="C476" s="24"/>
      <c r="D476" s="24"/>
      <c r="E476" s="24"/>
      <c r="F476" s="24"/>
      <c r="G476" s="117"/>
      <c r="H476" s="117"/>
      <c r="I476" s="118"/>
      <c r="J476" s="119"/>
      <c r="K476" s="119"/>
      <c r="L476" s="24"/>
      <c r="M476" s="24"/>
      <c r="N476" s="24"/>
      <c r="O476" s="24"/>
      <c r="P476" s="114"/>
      <c r="Q476" s="24"/>
      <c r="R476" s="24"/>
      <c r="S476" s="24"/>
      <c r="T476" s="24"/>
      <c r="U476" s="24"/>
      <c r="V476" s="24"/>
      <c r="W476" s="24"/>
      <c r="X476" s="24"/>
      <c r="Y476" s="24"/>
      <c r="Z476" s="24"/>
      <c r="AA476" s="24"/>
      <c r="AB476" s="24"/>
      <c r="AC476" s="24"/>
    </row>
    <row r="477" spans="1:29" ht="16.3">
      <c r="A477" s="24"/>
      <c r="B477" s="24"/>
      <c r="C477" s="24"/>
      <c r="D477" s="24"/>
      <c r="E477" s="24"/>
      <c r="F477" s="24"/>
      <c r="G477" s="117"/>
      <c r="H477" s="117"/>
      <c r="I477" s="118"/>
      <c r="J477" s="119"/>
      <c r="K477" s="119"/>
      <c r="L477" s="24"/>
      <c r="M477" s="24"/>
      <c r="N477" s="24"/>
      <c r="O477" s="24"/>
      <c r="P477" s="114"/>
      <c r="Q477" s="24"/>
      <c r="R477" s="24"/>
      <c r="S477" s="24"/>
      <c r="T477" s="24"/>
      <c r="U477" s="24"/>
      <c r="V477" s="24"/>
      <c r="W477" s="24"/>
      <c r="X477" s="24"/>
      <c r="Y477" s="24"/>
      <c r="Z477" s="24"/>
      <c r="AA477" s="24"/>
      <c r="AB477" s="24"/>
      <c r="AC477" s="24"/>
    </row>
    <row r="478" spans="1:29" ht="16.3">
      <c r="A478" s="24"/>
      <c r="B478" s="24"/>
      <c r="C478" s="24"/>
      <c r="D478" s="24"/>
      <c r="E478" s="24"/>
      <c r="F478" s="24"/>
      <c r="G478" s="117"/>
      <c r="H478" s="117"/>
      <c r="I478" s="118"/>
      <c r="J478" s="119"/>
      <c r="K478" s="119"/>
      <c r="L478" s="24"/>
      <c r="M478" s="24"/>
      <c r="N478" s="24"/>
      <c r="O478" s="24"/>
      <c r="P478" s="114"/>
      <c r="Q478" s="24"/>
      <c r="R478" s="24"/>
      <c r="S478" s="24"/>
      <c r="T478" s="24"/>
      <c r="U478" s="24"/>
      <c r="V478" s="24"/>
      <c r="W478" s="24"/>
      <c r="X478" s="24"/>
      <c r="Y478" s="24"/>
      <c r="Z478" s="24"/>
      <c r="AA478" s="24"/>
      <c r="AB478" s="24"/>
      <c r="AC478" s="24"/>
    </row>
    <row r="479" spans="1:29" ht="16.3">
      <c r="A479" s="24"/>
      <c r="B479" s="24"/>
      <c r="C479" s="24"/>
      <c r="D479" s="24"/>
      <c r="E479" s="24"/>
      <c r="F479" s="24"/>
      <c r="G479" s="117"/>
      <c r="H479" s="117"/>
      <c r="I479" s="118"/>
      <c r="J479" s="119"/>
      <c r="K479" s="119"/>
      <c r="L479" s="24"/>
      <c r="M479" s="24"/>
      <c r="N479" s="24"/>
      <c r="O479" s="24"/>
      <c r="P479" s="114"/>
      <c r="Q479" s="24"/>
      <c r="R479" s="24"/>
      <c r="S479" s="24"/>
      <c r="T479" s="24"/>
      <c r="U479" s="24"/>
      <c r="V479" s="24"/>
      <c r="W479" s="24"/>
      <c r="X479" s="24"/>
      <c r="Y479" s="24"/>
      <c r="Z479" s="24"/>
      <c r="AA479" s="24"/>
      <c r="AB479" s="24"/>
      <c r="AC479" s="24"/>
    </row>
    <row r="480" spans="1:29" ht="16.3">
      <c r="A480" s="24"/>
      <c r="B480" s="24"/>
      <c r="C480" s="24"/>
      <c r="D480" s="24"/>
      <c r="E480" s="24"/>
      <c r="F480" s="24"/>
      <c r="G480" s="117"/>
      <c r="H480" s="117"/>
      <c r="I480" s="118"/>
      <c r="J480" s="119"/>
      <c r="K480" s="119"/>
      <c r="L480" s="24"/>
      <c r="M480" s="24"/>
      <c r="N480" s="24"/>
      <c r="O480" s="24"/>
      <c r="P480" s="114"/>
      <c r="Q480" s="24"/>
      <c r="R480" s="24"/>
      <c r="S480" s="24"/>
      <c r="T480" s="24"/>
      <c r="U480" s="24"/>
      <c r="V480" s="24"/>
      <c r="W480" s="24"/>
      <c r="X480" s="24"/>
      <c r="Y480" s="24"/>
      <c r="Z480" s="24"/>
      <c r="AA480" s="24"/>
      <c r="AB480" s="24"/>
      <c r="AC480" s="24"/>
    </row>
    <row r="481" spans="1:29" ht="16.3">
      <c r="A481" s="24"/>
      <c r="B481" s="24"/>
      <c r="C481" s="24"/>
      <c r="D481" s="24"/>
      <c r="E481" s="24"/>
      <c r="F481" s="24"/>
      <c r="G481" s="117"/>
      <c r="H481" s="117"/>
      <c r="I481" s="118"/>
      <c r="J481" s="119"/>
      <c r="K481" s="119"/>
      <c r="L481" s="24"/>
      <c r="M481" s="24"/>
      <c r="N481" s="24"/>
      <c r="O481" s="24"/>
      <c r="P481" s="114"/>
      <c r="Q481" s="24"/>
      <c r="R481" s="24"/>
      <c r="S481" s="24"/>
      <c r="T481" s="24"/>
      <c r="U481" s="24"/>
      <c r="V481" s="24"/>
      <c r="W481" s="24"/>
      <c r="X481" s="24"/>
      <c r="Y481" s="24"/>
      <c r="Z481" s="24"/>
      <c r="AA481" s="24"/>
      <c r="AB481" s="24"/>
      <c r="AC481" s="24"/>
    </row>
    <row r="482" spans="1:29" ht="16.3">
      <c r="A482" s="24"/>
      <c r="B482" s="24"/>
      <c r="C482" s="24"/>
      <c r="D482" s="24"/>
      <c r="E482" s="24"/>
      <c r="F482" s="24"/>
      <c r="G482" s="117"/>
      <c r="H482" s="117"/>
      <c r="I482" s="118"/>
      <c r="J482" s="119"/>
      <c r="K482" s="119"/>
      <c r="L482" s="24"/>
      <c r="M482" s="24"/>
      <c r="N482" s="24"/>
      <c r="O482" s="24"/>
      <c r="P482" s="114"/>
      <c r="Q482" s="24"/>
      <c r="R482" s="24"/>
      <c r="S482" s="24"/>
      <c r="T482" s="24"/>
      <c r="U482" s="24"/>
      <c r="V482" s="24"/>
      <c r="W482" s="24"/>
      <c r="X482" s="24"/>
      <c r="Y482" s="24"/>
      <c r="Z482" s="24"/>
      <c r="AA482" s="24"/>
      <c r="AB482" s="24"/>
      <c r="AC482" s="24"/>
    </row>
    <row r="483" spans="1:29" ht="16.3">
      <c r="A483" s="24"/>
      <c r="B483" s="24"/>
      <c r="C483" s="24"/>
      <c r="D483" s="24"/>
      <c r="E483" s="24"/>
      <c r="F483" s="24"/>
      <c r="G483" s="117"/>
      <c r="H483" s="117"/>
      <c r="I483" s="118"/>
      <c r="J483" s="119"/>
      <c r="K483" s="119"/>
      <c r="L483" s="24"/>
      <c r="M483" s="24"/>
      <c r="N483" s="24"/>
      <c r="O483" s="24"/>
      <c r="P483" s="114"/>
      <c r="Q483" s="24"/>
      <c r="R483" s="24"/>
      <c r="S483" s="24"/>
      <c r="T483" s="24"/>
      <c r="U483" s="24"/>
      <c r="V483" s="24"/>
      <c r="W483" s="24"/>
      <c r="X483" s="24"/>
      <c r="Y483" s="24"/>
      <c r="Z483" s="24"/>
      <c r="AA483" s="24"/>
      <c r="AB483" s="24"/>
      <c r="AC483" s="24"/>
    </row>
    <row r="484" spans="1:29" ht="16.3">
      <c r="A484" s="24"/>
      <c r="B484" s="24"/>
      <c r="C484" s="24"/>
      <c r="D484" s="24"/>
      <c r="E484" s="24"/>
      <c r="F484" s="24"/>
      <c r="G484" s="117"/>
      <c r="H484" s="117"/>
      <c r="I484" s="118"/>
      <c r="J484" s="119"/>
      <c r="K484" s="119"/>
      <c r="L484" s="24"/>
      <c r="M484" s="24"/>
      <c r="N484" s="24"/>
      <c r="O484" s="24"/>
      <c r="P484" s="114"/>
      <c r="Q484" s="24"/>
      <c r="R484" s="24"/>
      <c r="S484" s="24"/>
      <c r="T484" s="24"/>
      <c r="U484" s="24"/>
      <c r="V484" s="24"/>
      <c r="W484" s="24"/>
      <c r="X484" s="24"/>
      <c r="Y484" s="24"/>
      <c r="Z484" s="24"/>
      <c r="AA484" s="24"/>
      <c r="AB484" s="24"/>
      <c r="AC484" s="24"/>
    </row>
    <row r="485" spans="1:29" ht="16.3">
      <c r="A485" s="24"/>
      <c r="B485" s="24"/>
      <c r="C485" s="24"/>
      <c r="D485" s="24"/>
      <c r="E485" s="24"/>
      <c r="F485" s="24"/>
      <c r="G485" s="117"/>
      <c r="H485" s="117"/>
      <c r="I485" s="118"/>
      <c r="J485" s="119"/>
      <c r="K485" s="119"/>
      <c r="L485" s="24"/>
      <c r="M485" s="24"/>
      <c r="N485" s="24"/>
      <c r="O485" s="24"/>
      <c r="P485" s="114"/>
      <c r="Q485" s="24"/>
      <c r="R485" s="24"/>
      <c r="S485" s="24"/>
      <c r="T485" s="24"/>
      <c r="U485" s="24"/>
      <c r="V485" s="24"/>
      <c r="W485" s="24"/>
      <c r="X485" s="24"/>
      <c r="Y485" s="24"/>
      <c r="Z485" s="24"/>
      <c r="AA485" s="24"/>
      <c r="AB485" s="24"/>
      <c r="AC485" s="24"/>
    </row>
    <row r="486" spans="1:29" ht="16.3">
      <c r="A486" s="24"/>
      <c r="B486" s="24"/>
      <c r="C486" s="24"/>
      <c r="D486" s="24"/>
      <c r="E486" s="24"/>
      <c r="F486" s="24"/>
      <c r="G486" s="117"/>
      <c r="H486" s="117"/>
      <c r="I486" s="118"/>
      <c r="J486" s="119"/>
      <c r="K486" s="119"/>
      <c r="L486" s="24"/>
      <c r="M486" s="24"/>
      <c r="N486" s="24"/>
      <c r="O486" s="24"/>
      <c r="P486" s="114"/>
      <c r="Q486" s="24"/>
      <c r="R486" s="24"/>
      <c r="S486" s="24"/>
      <c r="T486" s="24"/>
      <c r="U486" s="24"/>
      <c r="V486" s="24"/>
      <c r="W486" s="24"/>
      <c r="X486" s="24"/>
      <c r="Y486" s="24"/>
      <c r="Z486" s="24"/>
      <c r="AA486" s="24"/>
      <c r="AB486" s="24"/>
      <c r="AC486" s="24"/>
    </row>
    <row r="487" spans="1:29" ht="16.3">
      <c r="A487" s="24"/>
      <c r="B487" s="24"/>
      <c r="C487" s="24"/>
      <c r="D487" s="24"/>
      <c r="E487" s="24"/>
      <c r="F487" s="24"/>
      <c r="G487" s="117"/>
      <c r="H487" s="117"/>
      <c r="I487" s="118"/>
      <c r="J487" s="119"/>
      <c r="K487" s="119"/>
      <c r="L487" s="24"/>
      <c r="M487" s="24"/>
      <c r="N487" s="24"/>
      <c r="O487" s="24"/>
      <c r="P487" s="114"/>
      <c r="Q487" s="24"/>
      <c r="R487" s="24"/>
      <c r="S487" s="24"/>
      <c r="T487" s="24"/>
      <c r="U487" s="24"/>
      <c r="V487" s="24"/>
      <c r="W487" s="24"/>
      <c r="X487" s="24"/>
      <c r="Y487" s="24"/>
      <c r="Z487" s="24"/>
      <c r="AA487" s="24"/>
      <c r="AB487" s="24"/>
      <c r="AC487" s="24"/>
    </row>
    <row r="488" spans="1:29" ht="16.3">
      <c r="A488" s="24"/>
      <c r="B488" s="24"/>
      <c r="C488" s="24"/>
      <c r="D488" s="24"/>
      <c r="E488" s="24"/>
      <c r="F488" s="24"/>
      <c r="G488" s="117"/>
      <c r="H488" s="117"/>
      <c r="I488" s="118"/>
      <c r="J488" s="119"/>
      <c r="K488" s="119"/>
      <c r="L488" s="24"/>
      <c r="M488" s="24"/>
      <c r="N488" s="24"/>
      <c r="O488" s="24"/>
      <c r="P488" s="114"/>
      <c r="Q488" s="24"/>
      <c r="R488" s="24"/>
      <c r="S488" s="24"/>
      <c r="T488" s="24"/>
      <c r="U488" s="24"/>
      <c r="V488" s="24"/>
      <c r="W488" s="24"/>
      <c r="X488" s="24"/>
      <c r="Y488" s="24"/>
      <c r="Z488" s="24"/>
      <c r="AA488" s="24"/>
      <c r="AB488" s="24"/>
      <c r="AC488" s="24"/>
    </row>
    <row r="489" spans="1:29" ht="16.3">
      <c r="A489" s="24"/>
      <c r="B489" s="24"/>
      <c r="C489" s="24"/>
      <c r="D489" s="24"/>
      <c r="E489" s="24"/>
      <c r="F489" s="24"/>
      <c r="G489" s="117"/>
      <c r="H489" s="117"/>
      <c r="I489" s="118"/>
      <c r="J489" s="119"/>
      <c r="K489" s="119"/>
      <c r="L489" s="24"/>
      <c r="M489" s="24"/>
      <c r="N489" s="24"/>
      <c r="O489" s="24"/>
      <c r="P489" s="114"/>
      <c r="Q489" s="24"/>
      <c r="R489" s="24"/>
      <c r="S489" s="24"/>
      <c r="T489" s="24"/>
      <c r="U489" s="24"/>
      <c r="V489" s="24"/>
      <c r="W489" s="24"/>
      <c r="X489" s="24"/>
      <c r="Y489" s="24"/>
      <c r="Z489" s="24"/>
      <c r="AA489" s="24"/>
      <c r="AB489" s="24"/>
      <c r="AC489" s="24"/>
    </row>
    <row r="490" spans="1:29" ht="16.3">
      <c r="A490" s="24"/>
      <c r="B490" s="24"/>
      <c r="C490" s="24"/>
      <c r="D490" s="24"/>
      <c r="E490" s="24"/>
      <c r="F490" s="24"/>
      <c r="G490" s="117"/>
      <c r="H490" s="117"/>
      <c r="I490" s="118"/>
      <c r="J490" s="119"/>
      <c r="K490" s="119"/>
      <c r="L490" s="24"/>
      <c r="M490" s="24"/>
      <c r="N490" s="24"/>
      <c r="O490" s="24"/>
      <c r="P490" s="114"/>
      <c r="Q490" s="24"/>
      <c r="R490" s="24"/>
      <c r="S490" s="24"/>
      <c r="T490" s="24"/>
      <c r="U490" s="24"/>
      <c r="V490" s="24"/>
      <c r="W490" s="24"/>
      <c r="X490" s="24"/>
      <c r="Y490" s="24"/>
      <c r="Z490" s="24"/>
      <c r="AA490" s="24"/>
      <c r="AB490" s="24"/>
      <c r="AC490" s="24"/>
    </row>
    <row r="491" spans="1:29" ht="16.3">
      <c r="A491" s="24"/>
      <c r="B491" s="24"/>
      <c r="C491" s="24"/>
      <c r="D491" s="24"/>
      <c r="E491" s="24"/>
      <c r="F491" s="24"/>
      <c r="G491" s="117"/>
      <c r="H491" s="117"/>
      <c r="I491" s="118"/>
      <c r="J491" s="119"/>
      <c r="K491" s="119"/>
      <c r="L491" s="24"/>
      <c r="M491" s="24"/>
      <c r="N491" s="24"/>
      <c r="O491" s="24"/>
      <c r="P491" s="114"/>
      <c r="Q491" s="24"/>
      <c r="R491" s="24"/>
      <c r="S491" s="24"/>
      <c r="T491" s="24"/>
      <c r="U491" s="24"/>
      <c r="V491" s="24"/>
      <c r="W491" s="24"/>
      <c r="X491" s="24"/>
      <c r="Y491" s="24"/>
      <c r="Z491" s="24"/>
      <c r="AA491" s="24"/>
      <c r="AB491" s="24"/>
      <c r="AC491" s="24"/>
    </row>
    <row r="492" spans="1:29" ht="16.3">
      <c r="A492" s="24"/>
      <c r="B492" s="24"/>
      <c r="C492" s="24"/>
      <c r="D492" s="24"/>
      <c r="E492" s="24"/>
      <c r="F492" s="24"/>
      <c r="G492" s="117"/>
      <c r="H492" s="117"/>
      <c r="I492" s="118"/>
      <c r="J492" s="119"/>
      <c r="K492" s="119"/>
      <c r="L492" s="24"/>
      <c r="M492" s="24"/>
      <c r="N492" s="24"/>
      <c r="O492" s="24"/>
      <c r="P492" s="114"/>
      <c r="Q492" s="24"/>
      <c r="R492" s="24"/>
      <c r="S492" s="24"/>
      <c r="T492" s="24"/>
      <c r="U492" s="24"/>
      <c r="V492" s="24"/>
      <c r="W492" s="24"/>
      <c r="X492" s="24"/>
      <c r="Y492" s="24"/>
      <c r="Z492" s="24"/>
      <c r="AA492" s="24"/>
      <c r="AB492" s="24"/>
      <c r="AC492" s="24"/>
    </row>
    <row r="493" spans="1:29" ht="16.3">
      <c r="A493" s="24"/>
      <c r="B493" s="24"/>
      <c r="C493" s="24"/>
      <c r="D493" s="24"/>
      <c r="E493" s="24"/>
      <c r="F493" s="24"/>
      <c r="G493" s="117"/>
      <c r="H493" s="117"/>
      <c r="I493" s="118"/>
      <c r="J493" s="119"/>
      <c r="K493" s="119"/>
      <c r="L493" s="24"/>
      <c r="M493" s="24"/>
      <c r="N493" s="24"/>
      <c r="O493" s="24"/>
      <c r="P493" s="114"/>
      <c r="Q493" s="24"/>
      <c r="R493" s="24"/>
      <c r="S493" s="24"/>
      <c r="T493" s="24"/>
      <c r="U493" s="24"/>
      <c r="V493" s="24"/>
      <c r="W493" s="24"/>
      <c r="X493" s="24"/>
      <c r="Y493" s="24"/>
      <c r="Z493" s="24"/>
      <c r="AA493" s="24"/>
      <c r="AB493" s="24"/>
      <c r="AC493" s="24"/>
    </row>
    <row r="494" spans="1:29" ht="16.3">
      <c r="A494" s="24"/>
      <c r="B494" s="24"/>
      <c r="C494" s="24"/>
      <c r="D494" s="24"/>
      <c r="E494" s="24"/>
      <c r="F494" s="24"/>
      <c r="G494" s="117"/>
      <c r="H494" s="117"/>
      <c r="I494" s="118"/>
      <c r="J494" s="119"/>
      <c r="K494" s="119"/>
      <c r="L494" s="24"/>
      <c r="M494" s="24"/>
      <c r="N494" s="24"/>
      <c r="O494" s="24"/>
      <c r="P494" s="114"/>
      <c r="Q494" s="24"/>
      <c r="R494" s="24"/>
      <c r="S494" s="24"/>
      <c r="T494" s="24"/>
      <c r="U494" s="24"/>
      <c r="V494" s="24"/>
      <c r="W494" s="24"/>
      <c r="X494" s="24"/>
      <c r="Y494" s="24"/>
      <c r="Z494" s="24"/>
      <c r="AA494" s="24"/>
      <c r="AB494" s="24"/>
      <c r="AC494" s="24"/>
    </row>
    <row r="495" spans="1:29" ht="16.3">
      <c r="A495" s="24"/>
      <c r="B495" s="24"/>
      <c r="C495" s="24"/>
      <c r="D495" s="24"/>
      <c r="E495" s="24"/>
      <c r="F495" s="24"/>
      <c r="G495" s="117"/>
      <c r="H495" s="117"/>
      <c r="I495" s="118"/>
      <c r="J495" s="119"/>
      <c r="K495" s="119"/>
      <c r="L495" s="24"/>
      <c r="M495" s="24"/>
      <c r="N495" s="24"/>
      <c r="O495" s="24"/>
      <c r="P495" s="114"/>
      <c r="Q495" s="24"/>
      <c r="R495" s="24"/>
      <c r="S495" s="24"/>
      <c r="T495" s="24"/>
      <c r="U495" s="24"/>
      <c r="V495" s="24"/>
      <c r="W495" s="24"/>
      <c r="X495" s="24"/>
      <c r="Y495" s="24"/>
      <c r="Z495" s="24"/>
      <c r="AA495" s="24"/>
      <c r="AB495" s="24"/>
      <c r="AC495" s="24"/>
    </row>
    <row r="496" spans="1:29" ht="16.3">
      <c r="A496" s="24"/>
      <c r="B496" s="24"/>
      <c r="C496" s="24"/>
      <c r="D496" s="24"/>
      <c r="E496" s="24"/>
      <c r="F496" s="24"/>
      <c r="G496" s="117"/>
      <c r="H496" s="117"/>
      <c r="I496" s="118"/>
      <c r="J496" s="119"/>
      <c r="K496" s="119"/>
      <c r="L496" s="24"/>
      <c r="M496" s="24"/>
      <c r="N496" s="24"/>
      <c r="O496" s="24"/>
      <c r="P496" s="114"/>
      <c r="Q496" s="24"/>
      <c r="R496" s="24"/>
      <c r="S496" s="24"/>
      <c r="T496" s="24"/>
      <c r="U496" s="24"/>
      <c r="V496" s="24"/>
      <c r="W496" s="24"/>
      <c r="X496" s="24"/>
      <c r="Y496" s="24"/>
      <c r="Z496" s="24"/>
      <c r="AA496" s="24"/>
      <c r="AB496" s="24"/>
      <c r="AC496" s="24"/>
    </row>
    <row r="497" spans="1:29" ht="16.3">
      <c r="A497" s="24"/>
      <c r="B497" s="24"/>
      <c r="C497" s="24"/>
      <c r="D497" s="24"/>
      <c r="E497" s="24"/>
      <c r="F497" s="24"/>
      <c r="G497" s="117"/>
      <c r="H497" s="117"/>
      <c r="I497" s="118"/>
      <c r="J497" s="119"/>
      <c r="K497" s="119"/>
      <c r="L497" s="24"/>
      <c r="M497" s="24"/>
      <c r="N497" s="24"/>
      <c r="O497" s="24"/>
      <c r="P497" s="114"/>
      <c r="Q497" s="24"/>
      <c r="R497" s="24"/>
      <c r="S497" s="24"/>
      <c r="T497" s="24"/>
      <c r="U497" s="24"/>
      <c r="V497" s="24"/>
      <c r="W497" s="24"/>
      <c r="X497" s="24"/>
      <c r="Y497" s="24"/>
      <c r="Z497" s="24"/>
      <c r="AA497" s="24"/>
      <c r="AB497" s="24"/>
      <c r="AC497" s="24"/>
    </row>
    <row r="498" spans="1:29" ht="16.3">
      <c r="A498" s="24"/>
      <c r="B498" s="24"/>
      <c r="C498" s="24"/>
      <c r="D498" s="24"/>
      <c r="E498" s="24"/>
      <c r="F498" s="24"/>
      <c r="G498" s="117"/>
      <c r="H498" s="117"/>
      <c r="I498" s="118"/>
      <c r="J498" s="119"/>
      <c r="K498" s="119"/>
      <c r="L498" s="24"/>
      <c r="M498" s="24"/>
      <c r="N498" s="24"/>
      <c r="O498" s="24"/>
      <c r="P498" s="114"/>
      <c r="Q498" s="24"/>
      <c r="R498" s="24"/>
      <c r="S498" s="24"/>
      <c r="T498" s="24"/>
      <c r="U498" s="24"/>
      <c r="V498" s="24"/>
      <c r="W498" s="24"/>
      <c r="X498" s="24"/>
      <c r="Y498" s="24"/>
      <c r="Z498" s="24"/>
      <c r="AA498" s="24"/>
      <c r="AB498" s="24"/>
      <c r="AC498" s="24"/>
    </row>
    <row r="499" spans="1:29" ht="16.3">
      <c r="A499" s="24"/>
      <c r="B499" s="24"/>
      <c r="C499" s="24"/>
      <c r="D499" s="24"/>
      <c r="E499" s="24"/>
      <c r="F499" s="24"/>
      <c r="G499" s="117"/>
      <c r="H499" s="117"/>
      <c r="I499" s="118"/>
      <c r="J499" s="119"/>
      <c r="K499" s="119"/>
      <c r="L499" s="24"/>
      <c r="M499" s="24"/>
      <c r="N499" s="24"/>
      <c r="O499" s="24"/>
      <c r="P499" s="114"/>
      <c r="Q499" s="24"/>
      <c r="R499" s="24"/>
      <c r="S499" s="24"/>
      <c r="T499" s="24"/>
      <c r="U499" s="24"/>
      <c r="V499" s="24"/>
      <c r="W499" s="24"/>
      <c r="X499" s="24"/>
      <c r="Y499" s="24"/>
      <c r="Z499" s="24"/>
      <c r="AA499" s="24"/>
      <c r="AB499" s="24"/>
      <c r="AC499" s="24"/>
    </row>
    <row r="500" spans="1:29" ht="16.3">
      <c r="A500" s="24"/>
      <c r="B500" s="24"/>
      <c r="C500" s="24"/>
      <c r="D500" s="24"/>
      <c r="E500" s="24"/>
      <c r="F500" s="24"/>
      <c r="G500" s="117"/>
      <c r="H500" s="117"/>
      <c r="I500" s="118"/>
      <c r="J500" s="119"/>
      <c r="K500" s="119"/>
      <c r="L500" s="24"/>
      <c r="M500" s="24"/>
      <c r="N500" s="24"/>
      <c r="O500" s="24"/>
      <c r="P500" s="114"/>
      <c r="Q500" s="24"/>
      <c r="R500" s="24"/>
      <c r="S500" s="24"/>
      <c r="T500" s="24"/>
      <c r="U500" s="24"/>
      <c r="V500" s="24"/>
      <c r="W500" s="24"/>
      <c r="X500" s="24"/>
      <c r="Y500" s="24"/>
      <c r="Z500" s="24"/>
      <c r="AA500" s="24"/>
      <c r="AB500" s="24"/>
      <c r="AC500" s="24"/>
    </row>
    <row r="501" spans="1:29" ht="16.3">
      <c r="A501" s="24"/>
      <c r="B501" s="24"/>
      <c r="C501" s="24"/>
      <c r="D501" s="24"/>
      <c r="E501" s="24"/>
      <c r="F501" s="24"/>
      <c r="G501" s="117"/>
      <c r="H501" s="117"/>
      <c r="I501" s="118"/>
      <c r="J501" s="119"/>
      <c r="K501" s="119"/>
      <c r="L501" s="24"/>
      <c r="M501" s="24"/>
      <c r="N501" s="24"/>
      <c r="O501" s="24"/>
      <c r="P501" s="114"/>
      <c r="Q501" s="24"/>
      <c r="R501" s="24"/>
      <c r="S501" s="24"/>
      <c r="T501" s="24"/>
      <c r="U501" s="24"/>
      <c r="V501" s="24"/>
      <c r="W501" s="24"/>
      <c r="X501" s="24"/>
      <c r="Y501" s="24"/>
      <c r="Z501" s="24"/>
      <c r="AA501" s="24"/>
      <c r="AB501" s="24"/>
      <c r="AC501" s="24"/>
    </row>
    <row r="502" spans="1:29" ht="16.3">
      <c r="A502" s="24"/>
      <c r="B502" s="24"/>
      <c r="C502" s="24"/>
      <c r="D502" s="24"/>
      <c r="E502" s="24"/>
      <c r="F502" s="24"/>
      <c r="G502" s="117"/>
      <c r="H502" s="117"/>
      <c r="I502" s="118"/>
      <c r="J502" s="119"/>
      <c r="K502" s="119"/>
      <c r="L502" s="24"/>
      <c r="M502" s="24"/>
      <c r="N502" s="24"/>
      <c r="O502" s="24"/>
      <c r="P502" s="114"/>
      <c r="Q502" s="24"/>
      <c r="R502" s="24"/>
      <c r="S502" s="24"/>
      <c r="T502" s="24"/>
      <c r="U502" s="24"/>
      <c r="V502" s="24"/>
      <c r="W502" s="24"/>
      <c r="X502" s="24"/>
      <c r="Y502" s="24"/>
      <c r="Z502" s="24"/>
      <c r="AA502" s="24"/>
      <c r="AB502" s="24"/>
      <c r="AC502" s="24"/>
    </row>
    <row r="503" spans="1:29" ht="16.3">
      <c r="A503" s="24"/>
      <c r="B503" s="24"/>
      <c r="C503" s="24"/>
      <c r="D503" s="24"/>
      <c r="E503" s="24"/>
      <c r="F503" s="24"/>
      <c r="G503" s="117"/>
      <c r="H503" s="117"/>
      <c r="I503" s="118"/>
      <c r="J503" s="119"/>
      <c r="K503" s="119"/>
      <c r="L503" s="24"/>
      <c r="M503" s="24"/>
      <c r="N503" s="24"/>
      <c r="O503" s="24"/>
      <c r="P503" s="114"/>
      <c r="Q503" s="24"/>
      <c r="R503" s="24"/>
      <c r="S503" s="24"/>
      <c r="T503" s="24"/>
      <c r="U503" s="24"/>
      <c r="V503" s="24"/>
      <c r="W503" s="24"/>
      <c r="X503" s="24"/>
      <c r="Y503" s="24"/>
      <c r="Z503" s="24"/>
      <c r="AA503" s="24"/>
      <c r="AB503" s="24"/>
      <c r="AC503" s="24"/>
    </row>
    <row r="504" spans="1:29" ht="16.3">
      <c r="A504" s="24"/>
      <c r="B504" s="24"/>
      <c r="C504" s="24"/>
      <c r="D504" s="24"/>
      <c r="E504" s="24"/>
      <c r="F504" s="24"/>
      <c r="G504" s="117"/>
      <c r="H504" s="117"/>
      <c r="I504" s="118"/>
      <c r="J504" s="119"/>
      <c r="K504" s="119"/>
      <c r="L504" s="24"/>
      <c r="M504" s="24"/>
      <c r="N504" s="24"/>
      <c r="O504" s="24"/>
      <c r="P504" s="114"/>
      <c r="Q504" s="24"/>
      <c r="R504" s="24"/>
      <c r="S504" s="24"/>
      <c r="T504" s="24"/>
      <c r="U504" s="24"/>
      <c r="V504" s="24"/>
      <c r="W504" s="24"/>
      <c r="X504" s="24"/>
      <c r="Y504" s="24"/>
      <c r="Z504" s="24"/>
      <c r="AA504" s="24"/>
      <c r="AB504" s="24"/>
      <c r="AC504" s="24"/>
    </row>
    <row r="505" spans="1:29" ht="16.3">
      <c r="A505" s="24"/>
      <c r="B505" s="24"/>
      <c r="C505" s="24"/>
      <c r="D505" s="24"/>
      <c r="E505" s="24"/>
      <c r="F505" s="24"/>
      <c r="G505" s="117"/>
      <c r="H505" s="117"/>
      <c r="I505" s="118"/>
      <c r="J505" s="119"/>
      <c r="K505" s="119"/>
      <c r="L505" s="24"/>
      <c r="M505" s="24"/>
      <c r="N505" s="24"/>
      <c r="O505" s="24"/>
      <c r="P505" s="114"/>
      <c r="Q505" s="24"/>
      <c r="R505" s="24"/>
      <c r="S505" s="24"/>
      <c r="T505" s="24"/>
      <c r="U505" s="24"/>
      <c r="V505" s="24"/>
      <c r="W505" s="24"/>
      <c r="X505" s="24"/>
      <c r="Y505" s="24"/>
      <c r="Z505" s="24"/>
      <c r="AA505" s="24"/>
      <c r="AB505" s="24"/>
      <c r="AC505" s="24"/>
    </row>
    <row r="506" spans="1:29" ht="16.3">
      <c r="A506" s="24"/>
      <c r="B506" s="24"/>
      <c r="C506" s="24"/>
      <c r="D506" s="24"/>
      <c r="E506" s="24"/>
      <c r="F506" s="24"/>
      <c r="G506" s="117"/>
      <c r="H506" s="117"/>
      <c r="I506" s="118"/>
      <c r="J506" s="119"/>
      <c r="K506" s="119"/>
      <c r="L506" s="24"/>
      <c r="M506" s="24"/>
      <c r="N506" s="24"/>
      <c r="O506" s="24"/>
      <c r="P506" s="114"/>
      <c r="Q506" s="24"/>
      <c r="R506" s="24"/>
      <c r="S506" s="24"/>
      <c r="T506" s="24"/>
      <c r="U506" s="24"/>
      <c r="V506" s="24"/>
      <c r="W506" s="24"/>
      <c r="X506" s="24"/>
      <c r="Y506" s="24"/>
      <c r="Z506" s="24"/>
      <c r="AA506" s="24"/>
      <c r="AB506" s="24"/>
      <c r="AC506" s="24"/>
    </row>
    <row r="507" spans="1:29" ht="16.3">
      <c r="A507" s="24"/>
      <c r="B507" s="24"/>
      <c r="C507" s="24"/>
      <c r="D507" s="24"/>
      <c r="E507" s="24"/>
      <c r="F507" s="24"/>
      <c r="G507" s="117"/>
      <c r="H507" s="117"/>
      <c r="I507" s="118"/>
      <c r="J507" s="119"/>
      <c r="K507" s="119"/>
      <c r="L507" s="24"/>
      <c r="M507" s="24"/>
      <c r="N507" s="24"/>
      <c r="O507" s="24"/>
      <c r="P507" s="114"/>
      <c r="Q507" s="24"/>
      <c r="R507" s="24"/>
      <c r="S507" s="24"/>
      <c r="T507" s="24"/>
      <c r="U507" s="24"/>
      <c r="V507" s="24"/>
      <c r="W507" s="24"/>
      <c r="X507" s="24"/>
      <c r="Y507" s="24"/>
      <c r="Z507" s="24"/>
      <c r="AA507" s="24"/>
      <c r="AB507" s="24"/>
      <c r="AC507" s="24"/>
    </row>
    <row r="508" spans="1:29" ht="16.3">
      <c r="A508" s="24"/>
      <c r="B508" s="24"/>
      <c r="C508" s="24"/>
      <c r="D508" s="24"/>
      <c r="E508" s="24"/>
      <c r="F508" s="24"/>
      <c r="G508" s="117"/>
      <c r="H508" s="117"/>
      <c r="I508" s="118"/>
      <c r="J508" s="119"/>
      <c r="K508" s="119"/>
      <c r="L508" s="24"/>
      <c r="M508" s="24"/>
      <c r="N508" s="24"/>
      <c r="O508" s="24"/>
      <c r="P508" s="114"/>
      <c r="Q508" s="24"/>
      <c r="R508" s="24"/>
      <c r="S508" s="24"/>
      <c r="T508" s="24"/>
      <c r="U508" s="24"/>
      <c r="V508" s="24"/>
      <c r="W508" s="24"/>
      <c r="X508" s="24"/>
      <c r="Y508" s="24"/>
      <c r="Z508" s="24"/>
      <c r="AA508" s="24"/>
      <c r="AB508" s="24"/>
      <c r="AC508" s="24"/>
    </row>
    <row r="509" spans="1:29" ht="16.3">
      <c r="A509" s="24"/>
      <c r="B509" s="24"/>
      <c r="C509" s="24"/>
      <c r="D509" s="24"/>
      <c r="E509" s="24"/>
      <c r="F509" s="24"/>
      <c r="G509" s="117"/>
      <c r="H509" s="117"/>
      <c r="I509" s="118"/>
      <c r="J509" s="119"/>
      <c r="K509" s="119"/>
      <c r="L509" s="24"/>
      <c r="M509" s="24"/>
      <c r="N509" s="24"/>
      <c r="O509" s="24"/>
      <c r="P509" s="114"/>
      <c r="Q509" s="24"/>
      <c r="R509" s="24"/>
      <c r="S509" s="24"/>
      <c r="T509" s="24"/>
      <c r="U509" s="24"/>
      <c r="V509" s="24"/>
      <c r="W509" s="24"/>
      <c r="X509" s="24"/>
      <c r="Y509" s="24"/>
      <c r="Z509" s="24"/>
      <c r="AA509" s="24"/>
      <c r="AB509" s="24"/>
      <c r="AC509" s="24"/>
    </row>
    <row r="510" spans="1:29" ht="16.3">
      <c r="A510" s="24"/>
      <c r="B510" s="24"/>
      <c r="C510" s="24"/>
      <c r="D510" s="24"/>
      <c r="E510" s="24"/>
      <c r="F510" s="24"/>
      <c r="G510" s="117"/>
      <c r="H510" s="117"/>
      <c r="I510" s="118"/>
      <c r="J510" s="119"/>
      <c r="K510" s="119"/>
      <c r="L510" s="24"/>
      <c r="M510" s="24"/>
      <c r="N510" s="24"/>
      <c r="O510" s="24"/>
      <c r="P510" s="114"/>
      <c r="Q510" s="24"/>
      <c r="R510" s="24"/>
      <c r="S510" s="24"/>
      <c r="T510" s="24"/>
      <c r="U510" s="24"/>
      <c r="V510" s="24"/>
      <c r="W510" s="24"/>
      <c r="X510" s="24"/>
      <c r="Y510" s="24"/>
      <c r="Z510" s="24"/>
      <c r="AA510" s="24"/>
      <c r="AB510" s="24"/>
      <c r="AC510" s="24"/>
    </row>
    <row r="511" spans="1:29" ht="16.3">
      <c r="A511" s="24"/>
      <c r="B511" s="24"/>
      <c r="C511" s="24"/>
      <c r="D511" s="24"/>
      <c r="E511" s="24"/>
      <c r="F511" s="24"/>
      <c r="G511" s="117"/>
      <c r="H511" s="117"/>
      <c r="I511" s="118"/>
      <c r="J511" s="119"/>
      <c r="K511" s="119"/>
      <c r="L511" s="24"/>
      <c r="M511" s="24"/>
      <c r="N511" s="24"/>
      <c r="O511" s="24"/>
      <c r="P511" s="114"/>
      <c r="Q511" s="24"/>
      <c r="R511" s="24"/>
      <c r="S511" s="24"/>
      <c r="T511" s="24"/>
      <c r="U511" s="24"/>
      <c r="V511" s="24"/>
      <c r="W511" s="24"/>
      <c r="X511" s="24"/>
      <c r="Y511" s="24"/>
      <c r="Z511" s="24"/>
      <c r="AA511" s="24"/>
      <c r="AB511" s="24"/>
      <c r="AC511" s="24"/>
    </row>
    <row r="512" spans="1:29" ht="16.3">
      <c r="A512" s="24"/>
      <c r="B512" s="24"/>
      <c r="C512" s="24"/>
      <c r="D512" s="24"/>
      <c r="E512" s="24"/>
      <c r="F512" s="24"/>
      <c r="G512" s="117"/>
      <c r="H512" s="117"/>
      <c r="I512" s="118"/>
      <c r="J512" s="119"/>
      <c r="K512" s="119"/>
      <c r="L512" s="24"/>
      <c r="M512" s="24"/>
      <c r="N512" s="24"/>
      <c r="O512" s="24"/>
      <c r="P512" s="114"/>
      <c r="Q512" s="24"/>
      <c r="R512" s="24"/>
      <c r="S512" s="24"/>
      <c r="T512" s="24"/>
      <c r="U512" s="24"/>
      <c r="V512" s="24"/>
      <c r="W512" s="24"/>
      <c r="X512" s="24"/>
      <c r="Y512" s="24"/>
      <c r="Z512" s="24"/>
      <c r="AA512" s="24"/>
      <c r="AB512" s="24"/>
      <c r="AC512" s="24"/>
    </row>
    <row r="513" spans="1:29" ht="16.3">
      <c r="A513" s="24"/>
      <c r="B513" s="24"/>
      <c r="C513" s="24"/>
      <c r="D513" s="24"/>
      <c r="E513" s="24"/>
      <c r="F513" s="24"/>
      <c r="G513" s="117"/>
      <c r="H513" s="117"/>
      <c r="I513" s="118"/>
      <c r="J513" s="119"/>
      <c r="K513" s="119"/>
      <c r="L513" s="24"/>
      <c r="M513" s="24"/>
      <c r="N513" s="24"/>
      <c r="O513" s="24"/>
      <c r="P513" s="114"/>
      <c r="Q513" s="24"/>
      <c r="R513" s="24"/>
      <c r="S513" s="24"/>
      <c r="T513" s="24"/>
      <c r="U513" s="24"/>
      <c r="V513" s="24"/>
      <c r="W513" s="24"/>
      <c r="X513" s="24"/>
      <c r="Y513" s="24"/>
      <c r="Z513" s="24"/>
      <c r="AA513" s="24"/>
      <c r="AB513" s="24"/>
      <c r="AC513" s="24"/>
    </row>
    <row r="514" spans="1:29" ht="16.3">
      <c r="A514" s="24"/>
      <c r="B514" s="24"/>
      <c r="C514" s="24"/>
      <c r="D514" s="24"/>
      <c r="E514" s="24"/>
      <c r="F514" s="24"/>
      <c r="G514" s="117"/>
      <c r="H514" s="117"/>
      <c r="I514" s="118"/>
      <c r="J514" s="119"/>
      <c r="K514" s="119"/>
      <c r="L514" s="24"/>
      <c r="M514" s="24"/>
      <c r="N514" s="24"/>
      <c r="O514" s="24"/>
      <c r="P514" s="114"/>
      <c r="Q514" s="24"/>
      <c r="R514" s="24"/>
      <c r="S514" s="24"/>
      <c r="T514" s="24"/>
      <c r="U514" s="24"/>
      <c r="V514" s="24"/>
      <c r="W514" s="24"/>
      <c r="X514" s="24"/>
      <c r="Y514" s="24"/>
      <c r="Z514" s="24"/>
      <c r="AA514" s="24"/>
      <c r="AB514" s="24"/>
      <c r="AC514" s="24"/>
    </row>
    <row r="515" spans="1:29" ht="16.3">
      <c r="A515" s="24"/>
      <c r="B515" s="24"/>
      <c r="C515" s="24"/>
      <c r="D515" s="24"/>
      <c r="E515" s="24"/>
      <c r="F515" s="24"/>
      <c r="G515" s="117"/>
      <c r="H515" s="117"/>
      <c r="I515" s="118"/>
      <c r="J515" s="119"/>
      <c r="K515" s="119"/>
      <c r="L515" s="24"/>
      <c r="M515" s="24"/>
      <c r="N515" s="24"/>
      <c r="O515" s="24"/>
      <c r="P515" s="114"/>
      <c r="Q515" s="24"/>
      <c r="R515" s="24"/>
      <c r="S515" s="24"/>
      <c r="T515" s="24"/>
      <c r="U515" s="24"/>
      <c r="V515" s="24"/>
      <c r="W515" s="24"/>
      <c r="X515" s="24"/>
      <c r="Y515" s="24"/>
      <c r="Z515" s="24"/>
      <c r="AA515" s="24"/>
      <c r="AB515" s="24"/>
      <c r="AC515" s="24"/>
    </row>
    <row r="516" spans="1:29" ht="16.3">
      <c r="A516" s="24"/>
      <c r="B516" s="24"/>
      <c r="C516" s="24"/>
      <c r="D516" s="24"/>
      <c r="E516" s="24"/>
      <c r="F516" s="24"/>
      <c r="G516" s="117"/>
      <c r="H516" s="117"/>
      <c r="I516" s="118"/>
      <c r="J516" s="119"/>
      <c r="K516" s="119"/>
      <c r="L516" s="24"/>
      <c r="M516" s="24"/>
      <c r="N516" s="24"/>
      <c r="O516" s="24"/>
      <c r="P516" s="114"/>
      <c r="Q516" s="24"/>
      <c r="R516" s="24"/>
      <c r="S516" s="24"/>
      <c r="T516" s="24"/>
      <c r="U516" s="24"/>
      <c r="V516" s="24"/>
      <c r="W516" s="24"/>
      <c r="X516" s="24"/>
      <c r="Y516" s="24"/>
      <c r="Z516" s="24"/>
      <c r="AA516" s="24"/>
      <c r="AB516" s="24"/>
      <c r="AC516" s="24"/>
    </row>
    <row r="517" spans="1:29" ht="16.3">
      <c r="A517" s="24"/>
      <c r="B517" s="24"/>
      <c r="C517" s="24"/>
      <c r="D517" s="24"/>
      <c r="E517" s="24"/>
      <c r="F517" s="24"/>
      <c r="G517" s="117"/>
      <c r="H517" s="117"/>
      <c r="I517" s="118"/>
      <c r="J517" s="119"/>
      <c r="K517" s="119"/>
      <c r="L517" s="24"/>
      <c r="M517" s="24"/>
      <c r="N517" s="24"/>
      <c r="O517" s="24"/>
      <c r="P517" s="114"/>
      <c r="Q517" s="24"/>
      <c r="R517" s="24"/>
      <c r="S517" s="24"/>
      <c r="T517" s="24"/>
      <c r="U517" s="24"/>
      <c r="V517" s="24"/>
      <c r="W517" s="24"/>
      <c r="X517" s="24"/>
      <c r="Y517" s="24"/>
      <c r="Z517" s="24"/>
      <c r="AA517" s="24"/>
      <c r="AB517" s="24"/>
      <c r="AC517" s="24"/>
    </row>
    <row r="518" spans="1:29" ht="16.3">
      <c r="A518" s="24"/>
      <c r="B518" s="24"/>
      <c r="C518" s="24"/>
      <c r="D518" s="24"/>
      <c r="E518" s="24"/>
      <c r="F518" s="24"/>
      <c r="G518" s="117"/>
      <c r="H518" s="117"/>
      <c r="I518" s="118"/>
      <c r="J518" s="119"/>
      <c r="K518" s="119"/>
      <c r="L518" s="24"/>
      <c r="M518" s="24"/>
      <c r="N518" s="24"/>
      <c r="O518" s="24"/>
      <c r="P518" s="114"/>
      <c r="Q518" s="24"/>
      <c r="R518" s="24"/>
      <c r="S518" s="24"/>
      <c r="T518" s="24"/>
      <c r="U518" s="24"/>
      <c r="V518" s="24"/>
      <c r="W518" s="24"/>
      <c r="X518" s="24"/>
      <c r="Y518" s="24"/>
      <c r="Z518" s="24"/>
      <c r="AA518" s="24"/>
      <c r="AB518" s="24"/>
      <c r="AC518" s="24"/>
    </row>
    <row r="519" spans="1:29" ht="16.3">
      <c r="A519" s="24"/>
      <c r="B519" s="24"/>
      <c r="C519" s="24"/>
      <c r="D519" s="24"/>
      <c r="E519" s="24"/>
      <c r="F519" s="24"/>
      <c r="G519" s="117"/>
      <c r="H519" s="117"/>
      <c r="I519" s="118"/>
      <c r="J519" s="119"/>
      <c r="K519" s="119"/>
      <c r="L519" s="24"/>
      <c r="M519" s="24"/>
      <c r="N519" s="24"/>
      <c r="O519" s="24"/>
      <c r="P519" s="114"/>
      <c r="Q519" s="24"/>
      <c r="R519" s="24"/>
      <c r="S519" s="24"/>
      <c r="T519" s="24"/>
      <c r="U519" s="24"/>
      <c r="V519" s="24"/>
      <c r="W519" s="24"/>
      <c r="X519" s="24"/>
      <c r="Y519" s="24"/>
      <c r="Z519" s="24"/>
      <c r="AA519" s="24"/>
      <c r="AB519" s="24"/>
      <c r="AC519" s="24"/>
    </row>
    <row r="520" spans="1:29" ht="16.3">
      <c r="A520" s="24"/>
      <c r="B520" s="24"/>
      <c r="C520" s="24"/>
      <c r="D520" s="24"/>
      <c r="E520" s="24"/>
      <c r="F520" s="24"/>
      <c r="G520" s="117"/>
      <c r="H520" s="117"/>
      <c r="I520" s="118"/>
      <c r="J520" s="119"/>
      <c r="K520" s="119"/>
      <c r="L520" s="24"/>
      <c r="M520" s="24"/>
      <c r="N520" s="24"/>
      <c r="O520" s="24"/>
      <c r="P520" s="114"/>
      <c r="Q520" s="24"/>
      <c r="R520" s="24"/>
      <c r="S520" s="24"/>
      <c r="T520" s="24"/>
      <c r="U520" s="24"/>
      <c r="V520" s="24"/>
      <c r="W520" s="24"/>
      <c r="X520" s="24"/>
      <c r="Y520" s="24"/>
      <c r="Z520" s="24"/>
      <c r="AA520" s="24"/>
      <c r="AB520" s="24"/>
      <c r="AC520" s="24"/>
    </row>
    <row r="521" spans="1:29" ht="16.3">
      <c r="A521" s="24"/>
      <c r="B521" s="24"/>
      <c r="C521" s="24"/>
      <c r="D521" s="24"/>
      <c r="E521" s="24"/>
      <c r="F521" s="24"/>
      <c r="G521" s="117"/>
      <c r="H521" s="117"/>
      <c r="I521" s="118"/>
      <c r="J521" s="119"/>
      <c r="K521" s="119"/>
      <c r="L521" s="24"/>
      <c r="M521" s="24"/>
      <c r="N521" s="24"/>
      <c r="O521" s="24"/>
      <c r="P521" s="114"/>
      <c r="Q521" s="24"/>
      <c r="R521" s="24"/>
      <c r="S521" s="24"/>
      <c r="T521" s="24"/>
      <c r="U521" s="24"/>
      <c r="V521" s="24"/>
      <c r="W521" s="24"/>
      <c r="X521" s="24"/>
      <c r="Y521" s="24"/>
      <c r="Z521" s="24"/>
      <c r="AA521" s="24"/>
      <c r="AB521" s="24"/>
      <c r="AC521" s="24"/>
    </row>
    <row r="522" spans="1:29" ht="16.3">
      <c r="A522" s="24"/>
      <c r="B522" s="24"/>
      <c r="C522" s="24"/>
      <c r="D522" s="24"/>
      <c r="E522" s="24"/>
      <c r="F522" s="24"/>
      <c r="G522" s="117"/>
      <c r="H522" s="117"/>
      <c r="I522" s="118"/>
      <c r="J522" s="119"/>
      <c r="K522" s="119"/>
      <c r="L522" s="24"/>
      <c r="M522" s="24"/>
      <c r="N522" s="24"/>
      <c r="O522" s="24"/>
      <c r="P522" s="114"/>
      <c r="Q522" s="24"/>
      <c r="R522" s="24"/>
      <c r="S522" s="24"/>
      <c r="T522" s="24"/>
      <c r="U522" s="24"/>
      <c r="V522" s="24"/>
      <c r="W522" s="24"/>
      <c r="X522" s="24"/>
      <c r="Y522" s="24"/>
      <c r="Z522" s="24"/>
      <c r="AA522" s="24"/>
      <c r="AB522" s="24"/>
      <c r="AC522" s="24"/>
    </row>
    <row r="523" spans="1:29" ht="16.3">
      <c r="A523" s="24"/>
      <c r="B523" s="24"/>
      <c r="C523" s="24"/>
      <c r="D523" s="24"/>
      <c r="E523" s="24"/>
      <c r="F523" s="24"/>
      <c r="G523" s="117"/>
      <c r="H523" s="117"/>
      <c r="I523" s="118"/>
      <c r="J523" s="119"/>
      <c r="K523" s="119"/>
      <c r="L523" s="24"/>
      <c r="M523" s="24"/>
      <c r="N523" s="24"/>
      <c r="O523" s="24"/>
      <c r="P523" s="114"/>
      <c r="Q523" s="24"/>
      <c r="R523" s="24"/>
      <c r="S523" s="24"/>
      <c r="T523" s="24"/>
      <c r="U523" s="24"/>
      <c r="V523" s="24"/>
      <c r="W523" s="24"/>
      <c r="X523" s="24"/>
      <c r="Y523" s="24"/>
      <c r="Z523" s="24"/>
      <c r="AA523" s="24"/>
      <c r="AB523" s="24"/>
      <c r="AC523" s="24"/>
    </row>
    <row r="524" spans="1:29" ht="16.3">
      <c r="A524" s="24"/>
      <c r="B524" s="24"/>
      <c r="C524" s="24"/>
      <c r="D524" s="24"/>
      <c r="E524" s="24"/>
      <c r="F524" s="24"/>
      <c r="G524" s="117"/>
      <c r="H524" s="117"/>
      <c r="I524" s="118"/>
      <c r="J524" s="119"/>
      <c r="K524" s="119"/>
      <c r="L524" s="24"/>
      <c r="M524" s="24"/>
      <c r="N524" s="24"/>
      <c r="O524" s="24"/>
      <c r="P524" s="114"/>
      <c r="Q524" s="24"/>
      <c r="R524" s="24"/>
      <c r="S524" s="24"/>
      <c r="T524" s="24"/>
      <c r="U524" s="24"/>
      <c r="V524" s="24"/>
      <c r="W524" s="24"/>
      <c r="X524" s="24"/>
      <c r="Y524" s="24"/>
      <c r="Z524" s="24"/>
      <c r="AA524" s="24"/>
      <c r="AB524" s="24"/>
      <c r="AC524" s="24"/>
    </row>
    <row r="525" spans="1:29" ht="16.3">
      <c r="A525" s="24"/>
      <c r="B525" s="24"/>
      <c r="C525" s="24"/>
      <c r="D525" s="24"/>
      <c r="E525" s="24"/>
      <c r="F525" s="24"/>
      <c r="G525" s="117"/>
      <c r="H525" s="117"/>
      <c r="I525" s="118"/>
      <c r="J525" s="119"/>
      <c r="K525" s="119"/>
      <c r="L525" s="24"/>
      <c r="M525" s="24"/>
      <c r="N525" s="24"/>
      <c r="O525" s="24"/>
      <c r="P525" s="114"/>
      <c r="Q525" s="24"/>
      <c r="R525" s="24"/>
      <c r="S525" s="24"/>
      <c r="T525" s="24"/>
      <c r="U525" s="24"/>
      <c r="V525" s="24"/>
      <c r="W525" s="24"/>
      <c r="X525" s="24"/>
      <c r="Y525" s="24"/>
      <c r="Z525" s="24"/>
      <c r="AA525" s="24"/>
      <c r="AB525" s="24"/>
      <c r="AC525" s="24"/>
    </row>
    <row r="526" spans="1:29" ht="16.3">
      <c r="A526" s="24"/>
      <c r="B526" s="24"/>
      <c r="C526" s="24"/>
      <c r="D526" s="24"/>
      <c r="E526" s="24"/>
      <c r="F526" s="24"/>
      <c r="G526" s="117"/>
      <c r="H526" s="117"/>
      <c r="I526" s="118"/>
      <c r="J526" s="119"/>
      <c r="K526" s="119"/>
      <c r="L526" s="24"/>
      <c r="M526" s="24"/>
      <c r="N526" s="24"/>
      <c r="O526" s="24"/>
      <c r="P526" s="114"/>
      <c r="Q526" s="24"/>
      <c r="R526" s="24"/>
      <c r="S526" s="24"/>
      <c r="T526" s="24"/>
      <c r="U526" s="24"/>
      <c r="V526" s="24"/>
      <c r="W526" s="24"/>
      <c r="X526" s="24"/>
      <c r="Y526" s="24"/>
      <c r="Z526" s="24"/>
      <c r="AA526" s="24"/>
      <c r="AB526" s="24"/>
      <c r="AC526" s="24"/>
    </row>
    <row r="527" spans="1:29" ht="16.3">
      <c r="A527" s="24"/>
      <c r="B527" s="24"/>
      <c r="C527" s="24"/>
      <c r="D527" s="24"/>
      <c r="E527" s="24"/>
      <c r="F527" s="24"/>
      <c r="G527" s="117"/>
      <c r="H527" s="117"/>
      <c r="I527" s="118"/>
      <c r="J527" s="119"/>
      <c r="K527" s="119"/>
      <c r="L527" s="24"/>
      <c r="M527" s="24"/>
      <c r="N527" s="24"/>
      <c r="O527" s="24"/>
      <c r="P527" s="114"/>
      <c r="Q527" s="24"/>
      <c r="R527" s="24"/>
      <c r="S527" s="24"/>
      <c r="T527" s="24"/>
      <c r="U527" s="24"/>
      <c r="V527" s="24"/>
      <c r="W527" s="24"/>
      <c r="X527" s="24"/>
      <c r="Y527" s="24"/>
      <c r="Z527" s="24"/>
      <c r="AA527" s="24"/>
      <c r="AB527" s="24"/>
      <c r="AC527" s="24"/>
    </row>
    <row r="528" spans="1:29" ht="16.3">
      <c r="A528" s="24"/>
      <c r="B528" s="24"/>
      <c r="C528" s="24"/>
      <c r="D528" s="24"/>
      <c r="E528" s="24"/>
      <c r="F528" s="24"/>
      <c r="G528" s="117"/>
      <c r="H528" s="117"/>
      <c r="I528" s="118"/>
      <c r="J528" s="119"/>
      <c r="K528" s="119"/>
      <c r="L528" s="24"/>
      <c r="M528" s="24"/>
      <c r="N528" s="24"/>
      <c r="O528" s="24"/>
      <c r="P528" s="114"/>
      <c r="Q528" s="24"/>
      <c r="R528" s="24"/>
      <c r="S528" s="24"/>
      <c r="T528" s="24"/>
      <c r="U528" s="24"/>
      <c r="V528" s="24"/>
      <c r="W528" s="24"/>
      <c r="X528" s="24"/>
      <c r="Y528" s="24"/>
      <c r="Z528" s="24"/>
      <c r="AA528" s="24"/>
      <c r="AB528" s="24"/>
      <c r="AC528" s="24"/>
    </row>
    <row r="529" spans="1:29" ht="16.3">
      <c r="A529" s="24"/>
      <c r="B529" s="24"/>
      <c r="C529" s="24"/>
      <c r="D529" s="24"/>
      <c r="E529" s="24"/>
      <c r="F529" s="24"/>
      <c r="G529" s="117"/>
      <c r="H529" s="117"/>
      <c r="I529" s="118"/>
      <c r="J529" s="119"/>
      <c r="K529" s="119"/>
      <c r="L529" s="24"/>
      <c r="M529" s="24"/>
      <c r="N529" s="24"/>
      <c r="O529" s="24"/>
      <c r="P529" s="114"/>
      <c r="Q529" s="24"/>
      <c r="R529" s="24"/>
      <c r="S529" s="24"/>
      <c r="T529" s="24"/>
      <c r="U529" s="24"/>
      <c r="V529" s="24"/>
      <c r="W529" s="24"/>
      <c r="X529" s="24"/>
      <c r="Y529" s="24"/>
      <c r="Z529" s="24"/>
      <c r="AA529" s="24"/>
      <c r="AB529" s="24"/>
      <c r="AC529" s="24"/>
    </row>
    <row r="530" spans="1:29" ht="16.3">
      <c r="A530" s="24"/>
      <c r="B530" s="24"/>
      <c r="C530" s="24"/>
      <c r="D530" s="24"/>
      <c r="E530" s="24"/>
      <c r="F530" s="24"/>
      <c r="G530" s="117"/>
      <c r="H530" s="117"/>
      <c r="I530" s="118"/>
      <c r="J530" s="119"/>
      <c r="K530" s="119"/>
      <c r="L530" s="24"/>
      <c r="M530" s="24"/>
      <c r="N530" s="24"/>
      <c r="O530" s="24"/>
      <c r="P530" s="114"/>
      <c r="Q530" s="24"/>
      <c r="R530" s="24"/>
      <c r="S530" s="24"/>
      <c r="T530" s="24"/>
      <c r="U530" s="24"/>
      <c r="V530" s="24"/>
      <c r="W530" s="24"/>
      <c r="X530" s="24"/>
      <c r="Y530" s="24"/>
      <c r="Z530" s="24"/>
      <c r="AA530" s="24"/>
      <c r="AB530" s="24"/>
      <c r="AC530" s="24"/>
    </row>
    <row r="531" spans="1:29" ht="16.3">
      <c r="A531" s="24"/>
      <c r="B531" s="24"/>
      <c r="C531" s="24"/>
      <c r="D531" s="24"/>
      <c r="E531" s="24"/>
      <c r="F531" s="24"/>
      <c r="G531" s="117"/>
      <c r="H531" s="117"/>
      <c r="I531" s="118"/>
      <c r="J531" s="119"/>
      <c r="K531" s="119"/>
      <c r="L531" s="24"/>
      <c r="M531" s="24"/>
      <c r="N531" s="24"/>
      <c r="O531" s="24"/>
      <c r="P531" s="114"/>
      <c r="Q531" s="24"/>
      <c r="R531" s="24"/>
      <c r="S531" s="24"/>
      <c r="T531" s="24"/>
      <c r="U531" s="24"/>
      <c r="V531" s="24"/>
      <c r="W531" s="24"/>
      <c r="X531" s="24"/>
      <c r="Y531" s="24"/>
      <c r="Z531" s="24"/>
      <c r="AA531" s="24"/>
      <c r="AB531" s="24"/>
      <c r="AC531" s="24"/>
    </row>
    <row r="532" spans="1:29" ht="16.3">
      <c r="A532" s="24"/>
      <c r="B532" s="24"/>
      <c r="C532" s="24"/>
      <c r="D532" s="24"/>
      <c r="E532" s="24"/>
      <c r="F532" s="24"/>
      <c r="G532" s="117"/>
      <c r="H532" s="117"/>
      <c r="I532" s="118"/>
      <c r="J532" s="119"/>
      <c r="K532" s="119"/>
      <c r="L532" s="24"/>
      <c r="M532" s="24"/>
      <c r="N532" s="24"/>
      <c r="O532" s="24"/>
      <c r="P532" s="114"/>
      <c r="Q532" s="24"/>
      <c r="R532" s="24"/>
      <c r="S532" s="24"/>
      <c r="T532" s="24"/>
      <c r="U532" s="24"/>
      <c r="V532" s="24"/>
      <c r="W532" s="24"/>
      <c r="X532" s="24"/>
      <c r="Y532" s="24"/>
      <c r="Z532" s="24"/>
      <c r="AA532" s="24"/>
      <c r="AB532" s="24"/>
      <c r="AC532" s="24"/>
    </row>
    <row r="533" spans="1:29" ht="16.3">
      <c r="A533" s="24"/>
      <c r="B533" s="24"/>
      <c r="C533" s="24"/>
      <c r="D533" s="24"/>
      <c r="E533" s="24"/>
      <c r="F533" s="24"/>
      <c r="G533" s="117"/>
      <c r="H533" s="117"/>
      <c r="I533" s="118"/>
      <c r="J533" s="119"/>
      <c r="K533" s="119"/>
      <c r="L533" s="24"/>
      <c r="M533" s="24"/>
      <c r="N533" s="24"/>
      <c r="O533" s="24"/>
      <c r="P533" s="114"/>
      <c r="Q533" s="24"/>
      <c r="R533" s="24"/>
      <c r="S533" s="24"/>
      <c r="T533" s="24"/>
      <c r="U533" s="24"/>
      <c r="V533" s="24"/>
      <c r="W533" s="24"/>
      <c r="X533" s="24"/>
      <c r="Y533" s="24"/>
      <c r="Z533" s="24"/>
      <c r="AA533" s="24"/>
      <c r="AB533" s="24"/>
      <c r="AC533" s="24"/>
    </row>
    <row r="534" spans="1:29" ht="16.3">
      <c r="A534" s="24"/>
      <c r="B534" s="24"/>
      <c r="C534" s="24"/>
      <c r="D534" s="24"/>
      <c r="E534" s="24"/>
      <c r="F534" s="24"/>
      <c r="G534" s="117"/>
      <c r="H534" s="117"/>
      <c r="I534" s="118"/>
      <c r="J534" s="119"/>
      <c r="K534" s="119"/>
      <c r="L534" s="24"/>
      <c r="M534" s="24"/>
      <c r="N534" s="24"/>
      <c r="O534" s="24"/>
      <c r="P534" s="114"/>
      <c r="Q534" s="24"/>
      <c r="R534" s="24"/>
      <c r="S534" s="24"/>
      <c r="T534" s="24"/>
      <c r="U534" s="24"/>
      <c r="V534" s="24"/>
      <c r="W534" s="24"/>
      <c r="X534" s="24"/>
      <c r="Y534" s="24"/>
      <c r="Z534" s="24"/>
      <c r="AA534" s="24"/>
      <c r="AB534" s="24"/>
      <c r="AC534" s="24"/>
    </row>
    <row r="535" spans="1:29" ht="16.3">
      <c r="A535" s="24"/>
      <c r="B535" s="24"/>
      <c r="C535" s="24"/>
      <c r="D535" s="24"/>
      <c r="E535" s="24"/>
      <c r="F535" s="24"/>
      <c r="G535" s="117"/>
      <c r="H535" s="117"/>
      <c r="I535" s="118"/>
      <c r="J535" s="119"/>
      <c r="K535" s="119"/>
      <c r="L535" s="24"/>
      <c r="M535" s="24"/>
      <c r="N535" s="24"/>
      <c r="O535" s="24"/>
      <c r="P535" s="114"/>
      <c r="Q535" s="24"/>
      <c r="R535" s="24"/>
      <c r="S535" s="24"/>
      <c r="T535" s="24"/>
      <c r="U535" s="24"/>
      <c r="V535" s="24"/>
      <c r="W535" s="24"/>
      <c r="X535" s="24"/>
      <c r="Y535" s="24"/>
      <c r="Z535" s="24"/>
      <c r="AA535" s="24"/>
      <c r="AB535" s="24"/>
      <c r="AC535" s="24"/>
    </row>
    <row r="536" spans="1:29" ht="16.3">
      <c r="A536" s="24"/>
      <c r="B536" s="24"/>
      <c r="C536" s="24"/>
      <c r="D536" s="24"/>
      <c r="E536" s="24"/>
      <c r="F536" s="24"/>
      <c r="G536" s="117"/>
      <c r="H536" s="117"/>
      <c r="I536" s="118"/>
      <c r="J536" s="119"/>
      <c r="K536" s="119"/>
      <c r="L536" s="24"/>
      <c r="M536" s="24"/>
      <c r="N536" s="24"/>
      <c r="O536" s="24"/>
      <c r="P536" s="114"/>
      <c r="Q536" s="24"/>
      <c r="R536" s="24"/>
      <c r="S536" s="24"/>
      <c r="T536" s="24"/>
      <c r="U536" s="24"/>
      <c r="V536" s="24"/>
      <c r="W536" s="24"/>
      <c r="X536" s="24"/>
      <c r="Y536" s="24"/>
      <c r="Z536" s="24"/>
      <c r="AA536" s="24"/>
      <c r="AB536" s="24"/>
      <c r="AC536" s="24"/>
    </row>
    <row r="537" spans="1:29" ht="16.3">
      <c r="A537" s="24"/>
      <c r="B537" s="24"/>
      <c r="C537" s="24"/>
      <c r="D537" s="24"/>
      <c r="E537" s="24"/>
      <c r="F537" s="24"/>
      <c r="G537" s="117"/>
      <c r="H537" s="117"/>
      <c r="I537" s="118"/>
      <c r="J537" s="119"/>
      <c r="K537" s="119"/>
      <c r="L537" s="24"/>
      <c r="M537" s="24"/>
      <c r="N537" s="24"/>
      <c r="O537" s="24"/>
      <c r="P537" s="114"/>
      <c r="Q537" s="24"/>
      <c r="R537" s="24"/>
      <c r="S537" s="24"/>
      <c r="T537" s="24"/>
      <c r="U537" s="24"/>
      <c r="V537" s="24"/>
      <c r="W537" s="24"/>
      <c r="X537" s="24"/>
      <c r="Y537" s="24"/>
      <c r="Z537" s="24"/>
      <c r="AA537" s="24"/>
      <c r="AB537" s="24"/>
      <c r="AC537" s="24"/>
    </row>
    <row r="538" spans="1:29" ht="16.3">
      <c r="A538" s="24"/>
      <c r="B538" s="24"/>
      <c r="C538" s="24"/>
      <c r="D538" s="24"/>
      <c r="E538" s="24"/>
      <c r="F538" s="24"/>
      <c r="G538" s="117"/>
      <c r="H538" s="117"/>
      <c r="I538" s="118"/>
      <c r="J538" s="119"/>
      <c r="K538" s="119"/>
      <c r="L538" s="24"/>
      <c r="M538" s="24"/>
      <c r="N538" s="24"/>
      <c r="O538" s="24"/>
      <c r="P538" s="114"/>
      <c r="Q538" s="24"/>
      <c r="R538" s="24"/>
      <c r="S538" s="24"/>
      <c r="T538" s="24"/>
      <c r="U538" s="24"/>
      <c r="V538" s="24"/>
      <c r="W538" s="24"/>
      <c r="X538" s="24"/>
      <c r="Y538" s="24"/>
      <c r="Z538" s="24"/>
      <c r="AA538" s="24"/>
      <c r="AB538" s="24"/>
      <c r="AC538" s="24"/>
    </row>
    <row r="539" spans="1:29" ht="16.3">
      <c r="A539" s="24"/>
      <c r="B539" s="24"/>
      <c r="C539" s="24"/>
      <c r="D539" s="24"/>
      <c r="E539" s="24"/>
      <c r="F539" s="24"/>
      <c r="G539" s="117"/>
      <c r="H539" s="117"/>
      <c r="I539" s="118"/>
      <c r="J539" s="119"/>
      <c r="K539" s="119"/>
      <c r="L539" s="24"/>
      <c r="M539" s="24"/>
      <c r="N539" s="24"/>
      <c r="O539" s="24"/>
      <c r="P539" s="114"/>
      <c r="Q539" s="24"/>
      <c r="R539" s="24"/>
      <c r="S539" s="24"/>
      <c r="T539" s="24"/>
      <c r="U539" s="24"/>
      <c r="V539" s="24"/>
      <c r="W539" s="24"/>
      <c r="X539" s="24"/>
      <c r="Y539" s="24"/>
      <c r="Z539" s="24"/>
      <c r="AA539" s="24"/>
      <c r="AB539" s="24"/>
      <c r="AC539" s="24"/>
    </row>
    <row r="540" spans="1:29" ht="16.3">
      <c r="A540" s="24"/>
      <c r="B540" s="24"/>
      <c r="C540" s="24"/>
      <c r="D540" s="24"/>
      <c r="E540" s="24"/>
      <c r="F540" s="24"/>
      <c r="G540" s="117"/>
      <c r="H540" s="117"/>
      <c r="I540" s="118"/>
      <c r="J540" s="119"/>
      <c r="K540" s="119"/>
      <c r="L540" s="24"/>
      <c r="M540" s="24"/>
      <c r="N540" s="24"/>
      <c r="O540" s="24"/>
      <c r="P540" s="114"/>
      <c r="Q540" s="24"/>
      <c r="R540" s="24"/>
      <c r="S540" s="24"/>
      <c r="T540" s="24"/>
      <c r="U540" s="24"/>
      <c r="V540" s="24"/>
      <c r="W540" s="24"/>
      <c r="X540" s="24"/>
      <c r="Y540" s="24"/>
      <c r="Z540" s="24"/>
      <c r="AA540" s="24"/>
      <c r="AB540" s="24"/>
      <c r="AC540" s="24"/>
    </row>
    <row r="541" spans="1:29" ht="16.3">
      <c r="A541" s="24"/>
      <c r="B541" s="24"/>
      <c r="C541" s="24"/>
      <c r="D541" s="24"/>
      <c r="E541" s="24"/>
      <c r="F541" s="24"/>
      <c r="G541" s="117"/>
      <c r="H541" s="117"/>
      <c r="I541" s="118"/>
      <c r="J541" s="119"/>
      <c r="K541" s="119"/>
      <c r="L541" s="24"/>
      <c r="M541" s="24"/>
      <c r="N541" s="24"/>
      <c r="O541" s="24"/>
      <c r="P541" s="114"/>
      <c r="Q541" s="24"/>
      <c r="R541" s="24"/>
      <c r="S541" s="24"/>
      <c r="T541" s="24"/>
      <c r="U541" s="24"/>
      <c r="V541" s="24"/>
      <c r="W541" s="24"/>
      <c r="X541" s="24"/>
      <c r="Y541" s="24"/>
      <c r="Z541" s="24"/>
      <c r="AA541" s="24"/>
      <c r="AB541" s="24"/>
      <c r="AC541" s="24"/>
    </row>
    <row r="542" spans="1:29" ht="16.3">
      <c r="A542" s="24"/>
      <c r="B542" s="24"/>
      <c r="C542" s="24"/>
      <c r="D542" s="24"/>
      <c r="E542" s="24"/>
      <c r="F542" s="24"/>
      <c r="G542" s="117"/>
      <c r="H542" s="117"/>
      <c r="I542" s="118"/>
      <c r="J542" s="119"/>
      <c r="K542" s="119"/>
      <c r="L542" s="24"/>
      <c r="M542" s="24"/>
      <c r="N542" s="24"/>
      <c r="O542" s="24"/>
      <c r="P542" s="114"/>
      <c r="Q542" s="24"/>
      <c r="R542" s="24"/>
      <c r="S542" s="24"/>
      <c r="T542" s="24"/>
      <c r="U542" s="24"/>
      <c r="V542" s="24"/>
      <c r="W542" s="24"/>
      <c r="X542" s="24"/>
      <c r="Y542" s="24"/>
      <c r="Z542" s="24"/>
      <c r="AA542" s="24"/>
      <c r="AB542" s="24"/>
      <c r="AC542" s="24"/>
    </row>
    <row r="543" spans="1:29" ht="16.3">
      <c r="A543" s="24"/>
      <c r="B543" s="24"/>
      <c r="C543" s="24"/>
      <c r="D543" s="24"/>
      <c r="E543" s="24"/>
      <c r="F543" s="24"/>
      <c r="G543" s="117"/>
      <c r="H543" s="117"/>
      <c r="I543" s="118"/>
      <c r="J543" s="119"/>
      <c r="K543" s="119"/>
      <c r="L543" s="24"/>
      <c r="M543" s="24"/>
      <c r="N543" s="24"/>
      <c r="O543" s="24"/>
      <c r="P543" s="114"/>
      <c r="Q543" s="24"/>
      <c r="R543" s="24"/>
      <c r="S543" s="24"/>
      <c r="T543" s="24"/>
      <c r="U543" s="24"/>
      <c r="V543" s="24"/>
      <c r="W543" s="24"/>
      <c r="X543" s="24"/>
      <c r="Y543" s="24"/>
      <c r="Z543" s="24"/>
      <c r="AA543" s="24"/>
      <c r="AB543" s="24"/>
      <c r="AC543" s="24"/>
    </row>
    <row r="544" spans="1:29" ht="16.3">
      <c r="A544" s="24"/>
      <c r="B544" s="24"/>
      <c r="C544" s="24"/>
      <c r="D544" s="24"/>
      <c r="E544" s="24"/>
      <c r="F544" s="24"/>
      <c r="G544" s="117"/>
      <c r="H544" s="117"/>
      <c r="I544" s="118"/>
      <c r="J544" s="119"/>
      <c r="K544" s="119"/>
      <c r="L544" s="24"/>
      <c r="M544" s="24"/>
      <c r="N544" s="24"/>
      <c r="O544" s="24"/>
      <c r="P544" s="114"/>
      <c r="Q544" s="24"/>
      <c r="R544" s="24"/>
      <c r="S544" s="24"/>
      <c r="T544" s="24"/>
      <c r="U544" s="24"/>
      <c r="V544" s="24"/>
      <c r="W544" s="24"/>
      <c r="X544" s="24"/>
      <c r="Y544" s="24"/>
      <c r="Z544" s="24"/>
      <c r="AA544" s="24"/>
      <c r="AB544" s="24"/>
      <c r="AC544" s="24"/>
    </row>
    <row r="545" spans="1:29" ht="16.3">
      <c r="A545" s="24"/>
      <c r="B545" s="24"/>
      <c r="C545" s="24"/>
      <c r="D545" s="24"/>
      <c r="E545" s="24"/>
      <c r="F545" s="24"/>
      <c r="G545" s="117"/>
      <c r="H545" s="117"/>
      <c r="I545" s="118"/>
      <c r="J545" s="119"/>
      <c r="K545" s="119"/>
      <c r="L545" s="24"/>
      <c r="M545" s="24"/>
      <c r="N545" s="24"/>
      <c r="O545" s="24"/>
      <c r="P545" s="114"/>
      <c r="Q545" s="24"/>
      <c r="R545" s="24"/>
      <c r="S545" s="24"/>
      <c r="T545" s="24"/>
      <c r="U545" s="24"/>
      <c r="V545" s="24"/>
      <c r="W545" s="24"/>
      <c r="X545" s="24"/>
      <c r="Y545" s="24"/>
      <c r="Z545" s="24"/>
      <c r="AA545" s="24"/>
      <c r="AB545" s="24"/>
      <c r="AC545" s="24"/>
    </row>
    <row r="546" spans="1:29" ht="16.3">
      <c r="A546" s="24"/>
      <c r="B546" s="24"/>
      <c r="C546" s="24"/>
      <c r="D546" s="24"/>
      <c r="E546" s="24"/>
      <c r="F546" s="24"/>
      <c r="G546" s="117"/>
      <c r="H546" s="117"/>
      <c r="I546" s="118"/>
      <c r="J546" s="119"/>
      <c r="K546" s="119"/>
      <c r="L546" s="24"/>
      <c r="M546" s="24"/>
      <c r="N546" s="24"/>
      <c r="O546" s="24"/>
      <c r="P546" s="114"/>
      <c r="Q546" s="24"/>
      <c r="R546" s="24"/>
      <c r="S546" s="24"/>
      <c r="T546" s="24"/>
      <c r="U546" s="24"/>
      <c r="V546" s="24"/>
      <c r="W546" s="24"/>
      <c r="X546" s="24"/>
      <c r="Y546" s="24"/>
      <c r="Z546" s="24"/>
      <c r="AA546" s="24"/>
      <c r="AB546" s="24"/>
      <c r="AC546" s="24"/>
    </row>
    <row r="547" spans="1:29" ht="16.3">
      <c r="A547" s="24"/>
      <c r="B547" s="24"/>
      <c r="C547" s="24"/>
      <c r="D547" s="24"/>
      <c r="E547" s="24"/>
      <c r="F547" s="24"/>
      <c r="G547" s="117"/>
      <c r="H547" s="117"/>
      <c r="I547" s="118"/>
      <c r="J547" s="119"/>
      <c r="K547" s="119"/>
      <c r="L547" s="24"/>
      <c r="M547" s="24"/>
      <c r="N547" s="24"/>
      <c r="O547" s="24"/>
      <c r="P547" s="114"/>
      <c r="Q547" s="24"/>
      <c r="R547" s="24"/>
      <c r="S547" s="24"/>
      <c r="T547" s="24"/>
      <c r="U547" s="24"/>
      <c r="V547" s="24"/>
      <c r="W547" s="24"/>
      <c r="X547" s="24"/>
      <c r="Y547" s="24"/>
      <c r="Z547" s="24"/>
      <c r="AA547" s="24"/>
      <c r="AB547" s="24"/>
      <c r="AC547" s="24"/>
    </row>
    <row r="548" spans="1:29" ht="16.3">
      <c r="A548" s="24"/>
      <c r="B548" s="24"/>
      <c r="C548" s="24"/>
      <c r="D548" s="24"/>
      <c r="E548" s="24"/>
      <c r="F548" s="24"/>
      <c r="G548" s="117"/>
      <c r="H548" s="117"/>
      <c r="I548" s="118"/>
      <c r="J548" s="119"/>
      <c r="K548" s="119"/>
      <c r="L548" s="24"/>
      <c r="M548" s="24"/>
      <c r="N548" s="24"/>
      <c r="O548" s="24"/>
      <c r="P548" s="114"/>
      <c r="Q548" s="24"/>
      <c r="R548" s="24"/>
      <c r="S548" s="24"/>
      <c r="T548" s="24"/>
      <c r="U548" s="24"/>
      <c r="V548" s="24"/>
      <c r="W548" s="24"/>
      <c r="X548" s="24"/>
      <c r="Y548" s="24"/>
      <c r="Z548" s="24"/>
      <c r="AA548" s="24"/>
      <c r="AB548" s="24"/>
      <c r="AC548" s="24"/>
    </row>
    <row r="549" spans="1:29" ht="16.3">
      <c r="A549" s="24"/>
      <c r="B549" s="24"/>
      <c r="C549" s="24"/>
      <c r="D549" s="24"/>
      <c r="E549" s="24"/>
      <c r="F549" s="24"/>
      <c r="G549" s="117"/>
      <c r="H549" s="117"/>
      <c r="I549" s="118"/>
      <c r="J549" s="119"/>
      <c r="K549" s="119"/>
      <c r="L549" s="24"/>
      <c r="M549" s="24"/>
      <c r="N549" s="24"/>
      <c r="O549" s="24"/>
      <c r="P549" s="114"/>
      <c r="Q549" s="24"/>
      <c r="R549" s="24"/>
      <c r="S549" s="24"/>
      <c r="T549" s="24"/>
      <c r="U549" s="24"/>
      <c r="V549" s="24"/>
      <c r="W549" s="24"/>
      <c r="X549" s="24"/>
      <c r="Y549" s="24"/>
      <c r="Z549" s="24"/>
      <c r="AA549" s="24"/>
      <c r="AB549" s="24"/>
      <c r="AC549" s="24"/>
    </row>
    <row r="550" spans="1:29" ht="16.3">
      <c r="A550" s="24"/>
      <c r="B550" s="24"/>
      <c r="C550" s="24"/>
      <c r="D550" s="24"/>
      <c r="E550" s="24"/>
      <c r="F550" s="24"/>
      <c r="G550" s="117"/>
      <c r="H550" s="117"/>
      <c r="I550" s="118"/>
      <c r="J550" s="119"/>
      <c r="K550" s="119"/>
      <c r="L550" s="24"/>
      <c r="M550" s="24"/>
      <c r="N550" s="24"/>
      <c r="O550" s="24"/>
      <c r="P550" s="114"/>
      <c r="Q550" s="24"/>
      <c r="R550" s="24"/>
      <c r="S550" s="24"/>
      <c r="T550" s="24"/>
      <c r="U550" s="24"/>
      <c r="V550" s="24"/>
      <c r="W550" s="24"/>
      <c r="X550" s="24"/>
      <c r="Y550" s="24"/>
      <c r="Z550" s="24"/>
      <c r="AA550" s="24"/>
      <c r="AB550" s="24"/>
      <c r="AC550" s="24"/>
    </row>
    <row r="551" spans="1:29" ht="16.3">
      <c r="A551" s="24"/>
      <c r="B551" s="24"/>
      <c r="C551" s="24"/>
      <c r="D551" s="24"/>
      <c r="E551" s="24"/>
      <c r="F551" s="24"/>
      <c r="G551" s="117"/>
      <c r="H551" s="117"/>
      <c r="I551" s="118"/>
      <c r="J551" s="119"/>
      <c r="K551" s="119"/>
      <c r="L551" s="24"/>
      <c r="M551" s="24"/>
      <c r="N551" s="24"/>
      <c r="O551" s="24"/>
      <c r="P551" s="114"/>
      <c r="Q551" s="24"/>
      <c r="R551" s="24"/>
      <c r="S551" s="24"/>
      <c r="T551" s="24"/>
      <c r="U551" s="24"/>
      <c r="V551" s="24"/>
      <c r="W551" s="24"/>
      <c r="X551" s="24"/>
      <c r="Y551" s="24"/>
      <c r="Z551" s="24"/>
      <c r="AA551" s="24"/>
      <c r="AB551" s="24"/>
      <c r="AC551" s="24"/>
    </row>
    <row r="552" spans="1:29" ht="16.3">
      <c r="A552" s="24"/>
      <c r="B552" s="24"/>
      <c r="C552" s="24"/>
      <c r="D552" s="24"/>
      <c r="E552" s="24"/>
      <c r="F552" s="24"/>
      <c r="G552" s="117"/>
      <c r="H552" s="117"/>
      <c r="I552" s="118"/>
      <c r="J552" s="119"/>
      <c r="K552" s="119"/>
      <c r="L552" s="24"/>
      <c r="M552" s="24"/>
      <c r="N552" s="24"/>
      <c r="O552" s="24"/>
      <c r="P552" s="114"/>
      <c r="Q552" s="24"/>
      <c r="R552" s="24"/>
      <c r="S552" s="24"/>
      <c r="T552" s="24"/>
      <c r="U552" s="24"/>
      <c r="V552" s="24"/>
      <c r="W552" s="24"/>
      <c r="X552" s="24"/>
      <c r="Y552" s="24"/>
      <c r="Z552" s="24"/>
      <c r="AA552" s="24"/>
      <c r="AB552" s="24"/>
      <c r="AC552" s="24"/>
    </row>
    <row r="553" spans="1:29" ht="16.3">
      <c r="A553" s="24"/>
      <c r="B553" s="24"/>
      <c r="C553" s="24"/>
      <c r="D553" s="24"/>
      <c r="E553" s="24"/>
      <c r="F553" s="24"/>
      <c r="G553" s="117"/>
      <c r="H553" s="117"/>
      <c r="I553" s="118"/>
      <c r="J553" s="119"/>
      <c r="K553" s="119"/>
      <c r="L553" s="24"/>
      <c r="M553" s="24"/>
      <c r="N553" s="24"/>
      <c r="O553" s="24"/>
      <c r="P553" s="114"/>
      <c r="Q553" s="24"/>
      <c r="R553" s="24"/>
      <c r="S553" s="24"/>
      <c r="T553" s="24"/>
      <c r="U553" s="24"/>
      <c r="V553" s="24"/>
      <c r="W553" s="24"/>
      <c r="X553" s="24"/>
      <c r="Y553" s="24"/>
      <c r="Z553" s="24"/>
      <c r="AA553" s="24"/>
      <c r="AB553" s="24"/>
      <c r="AC553" s="24"/>
    </row>
    <row r="554" spans="1:29" ht="16.3">
      <c r="A554" s="24"/>
      <c r="B554" s="24"/>
      <c r="C554" s="24"/>
      <c r="D554" s="24"/>
      <c r="E554" s="24"/>
      <c r="F554" s="24"/>
      <c r="G554" s="117"/>
      <c r="H554" s="117"/>
      <c r="I554" s="118"/>
      <c r="J554" s="119"/>
      <c r="K554" s="119"/>
      <c r="L554" s="24"/>
      <c r="M554" s="24"/>
      <c r="N554" s="24"/>
      <c r="O554" s="24"/>
      <c r="P554" s="114"/>
      <c r="Q554" s="24"/>
      <c r="R554" s="24"/>
      <c r="S554" s="24"/>
      <c r="T554" s="24"/>
      <c r="U554" s="24"/>
      <c r="V554" s="24"/>
      <c r="W554" s="24"/>
      <c r="X554" s="24"/>
      <c r="Y554" s="24"/>
      <c r="Z554" s="24"/>
      <c r="AA554" s="24"/>
      <c r="AB554" s="24"/>
      <c r="AC554" s="24"/>
    </row>
    <row r="555" spans="1:29" ht="16.3">
      <c r="A555" s="24"/>
      <c r="B555" s="24"/>
      <c r="C555" s="24"/>
      <c r="D555" s="24"/>
      <c r="E555" s="24"/>
      <c r="F555" s="24"/>
      <c r="G555" s="117"/>
      <c r="H555" s="117"/>
      <c r="I555" s="118"/>
      <c r="J555" s="119"/>
      <c r="K555" s="119"/>
      <c r="L555" s="24"/>
      <c r="M555" s="24"/>
      <c r="N555" s="24"/>
      <c r="O555" s="24"/>
      <c r="P555" s="114"/>
      <c r="Q555" s="24"/>
      <c r="R555" s="24"/>
      <c r="S555" s="24"/>
      <c r="T555" s="24"/>
      <c r="U555" s="24"/>
      <c r="V555" s="24"/>
      <c r="W555" s="24"/>
      <c r="X555" s="24"/>
      <c r="Y555" s="24"/>
      <c r="Z555" s="24"/>
      <c r="AA555" s="24"/>
      <c r="AB555" s="24"/>
      <c r="AC555" s="24"/>
    </row>
    <row r="556" spans="1:29" ht="16.3">
      <c r="A556" s="24"/>
      <c r="B556" s="24"/>
      <c r="C556" s="24"/>
      <c r="D556" s="24"/>
      <c r="E556" s="24"/>
      <c r="F556" s="24"/>
      <c r="G556" s="117"/>
      <c r="H556" s="117"/>
      <c r="I556" s="118"/>
      <c r="J556" s="119"/>
      <c r="K556" s="119"/>
      <c r="L556" s="24"/>
      <c r="M556" s="24"/>
      <c r="N556" s="24"/>
      <c r="O556" s="24"/>
      <c r="P556" s="114"/>
      <c r="Q556" s="24"/>
      <c r="R556" s="24"/>
      <c r="S556" s="24"/>
      <c r="T556" s="24"/>
      <c r="U556" s="24"/>
      <c r="V556" s="24"/>
      <c r="W556" s="24"/>
      <c r="X556" s="24"/>
      <c r="Y556" s="24"/>
      <c r="Z556" s="24"/>
      <c r="AA556" s="24"/>
      <c r="AB556" s="24"/>
      <c r="AC556" s="24"/>
    </row>
    <row r="557" spans="1:29" ht="16.3">
      <c r="A557" s="24"/>
      <c r="B557" s="24"/>
      <c r="C557" s="24"/>
      <c r="D557" s="24"/>
      <c r="E557" s="24"/>
      <c r="F557" s="24"/>
      <c r="G557" s="117"/>
      <c r="H557" s="117"/>
      <c r="I557" s="118"/>
      <c r="J557" s="119"/>
      <c r="K557" s="119"/>
      <c r="L557" s="24"/>
      <c r="M557" s="24"/>
      <c r="N557" s="24"/>
      <c r="O557" s="24"/>
      <c r="P557" s="114"/>
      <c r="Q557" s="24"/>
      <c r="R557" s="24"/>
      <c r="S557" s="24"/>
      <c r="T557" s="24"/>
      <c r="U557" s="24"/>
      <c r="V557" s="24"/>
      <c r="W557" s="24"/>
      <c r="X557" s="24"/>
      <c r="Y557" s="24"/>
      <c r="Z557" s="24"/>
      <c r="AA557" s="24"/>
      <c r="AB557" s="24"/>
      <c r="AC557" s="24"/>
    </row>
    <row r="558" spans="1:29" ht="16.3">
      <c r="A558" s="24"/>
      <c r="B558" s="24"/>
      <c r="C558" s="24"/>
      <c r="D558" s="24"/>
      <c r="E558" s="24"/>
      <c r="F558" s="24"/>
      <c r="G558" s="117"/>
      <c r="H558" s="117"/>
      <c r="I558" s="118"/>
      <c r="J558" s="119"/>
      <c r="K558" s="119"/>
      <c r="L558" s="24"/>
      <c r="M558" s="24"/>
      <c r="N558" s="24"/>
      <c r="O558" s="24"/>
      <c r="P558" s="114"/>
      <c r="Q558" s="24"/>
      <c r="R558" s="24"/>
      <c r="S558" s="24"/>
      <c r="T558" s="24"/>
      <c r="U558" s="24"/>
      <c r="V558" s="24"/>
      <c r="W558" s="24"/>
      <c r="X558" s="24"/>
      <c r="Y558" s="24"/>
      <c r="Z558" s="24"/>
      <c r="AA558" s="24"/>
      <c r="AB558" s="24"/>
      <c r="AC558" s="24"/>
    </row>
    <row r="559" spans="1:29" ht="16.3">
      <c r="A559" s="24"/>
      <c r="B559" s="24"/>
      <c r="C559" s="24"/>
      <c r="D559" s="24"/>
      <c r="E559" s="24"/>
      <c r="F559" s="24"/>
      <c r="G559" s="117"/>
      <c r="H559" s="117"/>
      <c r="I559" s="118"/>
      <c r="J559" s="119"/>
      <c r="K559" s="119"/>
      <c r="L559" s="24"/>
      <c r="M559" s="24"/>
      <c r="N559" s="24"/>
      <c r="O559" s="24"/>
      <c r="P559" s="114"/>
      <c r="Q559" s="24"/>
      <c r="R559" s="24"/>
      <c r="S559" s="24"/>
      <c r="T559" s="24"/>
      <c r="U559" s="24"/>
      <c r="V559" s="24"/>
      <c r="W559" s="24"/>
      <c r="X559" s="24"/>
      <c r="Y559" s="24"/>
      <c r="Z559" s="24"/>
      <c r="AA559" s="24"/>
      <c r="AB559" s="24"/>
      <c r="AC559" s="24"/>
    </row>
    <row r="560" spans="1:29" ht="16.3">
      <c r="A560" s="24"/>
      <c r="B560" s="24"/>
      <c r="C560" s="24"/>
      <c r="D560" s="24"/>
      <c r="E560" s="24"/>
      <c r="F560" s="24"/>
      <c r="G560" s="117"/>
      <c r="H560" s="117"/>
      <c r="I560" s="118"/>
      <c r="J560" s="119"/>
      <c r="K560" s="119"/>
      <c r="L560" s="24"/>
      <c r="M560" s="24"/>
      <c r="N560" s="24"/>
      <c r="O560" s="24"/>
      <c r="P560" s="114"/>
      <c r="Q560" s="24"/>
      <c r="R560" s="24"/>
      <c r="S560" s="24"/>
      <c r="T560" s="24"/>
      <c r="U560" s="24"/>
      <c r="V560" s="24"/>
      <c r="W560" s="24"/>
      <c r="X560" s="24"/>
      <c r="Y560" s="24"/>
      <c r="Z560" s="24"/>
      <c r="AA560" s="24"/>
      <c r="AB560" s="24"/>
      <c r="AC560" s="24"/>
    </row>
    <row r="561" spans="1:29" ht="16.3">
      <c r="A561" s="24"/>
      <c r="B561" s="24"/>
      <c r="C561" s="24"/>
      <c r="D561" s="24"/>
      <c r="E561" s="24"/>
      <c r="F561" s="24"/>
      <c r="G561" s="117"/>
      <c r="H561" s="117"/>
      <c r="I561" s="118"/>
      <c r="J561" s="119"/>
      <c r="K561" s="119"/>
      <c r="L561" s="24"/>
      <c r="M561" s="24"/>
      <c r="N561" s="24"/>
      <c r="O561" s="24"/>
      <c r="P561" s="114"/>
      <c r="Q561" s="24"/>
      <c r="R561" s="24"/>
      <c r="S561" s="24"/>
      <c r="T561" s="24"/>
      <c r="U561" s="24"/>
      <c r="V561" s="24"/>
      <c r="W561" s="24"/>
      <c r="X561" s="24"/>
      <c r="Y561" s="24"/>
      <c r="Z561" s="24"/>
      <c r="AA561" s="24"/>
      <c r="AB561" s="24"/>
      <c r="AC561" s="24"/>
    </row>
    <row r="562" spans="1:29" ht="16.3">
      <c r="A562" s="24"/>
      <c r="B562" s="24"/>
      <c r="C562" s="24"/>
      <c r="D562" s="24"/>
      <c r="E562" s="24"/>
      <c r="F562" s="24"/>
      <c r="G562" s="117"/>
      <c r="H562" s="117"/>
      <c r="I562" s="118"/>
      <c r="J562" s="119"/>
      <c r="K562" s="119"/>
      <c r="L562" s="24"/>
      <c r="M562" s="24"/>
      <c r="N562" s="24"/>
      <c r="O562" s="24"/>
      <c r="P562" s="114"/>
      <c r="Q562" s="24"/>
      <c r="R562" s="24"/>
      <c r="S562" s="24"/>
      <c r="T562" s="24"/>
      <c r="U562" s="24"/>
      <c r="V562" s="24"/>
      <c r="W562" s="24"/>
      <c r="X562" s="24"/>
      <c r="Y562" s="24"/>
      <c r="Z562" s="24"/>
      <c r="AA562" s="24"/>
      <c r="AB562" s="24"/>
      <c r="AC562" s="24"/>
    </row>
    <row r="563" spans="1:29" ht="16.3">
      <c r="A563" s="24"/>
      <c r="B563" s="24"/>
      <c r="C563" s="24"/>
      <c r="D563" s="24"/>
      <c r="E563" s="24"/>
      <c r="F563" s="24"/>
      <c r="G563" s="117"/>
      <c r="H563" s="117"/>
      <c r="I563" s="118"/>
      <c r="J563" s="119"/>
      <c r="K563" s="119"/>
      <c r="L563" s="24"/>
      <c r="M563" s="24"/>
      <c r="N563" s="24"/>
      <c r="O563" s="24"/>
      <c r="P563" s="114"/>
      <c r="Q563" s="24"/>
      <c r="R563" s="24"/>
      <c r="S563" s="24"/>
      <c r="T563" s="24"/>
      <c r="U563" s="24"/>
      <c r="V563" s="24"/>
      <c r="W563" s="24"/>
      <c r="X563" s="24"/>
      <c r="Y563" s="24"/>
      <c r="Z563" s="24"/>
      <c r="AA563" s="24"/>
      <c r="AB563" s="24"/>
      <c r="AC563" s="24"/>
    </row>
    <row r="564" spans="1:29" ht="16.3">
      <c r="A564" s="24"/>
      <c r="B564" s="24"/>
      <c r="C564" s="24"/>
      <c r="D564" s="24"/>
      <c r="E564" s="24"/>
      <c r="F564" s="24"/>
      <c r="G564" s="117"/>
      <c r="H564" s="117"/>
      <c r="I564" s="118"/>
      <c r="J564" s="119"/>
      <c r="K564" s="119"/>
      <c r="L564" s="24"/>
      <c r="M564" s="24"/>
      <c r="N564" s="24"/>
      <c r="O564" s="24"/>
      <c r="P564" s="114"/>
      <c r="Q564" s="24"/>
      <c r="R564" s="24"/>
      <c r="S564" s="24"/>
      <c r="T564" s="24"/>
      <c r="U564" s="24"/>
      <c r="V564" s="24"/>
      <c r="W564" s="24"/>
      <c r="X564" s="24"/>
      <c r="Y564" s="24"/>
      <c r="Z564" s="24"/>
      <c r="AA564" s="24"/>
      <c r="AB564" s="24"/>
      <c r="AC564" s="24"/>
    </row>
    <row r="565" spans="1:29" ht="16.3">
      <c r="A565" s="24"/>
      <c r="B565" s="24"/>
      <c r="C565" s="24"/>
      <c r="D565" s="24"/>
      <c r="E565" s="24"/>
      <c r="F565" s="24"/>
      <c r="G565" s="117"/>
      <c r="H565" s="117"/>
      <c r="I565" s="118"/>
      <c r="J565" s="119"/>
      <c r="K565" s="119"/>
      <c r="L565" s="24"/>
      <c r="M565" s="24"/>
      <c r="N565" s="24"/>
      <c r="O565" s="24"/>
      <c r="P565" s="114"/>
      <c r="Q565" s="24"/>
      <c r="R565" s="24"/>
      <c r="S565" s="24"/>
      <c r="T565" s="24"/>
      <c r="U565" s="24"/>
      <c r="V565" s="24"/>
      <c r="W565" s="24"/>
      <c r="X565" s="24"/>
      <c r="Y565" s="24"/>
      <c r="Z565" s="24"/>
      <c r="AA565" s="24"/>
      <c r="AB565" s="24"/>
      <c r="AC565" s="24"/>
    </row>
    <row r="566" spans="1:29" ht="16.3">
      <c r="A566" s="24"/>
      <c r="B566" s="24"/>
      <c r="C566" s="24"/>
      <c r="D566" s="24"/>
      <c r="E566" s="24"/>
      <c r="F566" s="24"/>
      <c r="G566" s="117"/>
      <c r="H566" s="117"/>
      <c r="I566" s="118"/>
      <c r="J566" s="119"/>
      <c r="K566" s="119"/>
      <c r="L566" s="24"/>
      <c r="M566" s="24"/>
      <c r="N566" s="24"/>
      <c r="O566" s="24"/>
      <c r="P566" s="114"/>
      <c r="Q566" s="24"/>
      <c r="R566" s="24"/>
      <c r="S566" s="24"/>
      <c r="T566" s="24"/>
      <c r="U566" s="24"/>
      <c r="V566" s="24"/>
      <c r="W566" s="24"/>
      <c r="X566" s="24"/>
      <c r="Y566" s="24"/>
      <c r="Z566" s="24"/>
      <c r="AA566" s="24"/>
      <c r="AB566" s="24"/>
      <c r="AC566" s="24"/>
    </row>
    <row r="567" spans="1:29" ht="16.3">
      <c r="A567" s="24"/>
      <c r="B567" s="24"/>
      <c r="C567" s="24"/>
      <c r="D567" s="24"/>
      <c r="E567" s="24"/>
      <c r="F567" s="24"/>
      <c r="G567" s="117"/>
      <c r="H567" s="117"/>
      <c r="I567" s="118"/>
      <c r="J567" s="119"/>
      <c r="K567" s="119"/>
      <c r="L567" s="24"/>
      <c r="M567" s="24"/>
      <c r="N567" s="24"/>
      <c r="O567" s="24"/>
      <c r="P567" s="114"/>
      <c r="Q567" s="24"/>
      <c r="R567" s="24"/>
      <c r="S567" s="24"/>
      <c r="T567" s="24"/>
      <c r="U567" s="24"/>
      <c r="V567" s="24"/>
      <c r="W567" s="24"/>
      <c r="X567" s="24"/>
      <c r="Y567" s="24"/>
      <c r="Z567" s="24"/>
      <c r="AA567" s="24"/>
      <c r="AB567" s="24"/>
      <c r="AC567" s="24"/>
    </row>
    <row r="568" spans="1:29" ht="16.3">
      <c r="A568" s="24"/>
      <c r="B568" s="24"/>
      <c r="C568" s="24"/>
      <c r="D568" s="24"/>
      <c r="E568" s="24"/>
      <c r="F568" s="24"/>
      <c r="G568" s="117"/>
      <c r="H568" s="117"/>
      <c r="I568" s="118"/>
      <c r="J568" s="119"/>
      <c r="K568" s="119"/>
      <c r="L568" s="24"/>
      <c r="M568" s="24"/>
      <c r="N568" s="24"/>
      <c r="O568" s="24"/>
      <c r="P568" s="114"/>
      <c r="Q568" s="24"/>
      <c r="R568" s="24"/>
      <c r="S568" s="24"/>
      <c r="T568" s="24"/>
      <c r="U568" s="24"/>
      <c r="V568" s="24"/>
      <c r="W568" s="24"/>
      <c r="X568" s="24"/>
      <c r="Y568" s="24"/>
      <c r="Z568" s="24"/>
      <c r="AA568" s="24"/>
      <c r="AB568" s="24"/>
      <c r="AC568" s="24"/>
    </row>
    <row r="569" spans="1:29" ht="16.3">
      <c r="A569" s="24"/>
      <c r="B569" s="24"/>
      <c r="C569" s="24"/>
      <c r="D569" s="24"/>
      <c r="E569" s="24"/>
      <c r="F569" s="24"/>
      <c r="G569" s="117"/>
      <c r="H569" s="117"/>
      <c r="I569" s="118"/>
      <c r="J569" s="119"/>
      <c r="K569" s="119"/>
      <c r="L569" s="24"/>
      <c r="M569" s="24"/>
      <c r="N569" s="24"/>
      <c r="O569" s="24"/>
      <c r="P569" s="114"/>
      <c r="Q569" s="24"/>
      <c r="R569" s="24"/>
      <c r="S569" s="24"/>
      <c r="T569" s="24"/>
      <c r="U569" s="24"/>
      <c r="V569" s="24"/>
      <c r="W569" s="24"/>
      <c r="X569" s="24"/>
      <c r="Y569" s="24"/>
      <c r="Z569" s="24"/>
      <c r="AA569" s="24"/>
      <c r="AB569" s="24"/>
      <c r="AC569" s="24"/>
    </row>
    <row r="570" spans="1:29" ht="16.3">
      <c r="A570" s="24"/>
      <c r="B570" s="24"/>
      <c r="C570" s="24"/>
      <c r="D570" s="24"/>
      <c r="E570" s="24"/>
      <c r="F570" s="24"/>
      <c r="G570" s="117"/>
      <c r="H570" s="117"/>
      <c r="I570" s="118"/>
      <c r="J570" s="119"/>
      <c r="K570" s="119"/>
      <c r="L570" s="24"/>
      <c r="M570" s="24"/>
      <c r="N570" s="24"/>
      <c r="O570" s="24"/>
      <c r="P570" s="114"/>
      <c r="Q570" s="24"/>
      <c r="R570" s="24"/>
      <c r="S570" s="24"/>
      <c r="T570" s="24"/>
      <c r="U570" s="24"/>
      <c r="V570" s="24"/>
      <c r="W570" s="24"/>
      <c r="X570" s="24"/>
      <c r="Y570" s="24"/>
      <c r="Z570" s="24"/>
      <c r="AA570" s="24"/>
      <c r="AB570" s="24"/>
      <c r="AC570" s="24"/>
    </row>
    <row r="571" spans="1:29" ht="16.3">
      <c r="A571" s="24"/>
      <c r="B571" s="24"/>
      <c r="C571" s="24"/>
      <c r="D571" s="24"/>
      <c r="E571" s="24"/>
      <c r="F571" s="24"/>
      <c r="G571" s="117"/>
      <c r="H571" s="117"/>
      <c r="I571" s="118"/>
      <c r="J571" s="119"/>
      <c r="K571" s="119"/>
      <c r="L571" s="24"/>
      <c r="M571" s="24"/>
      <c r="N571" s="24"/>
      <c r="O571" s="24"/>
      <c r="P571" s="114"/>
      <c r="Q571" s="24"/>
      <c r="R571" s="24"/>
      <c r="S571" s="24"/>
      <c r="T571" s="24"/>
      <c r="U571" s="24"/>
      <c r="V571" s="24"/>
      <c r="W571" s="24"/>
      <c r="X571" s="24"/>
      <c r="Y571" s="24"/>
      <c r="Z571" s="24"/>
      <c r="AA571" s="24"/>
      <c r="AB571" s="24"/>
      <c r="AC571" s="24"/>
    </row>
    <row r="572" spans="1:29" ht="16.3">
      <c r="A572" s="24"/>
      <c r="B572" s="24"/>
      <c r="C572" s="24"/>
      <c r="D572" s="24"/>
      <c r="E572" s="24"/>
      <c r="F572" s="24"/>
      <c r="G572" s="117"/>
      <c r="H572" s="117"/>
      <c r="I572" s="118"/>
      <c r="J572" s="119"/>
      <c r="K572" s="119"/>
      <c r="L572" s="24"/>
      <c r="M572" s="24"/>
      <c r="N572" s="24"/>
      <c r="O572" s="24"/>
      <c r="P572" s="114"/>
      <c r="Q572" s="24"/>
      <c r="R572" s="24"/>
      <c r="S572" s="24"/>
      <c r="T572" s="24"/>
      <c r="U572" s="24"/>
      <c r="V572" s="24"/>
      <c r="W572" s="24"/>
      <c r="X572" s="24"/>
      <c r="Y572" s="24"/>
      <c r="Z572" s="24"/>
      <c r="AA572" s="24"/>
      <c r="AB572" s="24"/>
      <c r="AC572" s="24"/>
    </row>
    <row r="573" spans="1:29" ht="16.3">
      <c r="A573" s="24"/>
      <c r="B573" s="24"/>
      <c r="C573" s="24"/>
      <c r="D573" s="24"/>
      <c r="E573" s="24"/>
      <c r="F573" s="24"/>
      <c r="G573" s="117"/>
      <c r="H573" s="117"/>
      <c r="I573" s="118"/>
      <c r="J573" s="119"/>
      <c r="K573" s="119"/>
      <c r="L573" s="24"/>
      <c r="M573" s="24"/>
      <c r="N573" s="24"/>
      <c r="O573" s="24"/>
      <c r="P573" s="114"/>
      <c r="Q573" s="24"/>
      <c r="R573" s="24"/>
      <c r="S573" s="24"/>
      <c r="T573" s="24"/>
      <c r="U573" s="24"/>
      <c r="V573" s="24"/>
      <c r="W573" s="24"/>
      <c r="X573" s="24"/>
      <c r="Y573" s="24"/>
      <c r="Z573" s="24"/>
      <c r="AA573" s="24"/>
      <c r="AB573" s="24"/>
      <c r="AC573" s="24"/>
    </row>
    <row r="574" spans="1:29" ht="16.3">
      <c r="A574" s="24"/>
      <c r="B574" s="24"/>
      <c r="C574" s="24"/>
      <c r="D574" s="24"/>
      <c r="E574" s="24"/>
      <c r="F574" s="24"/>
      <c r="G574" s="117"/>
      <c r="H574" s="117"/>
      <c r="I574" s="118"/>
      <c r="J574" s="119"/>
      <c r="K574" s="119"/>
      <c r="L574" s="24"/>
      <c r="M574" s="24"/>
      <c r="N574" s="24"/>
      <c r="O574" s="24"/>
      <c r="P574" s="114"/>
      <c r="Q574" s="24"/>
      <c r="R574" s="24"/>
      <c r="S574" s="24"/>
      <c r="T574" s="24"/>
      <c r="U574" s="24"/>
      <c r="V574" s="24"/>
      <c r="W574" s="24"/>
      <c r="X574" s="24"/>
      <c r="Y574" s="24"/>
      <c r="Z574" s="24"/>
      <c r="AA574" s="24"/>
      <c r="AB574" s="24"/>
      <c r="AC574" s="24"/>
    </row>
    <row r="575" spans="1:29" ht="16.3">
      <c r="A575" s="24"/>
      <c r="B575" s="24"/>
      <c r="C575" s="24"/>
      <c r="D575" s="24"/>
      <c r="E575" s="24"/>
      <c r="F575" s="24"/>
      <c r="G575" s="117"/>
      <c r="H575" s="117"/>
      <c r="I575" s="118"/>
      <c r="J575" s="119"/>
      <c r="K575" s="119"/>
      <c r="L575" s="24"/>
      <c r="M575" s="24"/>
      <c r="N575" s="24"/>
      <c r="O575" s="24"/>
      <c r="P575" s="114"/>
      <c r="Q575" s="24"/>
      <c r="R575" s="24"/>
      <c r="S575" s="24"/>
      <c r="T575" s="24"/>
      <c r="U575" s="24"/>
      <c r="V575" s="24"/>
      <c r="W575" s="24"/>
      <c r="X575" s="24"/>
      <c r="Y575" s="24"/>
      <c r="Z575" s="24"/>
      <c r="AA575" s="24"/>
      <c r="AB575" s="24"/>
      <c r="AC575" s="24"/>
    </row>
    <row r="576" spans="1:29" ht="16.3">
      <c r="A576" s="24"/>
      <c r="B576" s="24"/>
      <c r="C576" s="24"/>
      <c r="D576" s="24"/>
      <c r="E576" s="24"/>
      <c r="F576" s="24"/>
      <c r="G576" s="117"/>
      <c r="H576" s="117"/>
      <c r="I576" s="118"/>
      <c r="J576" s="119"/>
      <c r="K576" s="119"/>
      <c r="L576" s="24"/>
      <c r="M576" s="24"/>
      <c r="N576" s="24"/>
      <c r="O576" s="24"/>
      <c r="P576" s="114"/>
      <c r="Q576" s="24"/>
      <c r="R576" s="24"/>
      <c r="S576" s="24"/>
      <c r="T576" s="24"/>
      <c r="U576" s="24"/>
      <c r="V576" s="24"/>
      <c r="W576" s="24"/>
      <c r="X576" s="24"/>
      <c r="Y576" s="24"/>
      <c r="Z576" s="24"/>
      <c r="AA576" s="24"/>
      <c r="AB576" s="24"/>
      <c r="AC576" s="24"/>
    </row>
    <row r="577" spans="1:29" ht="16.3">
      <c r="A577" s="24"/>
      <c r="B577" s="24"/>
      <c r="C577" s="24"/>
      <c r="D577" s="24"/>
      <c r="E577" s="24"/>
      <c r="F577" s="24"/>
      <c r="G577" s="117"/>
      <c r="H577" s="117"/>
      <c r="I577" s="118"/>
      <c r="J577" s="119"/>
      <c r="K577" s="119"/>
      <c r="L577" s="24"/>
      <c r="M577" s="24"/>
      <c r="N577" s="24"/>
      <c r="O577" s="24"/>
      <c r="P577" s="114"/>
      <c r="Q577" s="24"/>
      <c r="R577" s="24"/>
      <c r="S577" s="24"/>
      <c r="T577" s="24"/>
      <c r="U577" s="24"/>
      <c r="V577" s="24"/>
      <c r="W577" s="24"/>
      <c r="X577" s="24"/>
      <c r="Y577" s="24"/>
      <c r="Z577" s="24"/>
      <c r="AA577" s="24"/>
      <c r="AB577" s="24"/>
      <c r="AC577" s="24"/>
    </row>
    <row r="578" spans="1:29" ht="16.3">
      <c r="A578" s="24"/>
      <c r="B578" s="24"/>
      <c r="C578" s="24"/>
      <c r="D578" s="24"/>
      <c r="E578" s="24"/>
      <c r="F578" s="24"/>
      <c r="G578" s="117"/>
      <c r="H578" s="117"/>
      <c r="I578" s="118"/>
      <c r="J578" s="119"/>
      <c r="K578" s="119"/>
      <c r="L578" s="24"/>
      <c r="M578" s="24"/>
      <c r="N578" s="24"/>
      <c r="O578" s="24"/>
      <c r="P578" s="114"/>
      <c r="Q578" s="24"/>
      <c r="R578" s="24"/>
      <c r="S578" s="24"/>
      <c r="T578" s="24"/>
      <c r="U578" s="24"/>
      <c r="V578" s="24"/>
      <c r="W578" s="24"/>
      <c r="X578" s="24"/>
      <c r="Y578" s="24"/>
      <c r="Z578" s="24"/>
      <c r="AA578" s="24"/>
      <c r="AB578" s="24"/>
      <c r="AC578" s="24"/>
    </row>
    <row r="579" spans="1:29" ht="16.3">
      <c r="A579" s="24"/>
      <c r="B579" s="24"/>
      <c r="C579" s="24"/>
      <c r="D579" s="24"/>
      <c r="E579" s="24"/>
      <c r="F579" s="24"/>
      <c r="G579" s="117"/>
      <c r="H579" s="117"/>
      <c r="I579" s="118"/>
      <c r="J579" s="119"/>
      <c r="K579" s="119"/>
      <c r="L579" s="24"/>
      <c r="M579" s="24"/>
      <c r="N579" s="24"/>
      <c r="O579" s="24"/>
      <c r="P579" s="114"/>
      <c r="Q579" s="24"/>
      <c r="R579" s="24"/>
      <c r="S579" s="24"/>
      <c r="T579" s="24"/>
      <c r="U579" s="24"/>
      <c r="V579" s="24"/>
      <c r="W579" s="24"/>
      <c r="X579" s="24"/>
      <c r="Y579" s="24"/>
      <c r="Z579" s="24"/>
      <c r="AA579" s="24"/>
      <c r="AB579" s="24"/>
      <c r="AC579" s="24"/>
    </row>
    <row r="580" spans="1:29" ht="16.3">
      <c r="A580" s="24"/>
      <c r="B580" s="24"/>
      <c r="C580" s="24"/>
      <c r="D580" s="24"/>
      <c r="E580" s="24"/>
      <c r="F580" s="24"/>
      <c r="G580" s="117"/>
      <c r="H580" s="117"/>
      <c r="I580" s="118"/>
      <c r="J580" s="119"/>
      <c r="K580" s="119"/>
      <c r="L580" s="24"/>
      <c r="M580" s="24"/>
      <c r="N580" s="24"/>
      <c r="O580" s="24"/>
      <c r="P580" s="114"/>
      <c r="Q580" s="24"/>
      <c r="R580" s="24"/>
      <c r="S580" s="24"/>
      <c r="T580" s="24"/>
      <c r="U580" s="24"/>
      <c r="V580" s="24"/>
      <c r="W580" s="24"/>
      <c r="X580" s="24"/>
      <c r="Y580" s="24"/>
      <c r="Z580" s="24"/>
      <c r="AA580" s="24"/>
      <c r="AB580" s="24"/>
      <c r="AC580" s="24"/>
    </row>
    <row r="581" spans="1:29" ht="16.3">
      <c r="A581" s="24"/>
      <c r="B581" s="24"/>
      <c r="C581" s="24"/>
      <c r="D581" s="24"/>
      <c r="E581" s="24"/>
      <c r="F581" s="24"/>
      <c r="G581" s="117"/>
      <c r="H581" s="117"/>
      <c r="I581" s="118"/>
      <c r="J581" s="119"/>
      <c r="K581" s="119"/>
      <c r="L581" s="24"/>
      <c r="M581" s="24"/>
      <c r="N581" s="24"/>
      <c r="O581" s="24"/>
      <c r="P581" s="114"/>
      <c r="Q581" s="24"/>
      <c r="R581" s="24"/>
      <c r="S581" s="24"/>
      <c r="T581" s="24"/>
      <c r="U581" s="24"/>
      <c r="V581" s="24"/>
      <c r="W581" s="24"/>
      <c r="X581" s="24"/>
      <c r="Y581" s="24"/>
      <c r="Z581" s="24"/>
      <c r="AA581" s="24"/>
      <c r="AB581" s="24"/>
      <c r="AC581" s="24"/>
    </row>
    <row r="582" spans="1:29" ht="16.3">
      <c r="A582" s="24"/>
      <c r="B582" s="24"/>
      <c r="C582" s="24"/>
      <c r="D582" s="24"/>
      <c r="E582" s="24"/>
      <c r="F582" s="24"/>
      <c r="G582" s="117"/>
      <c r="H582" s="117"/>
      <c r="I582" s="118"/>
      <c r="J582" s="119"/>
      <c r="K582" s="119"/>
      <c r="L582" s="24"/>
      <c r="M582" s="24"/>
      <c r="N582" s="24"/>
      <c r="O582" s="24"/>
      <c r="P582" s="114"/>
      <c r="Q582" s="24"/>
      <c r="R582" s="24"/>
      <c r="S582" s="24"/>
      <c r="T582" s="24"/>
      <c r="U582" s="24"/>
      <c r="V582" s="24"/>
      <c r="W582" s="24"/>
      <c r="X582" s="24"/>
      <c r="Y582" s="24"/>
      <c r="Z582" s="24"/>
      <c r="AA582" s="24"/>
      <c r="AB582" s="24"/>
      <c r="AC582" s="24"/>
    </row>
    <row r="583" spans="1:29" ht="16.3">
      <c r="A583" s="24"/>
      <c r="B583" s="24"/>
      <c r="C583" s="24"/>
      <c r="D583" s="24"/>
      <c r="E583" s="24"/>
      <c r="F583" s="24"/>
      <c r="G583" s="117"/>
      <c r="H583" s="117"/>
      <c r="I583" s="118"/>
      <c r="J583" s="119"/>
      <c r="K583" s="119"/>
      <c r="L583" s="24"/>
      <c r="M583" s="24"/>
      <c r="N583" s="24"/>
      <c r="O583" s="24"/>
      <c r="P583" s="114"/>
      <c r="Q583" s="24"/>
      <c r="R583" s="24"/>
      <c r="S583" s="24"/>
      <c r="T583" s="24"/>
      <c r="U583" s="24"/>
      <c r="V583" s="24"/>
      <c r="W583" s="24"/>
      <c r="X583" s="24"/>
      <c r="Y583" s="24"/>
      <c r="Z583" s="24"/>
      <c r="AA583" s="24"/>
      <c r="AB583" s="24"/>
      <c r="AC583" s="24"/>
    </row>
    <row r="584" spans="1:29" ht="16.3">
      <c r="A584" s="24"/>
      <c r="B584" s="24"/>
      <c r="C584" s="24"/>
      <c r="D584" s="24"/>
      <c r="E584" s="24"/>
      <c r="F584" s="24"/>
      <c r="G584" s="117"/>
      <c r="H584" s="117"/>
      <c r="I584" s="118"/>
      <c r="J584" s="119"/>
      <c r="K584" s="119"/>
      <c r="L584" s="24"/>
      <c r="M584" s="24"/>
      <c r="N584" s="24"/>
      <c r="O584" s="24"/>
      <c r="P584" s="114"/>
      <c r="Q584" s="24"/>
      <c r="R584" s="24"/>
      <c r="S584" s="24"/>
      <c r="T584" s="24"/>
      <c r="U584" s="24"/>
      <c r="V584" s="24"/>
      <c r="W584" s="24"/>
      <c r="X584" s="24"/>
      <c r="Y584" s="24"/>
      <c r="Z584" s="24"/>
      <c r="AA584" s="24"/>
      <c r="AB584" s="24"/>
      <c r="AC584" s="24"/>
    </row>
    <row r="585" spans="1:29" ht="16.3">
      <c r="A585" s="24"/>
      <c r="B585" s="24"/>
      <c r="C585" s="24"/>
      <c r="D585" s="24"/>
      <c r="E585" s="24"/>
      <c r="F585" s="24"/>
      <c r="G585" s="117"/>
      <c r="H585" s="117"/>
      <c r="I585" s="118"/>
      <c r="J585" s="119"/>
      <c r="K585" s="119"/>
      <c r="L585" s="24"/>
      <c r="M585" s="24"/>
      <c r="N585" s="24"/>
      <c r="O585" s="24"/>
      <c r="P585" s="114"/>
      <c r="Q585" s="24"/>
      <c r="R585" s="24"/>
      <c r="S585" s="24"/>
      <c r="T585" s="24"/>
      <c r="U585" s="24"/>
      <c r="V585" s="24"/>
      <c r="W585" s="24"/>
      <c r="X585" s="24"/>
      <c r="Y585" s="24"/>
      <c r="Z585" s="24"/>
      <c r="AA585" s="24"/>
      <c r="AB585" s="24"/>
      <c r="AC585" s="24"/>
    </row>
    <row r="586" spans="1:29" ht="16.3">
      <c r="A586" s="24"/>
      <c r="B586" s="24"/>
      <c r="C586" s="24"/>
      <c r="D586" s="24"/>
      <c r="E586" s="24"/>
      <c r="F586" s="24"/>
      <c r="G586" s="117"/>
      <c r="H586" s="117"/>
      <c r="I586" s="118"/>
      <c r="J586" s="119"/>
      <c r="K586" s="119"/>
      <c r="L586" s="24"/>
      <c r="M586" s="24"/>
      <c r="N586" s="24"/>
      <c r="O586" s="24"/>
      <c r="P586" s="114"/>
      <c r="Q586" s="24"/>
      <c r="R586" s="24"/>
      <c r="S586" s="24"/>
      <c r="T586" s="24"/>
      <c r="U586" s="24"/>
      <c r="V586" s="24"/>
      <c r="W586" s="24"/>
      <c r="X586" s="24"/>
      <c r="Y586" s="24"/>
      <c r="Z586" s="24"/>
      <c r="AA586" s="24"/>
      <c r="AB586" s="24"/>
      <c r="AC586" s="24"/>
    </row>
    <row r="587" spans="1:29" ht="16.3">
      <c r="A587" s="24"/>
      <c r="B587" s="24"/>
      <c r="C587" s="24"/>
      <c r="D587" s="24"/>
      <c r="E587" s="24"/>
      <c r="F587" s="24"/>
      <c r="G587" s="117"/>
      <c r="H587" s="117"/>
      <c r="I587" s="118"/>
      <c r="J587" s="119"/>
      <c r="K587" s="119"/>
      <c r="L587" s="24"/>
      <c r="M587" s="24"/>
      <c r="N587" s="24"/>
      <c r="O587" s="24"/>
      <c r="P587" s="114"/>
      <c r="Q587" s="24"/>
      <c r="R587" s="24"/>
      <c r="S587" s="24"/>
      <c r="T587" s="24"/>
      <c r="U587" s="24"/>
      <c r="V587" s="24"/>
      <c r="W587" s="24"/>
      <c r="X587" s="24"/>
      <c r="Y587" s="24"/>
      <c r="Z587" s="24"/>
      <c r="AA587" s="24"/>
      <c r="AB587" s="24"/>
      <c r="AC587" s="24"/>
    </row>
    <row r="588" spans="1:29" ht="16.3">
      <c r="A588" s="24"/>
      <c r="B588" s="24"/>
      <c r="C588" s="24"/>
      <c r="D588" s="24"/>
      <c r="E588" s="24"/>
      <c r="F588" s="24"/>
      <c r="G588" s="117"/>
      <c r="H588" s="117"/>
      <c r="I588" s="118"/>
      <c r="J588" s="119"/>
      <c r="K588" s="119"/>
      <c r="L588" s="24"/>
      <c r="M588" s="24"/>
      <c r="N588" s="24"/>
      <c r="O588" s="24"/>
      <c r="P588" s="114"/>
      <c r="Q588" s="24"/>
      <c r="R588" s="24"/>
      <c r="S588" s="24"/>
      <c r="T588" s="24"/>
      <c r="U588" s="24"/>
      <c r="V588" s="24"/>
      <c r="W588" s="24"/>
      <c r="X588" s="24"/>
      <c r="Y588" s="24"/>
      <c r="Z588" s="24"/>
      <c r="AA588" s="24"/>
      <c r="AB588" s="24"/>
      <c r="AC588" s="24"/>
    </row>
    <row r="589" spans="1:29" ht="16.3">
      <c r="A589" s="24"/>
      <c r="B589" s="24"/>
      <c r="C589" s="24"/>
      <c r="D589" s="24"/>
      <c r="E589" s="24"/>
      <c r="F589" s="24"/>
      <c r="G589" s="117"/>
      <c r="H589" s="117"/>
      <c r="I589" s="118"/>
      <c r="J589" s="119"/>
      <c r="K589" s="119"/>
      <c r="L589" s="24"/>
      <c r="M589" s="24"/>
      <c r="N589" s="24"/>
      <c r="O589" s="24"/>
      <c r="P589" s="114"/>
      <c r="Q589" s="24"/>
      <c r="R589" s="24"/>
      <c r="S589" s="24"/>
      <c r="T589" s="24"/>
      <c r="U589" s="24"/>
      <c r="V589" s="24"/>
      <c r="W589" s="24"/>
      <c r="X589" s="24"/>
      <c r="Y589" s="24"/>
      <c r="Z589" s="24"/>
      <c r="AA589" s="24"/>
      <c r="AB589" s="24"/>
      <c r="AC589" s="24"/>
    </row>
    <row r="590" spans="1:29" ht="16.3">
      <c r="A590" s="24"/>
      <c r="B590" s="24"/>
      <c r="C590" s="24"/>
      <c r="D590" s="24"/>
      <c r="E590" s="24"/>
      <c r="F590" s="24"/>
      <c r="G590" s="117"/>
      <c r="H590" s="117"/>
      <c r="I590" s="118"/>
      <c r="J590" s="119"/>
      <c r="K590" s="119"/>
      <c r="L590" s="24"/>
      <c r="M590" s="24"/>
      <c r="N590" s="24"/>
      <c r="O590" s="24"/>
      <c r="P590" s="114"/>
      <c r="Q590" s="24"/>
      <c r="R590" s="24"/>
      <c r="S590" s="24"/>
      <c r="T590" s="24"/>
      <c r="U590" s="24"/>
      <c r="V590" s="24"/>
      <c r="W590" s="24"/>
      <c r="X590" s="24"/>
      <c r="Y590" s="24"/>
      <c r="Z590" s="24"/>
      <c r="AA590" s="24"/>
      <c r="AB590" s="24"/>
      <c r="AC590" s="24"/>
    </row>
    <row r="591" spans="1:29" ht="16.3">
      <c r="A591" s="24"/>
      <c r="B591" s="24"/>
      <c r="C591" s="24"/>
      <c r="D591" s="24"/>
      <c r="E591" s="24"/>
      <c r="F591" s="24"/>
      <c r="G591" s="117"/>
      <c r="H591" s="117"/>
      <c r="I591" s="118"/>
      <c r="J591" s="119"/>
      <c r="K591" s="119"/>
      <c r="L591" s="24"/>
      <c r="M591" s="24"/>
      <c r="N591" s="24"/>
      <c r="O591" s="24"/>
      <c r="P591" s="114"/>
      <c r="Q591" s="24"/>
      <c r="R591" s="24"/>
      <c r="S591" s="24"/>
      <c r="T591" s="24"/>
      <c r="U591" s="24"/>
      <c r="V591" s="24"/>
      <c r="W591" s="24"/>
      <c r="X591" s="24"/>
      <c r="Y591" s="24"/>
      <c r="Z591" s="24"/>
      <c r="AA591" s="24"/>
      <c r="AB591" s="24"/>
      <c r="AC591" s="24"/>
    </row>
    <row r="592" spans="1:29" ht="16.3">
      <c r="A592" s="24"/>
      <c r="B592" s="24"/>
      <c r="C592" s="24"/>
      <c r="D592" s="24"/>
      <c r="E592" s="24"/>
      <c r="F592" s="24"/>
      <c r="G592" s="117"/>
      <c r="H592" s="117"/>
      <c r="I592" s="118"/>
      <c r="J592" s="119"/>
      <c r="K592" s="119"/>
      <c r="L592" s="24"/>
      <c r="M592" s="24"/>
      <c r="N592" s="24"/>
      <c r="O592" s="24"/>
      <c r="P592" s="114"/>
      <c r="Q592" s="24"/>
      <c r="R592" s="24"/>
      <c r="S592" s="24"/>
      <c r="T592" s="24"/>
      <c r="U592" s="24"/>
      <c r="V592" s="24"/>
      <c r="W592" s="24"/>
      <c r="X592" s="24"/>
      <c r="Y592" s="24"/>
      <c r="Z592" s="24"/>
      <c r="AA592" s="24"/>
      <c r="AB592" s="24"/>
      <c r="AC592" s="24"/>
    </row>
    <row r="593" spans="1:29" ht="16.3">
      <c r="A593" s="24"/>
      <c r="B593" s="24"/>
      <c r="C593" s="24"/>
      <c r="D593" s="24"/>
      <c r="E593" s="24"/>
      <c r="F593" s="24"/>
      <c r="G593" s="117"/>
      <c r="H593" s="117"/>
      <c r="I593" s="118"/>
      <c r="J593" s="119"/>
      <c r="K593" s="119"/>
      <c r="L593" s="24"/>
      <c r="M593" s="24"/>
      <c r="N593" s="24"/>
      <c r="O593" s="24"/>
      <c r="P593" s="114"/>
      <c r="Q593" s="24"/>
      <c r="R593" s="24"/>
      <c r="S593" s="24"/>
      <c r="T593" s="24"/>
      <c r="U593" s="24"/>
      <c r="V593" s="24"/>
      <c r="W593" s="24"/>
      <c r="X593" s="24"/>
      <c r="Y593" s="24"/>
      <c r="Z593" s="24"/>
      <c r="AA593" s="24"/>
      <c r="AB593" s="24"/>
      <c r="AC593" s="24"/>
    </row>
    <row r="594" spans="1:29" ht="16.3">
      <c r="A594" s="24"/>
      <c r="B594" s="24"/>
      <c r="C594" s="24"/>
      <c r="D594" s="24"/>
      <c r="E594" s="24"/>
      <c r="F594" s="24"/>
      <c r="G594" s="117"/>
      <c r="H594" s="117"/>
      <c r="I594" s="118"/>
      <c r="J594" s="119"/>
      <c r="K594" s="119"/>
      <c r="L594" s="24"/>
      <c r="M594" s="24"/>
      <c r="N594" s="24"/>
      <c r="O594" s="24"/>
      <c r="P594" s="114"/>
      <c r="Q594" s="24"/>
      <c r="R594" s="24"/>
      <c r="S594" s="24"/>
      <c r="T594" s="24"/>
      <c r="U594" s="24"/>
      <c r="V594" s="24"/>
      <c r="W594" s="24"/>
      <c r="X594" s="24"/>
      <c r="Y594" s="24"/>
      <c r="Z594" s="24"/>
      <c r="AA594" s="24"/>
      <c r="AB594" s="24"/>
      <c r="AC594" s="24"/>
    </row>
    <row r="595" spans="1:29" ht="16.3">
      <c r="A595" s="24"/>
      <c r="B595" s="24"/>
      <c r="C595" s="24"/>
      <c r="D595" s="24"/>
      <c r="E595" s="24"/>
      <c r="F595" s="24"/>
      <c r="G595" s="117"/>
      <c r="H595" s="117"/>
      <c r="I595" s="118"/>
      <c r="J595" s="119"/>
      <c r="K595" s="119"/>
      <c r="L595" s="24"/>
      <c r="M595" s="24"/>
      <c r="N595" s="24"/>
      <c r="O595" s="24"/>
      <c r="P595" s="114"/>
      <c r="Q595" s="24"/>
      <c r="R595" s="24"/>
      <c r="S595" s="24"/>
      <c r="T595" s="24"/>
      <c r="U595" s="24"/>
      <c r="V595" s="24"/>
      <c r="W595" s="24"/>
      <c r="X595" s="24"/>
      <c r="Y595" s="24"/>
      <c r="Z595" s="24"/>
      <c r="AA595" s="24"/>
      <c r="AB595" s="24"/>
      <c r="AC595" s="24"/>
    </row>
    <row r="596" spans="1:29" ht="16.3">
      <c r="A596" s="24"/>
      <c r="B596" s="24"/>
      <c r="C596" s="24"/>
      <c r="D596" s="24"/>
      <c r="E596" s="24"/>
      <c r="F596" s="24"/>
      <c r="G596" s="117"/>
      <c r="H596" s="117"/>
      <c r="I596" s="118"/>
      <c r="J596" s="119"/>
      <c r="K596" s="119"/>
      <c r="L596" s="24"/>
      <c r="M596" s="24"/>
      <c r="N596" s="24"/>
      <c r="O596" s="24"/>
      <c r="P596" s="114"/>
      <c r="Q596" s="24"/>
      <c r="R596" s="24"/>
      <c r="S596" s="24"/>
      <c r="T596" s="24"/>
      <c r="U596" s="24"/>
      <c r="V596" s="24"/>
      <c r="W596" s="24"/>
      <c r="X596" s="24"/>
      <c r="Y596" s="24"/>
      <c r="Z596" s="24"/>
      <c r="AA596" s="24"/>
      <c r="AB596" s="24"/>
      <c r="AC596" s="24"/>
    </row>
    <row r="597" spans="1:29" ht="16.3">
      <c r="A597" s="24"/>
      <c r="B597" s="24"/>
      <c r="C597" s="24"/>
      <c r="D597" s="24"/>
      <c r="E597" s="24"/>
      <c r="F597" s="24"/>
      <c r="G597" s="117"/>
      <c r="H597" s="117"/>
      <c r="I597" s="118"/>
      <c r="J597" s="119"/>
      <c r="K597" s="119"/>
      <c r="L597" s="24"/>
      <c r="M597" s="24"/>
      <c r="N597" s="24"/>
      <c r="O597" s="24"/>
      <c r="P597" s="114"/>
      <c r="Q597" s="24"/>
      <c r="R597" s="24"/>
      <c r="S597" s="24"/>
      <c r="T597" s="24"/>
      <c r="U597" s="24"/>
      <c r="V597" s="24"/>
      <c r="W597" s="24"/>
      <c r="X597" s="24"/>
      <c r="Y597" s="24"/>
      <c r="Z597" s="24"/>
      <c r="AA597" s="24"/>
      <c r="AB597" s="24"/>
      <c r="AC597" s="24"/>
    </row>
    <row r="598" spans="1:29" ht="16.3">
      <c r="A598" s="24"/>
      <c r="B598" s="24"/>
      <c r="C598" s="24"/>
      <c r="D598" s="24"/>
      <c r="E598" s="24"/>
      <c r="F598" s="24"/>
      <c r="G598" s="117"/>
      <c r="H598" s="117"/>
      <c r="I598" s="118"/>
      <c r="J598" s="119"/>
      <c r="K598" s="119"/>
      <c r="L598" s="24"/>
      <c r="M598" s="24"/>
      <c r="N598" s="24"/>
      <c r="O598" s="24"/>
      <c r="P598" s="114"/>
      <c r="Q598" s="24"/>
      <c r="R598" s="24"/>
      <c r="S598" s="24"/>
      <c r="T598" s="24"/>
      <c r="U598" s="24"/>
      <c r="V598" s="24"/>
      <c r="W598" s="24"/>
      <c r="X598" s="24"/>
      <c r="Y598" s="24"/>
      <c r="Z598" s="24"/>
      <c r="AA598" s="24"/>
      <c r="AB598" s="24"/>
      <c r="AC598" s="24"/>
    </row>
    <row r="599" spans="1:29" ht="16.3">
      <c r="A599" s="24"/>
      <c r="B599" s="24"/>
      <c r="C599" s="24"/>
      <c r="D599" s="24"/>
      <c r="E599" s="24"/>
      <c r="F599" s="24"/>
      <c r="G599" s="117"/>
      <c r="H599" s="117"/>
      <c r="I599" s="118"/>
      <c r="J599" s="119"/>
      <c r="K599" s="119"/>
      <c r="L599" s="24"/>
      <c r="M599" s="24"/>
      <c r="N599" s="24"/>
      <c r="O599" s="24"/>
      <c r="P599" s="114"/>
      <c r="Q599" s="24"/>
      <c r="R599" s="24"/>
      <c r="S599" s="24"/>
      <c r="T599" s="24"/>
      <c r="U599" s="24"/>
      <c r="V599" s="24"/>
      <c r="W599" s="24"/>
      <c r="X599" s="24"/>
      <c r="Y599" s="24"/>
      <c r="Z599" s="24"/>
      <c r="AA599" s="24"/>
      <c r="AB599" s="24"/>
      <c r="AC599" s="24"/>
    </row>
    <row r="600" spans="1:29" ht="16.3">
      <c r="A600" s="24"/>
      <c r="B600" s="24"/>
      <c r="C600" s="24"/>
      <c r="D600" s="24"/>
      <c r="E600" s="24"/>
      <c r="F600" s="24"/>
      <c r="G600" s="117"/>
      <c r="H600" s="117"/>
      <c r="I600" s="118"/>
      <c r="J600" s="119"/>
      <c r="K600" s="119"/>
      <c r="L600" s="24"/>
      <c r="M600" s="24"/>
      <c r="N600" s="24"/>
      <c r="O600" s="24"/>
      <c r="P600" s="114"/>
      <c r="Q600" s="24"/>
      <c r="R600" s="24"/>
      <c r="S600" s="24"/>
      <c r="T600" s="24"/>
      <c r="U600" s="24"/>
      <c r="V600" s="24"/>
      <c r="W600" s="24"/>
      <c r="X600" s="24"/>
      <c r="Y600" s="24"/>
      <c r="Z600" s="24"/>
      <c r="AA600" s="24"/>
      <c r="AB600" s="24"/>
      <c r="AC600" s="24"/>
    </row>
    <row r="601" spans="1:29" ht="16.3">
      <c r="A601" s="24"/>
      <c r="B601" s="24"/>
      <c r="C601" s="24"/>
      <c r="D601" s="24"/>
      <c r="E601" s="24"/>
      <c r="F601" s="24"/>
      <c r="G601" s="117"/>
      <c r="H601" s="117"/>
      <c r="I601" s="118"/>
      <c r="J601" s="119"/>
      <c r="K601" s="119"/>
      <c r="L601" s="24"/>
      <c r="M601" s="24"/>
      <c r="N601" s="24"/>
      <c r="O601" s="24"/>
      <c r="P601" s="114"/>
      <c r="Q601" s="24"/>
      <c r="R601" s="24"/>
      <c r="S601" s="24"/>
      <c r="T601" s="24"/>
      <c r="U601" s="24"/>
      <c r="V601" s="24"/>
      <c r="W601" s="24"/>
      <c r="X601" s="24"/>
      <c r="Y601" s="24"/>
      <c r="Z601" s="24"/>
      <c r="AA601" s="24"/>
      <c r="AB601" s="24"/>
      <c r="AC601" s="24"/>
    </row>
    <row r="602" spans="1:29" ht="16.3">
      <c r="A602" s="24"/>
      <c r="B602" s="24"/>
      <c r="C602" s="24"/>
      <c r="D602" s="24"/>
      <c r="E602" s="24"/>
      <c r="F602" s="24"/>
      <c r="G602" s="117"/>
      <c r="H602" s="117"/>
      <c r="I602" s="118"/>
      <c r="J602" s="119"/>
      <c r="K602" s="119"/>
      <c r="L602" s="24"/>
      <c r="M602" s="24"/>
      <c r="N602" s="24"/>
      <c r="O602" s="24"/>
      <c r="P602" s="114"/>
      <c r="Q602" s="24"/>
      <c r="R602" s="24"/>
      <c r="S602" s="24"/>
      <c r="T602" s="24"/>
      <c r="U602" s="24"/>
      <c r="V602" s="24"/>
      <c r="W602" s="24"/>
      <c r="X602" s="24"/>
      <c r="Y602" s="24"/>
      <c r="Z602" s="24"/>
      <c r="AA602" s="24"/>
      <c r="AB602" s="24"/>
      <c r="AC602" s="24"/>
    </row>
    <row r="603" spans="1:29" ht="16.3">
      <c r="A603" s="24"/>
      <c r="B603" s="24"/>
      <c r="C603" s="24"/>
      <c r="D603" s="24"/>
      <c r="E603" s="24"/>
      <c r="F603" s="24"/>
      <c r="G603" s="117"/>
      <c r="H603" s="117"/>
      <c r="I603" s="118"/>
      <c r="J603" s="119"/>
      <c r="K603" s="119"/>
      <c r="L603" s="24"/>
      <c r="M603" s="24"/>
      <c r="N603" s="24"/>
      <c r="O603" s="24"/>
      <c r="P603" s="114"/>
      <c r="Q603" s="24"/>
      <c r="R603" s="24"/>
      <c r="S603" s="24"/>
      <c r="T603" s="24"/>
      <c r="U603" s="24"/>
      <c r="V603" s="24"/>
      <c r="W603" s="24"/>
      <c r="X603" s="24"/>
      <c r="Y603" s="24"/>
      <c r="Z603" s="24"/>
      <c r="AA603" s="24"/>
      <c r="AB603" s="24"/>
      <c r="AC603" s="24"/>
    </row>
    <row r="604" spans="1:29" ht="16.3">
      <c r="A604" s="24"/>
      <c r="B604" s="24"/>
      <c r="C604" s="24"/>
      <c r="D604" s="24"/>
      <c r="E604" s="24"/>
      <c r="F604" s="24"/>
      <c r="G604" s="117"/>
      <c r="H604" s="117"/>
      <c r="I604" s="118"/>
      <c r="J604" s="119"/>
      <c r="K604" s="119"/>
      <c r="L604" s="24"/>
      <c r="M604" s="24"/>
      <c r="N604" s="24"/>
      <c r="O604" s="24"/>
      <c r="P604" s="114"/>
      <c r="Q604" s="24"/>
      <c r="R604" s="24"/>
      <c r="S604" s="24"/>
      <c r="T604" s="24"/>
      <c r="U604" s="24"/>
      <c r="V604" s="24"/>
      <c r="W604" s="24"/>
      <c r="X604" s="24"/>
      <c r="Y604" s="24"/>
      <c r="Z604" s="24"/>
      <c r="AA604" s="24"/>
      <c r="AB604" s="24"/>
      <c r="AC604" s="24"/>
    </row>
    <row r="605" spans="1:29" ht="16.3">
      <c r="A605" s="24"/>
      <c r="B605" s="24"/>
      <c r="C605" s="24"/>
      <c r="D605" s="24"/>
      <c r="E605" s="24"/>
      <c r="F605" s="24"/>
      <c r="G605" s="117"/>
      <c r="H605" s="117"/>
      <c r="I605" s="118"/>
      <c r="J605" s="119"/>
      <c r="K605" s="119"/>
      <c r="L605" s="24"/>
      <c r="M605" s="24"/>
      <c r="N605" s="24"/>
      <c r="O605" s="24"/>
      <c r="P605" s="114"/>
      <c r="Q605" s="24"/>
      <c r="R605" s="24"/>
      <c r="S605" s="24"/>
      <c r="T605" s="24"/>
      <c r="U605" s="24"/>
      <c r="V605" s="24"/>
      <c r="W605" s="24"/>
      <c r="X605" s="24"/>
      <c r="Y605" s="24"/>
      <c r="Z605" s="24"/>
      <c r="AA605" s="24"/>
      <c r="AB605" s="24"/>
      <c r="AC605" s="24"/>
    </row>
    <row r="606" spans="1:29" ht="16.3">
      <c r="A606" s="24"/>
      <c r="B606" s="24"/>
      <c r="C606" s="24"/>
      <c r="D606" s="24"/>
      <c r="E606" s="24"/>
      <c r="F606" s="24"/>
      <c r="G606" s="117"/>
      <c r="H606" s="117"/>
      <c r="I606" s="118"/>
      <c r="J606" s="119"/>
      <c r="K606" s="119"/>
      <c r="L606" s="24"/>
      <c r="M606" s="24"/>
      <c r="N606" s="24"/>
      <c r="O606" s="24"/>
      <c r="P606" s="114"/>
      <c r="Q606" s="24"/>
      <c r="R606" s="24"/>
      <c r="S606" s="24"/>
      <c r="T606" s="24"/>
      <c r="U606" s="24"/>
      <c r="V606" s="24"/>
      <c r="W606" s="24"/>
      <c r="X606" s="24"/>
      <c r="Y606" s="24"/>
      <c r="Z606" s="24"/>
      <c r="AA606" s="24"/>
      <c r="AB606" s="24"/>
      <c r="AC606" s="24"/>
    </row>
    <row r="607" spans="1:29" ht="16.3">
      <c r="A607" s="24"/>
      <c r="B607" s="24"/>
      <c r="C607" s="24"/>
      <c r="D607" s="24"/>
      <c r="E607" s="24"/>
      <c r="F607" s="24"/>
      <c r="G607" s="117"/>
      <c r="H607" s="117"/>
      <c r="I607" s="118"/>
      <c r="J607" s="119"/>
      <c r="K607" s="119"/>
      <c r="L607" s="24"/>
      <c r="M607" s="24"/>
      <c r="N607" s="24"/>
      <c r="O607" s="24"/>
      <c r="P607" s="114"/>
      <c r="Q607" s="24"/>
      <c r="R607" s="24"/>
      <c r="S607" s="24"/>
      <c r="T607" s="24"/>
      <c r="U607" s="24"/>
      <c r="V607" s="24"/>
      <c r="W607" s="24"/>
      <c r="X607" s="24"/>
      <c r="Y607" s="24"/>
      <c r="Z607" s="24"/>
      <c r="AA607" s="24"/>
      <c r="AB607" s="24"/>
      <c r="AC607" s="24"/>
    </row>
    <row r="608" spans="1:29" ht="16.3">
      <c r="A608" s="24"/>
      <c r="B608" s="24"/>
      <c r="C608" s="24"/>
      <c r="D608" s="24"/>
      <c r="E608" s="24"/>
      <c r="F608" s="24"/>
      <c r="G608" s="117"/>
      <c r="H608" s="117"/>
      <c r="I608" s="118"/>
      <c r="J608" s="119"/>
      <c r="K608" s="119"/>
      <c r="L608" s="24"/>
      <c r="M608" s="24"/>
      <c r="N608" s="24"/>
      <c r="O608" s="24"/>
      <c r="P608" s="114"/>
      <c r="Q608" s="24"/>
      <c r="R608" s="24"/>
      <c r="S608" s="24"/>
      <c r="T608" s="24"/>
      <c r="U608" s="24"/>
      <c r="V608" s="24"/>
      <c r="W608" s="24"/>
      <c r="X608" s="24"/>
      <c r="Y608" s="24"/>
      <c r="Z608" s="24"/>
      <c r="AA608" s="24"/>
      <c r="AB608" s="24"/>
      <c r="AC608" s="24"/>
    </row>
    <row r="609" spans="1:29" ht="16.3">
      <c r="A609" s="24"/>
      <c r="B609" s="24"/>
      <c r="C609" s="24"/>
      <c r="D609" s="24"/>
      <c r="E609" s="24"/>
      <c r="F609" s="24"/>
      <c r="G609" s="117"/>
      <c r="H609" s="117"/>
      <c r="I609" s="118"/>
      <c r="J609" s="119"/>
      <c r="K609" s="119"/>
      <c r="L609" s="24"/>
      <c r="M609" s="24"/>
      <c r="N609" s="24"/>
      <c r="O609" s="24"/>
      <c r="P609" s="114"/>
      <c r="Q609" s="24"/>
      <c r="R609" s="24"/>
      <c r="S609" s="24"/>
      <c r="T609" s="24"/>
      <c r="U609" s="24"/>
      <c r="V609" s="24"/>
      <c r="W609" s="24"/>
      <c r="X609" s="24"/>
      <c r="Y609" s="24"/>
      <c r="Z609" s="24"/>
      <c r="AA609" s="24"/>
      <c r="AB609" s="24"/>
      <c r="AC609" s="24"/>
    </row>
    <row r="610" spans="1:29" ht="16.3">
      <c r="A610" s="24"/>
      <c r="B610" s="24"/>
      <c r="C610" s="24"/>
      <c r="D610" s="24"/>
      <c r="E610" s="24"/>
      <c r="F610" s="24"/>
      <c r="G610" s="117"/>
      <c r="H610" s="117"/>
      <c r="I610" s="118"/>
      <c r="J610" s="119"/>
      <c r="K610" s="119"/>
      <c r="L610" s="24"/>
      <c r="M610" s="24"/>
      <c r="N610" s="24"/>
      <c r="O610" s="24"/>
      <c r="P610" s="114"/>
      <c r="Q610" s="24"/>
      <c r="R610" s="24"/>
      <c r="S610" s="24"/>
      <c r="T610" s="24"/>
      <c r="U610" s="24"/>
      <c r="V610" s="24"/>
      <c r="W610" s="24"/>
      <c r="X610" s="24"/>
      <c r="Y610" s="24"/>
      <c r="Z610" s="24"/>
      <c r="AA610" s="24"/>
      <c r="AB610" s="24"/>
      <c r="AC610" s="24"/>
    </row>
    <row r="611" spans="1:29" ht="16.3">
      <c r="A611" s="24"/>
      <c r="B611" s="24"/>
      <c r="C611" s="24"/>
      <c r="D611" s="24"/>
      <c r="E611" s="24"/>
      <c r="F611" s="24"/>
      <c r="G611" s="117"/>
      <c r="H611" s="117"/>
      <c r="I611" s="118"/>
      <c r="J611" s="119"/>
      <c r="K611" s="119"/>
      <c r="L611" s="24"/>
      <c r="M611" s="24"/>
      <c r="N611" s="24"/>
      <c r="O611" s="24"/>
      <c r="P611" s="114"/>
      <c r="Q611" s="24"/>
      <c r="R611" s="24"/>
      <c r="S611" s="24"/>
      <c r="T611" s="24"/>
      <c r="U611" s="24"/>
      <c r="V611" s="24"/>
      <c r="W611" s="24"/>
      <c r="X611" s="24"/>
      <c r="Y611" s="24"/>
      <c r="Z611" s="24"/>
      <c r="AA611" s="24"/>
      <c r="AB611" s="24"/>
      <c r="AC611" s="24"/>
    </row>
    <row r="612" spans="1:29" ht="16.3">
      <c r="A612" s="24"/>
      <c r="B612" s="24"/>
      <c r="C612" s="24"/>
      <c r="D612" s="24"/>
      <c r="E612" s="24"/>
      <c r="F612" s="24"/>
      <c r="G612" s="117"/>
      <c r="H612" s="117"/>
      <c r="I612" s="118"/>
      <c r="J612" s="119"/>
      <c r="K612" s="119"/>
      <c r="L612" s="24"/>
      <c r="M612" s="24"/>
      <c r="N612" s="24"/>
      <c r="O612" s="24"/>
      <c r="P612" s="114"/>
      <c r="Q612" s="24"/>
      <c r="R612" s="24"/>
      <c r="S612" s="24"/>
      <c r="T612" s="24"/>
      <c r="U612" s="24"/>
      <c r="V612" s="24"/>
      <c r="W612" s="24"/>
      <c r="X612" s="24"/>
      <c r="Y612" s="24"/>
      <c r="Z612" s="24"/>
      <c r="AA612" s="24"/>
      <c r="AB612" s="24"/>
      <c r="AC612" s="24"/>
    </row>
    <row r="613" spans="1:29" ht="16.3">
      <c r="A613" s="24"/>
      <c r="B613" s="24"/>
      <c r="C613" s="24"/>
      <c r="D613" s="24"/>
      <c r="E613" s="24"/>
      <c r="F613" s="24"/>
      <c r="G613" s="117"/>
      <c r="H613" s="117"/>
      <c r="I613" s="118"/>
      <c r="J613" s="119"/>
      <c r="K613" s="119"/>
      <c r="L613" s="24"/>
      <c r="M613" s="24"/>
      <c r="N613" s="24"/>
      <c r="O613" s="24"/>
      <c r="P613" s="114"/>
      <c r="Q613" s="24"/>
      <c r="R613" s="24"/>
      <c r="S613" s="24"/>
      <c r="T613" s="24"/>
      <c r="U613" s="24"/>
      <c r="V613" s="24"/>
      <c r="W613" s="24"/>
      <c r="X613" s="24"/>
      <c r="Y613" s="24"/>
      <c r="Z613" s="24"/>
      <c r="AA613" s="24"/>
      <c r="AB613" s="24"/>
      <c r="AC613" s="24"/>
    </row>
    <row r="614" spans="1:29" ht="16.3">
      <c r="A614" s="24"/>
      <c r="B614" s="24"/>
      <c r="C614" s="24"/>
      <c r="D614" s="24"/>
      <c r="E614" s="24"/>
      <c r="F614" s="24"/>
      <c r="G614" s="117"/>
      <c r="H614" s="117"/>
      <c r="I614" s="118"/>
      <c r="J614" s="119"/>
      <c r="K614" s="119"/>
      <c r="L614" s="24"/>
      <c r="M614" s="24"/>
      <c r="N614" s="24"/>
      <c r="O614" s="24"/>
      <c r="P614" s="114"/>
      <c r="Q614" s="24"/>
      <c r="R614" s="24"/>
      <c r="S614" s="24"/>
      <c r="T614" s="24"/>
      <c r="U614" s="24"/>
      <c r="V614" s="24"/>
      <c r="W614" s="24"/>
      <c r="X614" s="24"/>
      <c r="Y614" s="24"/>
      <c r="Z614" s="24"/>
      <c r="AA614" s="24"/>
      <c r="AB614" s="24"/>
      <c r="AC614" s="24"/>
    </row>
    <row r="615" spans="1:29" ht="16.3">
      <c r="A615" s="24"/>
      <c r="B615" s="24"/>
      <c r="C615" s="24"/>
      <c r="D615" s="24"/>
      <c r="E615" s="24"/>
      <c r="F615" s="24"/>
      <c r="G615" s="117"/>
      <c r="H615" s="117"/>
      <c r="I615" s="118"/>
      <c r="J615" s="119"/>
      <c r="K615" s="119"/>
      <c r="L615" s="24"/>
      <c r="M615" s="24"/>
      <c r="N615" s="24"/>
      <c r="O615" s="24"/>
      <c r="P615" s="114"/>
      <c r="Q615" s="24"/>
      <c r="R615" s="24"/>
      <c r="S615" s="24"/>
      <c r="T615" s="24"/>
      <c r="U615" s="24"/>
      <c r="V615" s="24"/>
      <c r="W615" s="24"/>
      <c r="X615" s="24"/>
      <c r="Y615" s="24"/>
      <c r="Z615" s="24"/>
      <c r="AA615" s="24"/>
      <c r="AB615" s="24"/>
      <c r="AC615" s="24"/>
    </row>
    <row r="616" spans="1:29" ht="16.3">
      <c r="A616" s="24"/>
      <c r="B616" s="24"/>
      <c r="C616" s="24"/>
      <c r="D616" s="24"/>
      <c r="E616" s="24"/>
      <c r="F616" s="24"/>
      <c r="G616" s="117"/>
      <c r="H616" s="117"/>
      <c r="I616" s="118"/>
      <c r="J616" s="119"/>
      <c r="K616" s="119"/>
      <c r="L616" s="24"/>
      <c r="M616" s="24"/>
      <c r="N616" s="24"/>
      <c r="O616" s="24"/>
      <c r="P616" s="114"/>
      <c r="Q616" s="24"/>
      <c r="R616" s="24"/>
      <c r="S616" s="24"/>
      <c r="T616" s="24"/>
      <c r="U616" s="24"/>
      <c r="V616" s="24"/>
      <c r="W616" s="24"/>
      <c r="X616" s="24"/>
      <c r="Y616" s="24"/>
      <c r="Z616" s="24"/>
      <c r="AA616" s="24"/>
      <c r="AB616" s="24"/>
      <c r="AC616" s="24"/>
    </row>
    <row r="617" spans="1:29" ht="16.3">
      <c r="A617" s="24"/>
      <c r="B617" s="24"/>
      <c r="C617" s="24"/>
      <c r="D617" s="24"/>
      <c r="E617" s="24"/>
      <c r="F617" s="24"/>
      <c r="G617" s="117"/>
      <c r="H617" s="117"/>
      <c r="I617" s="118"/>
      <c r="J617" s="119"/>
      <c r="K617" s="119"/>
      <c r="L617" s="24"/>
      <c r="M617" s="24"/>
      <c r="N617" s="24"/>
      <c r="O617" s="24"/>
      <c r="P617" s="114"/>
      <c r="Q617" s="24"/>
      <c r="R617" s="24"/>
      <c r="S617" s="24"/>
      <c r="T617" s="24"/>
      <c r="U617" s="24"/>
      <c r="V617" s="24"/>
      <c r="W617" s="24"/>
      <c r="X617" s="24"/>
      <c r="Y617" s="24"/>
      <c r="Z617" s="24"/>
      <c r="AA617" s="24"/>
      <c r="AB617" s="24"/>
      <c r="AC617" s="24"/>
    </row>
    <row r="618" spans="1:29" ht="16.3">
      <c r="A618" s="24"/>
      <c r="B618" s="24"/>
      <c r="C618" s="24"/>
      <c r="D618" s="24"/>
      <c r="E618" s="24"/>
      <c r="F618" s="24"/>
      <c r="G618" s="117"/>
      <c r="H618" s="117"/>
      <c r="I618" s="118"/>
      <c r="J618" s="119"/>
      <c r="K618" s="119"/>
      <c r="L618" s="24"/>
      <c r="M618" s="24"/>
      <c r="N618" s="24"/>
      <c r="O618" s="24"/>
      <c r="P618" s="114"/>
      <c r="Q618" s="24"/>
      <c r="R618" s="24"/>
      <c r="S618" s="24"/>
      <c r="T618" s="24"/>
      <c r="U618" s="24"/>
      <c r="V618" s="24"/>
      <c r="W618" s="24"/>
      <c r="X618" s="24"/>
      <c r="Y618" s="24"/>
      <c r="Z618" s="24"/>
      <c r="AA618" s="24"/>
      <c r="AB618" s="24"/>
      <c r="AC618" s="24"/>
    </row>
    <row r="619" spans="1:29" ht="16.3">
      <c r="A619" s="24"/>
      <c r="B619" s="24"/>
      <c r="C619" s="24"/>
      <c r="D619" s="24"/>
      <c r="E619" s="24"/>
      <c r="F619" s="24"/>
      <c r="G619" s="117"/>
      <c r="H619" s="117"/>
      <c r="I619" s="118"/>
      <c r="J619" s="119"/>
      <c r="K619" s="119"/>
      <c r="L619" s="24"/>
      <c r="M619" s="24"/>
      <c r="N619" s="24"/>
      <c r="O619" s="24"/>
      <c r="P619" s="114"/>
      <c r="Q619" s="24"/>
      <c r="R619" s="24"/>
      <c r="S619" s="24"/>
      <c r="T619" s="24"/>
      <c r="U619" s="24"/>
      <c r="V619" s="24"/>
      <c r="W619" s="24"/>
      <c r="X619" s="24"/>
      <c r="Y619" s="24"/>
      <c r="Z619" s="24"/>
      <c r="AA619" s="24"/>
      <c r="AB619" s="24"/>
      <c r="AC619" s="24"/>
    </row>
    <row r="620" spans="1:29" ht="16.3">
      <c r="A620" s="24"/>
      <c r="B620" s="24"/>
      <c r="C620" s="24"/>
      <c r="D620" s="24"/>
      <c r="E620" s="24"/>
      <c r="F620" s="24"/>
      <c r="G620" s="117"/>
      <c r="H620" s="117"/>
      <c r="I620" s="118"/>
      <c r="J620" s="119"/>
      <c r="K620" s="119"/>
      <c r="L620" s="24"/>
      <c r="M620" s="24"/>
      <c r="N620" s="24"/>
      <c r="O620" s="24"/>
      <c r="P620" s="114"/>
      <c r="Q620" s="24"/>
      <c r="R620" s="24"/>
      <c r="S620" s="24"/>
      <c r="T620" s="24"/>
      <c r="U620" s="24"/>
      <c r="V620" s="24"/>
      <c r="W620" s="24"/>
      <c r="X620" s="24"/>
      <c r="Y620" s="24"/>
      <c r="Z620" s="24"/>
      <c r="AA620" s="24"/>
      <c r="AB620" s="24"/>
      <c r="AC620" s="24"/>
    </row>
    <row r="621" spans="1:29" ht="16.3">
      <c r="A621" s="24"/>
      <c r="B621" s="24"/>
      <c r="C621" s="24"/>
      <c r="D621" s="24"/>
      <c r="E621" s="24"/>
      <c r="F621" s="24"/>
      <c r="G621" s="117"/>
      <c r="H621" s="117"/>
      <c r="I621" s="118"/>
      <c r="J621" s="119"/>
      <c r="K621" s="119"/>
      <c r="L621" s="24"/>
      <c r="M621" s="24"/>
      <c r="N621" s="24"/>
      <c r="O621" s="24"/>
      <c r="P621" s="114"/>
      <c r="Q621" s="24"/>
      <c r="R621" s="24"/>
      <c r="S621" s="24"/>
      <c r="T621" s="24"/>
      <c r="U621" s="24"/>
      <c r="V621" s="24"/>
      <c r="W621" s="24"/>
      <c r="X621" s="24"/>
      <c r="Y621" s="24"/>
      <c r="Z621" s="24"/>
      <c r="AA621" s="24"/>
      <c r="AB621" s="24"/>
      <c r="AC621" s="24"/>
    </row>
    <row r="622" spans="1:29" ht="16.3">
      <c r="A622" s="24"/>
      <c r="B622" s="24"/>
      <c r="C622" s="24"/>
      <c r="D622" s="24"/>
      <c r="E622" s="24"/>
      <c r="F622" s="24"/>
      <c r="G622" s="117"/>
      <c r="H622" s="117"/>
      <c r="I622" s="118"/>
      <c r="J622" s="119"/>
      <c r="K622" s="119"/>
      <c r="L622" s="24"/>
      <c r="M622" s="24"/>
      <c r="N622" s="24"/>
      <c r="O622" s="24"/>
      <c r="P622" s="114"/>
      <c r="Q622" s="24"/>
      <c r="R622" s="24"/>
      <c r="S622" s="24"/>
      <c r="T622" s="24"/>
      <c r="U622" s="24"/>
      <c r="V622" s="24"/>
      <c r="W622" s="24"/>
      <c r="X622" s="24"/>
      <c r="Y622" s="24"/>
      <c r="Z622" s="24"/>
      <c r="AA622" s="24"/>
      <c r="AB622" s="24"/>
      <c r="AC622" s="24"/>
    </row>
    <row r="623" spans="1:29" ht="16.3">
      <c r="A623" s="24"/>
      <c r="B623" s="24"/>
      <c r="C623" s="24"/>
      <c r="D623" s="24"/>
      <c r="E623" s="24"/>
      <c r="F623" s="24"/>
      <c r="G623" s="117"/>
      <c r="H623" s="117"/>
      <c r="I623" s="118"/>
      <c r="J623" s="119"/>
      <c r="K623" s="119"/>
      <c r="L623" s="24"/>
      <c r="M623" s="24"/>
      <c r="N623" s="24"/>
      <c r="O623" s="24"/>
      <c r="P623" s="114"/>
      <c r="Q623" s="24"/>
      <c r="R623" s="24"/>
      <c r="S623" s="24"/>
      <c r="T623" s="24"/>
      <c r="U623" s="24"/>
      <c r="V623" s="24"/>
      <c r="W623" s="24"/>
      <c r="X623" s="24"/>
      <c r="Y623" s="24"/>
      <c r="Z623" s="24"/>
      <c r="AA623" s="24"/>
      <c r="AB623" s="24"/>
      <c r="AC623" s="24"/>
    </row>
    <row r="624" spans="1:29" ht="16.3">
      <c r="A624" s="24"/>
      <c r="B624" s="24"/>
      <c r="C624" s="24"/>
      <c r="D624" s="24"/>
      <c r="E624" s="24"/>
      <c r="F624" s="24"/>
      <c r="G624" s="117"/>
      <c r="H624" s="117"/>
      <c r="I624" s="118"/>
      <c r="J624" s="119"/>
      <c r="K624" s="119"/>
      <c r="L624" s="24"/>
      <c r="M624" s="24"/>
      <c r="N624" s="24"/>
      <c r="O624" s="24"/>
      <c r="P624" s="114"/>
      <c r="Q624" s="24"/>
      <c r="R624" s="24"/>
      <c r="S624" s="24"/>
      <c r="T624" s="24"/>
      <c r="U624" s="24"/>
      <c r="V624" s="24"/>
      <c r="W624" s="24"/>
      <c r="X624" s="24"/>
      <c r="Y624" s="24"/>
      <c r="Z624" s="24"/>
      <c r="AA624" s="24"/>
      <c r="AB624" s="24"/>
      <c r="AC624" s="24"/>
    </row>
    <row r="625" spans="1:29" ht="16.3">
      <c r="A625" s="24"/>
      <c r="B625" s="24"/>
      <c r="C625" s="24"/>
      <c r="D625" s="24"/>
      <c r="E625" s="24"/>
      <c r="F625" s="24"/>
      <c r="G625" s="117"/>
      <c r="H625" s="117"/>
      <c r="I625" s="118"/>
      <c r="J625" s="119"/>
      <c r="K625" s="119"/>
      <c r="L625" s="24"/>
      <c r="M625" s="24"/>
      <c r="N625" s="24"/>
      <c r="O625" s="24"/>
      <c r="P625" s="114"/>
      <c r="Q625" s="24"/>
      <c r="R625" s="24"/>
      <c r="S625" s="24"/>
      <c r="T625" s="24"/>
      <c r="U625" s="24"/>
      <c r="V625" s="24"/>
      <c r="W625" s="24"/>
      <c r="X625" s="24"/>
      <c r="Y625" s="24"/>
      <c r="Z625" s="24"/>
      <c r="AA625" s="24"/>
      <c r="AB625" s="24"/>
      <c r="AC625" s="24"/>
    </row>
    <row r="626" spans="1:29" ht="16.3">
      <c r="A626" s="24"/>
      <c r="B626" s="24"/>
      <c r="C626" s="24"/>
      <c r="D626" s="24"/>
      <c r="E626" s="24"/>
      <c r="F626" s="24"/>
      <c r="G626" s="117"/>
      <c r="H626" s="117"/>
      <c r="I626" s="118"/>
      <c r="J626" s="119"/>
      <c r="K626" s="119"/>
      <c r="L626" s="24"/>
      <c r="M626" s="24"/>
      <c r="N626" s="24"/>
      <c r="O626" s="24"/>
      <c r="P626" s="114"/>
      <c r="Q626" s="24"/>
      <c r="R626" s="24"/>
      <c r="S626" s="24"/>
      <c r="T626" s="24"/>
      <c r="U626" s="24"/>
      <c r="V626" s="24"/>
      <c r="W626" s="24"/>
      <c r="X626" s="24"/>
      <c r="Y626" s="24"/>
      <c r="Z626" s="24"/>
      <c r="AA626" s="24"/>
      <c r="AB626" s="24"/>
      <c r="AC626" s="24"/>
    </row>
    <row r="627" spans="1:29" ht="16.3">
      <c r="A627" s="24"/>
      <c r="B627" s="24"/>
      <c r="C627" s="24"/>
      <c r="D627" s="24"/>
      <c r="E627" s="24"/>
      <c r="F627" s="24"/>
      <c r="G627" s="117"/>
      <c r="H627" s="117"/>
      <c r="I627" s="118"/>
      <c r="J627" s="119"/>
      <c r="K627" s="119"/>
      <c r="L627" s="24"/>
      <c r="M627" s="24"/>
      <c r="N627" s="24"/>
      <c r="O627" s="24"/>
      <c r="P627" s="114"/>
      <c r="Q627" s="24"/>
      <c r="R627" s="24"/>
      <c r="S627" s="24"/>
      <c r="T627" s="24"/>
      <c r="U627" s="24"/>
      <c r="V627" s="24"/>
      <c r="W627" s="24"/>
      <c r="X627" s="24"/>
      <c r="Y627" s="24"/>
      <c r="Z627" s="24"/>
      <c r="AA627" s="24"/>
      <c r="AB627" s="24"/>
      <c r="AC627" s="24"/>
    </row>
    <row r="628" spans="1:29" ht="16.3">
      <c r="A628" s="24"/>
      <c r="B628" s="24"/>
      <c r="C628" s="24"/>
      <c r="D628" s="24"/>
      <c r="E628" s="24"/>
      <c r="F628" s="24"/>
      <c r="G628" s="117"/>
      <c r="H628" s="117"/>
      <c r="I628" s="118"/>
      <c r="J628" s="119"/>
      <c r="K628" s="119"/>
      <c r="L628" s="24"/>
      <c r="M628" s="24"/>
      <c r="N628" s="24"/>
      <c r="O628" s="24"/>
      <c r="P628" s="114"/>
      <c r="Q628" s="24"/>
      <c r="R628" s="24"/>
      <c r="S628" s="24"/>
      <c r="T628" s="24"/>
      <c r="U628" s="24"/>
      <c r="V628" s="24"/>
      <c r="W628" s="24"/>
      <c r="X628" s="24"/>
      <c r="Y628" s="24"/>
      <c r="Z628" s="24"/>
      <c r="AA628" s="24"/>
      <c r="AB628" s="24"/>
      <c r="AC628" s="24"/>
    </row>
    <row r="629" spans="1:29" ht="16.3">
      <c r="A629" s="24"/>
      <c r="B629" s="24"/>
      <c r="C629" s="24"/>
      <c r="D629" s="24"/>
      <c r="E629" s="24"/>
      <c r="F629" s="24"/>
      <c r="G629" s="117"/>
      <c r="H629" s="117"/>
      <c r="I629" s="118"/>
      <c r="J629" s="119"/>
      <c r="K629" s="119"/>
      <c r="L629" s="24"/>
      <c r="M629" s="24"/>
      <c r="N629" s="24"/>
      <c r="O629" s="24"/>
      <c r="P629" s="114"/>
      <c r="Q629" s="24"/>
      <c r="R629" s="24"/>
      <c r="S629" s="24"/>
      <c r="T629" s="24"/>
      <c r="U629" s="24"/>
      <c r="V629" s="24"/>
      <c r="W629" s="24"/>
      <c r="X629" s="24"/>
      <c r="Y629" s="24"/>
      <c r="Z629" s="24"/>
      <c r="AA629" s="24"/>
      <c r="AB629" s="24"/>
      <c r="AC629" s="24"/>
    </row>
    <row r="630" spans="1:29" ht="16.3">
      <c r="A630" s="24"/>
      <c r="B630" s="24"/>
      <c r="C630" s="24"/>
      <c r="D630" s="24"/>
      <c r="E630" s="24"/>
      <c r="F630" s="24"/>
      <c r="G630" s="117"/>
      <c r="H630" s="117"/>
      <c r="I630" s="118"/>
      <c r="J630" s="119"/>
      <c r="K630" s="119"/>
      <c r="L630" s="24"/>
      <c r="M630" s="24"/>
      <c r="N630" s="24"/>
      <c r="O630" s="24"/>
      <c r="P630" s="114"/>
      <c r="Q630" s="24"/>
      <c r="R630" s="24"/>
      <c r="S630" s="24"/>
      <c r="T630" s="24"/>
      <c r="U630" s="24"/>
      <c r="V630" s="24"/>
      <c r="W630" s="24"/>
      <c r="X630" s="24"/>
      <c r="Y630" s="24"/>
      <c r="Z630" s="24"/>
      <c r="AA630" s="24"/>
      <c r="AB630" s="24"/>
      <c r="AC630" s="24"/>
    </row>
    <row r="631" spans="1:29" ht="16.3">
      <c r="A631" s="24"/>
      <c r="B631" s="24"/>
      <c r="C631" s="24"/>
      <c r="D631" s="24"/>
      <c r="E631" s="24"/>
      <c r="F631" s="24"/>
      <c r="G631" s="117"/>
      <c r="H631" s="117"/>
      <c r="I631" s="118"/>
      <c r="J631" s="119"/>
      <c r="K631" s="119"/>
      <c r="L631" s="24"/>
      <c r="M631" s="24"/>
      <c r="N631" s="24"/>
      <c r="O631" s="24"/>
      <c r="P631" s="114"/>
      <c r="Q631" s="24"/>
      <c r="R631" s="24"/>
      <c r="S631" s="24"/>
      <c r="T631" s="24"/>
      <c r="U631" s="24"/>
      <c r="V631" s="24"/>
      <c r="W631" s="24"/>
      <c r="X631" s="24"/>
      <c r="Y631" s="24"/>
      <c r="Z631" s="24"/>
      <c r="AA631" s="24"/>
      <c r="AB631" s="24"/>
      <c r="AC631" s="24"/>
    </row>
    <row r="632" spans="1:29" ht="16.3">
      <c r="A632" s="24"/>
      <c r="B632" s="24"/>
      <c r="C632" s="24"/>
      <c r="D632" s="24"/>
      <c r="E632" s="24"/>
      <c r="F632" s="24"/>
      <c r="G632" s="117"/>
      <c r="H632" s="117"/>
      <c r="I632" s="118"/>
      <c r="J632" s="119"/>
      <c r="K632" s="119"/>
      <c r="L632" s="24"/>
      <c r="M632" s="24"/>
      <c r="N632" s="24"/>
      <c r="O632" s="24"/>
      <c r="P632" s="114"/>
      <c r="Q632" s="24"/>
      <c r="R632" s="24"/>
      <c r="S632" s="24"/>
      <c r="T632" s="24"/>
      <c r="U632" s="24"/>
      <c r="V632" s="24"/>
      <c r="W632" s="24"/>
      <c r="X632" s="24"/>
      <c r="Y632" s="24"/>
      <c r="Z632" s="24"/>
      <c r="AA632" s="24"/>
      <c r="AB632" s="24"/>
      <c r="AC632" s="24"/>
    </row>
    <row r="633" spans="1:29" ht="16.3">
      <c r="A633" s="24"/>
      <c r="B633" s="24"/>
      <c r="C633" s="24"/>
      <c r="D633" s="24"/>
      <c r="E633" s="24"/>
      <c r="F633" s="24"/>
      <c r="G633" s="117"/>
      <c r="H633" s="117"/>
      <c r="I633" s="118"/>
      <c r="J633" s="119"/>
      <c r="K633" s="119"/>
      <c r="L633" s="24"/>
      <c r="M633" s="24"/>
      <c r="N633" s="24"/>
      <c r="O633" s="24"/>
      <c r="P633" s="114"/>
      <c r="Q633" s="24"/>
      <c r="R633" s="24"/>
      <c r="S633" s="24"/>
      <c r="T633" s="24"/>
      <c r="U633" s="24"/>
      <c r="V633" s="24"/>
      <c r="W633" s="24"/>
      <c r="X633" s="24"/>
      <c r="Y633" s="24"/>
      <c r="Z633" s="24"/>
      <c r="AA633" s="24"/>
      <c r="AB633" s="24"/>
      <c r="AC633" s="24"/>
    </row>
    <row r="634" spans="1:29" ht="16.3">
      <c r="A634" s="24"/>
      <c r="B634" s="24"/>
      <c r="C634" s="24"/>
      <c r="D634" s="24"/>
      <c r="E634" s="24"/>
      <c r="F634" s="24"/>
      <c r="G634" s="117"/>
      <c r="H634" s="117"/>
      <c r="I634" s="118"/>
      <c r="J634" s="119"/>
      <c r="K634" s="119"/>
      <c r="L634" s="24"/>
      <c r="M634" s="24"/>
      <c r="N634" s="24"/>
      <c r="O634" s="24"/>
      <c r="P634" s="114"/>
      <c r="Q634" s="24"/>
      <c r="R634" s="24"/>
      <c r="S634" s="24"/>
      <c r="T634" s="24"/>
      <c r="U634" s="24"/>
      <c r="V634" s="24"/>
      <c r="W634" s="24"/>
      <c r="X634" s="24"/>
      <c r="Y634" s="24"/>
      <c r="Z634" s="24"/>
      <c r="AA634" s="24"/>
      <c r="AB634" s="24"/>
      <c r="AC634" s="24"/>
    </row>
    <row r="635" spans="1:29" ht="16.3">
      <c r="A635" s="24"/>
      <c r="B635" s="24"/>
      <c r="C635" s="24"/>
      <c r="D635" s="24"/>
      <c r="E635" s="24"/>
      <c r="F635" s="24"/>
      <c r="G635" s="117"/>
      <c r="H635" s="117"/>
      <c r="I635" s="118"/>
      <c r="J635" s="119"/>
      <c r="K635" s="119"/>
      <c r="L635" s="24"/>
      <c r="M635" s="24"/>
      <c r="N635" s="24"/>
      <c r="O635" s="24"/>
      <c r="P635" s="114"/>
      <c r="Q635" s="24"/>
      <c r="R635" s="24"/>
      <c r="S635" s="24"/>
      <c r="T635" s="24"/>
      <c r="U635" s="24"/>
      <c r="V635" s="24"/>
      <c r="W635" s="24"/>
      <c r="X635" s="24"/>
      <c r="Y635" s="24"/>
      <c r="Z635" s="24"/>
      <c r="AA635" s="24"/>
      <c r="AB635" s="24"/>
      <c r="AC635" s="24"/>
    </row>
    <row r="636" spans="1:29" ht="16.3">
      <c r="A636" s="24"/>
      <c r="B636" s="24"/>
      <c r="C636" s="24"/>
      <c r="D636" s="24"/>
      <c r="E636" s="24"/>
      <c r="F636" s="24"/>
      <c r="G636" s="117"/>
      <c r="H636" s="117"/>
      <c r="I636" s="118"/>
      <c r="J636" s="119"/>
      <c r="K636" s="119"/>
      <c r="L636" s="24"/>
      <c r="M636" s="24"/>
      <c r="N636" s="24"/>
      <c r="O636" s="24"/>
      <c r="P636" s="114"/>
      <c r="Q636" s="24"/>
      <c r="R636" s="24"/>
      <c r="S636" s="24"/>
      <c r="T636" s="24"/>
      <c r="U636" s="24"/>
      <c r="V636" s="24"/>
      <c r="W636" s="24"/>
      <c r="X636" s="24"/>
      <c r="Y636" s="24"/>
      <c r="Z636" s="24"/>
      <c r="AA636" s="24"/>
      <c r="AB636" s="24"/>
      <c r="AC636" s="24"/>
    </row>
    <row r="637" spans="1:29" ht="16.3">
      <c r="A637" s="24"/>
      <c r="B637" s="24"/>
      <c r="C637" s="24"/>
      <c r="D637" s="24"/>
      <c r="E637" s="24"/>
      <c r="F637" s="24"/>
      <c r="G637" s="117"/>
      <c r="H637" s="117"/>
      <c r="I637" s="118"/>
      <c r="J637" s="119"/>
      <c r="K637" s="119"/>
      <c r="L637" s="24"/>
      <c r="M637" s="24"/>
      <c r="N637" s="24"/>
      <c r="O637" s="24"/>
      <c r="P637" s="114"/>
      <c r="Q637" s="24"/>
      <c r="R637" s="24"/>
      <c r="S637" s="24"/>
      <c r="T637" s="24"/>
      <c r="U637" s="24"/>
      <c r="V637" s="24"/>
      <c r="W637" s="24"/>
      <c r="X637" s="24"/>
      <c r="Y637" s="24"/>
      <c r="Z637" s="24"/>
      <c r="AA637" s="24"/>
      <c r="AB637" s="24"/>
      <c r="AC637" s="24"/>
    </row>
    <row r="638" spans="1:29" ht="16.3">
      <c r="A638" s="24"/>
      <c r="B638" s="24"/>
      <c r="C638" s="24"/>
      <c r="D638" s="24"/>
      <c r="E638" s="24"/>
      <c r="F638" s="24"/>
      <c r="G638" s="117"/>
      <c r="H638" s="117"/>
      <c r="I638" s="118"/>
      <c r="J638" s="119"/>
      <c r="K638" s="119"/>
      <c r="L638" s="24"/>
      <c r="M638" s="24"/>
      <c r="N638" s="24"/>
      <c r="O638" s="24"/>
      <c r="P638" s="114"/>
      <c r="Q638" s="24"/>
      <c r="R638" s="24"/>
      <c r="S638" s="24"/>
      <c r="T638" s="24"/>
      <c r="U638" s="24"/>
      <c r="V638" s="24"/>
      <c r="W638" s="24"/>
      <c r="X638" s="24"/>
      <c r="Y638" s="24"/>
      <c r="Z638" s="24"/>
      <c r="AA638" s="24"/>
      <c r="AB638" s="24"/>
      <c r="AC638" s="24"/>
    </row>
    <row r="639" spans="1:29" ht="16.3">
      <c r="A639" s="24"/>
      <c r="B639" s="24"/>
      <c r="C639" s="24"/>
      <c r="D639" s="24"/>
      <c r="E639" s="24"/>
      <c r="F639" s="24"/>
      <c r="G639" s="117"/>
      <c r="H639" s="117"/>
      <c r="I639" s="118"/>
      <c r="J639" s="119"/>
      <c r="K639" s="119"/>
      <c r="L639" s="24"/>
      <c r="M639" s="24"/>
      <c r="N639" s="24"/>
      <c r="O639" s="24"/>
      <c r="P639" s="114"/>
      <c r="Q639" s="24"/>
      <c r="R639" s="24"/>
      <c r="S639" s="24"/>
      <c r="T639" s="24"/>
      <c r="U639" s="24"/>
      <c r="V639" s="24"/>
      <c r="W639" s="24"/>
      <c r="X639" s="24"/>
      <c r="Y639" s="24"/>
      <c r="Z639" s="24"/>
      <c r="AA639" s="24"/>
      <c r="AB639" s="24"/>
      <c r="AC639" s="24"/>
    </row>
    <row r="640" spans="1:29" ht="16.3">
      <c r="A640" s="24"/>
      <c r="B640" s="24"/>
      <c r="C640" s="24"/>
      <c r="D640" s="24"/>
      <c r="E640" s="24"/>
      <c r="F640" s="24"/>
      <c r="G640" s="117"/>
      <c r="H640" s="117"/>
      <c r="I640" s="118"/>
      <c r="J640" s="119"/>
      <c r="K640" s="119"/>
      <c r="L640" s="24"/>
      <c r="M640" s="24"/>
      <c r="N640" s="24"/>
      <c r="O640" s="24"/>
      <c r="P640" s="114"/>
      <c r="Q640" s="24"/>
      <c r="R640" s="24"/>
      <c r="S640" s="24"/>
      <c r="T640" s="24"/>
      <c r="U640" s="24"/>
      <c r="V640" s="24"/>
      <c r="W640" s="24"/>
      <c r="X640" s="24"/>
      <c r="Y640" s="24"/>
      <c r="Z640" s="24"/>
      <c r="AA640" s="24"/>
      <c r="AB640" s="24"/>
      <c r="AC640" s="24"/>
    </row>
    <row r="641" spans="1:29" ht="16.3">
      <c r="A641" s="24"/>
      <c r="B641" s="24"/>
      <c r="C641" s="24"/>
      <c r="D641" s="24"/>
      <c r="E641" s="24"/>
      <c r="F641" s="24"/>
      <c r="G641" s="117"/>
      <c r="H641" s="117"/>
      <c r="I641" s="118"/>
      <c r="J641" s="119"/>
      <c r="K641" s="119"/>
      <c r="L641" s="24"/>
      <c r="M641" s="24"/>
      <c r="N641" s="24"/>
      <c r="O641" s="24"/>
      <c r="P641" s="114"/>
      <c r="Q641" s="24"/>
      <c r="R641" s="24"/>
      <c r="S641" s="24"/>
      <c r="T641" s="24"/>
      <c r="U641" s="24"/>
      <c r="V641" s="24"/>
      <c r="W641" s="24"/>
      <c r="X641" s="24"/>
      <c r="Y641" s="24"/>
      <c r="Z641" s="24"/>
      <c r="AA641" s="24"/>
      <c r="AB641" s="24"/>
      <c r="AC641" s="24"/>
    </row>
    <row r="642" spans="1:29" ht="16.3">
      <c r="A642" s="24"/>
      <c r="B642" s="24"/>
      <c r="C642" s="24"/>
      <c r="D642" s="24"/>
      <c r="E642" s="24"/>
      <c r="F642" s="24"/>
      <c r="G642" s="117"/>
      <c r="H642" s="117"/>
      <c r="I642" s="118"/>
      <c r="J642" s="119"/>
      <c r="K642" s="119"/>
      <c r="L642" s="24"/>
      <c r="M642" s="24"/>
      <c r="N642" s="24"/>
      <c r="O642" s="24"/>
      <c r="P642" s="114"/>
      <c r="Q642" s="24"/>
      <c r="R642" s="24"/>
      <c r="S642" s="24"/>
      <c r="T642" s="24"/>
      <c r="U642" s="24"/>
      <c r="V642" s="24"/>
      <c r="W642" s="24"/>
      <c r="X642" s="24"/>
      <c r="Y642" s="24"/>
      <c r="Z642" s="24"/>
      <c r="AA642" s="24"/>
      <c r="AB642" s="24"/>
      <c r="AC642" s="24"/>
    </row>
    <row r="643" spans="1:29" ht="16.3">
      <c r="A643" s="24"/>
      <c r="B643" s="24"/>
      <c r="C643" s="24"/>
      <c r="D643" s="24"/>
      <c r="E643" s="24"/>
      <c r="F643" s="24"/>
      <c r="G643" s="117"/>
      <c r="H643" s="117"/>
      <c r="I643" s="118"/>
      <c r="J643" s="119"/>
      <c r="K643" s="119"/>
      <c r="L643" s="24"/>
      <c r="M643" s="24"/>
      <c r="N643" s="24"/>
      <c r="O643" s="24"/>
      <c r="P643" s="114"/>
      <c r="Q643" s="24"/>
      <c r="R643" s="24"/>
      <c r="S643" s="24"/>
      <c r="T643" s="24"/>
      <c r="U643" s="24"/>
      <c r="V643" s="24"/>
      <c r="W643" s="24"/>
      <c r="X643" s="24"/>
      <c r="Y643" s="24"/>
      <c r="Z643" s="24"/>
      <c r="AA643" s="24"/>
      <c r="AB643" s="24"/>
      <c r="AC643" s="24"/>
    </row>
    <row r="644" spans="1:29" ht="16.3">
      <c r="A644" s="24"/>
      <c r="B644" s="24"/>
      <c r="C644" s="24"/>
      <c r="D644" s="24"/>
      <c r="E644" s="24"/>
      <c r="F644" s="24"/>
      <c r="G644" s="117"/>
      <c r="H644" s="117"/>
      <c r="I644" s="118"/>
      <c r="J644" s="119"/>
      <c r="K644" s="119"/>
      <c r="L644" s="24"/>
      <c r="M644" s="24"/>
      <c r="N644" s="24"/>
      <c r="O644" s="24"/>
      <c r="P644" s="114"/>
      <c r="Q644" s="24"/>
      <c r="R644" s="24"/>
      <c r="S644" s="24"/>
      <c r="T644" s="24"/>
      <c r="U644" s="24"/>
      <c r="V644" s="24"/>
      <c r="W644" s="24"/>
      <c r="X644" s="24"/>
      <c r="Y644" s="24"/>
      <c r="Z644" s="24"/>
      <c r="AA644" s="24"/>
      <c r="AB644" s="24"/>
      <c r="AC644" s="24"/>
    </row>
    <row r="645" spans="1:29" ht="16.3">
      <c r="A645" s="24"/>
      <c r="B645" s="24"/>
      <c r="C645" s="24"/>
      <c r="D645" s="24"/>
      <c r="E645" s="24"/>
      <c r="F645" s="24"/>
      <c r="G645" s="117"/>
      <c r="H645" s="117"/>
      <c r="I645" s="118"/>
      <c r="J645" s="119"/>
      <c r="K645" s="119"/>
      <c r="L645" s="24"/>
      <c r="M645" s="24"/>
      <c r="N645" s="24"/>
      <c r="O645" s="24"/>
      <c r="P645" s="114"/>
      <c r="Q645" s="24"/>
      <c r="R645" s="24"/>
      <c r="S645" s="24"/>
      <c r="T645" s="24"/>
      <c r="U645" s="24"/>
      <c r="V645" s="24"/>
      <c r="W645" s="24"/>
      <c r="X645" s="24"/>
      <c r="Y645" s="24"/>
      <c r="Z645" s="24"/>
      <c r="AA645" s="24"/>
      <c r="AB645" s="24"/>
      <c r="AC645" s="24"/>
    </row>
    <row r="646" spans="1:29" ht="16.3">
      <c r="A646" s="24"/>
      <c r="B646" s="24"/>
      <c r="C646" s="24"/>
      <c r="D646" s="24"/>
      <c r="E646" s="24"/>
      <c r="F646" s="24"/>
      <c r="G646" s="117"/>
      <c r="H646" s="117"/>
      <c r="I646" s="118"/>
      <c r="J646" s="119"/>
      <c r="K646" s="119"/>
      <c r="L646" s="24"/>
      <c r="M646" s="24"/>
      <c r="N646" s="24"/>
      <c r="O646" s="24"/>
      <c r="P646" s="114"/>
      <c r="Q646" s="24"/>
      <c r="R646" s="24"/>
      <c r="S646" s="24"/>
      <c r="T646" s="24"/>
      <c r="U646" s="24"/>
      <c r="V646" s="24"/>
      <c r="W646" s="24"/>
      <c r="X646" s="24"/>
      <c r="Y646" s="24"/>
      <c r="Z646" s="24"/>
      <c r="AA646" s="24"/>
      <c r="AB646" s="24"/>
      <c r="AC646" s="24"/>
    </row>
    <row r="647" spans="1:29" ht="16.3">
      <c r="A647" s="24"/>
      <c r="B647" s="24"/>
      <c r="C647" s="24"/>
      <c r="D647" s="24"/>
      <c r="E647" s="24"/>
      <c r="F647" s="24"/>
      <c r="G647" s="117"/>
      <c r="H647" s="117"/>
      <c r="I647" s="118"/>
      <c r="J647" s="119"/>
      <c r="K647" s="119"/>
      <c r="L647" s="24"/>
      <c r="M647" s="24"/>
      <c r="N647" s="24"/>
      <c r="O647" s="24"/>
      <c r="P647" s="114"/>
      <c r="Q647" s="24"/>
      <c r="R647" s="24"/>
      <c r="S647" s="24"/>
      <c r="T647" s="24"/>
      <c r="U647" s="24"/>
      <c r="V647" s="24"/>
      <c r="W647" s="24"/>
      <c r="X647" s="24"/>
      <c r="Y647" s="24"/>
      <c r="Z647" s="24"/>
      <c r="AA647" s="24"/>
      <c r="AB647" s="24"/>
      <c r="AC647" s="24"/>
    </row>
    <row r="648" spans="1:29" ht="16.3">
      <c r="A648" s="24"/>
      <c r="B648" s="24"/>
      <c r="C648" s="24"/>
      <c r="D648" s="24"/>
      <c r="E648" s="24"/>
      <c r="F648" s="24"/>
      <c r="G648" s="117"/>
      <c r="H648" s="117"/>
      <c r="I648" s="118"/>
      <c r="J648" s="119"/>
      <c r="K648" s="119"/>
      <c r="L648" s="24"/>
      <c r="M648" s="24"/>
      <c r="N648" s="24"/>
      <c r="O648" s="24"/>
      <c r="P648" s="114"/>
      <c r="Q648" s="24"/>
      <c r="R648" s="24"/>
      <c r="S648" s="24"/>
      <c r="T648" s="24"/>
      <c r="U648" s="24"/>
      <c r="V648" s="24"/>
      <c r="W648" s="24"/>
      <c r="X648" s="24"/>
      <c r="Y648" s="24"/>
      <c r="Z648" s="24"/>
      <c r="AA648" s="24"/>
      <c r="AB648" s="24"/>
      <c r="AC648" s="24"/>
    </row>
    <row r="649" spans="1:29" ht="16.3">
      <c r="A649" s="24"/>
      <c r="B649" s="24"/>
      <c r="C649" s="24"/>
      <c r="D649" s="24"/>
      <c r="E649" s="24"/>
      <c r="F649" s="24"/>
      <c r="G649" s="117"/>
      <c r="H649" s="117"/>
      <c r="I649" s="118"/>
      <c r="J649" s="119"/>
      <c r="K649" s="119"/>
      <c r="L649" s="24"/>
      <c r="M649" s="24"/>
      <c r="N649" s="24"/>
      <c r="O649" s="24"/>
      <c r="P649" s="114"/>
      <c r="Q649" s="24"/>
      <c r="R649" s="24"/>
      <c r="S649" s="24"/>
      <c r="T649" s="24"/>
      <c r="U649" s="24"/>
      <c r="V649" s="24"/>
      <c r="W649" s="24"/>
      <c r="X649" s="24"/>
      <c r="Y649" s="24"/>
      <c r="Z649" s="24"/>
      <c r="AA649" s="24"/>
      <c r="AB649" s="24"/>
      <c r="AC649" s="24"/>
    </row>
    <row r="650" spans="1:29" ht="16.3">
      <c r="A650" s="24"/>
      <c r="B650" s="24"/>
      <c r="C650" s="24"/>
      <c r="D650" s="24"/>
      <c r="E650" s="24"/>
      <c r="F650" s="24"/>
      <c r="G650" s="117"/>
      <c r="H650" s="117"/>
      <c r="I650" s="118"/>
      <c r="J650" s="119"/>
      <c r="K650" s="119"/>
      <c r="L650" s="24"/>
      <c r="M650" s="24"/>
      <c r="N650" s="24"/>
      <c r="O650" s="24"/>
      <c r="P650" s="114"/>
      <c r="Q650" s="24"/>
      <c r="R650" s="24"/>
      <c r="S650" s="24"/>
      <c r="T650" s="24"/>
      <c r="U650" s="24"/>
      <c r="V650" s="24"/>
      <c r="W650" s="24"/>
      <c r="X650" s="24"/>
      <c r="Y650" s="24"/>
      <c r="Z650" s="24"/>
      <c r="AA650" s="24"/>
      <c r="AB650" s="24"/>
      <c r="AC650" s="24"/>
    </row>
    <row r="651" spans="1:29" ht="16.3">
      <c r="A651" s="24"/>
      <c r="B651" s="24"/>
      <c r="C651" s="24"/>
      <c r="D651" s="24"/>
      <c r="E651" s="24"/>
      <c r="F651" s="24"/>
      <c r="G651" s="117"/>
      <c r="H651" s="117"/>
      <c r="I651" s="118"/>
      <c r="J651" s="119"/>
      <c r="K651" s="119"/>
      <c r="L651" s="24"/>
      <c r="M651" s="24"/>
      <c r="N651" s="24"/>
      <c r="O651" s="24"/>
      <c r="P651" s="114"/>
      <c r="Q651" s="24"/>
      <c r="R651" s="24"/>
      <c r="S651" s="24"/>
      <c r="T651" s="24"/>
      <c r="U651" s="24"/>
      <c r="V651" s="24"/>
      <c r="W651" s="24"/>
      <c r="X651" s="24"/>
      <c r="Y651" s="24"/>
      <c r="Z651" s="24"/>
      <c r="AA651" s="24"/>
      <c r="AB651" s="24"/>
      <c r="AC651" s="24"/>
    </row>
    <row r="652" spans="1:29" ht="16.3">
      <c r="A652" s="24"/>
      <c r="B652" s="24"/>
      <c r="C652" s="24"/>
      <c r="D652" s="24"/>
      <c r="E652" s="24"/>
      <c r="F652" s="24"/>
      <c r="G652" s="117"/>
      <c r="H652" s="117"/>
      <c r="I652" s="118"/>
      <c r="J652" s="119"/>
      <c r="K652" s="119"/>
      <c r="L652" s="24"/>
      <c r="M652" s="24"/>
      <c r="N652" s="24"/>
      <c r="O652" s="24"/>
      <c r="P652" s="114"/>
      <c r="Q652" s="24"/>
      <c r="R652" s="24"/>
      <c r="S652" s="24"/>
      <c r="T652" s="24"/>
      <c r="U652" s="24"/>
      <c r="V652" s="24"/>
      <c r="W652" s="24"/>
      <c r="X652" s="24"/>
      <c r="Y652" s="24"/>
      <c r="Z652" s="24"/>
      <c r="AA652" s="24"/>
      <c r="AB652" s="24"/>
      <c r="AC652" s="24"/>
    </row>
    <row r="653" spans="1:29" ht="16.3">
      <c r="A653" s="24"/>
      <c r="B653" s="24"/>
      <c r="C653" s="24"/>
      <c r="D653" s="24"/>
      <c r="E653" s="24"/>
      <c r="F653" s="24"/>
      <c r="G653" s="117"/>
      <c r="H653" s="117"/>
      <c r="I653" s="118"/>
      <c r="J653" s="119"/>
      <c r="K653" s="119"/>
      <c r="L653" s="24"/>
      <c r="M653" s="24"/>
      <c r="N653" s="24"/>
      <c r="O653" s="24"/>
      <c r="P653" s="114"/>
      <c r="Q653" s="24"/>
      <c r="R653" s="24"/>
      <c r="S653" s="24"/>
      <c r="T653" s="24"/>
      <c r="U653" s="24"/>
      <c r="V653" s="24"/>
      <c r="W653" s="24"/>
      <c r="X653" s="24"/>
      <c r="Y653" s="24"/>
      <c r="Z653" s="24"/>
      <c r="AA653" s="24"/>
      <c r="AB653" s="24"/>
      <c r="AC653" s="24"/>
    </row>
    <row r="654" spans="1:29" ht="16.3">
      <c r="A654" s="24"/>
      <c r="B654" s="24"/>
      <c r="C654" s="24"/>
      <c r="D654" s="24"/>
      <c r="E654" s="24"/>
      <c r="F654" s="24"/>
      <c r="G654" s="117"/>
      <c r="H654" s="117"/>
      <c r="I654" s="118"/>
      <c r="J654" s="119"/>
      <c r="K654" s="119"/>
      <c r="L654" s="24"/>
      <c r="M654" s="24"/>
      <c r="N654" s="24"/>
      <c r="O654" s="24"/>
      <c r="P654" s="114"/>
      <c r="Q654" s="24"/>
      <c r="R654" s="24"/>
      <c r="S654" s="24"/>
      <c r="T654" s="24"/>
      <c r="U654" s="24"/>
      <c r="V654" s="24"/>
      <c r="W654" s="24"/>
      <c r="X654" s="24"/>
      <c r="Y654" s="24"/>
      <c r="Z654" s="24"/>
      <c r="AA654" s="24"/>
      <c r="AB654" s="24"/>
      <c r="AC654" s="24"/>
    </row>
    <row r="655" spans="1:29" ht="16.3">
      <c r="A655" s="24"/>
      <c r="B655" s="24"/>
      <c r="C655" s="24"/>
      <c r="D655" s="24"/>
      <c r="E655" s="24"/>
      <c r="F655" s="24"/>
      <c r="G655" s="117"/>
      <c r="H655" s="117"/>
      <c r="I655" s="118"/>
      <c r="J655" s="119"/>
      <c r="K655" s="119"/>
      <c r="L655" s="24"/>
      <c r="M655" s="24"/>
      <c r="N655" s="24"/>
      <c r="O655" s="24"/>
      <c r="P655" s="114"/>
      <c r="Q655" s="24"/>
      <c r="R655" s="24"/>
      <c r="S655" s="24"/>
      <c r="T655" s="24"/>
      <c r="U655" s="24"/>
      <c r="V655" s="24"/>
      <c r="W655" s="24"/>
      <c r="X655" s="24"/>
      <c r="Y655" s="24"/>
      <c r="Z655" s="24"/>
      <c r="AA655" s="24"/>
      <c r="AB655" s="24"/>
      <c r="AC655" s="24"/>
    </row>
    <row r="656" spans="1:29" ht="16.3">
      <c r="A656" s="24"/>
      <c r="B656" s="24"/>
      <c r="C656" s="24"/>
      <c r="D656" s="24"/>
      <c r="E656" s="24"/>
      <c r="F656" s="24"/>
      <c r="G656" s="117"/>
      <c r="H656" s="117"/>
      <c r="I656" s="118"/>
      <c r="J656" s="119"/>
      <c r="K656" s="119"/>
      <c r="L656" s="24"/>
      <c r="M656" s="24"/>
      <c r="N656" s="24"/>
      <c r="O656" s="24"/>
      <c r="P656" s="114"/>
      <c r="Q656" s="24"/>
      <c r="R656" s="24"/>
      <c r="S656" s="24"/>
      <c r="T656" s="24"/>
      <c r="U656" s="24"/>
      <c r="V656" s="24"/>
      <c r="W656" s="24"/>
      <c r="X656" s="24"/>
      <c r="Y656" s="24"/>
      <c r="Z656" s="24"/>
      <c r="AA656" s="24"/>
      <c r="AB656" s="24"/>
      <c r="AC656" s="24"/>
    </row>
    <row r="657" spans="1:29" ht="16.3">
      <c r="A657" s="24"/>
      <c r="B657" s="24"/>
      <c r="C657" s="24"/>
      <c r="D657" s="24"/>
      <c r="E657" s="24"/>
      <c r="F657" s="24"/>
      <c r="G657" s="117"/>
      <c r="H657" s="117"/>
      <c r="I657" s="118"/>
      <c r="J657" s="119"/>
      <c r="K657" s="119"/>
      <c r="L657" s="24"/>
      <c r="M657" s="24"/>
      <c r="N657" s="24"/>
      <c r="O657" s="24"/>
      <c r="P657" s="114"/>
      <c r="Q657" s="24"/>
      <c r="R657" s="24"/>
      <c r="S657" s="24"/>
      <c r="T657" s="24"/>
      <c r="U657" s="24"/>
      <c r="V657" s="24"/>
      <c r="W657" s="24"/>
      <c r="X657" s="24"/>
      <c r="Y657" s="24"/>
      <c r="Z657" s="24"/>
      <c r="AA657" s="24"/>
      <c r="AB657" s="24"/>
      <c r="AC657" s="24"/>
    </row>
    <row r="658" spans="1:29" ht="16.3">
      <c r="A658" s="24"/>
      <c r="B658" s="24"/>
      <c r="C658" s="24"/>
      <c r="D658" s="24"/>
      <c r="E658" s="24"/>
      <c r="F658" s="24"/>
      <c r="G658" s="117"/>
      <c r="H658" s="117"/>
      <c r="I658" s="118"/>
      <c r="J658" s="119"/>
      <c r="K658" s="119"/>
      <c r="L658" s="24"/>
      <c r="M658" s="24"/>
      <c r="N658" s="24"/>
      <c r="O658" s="24"/>
      <c r="P658" s="114"/>
      <c r="Q658" s="24"/>
      <c r="R658" s="24"/>
      <c r="S658" s="24"/>
      <c r="T658" s="24"/>
      <c r="U658" s="24"/>
      <c r="V658" s="24"/>
      <c r="W658" s="24"/>
      <c r="X658" s="24"/>
      <c r="Y658" s="24"/>
      <c r="Z658" s="24"/>
      <c r="AA658" s="24"/>
      <c r="AB658" s="24"/>
      <c r="AC658" s="24"/>
    </row>
    <row r="659" spans="1:29" ht="16.3">
      <c r="A659" s="24"/>
      <c r="B659" s="24"/>
      <c r="C659" s="24"/>
      <c r="D659" s="24"/>
      <c r="E659" s="24"/>
      <c r="F659" s="24"/>
      <c r="G659" s="117"/>
      <c r="H659" s="117"/>
      <c r="I659" s="118"/>
      <c r="J659" s="119"/>
      <c r="K659" s="119"/>
      <c r="L659" s="24"/>
      <c r="M659" s="24"/>
      <c r="N659" s="24"/>
      <c r="O659" s="24"/>
      <c r="P659" s="114"/>
      <c r="Q659" s="24"/>
      <c r="R659" s="24"/>
      <c r="S659" s="24"/>
      <c r="T659" s="24"/>
      <c r="U659" s="24"/>
      <c r="V659" s="24"/>
      <c r="W659" s="24"/>
      <c r="X659" s="24"/>
      <c r="Y659" s="24"/>
      <c r="Z659" s="24"/>
      <c r="AA659" s="24"/>
      <c r="AB659" s="24"/>
      <c r="AC659" s="24"/>
    </row>
    <row r="660" spans="1:29" ht="16.3">
      <c r="A660" s="24"/>
      <c r="B660" s="24"/>
      <c r="C660" s="24"/>
      <c r="D660" s="24"/>
      <c r="E660" s="24"/>
      <c r="F660" s="24"/>
      <c r="G660" s="117"/>
      <c r="H660" s="117"/>
      <c r="I660" s="118"/>
      <c r="J660" s="119"/>
      <c r="K660" s="119"/>
      <c r="L660" s="24"/>
      <c r="M660" s="24"/>
      <c r="N660" s="24"/>
      <c r="O660" s="24"/>
      <c r="P660" s="114"/>
      <c r="Q660" s="24"/>
      <c r="R660" s="24"/>
      <c r="S660" s="24"/>
      <c r="T660" s="24"/>
      <c r="U660" s="24"/>
      <c r="V660" s="24"/>
      <c r="W660" s="24"/>
      <c r="X660" s="24"/>
      <c r="Y660" s="24"/>
      <c r="Z660" s="24"/>
      <c r="AA660" s="24"/>
      <c r="AB660" s="24"/>
      <c r="AC660" s="24"/>
    </row>
    <row r="661" spans="1:29" ht="16.3">
      <c r="A661" s="24"/>
      <c r="B661" s="24"/>
      <c r="C661" s="24"/>
      <c r="D661" s="24"/>
      <c r="E661" s="24"/>
      <c r="F661" s="24"/>
      <c r="G661" s="117"/>
      <c r="H661" s="117"/>
      <c r="I661" s="118"/>
      <c r="J661" s="119"/>
      <c r="K661" s="119"/>
      <c r="L661" s="24"/>
      <c r="M661" s="24"/>
      <c r="N661" s="24"/>
      <c r="O661" s="24"/>
      <c r="P661" s="114"/>
      <c r="Q661" s="24"/>
      <c r="R661" s="24"/>
      <c r="S661" s="24"/>
      <c r="T661" s="24"/>
      <c r="U661" s="24"/>
      <c r="V661" s="24"/>
      <c r="W661" s="24"/>
      <c r="X661" s="24"/>
      <c r="Y661" s="24"/>
      <c r="Z661" s="24"/>
      <c r="AA661" s="24"/>
      <c r="AB661" s="24"/>
      <c r="AC661" s="24"/>
    </row>
    <row r="662" spans="1:29" ht="16.3">
      <c r="A662" s="24"/>
      <c r="B662" s="24"/>
      <c r="C662" s="24"/>
      <c r="D662" s="24"/>
      <c r="E662" s="24"/>
      <c r="F662" s="24"/>
      <c r="G662" s="117"/>
      <c r="H662" s="117"/>
      <c r="I662" s="118"/>
      <c r="J662" s="119"/>
      <c r="K662" s="119"/>
      <c r="L662" s="24"/>
      <c r="M662" s="24"/>
      <c r="N662" s="24"/>
      <c r="O662" s="24"/>
      <c r="P662" s="114"/>
      <c r="Q662" s="24"/>
      <c r="R662" s="24"/>
      <c r="S662" s="24"/>
      <c r="T662" s="24"/>
      <c r="U662" s="24"/>
      <c r="V662" s="24"/>
      <c r="W662" s="24"/>
      <c r="X662" s="24"/>
      <c r="Y662" s="24"/>
      <c r="Z662" s="24"/>
      <c r="AA662" s="24"/>
      <c r="AB662" s="24"/>
      <c r="AC662" s="24"/>
    </row>
    <row r="663" spans="1:29" ht="16.3">
      <c r="A663" s="24"/>
      <c r="B663" s="24"/>
      <c r="C663" s="24"/>
      <c r="D663" s="24"/>
      <c r="E663" s="24"/>
      <c r="F663" s="24"/>
      <c r="G663" s="117"/>
      <c r="H663" s="117"/>
      <c r="I663" s="118"/>
      <c r="J663" s="119"/>
      <c r="K663" s="119"/>
      <c r="L663" s="24"/>
      <c r="M663" s="24"/>
      <c r="N663" s="24"/>
      <c r="O663" s="24"/>
      <c r="P663" s="114"/>
      <c r="Q663" s="24"/>
      <c r="R663" s="24"/>
      <c r="S663" s="24"/>
      <c r="T663" s="24"/>
      <c r="U663" s="24"/>
      <c r="V663" s="24"/>
      <c r="W663" s="24"/>
      <c r="X663" s="24"/>
      <c r="Y663" s="24"/>
      <c r="Z663" s="24"/>
      <c r="AA663" s="24"/>
      <c r="AB663" s="24"/>
      <c r="AC663" s="24"/>
    </row>
    <row r="664" spans="1:29" ht="16.3">
      <c r="A664" s="24"/>
      <c r="B664" s="24"/>
      <c r="C664" s="24"/>
      <c r="D664" s="24"/>
      <c r="E664" s="24"/>
      <c r="F664" s="24"/>
      <c r="G664" s="117"/>
      <c r="H664" s="117"/>
      <c r="I664" s="118"/>
      <c r="J664" s="119"/>
      <c r="K664" s="119"/>
      <c r="L664" s="24"/>
      <c r="M664" s="24"/>
      <c r="N664" s="24"/>
      <c r="O664" s="24"/>
      <c r="P664" s="114"/>
      <c r="Q664" s="24"/>
      <c r="R664" s="24"/>
      <c r="S664" s="24"/>
      <c r="T664" s="24"/>
      <c r="U664" s="24"/>
      <c r="V664" s="24"/>
      <c r="W664" s="24"/>
      <c r="X664" s="24"/>
      <c r="Y664" s="24"/>
      <c r="Z664" s="24"/>
      <c r="AA664" s="24"/>
      <c r="AB664" s="24"/>
      <c r="AC664" s="24"/>
    </row>
    <row r="665" spans="1:29" ht="16.3">
      <c r="A665" s="24"/>
      <c r="B665" s="24"/>
      <c r="C665" s="24"/>
      <c r="D665" s="24"/>
      <c r="E665" s="24"/>
      <c r="F665" s="24"/>
      <c r="G665" s="117"/>
      <c r="H665" s="117"/>
      <c r="I665" s="118"/>
      <c r="J665" s="119"/>
      <c r="K665" s="119"/>
      <c r="L665" s="24"/>
      <c r="M665" s="24"/>
      <c r="N665" s="24"/>
      <c r="O665" s="24"/>
      <c r="P665" s="114"/>
      <c r="Q665" s="24"/>
      <c r="R665" s="24"/>
      <c r="S665" s="24"/>
      <c r="T665" s="24"/>
      <c r="U665" s="24"/>
      <c r="V665" s="24"/>
      <c r="W665" s="24"/>
      <c r="X665" s="24"/>
      <c r="Y665" s="24"/>
      <c r="Z665" s="24"/>
      <c r="AA665" s="24"/>
      <c r="AB665" s="24"/>
      <c r="AC665" s="24"/>
    </row>
    <row r="666" spans="1:29" ht="16.3">
      <c r="A666" s="24"/>
      <c r="B666" s="24"/>
      <c r="C666" s="24"/>
      <c r="D666" s="24"/>
      <c r="E666" s="24"/>
      <c r="F666" s="24"/>
      <c r="G666" s="117"/>
      <c r="H666" s="117"/>
      <c r="I666" s="118"/>
      <c r="J666" s="119"/>
      <c r="K666" s="119"/>
      <c r="L666" s="24"/>
      <c r="M666" s="24"/>
      <c r="N666" s="24"/>
      <c r="O666" s="24"/>
      <c r="P666" s="114"/>
      <c r="Q666" s="24"/>
      <c r="R666" s="24"/>
      <c r="S666" s="24"/>
      <c r="T666" s="24"/>
      <c r="U666" s="24"/>
      <c r="V666" s="24"/>
      <c r="W666" s="24"/>
      <c r="X666" s="24"/>
      <c r="Y666" s="24"/>
      <c r="Z666" s="24"/>
      <c r="AA666" s="24"/>
      <c r="AB666" s="24"/>
      <c r="AC666" s="24"/>
    </row>
    <row r="667" spans="1:29" ht="16.3">
      <c r="A667" s="24"/>
      <c r="B667" s="24"/>
      <c r="C667" s="24"/>
      <c r="D667" s="24"/>
      <c r="E667" s="24"/>
      <c r="F667" s="24"/>
      <c r="G667" s="117"/>
      <c r="H667" s="117"/>
      <c r="I667" s="118"/>
      <c r="J667" s="119"/>
      <c r="K667" s="119"/>
      <c r="L667" s="24"/>
      <c r="M667" s="24"/>
      <c r="N667" s="24"/>
      <c r="O667" s="24"/>
      <c r="P667" s="114"/>
      <c r="Q667" s="24"/>
      <c r="R667" s="24"/>
      <c r="S667" s="24"/>
      <c r="T667" s="24"/>
      <c r="U667" s="24"/>
      <c r="V667" s="24"/>
      <c r="W667" s="24"/>
      <c r="X667" s="24"/>
      <c r="Y667" s="24"/>
      <c r="Z667" s="24"/>
      <c r="AA667" s="24"/>
      <c r="AB667" s="24"/>
      <c r="AC667" s="24"/>
    </row>
    <row r="668" spans="1:29" ht="16.3">
      <c r="A668" s="24"/>
      <c r="B668" s="24"/>
      <c r="C668" s="24"/>
      <c r="D668" s="24"/>
      <c r="E668" s="24"/>
      <c r="F668" s="24"/>
      <c r="G668" s="117"/>
      <c r="H668" s="117"/>
      <c r="I668" s="118"/>
      <c r="J668" s="119"/>
      <c r="K668" s="119"/>
      <c r="L668" s="24"/>
      <c r="M668" s="24"/>
      <c r="N668" s="24"/>
      <c r="O668" s="24"/>
      <c r="P668" s="114"/>
      <c r="Q668" s="24"/>
      <c r="R668" s="24"/>
      <c r="S668" s="24"/>
      <c r="T668" s="24"/>
      <c r="U668" s="24"/>
      <c r="V668" s="24"/>
      <c r="W668" s="24"/>
      <c r="X668" s="24"/>
      <c r="Y668" s="24"/>
      <c r="Z668" s="24"/>
      <c r="AA668" s="24"/>
      <c r="AB668" s="24"/>
      <c r="AC668" s="24"/>
    </row>
    <row r="669" spans="1:29" ht="16.3">
      <c r="A669" s="24"/>
      <c r="B669" s="24"/>
      <c r="C669" s="24"/>
      <c r="D669" s="24"/>
      <c r="E669" s="24"/>
      <c r="F669" s="24"/>
      <c r="G669" s="117"/>
      <c r="H669" s="117"/>
      <c r="I669" s="118"/>
      <c r="J669" s="119"/>
      <c r="K669" s="119"/>
      <c r="L669" s="24"/>
      <c r="M669" s="24"/>
      <c r="N669" s="24"/>
      <c r="O669" s="24"/>
      <c r="P669" s="114"/>
      <c r="Q669" s="24"/>
      <c r="R669" s="24"/>
      <c r="S669" s="24"/>
      <c r="T669" s="24"/>
      <c r="U669" s="24"/>
      <c r="V669" s="24"/>
      <c r="W669" s="24"/>
      <c r="X669" s="24"/>
      <c r="Y669" s="24"/>
      <c r="Z669" s="24"/>
      <c r="AA669" s="24"/>
      <c r="AB669" s="24"/>
      <c r="AC669" s="24"/>
    </row>
    <row r="670" spans="1:29" ht="16.3">
      <c r="A670" s="24"/>
      <c r="B670" s="24"/>
      <c r="C670" s="24"/>
      <c r="D670" s="24"/>
      <c r="E670" s="24"/>
      <c r="F670" s="24"/>
      <c r="G670" s="117"/>
      <c r="H670" s="117"/>
      <c r="I670" s="118"/>
      <c r="J670" s="119"/>
      <c r="K670" s="119"/>
      <c r="L670" s="24"/>
      <c r="M670" s="24"/>
      <c r="N670" s="24"/>
      <c r="O670" s="24"/>
      <c r="P670" s="114"/>
      <c r="Q670" s="24"/>
      <c r="R670" s="24"/>
      <c r="S670" s="24"/>
      <c r="T670" s="24"/>
      <c r="U670" s="24"/>
      <c r="V670" s="24"/>
      <c r="W670" s="24"/>
      <c r="X670" s="24"/>
      <c r="Y670" s="24"/>
      <c r="Z670" s="24"/>
      <c r="AA670" s="24"/>
      <c r="AB670" s="24"/>
      <c r="AC670" s="24"/>
    </row>
    <row r="671" spans="1:29" ht="16.3">
      <c r="A671" s="24"/>
      <c r="B671" s="24"/>
      <c r="C671" s="24"/>
      <c r="D671" s="24"/>
      <c r="E671" s="24"/>
      <c r="F671" s="24"/>
      <c r="G671" s="117"/>
      <c r="H671" s="117"/>
      <c r="I671" s="118"/>
      <c r="J671" s="119"/>
      <c r="K671" s="119"/>
      <c r="L671" s="24"/>
      <c r="M671" s="24"/>
      <c r="N671" s="24"/>
      <c r="O671" s="24"/>
      <c r="P671" s="114"/>
      <c r="Q671" s="24"/>
      <c r="R671" s="24"/>
      <c r="S671" s="24"/>
      <c r="T671" s="24"/>
      <c r="U671" s="24"/>
      <c r="V671" s="24"/>
      <c r="W671" s="24"/>
      <c r="X671" s="24"/>
      <c r="Y671" s="24"/>
      <c r="Z671" s="24"/>
      <c r="AA671" s="24"/>
      <c r="AB671" s="24"/>
      <c r="AC671" s="24"/>
    </row>
    <row r="672" spans="1:29" ht="16.3">
      <c r="A672" s="24"/>
      <c r="B672" s="24"/>
      <c r="C672" s="24"/>
      <c r="D672" s="24"/>
      <c r="E672" s="24"/>
      <c r="F672" s="24"/>
      <c r="G672" s="117"/>
      <c r="H672" s="117"/>
      <c r="I672" s="118"/>
      <c r="J672" s="119"/>
      <c r="K672" s="119"/>
      <c r="L672" s="24"/>
      <c r="M672" s="24"/>
      <c r="N672" s="24"/>
      <c r="O672" s="24"/>
      <c r="P672" s="114"/>
      <c r="Q672" s="24"/>
      <c r="R672" s="24"/>
      <c r="S672" s="24"/>
      <c r="T672" s="24"/>
      <c r="U672" s="24"/>
      <c r="V672" s="24"/>
      <c r="W672" s="24"/>
      <c r="X672" s="24"/>
      <c r="Y672" s="24"/>
      <c r="Z672" s="24"/>
      <c r="AA672" s="24"/>
      <c r="AB672" s="24"/>
      <c r="AC672" s="24"/>
    </row>
    <row r="673" spans="1:29" ht="16.3">
      <c r="A673" s="24"/>
      <c r="B673" s="24"/>
      <c r="C673" s="24"/>
      <c r="D673" s="24"/>
      <c r="E673" s="24"/>
      <c r="F673" s="24"/>
      <c r="G673" s="117"/>
      <c r="H673" s="117"/>
      <c r="I673" s="118"/>
      <c r="J673" s="119"/>
      <c r="K673" s="119"/>
      <c r="L673" s="24"/>
      <c r="M673" s="24"/>
      <c r="N673" s="24"/>
      <c r="O673" s="24"/>
      <c r="P673" s="114"/>
      <c r="Q673" s="24"/>
      <c r="R673" s="24"/>
      <c r="S673" s="24"/>
      <c r="T673" s="24"/>
      <c r="U673" s="24"/>
      <c r="V673" s="24"/>
      <c r="W673" s="24"/>
      <c r="X673" s="24"/>
      <c r="Y673" s="24"/>
      <c r="Z673" s="24"/>
      <c r="AA673" s="24"/>
      <c r="AB673" s="24"/>
      <c r="AC673" s="24"/>
    </row>
    <row r="674" spans="1:29" ht="16.3">
      <c r="A674" s="24"/>
      <c r="B674" s="24"/>
      <c r="C674" s="24"/>
      <c r="D674" s="24"/>
      <c r="E674" s="24"/>
      <c r="F674" s="24"/>
      <c r="G674" s="117"/>
      <c r="H674" s="117"/>
      <c r="I674" s="118"/>
      <c r="J674" s="119"/>
      <c r="K674" s="119"/>
      <c r="L674" s="24"/>
      <c r="M674" s="24"/>
      <c r="N674" s="24"/>
      <c r="O674" s="24"/>
      <c r="P674" s="114"/>
      <c r="Q674" s="24"/>
      <c r="R674" s="24"/>
      <c r="S674" s="24"/>
      <c r="T674" s="24"/>
      <c r="U674" s="24"/>
      <c r="V674" s="24"/>
      <c r="W674" s="24"/>
      <c r="X674" s="24"/>
      <c r="Y674" s="24"/>
      <c r="Z674" s="24"/>
      <c r="AA674" s="24"/>
      <c r="AB674" s="24"/>
      <c r="AC674" s="24"/>
    </row>
    <row r="675" spans="1:29" ht="16.3">
      <c r="A675" s="24"/>
      <c r="B675" s="24"/>
      <c r="C675" s="24"/>
      <c r="D675" s="24"/>
      <c r="E675" s="24"/>
      <c r="F675" s="24"/>
      <c r="G675" s="117"/>
      <c r="H675" s="117"/>
      <c r="I675" s="118"/>
      <c r="J675" s="119"/>
      <c r="K675" s="119"/>
      <c r="L675" s="24"/>
      <c r="M675" s="24"/>
      <c r="N675" s="24"/>
      <c r="O675" s="24"/>
      <c r="P675" s="114"/>
      <c r="Q675" s="24"/>
      <c r="R675" s="24"/>
      <c r="S675" s="24"/>
      <c r="T675" s="24"/>
      <c r="U675" s="24"/>
      <c r="V675" s="24"/>
      <c r="W675" s="24"/>
      <c r="X675" s="24"/>
      <c r="Y675" s="24"/>
      <c r="Z675" s="24"/>
      <c r="AA675" s="24"/>
      <c r="AB675" s="24"/>
      <c r="AC675" s="24"/>
    </row>
    <row r="676" spans="1:29" ht="16.3">
      <c r="A676" s="24"/>
      <c r="B676" s="24"/>
      <c r="C676" s="24"/>
      <c r="D676" s="24"/>
      <c r="E676" s="24"/>
      <c r="F676" s="24"/>
      <c r="G676" s="117"/>
      <c r="H676" s="117"/>
      <c r="I676" s="118"/>
      <c r="J676" s="119"/>
      <c r="K676" s="119"/>
      <c r="L676" s="24"/>
      <c r="M676" s="24"/>
      <c r="N676" s="24"/>
      <c r="O676" s="24"/>
      <c r="P676" s="114"/>
      <c r="Q676" s="24"/>
      <c r="R676" s="24"/>
      <c r="S676" s="24"/>
      <c r="T676" s="24"/>
      <c r="U676" s="24"/>
      <c r="V676" s="24"/>
      <c r="W676" s="24"/>
      <c r="X676" s="24"/>
      <c r="Y676" s="24"/>
      <c r="Z676" s="24"/>
      <c r="AA676" s="24"/>
      <c r="AB676" s="24"/>
      <c r="AC676" s="24"/>
    </row>
    <row r="677" spans="1:29" ht="16.3">
      <c r="A677" s="24"/>
      <c r="B677" s="24"/>
      <c r="C677" s="24"/>
      <c r="D677" s="24"/>
      <c r="E677" s="24"/>
      <c r="F677" s="24"/>
      <c r="G677" s="117"/>
      <c r="H677" s="117"/>
      <c r="I677" s="118"/>
      <c r="J677" s="119"/>
      <c r="K677" s="119"/>
      <c r="L677" s="24"/>
      <c r="M677" s="24"/>
      <c r="N677" s="24"/>
      <c r="O677" s="24"/>
      <c r="P677" s="114"/>
      <c r="Q677" s="24"/>
      <c r="R677" s="24"/>
      <c r="S677" s="24"/>
      <c r="T677" s="24"/>
      <c r="U677" s="24"/>
      <c r="V677" s="24"/>
      <c r="W677" s="24"/>
      <c r="X677" s="24"/>
      <c r="Y677" s="24"/>
      <c r="Z677" s="24"/>
      <c r="AA677" s="24"/>
      <c r="AB677" s="24"/>
      <c r="AC677" s="24"/>
    </row>
    <row r="678" spans="1:29" ht="16.3">
      <c r="A678" s="24"/>
      <c r="B678" s="24"/>
      <c r="C678" s="24"/>
      <c r="D678" s="24"/>
      <c r="E678" s="24"/>
      <c r="F678" s="24"/>
      <c r="G678" s="117"/>
      <c r="H678" s="117"/>
      <c r="I678" s="118"/>
      <c r="J678" s="119"/>
      <c r="K678" s="119"/>
      <c r="L678" s="24"/>
      <c r="M678" s="24"/>
      <c r="N678" s="24"/>
      <c r="O678" s="24"/>
      <c r="P678" s="114"/>
      <c r="Q678" s="24"/>
      <c r="R678" s="24"/>
      <c r="S678" s="24"/>
      <c r="T678" s="24"/>
      <c r="U678" s="24"/>
      <c r="V678" s="24"/>
      <c r="W678" s="24"/>
      <c r="X678" s="24"/>
      <c r="Y678" s="24"/>
      <c r="Z678" s="24"/>
      <c r="AA678" s="24"/>
      <c r="AB678" s="24"/>
      <c r="AC678" s="24"/>
    </row>
    <row r="679" spans="1:29" ht="16.3">
      <c r="A679" s="24"/>
      <c r="B679" s="24"/>
      <c r="C679" s="24"/>
      <c r="D679" s="24"/>
      <c r="E679" s="24"/>
      <c r="F679" s="24"/>
      <c r="G679" s="117"/>
      <c r="H679" s="117"/>
      <c r="I679" s="118"/>
      <c r="J679" s="119"/>
      <c r="K679" s="119"/>
      <c r="L679" s="24"/>
      <c r="M679" s="24"/>
      <c r="N679" s="24"/>
      <c r="O679" s="24"/>
      <c r="P679" s="114"/>
      <c r="Q679" s="24"/>
      <c r="R679" s="24"/>
      <c r="S679" s="24"/>
      <c r="T679" s="24"/>
      <c r="U679" s="24"/>
      <c r="V679" s="24"/>
      <c r="W679" s="24"/>
      <c r="X679" s="24"/>
      <c r="Y679" s="24"/>
      <c r="Z679" s="24"/>
      <c r="AA679" s="24"/>
      <c r="AB679" s="24"/>
      <c r="AC679" s="24"/>
    </row>
    <row r="680" spans="1:29" ht="16.3">
      <c r="A680" s="24"/>
      <c r="B680" s="24"/>
      <c r="C680" s="24"/>
      <c r="D680" s="24"/>
      <c r="E680" s="24"/>
      <c r="F680" s="24"/>
      <c r="G680" s="117"/>
      <c r="H680" s="117"/>
      <c r="I680" s="118"/>
      <c r="J680" s="119"/>
      <c r="K680" s="119"/>
      <c r="L680" s="24"/>
      <c r="M680" s="24"/>
      <c r="N680" s="24"/>
      <c r="O680" s="24"/>
      <c r="P680" s="114"/>
      <c r="Q680" s="24"/>
      <c r="R680" s="24"/>
      <c r="S680" s="24"/>
      <c r="T680" s="24"/>
      <c r="U680" s="24"/>
      <c r="V680" s="24"/>
      <c r="W680" s="24"/>
      <c r="X680" s="24"/>
      <c r="Y680" s="24"/>
      <c r="Z680" s="24"/>
      <c r="AA680" s="24"/>
      <c r="AB680" s="24"/>
      <c r="AC680" s="24"/>
    </row>
    <row r="681" spans="1:29" ht="16.3">
      <c r="A681" s="24"/>
      <c r="B681" s="24"/>
      <c r="C681" s="24"/>
      <c r="D681" s="24"/>
      <c r="E681" s="24"/>
      <c r="F681" s="24"/>
      <c r="G681" s="117"/>
      <c r="H681" s="117"/>
      <c r="I681" s="118"/>
      <c r="J681" s="119"/>
      <c r="K681" s="119"/>
      <c r="L681" s="24"/>
      <c r="M681" s="24"/>
      <c r="N681" s="24"/>
      <c r="O681" s="24"/>
      <c r="P681" s="114"/>
      <c r="Q681" s="24"/>
      <c r="R681" s="24"/>
      <c r="S681" s="24"/>
      <c r="T681" s="24"/>
      <c r="U681" s="24"/>
      <c r="V681" s="24"/>
      <c r="W681" s="24"/>
      <c r="X681" s="24"/>
      <c r="Y681" s="24"/>
      <c r="Z681" s="24"/>
      <c r="AA681" s="24"/>
      <c r="AB681" s="24"/>
      <c r="AC681" s="24"/>
    </row>
    <row r="682" spans="1:29" ht="16.3">
      <c r="A682" s="24"/>
      <c r="B682" s="24"/>
      <c r="C682" s="24"/>
      <c r="D682" s="24"/>
      <c r="E682" s="24"/>
      <c r="F682" s="24"/>
      <c r="G682" s="117"/>
      <c r="H682" s="117"/>
      <c r="I682" s="118"/>
      <c r="J682" s="119"/>
      <c r="K682" s="119"/>
      <c r="L682" s="24"/>
      <c r="M682" s="24"/>
      <c r="N682" s="24"/>
      <c r="O682" s="24"/>
      <c r="P682" s="114"/>
      <c r="Q682" s="24"/>
      <c r="R682" s="24"/>
      <c r="S682" s="24"/>
      <c r="T682" s="24"/>
      <c r="U682" s="24"/>
      <c r="V682" s="24"/>
      <c r="W682" s="24"/>
      <c r="X682" s="24"/>
      <c r="Y682" s="24"/>
      <c r="Z682" s="24"/>
      <c r="AA682" s="24"/>
      <c r="AB682" s="24"/>
      <c r="AC682" s="24"/>
    </row>
    <row r="683" spans="1:29" ht="16.3">
      <c r="A683" s="24"/>
      <c r="B683" s="24"/>
      <c r="C683" s="24"/>
      <c r="D683" s="24"/>
      <c r="E683" s="24"/>
      <c r="F683" s="24"/>
      <c r="G683" s="117"/>
      <c r="H683" s="117"/>
      <c r="I683" s="118"/>
      <c r="J683" s="119"/>
      <c r="K683" s="119"/>
      <c r="L683" s="24"/>
      <c r="M683" s="24"/>
      <c r="N683" s="24"/>
      <c r="O683" s="24"/>
      <c r="P683" s="114"/>
      <c r="Q683" s="24"/>
      <c r="R683" s="24"/>
      <c r="S683" s="24"/>
      <c r="T683" s="24"/>
      <c r="U683" s="24"/>
      <c r="V683" s="24"/>
      <c r="W683" s="24"/>
      <c r="X683" s="24"/>
      <c r="Y683" s="24"/>
      <c r="Z683" s="24"/>
      <c r="AA683" s="24"/>
      <c r="AB683" s="24"/>
      <c r="AC683" s="24"/>
    </row>
    <row r="684" spans="1:29" ht="16.3">
      <c r="A684" s="24"/>
      <c r="B684" s="24"/>
      <c r="C684" s="24"/>
      <c r="D684" s="24"/>
      <c r="E684" s="24"/>
      <c r="F684" s="24"/>
      <c r="G684" s="117"/>
      <c r="H684" s="117"/>
      <c r="I684" s="118"/>
      <c r="J684" s="119"/>
      <c r="K684" s="119"/>
      <c r="L684" s="24"/>
      <c r="M684" s="24"/>
      <c r="N684" s="24"/>
      <c r="O684" s="24"/>
      <c r="P684" s="114"/>
      <c r="Q684" s="24"/>
      <c r="R684" s="24"/>
      <c r="S684" s="24"/>
      <c r="T684" s="24"/>
      <c r="U684" s="24"/>
      <c r="V684" s="24"/>
      <c r="W684" s="24"/>
      <c r="X684" s="24"/>
      <c r="Y684" s="24"/>
      <c r="Z684" s="24"/>
      <c r="AA684" s="24"/>
      <c r="AB684" s="24"/>
      <c r="AC684" s="24"/>
    </row>
    <row r="685" spans="1:29" ht="16.3">
      <c r="A685" s="24"/>
      <c r="B685" s="24"/>
      <c r="C685" s="24"/>
      <c r="D685" s="24"/>
      <c r="E685" s="24"/>
      <c r="F685" s="24"/>
      <c r="G685" s="117"/>
      <c r="H685" s="117"/>
      <c r="I685" s="118"/>
      <c r="J685" s="119"/>
      <c r="K685" s="119"/>
      <c r="L685" s="24"/>
      <c r="M685" s="24"/>
      <c r="N685" s="24"/>
      <c r="O685" s="24"/>
      <c r="P685" s="114"/>
      <c r="Q685" s="24"/>
      <c r="R685" s="24"/>
      <c r="S685" s="24"/>
      <c r="T685" s="24"/>
      <c r="U685" s="24"/>
      <c r="V685" s="24"/>
      <c r="W685" s="24"/>
      <c r="X685" s="24"/>
      <c r="Y685" s="24"/>
      <c r="Z685" s="24"/>
      <c r="AA685" s="24"/>
      <c r="AB685" s="24"/>
      <c r="AC685" s="24"/>
    </row>
    <row r="686" spans="1:29" ht="16.3">
      <c r="A686" s="24"/>
      <c r="B686" s="24"/>
      <c r="C686" s="24"/>
      <c r="D686" s="24"/>
      <c r="E686" s="24"/>
      <c r="F686" s="24"/>
      <c r="G686" s="117"/>
      <c r="H686" s="117"/>
      <c r="I686" s="118"/>
      <c r="J686" s="119"/>
      <c r="K686" s="119"/>
      <c r="L686" s="24"/>
      <c r="M686" s="24"/>
      <c r="N686" s="24"/>
      <c r="O686" s="24"/>
      <c r="P686" s="114"/>
      <c r="Q686" s="24"/>
      <c r="R686" s="24"/>
      <c r="S686" s="24"/>
      <c r="T686" s="24"/>
      <c r="U686" s="24"/>
      <c r="V686" s="24"/>
      <c r="W686" s="24"/>
      <c r="X686" s="24"/>
      <c r="Y686" s="24"/>
      <c r="Z686" s="24"/>
      <c r="AA686" s="24"/>
      <c r="AB686" s="24"/>
      <c r="AC686" s="24"/>
    </row>
    <row r="687" spans="1:29" ht="16.3">
      <c r="A687" s="24"/>
      <c r="B687" s="24"/>
      <c r="C687" s="24"/>
      <c r="D687" s="24"/>
      <c r="E687" s="24"/>
      <c r="F687" s="24"/>
      <c r="G687" s="117"/>
      <c r="H687" s="117"/>
      <c r="I687" s="118"/>
      <c r="J687" s="119"/>
      <c r="K687" s="119"/>
      <c r="L687" s="24"/>
      <c r="M687" s="24"/>
      <c r="N687" s="24"/>
      <c r="O687" s="24"/>
      <c r="P687" s="114"/>
      <c r="Q687" s="24"/>
      <c r="R687" s="24"/>
      <c r="S687" s="24"/>
      <c r="T687" s="24"/>
      <c r="U687" s="24"/>
      <c r="V687" s="24"/>
      <c r="W687" s="24"/>
      <c r="X687" s="24"/>
      <c r="Y687" s="24"/>
      <c r="Z687" s="24"/>
      <c r="AA687" s="24"/>
      <c r="AB687" s="24"/>
      <c r="AC687" s="24"/>
    </row>
    <row r="688" spans="1:29" ht="16.3">
      <c r="A688" s="24"/>
      <c r="B688" s="24"/>
      <c r="C688" s="24"/>
      <c r="D688" s="24"/>
      <c r="E688" s="24"/>
      <c r="F688" s="24"/>
      <c r="G688" s="117"/>
      <c r="H688" s="117"/>
      <c r="I688" s="118"/>
      <c r="J688" s="119"/>
      <c r="K688" s="119"/>
      <c r="L688" s="24"/>
      <c r="M688" s="24"/>
      <c r="N688" s="24"/>
      <c r="O688" s="24"/>
      <c r="P688" s="114"/>
      <c r="Q688" s="24"/>
      <c r="R688" s="24"/>
      <c r="S688" s="24"/>
      <c r="T688" s="24"/>
      <c r="U688" s="24"/>
      <c r="V688" s="24"/>
      <c r="W688" s="24"/>
      <c r="X688" s="24"/>
      <c r="Y688" s="24"/>
      <c r="Z688" s="24"/>
      <c r="AA688" s="24"/>
      <c r="AB688" s="24"/>
      <c r="AC688" s="24"/>
    </row>
    <row r="689" spans="1:29" ht="16.3">
      <c r="A689" s="24"/>
      <c r="B689" s="24"/>
      <c r="C689" s="24"/>
      <c r="D689" s="24"/>
      <c r="E689" s="24"/>
      <c r="F689" s="24"/>
      <c r="G689" s="117"/>
      <c r="H689" s="117"/>
      <c r="I689" s="118"/>
      <c r="J689" s="119"/>
      <c r="K689" s="119"/>
      <c r="L689" s="24"/>
      <c r="M689" s="24"/>
      <c r="N689" s="24"/>
      <c r="O689" s="24"/>
      <c r="P689" s="114"/>
      <c r="Q689" s="24"/>
      <c r="R689" s="24"/>
      <c r="S689" s="24"/>
      <c r="T689" s="24"/>
      <c r="U689" s="24"/>
      <c r="V689" s="24"/>
      <c r="W689" s="24"/>
      <c r="X689" s="24"/>
      <c r="Y689" s="24"/>
      <c r="Z689" s="24"/>
      <c r="AA689" s="24"/>
      <c r="AB689" s="24"/>
      <c r="AC689" s="24"/>
    </row>
    <row r="690" spans="1:29" ht="16.3">
      <c r="A690" s="24"/>
      <c r="B690" s="24"/>
      <c r="C690" s="24"/>
      <c r="D690" s="24"/>
      <c r="E690" s="24"/>
      <c r="F690" s="24"/>
      <c r="G690" s="117"/>
      <c r="H690" s="117"/>
      <c r="I690" s="118"/>
      <c r="J690" s="119"/>
      <c r="K690" s="119"/>
      <c r="L690" s="24"/>
      <c r="M690" s="24"/>
      <c r="N690" s="24"/>
      <c r="O690" s="24"/>
      <c r="P690" s="114"/>
      <c r="Q690" s="24"/>
      <c r="R690" s="24"/>
      <c r="S690" s="24"/>
      <c r="T690" s="24"/>
      <c r="U690" s="24"/>
      <c r="V690" s="24"/>
      <c r="W690" s="24"/>
      <c r="X690" s="24"/>
      <c r="Y690" s="24"/>
      <c r="Z690" s="24"/>
      <c r="AA690" s="24"/>
      <c r="AB690" s="24"/>
      <c r="AC690" s="24"/>
    </row>
    <row r="691" spans="1:29" ht="16.3">
      <c r="A691" s="24"/>
      <c r="B691" s="24"/>
      <c r="C691" s="24"/>
      <c r="D691" s="24"/>
      <c r="E691" s="24"/>
      <c r="F691" s="24"/>
      <c r="G691" s="117"/>
      <c r="H691" s="117"/>
      <c r="I691" s="118"/>
      <c r="J691" s="119"/>
      <c r="K691" s="119"/>
      <c r="L691" s="24"/>
      <c r="M691" s="24"/>
      <c r="N691" s="24"/>
      <c r="O691" s="24"/>
      <c r="P691" s="114"/>
      <c r="Q691" s="24"/>
      <c r="R691" s="24"/>
      <c r="S691" s="24"/>
      <c r="T691" s="24"/>
      <c r="U691" s="24"/>
      <c r="V691" s="24"/>
      <c r="W691" s="24"/>
      <c r="X691" s="24"/>
      <c r="Y691" s="24"/>
      <c r="Z691" s="24"/>
      <c r="AA691" s="24"/>
      <c r="AB691" s="24"/>
      <c r="AC691" s="24"/>
    </row>
    <row r="692" spans="1:29" ht="16.3">
      <c r="A692" s="24"/>
      <c r="B692" s="24"/>
      <c r="C692" s="24"/>
      <c r="D692" s="24"/>
      <c r="E692" s="24"/>
      <c r="F692" s="24"/>
      <c r="G692" s="117"/>
      <c r="H692" s="117"/>
      <c r="I692" s="118"/>
      <c r="J692" s="119"/>
      <c r="K692" s="119"/>
      <c r="L692" s="24"/>
      <c r="M692" s="24"/>
      <c r="N692" s="24"/>
      <c r="O692" s="24"/>
      <c r="P692" s="114"/>
      <c r="Q692" s="24"/>
      <c r="R692" s="24"/>
      <c r="S692" s="24"/>
      <c r="T692" s="24"/>
      <c r="U692" s="24"/>
      <c r="V692" s="24"/>
      <c r="W692" s="24"/>
      <c r="X692" s="24"/>
      <c r="Y692" s="24"/>
      <c r="Z692" s="24"/>
      <c r="AA692" s="24"/>
      <c r="AB692" s="24"/>
      <c r="AC692" s="24"/>
    </row>
    <row r="693" spans="1:29" ht="16.3">
      <c r="A693" s="24"/>
      <c r="B693" s="24"/>
      <c r="C693" s="24"/>
      <c r="D693" s="24"/>
      <c r="E693" s="24"/>
      <c r="F693" s="24"/>
      <c r="G693" s="117"/>
      <c r="H693" s="117"/>
      <c r="I693" s="118"/>
      <c r="J693" s="119"/>
      <c r="K693" s="119"/>
      <c r="L693" s="24"/>
      <c r="M693" s="24"/>
      <c r="N693" s="24"/>
      <c r="O693" s="24"/>
      <c r="P693" s="114"/>
      <c r="Q693" s="24"/>
      <c r="R693" s="24"/>
      <c r="S693" s="24"/>
      <c r="T693" s="24"/>
      <c r="U693" s="24"/>
      <c r="V693" s="24"/>
      <c r="W693" s="24"/>
      <c r="X693" s="24"/>
      <c r="Y693" s="24"/>
      <c r="Z693" s="24"/>
      <c r="AA693" s="24"/>
      <c r="AB693" s="24"/>
      <c r="AC693" s="24"/>
    </row>
    <row r="694" spans="1:29" ht="16.3">
      <c r="A694" s="24"/>
      <c r="B694" s="24"/>
      <c r="C694" s="24"/>
      <c r="D694" s="24"/>
      <c r="E694" s="24"/>
      <c r="F694" s="24"/>
      <c r="G694" s="117"/>
      <c r="H694" s="117"/>
      <c r="I694" s="118"/>
      <c r="J694" s="119"/>
      <c r="K694" s="119"/>
      <c r="L694" s="24"/>
      <c r="M694" s="24"/>
      <c r="N694" s="24"/>
      <c r="O694" s="24"/>
      <c r="P694" s="114"/>
      <c r="Q694" s="24"/>
      <c r="R694" s="24"/>
      <c r="S694" s="24"/>
      <c r="T694" s="24"/>
      <c r="U694" s="24"/>
      <c r="V694" s="24"/>
      <c r="W694" s="24"/>
      <c r="X694" s="24"/>
      <c r="Y694" s="24"/>
      <c r="Z694" s="24"/>
      <c r="AA694" s="24"/>
      <c r="AB694" s="24"/>
      <c r="AC694" s="24"/>
    </row>
    <row r="695" spans="1:29" ht="16.3">
      <c r="A695" s="24"/>
      <c r="B695" s="24"/>
      <c r="C695" s="24"/>
      <c r="D695" s="24"/>
      <c r="E695" s="24"/>
      <c r="F695" s="24"/>
      <c r="G695" s="117"/>
      <c r="H695" s="117"/>
      <c r="I695" s="118"/>
      <c r="J695" s="119"/>
      <c r="K695" s="119"/>
      <c r="L695" s="24"/>
      <c r="M695" s="24"/>
      <c r="N695" s="24"/>
      <c r="O695" s="24"/>
      <c r="P695" s="114"/>
      <c r="Q695" s="24"/>
      <c r="R695" s="24"/>
      <c r="S695" s="24"/>
      <c r="T695" s="24"/>
      <c r="U695" s="24"/>
      <c r="V695" s="24"/>
      <c r="W695" s="24"/>
      <c r="X695" s="24"/>
      <c r="Y695" s="24"/>
      <c r="Z695" s="24"/>
      <c r="AA695" s="24"/>
      <c r="AB695" s="24"/>
      <c r="AC695" s="24"/>
    </row>
    <row r="696" spans="1:29" ht="16.3">
      <c r="A696" s="24"/>
      <c r="B696" s="24"/>
      <c r="C696" s="24"/>
      <c r="D696" s="24"/>
      <c r="E696" s="24"/>
      <c r="F696" s="24"/>
      <c r="G696" s="117"/>
      <c r="H696" s="117"/>
      <c r="I696" s="118"/>
      <c r="J696" s="119"/>
      <c r="K696" s="119"/>
      <c r="L696" s="24"/>
      <c r="M696" s="24"/>
      <c r="N696" s="24"/>
      <c r="O696" s="24"/>
      <c r="P696" s="114"/>
      <c r="Q696" s="24"/>
      <c r="R696" s="24"/>
      <c r="S696" s="24"/>
      <c r="T696" s="24"/>
      <c r="U696" s="24"/>
      <c r="V696" s="24"/>
      <c r="W696" s="24"/>
      <c r="X696" s="24"/>
      <c r="Y696" s="24"/>
      <c r="Z696" s="24"/>
      <c r="AA696" s="24"/>
      <c r="AB696" s="24"/>
      <c r="AC696" s="24"/>
    </row>
    <row r="697" spans="1:29" ht="16.3">
      <c r="A697" s="24"/>
      <c r="B697" s="24"/>
      <c r="C697" s="24"/>
      <c r="D697" s="24"/>
      <c r="E697" s="24"/>
      <c r="F697" s="24"/>
      <c r="G697" s="117"/>
      <c r="H697" s="117"/>
      <c r="I697" s="118"/>
      <c r="J697" s="119"/>
      <c r="K697" s="119"/>
      <c r="L697" s="24"/>
      <c r="M697" s="24"/>
      <c r="N697" s="24"/>
      <c r="O697" s="24"/>
      <c r="P697" s="114"/>
      <c r="Q697" s="24"/>
      <c r="R697" s="24"/>
      <c r="S697" s="24"/>
      <c r="T697" s="24"/>
      <c r="U697" s="24"/>
      <c r="V697" s="24"/>
      <c r="W697" s="24"/>
      <c r="X697" s="24"/>
      <c r="Y697" s="24"/>
      <c r="Z697" s="24"/>
      <c r="AA697" s="24"/>
      <c r="AB697" s="24"/>
      <c r="AC697" s="24"/>
    </row>
    <row r="698" spans="1:29" ht="16.3">
      <c r="A698" s="24"/>
      <c r="B698" s="24"/>
      <c r="C698" s="24"/>
      <c r="D698" s="24"/>
      <c r="E698" s="24"/>
      <c r="F698" s="24"/>
      <c r="G698" s="117"/>
      <c r="H698" s="117"/>
      <c r="I698" s="118"/>
      <c r="J698" s="119"/>
      <c r="K698" s="119"/>
      <c r="L698" s="24"/>
      <c r="M698" s="24"/>
      <c r="N698" s="24"/>
      <c r="O698" s="24"/>
      <c r="P698" s="114"/>
      <c r="Q698" s="24"/>
      <c r="R698" s="24"/>
      <c r="S698" s="24"/>
      <c r="T698" s="24"/>
      <c r="U698" s="24"/>
      <c r="V698" s="24"/>
      <c r="W698" s="24"/>
      <c r="X698" s="24"/>
      <c r="Y698" s="24"/>
      <c r="Z698" s="24"/>
      <c r="AA698" s="24"/>
      <c r="AB698" s="24"/>
      <c r="AC698" s="24"/>
    </row>
    <row r="699" spans="1:29" ht="16.3">
      <c r="A699" s="24"/>
      <c r="B699" s="24"/>
      <c r="C699" s="24"/>
      <c r="D699" s="24"/>
      <c r="E699" s="24"/>
      <c r="F699" s="24"/>
      <c r="G699" s="117"/>
      <c r="H699" s="117"/>
      <c r="I699" s="118"/>
      <c r="J699" s="119"/>
      <c r="K699" s="119"/>
      <c r="L699" s="24"/>
      <c r="M699" s="24"/>
      <c r="N699" s="24"/>
      <c r="O699" s="24"/>
      <c r="P699" s="114"/>
      <c r="Q699" s="24"/>
      <c r="R699" s="24"/>
      <c r="S699" s="24"/>
      <c r="T699" s="24"/>
      <c r="U699" s="24"/>
      <c r="V699" s="24"/>
      <c r="W699" s="24"/>
      <c r="X699" s="24"/>
      <c r="Y699" s="24"/>
      <c r="Z699" s="24"/>
      <c r="AA699" s="24"/>
      <c r="AB699" s="24"/>
      <c r="AC699" s="24"/>
    </row>
    <row r="700" spans="1:29" ht="16.3">
      <c r="A700" s="24"/>
      <c r="B700" s="24"/>
      <c r="C700" s="24"/>
      <c r="D700" s="24"/>
      <c r="E700" s="24"/>
      <c r="F700" s="24"/>
      <c r="G700" s="117"/>
      <c r="H700" s="117"/>
      <c r="I700" s="118"/>
      <c r="J700" s="119"/>
      <c r="K700" s="119"/>
      <c r="L700" s="24"/>
      <c r="M700" s="24"/>
      <c r="N700" s="24"/>
      <c r="O700" s="24"/>
      <c r="P700" s="114"/>
      <c r="Q700" s="24"/>
      <c r="R700" s="24"/>
      <c r="S700" s="24"/>
      <c r="T700" s="24"/>
      <c r="U700" s="24"/>
      <c r="V700" s="24"/>
      <c r="W700" s="24"/>
      <c r="X700" s="24"/>
      <c r="Y700" s="24"/>
      <c r="Z700" s="24"/>
      <c r="AA700" s="24"/>
      <c r="AB700" s="24"/>
      <c r="AC700" s="24"/>
    </row>
    <row r="701" spans="1:29" ht="16.3">
      <c r="A701" s="24"/>
      <c r="B701" s="24"/>
      <c r="C701" s="24"/>
      <c r="D701" s="24"/>
      <c r="E701" s="24"/>
      <c r="F701" s="24"/>
      <c r="G701" s="117"/>
      <c r="H701" s="117"/>
      <c r="I701" s="118"/>
      <c r="J701" s="119"/>
      <c r="K701" s="119"/>
      <c r="L701" s="24"/>
      <c r="M701" s="24"/>
      <c r="N701" s="24"/>
      <c r="O701" s="24"/>
      <c r="P701" s="114"/>
      <c r="Q701" s="24"/>
      <c r="R701" s="24"/>
      <c r="S701" s="24"/>
      <c r="T701" s="24"/>
      <c r="U701" s="24"/>
      <c r="V701" s="24"/>
      <c r="W701" s="24"/>
      <c r="X701" s="24"/>
      <c r="Y701" s="24"/>
      <c r="Z701" s="24"/>
      <c r="AA701" s="24"/>
      <c r="AB701" s="24"/>
      <c r="AC701" s="24"/>
    </row>
    <row r="702" spans="1:29" ht="16.3">
      <c r="A702" s="24"/>
      <c r="B702" s="24"/>
      <c r="C702" s="24"/>
      <c r="D702" s="24"/>
      <c r="E702" s="24"/>
      <c r="F702" s="24"/>
      <c r="G702" s="117"/>
      <c r="H702" s="117"/>
      <c r="I702" s="118"/>
      <c r="J702" s="119"/>
      <c r="K702" s="119"/>
      <c r="L702" s="24"/>
      <c r="M702" s="24"/>
      <c r="N702" s="24"/>
      <c r="O702" s="24"/>
      <c r="P702" s="114"/>
      <c r="Q702" s="24"/>
      <c r="R702" s="24"/>
      <c r="S702" s="24"/>
      <c r="T702" s="24"/>
      <c r="U702" s="24"/>
      <c r="V702" s="24"/>
      <c r="W702" s="24"/>
      <c r="X702" s="24"/>
      <c r="Y702" s="24"/>
      <c r="Z702" s="24"/>
      <c r="AA702" s="24"/>
      <c r="AB702" s="24"/>
      <c r="AC702" s="24"/>
    </row>
    <row r="703" spans="1:29" ht="16.3">
      <c r="A703" s="24"/>
      <c r="B703" s="24"/>
      <c r="C703" s="24"/>
      <c r="D703" s="24"/>
      <c r="E703" s="24"/>
      <c r="F703" s="24"/>
      <c r="G703" s="117"/>
      <c r="H703" s="117"/>
      <c r="I703" s="118"/>
      <c r="J703" s="119"/>
      <c r="K703" s="119"/>
      <c r="L703" s="24"/>
      <c r="M703" s="24"/>
      <c r="N703" s="24"/>
      <c r="O703" s="24"/>
      <c r="P703" s="114"/>
      <c r="Q703" s="24"/>
      <c r="R703" s="24"/>
      <c r="S703" s="24"/>
      <c r="T703" s="24"/>
      <c r="U703" s="24"/>
      <c r="V703" s="24"/>
      <c r="W703" s="24"/>
      <c r="X703" s="24"/>
      <c r="Y703" s="24"/>
      <c r="Z703" s="24"/>
      <c r="AA703" s="24"/>
      <c r="AB703" s="24"/>
      <c r="AC703" s="24"/>
    </row>
    <row r="704" spans="1:29" ht="16.3">
      <c r="A704" s="24"/>
      <c r="B704" s="24"/>
      <c r="C704" s="24"/>
      <c r="D704" s="24"/>
      <c r="E704" s="24"/>
      <c r="F704" s="24"/>
      <c r="G704" s="117"/>
      <c r="H704" s="117"/>
      <c r="I704" s="118"/>
      <c r="J704" s="119"/>
      <c r="K704" s="119"/>
      <c r="L704" s="24"/>
      <c r="M704" s="24"/>
      <c r="N704" s="24"/>
      <c r="O704" s="24"/>
      <c r="P704" s="114"/>
      <c r="Q704" s="24"/>
      <c r="R704" s="24"/>
      <c r="S704" s="24"/>
      <c r="T704" s="24"/>
      <c r="U704" s="24"/>
      <c r="V704" s="24"/>
      <c r="W704" s="24"/>
      <c r="X704" s="24"/>
      <c r="Y704" s="24"/>
      <c r="Z704" s="24"/>
      <c r="AA704" s="24"/>
      <c r="AB704" s="24"/>
      <c r="AC704" s="24"/>
    </row>
    <row r="705" spans="1:29" ht="16.3">
      <c r="A705" s="24"/>
      <c r="B705" s="24"/>
      <c r="C705" s="24"/>
      <c r="D705" s="24"/>
      <c r="E705" s="24"/>
      <c r="F705" s="24"/>
      <c r="G705" s="117"/>
      <c r="H705" s="117"/>
      <c r="I705" s="118"/>
      <c r="J705" s="119"/>
      <c r="K705" s="119"/>
      <c r="L705" s="24"/>
      <c r="M705" s="24"/>
      <c r="N705" s="24"/>
      <c r="O705" s="24"/>
      <c r="P705" s="114"/>
      <c r="Q705" s="24"/>
      <c r="R705" s="24"/>
      <c r="S705" s="24"/>
      <c r="T705" s="24"/>
      <c r="U705" s="24"/>
      <c r="V705" s="24"/>
      <c r="W705" s="24"/>
      <c r="X705" s="24"/>
      <c r="Y705" s="24"/>
      <c r="Z705" s="24"/>
      <c r="AA705" s="24"/>
      <c r="AB705" s="24"/>
      <c r="AC705" s="24"/>
    </row>
    <row r="706" spans="1:29" ht="16.3">
      <c r="A706" s="24"/>
      <c r="B706" s="24"/>
      <c r="C706" s="24"/>
      <c r="D706" s="24"/>
      <c r="E706" s="24"/>
      <c r="F706" s="24"/>
      <c r="G706" s="117"/>
      <c r="H706" s="117"/>
      <c r="I706" s="118"/>
      <c r="J706" s="119"/>
      <c r="K706" s="119"/>
      <c r="L706" s="24"/>
      <c r="M706" s="24"/>
      <c r="N706" s="24"/>
      <c r="O706" s="24"/>
      <c r="P706" s="114"/>
      <c r="Q706" s="24"/>
      <c r="R706" s="24"/>
      <c r="S706" s="24"/>
      <c r="T706" s="24"/>
      <c r="U706" s="24"/>
      <c r="V706" s="24"/>
      <c r="W706" s="24"/>
      <c r="X706" s="24"/>
      <c r="Y706" s="24"/>
      <c r="Z706" s="24"/>
      <c r="AA706" s="24"/>
      <c r="AB706" s="24"/>
      <c r="AC706" s="24"/>
    </row>
    <row r="707" spans="1:29" ht="16.3">
      <c r="A707" s="24"/>
      <c r="B707" s="24"/>
      <c r="C707" s="24"/>
      <c r="D707" s="24"/>
      <c r="E707" s="24"/>
      <c r="F707" s="24"/>
      <c r="G707" s="117"/>
      <c r="H707" s="117"/>
      <c r="I707" s="118"/>
      <c r="J707" s="119"/>
      <c r="K707" s="119"/>
      <c r="L707" s="24"/>
      <c r="M707" s="24"/>
      <c r="N707" s="24"/>
      <c r="O707" s="24"/>
      <c r="P707" s="114"/>
      <c r="Q707" s="24"/>
      <c r="R707" s="24"/>
      <c r="S707" s="24"/>
      <c r="T707" s="24"/>
      <c r="U707" s="24"/>
      <c r="V707" s="24"/>
      <c r="W707" s="24"/>
      <c r="X707" s="24"/>
      <c r="Y707" s="24"/>
      <c r="Z707" s="24"/>
      <c r="AA707" s="24"/>
      <c r="AB707" s="24"/>
      <c r="AC707" s="24"/>
    </row>
    <row r="708" spans="1:29" ht="16.3">
      <c r="A708" s="24"/>
      <c r="B708" s="24"/>
      <c r="C708" s="24"/>
      <c r="D708" s="24"/>
      <c r="E708" s="24"/>
      <c r="F708" s="24"/>
      <c r="G708" s="117"/>
      <c r="H708" s="117"/>
      <c r="I708" s="118"/>
      <c r="J708" s="119"/>
      <c r="K708" s="119"/>
      <c r="L708" s="24"/>
      <c r="M708" s="24"/>
      <c r="N708" s="24"/>
      <c r="O708" s="24"/>
      <c r="P708" s="114"/>
      <c r="Q708" s="24"/>
      <c r="R708" s="24"/>
      <c r="S708" s="24"/>
      <c r="T708" s="24"/>
      <c r="U708" s="24"/>
      <c r="V708" s="24"/>
      <c r="W708" s="24"/>
      <c r="X708" s="24"/>
      <c r="Y708" s="24"/>
      <c r="Z708" s="24"/>
      <c r="AA708" s="24"/>
      <c r="AB708" s="24"/>
      <c r="AC708" s="24"/>
    </row>
    <row r="709" spans="1:29" ht="16.3">
      <c r="A709" s="24"/>
      <c r="B709" s="24"/>
      <c r="C709" s="24"/>
      <c r="D709" s="24"/>
      <c r="E709" s="24"/>
      <c r="F709" s="24"/>
      <c r="G709" s="117"/>
      <c r="H709" s="117"/>
      <c r="I709" s="118"/>
      <c r="J709" s="119"/>
      <c r="K709" s="119"/>
      <c r="L709" s="24"/>
      <c r="M709" s="24"/>
      <c r="N709" s="24"/>
      <c r="O709" s="24"/>
      <c r="P709" s="114"/>
      <c r="Q709" s="24"/>
      <c r="R709" s="24"/>
      <c r="S709" s="24"/>
      <c r="T709" s="24"/>
      <c r="U709" s="24"/>
      <c r="V709" s="24"/>
      <c r="W709" s="24"/>
      <c r="X709" s="24"/>
      <c r="Y709" s="24"/>
      <c r="Z709" s="24"/>
      <c r="AA709" s="24"/>
      <c r="AB709" s="24"/>
      <c r="AC709" s="24"/>
    </row>
    <row r="710" spans="1:29" ht="16.3">
      <c r="A710" s="24"/>
      <c r="B710" s="24"/>
      <c r="C710" s="24"/>
      <c r="D710" s="24"/>
      <c r="E710" s="24"/>
      <c r="F710" s="24"/>
      <c r="G710" s="117"/>
      <c r="H710" s="117"/>
      <c r="I710" s="118"/>
      <c r="J710" s="119"/>
      <c r="K710" s="119"/>
      <c r="L710" s="24"/>
      <c r="M710" s="24"/>
      <c r="N710" s="24"/>
      <c r="O710" s="24"/>
      <c r="P710" s="114"/>
      <c r="Q710" s="24"/>
      <c r="R710" s="24"/>
      <c r="S710" s="24"/>
      <c r="T710" s="24"/>
      <c r="U710" s="24"/>
      <c r="V710" s="24"/>
      <c r="W710" s="24"/>
      <c r="X710" s="24"/>
      <c r="Y710" s="24"/>
      <c r="Z710" s="24"/>
      <c r="AA710" s="24"/>
      <c r="AB710" s="24"/>
      <c r="AC710" s="24"/>
    </row>
    <row r="711" spans="1:29" ht="16.3">
      <c r="A711" s="24"/>
      <c r="B711" s="24"/>
      <c r="C711" s="24"/>
      <c r="D711" s="24"/>
      <c r="E711" s="24"/>
      <c r="F711" s="24"/>
      <c r="G711" s="117"/>
      <c r="H711" s="117"/>
      <c r="I711" s="118"/>
      <c r="J711" s="119"/>
      <c r="K711" s="119"/>
      <c r="L711" s="24"/>
      <c r="M711" s="24"/>
      <c r="N711" s="24"/>
      <c r="O711" s="24"/>
      <c r="P711" s="114"/>
      <c r="Q711" s="24"/>
      <c r="R711" s="24"/>
      <c r="S711" s="24"/>
      <c r="T711" s="24"/>
      <c r="U711" s="24"/>
      <c r="V711" s="24"/>
      <c r="W711" s="24"/>
      <c r="X711" s="24"/>
      <c r="Y711" s="24"/>
      <c r="Z711" s="24"/>
      <c r="AA711" s="24"/>
      <c r="AB711" s="24"/>
      <c r="AC711" s="24"/>
    </row>
    <row r="712" spans="1:29" ht="16.3">
      <c r="A712" s="24"/>
      <c r="B712" s="24"/>
      <c r="C712" s="24"/>
      <c r="D712" s="24"/>
      <c r="E712" s="24"/>
      <c r="F712" s="24"/>
      <c r="G712" s="117"/>
      <c r="H712" s="117"/>
      <c r="I712" s="118"/>
      <c r="J712" s="119"/>
      <c r="K712" s="119"/>
      <c r="L712" s="24"/>
      <c r="M712" s="24"/>
      <c r="N712" s="24"/>
      <c r="O712" s="24"/>
      <c r="P712" s="114"/>
      <c r="Q712" s="24"/>
      <c r="R712" s="24"/>
      <c r="S712" s="24"/>
      <c r="T712" s="24"/>
      <c r="U712" s="24"/>
      <c r="V712" s="24"/>
      <c r="W712" s="24"/>
      <c r="X712" s="24"/>
      <c r="Y712" s="24"/>
      <c r="Z712" s="24"/>
      <c r="AA712" s="24"/>
      <c r="AB712" s="24"/>
      <c r="AC712" s="24"/>
    </row>
    <row r="713" spans="1:29" ht="16.3">
      <c r="A713" s="24"/>
      <c r="B713" s="24"/>
      <c r="C713" s="24"/>
      <c r="D713" s="24"/>
      <c r="E713" s="24"/>
      <c r="F713" s="24"/>
      <c r="G713" s="117"/>
      <c r="H713" s="117"/>
      <c r="I713" s="118"/>
      <c r="J713" s="119"/>
      <c r="K713" s="119"/>
      <c r="L713" s="24"/>
      <c r="M713" s="24"/>
      <c r="N713" s="24"/>
      <c r="O713" s="24"/>
      <c r="P713" s="114"/>
      <c r="Q713" s="24"/>
      <c r="R713" s="24"/>
      <c r="S713" s="24"/>
      <c r="T713" s="24"/>
      <c r="U713" s="24"/>
      <c r="V713" s="24"/>
      <c r="W713" s="24"/>
      <c r="X713" s="24"/>
      <c r="Y713" s="24"/>
      <c r="Z713" s="24"/>
      <c r="AA713" s="24"/>
      <c r="AB713" s="24"/>
      <c r="AC713" s="24"/>
    </row>
    <row r="714" spans="1:29" ht="16.3">
      <c r="A714" s="24"/>
      <c r="B714" s="24"/>
      <c r="C714" s="24"/>
      <c r="D714" s="24"/>
      <c r="E714" s="24"/>
      <c r="F714" s="24"/>
      <c r="G714" s="117"/>
      <c r="H714" s="117"/>
      <c r="I714" s="118"/>
      <c r="J714" s="119"/>
      <c r="K714" s="119"/>
      <c r="L714" s="24"/>
      <c r="M714" s="24"/>
      <c r="N714" s="24"/>
      <c r="O714" s="24"/>
      <c r="P714" s="114"/>
      <c r="Q714" s="24"/>
      <c r="R714" s="24"/>
      <c r="S714" s="24"/>
      <c r="T714" s="24"/>
      <c r="U714" s="24"/>
      <c r="V714" s="24"/>
      <c r="W714" s="24"/>
      <c r="X714" s="24"/>
      <c r="Y714" s="24"/>
      <c r="Z714" s="24"/>
      <c r="AA714" s="24"/>
      <c r="AB714" s="24"/>
      <c r="AC714" s="24"/>
    </row>
    <row r="715" spans="1:29" ht="16.3">
      <c r="A715" s="24"/>
      <c r="B715" s="24"/>
      <c r="C715" s="24"/>
      <c r="D715" s="24"/>
      <c r="E715" s="24"/>
      <c r="F715" s="24"/>
      <c r="G715" s="117"/>
      <c r="H715" s="117"/>
      <c r="I715" s="118"/>
      <c r="J715" s="119"/>
      <c r="K715" s="119"/>
      <c r="L715" s="24"/>
      <c r="M715" s="24"/>
      <c r="N715" s="24"/>
      <c r="O715" s="24"/>
      <c r="P715" s="114"/>
      <c r="Q715" s="24"/>
      <c r="R715" s="24"/>
      <c r="S715" s="24"/>
      <c r="T715" s="24"/>
      <c r="U715" s="24"/>
      <c r="V715" s="24"/>
      <c r="W715" s="24"/>
      <c r="X715" s="24"/>
      <c r="Y715" s="24"/>
      <c r="Z715" s="24"/>
      <c r="AA715" s="24"/>
      <c r="AB715" s="24"/>
      <c r="AC715" s="24"/>
    </row>
    <row r="716" spans="1:29" ht="16.3">
      <c r="A716" s="24"/>
      <c r="B716" s="24"/>
      <c r="C716" s="24"/>
      <c r="D716" s="24"/>
      <c r="E716" s="24"/>
      <c r="F716" s="24"/>
      <c r="G716" s="117"/>
      <c r="H716" s="117"/>
      <c r="I716" s="118"/>
      <c r="J716" s="119"/>
      <c r="K716" s="119"/>
      <c r="L716" s="24"/>
      <c r="M716" s="24"/>
      <c r="N716" s="24"/>
      <c r="O716" s="24"/>
      <c r="P716" s="114"/>
      <c r="Q716" s="24"/>
      <c r="R716" s="24"/>
      <c r="S716" s="24"/>
      <c r="T716" s="24"/>
      <c r="U716" s="24"/>
      <c r="V716" s="24"/>
      <c r="W716" s="24"/>
      <c r="X716" s="24"/>
      <c r="Y716" s="24"/>
      <c r="Z716" s="24"/>
      <c r="AA716" s="24"/>
      <c r="AB716" s="24"/>
      <c r="AC716" s="24"/>
    </row>
    <row r="717" spans="1:29" ht="16.3">
      <c r="A717" s="24"/>
      <c r="B717" s="24"/>
      <c r="C717" s="24"/>
      <c r="D717" s="24"/>
      <c r="E717" s="24"/>
      <c r="F717" s="24"/>
      <c r="G717" s="117"/>
      <c r="H717" s="117"/>
      <c r="I717" s="118"/>
      <c r="J717" s="119"/>
      <c r="K717" s="119"/>
      <c r="L717" s="24"/>
      <c r="M717" s="24"/>
      <c r="N717" s="24"/>
      <c r="O717" s="24"/>
      <c r="P717" s="114"/>
      <c r="Q717" s="24"/>
      <c r="R717" s="24"/>
      <c r="S717" s="24"/>
      <c r="T717" s="24"/>
      <c r="U717" s="24"/>
      <c r="V717" s="24"/>
      <c r="W717" s="24"/>
      <c r="X717" s="24"/>
      <c r="Y717" s="24"/>
      <c r="Z717" s="24"/>
      <c r="AA717" s="24"/>
      <c r="AB717" s="24"/>
      <c r="AC717" s="24"/>
    </row>
    <row r="718" spans="1:29" ht="16.3">
      <c r="A718" s="24"/>
      <c r="B718" s="24"/>
      <c r="C718" s="24"/>
      <c r="D718" s="24"/>
      <c r="E718" s="24"/>
      <c r="F718" s="24"/>
      <c r="G718" s="117"/>
      <c r="H718" s="117"/>
      <c r="I718" s="118"/>
      <c r="J718" s="119"/>
      <c r="K718" s="119"/>
      <c r="L718" s="24"/>
      <c r="M718" s="24"/>
      <c r="N718" s="24"/>
      <c r="O718" s="24"/>
      <c r="P718" s="114"/>
      <c r="Q718" s="24"/>
      <c r="R718" s="24"/>
      <c r="S718" s="24"/>
      <c r="T718" s="24"/>
      <c r="U718" s="24"/>
      <c r="V718" s="24"/>
      <c r="W718" s="24"/>
      <c r="X718" s="24"/>
      <c r="Y718" s="24"/>
      <c r="Z718" s="24"/>
      <c r="AA718" s="24"/>
      <c r="AB718" s="24"/>
      <c r="AC718" s="24"/>
    </row>
    <row r="719" spans="1:29" ht="16.3">
      <c r="A719" s="24"/>
      <c r="B719" s="24"/>
      <c r="C719" s="24"/>
      <c r="D719" s="24"/>
      <c r="E719" s="24"/>
      <c r="F719" s="24"/>
      <c r="G719" s="117"/>
      <c r="H719" s="117"/>
      <c r="I719" s="118"/>
      <c r="J719" s="119"/>
      <c r="K719" s="119"/>
      <c r="L719" s="24"/>
      <c r="M719" s="24"/>
      <c r="N719" s="24"/>
      <c r="O719" s="24"/>
      <c r="P719" s="114"/>
      <c r="Q719" s="24"/>
      <c r="R719" s="24"/>
      <c r="S719" s="24"/>
      <c r="T719" s="24"/>
      <c r="U719" s="24"/>
      <c r="V719" s="24"/>
      <c r="W719" s="24"/>
      <c r="X719" s="24"/>
      <c r="Y719" s="24"/>
      <c r="Z719" s="24"/>
      <c r="AA719" s="24"/>
      <c r="AB719" s="24"/>
      <c r="AC719" s="24"/>
    </row>
    <row r="720" spans="1:29" ht="16.3">
      <c r="A720" s="24"/>
      <c r="B720" s="24"/>
      <c r="C720" s="24"/>
      <c r="D720" s="24"/>
      <c r="E720" s="24"/>
      <c r="F720" s="24"/>
      <c r="G720" s="117"/>
      <c r="H720" s="117"/>
      <c r="I720" s="118"/>
      <c r="J720" s="119"/>
      <c r="K720" s="119"/>
      <c r="L720" s="24"/>
      <c r="M720" s="24"/>
      <c r="N720" s="24"/>
      <c r="O720" s="24"/>
      <c r="P720" s="114"/>
      <c r="Q720" s="24"/>
      <c r="R720" s="24"/>
      <c r="S720" s="24"/>
      <c r="T720" s="24"/>
      <c r="U720" s="24"/>
      <c r="V720" s="24"/>
      <c r="W720" s="24"/>
      <c r="X720" s="24"/>
      <c r="Y720" s="24"/>
      <c r="Z720" s="24"/>
      <c r="AA720" s="24"/>
      <c r="AB720" s="24"/>
      <c r="AC720" s="24"/>
    </row>
    <row r="721" spans="1:29" ht="16.3">
      <c r="A721" s="24"/>
      <c r="B721" s="24"/>
      <c r="C721" s="24"/>
      <c r="D721" s="24"/>
      <c r="E721" s="24"/>
      <c r="F721" s="24"/>
      <c r="G721" s="117"/>
      <c r="H721" s="117"/>
      <c r="I721" s="118"/>
      <c r="J721" s="119"/>
      <c r="K721" s="119"/>
      <c r="L721" s="24"/>
      <c r="M721" s="24"/>
      <c r="N721" s="24"/>
      <c r="O721" s="24"/>
      <c r="P721" s="114"/>
      <c r="Q721" s="24"/>
      <c r="R721" s="24"/>
      <c r="S721" s="24"/>
      <c r="T721" s="24"/>
      <c r="U721" s="24"/>
      <c r="V721" s="24"/>
      <c r="W721" s="24"/>
      <c r="X721" s="24"/>
      <c r="Y721" s="24"/>
      <c r="Z721" s="24"/>
      <c r="AA721" s="24"/>
      <c r="AB721" s="24"/>
      <c r="AC721" s="24"/>
    </row>
    <row r="722" spans="1:29" ht="16.3">
      <c r="A722" s="24"/>
      <c r="B722" s="24"/>
      <c r="C722" s="24"/>
      <c r="D722" s="24"/>
      <c r="E722" s="24"/>
      <c r="F722" s="24"/>
      <c r="G722" s="117"/>
      <c r="H722" s="117"/>
      <c r="I722" s="118"/>
      <c r="J722" s="119"/>
      <c r="K722" s="119"/>
      <c r="L722" s="24"/>
      <c r="M722" s="24"/>
      <c r="N722" s="24"/>
      <c r="O722" s="24"/>
      <c r="P722" s="114"/>
      <c r="Q722" s="24"/>
      <c r="R722" s="24"/>
      <c r="S722" s="24"/>
      <c r="T722" s="24"/>
      <c r="U722" s="24"/>
      <c r="V722" s="24"/>
      <c r="W722" s="24"/>
      <c r="X722" s="24"/>
      <c r="Y722" s="24"/>
      <c r="Z722" s="24"/>
      <c r="AA722" s="24"/>
      <c r="AB722" s="24"/>
      <c r="AC722" s="24"/>
    </row>
    <row r="723" spans="1:29" ht="16.3">
      <c r="A723" s="24"/>
      <c r="B723" s="24"/>
      <c r="C723" s="24"/>
      <c r="D723" s="24"/>
      <c r="E723" s="24"/>
      <c r="F723" s="24"/>
      <c r="G723" s="117"/>
      <c r="H723" s="117"/>
      <c r="I723" s="118"/>
      <c r="J723" s="119"/>
      <c r="K723" s="119"/>
      <c r="L723" s="24"/>
      <c r="M723" s="24"/>
      <c r="N723" s="24"/>
      <c r="O723" s="24"/>
      <c r="P723" s="114"/>
      <c r="Q723" s="24"/>
      <c r="R723" s="24"/>
      <c r="S723" s="24"/>
      <c r="T723" s="24"/>
      <c r="U723" s="24"/>
      <c r="V723" s="24"/>
      <c r="W723" s="24"/>
      <c r="X723" s="24"/>
      <c r="Y723" s="24"/>
      <c r="Z723" s="24"/>
      <c r="AA723" s="24"/>
      <c r="AB723" s="24"/>
      <c r="AC723" s="24"/>
    </row>
    <row r="724" spans="1:29" ht="16.3">
      <c r="A724" s="24"/>
      <c r="B724" s="24"/>
      <c r="C724" s="24"/>
      <c r="D724" s="24"/>
      <c r="E724" s="24"/>
      <c r="F724" s="24"/>
      <c r="G724" s="117"/>
      <c r="H724" s="117"/>
      <c r="I724" s="118"/>
      <c r="J724" s="119"/>
      <c r="K724" s="119"/>
      <c r="L724" s="24"/>
      <c r="M724" s="24"/>
      <c r="N724" s="24"/>
      <c r="O724" s="24"/>
      <c r="P724" s="114"/>
      <c r="Q724" s="24"/>
      <c r="R724" s="24"/>
      <c r="S724" s="24"/>
      <c r="T724" s="24"/>
      <c r="U724" s="24"/>
      <c r="V724" s="24"/>
      <c r="W724" s="24"/>
      <c r="X724" s="24"/>
      <c r="Y724" s="24"/>
      <c r="Z724" s="24"/>
      <c r="AA724" s="24"/>
      <c r="AB724" s="24"/>
      <c r="AC724" s="24"/>
    </row>
    <row r="725" spans="1:29" ht="16.3">
      <c r="A725" s="24"/>
      <c r="B725" s="24"/>
      <c r="C725" s="24"/>
      <c r="D725" s="24"/>
      <c r="E725" s="24"/>
      <c r="F725" s="24"/>
      <c r="G725" s="117"/>
      <c r="H725" s="117"/>
      <c r="I725" s="118"/>
      <c r="J725" s="119"/>
      <c r="K725" s="119"/>
      <c r="L725" s="24"/>
      <c r="M725" s="24"/>
      <c r="N725" s="24"/>
      <c r="O725" s="24"/>
      <c r="P725" s="114"/>
      <c r="Q725" s="24"/>
      <c r="R725" s="24"/>
      <c r="S725" s="24"/>
      <c r="T725" s="24"/>
      <c r="U725" s="24"/>
      <c r="V725" s="24"/>
      <c r="W725" s="24"/>
      <c r="X725" s="24"/>
      <c r="Y725" s="24"/>
      <c r="Z725" s="24"/>
      <c r="AA725" s="24"/>
      <c r="AB725" s="24"/>
      <c r="AC725" s="24"/>
    </row>
    <row r="726" spans="1:29" ht="16.3">
      <c r="A726" s="24"/>
      <c r="B726" s="24"/>
      <c r="C726" s="24"/>
      <c r="D726" s="24"/>
      <c r="E726" s="24"/>
      <c r="F726" s="24"/>
      <c r="G726" s="117"/>
      <c r="H726" s="117"/>
      <c r="I726" s="118"/>
      <c r="J726" s="119"/>
      <c r="K726" s="119"/>
      <c r="L726" s="24"/>
      <c r="M726" s="24"/>
      <c r="N726" s="24"/>
      <c r="O726" s="24"/>
      <c r="P726" s="114"/>
      <c r="Q726" s="24"/>
      <c r="R726" s="24"/>
      <c r="S726" s="24"/>
      <c r="T726" s="24"/>
      <c r="U726" s="24"/>
      <c r="V726" s="24"/>
      <c r="W726" s="24"/>
      <c r="X726" s="24"/>
      <c r="Y726" s="24"/>
      <c r="Z726" s="24"/>
      <c r="AA726" s="24"/>
      <c r="AB726" s="24"/>
      <c r="AC726" s="24"/>
    </row>
    <row r="727" spans="1:29" ht="16.3">
      <c r="A727" s="24"/>
      <c r="B727" s="24"/>
      <c r="C727" s="24"/>
      <c r="D727" s="24"/>
      <c r="E727" s="24"/>
      <c r="F727" s="24"/>
      <c r="G727" s="117"/>
      <c r="H727" s="117"/>
      <c r="I727" s="118"/>
      <c r="J727" s="119"/>
      <c r="K727" s="119"/>
      <c r="L727" s="24"/>
      <c r="M727" s="24"/>
      <c r="N727" s="24"/>
      <c r="O727" s="24"/>
      <c r="P727" s="114"/>
      <c r="Q727" s="24"/>
      <c r="R727" s="24"/>
      <c r="S727" s="24"/>
      <c r="T727" s="24"/>
      <c r="U727" s="24"/>
      <c r="V727" s="24"/>
      <c r="W727" s="24"/>
      <c r="X727" s="24"/>
      <c r="Y727" s="24"/>
      <c r="Z727" s="24"/>
      <c r="AA727" s="24"/>
      <c r="AB727" s="24"/>
      <c r="AC727" s="24"/>
    </row>
    <row r="728" spans="1:29" ht="16.3">
      <c r="A728" s="24"/>
      <c r="B728" s="24"/>
      <c r="C728" s="24"/>
      <c r="D728" s="24"/>
      <c r="E728" s="24"/>
      <c r="F728" s="24"/>
      <c r="G728" s="117"/>
      <c r="H728" s="117"/>
      <c r="I728" s="118"/>
      <c r="J728" s="119"/>
      <c r="K728" s="119"/>
      <c r="L728" s="24"/>
      <c r="M728" s="24"/>
      <c r="N728" s="24"/>
      <c r="O728" s="24"/>
      <c r="P728" s="114"/>
      <c r="Q728" s="24"/>
      <c r="R728" s="24"/>
      <c r="S728" s="24"/>
      <c r="T728" s="24"/>
      <c r="U728" s="24"/>
      <c r="V728" s="24"/>
      <c r="W728" s="24"/>
      <c r="X728" s="24"/>
      <c r="Y728" s="24"/>
      <c r="Z728" s="24"/>
      <c r="AA728" s="24"/>
      <c r="AB728" s="24"/>
      <c r="AC728" s="24"/>
    </row>
    <row r="729" spans="1:29" ht="16.3">
      <c r="A729" s="24"/>
      <c r="B729" s="24"/>
      <c r="C729" s="24"/>
      <c r="D729" s="24"/>
      <c r="E729" s="24"/>
      <c r="F729" s="24"/>
      <c r="G729" s="117"/>
      <c r="H729" s="117"/>
      <c r="I729" s="118"/>
      <c r="J729" s="119"/>
      <c r="K729" s="119"/>
      <c r="L729" s="24"/>
      <c r="M729" s="24"/>
      <c r="N729" s="24"/>
      <c r="O729" s="24"/>
      <c r="P729" s="114"/>
      <c r="Q729" s="24"/>
      <c r="R729" s="24"/>
      <c r="S729" s="24"/>
      <c r="T729" s="24"/>
      <c r="U729" s="24"/>
      <c r="V729" s="24"/>
      <c r="W729" s="24"/>
      <c r="X729" s="24"/>
      <c r="Y729" s="24"/>
      <c r="Z729" s="24"/>
      <c r="AA729" s="24"/>
      <c r="AB729" s="24"/>
      <c r="AC729" s="24"/>
    </row>
    <row r="730" spans="1:29" ht="16.3">
      <c r="A730" s="24"/>
      <c r="B730" s="24"/>
      <c r="C730" s="24"/>
      <c r="D730" s="24"/>
      <c r="E730" s="24"/>
      <c r="F730" s="24"/>
      <c r="G730" s="117"/>
      <c r="H730" s="117"/>
      <c r="I730" s="118"/>
      <c r="J730" s="119"/>
      <c r="K730" s="119"/>
      <c r="L730" s="24"/>
      <c r="M730" s="24"/>
      <c r="N730" s="24"/>
      <c r="O730" s="24"/>
      <c r="P730" s="114"/>
      <c r="Q730" s="24"/>
      <c r="R730" s="24"/>
      <c r="S730" s="24"/>
      <c r="T730" s="24"/>
      <c r="U730" s="24"/>
      <c r="V730" s="24"/>
      <c r="W730" s="24"/>
      <c r="X730" s="24"/>
      <c r="Y730" s="24"/>
      <c r="Z730" s="24"/>
      <c r="AA730" s="24"/>
      <c r="AB730" s="24"/>
      <c r="AC730" s="24"/>
    </row>
    <row r="731" spans="1:29" ht="16.3">
      <c r="A731" s="24"/>
      <c r="B731" s="24"/>
      <c r="C731" s="24"/>
      <c r="D731" s="24"/>
      <c r="E731" s="24"/>
      <c r="F731" s="24"/>
      <c r="G731" s="117"/>
      <c r="H731" s="117"/>
      <c r="I731" s="118"/>
      <c r="J731" s="119"/>
      <c r="K731" s="119"/>
      <c r="L731" s="24"/>
      <c r="M731" s="24"/>
      <c r="N731" s="24"/>
      <c r="O731" s="24"/>
      <c r="P731" s="114"/>
      <c r="Q731" s="24"/>
      <c r="R731" s="24"/>
      <c r="S731" s="24"/>
      <c r="T731" s="24"/>
      <c r="U731" s="24"/>
      <c r="V731" s="24"/>
      <c r="W731" s="24"/>
      <c r="X731" s="24"/>
      <c r="Y731" s="24"/>
      <c r="Z731" s="24"/>
      <c r="AA731" s="24"/>
      <c r="AB731" s="24"/>
      <c r="AC731" s="24"/>
    </row>
    <row r="732" spans="1:29" ht="16.3">
      <c r="A732" s="24"/>
      <c r="B732" s="24"/>
      <c r="C732" s="24"/>
      <c r="D732" s="24"/>
      <c r="E732" s="24"/>
      <c r="F732" s="24"/>
      <c r="G732" s="117"/>
      <c r="H732" s="117"/>
      <c r="I732" s="118"/>
      <c r="J732" s="119"/>
      <c r="K732" s="119"/>
      <c r="L732" s="24"/>
      <c r="M732" s="24"/>
      <c r="N732" s="24"/>
      <c r="O732" s="24"/>
      <c r="P732" s="114"/>
      <c r="Q732" s="24"/>
      <c r="R732" s="24"/>
      <c r="S732" s="24"/>
      <c r="T732" s="24"/>
      <c r="U732" s="24"/>
      <c r="V732" s="24"/>
      <c r="W732" s="24"/>
      <c r="X732" s="24"/>
      <c r="Y732" s="24"/>
      <c r="Z732" s="24"/>
      <c r="AA732" s="24"/>
      <c r="AB732" s="24"/>
      <c r="AC732" s="24"/>
    </row>
    <row r="733" spans="1:29" ht="16.3">
      <c r="A733" s="24"/>
      <c r="B733" s="24"/>
      <c r="C733" s="24"/>
      <c r="D733" s="24"/>
      <c r="E733" s="24"/>
      <c r="F733" s="24"/>
      <c r="G733" s="117"/>
      <c r="H733" s="117"/>
      <c r="I733" s="118"/>
      <c r="J733" s="119"/>
      <c r="K733" s="119"/>
      <c r="L733" s="24"/>
      <c r="M733" s="24"/>
      <c r="N733" s="24"/>
      <c r="O733" s="24"/>
      <c r="P733" s="114"/>
      <c r="Q733" s="24"/>
      <c r="R733" s="24"/>
      <c r="S733" s="24"/>
      <c r="T733" s="24"/>
      <c r="U733" s="24"/>
      <c r="V733" s="24"/>
      <c r="W733" s="24"/>
      <c r="X733" s="24"/>
      <c r="Y733" s="24"/>
      <c r="Z733" s="24"/>
      <c r="AA733" s="24"/>
      <c r="AB733" s="24"/>
      <c r="AC733" s="24"/>
    </row>
    <row r="734" spans="1:29" ht="16.3">
      <c r="A734" s="24"/>
      <c r="B734" s="24"/>
      <c r="C734" s="24"/>
      <c r="D734" s="24"/>
      <c r="E734" s="24"/>
      <c r="F734" s="24"/>
      <c r="G734" s="117"/>
      <c r="H734" s="117"/>
      <c r="I734" s="118"/>
      <c r="J734" s="119"/>
      <c r="K734" s="119"/>
      <c r="L734" s="24"/>
      <c r="M734" s="24"/>
      <c r="N734" s="24"/>
      <c r="O734" s="24"/>
      <c r="P734" s="114"/>
      <c r="Q734" s="24"/>
      <c r="R734" s="24"/>
      <c r="S734" s="24"/>
      <c r="T734" s="24"/>
      <c r="U734" s="24"/>
      <c r="V734" s="24"/>
      <c r="W734" s="24"/>
      <c r="X734" s="24"/>
      <c r="Y734" s="24"/>
      <c r="Z734" s="24"/>
      <c r="AA734" s="24"/>
      <c r="AB734" s="24"/>
      <c r="AC734" s="24"/>
    </row>
    <row r="735" spans="1:29" ht="16.3">
      <c r="A735" s="24"/>
      <c r="B735" s="24"/>
      <c r="C735" s="24"/>
      <c r="D735" s="24"/>
      <c r="E735" s="24"/>
      <c r="F735" s="24"/>
      <c r="G735" s="117"/>
      <c r="H735" s="117"/>
      <c r="I735" s="118"/>
      <c r="J735" s="119"/>
      <c r="K735" s="119"/>
      <c r="L735" s="24"/>
      <c r="M735" s="24"/>
      <c r="N735" s="24"/>
      <c r="O735" s="24"/>
      <c r="P735" s="114"/>
      <c r="Q735" s="24"/>
      <c r="R735" s="24"/>
      <c r="S735" s="24"/>
      <c r="T735" s="24"/>
      <c r="U735" s="24"/>
      <c r="V735" s="24"/>
      <c r="W735" s="24"/>
      <c r="X735" s="24"/>
      <c r="Y735" s="24"/>
      <c r="Z735" s="24"/>
      <c r="AA735" s="24"/>
      <c r="AB735" s="24"/>
      <c r="AC735" s="24"/>
    </row>
    <row r="736" spans="1:29" ht="16.3">
      <c r="A736" s="24"/>
      <c r="B736" s="24"/>
      <c r="C736" s="24"/>
      <c r="D736" s="24"/>
      <c r="E736" s="24"/>
      <c r="F736" s="24"/>
      <c r="G736" s="117"/>
      <c r="H736" s="117"/>
      <c r="I736" s="118"/>
      <c r="J736" s="119"/>
      <c r="K736" s="119"/>
      <c r="L736" s="24"/>
      <c r="M736" s="24"/>
      <c r="N736" s="24"/>
      <c r="O736" s="24"/>
      <c r="P736" s="114"/>
      <c r="Q736" s="24"/>
      <c r="R736" s="24"/>
      <c r="S736" s="24"/>
      <c r="T736" s="24"/>
      <c r="U736" s="24"/>
      <c r="V736" s="24"/>
      <c r="W736" s="24"/>
      <c r="X736" s="24"/>
      <c r="Y736" s="24"/>
      <c r="Z736" s="24"/>
      <c r="AA736" s="24"/>
      <c r="AB736" s="24"/>
      <c r="AC736" s="24"/>
    </row>
    <row r="737" spans="1:29" ht="16.3">
      <c r="A737" s="24"/>
      <c r="B737" s="24"/>
      <c r="C737" s="24"/>
      <c r="D737" s="24"/>
      <c r="E737" s="24"/>
      <c r="F737" s="24"/>
      <c r="G737" s="117"/>
      <c r="H737" s="117"/>
      <c r="I737" s="118"/>
      <c r="J737" s="119"/>
      <c r="K737" s="119"/>
      <c r="L737" s="24"/>
      <c r="M737" s="24"/>
      <c r="N737" s="24"/>
      <c r="O737" s="24"/>
      <c r="P737" s="114"/>
      <c r="Q737" s="24"/>
      <c r="R737" s="24"/>
      <c r="S737" s="24"/>
      <c r="T737" s="24"/>
      <c r="U737" s="24"/>
      <c r="V737" s="24"/>
      <c r="W737" s="24"/>
      <c r="X737" s="24"/>
      <c r="Y737" s="24"/>
      <c r="Z737" s="24"/>
      <c r="AA737" s="24"/>
      <c r="AB737" s="24"/>
      <c r="AC737" s="24"/>
    </row>
    <row r="738" spans="1:29" ht="16.3">
      <c r="A738" s="24"/>
      <c r="B738" s="24"/>
      <c r="C738" s="24"/>
      <c r="D738" s="24"/>
      <c r="E738" s="24"/>
      <c r="F738" s="24"/>
      <c r="G738" s="117"/>
      <c r="H738" s="117"/>
      <c r="I738" s="118"/>
      <c r="J738" s="119"/>
      <c r="K738" s="119"/>
      <c r="L738" s="24"/>
      <c r="M738" s="24"/>
      <c r="N738" s="24"/>
      <c r="O738" s="24"/>
      <c r="P738" s="114"/>
      <c r="Q738" s="24"/>
      <c r="R738" s="24"/>
      <c r="S738" s="24"/>
      <c r="T738" s="24"/>
      <c r="U738" s="24"/>
      <c r="V738" s="24"/>
      <c r="W738" s="24"/>
      <c r="X738" s="24"/>
      <c r="Y738" s="24"/>
      <c r="Z738" s="24"/>
      <c r="AA738" s="24"/>
      <c r="AB738" s="24"/>
      <c r="AC738" s="24"/>
    </row>
    <row r="739" spans="1:29" ht="16.3">
      <c r="A739" s="24"/>
      <c r="B739" s="24"/>
      <c r="C739" s="24"/>
      <c r="D739" s="24"/>
      <c r="E739" s="24"/>
      <c r="F739" s="24"/>
      <c r="G739" s="117"/>
      <c r="H739" s="117"/>
      <c r="I739" s="118"/>
      <c r="J739" s="119"/>
      <c r="K739" s="119"/>
      <c r="L739" s="24"/>
      <c r="M739" s="24"/>
      <c r="N739" s="24"/>
      <c r="O739" s="24"/>
      <c r="P739" s="114"/>
      <c r="Q739" s="24"/>
      <c r="R739" s="24"/>
      <c r="S739" s="24"/>
      <c r="T739" s="24"/>
      <c r="U739" s="24"/>
      <c r="V739" s="24"/>
      <c r="W739" s="24"/>
      <c r="X739" s="24"/>
      <c r="Y739" s="24"/>
      <c r="Z739" s="24"/>
      <c r="AA739" s="24"/>
      <c r="AB739" s="24"/>
      <c r="AC739" s="24"/>
    </row>
    <row r="740" spans="1:29" ht="16.3">
      <c r="A740" s="24"/>
      <c r="B740" s="24"/>
      <c r="C740" s="24"/>
      <c r="D740" s="24"/>
      <c r="E740" s="24"/>
      <c r="F740" s="24"/>
      <c r="G740" s="117"/>
      <c r="H740" s="117"/>
      <c r="I740" s="118"/>
      <c r="J740" s="119"/>
      <c r="K740" s="119"/>
      <c r="L740" s="24"/>
      <c r="M740" s="24"/>
      <c r="N740" s="24"/>
      <c r="O740" s="24"/>
      <c r="P740" s="114"/>
      <c r="Q740" s="24"/>
      <c r="R740" s="24"/>
      <c r="S740" s="24"/>
      <c r="T740" s="24"/>
      <c r="U740" s="24"/>
      <c r="V740" s="24"/>
      <c r="W740" s="24"/>
      <c r="X740" s="24"/>
      <c r="Y740" s="24"/>
      <c r="Z740" s="24"/>
      <c r="AA740" s="24"/>
      <c r="AB740" s="24"/>
      <c r="AC740" s="24"/>
    </row>
    <row r="741" spans="1:29" ht="16.3">
      <c r="A741" s="24"/>
      <c r="B741" s="24"/>
      <c r="C741" s="24"/>
      <c r="D741" s="24"/>
      <c r="E741" s="24"/>
      <c r="F741" s="24"/>
      <c r="G741" s="117"/>
      <c r="H741" s="117"/>
      <c r="I741" s="118"/>
      <c r="J741" s="119"/>
      <c r="K741" s="119"/>
      <c r="L741" s="24"/>
      <c r="M741" s="24"/>
      <c r="N741" s="24"/>
      <c r="O741" s="24"/>
      <c r="P741" s="114"/>
      <c r="Q741" s="24"/>
      <c r="R741" s="24"/>
      <c r="S741" s="24"/>
      <c r="T741" s="24"/>
      <c r="U741" s="24"/>
      <c r="V741" s="24"/>
      <c r="W741" s="24"/>
      <c r="X741" s="24"/>
      <c r="Y741" s="24"/>
      <c r="Z741" s="24"/>
      <c r="AA741" s="24"/>
      <c r="AB741" s="24"/>
      <c r="AC741" s="24"/>
    </row>
    <row r="742" spans="1:29" ht="16.3">
      <c r="A742" s="24"/>
      <c r="B742" s="24"/>
      <c r="C742" s="24"/>
      <c r="D742" s="24"/>
      <c r="E742" s="24"/>
      <c r="F742" s="24"/>
      <c r="G742" s="117"/>
      <c r="H742" s="117"/>
      <c r="I742" s="118"/>
      <c r="J742" s="119"/>
      <c r="K742" s="119"/>
      <c r="L742" s="24"/>
      <c r="M742" s="24"/>
      <c r="N742" s="24"/>
      <c r="O742" s="24"/>
      <c r="P742" s="114"/>
      <c r="Q742" s="24"/>
      <c r="R742" s="24"/>
      <c r="S742" s="24"/>
      <c r="T742" s="24"/>
      <c r="U742" s="24"/>
      <c r="V742" s="24"/>
      <c r="W742" s="24"/>
      <c r="X742" s="24"/>
      <c r="Y742" s="24"/>
      <c r="Z742" s="24"/>
      <c r="AA742" s="24"/>
      <c r="AB742" s="24"/>
      <c r="AC742" s="24"/>
    </row>
    <row r="743" spans="1:29" ht="16.3">
      <c r="A743" s="24"/>
      <c r="B743" s="24"/>
      <c r="C743" s="24"/>
      <c r="D743" s="24"/>
      <c r="E743" s="24"/>
      <c r="F743" s="24"/>
      <c r="G743" s="117"/>
      <c r="H743" s="117"/>
      <c r="I743" s="118"/>
      <c r="J743" s="119"/>
      <c r="K743" s="119"/>
      <c r="L743" s="24"/>
      <c r="M743" s="24"/>
      <c r="N743" s="24"/>
      <c r="O743" s="24"/>
      <c r="P743" s="114"/>
      <c r="Q743" s="24"/>
      <c r="R743" s="24"/>
      <c r="S743" s="24"/>
      <c r="T743" s="24"/>
      <c r="U743" s="24"/>
      <c r="V743" s="24"/>
      <c r="W743" s="24"/>
      <c r="X743" s="24"/>
      <c r="Y743" s="24"/>
      <c r="Z743" s="24"/>
      <c r="AA743" s="24"/>
      <c r="AB743" s="24"/>
      <c r="AC743" s="24"/>
    </row>
    <row r="744" spans="1:29" ht="16.3">
      <c r="A744" s="24"/>
      <c r="B744" s="24"/>
      <c r="C744" s="24"/>
      <c r="D744" s="24"/>
      <c r="E744" s="24"/>
      <c r="F744" s="24"/>
      <c r="G744" s="117"/>
      <c r="H744" s="117"/>
      <c r="I744" s="118"/>
      <c r="J744" s="119"/>
      <c r="K744" s="119"/>
      <c r="L744" s="24"/>
      <c r="M744" s="24"/>
      <c r="N744" s="24"/>
      <c r="O744" s="24"/>
      <c r="P744" s="114"/>
      <c r="Q744" s="24"/>
      <c r="R744" s="24"/>
      <c r="S744" s="24"/>
      <c r="T744" s="24"/>
      <c r="U744" s="24"/>
      <c r="V744" s="24"/>
      <c r="W744" s="24"/>
      <c r="X744" s="24"/>
      <c r="Y744" s="24"/>
      <c r="Z744" s="24"/>
      <c r="AA744" s="24"/>
      <c r="AB744" s="24"/>
      <c r="AC744" s="24"/>
    </row>
    <row r="745" spans="1:29" ht="16.3">
      <c r="A745" s="24"/>
      <c r="B745" s="24"/>
      <c r="C745" s="24"/>
      <c r="D745" s="24"/>
      <c r="E745" s="24"/>
      <c r="F745" s="24"/>
      <c r="G745" s="117"/>
      <c r="H745" s="117"/>
      <c r="I745" s="118"/>
      <c r="J745" s="119"/>
      <c r="K745" s="119"/>
      <c r="L745" s="24"/>
      <c r="M745" s="24"/>
      <c r="N745" s="24"/>
      <c r="O745" s="24"/>
      <c r="P745" s="114"/>
      <c r="Q745" s="24"/>
      <c r="R745" s="24"/>
      <c r="S745" s="24"/>
      <c r="T745" s="24"/>
      <c r="U745" s="24"/>
      <c r="V745" s="24"/>
      <c r="W745" s="24"/>
      <c r="X745" s="24"/>
      <c r="Y745" s="24"/>
      <c r="Z745" s="24"/>
      <c r="AA745" s="24"/>
      <c r="AB745" s="24"/>
      <c r="AC745" s="24"/>
    </row>
    <row r="746" spans="1:29" ht="16.3">
      <c r="A746" s="24"/>
      <c r="B746" s="24"/>
      <c r="C746" s="24"/>
      <c r="D746" s="24"/>
      <c r="E746" s="24"/>
      <c r="F746" s="24"/>
      <c r="G746" s="117"/>
      <c r="H746" s="117"/>
      <c r="I746" s="118"/>
      <c r="J746" s="119"/>
      <c r="K746" s="119"/>
      <c r="L746" s="24"/>
      <c r="M746" s="24"/>
      <c r="N746" s="24"/>
      <c r="O746" s="24"/>
      <c r="P746" s="114"/>
      <c r="Q746" s="24"/>
      <c r="R746" s="24"/>
      <c r="S746" s="24"/>
      <c r="T746" s="24"/>
      <c r="U746" s="24"/>
      <c r="V746" s="24"/>
      <c r="W746" s="24"/>
      <c r="X746" s="24"/>
      <c r="Y746" s="24"/>
      <c r="Z746" s="24"/>
      <c r="AA746" s="24"/>
      <c r="AB746" s="24"/>
      <c r="AC746" s="24"/>
    </row>
    <row r="747" spans="1:29" ht="16.3">
      <c r="A747" s="24"/>
      <c r="B747" s="24"/>
      <c r="C747" s="24"/>
      <c r="D747" s="24"/>
      <c r="E747" s="24"/>
      <c r="F747" s="24"/>
      <c r="G747" s="117"/>
      <c r="H747" s="117"/>
      <c r="I747" s="118"/>
      <c r="J747" s="119"/>
      <c r="K747" s="119"/>
      <c r="L747" s="24"/>
      <c r="M747" s="24"/>
      <c r="N747" s="24"/>
      <c r="O747" s="24"/>
      <c r="P747" s="114"/>
      <c r="Q747" s="24"/>
      <c r="R747" s="24"/>
      <c r="S747" s="24"/>
      <c r="T747" s="24"/>
      <c r="U747" s="24"/>
      <c r="V747" s="24"/>
      <c r="W747" s="24"/>
      <c r="X747" s="24"/>
      <c r="Y747" s="24"/>
      <c r="Z747" s="24"/>
      <c r="AA747" s="24"/>
      <c r="AB747" s="24"/>
      <c r="AC747" s="24"/>
    </row>
    <row r="748" spans="1:29" ht="16.3">
      <c r="A748" s="24"/>
      <c r="B748" s="24"/>
      <c r="C748" s="24"/>
      <c r="D748" s="24"/>
      <c r="E748" s="24"/>
      <c r="F748" s="24"/>
      <c r="G748" s="117"/>
      <c r="H748" s="117"/>
      <c r="I748" s="118"/>
      <c r="J748" s="119"/>
      <c r="K748" s="119"/>
      <c r="L748" s="24"/>
      <c r="M748" s="24"/>
      <c r="N748" s="24"/>
      <c r="O748" s="24"/>
      <c r="P748" s="114"/>
      <c r="Q748" s="24"/>
      <c r="R748" s="24"/>
      <c r="S748" s="24"/>
      <c r="T748" s="24"/>
      <c r="U748" s="24"/>
      <c r="V748" s="24"/>
      <c r="W748" s="24"/>
      <c r="X748" s="24"/>
      <c r="Y748" s="24"/>
      <c r="Z748" s="24"/>
      <c r="AA748" s="24"/>
      <c r="AB748" s="24"/>
      <c r="AC748" s="24"/>
    </row>
    <row r="749" spans="1:29" ht="16.3">
      <c r="A749" s="24"/>
      <c r="B749" s="24"/>
      <c r="C749" s="24"/>
      <c r="D749" s="24"/>
      <c r="E749" s="24"/>
      <c r="F749" s="24"/>
      <c r="G749" s="117"/>
      <c r="H749" s="117"/>
      <c r="I749" s="118"/>
      <c r="J749" s="119"/>
      <c r="K749" s="119"/>
      <c r="L749" s="24"/>
      <c r="M749" s="24"/>
      <c r="N749" s="24"/>
      <c r="O749" s="24"/>
      <c r="P749" s="114"/>
      <c r="Q749" s="24"/>
      <c r="R749" s="24"/>
      <c r="S749" s="24"/>
      <c r="T749" s="24"/>
      <c r="U749" s="24"/>
      <c r="V749" s="24"/>
      <c r="W749" s="24"/>
      <c r="X749" s="24"/>
      <c r="Y749" s="24"/>
      <c r="Z749" s="24"/>
      <c r="AA749" s="24"/>
      <c r="AB749" s="24"/>
      <c r="AC749" s="24"/>
    </row>
    <row r="750" spans="1:29" ht="16.3">
      <c r="A750" s="24"/>
      <c r="B750" s="24"/>
      <c r="C750" s="24"/>
      <c r="D750" s="24"/>
      <c r="E750" s="24"/>
      <c r="F750" s="24"/>
      <c r="G750" s="117"/>
      <c r="H750" s="117"/>
      <c r="I750" s="118"/>
      <c r="J750" s="119"/>
      <c r="K750" s="119"/>
      <c r="L750" s="24"/>
      <c r="M750" s="24"/>
      <c r="N750" s="24"/>
      <c r="O750" s="24"/>
      <c r="P750" s="114"/>
      <c r="Q750" s="24"/>
      <c r="R750" s="24"/>
      <c r="S750" s="24"/>
      <c r="T750" s="24"/>
      <c r="U750" s="24"/>
      <c r="V750" s="24"/>
      <c r="W750" s="24"/>
      <c r="X750" s="24"/>
      <c r="Y750" s="24"/>
      <c r="Z750" s="24"/>
      <c r="AA750" s="24"/>
      <c r="AB750" s="24"/>
      <c r="AC750" s="24"/>
    </row>
    <row r="751" spans="1:29" ht="16.3">
      <c r="A751" s="24"/>
      <c r="B751" s="24"/>
      <c r="C751" s="24"/>
      <c r="D751" s="24"/>
      <c r="E751" s="24"/>
      <c r="F751" s="24"/>
      <c r="G751" s="117"/>
      <c r="H751" s="117"/>
      <c r="I751" s="118"/>
      <c r="J751" s="119"/>
      <c r="K751" s="119"/>
      <c r="L751" s="24"/>
      <c r="M751" s="24"/>
      <c r="N751" s="24"/>
      <c r="O751" s="24"/>
      <c r="P751" s="114"/>
      <c r="Q751" s="24"/>
      <c r="R751" s="24"/>
      <c r="S751" s="24"/>
      <c r="T751" s="24"/>
      <c r="U751" s="24"/>
      <c r="V751" s="24"/>
      <c r="W751" s="24"/>
      <c r="X751" s="24"/>
      <c r="Y751" s="24"/>
      <c r="Z751" s="24"/>
      <c r="AA751" s="24"/>
      <c r="AB751" s="24"/>
      <c r="AC751" s="24"/>
    </row>
    <row r="752" spans="1:29" ht="16.3">
      <c r="A752" s="24"/>
      <c r="B752" s="24"/>
      <c r="C752" s="24"/>
      <c r="D752" s="24"/>
      <c r="E752" s="24"/>
      <c r="F752" s="24"/>
      <c r="G752" s="117"/>
      <c r="H752" s="117"/>
      <c r="I752" s="118"/>
      <c r="J752" s="119"/>
      <c r="K752" s="119"/>
      <c r="L752" s="24"/>
      <c r="M752" s="24"/>
      <c r="N752" s="24"/>
      <c r="O752" s="24"/>
      <c r="P752" s="114"/>
      <c r="Q752" s="24"/>
      <c r="R752" s="24"/>
      <c r="S752" s="24"/>
      <c r="T752" s="24"/>
      <c r="U752" s="24"/>
      <c r="V752" s="24"/>
      <c r="W752" s="24"/>
      <c r="X752" s="24"/>
      <c r="Y752" s="24"/>
      <c r="Z752" s="24"/>
      <c r="AA752" s="24"/>
      <c r="AB752" s="24"/>
      <c r="AC752" s="24"/>
    </row>
    <row r="753" spans="1:29" ht="16.3">
      <c r="A753" s="24"/>
      <c r="B753" s="24"/>
      <c r="C753" s="24"/>
      <c r="D753" s="24"/>
      <c r="E753" s="24"/>
      <c r="F753" s="24"/>
      <c r="G753" s="117"/>
      <c r="H753" s="117"/>
      <c r="I753" s="118"/>
      <c r="J753" s="119"/>
      <c r="K753" s="119"/>
      <c r="L753" s="24"/>
      <c r="M753" s="24"/>
      <c r="N753" s="24"/>
      <c r="O753" s="24"/>
      <c r="P753" s="114"/>
      <c r="Q753" s="24"/>
      <c r="R753" s="24"/>
      <c r="S753" s="24"/>
      <c r="T753" s="24"/>
      <c r="U753" s="24"/>
      <c r="V753" s="24"/>
      <c r="W753" s="24"/>
      <c r="X753" s="24"/>
      <c r="Y753" s="24"/>
      <c r="Z753" s="24"/>
      <c r="AA753" s="24"/>
      <c r="AB753" s="24"/>
      <c r="AC753" s="24"/>
    </row>
    <row r="754" spans="1:29" ht="16.3">
      <c r="A754" s="24"/>
      <c r="B754" s="24"/>
      <c r="C754" s="24"/>
      <c r="D754" s="24"/>
      <c r="E754" s="24"/>
      <c r="F754" s="24"/>
      <c r="G754" s="117"/>
      <c r="H754" s="117"/>
      <c r="I754" s="118"/>
      <c r="J754" s="119"/>
      <c r="K754" s="119"/>
      <c r="L754" s="24"/>
      <c r="M754" s="24"/>
      <c r="N754" s="24"/>
      <c r="O754" s="24"/>
      <c r="P754" s="114"/>
      <c r="Q754" s="24"/>
      <c r="R754" s="24"/>
      <c r="S754" s="24"/>
      <c r="T754" s="24"/>
      <c r="U754" s="24"/>
      <c r="V754" s="24"/>
      <c r="W754" s="24"/>
      <c r="X754" s="24"/>
      <c r="Y754" s="24"/>
      <c r="Z754" s="24"/>
      <c r="AA754" s="24"/>
      <c r="AB754" s="24"/>
      <c r="AC754" s="24"/>
    </row>
    <row r="755" spans="1:29" ht="16.3">
      <c r="A755" s="24"/>
      <c r="B755" s="24"/>
      <c r="C755" s="24"/>
      <c r="D755" s="24"/>
      <c r="E755" s="24"/>
      <c r="F755" s="24"/>
      <c r="G755" s="117"/>
      <c r="H755" s="117"/>
      <c r="I755" s="118"/>
      <c r="J755" s="119"/>
      <c r="K755" s="119"/>
      <c r="L755" s="24"/>
      <c r="M755" s="24"/>
      <c r="N755" s="24"/>
      <c r="O755" s="24"/>
      <c r="P755" s="114"/>
      <c r="Q755" s="24"/>
      <c r="R755" s="24"/>
      <c r="S755" s="24"/>
      <c r="T755" s="24"/>
      <c r="U755" s="24"/>
      <c r="V755" s="24"/>
      <c r="W755" s="24"/>
      <c r="X755" s="24"/>
      <c r="Y755" s="24"/>
      <c r="Z755" s="24"/>
      <c r="AA755" s="24"/>
      <c r="AB755" s="24"/>
      <c r="AC755" s="24"/>
    </row>
    <row r="756" spans="1:29" ht="16.3">
      <c r="A756" s="24"/>
      <c r="B756" s="24"/>
      <c r="C756" s="24"/>
      <c r="D756" s="24"/>
      <c r="E756" s="24"/>
      <c r="F756" s="24"/>
      <c r="G756" s="117"/>
      <c r="H756" s="117"/>
      <c r="I756" s="118"/>
      <c r="J756" s="119"/>
      <c r="K756" s="119"/>
      <c r="L756" s="24"/>
      <c r="M756" s="24"/>
      <c r="N756" s="24"/>
      <c r="O756" s="24"/>
      <c r="P756" s="114"/>
      <c r="Q756" s="24"/>
      <c r="R756" s="24"/>
      <c r="S756" s="24"/>
      <c r="T756" s="24"/>
      <c r="U756" s="24"/>
      <c r="V756" s="24"/>
      <c r="W756" s="24"/>
      <c r="X756" s="24"/>
      <c r="Y756" s="24"/>
      <c r="Z756" s="24"/>
      <c r="AA756" s="24"/>
      <c r="AB756" s="24"/>
      <c r="AC756" s="24"/>
    </row>
    <row r="757" spans="1:29" ht="16.3">
      <c r="A757" s="24"/>
      <c r="B757" s="24"/>
      <c r="C757" s="24"/>
      <c r="D757" s="24"/>
      <c r="E757" s="24"/>
      <c r="F757" s="24"/>
      <c r="G757" s="117"/>
      <c r="H757" s="117"/>
      <c r="I757" s="118"/>
      <c r="J757" s="119"/>
      <c r="K757" s="119"/>
      <c r="L757" s="24"/>
      <c r="M757" s="24"/>
      <c r="N757" s="24"/>
      <c r="O757" s="24"/>
      <c r="P757" s="114"/>
      <c r="Q757" s="24"/>
      <c r="R757" s="24"/>
      <c r="S757" s="24"/>
      <c r="T757" s="24"/>
      <c r="U757" s="24"/>
      <c r="V757" s="24"/>
      <c r="W757" s="24"/>
      <c r="X757" s="24"/>
      <c r="Y757" s="24"/>
      <c r="Z757" s="24"/>
      <c r="AA757" s="24"/>
      <c r="AB757" s="24"/>
      <c r="AC757" s="24"/>
    </row>
    <row r="758" spans="1:29" ht="16.3">
      <c r="A758" s="24"/>
      <c r="B758" s="24"/>
      <c r="C758" s="24"/>
      <c r="D758" s="24"/>
      <c r="E758" s="24"/>
      <c r="F758" s="24"/>
      <c r="G758" s="117"/>
      <c r="H758" s="117"/>
      <c r="I758" s="118"/>
      <c r="J758" s="119"/>
      <c r="K758" s="119"/>
      <c r="L758" s="24"/>
      <c r="M758" s="24"/>
      <c r="N758" s="24"/>
      <c r="O758" s="24"/>
      <c r="P758" s="114"/>
      <c r="Q758" s="24"/>
      <c r="R758" s="24"/>
      <c r="S758" s="24"/>
      <c r="T758" s="24"/>
      <c r="U758" s="24"/>
      <c r="V758" s="24"/>
      <c r="W758" s="24"/>
      <c r="X758" s="24"/>
      <c r="Y758" s="24"/>
      <c r="Z758" s="24"/>
      <c r="AA758" s="24"/>
      <c r="AB758" s="24"/>
      <c r="AC758" s="24"/>
    </row>
    <row r="759" spans="1:29" ht="16.3">
      <c r="A759" s="24"/>
      <c r="B759" s="24"/>
      <c r="C759" s="24"/>
      <c r="D759" s="24"/>
      <c r="E759" s="24"/>
      <c r="F759" s="24"/>
      <c r="G759" s="117"/>
      <c r="H759" s="117"/>
      <c r="I759" s="118"/>
      <c r="J759" s="119"/>
      <c r="K759" s="119"/>
      <c r="L759" s="24"/>
      <c r="M759" s="24"/>
      <c r="N759" s="24"/>
      <c r="O759" s="24"/>
      <c r="P759" s="114"/>
      <c r="Q759" s="24"/>
      <c r="R759" s="24"/>
      <c r="S759" s="24"/>
      <c r="T759" s="24"/>
      <c r="U759" s="24"/>
      <c r="V759" s="24"/>
      <c r="W759" s="24"/>
      <c r="X759" s="24"/>
      <c r="Y759" s="24"/>
      <c r="Z759" s="24"/>
      <c r="AA759" s="24"/>
      <c r="AB759" s="24"/>
      <c r="AC759" s="24"/>
    </row>
    <row r="760" spans="1:29" ht="16.3">
      <c r="A760" s="24"/>
      <c r="B760" s="24"/>
      <c r="C760" s="24"/>
      <c r="D760" s="24"/>
      <c r="E760" s="24"/>
      <c r="F760" s="24"/>
      <c r="G760" s="117"/>
      <c r="H760" s="117"/>
      <c r="I760" s="118"/>
      <c r="J760" s="119"/>
      <c r="K760" s="119"/>
      <c r="L760" s="24"/>
      <c r="M760" s="24"/>
      <c r="N760" s="24"/>
      <c r="O760" s="24"/>
      <c r="P760" s="114"/>
      <c r="Q760" s="24"/>
      <c r="R760" s="24"/>
      <c r="S760" s="24"/>
      <c r="T760" s="24"/>
      <c r="U760" s="24"/>
      <c r="V760" s="24"/>
      <c r="W760" s="24"/>
      <c r="X760" s="24"/>
      <c r="Y760" s="24"/>
      <c r="Z760" s="24"/>
      <c r="AA760" s="24"/>
      <c r="AB760" s="24"/>
      <c r="AC760" s="24"/>
    </row>
    <row r="761" spans="1:29" ht="16.3">
      <c r="A761" s="24"/>
      <c r="B761" s="24"/>
      <c r="C761" s="24"/>
      <c r="D761" s="24"/>
      <c r="E761" s="24"/>
      <c r="F761" s="24"/>
      <c r="G761" s="117"/>
      <c r="H761" s="117"/>
      <c r="I761" s="118"/>
      <c r="J761" s="119"/>
      <c r="K761" s="119"/>
      <c r="L761" s="24"/>
      <c r="M761" s="24"/>
      <c r="N761" s="24"/>
      <c r="O761" s="24"/>
      <c r="P761" s="114"/>
      <c r="Q761" s="24"/>
      <c r="R761" s="24"/>
      <c r="S761" s="24"/>
      <c r="T761" s="24"/>
      <c r="U761" s="24"/>
      <c r="V761" s="24"/>
      <c r="W761" s="24"/>
      <c r="X761" s="24"/>
      <c r="Y761" s="24"/>
      <c r="Z761" s="24"/>
      <c r="AA761" s="24"/>
      <c r="AB761" s="24"/>
      <c r="AC761" s="24"/>
    </row>
    <row r="762" spans="1:29" ht="16.3">
      <c r="A762" s="24"/>
      <c r="B762" s="24"/>
      <c r="C762" s="24"/>
      <c r="D762" s="24"/>
      <c r="E762" s="24"/>
      <c r="F762" s="24"/>
      <c r="G762" s="117"/>
      <c r="H762" s="117"/>
      <c r="I762" s="118"/>
      <c r="J762" s="119"/>
      <c r="K762" s="119"/>
      <c r="L762" s="24"/>
      <c r="M762" s="24"/>
      <c r="N762" s="24"/>
      <c r="O762" s="24"/>
      <c r="P762" s="114"/>
      <c r="Q762" s="24"/>
      <c r="R762" s="24"/>
      <c r="S762" s="24"/>
      <c r="T762" s="24"/>
      <c r="U762" s="24"/>
      <c r="V762" s="24"/>
      <c r="W762" s="24"/>
      <c r="X762" s="24"/>
      <c r="Y762" s="24"/>
      <c r="Z762" s="24"/>
      <c r="AA762" s="24"/>
      <c r="AB762" s="24"/>
      <c r="AC762" s="24"/>
    </row>
    <row r="763" spans="1:29" ht="16.3">
      <c r="A763" s="24"/>
      <c r="B763" s="24"/>
      <c r="C763" s="24"/>
      <c r="D763" s="24"/>
      <c r="E763" s="24"/>
      <c r="F763" s="24"/>
      <c r="G763" s="117"/>
      <c r="H763" s="117"/>
      <c r="I763" s="118"/>
      <c r="J763" s="119"/>
      <c r="K763" s="119"/>
      <c r="L763" s="24"/>
      <c r="M763" s="24"/>
      <c r="N763" s="24"/>
      <c r="O763" s="24"/>
      <c r="P763" s="114"/>
      <c r="Q763" s="24"/>
      <c r="R763" s="24"/>
      <c r="S763" s="24"/>
      <c r="T763" s="24"/>
      <c r="U763" s="24"/>
      <c r="V763" s="24"/>
      <c r="W763" s="24"/>
      <c r="X763" s="24"/>
      <c r="Y763" s="24"/>
      <c r="Z763" s="24"/>
      <c r="AA763" s="24"/>
      <c r="AB763" s="24"/>
      <c r="AC763" s="24"/>
    </row>
    <row r="764" spans="1:29" ht="16.3">
      <c r="A764" s="24"/>
      <c r="B764" s="24"/>
      <c r="C764" s="24"/>
      <c r="D764" s="24"/>
      <c r="E764" s="24"/>
      <c r="F764" s="24"/>
      <c r="G764" s="117"/>
      <c r="H764" s="117"/>
      <c r="I764" s="118"/>
      <c r="J764" s="119"/>
      <c r="K764" s="119"/>
      <c r="L764" s="24"/>
      <c r="M764" s="24"/>
      <c r="N764" s="24"/>
      <c r="O764" s="24"/>
      <c r="P764" s="114"/>
      <c r="Q764" s="24"/>
      <c r="R764" s="24"/>
      <c r="S764" s="24"/>
      <c r="T764" s="24"/>
      <c r="U764" s="24"/>
      <c r="V764" s="24"/>
      <c r="W764" s="24"/>
      <c r="X764" s="24"/>
      <c r="Y764" s="24"/>
      <c r="Z764" s="24"/>
      <c r="AA764" s="24"/>
      <c r="AB764" s="24"/>
      <c r="AC764" s="24"/>
    </row>
    <row r="765" spans="1:29" ht="16.3">
      <c r="A765" s="24"/>
      <c r="B765" s="24"/>
      <c r="C765" s="24"/>
      <c r="D765" s="24"/>
      <c r="E765" s="24"/>
      <c r="F765" s="24"/>
      <c r="G765" s="117"/>
      <c r="H765" s="117"/>
      <c r="I765" s="118"/>
      <c r="J765" s="119"/>
      <c r="K765" s="119"/>
      <c r="L765" s="24"/>
      <c r="M765" s="24"/>
      <c r="N765" s="24"/>
      <c r="O765" s="24"/>
      <c r="P765" s="114"/>
      <c r="Q765" s="24"/>
      <c r="R765" s="24"/>
      <c r="S765" s="24"/>
      <c r="T765" s="24"/>
      <c r="U765" s="24"/>
      <c r="V765" s="24"/>
      <c r="W765" s="24"/>
      <c r="X765" s="24"/>
      <c r="Y765" s="24"/>
      <c r="Z765" s="24"/>
      <c r="AA765" s="24"/>
      <c r="AB765" s="24"/>
      <c r="AC765" s="24"/>
    </row>
    <row r="766" spans="1:29" ht="16.3">
      <c r="A766" s="24"/>
      <c r="B766" s="24"/>
      <c r="C766" s="24"/>
      <c r="D766" s="24"/>
      <c r="E766" s="24"/>
      <c r="F766" s="24"/>
      <c r="G766" s="117"/>
      <c r="H766" s="117"/>
      <c r="I766" s="118"/>
      <c r="J766" s="119"/>
      <c r="K766" s="119"/>
      <c r="L766" s="24"/>
      <c r="M766" s="24"/>
      <c r="N766" s="24"/>
      <c r="O766" s="24"/>
      <c r="P766" s="114"/>
      <c r="Q766" s="24"/>
      <c r="R766" s="24"/>
      <c r="S766" s="24"/>
      <c r="T766" s="24"/>
      <c r="U766" s="24"/>
      <c r="V766" s="24"/>
      <c r="W766" s="24"/>
      <c r="X766" s="24"/>
      <c r="Y766" s="24"/>
      <c r="Z766" s="24"/>
      <c r="AA766" s="24"/>
      <c r="AB766" s="24"/>
      <c r="AC766" s="24"/>
    </row>
    <row r="767" spans="1:29" ht="16.3">
      <c r="A767" s="24"/>
      <c r="B767" s="24"/>
      <c r="C767" s="24"/>
      <c r="D767" s="24"/>
      <c r="E767" s="24"/>
      <c r="F767" s="24"/>
      <c r="G767" s="117"/>
      <c r="H767" s="117"/>
      <c r="I767" s="118"/>
      <c r="J767" s="119"/>
      <c r="K767" s="119"/>
      <c r="L767" s="24"/>
      <c r="M767" s="24"/>
      <c r="N767" s="24"/>
      <c r="O767" s="24"/>
      <c r="P767" s="114"/>
      <c r="Q767" s="24"/>
      <c r="R767" s="24"/>
      <c r="S767" s="24"/>
      <c r="T767" s="24"/>
      <c r="U767" s="24"/>
      <c r="V767" s="24"/>
      <c r="W767" s="24"/>
      <c r="X767" s="24"/>
      <c r="Y767" s="24"/>
      <c r="Z767" s="24"/>
      <c r="AA767" s="24"/>
      <c r="AB767" s="24"/>
      <c r="AC767" s="24"/>
    </row>
    <row r="768" spans="1:29" ht="16.3">
      <c r="A768" s="24"/>
      <c r="B768" s="24"/>
      <c r="C768" s="24"/>
      <c r="D768" s="24"/>
      <c r="E768" s="24"/>
      <c r="F768" s="24"/>
      <c r="G768" s="117"/>
      <c r="H768" s="117"/>
      <c r="I768" s="118"/>
      <c r="J768" s="119"/>
      <c r="K768" s="119"/>
      <c r="L768" s="24"/>
      <c r="M768" s="24"/>
      <c r="N768" s="24"/>
      <c r="O768" s="24"/>
      <c r="P768" s="114"/>
      <c r="Q768" s="24"/>
      <c r="R768" s="24"/>
      <c r="S768" s="24"/>
      <c r="T768" s="24"/>
      <c r="U768" s="24"/>
      <c r="V768" s="24"/>
      <c r="W768" s="24"/>
      <c r="X768" s="24"/>
      <c r="Y768" s="24"/>
      <c r="Z768" s="24"/>
      <c r="AA768" s="24"/>
      <c r="AB768" s="24"/>
      <c r="AC768" s="24"/>
    </row>
    <row r="769" spans="1:29" ht="16.3">
      <c r="A769" s="24"/>
      <c r="B769" s="24"/>
      <c r="C769" s="24"/>
      <c r="D769" s="24"/>
      <c r="E769" s="24"/>
      <c r="F769" s="24"/>
      <c r="G769" s="117"/>
      <c r="H769" s="117"/>
      <c r="I769" s="118"/>
      <c r="J769" s="119"/>
      <c r="K769" s="119"/>
      <c r="L769" s="24"/>
      <c r="M769" s="24"/>
      <c r="N769" s="24"/>
      <c r="O769" s="24"/>
      <c r="P769" s="114"/>
      <c r="Q769" s="24"/>
      <c r="R769" s="24"/>
      <c r="S769" s="24"/>
      <c r="T769" s="24"/>
      <c r="U769" s="24"/>
      <c r="V769" s="24"/>
      <c r="W769" s="24"/>
      <c r="X769" s="24"/>
      <c r="Y769" s="24"/>
      <c r="Z769" s="24"/>
      <c r="AA769" s="24"/>
      <c r="AB769" s="24"/>
      <c r="AC769" s="24"/>
    </row>
    <row r="770" spans="1:29" ht="16.3">
      <c r="A770" s="24"/>
      <c r="B770" s="24"/>
      <c r="C770" s="24"/>
      <c r="D770" s="24"/>
      <c r="E770" s="24"/>
      <c r="F770" s="24"/>
      <c r="G770" s="117"/>
      <c r="H770" s="117"/>
      <c r="I770" s="118"/>
      <c r="J770" s="119"/>
      <c r="K770" s="119"/>
      <c r="L770" s="24"/>
      <c r="M770" s="24"/>
      <c r="N770" s="24"/>
      <c r="O770" s="24"/>
      <c r="P770" s="114"/>
      <c r="Q770" s="24"/>
      <c r="R770" s="24"/>
      <c r="S770" s="24"/>
      <c r="T770" s="24"/>
      <c r="U770" s="24"/>
      <c r="V770" s="24"/>
      <c r="W770" s="24"/>
      <c r="X770" s="24"/>
      <c r="Y770" s="24"/>
      <c r="Z770" s="24"/>
      <c r="AA770" s="24"/>
      <c r="AB770" s="24"/>
      <c r="AC770" s="24"/>
    </row>
    <row r="771" spans="1:29" ht="16.3">
      <c r="A771" s="24"/>
      <c r="B771" s="24"/>
      <c r="C771" s="24"/>
      <c r="D771" s="24"/>
      <c r="E771" s="24"/>
      <c r="F771" s="24"/>
      <c r="G771" s="117"/>
      <c r="H771" s="117"/>
      <c r="I771" s="118"/>
      <c r="J771" s="119"/>
      <c r="K771" s="119"/>
      <c r="L771" s="24"/>
      <c r="M771" s="24"/>
      <c r="N771" s="24"/>
      <c r="O771" s="24"/>
      <c r="P771" s="114"/>
      <c r="Q771" s="24"/>
      <c r="R771" s="24"/>
      <c r="S771" s="24"/>
      <c r="T771" s="24"/>
      <c r="U771" s="24"/>
      <c r="V771" s="24"/>
      <c r="W771" s="24"/>
      <c r="X771" s="24"/>
      <c r="Y771" s="24"/>
      <c r="Z771" s="24"/>
      <c r="AA771" s="24"/>
      <c r="AB771" s="24"/>
      <c r="AC771" s="24"/>
    </row>
    <row r="772" spans="1:29" ht="16.3">
      <c r="A772" s="24"/>
      <c r="B772" s="24"/>
      <c r="C772" s="24"/>
      <c r="D772" s="24"/>
      <c r="E772" s="24"/>
      <c r="F772" s="24"/>
      <c r="G772" s="117"/>
      <c r="H772" s="117"/>
      <c r="I772" s="118"/>
      <c r="J772" s="119"/>
      <c r="K772" s="119"/>
      <c r="L772" s="24"/>
      <c r="M772" s="24"/>
      <c r="N772" s="24"/>
      <c r="O772" s="24"/>
      <c r="P772" s="114"/>
      <c r="Q772" s="24"/>
      <c r="R772" s="24"/>
      <c r="S772" s="24"/>
      <c r="T772" s="24"/>
      <c r="U772" s="24"/>
      <c r="V772" s="24"/>
      <c r="W772" s="24"/>
      <c r="X772" s="24"/>
      <c r="Y772" s="24"/>
      <c r="Z772" s="24"/>
      <c r="AA772" s="24"/>
      <c r="AB772" s="24"/>
      <c r="AC772" s="24"/>
    </row>
    <row r="773" spans="1:29" ht="16.3">
      <c r="A773" s="24"/>
      <c r="B773" s="24"/>
      <c r="C773" s="24"/>
      <c r="D773" s="24"/>
      <c r="E773" s="24"/>
      <c r="F773" s="24"/>
      <c r="G773" s="117"/>
      <c r="H773" s="117"/>
      <c r="I773" s="118"/>
      <c r="J773" s="119"/>
      <c r="K773" s="119"/>
      <c r="L773" s="24"/>
      <c r="M773" s="24"/>
      <c r="N773" s="24"/>
      <c r="O773" s="24"/>
      <c r="P773" s="114"/>
      <c r="Q773" s="24"/>
      <c r="R773" s="24"/>
      <c r="S773" s="24"/>
      <c r="T773" s="24"/>
      <c r="U773" s="24"/>
      <c r="V773" s="24"/>
      <c r="W773" s="24"/>
      <c r="X773" s="24"/>
      <c r="Y773" s="24"/>
      <c r="Z773" s="24"/>
      <c r="AA773" s="24"/>
      <c r="AB773" s="24"/>
      <c r="AC773" s="24"/>
    </row>
    <row r="774" spans="1:29" ht="16.3">
      <c r="A774" s="24"/>
      <c r="B774" s="24"/>
      <c r="C774" s="24"/>
      <c r="D774" s="24"/>
      <c r="E774" s="24"/>
      <c r="F774" s="24"/>
      <c r="G774" s="117"/>
      <c r="H774" s="117"/>
      <c r="I774" s="118"/>
      <c r="J774" s="119"/>
      <c r="K774" s="119"/>
      <c r="L774" s="24"/>
      <c r="M774" s="24"/>
      <c r="N774" s="24"/>
      <c r="O774" s="24"/>
      <c r="P774" s="114"/>
      <c r="Q774" s="24"/>
      <c r="R774" s="24"/>
      <c r="S774" s="24"/>
      <c r="T774" s="24"/>
      <c r="U774" s="24"/>
      <c r="V774" s="24"/>
      <c r="W774" s="24"/>
      <c r="X774" s="24"/>
      <c r="Y774" s="24"/>
      <c r="Z774" s="24"/>
      <c r="AA774" s="24"/>
      <c r="AB774" s="24"/>
      <c r="AC774" s="24"/>
    </row>
    <row r="775" spans="1:29" ht="16.3">
      <c r="A775" s="24"/>
      <c r="B775" s="24"/>
      <c r="C775" s="24"/>
      <c r="D775" s="24"/>
      <c r="E775" s="24"/>
      <c r="F775" s="24"/>
      <c r="G775" s="117"/>
      <c r="H775" s="117"/>
      <c r="I775" s="118"/>
      <c r="J775" s="119"/>
      <c r="K775" s="119"/>
      <c r="L775" s="24"/>
      <c r="M775" s="24"/>
      <c r="N775" s="24"/>
      <c r="O775" s="24"/>
      <c r="P775" s="114"/>
      <c r="Q775" s="24"/>
      <c r="R775" s="24"/>
      <c r="S775" s="24"/>
      <c r="T775" s="24"/>
      <c r="U775" s="24"/>
      <c r="V775" s="24"/>
      <c r="W775" s="24"/>
      <c r="X775" s="24"/>
      <c r="Y775" s="24"/>
      <c r="Z775" s="24"/>
      <c r="AA775" s="24"/>
      <c r="AB775" s="24"/>
      <c r="AC775" s="24"/>
    </row>
    <row r="776" spans="1:29" ht="16.3">
      <c r="A776" s="24"/>
      <c r="B776" s="24"/>
      <c r="C776" s="24"/>
      <c r="D776" s="24"/>
      <c r="E776" s="24"/>
      <c r="F776" s="24"/>
      <c r="G776" s="117"/>
      <c r="H776" s="117"/>
      <c r="I776" s="118"/>
      <c r="J776" s="119"/>
      <c r="K776" s="119"/>
      <c r="L776" s="24"/>
      <c r="M776" s="24"/>
      <c r="N776" s="24"/>
      <c r="O776" s="24"/>
      <c r="P776" s="114"/>
      <c r="Q776" s="24"/>
      <c r="R776" s="24"/>
      <c r="S776" s="24"/>
      <c r="T776" s="24"/>
      <c r="U776" s="24"/>
      <c r="V776" s="24"/>
      <c r="W776" s="24"/>
      <c r="X776" s="24"/>
      <c r="Y776" s="24"/>
      <c r="Z776" s="24"/>
      <c r="AA776" s="24"/>
      <c r="AB776" s="24"/>
      <c r="AC776" s="24"/>
    </row>
    <row r="777" spans="1:29" ht="16.3">
      <c r="A777" s="24"/>
      <c r="B777" s="24"/>
      <c r="C777" s="24"/>
      <c r="D777" s="24"/>
      <c r="E777" s="24"/>
      <c r="F777" s="24"/>
      <c r="G777" s="117"/>
      <c r="H777" s="117"/>
      <c r="I777" s="118"/>
      <c r="J777" s="119"/>
      <c r="K777" s="119"/>
      <c r="L777" s="24"/>
      <c r="M777" s="24"/>
      <c r="N777" s="24"/>
      <c r="O777" s="24"/>
      <c r="P777" s="114"/>
      <c r="Q777" s="24"/>
      <c r="R777" s="24"/>
      <c r="S777" s="24"/>
      <c r="T777" s="24"/>
      <c r="U777" s="24"/>
      <c r="V777" s="24"/>
      <c r="W777" s="24"/>
      <c r="X777" s="24"/>
      <c r="Y777" s="24"/>
      <c r="Z777" s="24"/>
      <c r="AA777" s="24"/>
      <c r="AB777" s="24"/>
      <c r="AC777" s="24"/>
    </row>
    <row r="778" spans="1:29" ht="16.3">
      <c r="A778" s="24"/>
      <c r="B778" s="24"/>
      <c r="C778" s="24"/>
      <c r="D778" s="24"/>
      <c r="E778" s="24"/>
      <c r="F778" s="24"/>
      <c r="G778" s="117"/>
      <c r="H778" s="117"/>
      <c r="I778" s="118"/>
      <c r="J778" s="119"/>
      <c r="K778" s="119"/>
      <c r="L778" s="24"/>
      <c r="M778" s="24"/>
      <c r="N778" s="24"/>
      <c r="O778" s="24"/>
      <c r="P778" s="114"/>
      <c r="Q778" s="24"/>
      <c r="R778" s="24"/>
      <c r="S778" s="24"/>
      <c r="T778" s="24"/>
      <c r="U778" s="24"/>
      <c r="V778" s="24"/>
      <c r="W778" s="24"/>
      <c r="X778" s="24"/>
      <c r="Y778" s="24"/>
      <c r="Z778" s="24"/>
      <c r="AA778" s="24"/>
      <c r="AB778" s="24"/>
      <c r="AC778" s="24"/>
    </row>
    <row r="779" spans="1:29" ht="16.3">
      <c r="A779" s="24"/>
      <c r="B779" s="24"/>
      <c r="C779" s="24"/>
      <c r="D779" s="24"/>
      <c r="E779" s="24"/>
      <c r="F779" s="24"/>
      <c r="G779" s="117"/>
      <c r="H779" s="117"/>
      <c r="I779" s="118"/>
      <c r="J779" s="119"/>
      <c r="K779" s="119"/>
      <c r="L779" s="24"/>
      <c r="M779" s="24"/>
      <c r="N779" s="24"/>
      <c r="O779" s="24"/>
      <c r="P779" s="114"/>
      <c r="Q779" s="24"/>
      <c r="R779" s="24"/>
      <c r="S779" s="24"/>
      <c r="T779" s="24"/>
      <c r="U779" s="24"/>
      <c r="V779" s="24"/>
      <c r="W779" s="24"/>
      <c r="X779" s="24"/>
      <c r="Y779" s="24"/>
      <c r="Z779" s="24"/>
      <c r="AA779" s="24"/>
      <c r="AB779" s="24"/>
      <c r="AC779" s="24"/>
    </row>
    <row r="780" spans="1:29" ht="16.3">
      <c r="A780" s="24"/>
      <c r="B780" s="24"/>
      <c r="C780" s="24"/>
      <c r="D780" s="24"/>
      <c r="E780" s="24"/>
      <c r="F780" s="24"/>
      <c r="G780" s="117"/>
      <c r="H780" s="117"/>
      <c r="I780" s="118"/>
      <c r="J780" s="119"/>
      <c r="K780" s="119"/>
      <c r="L780" s="24"/>
      <c r="M780" s="24"/>
      <c r="N780" s="24"/>
      <c r="O780" s="24"/>
      <c r="P780" s="114"/>
      <c r="Q780" s="24"/>
      <c r="R780" s="24"/>
      <c r="S780" s="24"/>
      <c r="T780" s="24"/>
      <c r="U780" s="24"/>
      <c r="V780" s="24"/>
      <c r="W780" s="24"/>
      <c r="X780" s="24"/>
      <c r="Y780" s="24"/>
      <c r="Z780" s="24"/>
      <c r="AA780" s="24"/>
      <c r="AB780" s="24"/>
      <c r="AC780" s="24"/>
    </row>
    <row r="781" spans="1:29" ht="16.3">
      <c r="A781" s="24"/>
      <c r="B781" s="24"/>
      <c r="C781" s="24"/>
      <c r="D781" s="24"/>
      <c r="E781" s="24"/>
      <c r="F781" s="24"/>
      <c r="G781" s="117"/>
      <c r="H781" s="117"/>
      <c r="I781" s="118"/>
      <c r="J781" s="119"/>
      <c r="K781" s="119"/>
      <c r="L781" s="24"/>
      <c r="M781" s="24"/>
      <c r="N781" s="24"/>
      <c r="O781" s="24"/>
      <c r="P781" s="114"/>
      <c r="Q781" s="24"/>
      <c r="R781" s="24"/>
      <c r="S781" s="24"/>
      <c r="T781" s="24"/>
      <c r="U781" s="24"/>
      <c r="V781" s="24"/>
      <c r="W781" s="24"/>
      <c r="X781" s="24"/>
      <c r="Y781" s="24"/>
      <c r="Z781" s="24"/>
      <c r="AA781" s="24"/>
      <c r="AB781" s="24"/>
      <c r="AC781" s="24"/>
    </row>
    <row r="782" spans="1:29" ht="16.3">
      <c r="A782" s="24"/>
      <c r="B782" s="24"/>
      <c r="C782" s="24"/>
      <c r="D782" s="24"/>
      <c r="E782" s="24"/>
      <c r="F782" s="24"/>
      <c r="G782" s="117"/>
      <c r="H782" s="117"/>
      <c r="I782" s="118"/>
      <c r="J782" s="119"/>
      <c r="K782" s="119"/>
      <c r="L782" s="24"/>
      <c r="M782" s="24"/>
      <c r="N782" s="24"/>
      <c r="O782" s="24"/>
      <c r="P782" s="114"/>
      <c r="Q782" s="24"/>
      <c r="R782" s="24"/>
      <c r="S782" s="24"/>
      <c r="T782" s="24"/>
      <c r="U782" s="24"/>
      <c r="V782" s="24"/>
      <c r="W782" s="24"/>
      <c r="X782" s="24"/>
      <c r="Y782" s="24"/>
      <c r="Z782" s="24"/>
      <c r="AA782" s="24"/>
      <c r="AB782" s="24"/>
      <c r="AC782" s="24"/>
    </row>
    <row r="783" spans="1:29" ht="16.3">
      <c r="A783" s="24"/>
      <c r="B783" s="24"/>
      <c r="C783" s="24"/>
      <c r="D783" s="24"/>
      <c r="E783" s="24"/>
      <c r="F783" s="24"/>
      <c r="G783" s="117"/>
      <c r="H783" s="117"/>
      <c r="I783" s="118"/>
      <c r="J783" s="119"/>
      <c r="K783" s="119"/>
      <c r="L783" s="24"/>
      <c r="M783" s="24"/>
      <c r="N783" s="24"/>
      <c r="O783" s="24"/>
      <c r="P783" s="114"/>
      <c r="Q783" s="24"/>
      <c r="R783" s="24"/>
      <c r="S783" s="24"/>
      <c r="T783" s="24"/>
      <c r="U783" s="24"/>
      <c r="V783" s="24"/>
      <c r="W783" s="24"/>
      <c r="X783" s="24"/>
      <c r="Y783" s="24"/>
      <c r="Z783" s="24"/>
      <c r="AA783" s="24"/>
      <c r="AB783" s="24"/>
      <c r="AC783" s="24"/>
    </row>
    <row r="784" spans="1:29" ht="16.3">
      <c r="A784" s="24"/>
      <c r="B784" s="24"/>
      <c r="C784" s="24"/>
      <c r="D784" s="24"/>
      <c r="E784" s="24"/>
      <c r="F784" s="24"/>
      <c r="G784" s="117"/>
      <c r="H784" s="117"/>
      <c r="I784" s="118"/>
      <c r="J784" s="119"/>
      <c r="K784" s="119"/>
      <c r="L784" s="24"/>
      <c r="M784" s="24"/>
      <c r="N784" s="24"/>
      <c r="O784" s="24"/>
      <c r="P784" s="114"/>
      <c r="Q784" s="24"/>
      <c r="R784" s="24"/>
      <c r="S784" s="24"/>
      <c r="T784" s="24"/>
      <c r="U784" s="24"/>
      <c r="V784" s="24"/>
      <c r="W784" s="24"/>
      <c r="X784" s="24"/>
      <c r="Y784" s="24"/>
      <c r="Z784" s="24"/>
      <c r="AA784" s="24"/>
      <c r="AB784" s="24"/>
      <c r="AC784" s="24"/>
    </row>
    <row r="785" spans="1:29" ht="16.3">
      <c r="A785" s="24"/>
      <c r="B785" s="24"/>
      <c r="C785" s="24"/>
      <c r="D785" s="24"/>
      <c r="E785" s="24"/>
      <c r="F785" s="24"/>
      <c r="G785" s="117"/>
      <c r="H785" s="117"/>
      <c r="I785" s="118"/>
      <c r="J785" s="119"/>
      <c r="K785" s="119"/>
      <c r="L785" s="24"/>
      <c r="M785" s="24"/>
      <c r="N785" s="24"/>
      <c r="O785" s="24"/>
      <c r="P785" s="114"/>
      <c r="Q785" s="24"/>
      <c r="R785" s="24"/>
      <c r="S785" s="24"/>
      <c r="T785" s="24"/>
      <c r="U785" s="24"/>
      <c r="V785" s="24"/>
      <c r="W785" s="24"/>
      <c r="X785" s="24"/>
      <c r="Y785" s="24"/>
      <c r="Z785" s="24"/>
      <c r="AA785" s="24"/>
      <c r="AB785" s="24"/>
      <c r="AC785" s="24"/>
    </row>
    <row r="786" spans="1:29" ht="16.3">
      <c r="A786" s="24"/>
      <c r="B786" s="24"/>
      <c r="C786" s="24"/>
      <c r="D786" s="24"/>
      <c r="E786" s="24"/>
      <c r="F786" s="24"/>
      <c r="G786" s="117"/>
      <c r="H786" s="117"/>
      <c r="I786" s="118"/>
      <c r="J786" s="119"/>
      <c r="K786" s="119"/>
      <c r="L786" s="24"/>
      <c r="M786" s="24"/>
      <c r="N786" s="24"/>
      <c r="O786" s="24"/>
      <c r="P786" s="114"/>
      <c r="Q786" s="24"/>
      <c r="R786" s="24"/>
      <c r="S786" s="24"/>
      <c r="T786" s="24"/>
      <c r="U786" s="24"/>
      <c r="V786" s="24"/>
      <c r="W786" s="24"/>
      <c r="X786" s="24"/>
      <c r="Y786" s="24"/>
      <c r="Z786" s="24"/>
      <c r="AA786" s="24"/>
      <c r="AB786" s="24"/>
      <c r="AC786" s="24"/>
    </row>
    <row r="787" spans="1:29" ht="16.3">
      <c r="A787" s="24"/>
      <c r="B787" s="24"/>
      <c r="C787" s="24"/>
      <c r="D787" s="24"/>
      <c r="E787" s="24"/>
      <c r="F787" s="24"/>
      <c r="G787" s="117"/>
      <c r="H787" s="117"/>
      <c r="I787" s="118"/>
      <c r="J787" s="119"/>
      <c r="K787" s="119"/>
      <c r="L787" s="24"/>
      <c r="M787" s="24"/>
      <c r="N787" s="24"/>
      <c r="O787" s="24"/>
      <c r="P787" s="114"/>
      <c r="Q787" s="24"/>
      <c r="R787" s="24"/>
      <c r="S787" s="24"/>
      <c r="T787" s="24"/>
      <c r="U787" s="24"/>
      <c r="V787" s="24"/>
      <c r="W787" s="24"/>
      <c r="X787" s="24"/>
      <c r="Y787" s="24"/>
      <c r="Z787" s="24"/>
      <c r="AA787" s="24"/>
      <c r="AB787" s="24"/>
      <c r="AC787" s="24"/>
    </row>
    <row r="788" spans="1:29" ht="16.3">
      <c r="A788" s="24"/>
      <c r="B788" s="24"/>
      <c r="C788" s="24"/>
      <c r="D788" s="24"/>
      <c r="E788" s="24"/>
      <c r="F788" s="24"/>
      <c r="G788" s="117"/>
      <c r="H788" s="117"/>
      <c r="I788" s="118"/>
      <c r="J788" s="119"/>
      <c r="K788" s="119"/>
      <c r="L788" s="24"/>
      <c r="M788" s="24"/>
      <c r="N788" s="24"/>
      <c r="O788" s="24"/>
      <c r="P788" s="114"/>
      <c r="Q788" s="24"/>
      <c r="R788" s="24"/>
      <c r="S788" s="24"/>
      <c r="T788" s="24"/>
      <c r="U788" s="24"/>
      <c r="V788" s="24"/>
      <c r="W788" s="24"/>
      <c r="X788" s="24"/>
      <c r="Y788" s="24"/>
      <c r="Z788" s="24"/>
      <c r="AA788" s="24"/>
      <c r="AB788" s="24"/>
      <c r="AC788" s="24"/>
    </row>
    <row r="789" spans="1:29" ht="16.3">
      <c r="A789" s="24"/>
      <c r="B789" s="24"/>
      <c r="C789" s="24"/>
      <c r="D789" s="24"/>
      <c r="E789" s="24"/>
      <c r="F789" s="24"/>
      <c r="G789" s="117"/>
      <c r="H789" s="117"/>
      <c r="I789" s="118"/>
      <c r="J789" s="119"/>
      <c r="K789" s="119"/>
      <c r="L789" s="24"/>
      <c r="M789" s="24"/>
      <c r="N789" s="24"/>
      <c r="O789" s="24"/>
      <c r="P789" s="114"/>
      <c r="Q789" s="24"/>
      <c r="R789" s="24"/>
      <c r="S789" s="24"/>
      <c r="T789" s="24"/>
      <c r="U789" s="24"/>
      <c r="V789" s="24"/>
      <c r="W789" s="24"/>
      <c r="X789" s="24"/>
      <c r="Y789" s="24"/>
      <c r="Z789" s="24"/>
      <c r="AA789" s="24"/>
      <c r="AB789" s="24"/>
      <c r="AC789" s="24"/>
    </row>
    <row r="790" spans="1:29" ht="16.3">
      <c r="A790" s="24"/>
      <c r="B790" s="24"/>
      <c r="C790" s="24"/>
      <c r="D790" s="24"/>
      <c r="E790" s="24"/>
      <c r="F790" s="24"/>
      <c r="G790" s="117"/>
      <c r="H790" s="117"/>
      <c r="I790" s="118"/>
      <c r="J790" s="119"/>
      <c r="K790" s="119"/>
      <c r="L790" s="24"/>
      <c r="M790" s="24"/>
      <c r="N790" s="24"/>
      <c r="O790" s="24"/>
      <c r="P790" s="114"/>
      <c r="Q790" s="24"/>
      <c r="R790" s="24"/>
      <c r="S790" s="24"/>
      <c r="T790" s="24"/>
      <c r="U790" s="24"/>
      <c r="V790" s="24"/>
      <c r="W790" s="24"/>
      <c r="X790" s="24"/>
      <c r="Y790" s="24"/>
      <c r="Z790" s="24"/>
      <c r="AA790" s="24"/>
      <c r="AB790" s="24"/>
      <c r="AC790" s="24"/>
    </row>
    <row r="791" spans="1:29" ht="16.3">
      <c r="A791" s="24"/>
      <c r="B791" s="24"/>
      <c r="C791" s="24"/>
      <c r="D791" s="24"/>
      <c r="E791" s="24"/>
      <c r="F791" s="24"/>
      <c r="G791" s="117"/>
      <c r="H791" s="117"/>
      <c r="I791" s="118"/>
      <c r="J791" s="119"/>
      <c r="K791" s="119"/>
      <c r="L791" s="24"/>
      <c r="M791" s="24"/>
      <c r="N791" s="24"/>
      <c r="O791" s="24"/>
      <c r="P791" s="114"/>
      <c r="Q791" s="24"/>
      <c r="R791" s="24"/>
      <c r="S791" s="24"/>
      <c r="T791" s="24"/>
      <c r="U791" s="24"/>
      <c r="V791" s="24"/>
      <c r="W791" s="24"/>
      <c r="X791" s="24"/>
      <c r="Y791" s="24"/>
      <c r="Z791" s="24"/>
      <c r="AA791" s="24"/>
      <c r="AB791" s="24"/>
      <c r="AC791" s="24"/>
    </row>
    <row r="792" spans="1:29" ht="16.3">
      <c r="A792" s="24"/>
      <c r="B792" s="24"/>
      <c r="C792" s="24"/>
      <c r="D792" s="24"/>
      <c r="E792" s="24"/>
      <c r="F792" s="24"/>
      <c r="G792" s="117"/>
      <c r="H792" s="117"/>
      <c r="I792" s="118"/>
      <c r="J792" s="119"/>
      <c r="K792" s="119"/>
      <c r="L792" s="24"/>
      <c r="M792" s="24"/>
      <c r="N792" s="24"/>
      <c r="O792" s="24"/>
      <c r="P792" s="114"/>
      <c r="Q792" s="24"/>
      <c r="R792" s="24"/>
      <c r="S792" s="24"/>
      <c r="T792" s="24"/>
      <c r="U792" s="24"/>
      <c r="V792" s="24"/>
      <c r="W792" s="24"/>
      <c r="X792" s="24"/>
      <c r="Y792" s="24"/>
      <c r="Z792" s="24"/>
      <c r="AA792" s="24"/>
      <c r="AB792" s="24"/>
      <c r="AC792" s="24"/>
    </row>
    <row r="793" spans="1:29" ht="16.3">
      <c r="A793" s="24"/>
      <c r="B793" s="24"/>
      <c r="C793" s="24"/>
      <c r="D793" s="24"/>
      <c r="E793" s="24"/>
      <c r="F793" s="24"/>
      <c r="G793" s="117"/>
      <c r="H793" s="117"/>
      <c r="I793" s="118"/>
      <c r="J793" s="119"/>
      <c r="K793" s="119"/>
      <c r="L793" s="24"/>
      <c r="M793" s="24"/>
      <c r="N793" s="24"/>
      <c r="O793" s="24"/>
      <c r="P793" s="114"/>
      <c r="Q793" s="24"/>
      <c r="R793" s="24"/>
      <c r="S793" s="24"/>
      <c r="T793" s="24"/>
      <c r="U793" s="24"/>
      <c r="V793" s="24"/>
      <c r="W793" s="24"/>
      <c r="X793" s="24"/>
      <c r="Y793" s="24"/>
      <c r="Z793" s="24"/>
      <c r="AA793" s="24"/>
      <c r="AB793" s="24"/>
      <c r="AC793" s="24"/>
    </row>
    <row r="794" spans="1:29" ht="16.3">
      <c r="A794" s="24"/>
      <c r="B794" s="24"/>
      <c r="C794" s="24"/>
      <c r="D794" s="24"/>
      <c r="E794" s="24"/>
      <c r="F794" s="24"/>
      <c r="G794" s="117"/>
      <c r="H794" s="117"/>
      <c r="I794" s="118"/>
      <c r="J794" s="119"/>
      <c r="K794" s="119"/>
      <c r="L794" s="24"/>
      <c r="M794" s="24"/>
      <c r="N794" s="24"/>
      <c r="O794" s="24"/>
      <c r="P794" s="114"/>
      <c r="Q794" s="24"/>
      <c r="R794" s="24"/>
      <c r="S794" s="24"/>
      <c r="T794" s="24"/>
      <c r="U794" s="24"/>
      <c r="V794" s="24"/>
      <c r="W794" s="24"/>
      <c r="X794" s="24"/>
      <c r="Y794" s="24"/>
      <c r="Z794" s="24"/>
      <c r="AA794" s="24"/>
      <c r="AB794" s="24"/>
      <c r="AC794" s="24"/>
    </row>
    <row r="795" spans="1:29" ht="16.3">
      <c r="A795" s="24"/>
      <c r="B795" s="24"/>
      <c r="C795" s="24"/>
      <c r="D795" s="24"/>
      <c r="E795" s="24"/>
      <c r="F795" s="24"/>
      <c r="G795" s="117"/>
      <c r="H795" s="117"/>
      <c r="I795" s="118"/>
      <c r="J795" s="119"/>
      <c r="K795" s="119"/>
      <c r="L795" s="24"/>
      <c r="M795" s="24"/>
      <c r="N795" s="24"/>
      <c r="O795" s="24"/>
      <c r="P795" s="114"/>
      <c r="Q795" s="24"/>
      <c r="R795" s="24"/>
      <c r="S795" s="24"/>
      <c r="T795" s="24"/>
      <c r="U795" s="24"/>
      <c r="V795" s="24"/>
      <c r="W795" s="24"/>
      <c r="X795" s="24"/>
      <c r="Y795" s="24"/>
      <c r="Z795" s="24"/>
      <c r="AA795" s="24"/>
      <c r="AB795" s="24"/>
      <c r="AC795" s="24"/>
    </row>
    <row r="796" spans="1:29" ht="16.3">
      <c r="A796" s="24"/>
      <c r="B796" s="24"/>
      <c r="C796" s="24"/>
      <c r="D796" s="24"/>
      <c r="E796" s="24"/>
      <c r="F796" s="24"/>
      <c r="G796" s="117"/>
      <c r="H796" s="117"/>
      <c r="I796" s="118"/>
      <c r="J796" s="119"/>
      <c r="K796" s="119"/>
      <c r="L796" s="24"/>
      <c r="M796" s="24"/>
      <c r="N796" s="24"/>
      <c r="O796" s="24"/>
      <c r="P796" s="114"/>
      <c r="Q796" s="24"/>
      <c r="R796" s="24"/>
      <c r="S796" s="24"/>
      <c r="T796" s="24"/>
      <c r="U796" s="24"/>
      <c r="V796" s="24"/>
      <c r="W796" s="24"/>
      <c r="X796" s="24"/>
      <c r="Y796" s="24"/>
      <c r="Z796" s="24"/>
      <c r="AA796" s="24"/>
      <c r="AB796" s="24"/>
      <c r="AC796" s="24"/>
    </row>
    <row r="797" spans="1:29" ht="16.3">
      <c r="A797" s="24"/>
      <c r="B797" s="24"/>
      <c r="C797" s="24"/>
      <c r="D797" s="24"/>
      <c r="E797" s="24"/>
      <c r="F797" s="24"/>
      <c r="G797" s="117"/>
      <c r="H797" s="117"/>
      <c r="I797" s="118"/>
      <c r="J797" s="119"/>
      <c r="K797" s="119"/>
      <c r="L797" s="24"/>
      <c r="M797" s="24"/>
      <c r="N797" s="24"/>
      <c r="O797" s="24"/>
      <c r="P797" s="114"/>
      <c r="Q797" s="24"/>
      <c r="R797" s="24"/>
      <c r="S797" s="24"/>
      <c r="T797" s="24"/>
      <c r="U797" s="24"/>
      <c r="V797" s="24"/>
      <c r="W797" s="24"/>
      <c r="X797" s="24"/>
      <c r="Y797" s="24"/>
      <c r="Z797" s="24"/>
      <c r="AA797" s="24"/>
      <c r="AB797" s="24"/>
      <c r="AC797" s="24"/>
    </row>
    <row r="798" spans="1:29" ht="16.3">
      <c r="A798" s="24"/>
      <c r="B798" s="24"/>
      <c r="C798" s="24"/>
      <c r="D798" s="24"/>
      <c r="E798" s="24"/>
      <c r="F798" s="24"/>
      <c r="G798" s="117"/>
      <c r="H798" s="117"/>
      <c r="I798" s="118"/>
      <c r="J798" s="119"/>
      <c r="K798" s="119"/>
      <c r="L798" s="24"/>
      <c r="M798" s="24"/>
      <c r="N798" s="24"/>
      <c r="O798" s="24"/>
      <c r="P798" s="114"/>
      <c r="Q798" s="24"/>
      <c r="R798" s="24"/>
      <c r="S798" s="24"/>
      <c r="T798" s="24"/>
      <c r="U798" s="24"/>
      <c r="V798" s="24"/>
      <c r="W798" s="24"/>
      <c r="X798" s="24"/>
      <c r="Y798" s="24"/>
      <c r="Z798" s="24"/>
      <c r="AA798" s="24"/>
      <c r="AB798" s="24"/>
      <c r="AC798" s="24"/>
    </row>
    <row r="799" spans="1:29" ht="16.3">
      <c r="A799" s="24"/>
      <c r="B799" s="24"/>
      <c r="C799" s="24"/>
      <c r="D799" s="24"/>
      <c r="E799" s="24"/>
      <c r="F799" s="24"/>
      <c r="G799" s="117"/>
      <c r="H799" s="117"/>
      <c r="I799" s="118"/>
      <c r="J799" s="119"/>
      <c r="K799" s="119"/>
      <c r="L799" s="24"/>
      <c r="M799" s="24"/>
      <c r="N799" s="24"/>
      <c r="O799" s="24"/>
      <c r="P799" s="114"/>
      <c r="Q799" s="24"/>
      <c r="R799" s="24"/>
      <c r="S799" s="24"/>
      <c r="T799" s="24"/>
      <c r="U799" s="24"/>
      <c r="V799" s="24"/>
      <c r="W799" s="24"/>
      <c r="X799" s="24"/>
      <c r="Y799" s="24"/>
      <c r="Z799" s="24"/>
      <c r="AA799" s="24"/>
      <c r="AB799" s="24"/>
      <c r="AC799" s="24"/>
    </row>
    <row r="800" spans="1:29" ht="16.3">
      <c r="A800" s="24"/>
      <c r="B800" s="24"/>
      <c r="C800" s="24"/>
      <c r="D800" s="24"/>
      <c r="E800" s="24"/>
      <c r="F800" s="24"/>
      <c r="G800" s="117"/>
      <c r="H800" s="117"/>
      <c r="I800" s="118"/>
      <c r="J800" s="119"/>
      <c r="K800" s="119"/>
      <c r="L800" s="24"/>
      <c r="M800" s="24"/>
      <c r="N800" s="24"/>
      <c r="O800" s="24"/>
      <c r="P800" s="114"/>
      <c r="Q800" s="24"/>
      <c r="R800" s="24"/>
      <c r="S800" s="24"/>
      <c r="T800" s="24"/>
      <c r="U800" s="24"/>
      <c r="V800" s="24"/>
      <c r="W800" s="24"/>
      <c r="X800" s="24"/>
      <c r="Y800" s="24"/>
      <c r="Z800" s="24"/>
      <c r="AA800" s="24"/>
      <c r="AB800" s="24"/>
      <c r="AC800" s="24"/>
    </row>
    <row r="801" spans="1:29" ht="16.3">
      <c r="A801" s="24"/>
      <c r="B801" s="24"/>
      <c r="C801" s="24"/>
      <c r="D801" s="24"/>
      <c r="E801" s="24"/>
      <c r="F801" s="24"/>
      <c r="G801" s="117"/>
      <c r="H801" s="117"/>
      <c r="I801" s="118"/>
      <c r="J801" s="119"/>
      <c r="K801" s="119"/>
      <c r="L801" s="24"/>
      <c r="M801" s="24"/>
      <c r="N801" s="24"/>
      <c r="O801" s="24"/>
      <c r="P801" s="114"/>
      <c r="Q801" s="24"/>
      <c r="R801" s="24"/>
      <c r="S801" s="24"/>
      <c r="T801" s="24"/>
      <c r="U801" s="24"/>
      <c r="V801" s="24"/>
      <c r="W801" s="24"/>
      <c r="X801" s="24"/>
      <c r="Y801" s="24"/>
      <c r="Z801" s="24"/>
      <c r="AA801" s="24"/>
      <c r="AB801" s="24"/>
      <c r="AC801" s="24"/>
    </row>
    <row r="802" spans="1:29" ht="16.3">
      <c r="A802" s="24"/>
      <c r="B802" s="24"/>
      <c r="C802" s="24"/>
      <c r="D802" s="24"/>
      <c r="E802" s="24"/>
      <c r="F802" s="24"/>
      <c r="G802" s="117"/>
      <c r="H802" s="117"/>
      <c r="I802" s="118"/>
      <c r="J802" s="119"/>
      <c r="K802" s="119"/>
      <c r="L802" s="24"/>
      <c r="M802" s="24"/>
      <c r="N802" s="24"/>
      <c r="O802" s="24"/>
      <c r="P802" s="114"/>
      <c r="Q802" s="24"/>
      <c r="R802" s="24"/>
      <c r="S802" s="24"/>
      <c r="T802" s="24"/>
      <c r="U802" s="24"/>
      <c r="V802" s="24"/>
      <c r="W802" s="24"/>
      <c r="X802" s="24"/>
      <c r="Y802" s="24"/>
      <c r="Z802" s="24"/>
      <c r="AA802" s="24"/>
      <c r="AB802" s="24"/>
      <c r="AC802" s="24"/>
    </row>
    <row r="803" spans="1:29" ht="16.3">
      <c r="A803" s="24"/>
      <c r="B803" s="24"/>
      <c r="C803" s="24"/>
      <c r="D803" s="24"/>
      <c r="E803" s="24"/>
      <c r="F803" s="24"/>
      <c r="G803" s="117"/>
      <c r="H803" s="117"/>
      <c r="I803" s="118"/>
      <c r="J803" s="119"/>
      <c r="K803" s="119"/>
      <c r="L803" s="24"/>
      <c r="M803" s="24"/>
      <c r="N803" s="24"/>
      <c r="O803" s="24"/>
      <c r="P803" s="114"/>
      <c r="Q803" s="24"/>
      <c r="R803" s="24"/>
      <c r="S803" s="24"/>
      <c r="T803" s="24"/>
      <c r="U803" s="24"/>
      <c r="V803" s="24"/>
      <c r="W803" s="24"/>
      <c r="X803" s="24"/>
      <c r="Y803" s="24"/>
      <c r="Z803" s="24"/>
      <c r="AA803" s="24"/>
      <c r="AB803" s="24"/>
      <c r="AC803" s="24"/>
    </row>
    <row r="804" spans="1:29" ht="16.3">
      <c r="A804" s="24"/>
      <c r="B804" s="24"/>
      <c r="C804" s="24"/>
      <c r="D804" s="24"/>
      <c r="E804" s="24"/>
      <c r="F804" s="24"/>
      <c r="G804" s="117"/>
      <c r="H804" s="117"/>
      <c r="I804" s="118"/>
      <c r="J804" s="119"/>
      <c r="K804" s="119"/>
      <c r="L804" s="24"/>
      <c r="M804" s="24"/>
      <c r="N804" s="24"/>
      <c r="O804" s="24"/>
      <c r="P804" s="114"/>
      <c r="Q804" s="24"/>
      <c r="R804" s="24"/>
      <c r="S804" s="24"/>
      <c r="T804" s="24"/>
      <c r="U804" s="24"/>
      <c r="V804" s="24"/>
      <c r="W804" s="24"/>
      <c r="X804" s="24"/>
      <c r="Y804" s="24"/>
      <c r="Z804" s="24"/>
      <c r="AA804" s="24"/>
      <c r="AB804" s="24"/>
      <c r="AC804" s="24"/>
    </row>
    <row r="805" spans="1:29" ht="16.3">
      <c r="A805" s="24"/>
      <c r="B805" s="24"/>
      <c r="C805" s="24"/>
      <c r="D805" s="24"/>
      <c r="E805" s="24"/>
      <c r="F805" s="24"/>
      <c r="G805" s="117"/>
      <c r="H805" s="117"/>
      <c r="I805" s="118"/>
      <c r="J805" s="119"/>
      <c r="K805" s="119"/>
      <c r="L805" s="24"/>
      <c r="M805" s="24"/>
      <c r="N805" s="24"/>
      <c r="O805" s="24"/>
      <c r="P805" s="114"/>
      <c r="Q805" s="24"/>
      <c r="R805" s="24"/>
      <c r="S805" s="24"/>
      <c r="T805" s="24"/>
      <c r="U805" s="24"/>
      <c r="V805" s="24"/>
      <c r="W805" s="24"/>
      <c r="X805" s="24"/>
      <c r="Y805" s="24"/>
      <c r="Z805" s="24"/>
      <c r="AA805" s="24"/>
      <c r="AB805" s="24"/>
      <c r="AC805" s="24"/>
    </row>
    <row r="806" spans="1:29" ht="16.3">
      <c r="A806" s="24"/>
      <c r="B806" s="24"/>
      <c r="C806" s="24"/>
      <c r="D806" s="24"/>
      <c r="E806" s="24"/>
      <c r="F806" s="24"/>
      <c r="G806" s="117"/>
      <c r="H806" s="117"/>
      <c r="I806" s="118"/>
      <c r="J806" s="119"/>
      <c r="K806" s="119"/>
      <c r="L806" s="24"/>
      <c r="M806" s="24"/>
      <c r="N806" s="24"/>
      <c r="O806" s="24"/>
      <c r="P806" s="114"/>
      <c r="Q806" s="24"/>
      <c r="R806" s="24"/>
      <c r="S806" s="24"/>
      <c r="T806" s="24"/>
      <c r="U806" s="24"/>
      <c r="V806" s="24"/>
      <c r="W806" s="24"/>
      <c r="X806" s="24"/>
      <c r="Y806" s="24"/>
      <c r="Z806" s="24"/>
      <c r="AA806" s="24"/>
      <c r="AB806" s="24"/>
      <c r="AC806" s="24"/>
    </row>
    <row r="807" spans="1:29" ht="16.3">
      <c r="A807" s="24"/>
      <c r="B807" s="24"/>
      <c r="C807" s="24"/>
      <c r="D807" s="24"/>
      <c r="E807" s="24"/>
      <c r="F807" s="24"/>
      <c r="G807" s="117"/>
      <c r="H807" s="117"/>
      <c r="I807" s="118"/>
      <c r="J807" s="119"/>
      <c r="K807" s="119"/>
      <c r="L807" s="24"/>
      <c r="M807" s="24"/>
      <c r="N807" s="24"/>
      <c r="O807" s="24"/>
      <c r="P807" s="114"/>
      <c r="Q807" s="24"/>
      <c r="R807" s="24"/>
      <c r="S807" s="24"/>
      <c r="T807" s="24"/>
      <c r="U807" s="24"/>
      <c r="V807" s="24"/>
      <c r="W807" s="24"/>
      <c r="X807" s="24"/>
      <c r="Y807" s="24"/>
      <c r="Z807" s="24"/>
      <c r="AA807" s="24"/>
      <c r="AB807" s="24"/>
      <c r="AC807" s="24"/>
    </row>
    <row r="808" spans="1:29" ht="16.3">
      <c r="A808" s="24"/>
      <c r="B808" s="24"/>
      <c r="C808" s="24"/>
      <c r="D808" s="24"/>
      <c r="E808" s="24"/>
      <c r="F808" s="24"/>
      <c r="G808" s="117"/>
      <c r="H808" s="117"/>
      <c r="I808" s="118"/>
      <c r="J808" s="119"/>
      <c r="K808" s="119"/>
      <c r="L808" s="24"/>
      <c r="M808" s="24"/>
      <c r="N808" s="24"/>
      <c r="O808" s="24"/>
      <c r="P808" s="114"/>
      <c r="Q808" s="24"/>
      <c r="R808" s="24"/>
      <c r="S808" s="24"/>
      <c r="T808" s="24"/>
      <c r="U808" s="24"/>
      <c r="V808" s="24"/>
      <c r="W808" s="24"/>
      <c r="X808" s="24"/>
      <c r="Y808" s="24"/>
      <c r="Z808" s="24"/>
      <c r="AA808" s="24"/>
      <c r="AB808" s="24"/>
      <c r="AC808" s="24"/>
    </row>
    <row r="809" spans="1:29" ht="16.3">
      <c r="A809" s="24"/>
      <c r="B809" s="24"/>
      <c r="C809" s="24"/>
      <c r="D809" s="24"/>
      <c r="E809" s="24"/>
      <c r="F809" s="24"/>
      <c r="G809" s="117"/>
      <c r="H809" s="117"/>
      <c r="I809" s="118"/>
      <c r="J809" s="119"/>
      <c r="K809" s="119"/>
      <c r="L809" s="24"/>
      <c r="M809" s="24"/>
      <c r="N809" s="24"/>
      <c r="O809" s="24"/>
      <c r="P809" s="114"/>
      <c r="Q809" s="24"/>
      <c r="R809" s="24"/>
      <c r="S809" s="24"/>
      <c r="T809" s="24"/>
      <c r="U809" s="24"/>
      <c r="V809" s="24"/>
      <c r="W809" s="24"/>
      <c r="X809" s="24"/>
      <c r="Y809" s="24"/>
      <c r="Z809" s="24"/>
      <c r="AA809" s="24"/>
      <c r="AB809" s="24"/>
      <c r="AC809" s="24"/>
    </row>
    <row r="810" spans="1:29" ht="16.3">
      <c r="A810" s="24"/>
      <c r="B810" s="24"/>
      <c r="C810" s="24"/>
      <c r="D810" s="24"/>
      <c r="E810" s="24"/>
      <c r="F810" s="24"/>
      <c r="G810" s="117"/>
      <c r="H810" s="117"/>
      <c r="I810" s="118"/>
      <c r="J810" s="119"/>
      <c r="K810" s="119"/>
      <c r="L810" s="24"/>
      <c r="M810" s="24"/>
      <c r="N810" s="24"/>
      <c r="O810" s="24"/>
      <c r="P810" s="114"/>
      <c r="Q810" s="24"/>
      <c r="R810" s="24"/>
      <c r="S810" s="24"/>
      <c r="T810" s="24"/>
      <c r="U810" s="24"/>
      <c r="V810" s="24"/>
      <c r="W810" s="24"/>
      <c r="X810" s="24"/>
      <c r="Y810" s="24"/>
      <c r="Z810" s="24"/>
      <c r="AA810" s="24"/>
      <c r="AB810" s="24"/>
      <c r="AC810" s="24"/>
    </row>
    <row r="811" spans="1:29" ht="16.3">
      <c r="A811" s="24"/>
      <c r="B811" s="24"/>
      <c r="C811" s="24"/>
      <c r="D811" s="24"/>
      <c r="E811" s="24"/>
      <c r="F811" s="24"/>
      <c r="G811" s="117"/>
      <c r="H811" s="117"/>
      <c r="I811" s="118"/>
      <c r="J811" s="119"/>
      <c r="K811" s="119"/>
      <c r="L811" s="24"/>
      <c r="M811" s="24"/>
      <c r="N811" s="24"/>
      <c r="O811" s="24"/>
      <c r="P811" s="114"/>
      <c r="Q811" s="24"/>
      <c r="R811" s="24"/>
      <c r="S811" s="24"/>
      <c r="T811" s="24"/>
      <c r="U811" s="24"/>
      <c r="V811" s="24"/>
      <c r="W811" s="24"/>
      <c r="X811" s="24"/>
      <c r="Y811" s="24"/>
      <c r="Z811" s="24"/>
      <c r="AA811" s="24"/>
      <c r="AB811" s="24"/>
      <c r="AC811" s="24"/>
    </row>
    <row r="812" spans="1:29" ht="16.3">
      <c r="A812" s="24"/>
      <c r="B812" s="24"/>
      <c r="C812" s="24"/>
      <c r="D812" s="24"/>
      <c r="E812" s="24"/>
      <c r="F812" s="24"/>
      <c r="G812" s="117"/>
      <c r="H812" s="117"/>
      <c r="I812" s="118"/>
      <c r="J812" s="119"/>
      <c r="K812" s="119"/>
      <c r="L812" s="24"/>
      <c r="M812" s="24"/>
      <c r="N812" s="24"/>
      <c r="O812" s="24"/>
      <c r="P812" s="114"/>
      <c r="Q812" s="24"/>
      <c r="R812" s="24"/>
      <c r="S812" s="24"/>
      <c r="T812" s="24"/>
      <c r="U812" s="24"/>
      <c r="V812" s="24"/>
      <c r="W812" s="24"/>
      <c r="X812" s="24"/>
      <c r="Y812" s="24"/>
      <c r="Z812" s="24"/>
      <c r="AA812" s="24"/>
      <c r="AB812" s="24"/>
      <c r="AC812" s="24"/>
    </row>
    <row r="813" spans="1:29" ht="16.3">
      <c r="A813" s="24"/>
      <c r="B813" s="24"/>
      <c r="C813" s="24"/>
      <c r="D813" s="24"/>
      <c r="E813" s="24"/>
      <c r="F813" s="24"/>
      <c r="G813" s="117"/>
      <c r="H813" s="117"/>
      <c r="I813" s="118"/>
      <c r="J813" s="119"/>
      <c r="K813" s="119"/>
      <c r="L813" s="24"/>
      <c r="M813" s="24"/>
      <c r="N813" s="24"/>
      <c r="O813" s="24"/>
      <c r="P813" s="114"/>
      <c r="Q813" s="24"/>
      <c r="R813" s="24"/>
      <c r="S813" s="24"/>
      <c r="T813" s="24"/>
      <c r="U813" s="24"/>
      <c r="V813" s="24"/>
      <c r="W813" s="24"/>
      <c r="X813" s="24"/>
      <c r="Y813" s="24"/>
      <c r="Z813" s="24"/>
      <c r="AA813" s="24"/>
      <c r="AB813" s="24"/>
      <c r="AC813" s="24"/>
    </row>
    <row r="814" spans="1:29" ht="16.3">
      <c r="A814" s="24"/>
      <c r="B814" s="24"/>
      <c r="C814" s="24"/>
      <c r="D814" s="24"/>
      <c r="E814" s="24"/>
      <c r="F814" s="24"/>
      <c r="G814" s="117"/>
      <c r="H814" s="117"/>
      <c r="I814" s="118"/>
      <c r="J814" s="119"/>
      <c r="K814" s="119"/>
      <c r="L814" s="24"/>
      <c r="M814" s="24"/>
      <c r="N814" s="24"/>
      <c r="O814" s="24"/>
      <c r="P814" s="114"/>
      <c r="Q814" s="24"/>
      <c r="R814" s="24"/>
      <c r="S814" s="24"/>
      <c r="T814" s="24"/>
      <c r="U814" s="24"/>
      <c r="V814" s="24"/>
      <c r="W814" s="24"/>
      <c r="X814" s="24"/>
      <c r="Y814" s="24"/>
      <c r="Z814" s="24"/>
      <c r="AA814" s="24"/>
      <c r="AB814" s="24"/>
      <c r="AC814" s="24"/>
    </row>
    <row r="815" spans="1:29" ht="16.3">
      <c r="A815" s="24"/>
      <c r="B815" s="24"/>
      <c r="C815" s="24"/>
      <c r="D815" s="24"/>
      <c r="E815" s="24"/>
      <c r="F815" s="24"/>
      <c r="G815" s="117"/>
      <c r="H815" s="117"/>
      <c r="I815" s="118"/>
      <c r="J815" s="119"/>
      <c r="K815" s="119"/>
      <c r="L815" s="24"/>
      <c r="M815" s="24"/>
      <c r="N815" s="24"/>
      <c r="O815" s="24"/>
      <c r="P815" s="114"/>
      <c r="Q815" s="24"/>
      <c r="R815" s="24"/>
      <c r="S815" s="24"/>
      <c r="T815" s="24"/>
      <c r="U815" s="24"/>
      <c r="V815" s="24"/>
      <c r="W815" s="24"/>
      <c r="X815" s="24"/>
      <c r="Y815" s="24"/>
      <c r="Z815" s="24"/>
      <c r="AA815" s="24"/>
      <c r="AB815" s="24"/>
      <c r="AC815" s="24"/>
    </row>
    <row r="816" spans="1:29" ht="16.3">
      <c r="A816" s="24"/>
      <c r="B816" s="24"/>
      <c r="C816" s="24"/>
      <c r="D816" s="24"/>
      <c r="E816" s="24"/>
      <c r="F816" s="24"/>
      <c r="G816" s="117"/>
      <c r="H816" s="117"/>
      <c r="I816" s="118"/>
      <c r="J816" s="119"/>
      <c r="K816" s="119"/>
      <c r="L816" s="24"/>
      <c r="M816" s="24"/>
      <c r="N816" s="24"/>
      <c r="O816" s="24"/>
      <c r="P816" s="114"/>
      <c r="Q816" s="24"/>
      <c r="R816" s="24"/>
      <c r="S816" s="24"/>
      <c r="T816" s="24"/>
      <c r="U816" s="24"/>
      <c r="V816" s="24"/>
      <c r="W816" s="24"/>
      <c r="X816" s="24"/>
      <c r="Y816" s="24"/>
      <c r="Z816" s="24"/>
      <c r="AA816" s="24"/>
      <c r="AB816" s="24"/>
      <c r="AC816" s="24"/>
    </row>
    <row r="817" spans="1:29" ht="16.3">
      <c r="A817" s="24"/>
      <c r="B817" s="24"/>
      <c r="C817" s="24"/>
      <c r="D817" s="24"/>
      <c r="E817" s="24"/>
      <c r="F817" s="24"/>
      <c r="G817" s="117"/>
      <c r="H817" s="117"/>
      <c r="I817" s="118"/>
      <c r="J817" s="119"/>
      <c r="K817" s="119"/>
      <c r="L817" s="24"/>
      <c r="M817" s="24"/>
      <c r="N817" s="24"/>
      <c r="O817" s="24"/>
      <c r="P817" s="114"/>
      <c r="Q817" s="24"/>
      <c r="R817" s="24"/>
      <c r="S817" s="24"/>
      <c r="T817" s="24"/>
      <c r="U817" s="24"/>
      <c r="V817" s="24"/>
      <c r="W817" s="24"/>
      <c r="X817" s="24"/>
      <c r="Y817" s="24"/>
      <c r="Z817" s="24"/>
      <c r="AA817" s="24"/>
      <c r="AB817" s="24"/>
      <c r="AC817" s="24"/>
    </row>
    <row r="818" spans="1:29" ht="16.3">
      <c r="A818" s="24"/>
      <c r="B818" s="24"/>
      <c r="C818" s="24"/>
      <c r="D818" s="24"/>
      <c r="E818" s="24"/>
      <c r="F818" s="24"/>
      <c r="G818" s="117"/>
      <c r="H818" s="117"/>
      <c r="I818" s="118"/>
      <c r="J818" s="119"/>
      <c r="K818" s="119"/>
      <c r="L818" s="24"/>
      <c r="M818" s="24"/>
      <c r="N818" s="24"/>
      <c r="O818" s="24"/>
      <c r="P818" s="114"/>
      <c r="Q818" s="24"/>
      <c r="R818" s="24"/>
      <c r="S818" s="24"/>
      <c r="T818" s="24"/>
      <c r="U818" s="24"/>
      <c r="V818" s="24"/>
      <c r="W818" s="24"/>
      <c r="X818" s="24"/>
      <c r="Y818" s="24"/>
      <c r="Z818" s="24"/>
      <c r="AA818" s="24"/>
      <c r="AB818" s="24"/>
      <c r="AC818" s="24"/>
    </row>
    <row r="819" spans="1:29" ht="16.3">
      <c r="A819" s="24"/>
      <c r="B819" s="24"/>
      <c r="C819" s="24"/>
      <c r="D819" s="24"/>
      <c r="E819" s="24"/>
      <c r="F819" s="24"/>
      <c r="G819" s="117"/>
      <c r="H819" s="117"/>
      <c r="I819" s="118"/>
      <c r="J819" s="119"/>
      <c r="K819" s="119"/>
      <c r="L819" s="24"/>
      <c r="M819" s="24"/>
      <c r="N819" s="24"/>
      <c r="O819" s="24"/>
      <c r="P819" s="114"/>
      <c r="Q819" s="24"/>
      <c r="R819" s="24"/>
      <c r="S819" s="24"/>
      <c r="T819" s="24"/>
      <c r="U819" s="24"/>
      <c r="V819" s="24"/>
      <c r="W819" s="24"/>
      <c r="X819" s="24"/>
      <c r="Y819" s="24"/>
      <c r="Z819" s="24"/>
      <c r="AA819" s="24"/>
      <c r="AB819" s="24"/>
      <c r="AC819" s="24"/>
    </row>
    <row r="820" spans="1:29" ht="16.3">
      <c r="A820" s="24"/>
      <c r="B820" s="24"/>
      <c r="C820" s="24"/>
      <c r="D820" s="24"/>
      <c r="E820" s="24"/>
      <c r="F820" s="24"/>
      <c r="G820" s="117"/>
      <c r="H820" s="117"/>
      <c r="I820" s="118"/>
      <c r="J820" s="119"/>
      <c r="K820" s="119"/>
      <c r="L820" s="24"/>
      <c r="M820" s="24"/>
      <c r="N820" s="24"/>
      <c r="O820" s="24"/>
      <c r="P820" s="114"/>
      <c r="Q820" s="24"/>
      <c r="R820" s="24"/>
      <c r="S820" s="24"/>
      <c r="T820" s="24"/>
      <c r="U820" s="24"/>
      <c r="V820" s="24"/>
      <c r="W820" s="24"/>
      <c r="X820" s="24"/>
      <c r="Y820" s="24"/>
      <c r="Z820" s="24"/>
      <c r="AA820" s="24"/>
      <c r="AB820" s="24"/>
      <c r="AC820" s="24"/>
    </row>
    <row r="821" spans="1:29" ht="16.3">
      <c r="A821" s="24"/>
      <c r="B821" s="24"/>
      <c r="C821" s="24"/>
      <c r="D821" s="24"/>
      <c r="E821" s="24"/>
      <c r="F821" s="24"/>
      <c r="G821" s="117"/>
      <c r="H821" s="117"/>
      <c r="I821" s="118"/>
      <c r="J821" s="119"/>
      <c r="K821" s="119"/>
      <c r="L821" s="24"/>
      <c r="M821" s="24"/>
      <c r="N821" s="24"/>
      <c r="O821" s="24"/>
      <c r="P821" s="114"/>
      <c r="Q821" s="24"/>
      <c r="R821" s="24"/>
      <c r="S821" s="24"/>
      <c r="T821" s="24"/>
      <c r="U821" s="24"/>
      <c r="V821" s="24"/>
      <c r="W821" s="24"/>
      <c r="X821" s="24"/>
      <c r="Y821" s="24"/>
      <c r="Z821" s="24"/>
      <c r="AA821" s="24"/>
      <c r="AB821" s="24"/>
      <c r="AC821" s="24"/>
    </row>
    <row r="822" spans="1:29" ht="16.3">
      <c r="A822" s="24"/>
      <c r="B822" s="24"/>
      <c r="C822" s="24"/>
      <c r="D822" s="24"/>
      <c r="E822" s="24"/>
      <c r="F822" s="24"/>
      <c r="G822" s="117"/>
      <c r="H822" s="117"/>
      <c r="I822" s="118"/>
      <c r="J822" s="119"/>
      <c r="K822" s="119"/>
      <c r="L822" s="24"/>
      <c r="M822" s="24"/>
      <c r="N822" s="24"/>
      <c r="O822" s="24"/>
      <c r="P822" s="114"/>
      <c r="Q822" s="24"/>
      <c r="R822" s="24"/>
      <c r="S822" s="24"/>
      <c r="T822" s="24"/>
      <c r="U822" s="24"/>
      <c r="V822" s="24"/>
      <c r="W822" s="24"/>
      <c r="X822" s="24"/>
      <c r="Y822" s="24"/>
      <c r="Z822" s="24"/>
      <c r="AA822" s="24"/>
      <c r="AB822" s="24"/>
      <c r="AC822" s="24"/>
    </row>
    <row r="823" spans="1:29" ht="16.3">
      <c r="A823" s="24"/>
      <c r="B823" s="24"/>
      <c r="C823" s="24"/>
      <c r="D823" s="24"/>
      <c r="E823" s="24"/>
      <c r="F823" s="24"/>
      <c r="G823" s="117"/>
      <c r="H823" s="117"/>
      <c r="I823" s="118"/>
      <c r="J823" s="119"/>
      <c r="K823" s="119"/>
      <c r="L823" s="24"/>
      <c r="M823" s="24"/>
      <c r="N823" s="24"/>
      <c r="O823" s="24"/>
      <c r="P823" s="114"/>
      <c r="Q823" s="24"/>
      <c r="R823" s="24"/>
      <c r="S823" s="24"/>
      <c r="T823" s="24"/>
      <c r="U823" s="24"/>
      <c r="V823" s="24"/>
      <c r="W823" s="24"/>
      <c r="X823" s="24"/>
      <c r="Y823" s="24"/>
      <c r="Z823" s="24"/>
      <c r="AA823" s="24"/>
      <c r="AB823" s="24"/>
      <c r="AC823" s="24"/>
    </row>
    <row r="824" spans="1:29" ht="16.3">
      <c r="A824" s="24"/>
      <c r="B824" s="24"/>
      <c r="C824" s="24"/>
      <c r="D824" s="24"/>
      <c r="E824" s="24"/>
      <c r="F824" s="24"/>
      <c r="G824" s="117"/>
      <c r="H824" s="117"/>
      <c r="I824" s="118"/>
      <c r="J824" s="119"/>
      <c r="K824" s="119"/>
      <c r="L824" s="24"/>
      <c r="M824" s="24"/>
      <c r="N824" s="24"/>
      <c r="O824" s="24"/>
      <c r="P824" s="114"/>
      <c r="Q824" s="24"/>
      <c r="R824" s="24"/>
      <c r="S824" s="24"/>
      <c r="T824" s="24"/>
      <c r="U824" s="24"/>
      <c r="V824" s="24"/>
      <c r="W824" s="24"/>
      <c r="X824" s="24"/>
      <c r="Y824" s="24"/>
      <c r="Z824" s="24"/>
      <c r="AA824" s="24"/>
      <c r="AB824" s="24"/>
      <c r="AC824" s="24"/>
    </row>
    <row r="825" spans="1:29" ht="16.3">
      <c r="A825" s="24"/>
      <c r="B825" s="24"/>
      <c r="C825" s="24"/>
      <c r="D825" s="24"/>
      <c r="E825" s="24"/>
      <c r="F825" s="24"/>
      <c r="G825" s="117"/>
      <c r="H825" s="117"/>
      <c r="I825" s="118"/>
      <c r="J825" s="119"/>
      <c r="K825" s="119"/>
      <c r="L825" s="24"/>
      <c r="M825" s="24"/>
      <c r="N825" s="24"/>
      <c r="O825" s="24"/>
      <c r="P825" s="114"/>
      <c r="Q825" s="24"/>
      <c r="R825" s="24"/>
      <c r="S825" s="24"/>
      <c r="T825" s="24"/>
      <c r="U825" s="24"/>
      <c r="V825" s="24"/>
      <c r="W825" s="24"/>
      <c r="X825" s="24"/>
      <c r="Y825" s="24"/>
      <c r="Z825" s="24"/>
      <c r="AA825" s="24"/>
      <c r="AB825" s="24"/>
      <c r="AC825" s="24"/>
    </row>
    <row r="826" spans="1:29" ht="16.3">
      <c r="A826" s="24"/>
      <c r="B826" s="24"/>
      <c r="C826" s="24"/>
      <c r="D826" s="24"/>
      <c r="E826" s="24"/>
      <c r="F826" s="24"/>
      <c r="G826" s="117"/>
      <c r="H826" s="117"/>
      <c r="I826" s="118"/>
      <c r="J826" s="119"/>
      <c r="K826" s="119"/>
      <c r="L826" s="24"/>
      <c r="M826" s="24"/>
      <c r="N826" s="24"/>
      <c r="O826" s="24"/>
      <c r="P826" s="114"/>
      <c r="Q826" s="24"/>
      <c r="R826" s="24"/>
      <c r="S826" s="24"/>
      <c r="T826" s="24"/>
      <c r="U826" s="24"/>
      <c r="V826" s="24"/>
      <c r="W826" s="24"/>
      <c r="X826" s="24"/>
      <c r="Y826" s="24"/>
      <c r="Z826" s="24"/>
      <c r="AA826" s="24"/>
      <c r="AB826" s="24"/>
      <c r="AC826" s="24"/>
    </row>
    <row r="827" spans="1:29" ht="16.3">
      <c r="A827" s="24"/>
      <c r="B827" s="24"/>
      <c r="C827" s="24"/>
      <c r="D827" s="24"/>
      <c r="E827" s="24"/>
      <c r="F827" s="24"/>
      <c r="G827" s="117"/>
      <c r="H827" s="117"/>
      <c r="I827" s="118"/>
      <c r="J827" s="119"/>
      <c r="K827" s="119"/>
      <c r="L827" s="24"/>
      <c r="M827" s="24"/>
      <c r="N827" s="24"/>
      <c r="O827" s="24"/>
      <c r="P827" s="114"/>
      <c r="Q827" s="24"/>
      <c r="R827" s="24"/>
      <c r="S827" s="24"/>
      <c r="T827" s="24"/>
      <c r="U827" s="24"/>
      <c r="V827" s="24"/>
      <c r="W827" s="24"/>
      <c r="X827" s="24"/>
      <c r="Y827" s="24"/>
      <c r="Z827" s="24"/>
      <c r="AA827" s="24"/>
      <c r="AB827" s="24"/>
      <c r="AC827" s="24"/>
    </row>
    <row r="828" spans="1:29" ht="16.3">
      <c r="A828" s="24"/>
      <c r="B828" s="24"/>
      <c r="C828" s="24"/>
      <c r="D828" s="24"/>
      <c r="E828" s="24"/>
      <c r="F828" s="24"/>
      <c r="G828" s="117"/>
      <c r="H828" s="117"/>
      <c r="I828" s="118"/>
      <c r="J828" s="119"/>
      <c r="K828" s="119"/>
      <c r="L828" s="24"/>
      <c r="M828" s="24"/>
      <c r="N828" s="24"/>
      <c r="O828" s="24"/>
      <c r="P828" s="114"/>
      <c r="Q828" s="24"/>
      <c r="R828" s="24"/>
      <c r="S828" s="24"/>
      <c r="T828" s="24"/>
      <c r="U828" s="24"/>
      <c r="V828" s="24"/>
      <c r="W828" s="24"/>
      <c r="X828" s="24"/>
      <c r="Y828" s="24"/>
      <c r="Z828" s="24"/>
      <c r="AA828" s="24"/>
      <c r="AB828" s="24"/>
      <c r="AC828" s="24"/>
    </row>
    <row r="829" spans="1:29" ht="16.3">
      <c r="A829" s="24"/>
      <c r="B829" s="24"/>
      <c r="C829" s="24"/>
      <c r="D829" s="24"/>
      <c r="E829" s="24"/>
      <c r="F829" s="24"/>
      <c r="G829" s="117"/>
      <c r="H829" s="117"/>
      <c r="I829" s="118"/>
      <c r="J829" s="119"/>
      <c r="K829" s="119"/>
      <c r="L829" s="24"/>
      <c r="M829" s="24"/>
      <c r="N829" s="24"/>
      <c r="O829" s="24"/>
      <c r="P829" s="114"/>
      <c r="Q829" s="24"/>
      <c r="R829" s="24"/>
      <c r="S829" s="24"/>
      <c r="T829" s="24"/>
      <c r="U829" s="24"/>
      <c r="V829" s="24"/>
      <c r="W829" s="24"/>
      <c r="X829" s="24"/>
      <c r="Y829" s="24"/>
      <c r="Z829" s="24"/>
      <c r="AA829" s="24"/>
      <c r="AB829" s="24"/>
      <c r="AC829" s="24"/>
    </row>
    <row r="830" spans="1:29" ht="16.3">
      <c r="A830" s="24"/>
      <c r="B830" s="24"/>
      <c r="C830" s="24"/>
      <c r="D830" s="24"/>
      <c r="E830" s="24"/>
      <c r="F830" s="24"/>
      <c r="G830" s="117"/>
      <c r="H830" s="117"/>
      <c r="I830" s="118"/>
      <c r="J830" s="119"/>
      <c r="K830" s="119"/>
      <c r="L830" s="24"/>
      <c r="M830" s="24"/>
      <c r="N830" s="24"/>
      <c r="O830" s="24"/>
      <c r="P830" s="114"/>
      <c r="Q830" s="24"/>
      <c r="R830" s="24"/>
      <c r="S830" s="24"/>
      <c r="T830" s="24"/>
      <c r="U830" s="24"/>
      <c r="V830" s="24"/>
      <c r="W830" s="24"/>
      <c r="X830" s="24"/>
      <c r="Y830" s="24"/>
      <c r="Z830" s="24"/>
      <c r="AA830" s="24"/>
      <c r="AB830" s="24"/>
      <c r="AC830" s="24"/>
    </row>
    <row r="831" spans="1:29" ht="16.3">
      <c r="A831" s="24"/>
      <c r="B831" s="24"/>
      <c r="C831" s="24"/>
      <c r="D831" s="24"/>
      <c r="E831" s="24"/>
      <c r="F831" s="24"/>
      <c r="G831" s="117"/>
      <c r="H831" s="117"/>
      <c r="I831" s="118"/>
      <c r="J831" s="119"/>
      <c r="K831" s="119"/>
      <c r="L831" s="24"/>
      <c r="M831" s="24"/>
      <c r="N831" s="24"/>
      <c r="O831" s="24"/>
      <c r="P831" s="114"/>
      <c r="Q831" s="24"/>
      <c r="R831" s="24"/>
      <c r="S831" s="24"/>
      <c r="T831" s="24"/>
      <c r="U831" s="24"/>
      <c r="V831" s="24"/>
      <c r="W831" s="24"/>
      <c r="X831" s="24"/>
      <c r="Y831" s="24"/>
      <c r="Z831" s="24"/>
      <c r="AA831" s="24"/>
      <c r="AB831" s="24"/>
      <c r="AC831" s="24"/>
    </row>
    <row r="832" spans="1:29" ht="16.3">
      <c r="A832" s="24"/>
      <c r="B832" s="24"/>
      <c r="C832" s="24"/>
      <c r="D832" s="24"/>
      <c r="E832" s="24"/>
      <c r="F832" s="24"/>
      <c r="G832" s="117"/>
      <c r="H832" s="117"/>
      <c r="I832" s="118"/>
      <c r="J832" s="119"/>
      <c r="K832" s="119"/>
      <c r="L832" s="24"/>
      <c r="M832" s="24"/>
      <c r="N832" s="24"/>
      <c r="O832" s="24"/>
      <c r="P832" s="114"/>
      <c r="Q832" s="24"/>
      <c r="R832" s="24"/>
      <c r="S832" s="24"/>
      <c r="T832" s="24"/>
      <c r="U832" s="24"/>
      <c r="V832" s="24"/>
      <c r="W832" s="24"/>
      <c r="X832" s="24"/>
      <c r="Y832" s="24"/>
      <c r="Z832" s="24"/>
      <c r="AA832" s="24"/>
      <c r="AB832" s="24"/>
      <c r="AC832" s="24"/>
    </row>
    <row r="833" spans="1:29" ht="16.3">
      <c r="A833" s="24"/>
      <c r="B833" s="24"/>
      <c r="C833" s="24"/>
      <c r="D833" s="24"/>
      <c r="E833" s="24"/>
      <c r="F833" s="24"/>
      <c r="G833" s="117"/>
      <c r="H833" s="117"/>
      <c r="I833" s="118"/>
      <c r="J833" s="119"/>
      <c r="K833" s="119"/>
      <c r="L833" s="24"/>
      <c r="M833" s="24"/>
      <c r="N833" s="24"/>
      <c r="O833" s="24"/>
      <c r="P833" s="114"/>
      <c r="Q833" s="24"/>
      <c r="R833" s="24"/>
      <c r="S833" s="24"/>
      <c r="T833" s="24"/>
      <c r="U833" s="24"/>
      <c r="V833" s="24"/>
      <c r="W833" s="24"/>
      <c r="X833" s="24"/>
      <c r="Y833" s="24"/>
      <c r="Z833" s="24"/>
      <c r="AA833" s="24"/>
      <c r="AB833" s="24"/>
      <c r="AC833" s="24"/>
    </row>
    <row r="834" spans="1:29" ht="16.3">
      <c r="A834" s="24"/>
      <c r="B834" s="24"/>
      <c r="C834" s="24"/>
      <c r="D834" s="24"/>
      <c r="E834" s="24"/>
      <c r="F834" s="24"/>
      <c r="G834" s="117"/>
      <c r="H834" s="117"/>
      <c r="I834" s="118"/>
      <c r="J834" s="119"/>
      <c r="K834" s="119"/>
      <c r="L834" s="24"/>
      <c r="M834" s="24"/>
      <c r="N834" s="24"/>
      <c r="O834" s="24"/>
      <c r="P834" s="114"/>
      <c r="Q834" s="24"/>
      <c r="R834" s="24"/>
      <c r="S834" s="24"/>
      <c r="T834" s="24"/>
      <c r="U834" s="24"/>
      <c r="V834" s="24"/>
      <c r="W834" s="24"/>
      <c r="X834" s="24"/>
      <c r="Y834" s="24"/>
      <c r="Z834" s="24"/>
      <c r="AA834" s="24"/>
      <c r="AB834" s="24"/>
      <c r="AC834" s="24"/>
    </row>
    <row r="835" spans="1:29" ht="16.3">
      <c r="A835" s="24"/>
      <c r="B835" s="24"/>
      <c r="C835" s="24"/>
      <c r="D835" s="24"/>
      <c r="E835" s="24"/>
      <c r="F835" s="24"/>
      <c r="G835" s="117"/>
      <c r="H835" s="117"/>
      <c r="I835" s="118"/>
      <c r="J835" s="119"/>
      <c r="K835" s="119"/>
      <c r="L835" s="24"/>
      <c r="M835" s="24"/>
      <c r="N835" s="24"/>
      <c r="O835" s="24"/>
      <c r="P835" s="114"/>
      <c r="Q835" s="24"/>
      <c r="R835" s="24"/>
      <c r="S835" s="24"/>
      <c r="T835" s="24"/>
      <c r="U835" s="24"/>
      <c r="V835" s="24"/>
      <c r="W835" s="24"/>
      <c r="X835" s="24"/>
      <c r="Y835" s="24"/>
      <c r="Z835" s="24"/>
      <c r="AA835" s="24"/>
      <c r="AB835" s="24"/>
      <c r="AC835" s="24"/>
    </row>
    <row r="836" spans="1:29" ht="16.3">
      <c r="A836" s="24"/>
      <c r="B836" s="24"/>
      <c r="C836" s="24"/>
      <c r="D836" s="24"/>
      <c r="E836" s="24"/>
      <c r="F836" s="24"/>
      <c r="G836" s="117"/>
      <c r="H836" s="117"/>
      <c r="I836" s="118"/>
      <c r="J836" s="119"/>
      <c r="K836" s="119"/>
      <c r="L836" s="24"/>
      <c r="M836" s="24"/>
      <c r="N836" s="24"/>
      <c r="O836" s="24"/>
      <c r="P836" s="114"/>
      <c r="Q836" s="24"/>
      <c r="R836" s="24"/>
      <c r="S836" s="24"/>
      <c r="T836" s="24"/>
      <c r="U836" s="24"/>
      <c r="V836" s="24"/>
      <c r="W836" s="24"/>
      <c r="X836" s="24"/>
      <c r="Y836" s="24"/>
      <c r="Z836" s="24"/>
      <c r="AA836" s="24"/>
      <c r="AB836" s="24"/>
      <c r="AC836" s="24"/>
    </row>
    <row r="837" spans="1:29" ht="16.3">
      <c r="A837" s="24"/>
      <c r="B837" s="24"/>
      <c r="C837" s="24"/>
      <c r="D837" s="24"/>
      <c r="E837" s="24"/>
      <c r="F837" s="24"/>
      <c r="G837" s="117"/>
      <c r="H837" s="117"/>
      <c r="I837" s="118"/>
      <c r="J837" s="119"/>
      <c r="K837" s="119"/>
      <c r="L837" s="24"/>
      <c r="M837" s="24"/>
      <c r="N837" s="24"/>
      <c r="O837" s="24"/>
      <c r="P837" s="114"/>
      <c r="Q837" s="24"/>
      <c r="R837" s="24"/>
      <c r="S837" s="24"/>
      <c r="T837" s="24"/>
      <c r="U837" s="24"/>
      <c r="V837" s="24"/>
      <c r="W837" s="24"/>
      <c r="X837" s="24"/>
      <c r="Y837" s="24"/>
      <c r="Z837" s="24"/>
      <c r="AA837" s="24"/>
      <c r="AB837" s="24"/>
      <c r="AC837" s="24"/>
    </row>
    <row r="838" spans="1:29" ht="16.3">
      <c r="A838" s="24"/>
      <c r="B838" s="24"/>
      <c r="C838" s="24"/>
      <c r="D838" s="24"/>
      <c r="E838" s="24"/>
      <c r="F838" s="24"/>
      <c r="G838" s="117"/>
      <c r="H838" s="117"/>
      <c r="I838" s="118"/>
      <c r="J838" s="119"/>
      <c r="K838" s="119"/>
      <c r="L838" s="24"/>
      <c r="M838" s="24"/>
      <c r="N838" s="24"/>
      <c r="O838" s="24"/>
      <c r="P838" s="114"/>
      <c r="Q838" s="24"/>
      <c r="R838" s="24"/>
      <c r="S838" s="24"/>
      <c r="T838" s="24"/>
      <c r="U838" s="24"/>
      <c r="V838" s="24"/>
      <c r="W838" s="24"/>
      <c r="X838" s="24"/>
      <c r="Y838" s="24"/>
      <c r="Z838" s="24"/>
      <c r="AA838" s="24"/>
      <c r="AB838" s="24"/>
      <c r="AC838" s="24"/>
    </row>
    <row r="839" spans="1:29" ht="16.3">
      <c r="A839" s="24"/>
      <c r="B839" s="24"/>
      <c r="C839" s="24"/>
      <c r="D839" s="24"/>
      <c r="E839" s="24"/>
      <c r="F839" s="24"/>
      <c r="G839" s="117"/>
      <c r="H839" s="117"/>
      <c r="I839" s="118"/>
      <c r="J839" s="119"/>
      <c r="K839" s="119"/>
      <c r="L839" s="24"/>
      <c r="M839" s="24"/>
      <c r="N839" s="24"/>
      <c r="O839" s="24"/>
      <c r="P839" s="114"/>
      <c r="Q839" s="24"/>
      <c r="R839" s="24"/>
      <c r="S839" s="24"/>
      <c r="T839" s="24"/>
      <c r="U839" s="24"/>
      <c r="V839" s="24"/>
      <c r="W839" s="24"/>
      <c r="X839" s="24"/>
      <c r="Y839" s="24"/>
      <c r="Z839" s="24"/>
      <c r="AA839" s="24"/>
      <c r="AB839" s="24"/>
      <c r="AC839" s="24"/>
    </row>
    <row r="840" spans="1:29" ht="16.3">
      <c r="A840" s="24"/>
      <c r="B840" s="24"/>
      <c r="C840" s="24"/>
      <c r="D840" s="24"/>
      <c r="E840" s="24"/>
      <c r="F840" s="24"/>
      <c r="G840" s="117"/>
      <c r="H840" s="117"/>
      <c r="I840" s="118"/>
      <c r="J840" s="119"/>
      <c r="K840" s="119"/>
      <c r="L840" s="24"/>
      <c r="M840" s="24"/>
      <c r="N840" s="24"/>
      <c r="O840" s="24"/>
      <c r="P840" s="114"/>
      <c r="Q840" s="24"/>
      <c r="R840" s="24"/>
      <c r="S840" s="24"/>
      <c r="T840" s="24"/>
      <c r="U840" s="24"/>
      <c r="V840" s="24"/>
      <c r="W840" s="24"/>
      <c r="X840" s="24"/>
      <c r="Y840" s="24"/>
      <c r="Z840" s="24"/>
      <c r="AA840" s="24"/>
      <c r="AB840" s="24"/>
      <c r="AC840" s="24"/>
    </row>
    <row r="841" spans="1:29" ht="16.3">
      <c r="A841" s="24"/>
      <c r="B841" s="24"/>
      <c r="C841" s="24"/>
      <c r="D841" s="24"/>
      <c r="E841" s="24"/>
      <c r="F841" s="24"/>
      <c r="G841" s="117"/>
      <c r="H841" s="117"/>
      <c r="I841" s="118"/>
      <c r="J841" s="119"/>
      <c r="K841" s="119"/>
      <c r="L841" s="24"/>
      <c r="M841" s="24"/>
      <c r="N841" s="24"/>
      <c r="O841" s="24"/>
      <c r="P841" s="114"/>
      <c r="Q841" s="24"/>
      <c r="R841" s="24"/>
      <c r="S841" s="24"/>
      <c r="T841" s="24"/>
      <c r="U841" s="24"/>
      <c r="V841" s="24"/>
      <c r="W841" s="24"/>
      <c r="X841" s="24"/>
      <c r="Y841" s="24"/>
      <c r="Z841" s="24"/>
      <c r="AA841" s="24"/>
      <c r="AB841" s="24"/>
      <c r="AC841" s="24"/>
    </row>
    <row r="842" spans="1:29" ht="16.3">
      <c r="A842" s="24"/>
      <c r="B842" s="24"/>
      <c r="C842" s="24"/>
      <c r="D842" s="24"/>
      <c r="E842" s="24"/>
      <c r="F842" s="24"/>
      <c r="G842" s="117"/>
      <c r="H842" s="117"/>
      <c r="I842" s="118"/>
      <c r="J842" s="119"/>
      <c r="K842" s="119"/>
      <c r="L842" s="24"/>
      <c r="M842" s="24"/>
      <c r="N842" s="24"/>
      <c r="O842" s="24"/>
      <c r="P842" s="114"/>
      <c r="Q842" s="24"/>
      <c r="R842" s="24"/>
      <c r="S842" s="24"/>
      <c r="T842" s="24"/>
      <c r="U842" s="24"/>
      <c r="V842" s="24"/>
      <c r="W842" s="24"/>
      <c r="X842" s="24"/>
      <c r="Y842" s="24"/>
      <c r="Z842" s="24"/>
      <c r="AA842" s="24"/>
      <c r="AB842" s="24"/>
      <c r="AC842" s="24"/>
    </row>
    <row r="843" spans="1:29" ht="16.3">
      <c r="A843" s="24"/>
      <c r="B843" s="24"/>
      <c r="C843" s="24"/>
      <c r="D843" s="24"/>
      <c r="E843" s="24"/>
      <c r="F843" s="24"/>
      <c r="G843" s="117"/>
      <c r="H843" s="117"/>
      <c r="I843" s="118"/>
      <c r="J843" s="119"/>
      <c r="K843" s="119"/>
      <c r="L843" s="24"/>
      <c r="M843" s="24"/>
      <c r="N843" s="24"/>
      <c r="O843" s="24"/>
      <c r="P843" s="114"/>
      <c r="Q843" s="24"/>
      <c r="R843" s="24"/>
      <c r="S843" s="24"/>
      <c r="T843" s="24"/>
      <c r="U843" s="24"/>
      <c r="V843" s="24"/>
      <c r="W843" s="24"/>
      <c r="X843" s="24"/>
      <c r="Y843" s="24"/>
      <c r="Z843" s="24"/>
      <c r="AA843" s="24"/>
      <c r="AB843" s="24"/>
      <c r="AC843" s="24"/>
    </row>
    <row r="844" spans="1:29" ht="16.3">
      <c r="A844" s="24"/>
      <c r="B844" s="24"/>
      <c r="C844" s="24"/>
      <c r="D844" s="24"/>
      <c r="E844" s="24"/>
      <c r="F844" s="24"/>
      <c r="G844" s="117"/>
      <c r="H844" s="117"/>
      <c r="I844" s="118"/>
      <c r="J844" s="119"/>
      <c r="K844" s="119"/>
      <c r="L844" s="24"/>
      <c r="M844" s="24"/>
      <c r="N844" s="24"/>
      <c r="O844" s="24"/>
      <c r="P844" s="114"/>
      <c r="Q844" s="24"/>
      <c r="R844" s="24"/>
      <c r="S844" s="24"/>
      <c r="T844" s="24"/>
      <c r="U844" s="24"/>
      <c r="V844" s="24"/>
      <c r="W844" s="24"/>
      <c r="X844" s="24"/>
      <c r="Y844" s="24"/>
      <c r="Z844" s="24"/>
      <c r="AA844" s="24"/>
      <c r="AB844" s="24"/>
      <c r="AC844" s="24"/>
    </row>
    <row r="845" spans="1:29" ht="16.3">
      <c r="A845" s="24"/>
      <c r="B845" s="24"/>
      <c r="C845" s="24"/>
      <c r="D845" s="24"/>
      <c r="E845" s="24"/>
      <c r="F845" s="24"/>
      <c r="G845" s="117"/>
      <c r="H845" s="117"/>
      <c r="I845" s="118"/>
      <c r="J845" s="119"/>
      <c r="K845" s="119"/>
      <c r="L845" s="24"/>
      <c r="M845" s="24"/>
      <c r="N845" s="24"/>
      <c r="O845" s="24"/>
      <c r="P845" s="114"/>
      <c r="Q845" s="24"/>
      <c r="R845" s="24"/>
      <c r="S845" s="24"/>
      <c r="T845" s="24"/>
      <c r="U845" s="24"/>
      <c r="V845" s="24"/>
      <c r="W845" s="24"/>
      <c r="X845" s="24"/>
      <c r="Y845" s="24"/>
      <c r="Z845" s="24"/>
      <c r="AA845" s="24"/>
      <c r="AB845" s="24"/>
      <c r="AC845" s="24"/>
    </row>
    <row r="846" spans="1:29" ht="16.3">
      <c r="A846" s="24"/>
      <c r="B846" s="24"/>
      <c r="C846" s="24"/>
      <c r="D846" s="24"/>
      <c r="E846" s="24"/>
      <c r="F846" s="24"/>
      <c r="G846" s="117"/>
      <c r="H846" s="117"/>
      <c r="I846" s="118"/>
      <c r="J846" s="119"/>
      <c r="K846" s="119"/>
      <c r="L846" s="24"/>
      <c r="M846" s="24"/>
      <c r="N846" s="24"/>
      <c r="O846" s="24"/>
      <c r="P846" s="114"/>
      <c r="Q846" s="24"/>
      <c r="R846" s="24"/>
      <c r="S846" s="24"/>
      <c r="T846" s="24"/>
      <c r="U846" s="24"/>
      <c r="V846" s="24"/>
      <c r="W846" s="24"/>
      <c r="X846" s="24"/>
      <c r="Y846" s="24"/>
      <c r="Z846" s="24"/>
      <c r="AA846" s="24"/>
      <c r="AB846" s="24"/>
      <c r="AC846" s="24"/>
    </row>
    <row r="847" spans="1:29" ht="16.3">
      <c r="A847" s="24"/>
      <c r="B847" s="24"/>
      <c r="C847" s="24"/>
      <c r="D847" s="24"/>
      <c r="E847" s="24"/>
      <c r="F847" s="24"/>
      <c r="G847" s="117"/>
      <c r="H847" s="117"/>
      <c r="I847" s="118"/>
      <c r="J847" s="119"/>
      <c r="K847" s="119"/>
      <c r="L847" s="24"/>
      <c r="M847" s="24"/>
      <c r="N847" s="24"/>
      <c r="O847" s="24"/>
      <c r="P847" s="114"/>
      <c r="Q847" s="24"/>
      <c r="R847" s="24"/>
      <c r="S847" s="24"/>
      <c r="T847" s="24"/>
      <c r="U847" s="24"/>
      <c r="V847" s="24"/>
      <c r="W847" s="24"/>
      <c r="X847" s="24"/>
      <c r="Y847" s="24"/>
      <c r="Z847" s="24"/>
      <c r="AA847" s="24"/>
      <c r="AB847" s="24"/>
      <c r="AC847" s="24"/>
    </row>
    <row r="848" spans="1:29" ht="16.3">
      <c r="A848" s="24"/>
      <c r="B848" s="24"/>
      <c r="C848" s="24"/>
      <c r="D848" s="24"/>
      <c r="E848" s="24"/>
      <c r="F848" s="24"/>
      <c r="G848" s="117"/>
      <c r="H848" s="117"/>
      <c r="I848" s="118"/>
      <c r="J848" s="119"/>
      <c r="K848" s="119"/>
      <c r="L848" s="24"/>
      <c r="M848" s="24"/>
      <c r="N848" s="24"/>
      <c r="O848" s="24"/>
      <c r="P848" s="114"/>
      <c r="Q848" s="24"/>
      <c r="R848" s="24"/>
      <c r="S848" s="24"/>
      <c r="T848" s="24"/>
      <c r="U848" s="24"/>
      <c r="V848" s="24"/>
      <c r="W848" s="24"/>
      <c r="X848" s="24"/>
      <c r="Y848" s="24"/>
      <c r="Z848" s="24"/>
      <c r="AA848" s="24"/>
      <c r="AB848" s="24"/>
      <c r="AC848" s="24"/>
    </row>
    <row r="849" spans="1:29" ht="16.3">
      <c r="A849" s="24"/>
      <c r="B849" s="24"/>
      <c r="C849" s="24"/>
      <c r="D849" s="24"/>
      <c r="E849" s="24"/>
      <c r="F849" s="24"/>
      <c r="G849" s="117"/>
      <c r="H849" s="117"/>
      <c r="I849" s="118"/>
      <c r="J849" s="119"/>
      <c r="K849" s="119"/>
      <c r="L849" s="24"/>
      <c r="M849" s="24"/>
      <c r="N849" s="24"/>
      <c r="O849" s="24"/>
      <c r="P849" s="114"/>
      <c r="Q849" s="24"/>
      <c r="R849" s="24"/>
      <c r="S849" s="24"/>
      <c r="T849" s="24"/>
      <c r="U849" s="24"/>
      <c r="V849" s="24"/>
      <c r="W849" s="24"/>
      <c r="X849" s="24"/>
      <c r="Y849" s="24"/>
      <c r="Z849" s="24"/>
      <c r="AA849" s="24"/>
      <c r="AB849" s="24"/>
      <c r="AC849" s="24"/>
    </row>
    <row r="850" spans="1:29" ht="16.3">
      <c r="A850" s="24"/>
      <c r="B850" s="24"/>
      <c r="C850" s="24"/>
      <c r="D850" s="24"/>
      <c r="E850" s="24"/>
      <c r="F850" s="24"/>
      <c r="G850" s="117"/>
      <c r="H850" s="117"/>
      <c r="I850" s="118"/>
      <c r="J850" s="119"/>
      <c r="K850" s="119"/>
      <c r="L850" s="24"/>
      <c r="M850" s="24"/>
      <c r="N850" s="24"/>
      <c r="O850" s="24"/>
      <c r="P850" s="114"/>
      <c r="Q850" s="24"/>
      <c r="R850" s="24"/>
      <c r="S850" s="24"/>
      <c r="T850" s="24"/>
      <c r="U850" s="24"/>
      <c r="V850" s="24"/>
      <c r="W850" s="24"/>
      <c r="X850" s="24"/>
      <c r="Y850" s="24"/>
      <c r="Z850" s="24"/>
      <c r="AA850" s="24"/>
      <c r="AB850" s="24"/>
      <c r="AC850" s="24"/>
    </row>
    <row r="851" spans="1:29" ht="16.3">
      <c r="A851" s="24"/>
      <c r="B851" s="24"/>
      <c r="C851" s="24"/>
      <c r="D851" s="24"/>
      <c r="E851" s="24"/>
      <c r="F851" s="24"/>
      <c r="G851" s="117"/>
      <c r="H851" s="117"/>
      <c r="I851" s="118"/>
      <c r="J851" s="119"/>
      <c r="K851" s="119"/>
      <c r="L851" s="24"/>
      <c r="M851" s="24"/>
      <c r="N851" s="24"/>
      <c r="O851" s="24"/>
      <c r="P851" s="114"/>
      <c r="Q851" s="24"/>
      <c r="R851" s="24"/>
      <c r="S851" s="24"/>
      <c r="T851" s="24"/>
      <c r="U851" s="24"/>
      <c r="V851" s="24"/>
      <c r="W851" s="24"/>
      <c r="X851" s="24"/>
      <c r="Y851" s="24"/>
      <c r="Z851" s="24"/>
      <c r="AA851" s="24"/>
      <c r="AB851" s="24"/>
      <c r="AC851" s="24"/>
    </row>
    <row r="852" spans="1:29" ht="16.3">
      <c r="A852" s="24"/>
      <c r="B852" s="24"/>
      <c r="C852" s="24"/>
      <c r="D852" s="24"/>
      <c r="E852" s="24"/>
      <c r="F852" s="24"/>
      <c r="G852" s="117"/>
      <c r="H852" s="117"/>
      <c r="I852" s="118"/>
      <c r="J852" s="119"/>
      <c r="K852" s="119"/>
      <c r="L852" s="24"/>
      <c r="M852" s="24"/>
      <c r="N852" s="24"/>
      <c r="O852" s="24"/>
      <c r="P852" s="114"/>
      <c r="Q852" s="24"/>
      <c r="R852" s="24"/>
      <c r="S852" s="24"/>
      <c r="T852" s="24"/>
      <c r="U852" s="24"/>
      <c r="V852" s="24"/>
      <c r="W852" s="24"/>
      <c r="X852" s="24"/>
      <c r="Y852" s="24"/>
      <c r="Z852" s="24"/>
      <c r="AA852" s="24"/>
      <c r="AB852" s="24"/>
      <c r="AC852" s="24"/>
    </row>
    <row r="853" spans="1:29" ht="16.3">
      <c r="A853" s="24"/>
      <c r="B853" s="24"/>
      <c r="C853" s="24"/>
      <c r="D853" s="24"/>
      <c r="E853" s="24"/>
      <c r="F853" s="24"/>
      <c r="G853" s="117"/>
      <c r="H853" s="117"/>
      <c r="I853" s="118"/>
      <c r="J853" s="119"/>
      <c r="K853" s="119"/>
      <c r="L853" s="24"/>
      <c r="M853" s="24"/>
      <c r="N853" s="24"/>
      <c r="O853" s="24"/>
      <c r="P853" s="114"/>
      <c r="Q853" s="24"/>
      <c r="R853" s="24"/>
      <c r="S853" s="24"/>
      <c r="T853" s="24"/>
      <c r="U853" s="24"/>
      <c r="V853" s="24"/>
      <c r="W853" s="24"/>
      <c r="X853" s="24"/>
      <c r="Y853" s="24"/>
      <c r="Z853" s="24"/>
      <c r="AA853" s="24"/>
      <c r="AB853" s="24"/>
      <c r="AC853" s="24"/>
    </row>
    <row r="854" spans="1:29" ht="16.3">
      <c r="A854" s="24"/>
      <c r="B854" s="24"/>
      <c r="C854" s="24"/>
      <c r="D854" s="24"/>
      <c r="E854" s="24"/>
      <c r="F854" s="24"/>
      <c r="G854" s="117"/>
      <c r="H854" s="117"/>
      <c r="I854" s="118"/>
      <c r="J854" s="119"/>
      <c r="K854" s="119"/>
      <c r="L854" s="24"/>
      <c r="M854" s="24"/>
      <c r="N854" s="24"/>
      <c r="O854" s="24"/>
      <c r="P854" s="114"/>
      <c r="Q854" s="24"/>
      <c r="R854" s="24"/>
      <c r="S854" s="24"/>
      <c r="T854" s="24"/>
      <c r="U854" s="24"/>
      <c r="V854" s="24"/>
      <c r="W854" s="24"/>
      <c r="X854" s="24"/>
      <c r="Y854" s="24"/>
      <c r="Z854" s="24"/>
      <c r="AA854" s="24"/>
      <c r="AB854" s="24"/>
      <c r="AC854" s="24"/>
    </row>
    <row r="855" spans="1:29" ht="16.3">
      <c r="A855" s="24"/>
      <c r="B855" s="24"/>
      <c r="C855" s="24"/>
      <c r="D855" s="24"/>
      <c r="E855" s="24"/>
      <c r="F855" s="24"/>
      <c r="G855" s="117"/>
      <c r="H855" s="117"/>
      <c r="I855" s="118"/>
      <c r="J855" s="119"/>
      <c r="K855" s="119"/>
      <c r="L855" s="24"/>
      <c r="M855" s="24"/>
      <c r="N855" s="24"/>
      <c r="O855" s="24"/>
      <c r="P855" s="114"/>
      <c r="Q855" s="24"/>
      <c r="R855" s="24"/>
      <c r="S855" s="24"/>
      <c r="T855" s="24"/>
      <c r="U855" s="24"/>
      <c r="V855" s="24"/>
      <c r="W855" s="24"/>
      <c r="X855" s="24"/>
      <c r="Y855" s="24"/>
      <c r="Z855" s="24"/>
      <c r="AA855" s="24"/>
      <c r="AB855" s="24"/>
      <c r="AC855" s="24"/>
    </row>
    <row r="856" spans="1:29" ht="16.3">
      <c r="A856" s="24"/>
      <c r="B856" s="24"/>
      <c r="C856" s="24"/>
      <c r="D856" s="24"/>
      <c r="E856" s="24"/>
      <c r="F856" s="24"/>
      <c r="G856" s="117"/>
      <c r="H856" s="117"/>
      <c r="I856" s="118"/>
      <c r="J856" s="119"/>
      <c r="K856" s="119"/>
      <c r="L856" s="24"/>
      <c r="M856" s="24"/>
      <c r="N856" s="24"/>
      <c r="O856" s="24"/>
      <c r="P856" s="114"/>
      <c r="Q856" s="24"/>
      <c r="R856" s="24"/>
      <c r="S856" s="24"/>
      <c r="T856" s="24"/>
      <c r="U856" s="24"/>
      <c r="V856" s="24"/>
      <c r="W856" s="24"/>
      <c r="X856" s="24"/>
      <c r="Y856" s="24"/>
      <c r="Z856" s="24"/>
      <c r="AA856" s="24"/>
      <c r="AB856" s="24"/>
      <c r="AC856" s="24"/>
    </row>
    <row r="857" spans="1:29" ht="16.3">
      <c r="A857" s="24"/>
      <c r="B857" s="24"/>
      <c r="C857" s="24"/>
      <c r="D857" s="24"/>
      <c r="E857" s="24"/>
      <c r="F857" s="24"/>
      <c r="G857" s="117"/>
      <c r="H857" s="117"/>
      <c r="I857" s="118"/>
      <c r="J857" s="119"/>
      <c r="K857" s="119"/>
      <c r="L857" s="24"/>
      <c r="M857" s="24"/>
      <c r="N857" s="24"/>
      <c r="O857" s="24"/>
      <c r="P857" s="114"/>
      <c r="Q857" s="24"/>
      <c r="R857" s="24"/>
      <c r="S857" s="24"/>
      <c r="T857" s="24"/>
      <c r="U857" s="24"/>
      <c r="V857" s="24"/>
      <c r="W857" s="24"/>
      <c r="X857" s="24"/>
      <c r="Y857" s="24"/>
      <c r="Z857" s="24"/>
      <c r="AA857" s="24"/>
      <c r="AB857" s="24"/>
      <c r="AC857" s="24"/>
    </row>
    <row r="858" spans="1:29" ht="16.3">
      <c r="A858" s="24"/>
      <c r="B858" s="24"/>
      <c r="C858" s="24"/>
      <c r="D858" s="24"/>
      <c r="E858" s="24"/>
      <c r="F858" s="24"/>
      <c r="G858" s="117"/>
      <c r="H858" s="117"/>
      <c r="I858" s="118"/>
      <c r="J858" s="119"/>
      <c r="K858" s="119"/>
      <c r="L858" s="24"/>
      <c r="M858" s="24"/>
      <c r="N858" s="24"/>
      <c r="O858" s="24"/>
      <c r="P858" s="114"/>
      <c r="Q858" s="24"/>
      <c r="R858" s="24"/>
      <c r="S858" s="24"/>
      <c r="T858" s="24"/>
      <c r="U858" s="24"/>
      <c r="V858" s="24"/>
      <c r="W858" s="24"/>
      <c r="X858" s="24"/>
      <c r="Y858" s="24"/>
      <c r="Z858" s="24"/>
      <c r="AA858" s="24"/>
      <c r="AB858" s="24"/>
      <c r="AC858" s="24"/>
    </row>
    <row r="859" spans="1:29" ht="16.3">
      <c r="A859" s="24"/>
      <c r="B859" s="24"/>
      <c r="C859" s="24"/>
      <c r="D859" s="24"/>
      <c r="E859" s="24"/>
      <c r="F859" s="24"/>
      <c r="G859" s="117"/>
      <c r="H859" s="117"/>
      <c r="I859" s="118"/>
      <c r="J859" s="119"/>
      <c r="K859" s="119"/>
      <c r="L859" s="24"/>
      <c r="M859" s="24"/>
      <c r="N859" s="24"/>
      <c r="O859" s="24"/>
      <c r="P859" s="114"/>
      <c r="Q859" s="24"/>
      <c r="R859" s="24"/>
      <c r="S859" s="24"/>
      <c r="T859" s="24"/>
      <c r="U859" s="24"/>
      <c r="V859" s="24"/>
      <c r="W859" s="24"/>
      <c r="X859" s="24"/>
      <c r="Y859" s="24"/>
      <c r="Z859" s="24"/>
      <c r="AA859" s="24"/>
      <c r="AB859" s="24"/>
      <c r="AC859" s="24"/>
    </row>
    <row r="860" spans="1:29" ht="16.3">
      <c r="A860" s="24"/>
      <c r="B860" s="24"/>
      <c r="C860" s="24"/>
      <c r="D860" s="24"/>
      <c r="E860" s="24"/>
      <c r="F860" s="24"/>
      <c r="G860" s="117"/>
      <c r="H860" s="117"/>
      <c r="I860" s="118"/>
      <c r="J860" s="119"/>
      <c r="K860" s="119"/>
      <c r="L860" s="24"/>
      <c r="M860" s="24"/>
      <c r="N860" s="24"/>
      <c r="O860" s="24"/>
      <c r="P860" s="114"/>
      <c r="Q860" s="24"/>
      <c r="R860" s="24"/>
      <c r="S860" s="24"/>
      <c r="T860" s="24"/>
      <c r="U860" s="24"/>
      <c r="V860" s="24"/>
      <c r="W860" s="24"/>
      <c r="X860" s="24"/>
      <c r="Y860" s="24"/>
      <c r="Z860" s="24"/>
      <c r="AA860" s="24"/>
      <c r="AB860" s="24"/>
      <c r="AC860" s="24"/>
    </row>
    <row r="861" spans="1:29" ht="16.3">
      <c r="A861" s="24"/>
      <c r="B861" s="24"/>
      <c r="C861" s="24"/>
      <c r="D861" s="24"/>
      <c r="E861" s="24"/>
      <c r="F861" s="24"/>
      <c r="G861" s="117"/>
      <c r="H861" s="117"/>
      <c r="I861" s="118"/>
      <c r="J861" s="119"/>
      <c r="K861" s="119"/>
      <c r="L861" s="24"/>
      <c r="M861" s="24"/>
      <c r="N861" s="24"/>
      <c r="O861" s="24"/>
      <c r="P861" s="114"/>
      <c r="Q861" s="24"/>
      <c r="R861" s="24"/>
      <c r="S861" s="24"/>
      <c r="T861" s="24"/>
      <c r="U861" s="24"/>
      <c r="V861" s="24"/>
      <c r="W861" s="24"/>
      <c r="X861" s="24"/>
      <c r="Y861" s="24"/>
      <c r="Z861" s="24"/>
      <c r="AA861" s="24"/>
      <c r="AB861" s="24"/>
      <c r="AC861" s="24"/>
    </row>
    <row r="862" spans="1:29" ht="16.3">
      <c r="A862" s="24"/>
      <c r="B862" s="24"/>
      <c r="C862" s="24"/>
      <c r="D862" s="24"/>
      <c r="E862" s="24"/>
      <c r="F862" s="24"/>
      <c r="G862" s="117"/>
      <c r="H862" s="117"/>
      <c r="I862" s="118"/>
      <c r="J862" s="119"/>
      <c r="K862" s="119"/>
      <c r="L862" s="24"/>
      <c r="M862" s="24"/>
      <c r="N862" s="24"/>
      <c r="O862" s="24"/>
      <c r="P862" s="114"/>
      <c r="Q862" s="24"/>
      <c r="R862" s="24"/>
      <c r="S862" s="24"/>
      <c r="T862" s="24"/>
      <c r="U862" s="24"/>
      <c r="V862" s="24"/>
      <c r="W862" s="24"/>
      <c r="X862" s="24"/>
      <c r="Y862" s="24"/>
      <c r="Z862" s="24"/>
      <c r="AA862" s="24"/>
      <c r="AB862" s="24"/>
      <c r="AC862" s="24"/>
    </row>
    <row r="863" spans="1:29" ht="16.3">
      <c r="A863" s="24"/>
      <c r="B863" s="24"/>
      <c r="C863" s="24"/>
      <c r="D863" s="24"/>
      <c r="E863" s="24"/>
      <c r="F863" s="24"/>
      <c r="G863" s="117"/>
      <c r="H863" s="117"/>
      <c r="I863" s="118"/>
      <c r="J863" s="119"/>
      <c r="K863" s="119"/>
      <c r="L863" s="24"/>
      <c r="M863" s="24"/>
      <c r="N863" s="24"/>
      <c r="O863" s="24"/>
      <c r="P863" s="114"/>
      <c r="Q863" s="24"/>
      <c r="R863" s="24"/>
      <c r="S863" s="24"/>
      <c r="T863" s="24"/>
      <c r="U863" s="24"/>
      <c r="V863" s="24"/>
      <c r="W863" s="24"/>
      <c r="X863" s="24"/>
      <c r="Y863" s="24"/>
      <c r="Z863" s="24"/>
      <c r="AA863" s="24"/>
      <c r="AB863" s="24"/>
      <c r="AC863" s="24"/>
    </row>
    <row r="864" spans="1:29" ht="16.3">
      <c r="A864" s="24"/>
      <c r="B864" s="24"/>
      <c r="C864" s="24"/>
      <c r="D864" s="24"/>
      <c r="E864" s="24"/>
      <c r="F864" s="24"/>
      <c r="G864" s="117"/>
      <c r="H864" s="117"/>
      <c r="I864" s="118"/>
      <c r="J864" s="119"/>
      <c r="K864" s="119"/>
      <c r="L864" s="24"/>
      <c r="M864" s="24"/>
      <c r="N864" s="24"/>
      <c r="O864" s="24"/>
      <c r="P864" s="114"/>
      <c r="Q864" s="24"/>
      <c r="R864" s="24"/>
      <c r="S864" s="24"/>
      <c r="T864" s="24"/>
      <c r="U864" s="24"/>
      <c r="V864" s="24"/>
      <c r="W864" s="24"/>
      <c r="X864" s="24"/>
      <c r="Y864" s="24"/>
      <c r="Z864" s="24"/>
      <c r="AA864" s="24"/>
      <c r="AB864" s="24"/>
      <c r="AC864" s="24"/>
    </row>
    <row r="865" spans="1:29" ht="16.3">
      <c r="A865" s="24"/>
      <c r="B865" s="24"/>
      <c r="C865" s="24"/>
      <c r="D865" s="24"/>
      <c r="E865" s="24"/>
      <c r="F865" s="24"/>
      <c r="G865" s="117"/>
      <c r="H865" s="117"/>
      <c r="I865" s="118"/>
      <c r="J865" s="119"/>
      <c r="K865" s="119"/>
      <c r="L865" s="24"/>
      <c r="M865" s="24"/>
      <c r="N865" s="24"/>
      <c r="O865" s="24"/>
      <c r="P865" s="114"/>
      <c r="Q865" s="24"/>
      <c r="R865" s="24"/>
      <c r="S865" s="24"/>
      <c r="T865" s="24"/>
      <c r="U865" s="24"/>
      <c r="V865" s="24"/>
      <c r="W865" s="24"/>
      <c r="X865" s="24"/>
      <c r="Y865" s="24"/>
      <c r="Z865" s="24"/>
      <c r="AA865" s="24"/>
      <c r="AB865" s="24"/>
      <c r="AC865" s="24"/>
    </row>
    <row r="866" spans="1:29" ht="16.3">
      <c r="A866" s="24"/>
      <c r="B866" s="24"/>
      <c r="C866" s="24"/>
      <c r="D866" s="24"/>
      <c r="E866" s="24"/>
      <c r="F866" s="24"/>
      <c r="G866" s="117"/>
      <c r="H866" s="117"/>
      <c r="I866" s="118"/>
      <c r="J866" s="119"/>
      <c r="K866" s="119"/>
      <c r="L866" s="24"/>
      <c r="M866" s="24"/>
      <c r="N866" s="24"/>
      <c r="O866" s="24"/>
      <c r="P866" s="114"/>
      <c r="Q866" s="24"/>
      <c r="R866" s="24"/>
      <c r="S866" s="24"/>
      <c r="T866" s="24"/>
      <c r="U866" s="24"/>
      <c r="V866" s="24"/>
      <c r="W866" s="24"/>
      <c r="X866" s="24"/>
      <c r="Y866" s="24"/>
      <c r="Z866" s="24"/>
      <c r="AA866" s="24"/>
      <c r="AB866" s="24"/>
      <c r="AC866" s="24"/>
    </row>
    <row r="867" spans="1:29" ht="16.3">
      <c r="A867" s="24"/>
      <c r="B867" s="24"/>
      <c r="C867" s="24"/>
      <c r="D867" s="24"/>
      <c r="E867" s="24"/>
      <c r="F867" s="24"/>
      <c r="G867" s="117"/>
      <c r="H867" s="117"/>
      <c r="I867" s="118"/>
      <c r="J867" s="119"/>
      <c r="K867" s="119"/>
      <c r="L867" s="24"/>
      <c r="M867" s="24"/>
      <c r="N867" s="24"/>
      <c r="O867" s="24"/>
      <c r="P867" s="114"/>
      <c r="Q867" s="24"/>
      <c r="R867" s="24"/>
      <c r="S867" s="24"/>
      <c r="T867" s="24"/>
      <c r="U867" s="24"/>
      <c r="V867" s="24"/>
      <c r="W867" s="24"/>
      <c r="X867" s="24"/>
      <c r="Y867" s="24"/>
      <c r="Z867" s="24"/>
      <c r="AA867" s="24"/>
      <c r="AB867" s="24"/>
      <c r="AC867" s="24"/>
    </row>
    <row r="868" spans="1:29" ht="16.3">
      <c r="A868" s="24"/>
      <c r="B868" s="24"/>
      <c r="C868" s="24"/>
      <c r="D868" s="24"/>
      <c r="E868" s="24"/>
      <c r="F868" s="24"/>
      <c r="G868" s="117"/>
      <c r="H868" s="117"/>
      <c r="I868" s="118"/>
      <c r="J868" s="119"/>
      <c r="K868" s="119"/>
      <c r="L868" s="24"/>
      <c r="M868" s="24"/>
      <c r="N868" s="24"/>
      <c r="O868" s="24"/>
      <c r="P868" s="114"/>
      <c r="Q868" s="24"/>
      <c r="R868" s="24"/>
      <c r="S868" s="24"/>
      <c r="T868" s="24"/>
      <c r="U868" s="24"/>
      <c r="V868" s="24"/>
      <c r="W868" s="24"/>
      <c r="X868" s="24"/>
      <c r="Y868" s="24"/>
      <c r="Z868" s="24"/>
      <c r="AA868" s="24"/>
      <c r="AB868" s="24"/>
      <c r="AC868" s="24"/>
    </row>
    <row r="869" spans="1:29" ht="16.3">
      <c r="A869" s="24"/>
      <c r="B869" s="24"/>
      <c r="C869" s="24"/>
      <c r="D869" s="24"/>
      <c r="E869" s="24"/>
      <c r="F869" s="24"/>
      <c r="G869" s="117"/>
      <c r="H869" s="117"/>
      <c r="I869" s="118"/>
      <c r="J869" s="119"/>
      <c r="K869" s="119"/>
      <c r="L869" s="24"/>
      <c r="M869" s="24"/>
      <c r="N869" s="24"/>
      <c r="O869" s="24"/>
      <c r="P869" s="114"/>
      <c r="Q869" s="24"/>
      <c r="R869" s="24"/>
      <c r="S869" s="24"/>
      <c r="T869" s="24"/>
      <c r="U869" s="24"/>
      <c r="V869" s="24"/>
      <c r="W869" s="24"/>
      <c r="X869" s="24"/>
      <c r="Y869" s="24"/>
      <c r="Z869" s="24"/>
      <c r="AA869" s="24"/>
      <c r="AB869" s="24"/>
      <c r="AC869" s="24"/>
    </row>
    <row r="870" spans="1:29" ht="16.3">
      <c r="A870" s="24"/>
      <c r="B870" s="24"/>
      <c r="C870" s="24"/>
      <c r="D870" s="24"/>
      <c r="E870" s="24"/>
      <c r="F870" s="24"/>
      <c r="G870" s="117"/>
      <c r="H870" s="117"/>
      <c r="I870" s="118"/>
      <c r="J870" s="119"/>
      <c r="K870" s="119"/>
      <c r="L870" s="24"/>
      <c r="M870" s="24"/>
      <c r="N870" s="24"/>
      <c r="O870" s="24"/>
      <c r="P870" s="114"/>
      <c r="Q870" s="24"/>
      <c r="R870" s="24"/>
      <c r="S870" s="24"/>
      <c r="T870" s="24"/>
      <c r="U870" s="24"/>
      <c r="V870" s="24"/>
      <c r="W870" s="24"/>
      <c r="X870" s="24"/>
      <c r="Y870" s="24"/>
      <c r="Z870" s="24"/>
      <c r="AA870" s="24"/>
      <c r="AB870" s="24"/>
      <c r="AC870" s="24"/>
    </row>
    <row r="871" spans="1:29" ht="16.3">
      <c r="A871" s="24"/>
      <c r="B871" s="24"/>
      <c r="C871" s="24"/>
      <c r="D871" s="24"/>
      <c r="E871" s="24"/>
      <c r="F871" s="24"/>
      <c r="G871" s="117"/>
      <c r="H871" s="117"/>
      <c r="I871" s="118"/>
      <c r="J871" s="119"/>
      <c r="K871" s="119"/>
      <c r="L871" s="24"/>
      <c r="M871" s="24"/>
      <c r="N871" s="24"/>
      <c r="O871" s="24"/>
      <c r="P871" s="114"/>
      <c r="Q871" s="24"/>
      <c r="R871" s="24"/>
      <c r="S871" s="24"/>
      <c r="T871" s="24"/>
      <c r="U871" s="24"/>
      <c r="V871" s="24"/>
      <c r="W871" s="24"/>
      <c r="X871" s="24"/>
      <c r="Y871" s="24"/>
      <c r="Z871" s="24"/>
      <c r="AA871" s="24"/>
      <c r="AB871" s="24"/>
      <c r="AC871" s="24"/>
    </row>
    <row r="872" spans="1:29" ht="16.3">
      <c r="A872" s="24"/>
      <c r="B872" s="24"/>
      <c r="C872" s="24"/>
      <c r="D872" s="24"/>
      <c r="E872" s="24"/>
      <c r="F872" s="24"/>
      <c r="G872" s="117"/>
      <c r="H872" s="117"/>
      <c r="I872" s="118"/>
      <c r="J872" s="119"/>
      <c r="K872" s="119"/>
      <c r="L872" s="24"/>
      <c r="M872" s="24"/>
      <c r="N872" s="24"/>
      <c r="O872" s="24"/>
      <c r="P872" s="114"/>
      <c r="Q872" s="24"/>
      <c r="R872" s="24"/>
      <c r="S872" s="24"/>
      <c r="T872" s="24"/>
      <c r="U872" s="24"/>
      <c r="V872" s="24"/>
      <c r="W872" s="24"/>
      <c r="X872" s="24"/>
      <c r="Y872" s="24"/>
      <c r="Z872" s="24"/>
      <c r="AA872" s="24"/>
      <c r="AB872" s="24"/>
      <c r="AC872" s="24"/>
    </row>
    <row r="873" spans="1:29" ht="16.3">
      <c r="A873" s="24"/>
      <c r="B873" s="24"/>
      <c r="C873" s="24"/>
      <c r="D873" s="24"/>
      <c r="E873" s="24"/>
      <c r="F873" s="24"/>
      <c r="G873" s="117"/>
      <c r="H873" s="117"/>
      <c r="I873" s="118"/>
      <c r="J873" s="119"/>
      <c r="K873" s="119"/>
      <c r="L873" s="24"/>
      <c r="M873" s="24"/>
      <c r="N873" s="24"/>
      <c r="O873" s="24"/>
      <c r="P873" s="114"/>
      <c r="Q873" s="24"/>
      <c r="R873" s="24"/>
      <c r="S873" s="24"/>
      <c r="T873" s="24"/>
      <c r="U873" s="24"/>
      <c r="V873" s="24"/>
      <c r="W873" s="24"/>
      <c r="X873" s="24"/>
      <c r="Y873" s="24"/>
      <c r="Z873" s="24"/>
      <c r="AA873" s="24"/>
      <c r="AB873" s="24"/>
      <c r="AC873" s="24"/>
    </row>
    <row r="874" spans="1:29" ht="16.3">
      <c r="A874" s="24"/>
      <c r="B874" s="24"/>
      <c r="C874" s="24"/>
      <c r="D874" s="24"/>
      <c r="E874" s="24"/>
      <c r="F874" s="24"/>
      <c r="G874" s="117"/>
      <c r="H874" s="117"/>
      <c r="I874" s="118"/>
      <c r="J874" s="119"/>
      <c r="K874" s="119"/>
      <c r="L874" s="24"/>
      <c r="M874" s="24"/>
      <c r="N874" s="24"/>
      <c r="O874" s="24"/>
      <c r="P874" s="114"/>
      <c r="Q874" s="24"/>
      <c r="R874" s="24"/>
      <c r="S874" s="24"/>
      <c r="T874" s="24"/>
      <c r="U874" s="24"/>
      <c r="V874" s="24"/>
      <c r="W874" s="24"/>
      <c r="X874" s="24"/>
      <c r="Y874" s="24"/>
      <c r="Z874" s="24"/>
      <c r="AA874" s="24"/>
      <c r="AB874" s="24"/>
      <c r="AC874" s="24"/>
    </row>
    <row r="875" spans="1:29" ht="16.3">
      <c r="A875" s="24"/>
      <c r="B875" s="24"/>
      <c r="C875" s="24"/>
      <c r="D875" s="24"/>
      <c r="E875" s="24"/>
      <c r="F875" s="24"/>
      <c r="G875" s="117"/>
      <c r="H875" s="117"/>
      <c r="I875" s="118"/>
      <c r="J875" s="119"/>
      <c r="K875" s="119"/>
      <c r="L875" s="24"/>
      <c r="M875" s="24"/>
      <c r="N875" s="24"/>
      <c r="O875" s="24"/>
      <c r="P875" s="114"/>
      <c r="Q875" s="24"/>
      <c r="R875" s="24"/>
      <c r="S875" s="24"/>
      <c r="T875" s="24"/>
      <c r="U875" s="24"/>
      <c r="V875" s="24"/>
      <c r="W875" s="24"/>
      <c r="X875" s="24"/>
      <c r="Y875" s="24"/>
      <c r="Z875" s="24"/>
      <c r="AA875" s="24"/>
      <c r="AB875" s="24"/>
      <c r="AC875" s="24"/>
    </row>
    <row r="876" spans="1:29" ht="16.3">
      <c r="A876" s="24"/>
      <c r="B876" s="24"/>
      <c r="C876" s="24"/>
      <c r="D876" s="24"/>
      <c r="E876" s="24"/>
      <c r="F876" s="24"/>
      <c r="G876" s="117"/>
      <c r="H876" s="117"/>
      <c r="I876" s="118"/>
      <c r="J876" s="119"/>
      <c r="K876" s="119"/>
      <c r="L876" s="24"/>
      <c r="M876" s="24"/>
      <c r="N876" s="24"/>
      <c r="O876" s="24"/>
      <c r="P876" s="114"/>
      <c r="Q876" s="24"/>
      <c r="R876" s="24"/>
      <c r="S876" s="24"/>
      <c r="T876" s="24"/>
      <c r="U876" s="24"/>
      <c r="V876" s="24"/>
      <c r="W876" s="24"/>
      <c r="X876" s="24"/>
      <c r="Y876" s="24"/>
      <c r="Z876" s="24"/>
      <c r="AA876" s="24"/>
      <c r="AB876" s="24"/>
      <c r="AC876" s="24"/>
    </row>
    <row r="877" spans="1:29" ht="16.3">
      <c r="A877" s="24"/>
      <c r="B877" s="24"/>
      <c r="C877" s="24"/>
      <c r="D877" s="24"/>
      <c r="E877" s="24"/>
      <c r="F877" s="24"/>
      <c r="G877" s="117"/>
      <c r="H877" s="117"/>
      <c r="I877" s="118"/>
      <c r="J877" s="119"/>
      <c r="K877" s="119"/>
      <c r="L877" s="24"/>
      <c r="M877" s="24"/>
      <c r="N877" s="24"/>
      <c r="O877" s="24"/>
      <c r="P877" s="114"/>
      <c r="Q877" s="24"/>
      <c r="R877" s="24"/>
      <c r="S877" s="24"/>
      <c r="T877" s="24"/>
      <c r="U877" s="24"/>
      <c r="V877" s="24"/>
      <c r="W877" s="24"/>
      <c r="X877" s="24"/>
      <c r="Y877" s="24"/>
      <c r="Z877" s="24"/>
      <c r="AA877" s="24"/>
      <c r="AB877" s="24"/>
      <c r="AC877" s="24"/>
    </row>
    <row r="878" spans="1:29" ht="16.3">
      <c r="A878" s="24"/>
      <c r="B878" s="24"/>
      <c r="C878" s="24"/>
      <c r="D878" s="24"/>
      <c r="E878" s="24"/>
      <c r="F878" s="24"/>
      <c r="G878" s="117"/>
      <c r="H878" s="117"/>
      <c r="I878" s="118"/>
      <c r="J878" s="119"/>
      <c r="K878" s="119"/>
      <c r="L878" s="24"/>
      <c r="M878" s="24"/>
      <c r="N878" s="24"/>
      <c r="O878" s="24"/>
      <c r="P878" s="114"/>
      <c r="Q878" s="24"/>
      <c r="R878" s="24"/>
      <c r="S878" s="24"/>
      <c r="T878" s="24"/>
      <c r="U878" s="24"/>
      <c r="V878" s="24"/>
      <c r="W878" s="24"/>
      <c r="X878" s="24"/>
      <c r="Y878" s="24"/>
      <c r="Z878" s="24"/>
      <c r="AA878" s="24"/>
      <c r="AB878" s="24"/>
      <c r="AC878" s="24"/>
    </row>
    <row r="879" spans="1:29" ht="16.3">
      <c r="A879" s="24"/>
      <c r="B879" s="24"/>
      <c r="C879" s="24"/>
      <c r="D879" s="24"/>
      <c r="E879" s="24"/>
      <c r="F879" s="24"/>
      <c r="G879" s="117"/>
      <c r="H879" s="117"/>
      <c r="I879" s="118"/>
      <c r="J879" s="119"/>
      <c r="K879" s="119"/>
      <c r="L879" s="24"/>
      <c r="M879" s="24"/>
      <c r="N879" s="24"/>
      <c r="O879" s="24"/>
      <c r="P879" s="114"/>
      <c r="Q879" s="24"/>
      <c r="R879" s="24"/>
      <c r="S879" s="24"/>
      <c r="T879" s="24"/>
      <c r="U879" s="24"/>
      <c r="V879" s="24"/>
      <c r="W879" s="24"/>
      <c r="X879" s="24"/>
      <c r="Y879" s="24"/>
      <c r="Z879" s="24"/>
      <c r="AA879" s="24"/>
      <c r="AB879" s="24"/>
      <c r="AC879" s="24"/>
    </row>
    <row r="880" spans="1:29" ht="16.3">
      <c r="A880" s="24"/>
      <c r="B880" s="24"/>
      <c r="C880" s="24"/>
      <c r="D880" s="24"/>
      <c r="E880" s="24"/>
      <c r="F880" s="24"/>
      <c r="G880" s="117"/>
      <c r="H880" s="117"/>
      <c r="I880" s="118"/>
      <c r="J880" s="119"/>
      <c r="K880" s="119"/>
      <c r="L880" s="24"/>
      <c r="M880" s="24"/>
      <c r="N880" s="24"/>
      <c r="O880" s="24"/>
      <c r="P880" s="114"/>
      <c r="Q880" s="24"/>
      <c r="R880" s="24"/>
      <c r="S880" s="24"/>
      <c r="T880" s="24"/>
      <c r="U880" s="24"/>
      <c r="V880" s="24"/>
      <c r="W880" s="24"/>
      <c r="X880" s="24"/>
      <c r="Y880" s="24"/>
      <c r="Z880" s="24"/>
      <c r="AA880" s="24"/>
      <c r="AB880" s="24"/>
      <c r="AC880" s="24"/>
    </row>
    <row r="881" spans="1:29" ht="16.3">
      <c r="A881" s="24"/>
      <c r="B881" s="24"/>
      <c r="C881" s="24"/>
      <c r="D881" s="24"/>
      <c r="E881" s="24"/>
      <c r="F881" s="24"/>
      <c r="G881" s="117"/>
      <c r="H881" s="117"/>
      <c r="I881" s="118"/>
      <c r="J881" s="119"/>
      <c r="K881" s="119"/>
      <c r="L881" s="24"/>
      <c r="M881" s="24"/>
      <c r="N881" s="24"/>
      <c r="O881" s="24"/>
      <c r="P881" s="114"/>
      <c r="Q881" s="24"/>
      <c r="R881" s="24"/>
      <c r="S881" s="24"/>
      <c r="T881" s="24"/>
      <c r="U881" s="24"/>
      <c r="V881" s="24"/>
      <c r="W881" s="24"/>
      <c r="X881" s="24"/>
      <c r="Y881" s="24"/>
      <c r="Z881" s="24"/>
      <c r="AA881" s="24"/>
      <c r="AB881" s="24"/>
      <c r="AC881" s="24"/>
    </row>
    <row r="882" spans="1:29" ht="16.3">
      <c r="A882" s="24"/>
      <c r="B882" s="24"/>
      <c r="C882" s="24"/>
      <c r="D882" s="24"/>
      <c r="E882" s="24"/>
      <c r="F882" s="24"/>
      <c r="G882" s="117"/>
      <c r="H882" s="117"/>
      <c r="I882" s="118"/>
      <c r="J882" s="119"/>
      <c r="K882" s="119"/>
      <c r="L882" s="24"/>
      <c r="M882" s="24"/>
      <c r="N882" s="24"/>
      <c r="O882" s="24"/>
      <c r="P882" s="114"/>
      <c r="Q882" s="24"/>
      <c r="R882" s="24"/>
      <c r="S882" s="24"/>
      <c r="T882" s="24"/>
      <c r="U882" s="24"/>
      <c r="V882" s="24"/>
      <c r="W882" s="24"/>
      <c r="X882" s="24"/>
      <c r="Y882" s="24"/>
      <c r="Z882" s="24"/>
      <c r="AA882" s="24"/>
      <c r="AB882" s="24"/>
      <c r="AC882" s="24"/>
    </row>
    <row r="883" spans="1:29" ht="16.3">
      <c r="A883" s="24"/>
      <c r="B883" s="24"/>
      <c r="C883" s="24"/>
      <c r="D883" s="24"/>
      <c r="E883" s="24"/>
      <c r="F883" s="24"/>
      <c r="G883" s="117"/>
      <c r="H883" s="117"/>
      <c r="I883" s="118"/>
      <c r="J883" s="119"/>
      <c r="K883" s="119"/>
      <c r="L883" s="24"/>
      <c r="M883" s="24"/>
      <c r="N883" s="24"/>
      <c r="O883" s="24"/>
      <c r="P883" s="114"/>
      <c r="Q883" s="24"/>
      <c r="R883" s="24"/>
      <c r="S883" s="24"/>
      <c r="T883" s="24"/>
      <c r="U883" s="24"/>
      <c r="V883" s="24"/>
      <c r="W883" s="24"/>
      <c r="X883" s="24"/>
      <c r="Y883" s="24"/>
      <c r="Z883" s="24"/>
      <c r="AA883" s="24"/>
      <c r="AB883" s="24"/>
      <c r="AC883" s="24"/>
    </row>
    <row r="884" spans="1:29" ht="16.3">
      <c r="A884" s="24"/>
      <c r="B884" s="24"/>
      <c r="C884" s="24"/>
      <c r="D884" s="24"/>
      <c r="E884" s="24"/>
      <c r="F884" s="24"/>
      <c r="G884" s="117"/>
      <c r="H884" s="117"/>
      <c r="I884" s="118"/>
      <c r="J884" s="119"/>
      <c r="K884" s="119"/>
      <c r="L884" s="24"/>
      <c r="M884" s="24"/>
      <c r="N884" s="24"/>
      <c r="O884" s="24"/>
      <c r="P884" s="114"/>
      <c r="Q884" s="24"/>
      <c r="R884" s="24"/>
      <c r="S884" s="24"/>
      <c r="T884" s="24"/>
      <c r="U884" s="24"/>
      <c r="V884" s="24"/>
      <c r="W884" s="24"/>
      <c r="X884" s="24"/>
      <c r="Y884" s="24"/>
      <c r="Z884" s="24"/>
      <c r="AA884" s="24"/>
      <c r="AB884" s="24"/>
      <c r="AC884" s="24"/>
    </row>
    <row r="885" spans="1:29" ht="16.3">
      <c r="A885" s="24"/>
      <c r="B885" s="24"/>
      <c r="C885" s="24"/>
      <c r="D885" s="24"/>
      <c r="E885" s="24"/>
      <c r="F885" s="24"/>
      <c r="G885" s="117"/>
      <c r="H885" s="117"/>
      <c r="I885" s="118"/>
      <c r="J885" s="119"/>
      <c r="K885" s="119"/>
      <c r="L885" s="24"/>
      <c r="M885" s="24"/>
      <c r="N885" s="24"/>
      <c r="O885" s="24"/>
      <c r="P885" s="114"/>
      <c r="Q885" s="24"/>
      <c r="R885" s="24"/>
      <c r="S885" s="24"/>
      <c r="T885" s="24"/>
      <c r="U885" s="24"/>
      <c r="V885" s="24"/>
      <c r="W885" s="24"/>
      <c r="X885" s="24"/>
      <c r="Y885" s="24"/>
      <c r="Z885" s="24"/>
      <c r="AA885" s="24"/>
      <c r="AB885" s="24"/>
      <c r="AC885" s="24"/>
    </row>
    <row r="886" spans="1:29" ht="16.3">
      <c r="A886" s="24"/>
      <c r="B886" s="24"/>
      <c r="C886" s="24"/>
      <c r="D886" s="24"/>
      <c r="E886" s="24"/>
      <c r="F886" s="24"/>
      <c r="G886" s="117"/>
      <c r="H886" s="117"/>
      <c r="I886" s="118"/>
      <c r="J886" s="119"/>
      <c r="K886" s="119"/>
      <c r="L886" s="24"/>
      <c r="M886" s="24"/>
      <c r="N886" s="24"/>
      <c r="O886" s="24"/>
      <c r="P886" s="114"/>
      <c r="Q886" s="24"/>
      <c r="R886" s="24"/>
      <c r="S886" s="24"/>
      <c r="T886" s="24"/>
      <c r="U886" s="24"/>
      <c r="V886" s="24"/>
      <c r="W886" s="24"/>
      <c r="X886" s="24"/>
      <c r="Y886" s="24"/>
      <c r="Z886" s="24"/>
      <c r="AA886" s="24"/>
      <c r="AB886" s="24"/>
      <c r="AC886" s="24"/>
    </row>
    <row r="887" spans="1:29" ht="16.3">
      <c r="A887" s="24"/>
      <c r="B887" s="24"/>
      <c r="C887" s="24"/>
      <c r="D887" s="24"/>
      <c r="E887" s="24"/>
      <c r="F887" s="24"/>
      <c r="G887" s="117"/>
      <c r="H887" s="117"/>
      <c r="I887" s="118"/>
      <c r="J887" s="119"/>
      <c r="K887" s="119"/>
      <c r="L887" s="24"/>
      <c r="M887" s="24"/>
      <c r="N887" s="24"/>
      <c r="O887" s="24"/>
      <c r="P887" s="114"/>
      <c r="Q887" s="24"/>
      <c r="R887" s="24"/>
      <c r="S887" s="24"/>
      <c r="T887" s="24"/>
      <c r="U887" s="24"/>
      <c r="V887" s="24"/>
      <c r="W887" s="24"/>
      <c r="X887" s="24"/>
      <c r="Y887" s="24"/>
      <c r="Z887" s="24"/>
      <c r="AA887" s="24"/>
      <c r="AB887" s="24"/>
      <c r="AC887" s="24"/>
    </row>
    <row r="888" spans="1:29" ht="16.3">
      <c r="A888" s="24"/>
      <c r="B888" s="24"/>
      <c r="C888" s="24"/>
      <c r="D888" s="24"/>
      <c r="E888" s="24"/>
      <c r="F888" s="24"/>
      <c r="G888" s="117"/>
      <c r="H888" s="117"/>
      <c r="I888" s="118"/>
      <c r="J888" s="119"/>
      <c r="K888" s="119"/>
      <c r="L888" s="24"/>
      <c r="M888" s="24"/>
      <c r="N888" s="24"/>
      <c r="O888" s="24"/>
      <c r="P888" s="114"/>
      <c r="Q888" s="24"/>
      <c r="R888" s="24"/>
      <c r="S888" s="24"/>
      <c r="T888" s="24"/>
      <c r="U888" s="24"/>
      <c r="V888" s="24"/>
      <c r="W888" s="24"/>
      <c r="X888" s="24"/>
      <c r="Y888" s="24"/>
      <c r="Z888" s="24"/>
      <c r="AA888" s="24"/>
      <c r="AB888" s="24"/>
      <c r="AC888" s="24"/>
    </row>
    <row r="889" spans="1:29" ht="16.3">
      <c r="A889" s="24"/>
      <c r="B889" s="24"/>
      <c r="C889" s="24"/>
      <c r="D889" s="24"/>
      <c r="E889" s="24"/>
      <c r="F889" s="24"/>
      <c r="G889" s="117"/>
      <c r="H889" s="117"/>
      <c r="I889" s="118"/>
      <c r="J889" s="119"/>
      <c r="K889" s="119"/>
      <c r="L889" s="24"/>
      <c r="M889" s="24"/>
      <c r="N889" s="24"/>
      <c r="O889" s="24"/>
      <c r="P889" s="114"/>
      <c r="Q889" s="24"/>
      <c r="R889" s="24"/>
      <c r="S889" s="24"/>
      <c r="T889" s="24"/>
      <c r="U889" s="24"/>
      <c r="V889" s="24"/>
      <c r="W889" s="24"/>
      <c r="X889" s="24"/>
      <c r="Y889" s="24"/>
      <c r="Z889" s="24"/>
      <c r="AA889" s="24"/>
      <c r="AB889" s="24"/>
      <c r="AC889" s="24"/>
    </row>
    <row r="890" spans="1:29" ht="16.3">
      <c r="A890" s="24"/>
      <c r="B890" s="24"/>
      <c r="C890" s="24"/>
      <c r="D890" s="24"/>
      <c r="E890" s="24"/>
      <c r="F890" s="24"/>
      <c r="G890" s="117"/>
      <c r="H890" s="117"/>
      <c r="I890" s="118"/>
      <c r="J890" s="119"/>
      <c r="K890" s="119"/>
      <c r="L890" s="24"/>
      <c r="M890" s="24"/>
      <c r="N890" s="24"/>
      <c r="O890" s="24"/>
      <c r="P890" s="114"/>
      <c r="Q890" s="24"/>
      <c r="R890" s="24"/>
      <c r="S890" s="24"/>
      <c r="T890" s="24"/>
      <c r="U890" s="24"/>
      <c r="V890" s="24"/>
      <c r="W890" s="24"/>
      <c r="X890" s="24"/>
      <c r="Y890" s="24"/>
      <c r="Z890" s="24"/>
      <c r="AA890" s="24"/>
      <c r="AB890" s="24"/>
      <c r="AC890" s="24"/>
    </row>
    <row r="891" spans="1:29" ht="16.3">
      <c r="A891" s="24"/>
      <c r="B891" s="24"/>
      <c r="C891" s="24"/>
      <c r="D891" s="24"/>
      <c r="E891" s="24"/>
      <c r="F891" s="24"/>
      <c r="G891" s="117"/>
      <c r="H891" s="117"/>
      <c r="I891" s="118"/>
      <c r="J891" s="119"/>
      <c r="K891" s="119"/>
      <c r="L891" s="24"/>
      <c r="M891" s="24"/>
      <c r="N891" s="24"/>
      <c r="O891" s="24"/>
      <c r="P891" s="114"/>
      <c r="Q891" s="24"/>
      <c r="R891" s="24"/>
      <c r="S891" s="24"/>
      <c r="T891" s="24"/>
      <c r="U891" s="24"/>
      <c r="V891" s="24"/>
      <c r="W891" s="24"/>
      <c r="X891" s="24"/>
      <c r="Y891" s="24"/>
      <c r="Z891" s="24"/>
      <c r="AA891" s="24"/>
      <c r="AB891" s="24"/>
      <c r="AC891" s="24"/>
    </row>
    <row r="892" spans="1:29" ht="16.3">
      <c r="A892" s="24"/>
      <c r="B892" s="24"/>
      <c r="C892" s="24"/>
      <c r="D892" s="24"/>
      <c r="E892" s="24"/>
      <c r="F892" s="24"/>
      <c r="G892" s="117"/>
      <c r="H892" s="117"/>
      <c r="I892" s="118"/>
      <c r="J892" s="119"/>
      <c r="K892" s="119"/>
      <c r="L892" s="24"/>
      <c r="M892" s="24"/>
      <c r="N892" s="24"/>
      <c r="O892" s="24"/>
      <c r="P892" s="114"/>
      <c r="Q892" s="24"/>
      <c r="R892" s="24"/>
      <c r="S892" s="24"/>
      <c r="T892" s="24"/>
      <c r="U892" s="24"/>
      <c r="V892" s="24"/>
      <c r="W892" s="24"/>
      <c r="X892" s="24"/>
      <c r="Y892" s="24"/>
      <c r="Z892" s="24"/>
      <c r="AA892" s="24"/>
      <c r="AB892" s="24"/>
      <c r="AC892" s="24"/>
    </row>
    <row r="893" spans="1:29" ht="16.3">
      <c r="A893" s="24"/>
      <c r="B893" s="24"/>
      <c r="C893" s="24"/>
      <c r="D893" s="24"/>
      <c r="E893" s="24"/>
      <c r="F893" s="24"/>
      <c r="G893" s="117"/>
      <c r="H893" s="117"/>
      <c r="I893" s="118"/>
      <c r="J893" s="119"/>
      <c r="K893" s="119"/>
      <c r="L893" s="24"/>
      <c r="M893" s="24"/>
      <c r="N893" s="24"/>
      <c r="O893" s="24"/>
      <c r="P893" s="114"/>
      <c r="Q893" s="24"/>
      <c r="R893" s="24"/>
      <c r="S893" s="24"/>
      <c r="T893" s="24"/>
      <c r="U893" s="24"/>
      <c r="V893" s="24"/>
      <c r="W893" s="24"/>
      <c r="X893" s="24"/>
      <c r="Y893" s="24"/>
      <c r="Z893" s="24"/>
      <c r="AA893" s="24"/>
      <c r="AB893" s="24"/>
      <c r="AC893" s="24"/>
    </row>
    <row r="894" spans="1:29" ht="16.3">
      <c r="A894" s="24"/>
      <c r="B894" s="24"/>
      <c r="C894" s="24"/>
      <c r="D894" s="24"/>
      <c r="E894" s="24"/>
      <c r="F894" s="24"/>
      <c r="G894" s="117"/>
      <c r="H894" s="117"/>
      <c r="I894" s="118"/>
      <c r="J894" s="119"/>
      <c r="K894" s="119"/>
      <c r="L894" s="24"/>
      <c r="M894" s="24"/>
      <c r="N894" s="24"/>
      <c r="O894" s="24"/>
      <c r="P894" s="114"/>
      <c r="Q894" s="24"/>
      <c r="R894" s="24"/>
      <c r="S894" s="24"/>
      <c r="T894" s="24"/>
      <c r="U894" s="24"/>
      <c r="V894" s="24"/>
      <c r="W894" s="24"/>
      <c r="X894" s="24"/>
      <c r="Y894" s="24"/>
      <c r="Z894" s="24"/>
      <c r="AA894" s="24"/>
      <c r="AB894" s="24"/>
      <c r="AC894" s="24"/>
    </row>
    <row r="895" spans="1:29" ht="16.3">
      <c r="A895" s="24"/>
      <c r="B895" s="24"/>
      <c r="C895" s="24"/>
      <c r="D895" s="24"/>
      <c r="E895" s="24"/>
      <c r="F895" s="24"/>
      <c r="G895" s="117"/>
      <c r="H895" s="117"/>
      <c r="I895" s="118"/>
      <c r="J895" s="119"/>
      <c r="K895" s="119"/>
      <c r="L895" s="24"/>
      <c r="M895" s="24"/>
      <c r="N895" s="24"/>
      <c r="O895" s="24"/>
      <c r="P895" s="114"/>
      <c r="Q895" s="24"/>
      <c r="R895" s="24"/>
      <c r="S895" s="24"/>
      <c r="T895" s="24"/>
      <c r="U895" s="24"/>
      <c r="V895" s="24"/>
      <c r="W895" s="24"/>
      <c r="X895" s="24"/>
      <c r="Y895" s="24"/>
      <c r="Z895" s="24"/>
      <c r="AA895" s="24"/>
      <c r="AB895" s="24"/>
      <c r="AC895" s="24"/>
    </row>
    <row r="896" spans="1:29" ht="16.3">
      <c r="A896" s="24"/>
      <c r="B896" s="24"/>
      <c r="C896" s="24"/>
      <c r="D896" s="24"/>
      <c r="E896" s="24"/>
      <c r="F896" s="24"/>
      <c r="G896" s="117"/>
      <c r="H896" s="117"/>
      <c r="I896" s="118"/>
      <c r="J896" s="119"/>
      <c r="K896" s="119"/>
      <c r="L896" s="24"/>
      <c r="M896" s="24"/>
      <c r="N896" s="24"/>
      <c r="O896" s="24"/>
      <c r="P896" s="114"/>
      <c r="Q896" s="24"/>
      <c r="R896" s="24"/>
      <c r="S896" s="24"/>
      <c r="T896" s="24"/>
      <c r="U896" s="24"/>
      <c r="V896" s="24"/>
      <c r="W896" s="24"/>
      <c r="X896" s="24"/>
      <c r="Y896" s="24"/>
      <c r="Z896" s="24"/>
      <c r="AA896" s="24"/>
      <c r="AB896" s="24"/>
      <c r="AC896" s="24"/>
    </row>
    <row r="897" spans="1:29" ht="16.3">
      <c r="A897" s="24"/>
      <c r="B897" s="24"/>
      <c r="C897" s="24"/>
      <c r="D897" s="24"/>
      <c r="E897" s="24"/>
      <c r="F897" s="24"/>
      <c r="G897" s="117"/>
      <c r="H897" s="117"/>
      <c r="I897" s="118"/>
      <c r="J897" s="119"/>
      <c r="K897" s="119"/>
      <c r="L897" s="24"/>
      <c r="M897" s="24"/>
      <c r="N897" s="24"/>
      <c r="O897" s="24"/>
      <c r="P897" s="114"/>
      <c r="Q897" s="24"/>
      <c r="R897" s="24"/>
      <c r="S897" s="24"/>
      <c r="T897" s="24"/>
      <c r="U897" s="24"/>
      <c r="V897" s="24"/>
      <c r="W897" s="24"/>
      <c r="X897" s="24"/>
      <c r="Y897" s="24"/>
      <c r="Z897" s="24"/>
      <c r="AA897" s="24"/>
      <c r="AB897" s="24"/>
      <c r="AC897" s="24"/>
    </row>
    <row r="898" spans="1:29" ht="16.3">
      <c r="A898" s="24"/>
      <c r="B898" s="24"/>
      <c r="C898" s="24"/>
      <c r="D898" s="24"/>
      <c r="E898" s="24"/>
      <c r="F898" s="24"/>
      <c r="G898" s="117"/>
      <c r="H898" s="117"/>
      <c r="I898" s="118"/>
      <c r="J898" s="119"/>
      <c r="K898" s="119"/>
      <c r="L898" s="24"/>
      <c r="M898" s="24"/>
      <c r="N898" s="24"/>
      <c r="O898" s="24"/>
      <c r="P898" s="114"/>
      <c r="Q898" s="24"/>
      <c r="R898" s="24"/>
      <c r="S898" s="24"/>
      <c r="T898" s="24"/>
      <c r="U898" s="24"/>
      <c r="V898" s="24"/>
      <c r="W898" s="24"/>
      <c r="X898" s="24"/>
      <c r="Y898" s="24"/>
      <c r="Z898" s="24"/>
      <c r="AA898" s="24"/>
      <c r="AB898" s="24"/>
      <c r="AC898" s="24"/>
    </row>
    <row r="899" spans="1:29" ht="16.3">
      <c r="A899" s="24"/>
      <c r="B899" s="24"/>
      <c r="C899" s="24"/>
      <c r="D899" s="24"/>
      <c r="E899" s="24"/>
      <c r="F899" s="24"/>
      <c r="G899" s="117"/>
      <c r="H899" s="117"/>
      <c r="I899" s="118"/>
      <c r="J899" s="119"/>
      <c r="K899" s="119"/>
      <c r="L899" s="24"/>
      <c r="M899" s="24"/>
      <c r="N899" s="24"/>
      <c r="O899" s="24"/>
      <c r="P899" s="114"/>
      <c r="Q899" s="24"/>
      <c r="R899" s="24"/>
      <c r="S899" s="24"/>
      <c r="T899" s="24"/>
      <c r="U899" s="24"/>
      <c r="V899" s="24"/>
      <c r="W899" s="24"/>
      <c r="X899" s="24"/>
      <c r="Y899" s="24"/>
      <c r="Z899" s="24"/>
      <c r="AA899" s="24"/>
      <c r="AB899" s="24"/>
      <c r="AC899" s="24"/>
    </row>
    <row r="900" spans="1:29" ht="16.3">
      <c r="A900" s="24"/>
      <c r="B900" s="24"/>
      <c r="C900" s="24"/>
      <c r="D900" s="24"/>
      <c r="E900" s="24"/>
      <c r="F900" s="24"/>
      <c r="G900" s="117"/>
      <c r="H900" s="117"/>
      <c r="I900" s="118"/>
      <c r="J900" s="119"/>
      <c r="K900" s="119"/>
      <c r="L900" s="24"/>
      <c r="M900" s="24"/>
      <c r="N900" s="24"/>
      <c r="O900" s="24"/>
      <c r="P900" s="114"/>
      <c r="Q900" s="24"/>
      <c r="R900" s="24"/>
      <c r="S900" s="24"/>
      <c r="T900" s="24"/>
      <c r="U900" s="24"/>
      <c r="V900" s="24"/>
      <c r="W900" s="24"/>
      <c r="X900" s="24"/>
      <c r="Y900" s="24"/>
      <c r="Z900" s="24"/>
      <c r="AA900" s="24"/>
      <c r="AB900" s="24"/>
      <c r="AC900" s="24"/>
    </row>
    <row r="901" spans="1:29" ht="16.3">
      <c r="A901" s="24"/>
      <c r="B901" s="24"/>
      <c r="C901" s="24"/>
      <c r="D901" s="24"/>
      <c r="E901" s="24"/>
      <c r="F901" s="24"/>
      <c r="G901" s="117"/>
      <c r="H901" s="117"/>
      <c r="I901" s="118"/>
      <c r="J901" s="119"/>
      <c r="K901" s="119"/>
      <c r="L901" s="24"/>
      <c r="M901" s="24"/>
      <c r="N901" s="24"/>
      <c r="O901" s="24"/>
      <c r="P901" s="114"/>
      <c r="Q901" s="24"/>
      <c r="R901" s="24"/>
      <c r="S901" s="24"/>
      <c r="T901" s="24"/>
      <c r="U901" s="24"/>
      <c r="V901" s="24"/>
      <c r="W901" s="24"/>
      <c r="X901" s="24"/>
      <c r="Y901" s="24"/>
      <c r="Z901" s="24"/>
      <c r="AA901" s="24"/>
      <c r="AB901" s="24"/>
      <c r="AC901" s="24"/>
    </row>
    <row r="902" spans="1:29" ht="16.3">
      <c r="A902" s="24"/>
      <c r="B902" s="24"/>
      <c r="C902" s="24"/>
      <c r="D902" s="24"/>
      <c r="E902" s="24"/>
      <c r="F902" s="24"/>
      <c r="G902" s="117"/>
      <c r="H902" s="117"/>
      <c r="I902" s="118"/>
      <c r="J902" s="119"/>
      <c r="K902" s="119"/>
      <c r="L902" s="24"/>
      <c r="M902" s="24"/>
      <c r="N902" s="24"/>
      <c r="O902" s="24"/>
      <c r="P902" s="114"/>
      <c r="Q902" s="24"/>
      <c r="R902" s="24"/>
      <c r="S902" s="24"/>
      <c r="T902" s="24"/>
      <c r="U902" s="24"/>
      <c r="V902" s="24"/>
      <c r="W902" s="24"/>
      <c r="X902" s="24"/>
      <c r="Y902" s="24"/>
      <c r="Z902" s="24"/>
      <c r="AA902" s="24"/>
      <c r="AB902" s="24"/>
      <c r="AC902" s="24"/>
    </row>
    <row r="903" spans="1:29" ht="16.3">
      <c r="A903" s="24"/>
      <c r="B903" s="24"/>
      <c r="C903" s="24"/>
      <c r="D903" s="24"/>
      <c r="E903" s="24"/>
      <c r="F903" s="24"/>
      <c r="G903" s="117"/>
      <c r="H903" s="117"/>
      <c r="I903" s="118"/>
      <c r="J903" s="119"/>
      <c r="K903" s="119"/>
      <c r="L903" s="24"/>
      <c r="M903" s="24"/>
      <c r="N903" s="24"/>
      <c r="O903" s="24"/>
      <c r="P903" s="114"/>
      <c r="Q903" s="24"/>
      <c r="R903" s="24"/>
      <c r="S903" s="24"/>
      <c r="T903" s="24"/>
      <c r="U903" s="24"/>
      <c r="V903" s="24"/>
      <c r="W903" s="24"/>
      <c r="X903" s="24"/>
      <c r="Y903" s="24"/>
      <c r="Z903" s="24"/>
      <c r="AA903" s="24"/>
      <c r="AB903" s="24"/>
      <c r="AC903" s="24"/>
    </row>
    <row r="904" spans="1:29" ht="16.3">
      <c r="A904" s="24"/>
      <c r="B904" s="24"/>
      <c r="C904" s="24"/>
      <c r="D904" s="24"/>
      <c r="E904" s="24"/>
      <c r="F904" s="24"/>
      <c r="G904" s="117"/>
      <c r="H904" s="117"/>
      <c r="I904" s="118"/>
      <c r="J904" s="119"/>
      <c r="K904" s="119"/>
      <c r="L904" s="24"/>
      <c r="M904" s="24"/>
      <c r="N904" s="24"/>
      <c r="O904" s="24"/>
      <c r="P904" s="114"/>
      <c r="Q904" s="24"/>
      <c r="R904" s="24"/>
      <c r="S904" s="24"/>
      <c r="T904" s="24"/>
      <c r="U904" s="24"/>
      <c r="V904" s="24"/>
      <c r="W904" s="24"/>
      <c r="X904" s="24"/>
      <c r="Y904" s="24"/>
      <c r="Z904" s="24"/>
      <c r="AA904" s="24"/>
      <c r="AB904" s="24"/>
      <c r="AC904" s="24"/>
    </row>
    <row r="905" spans="1:29" ht="16.3">
      <c r="A905" s="24"/>
      <c r="B905" s="24"/>
      <c r="C905" s="24"/>
      <c r="D905" s="24"/>
      <c r="E905" s="24"/>
      <c r="F905" s="24"/>
      <c r="G905" s="117"/>
      <c r="H905" s="117"/>
      <c r="I905" s="118"/>
      <c r="J905" s="119"/>
      <c r="K905" s="119"/>
      <c r="L905" s="24"/>
      <c r="M905" s="24"/>
      <c r="N905" s="24"/>
      <c r="O905" s="24"/>
      <c r="P905" s="114"/>
      <c r="Q905" s="24"/>
      <c r="R905" s="24"/>
      <c r="S905" s="24"/>
      <c r="T905" s="24"/>
      <c r="U905" s="24"/>
      <c r="V905" s="24"/>
      <c r="W905" s="24"/>
      <c r="X905" s="24"/>
      <c r="Y905" s="24"/>
      <c r="Z905" s="24"/>
      <c r="AA905" s="24"/>
      <c r="AB905" s="24"/>
      <c r="AC905" s="24"/>
    </row>
    <row r="906" spans="1:29" ht="16.3">
      <c r="A906" s="24"/>
      <c r="B906" s="24"/>
      <c r="C906" s="24"/>
      <c r="D906" s="24"/>
      <c r="E906" s="24"/>
      <c r="F906" s="24"/>
      <c r="G906" s="117"/>
      <c r="H906" s="117"/>
      <c r="I906" s="118"/>
      <c r="J906" s="119"/>
      <c r="K906" s="119"/>
      <c r="L906" s="24"/>
      <c r="M906" s="24"/>
      <c r="N906" s="24"/>
      <c r="O906" s="24"/>
      <c r="P906" s="114"/>
      <c r="Q906" s="24"/>
      <c r="R906" s="24"/>
      <c r="S906" s="24"/>
      <c r="T906" s="24"/>
      <c r="U906" s="24"/>
      <c r="V906" s="24"/>
      <c r="W906" s="24"/>
      <c r="X906" s="24"/>
      <c r="Y906" s="24"/>
      <c r="Z906" s="24"/>
      <c r="AA906" s="24"/>
      <c r="AB906" s="24"/>
      <c r="AC906" s="24"/>
    </row>
    <row r="907" spans="1:29" ht="16.3">
      <c r="A907" s="24"/>
      <c r="B907" s="24"/>
      <c r="C907" s="24"/>
      <c r="D907" s="24"/>
      <c r="E907" s="24"/>
      <c r="F907" s="24"/>
      <c r="G907" s="117"/>
      <c r="H907" s="117"/>
      <c r="I907" s="118"/>
      <c r="J907" s="119"/>
      <c r="K907" s="119"/>
      <c r="L907" s="24"/>
      <c r="M907" s="24"/>
      <c r="N907" s="24"/>
      <c r="O907" s="24"/>
      <c r="P907" s="114"/>
      <c r="Q907" s="24"/>
      <c r="R907" s="24"/>
      <c r="S907" s="24"/>
      <c r="T907" s="24"/>
      <c r="U907" s="24"/>
      <c r="V907" s="24"/>
      <c r="W907" s="24"/>
      <c r="X907" s="24"/>
      <c r="Y907" s="24"/>
      <c r="Z907" s="24"/>
      <c r="AA907" s="24"/>
      <c r="AB907" s="24"/>
      <c r="AC907" s="24"/>
    </row>
    <row r="908" spans="1:29" ht="16.3">
      <c r="A908" s="24"/>
      <c r="B908" s="24"/>
      <c r="C908" s="24"/>
      <c r="D908" s="24"/>
      <c r="E908" s="24"/>
      <c r="F908" s="24"/>
      <c r="G908" s="117"/>
      <c r="H908" s="117"/>
      <c r="I908" s="118"/>
      <c r="J908" s="119"/>
      <c r="K908" s="119"/>
      <c r="L908" s="24"/>
      <c r="M908" s="24"/>
      <c r="N908" s="24"/>
      <c r="O908" s="24"/>
      <c r="P908" s="114"/>
      <c r="Q908" s="24"/>
      <c r="R908" s="24"/>
      <c r="S908" s="24"/>
      <c r="T908" s="24"/>
      <c r="U908" s="24"/>
      <c r="V908" s="24"/>
      <c r="W908" s="24"/>
      <c r="X908" s="24"/>
      <c r="Y908" s="24"/>
      <c r="Z908" s="24"/>
      <c r="AA908" s="24"/>
      <c r="AB908" s="24"/>
      <c r="AC908" s="24"/>
    </row>
    <row r="909" spans="1:29" ht="16.3">
      <c r="A909" s="24"/>
      <c r="B909" s="24"/>
      <c r="C909" s="24"/>
      <c r="D909" s="24"/>
      <c r="E909" s="24"/>
      <c r="F909" s="24"/>
      <c r="G909" s="117"/>
      <c r="H909" s="117"/>
      <c r="I909" s="118"/>
      <c r="J909" s="119"/>
      <c r="K909" s="119"/>
      <c r="L909" s="24"/>
      <c r="M909" s="24"/>
      <c r="N909" s="24"/>
      <c r="O909" s="24"/>
      <c r="P909" s="114"/>
      <c r="Q909" s="24"/>
      <c r="R909" s="24"/>
      <c r="S909" s="24"/>
      <c r="T909" s="24"/>
      <c r="U909" s="24"/>
      <c r="V909" s="24"/>
      <c r="W909" s="24"/>
      <c r="X909" s="24"/>
      <c r="Y909" s="24"/>
      <c r="Z909" s="24"/>
      <c r="AA909" s="24"/>
      <c r="AB909" s="24"/>
      <c r="AC909" s="24"/>
    </row>
    <row r="910" spans="1:29" ht="16.3">
      <c r="A910" s="24"/>
      <c r="B910" s="24"/>
      <c r="C910" s="24"/>
      <c r="D910" s="24"/>
      <c r="E910" s="24"/>
      <c r="F910" s="24"/>
      <c r="G910" s="117"/>
      <c r="H910" s="117"/>
      <c r="I910" s="118"/>
      <c r="J910" s="119"/>
      <c r="K910" s="119"/>
      <c r="L910" s="24"/>
      <c r="M910" s="24"/>
      <c r="N910" s="24"/>
      <c r="O910" s="24"/>
      <c r="P910" s="114"/>
      <c r="Q910" s="24"/>
      <c r="R910" s="24"/>
      <c r="S910" s="24"/>
      <c r="T910" s="24"/>
      <c r="U910" s="24"/>
      <c r="V910" s="24"/>
      <c r="W910" s="24"/>
      <c r="X910" s="24"/>
      <c r="Y910" s="24"/>
      <c r="Z910" s="24"/>
      <c r="AA910" s="24"/>
      <c r="AB910" s="24"/>
      <c r="AC910" s="24"/>
    </row>
    <row r="911" spans="1:29" ht="16.3">
      <c r="A911" s="24"/>
      <c r="B911" s="24"/>
      <c r="C911" s="24"/>
      <c r="D911" s="24"/>
      <c r="E911" s="24"/>
      <c r="F911" s="24"/>
      <c r="G911" s="117"/>
      <c r="H911" s="117"/>
      <c r="I911" s="118"/>
      <c r="J911" s="119"/>
      <c r="K911" s="119"/>
      <c r="L911" s="24"/>
      <c r="M911" s="24"/>
      <c r="N911" s="24"/>
      <c r="O911" s="24"/>
      <c r="P911" s="114"/>
      <c r="Q911" s="24"/>
      <c r="R911" s="24"/>
      <c r="S911" s="24"/>
      <c r="T911" s="24"/>
      <c r="U911" s="24"/>
      <c r="V911" s="24"/>
      <c r="W911" s="24"/>
      <c r="X911" s="24"/>
      <c r="Y911" s="24"/>
      <c r="Z911" s="24"/>
      <c r="AA911" s="24"/>
      <c r="AB911" s="24"/>
      <c r="AC911" s="24"/>
    </row>
    <row r="912" spans="1:29" ht="16.3">
      <c r="A912" s="24"/>
      <c r="B912" s="24"/>
      <c r="C912" s="24"/>
      <c r="D912" s="24"/>
      <c r="E912" s="24"/>
      <c r="F912" s="24"/>
      <c r="G912" s="117"/>
      <c r="H912" s="117"/>
      <c r="I912" s="118"/>
      <c r="J912" s="119"/>
      <c r="K912" s="119"/>
      <c r="L912" s="24"/>
      <c r="M912" s="24"/>
      <c r="N912" s="24"/>
      <c r="O912" s="24"/>
      <c r="P912" s="114"/>
      <c r="Q912" s="24"/>
      <c r="R912" s="24"/>
      <c r="S912" s="24"/>
      <c r="T912" s="24"/>
      <c r="U912" s="24"/>
      <c r="V912" s="24"/>
      <c r="W912" s="24"/>
      <c r="X912" s="24"/>
      <c r="Y912" s="24"/>
      <c r="Z912" s="24"/>
      <c r="AA912" s="24"/>
      <c r="AB912" s="24"/>
      <c r="AC912" s="24"/>
    </row>
    <row r="913" spans="1:29" ht="16.3">
      <c r="A913" s="24"/>
      <c r="B913" s="24"/>
      <c r="C913" s="24"/>
      <c r="D913" s="24"/>
      <c r="E913" s="24"/>
      <c r="F913" s="24"/>
      <c r="G913" s="117"/>
      <c r="H913" s="117"/>
      <c r="I913" s="118"/>
      <c r="J913" s="119"/>
      <c r="K913" s="119"/>
      <c r="L913" s="24"/>
      <c r="M913" s="24"/>
      <c r="N913" s="24"/>
      <c r="O913" s="24"/>
      <c r="P913" s="114"/>
      <c r="Q913" s="24"/>
      <c r="R913" s="24"/>
      <c r="S913" s="24"/>
      <c r="T913" s="24"/>
      <c r="U913" s="24"/>
      <c r="V913" s="24"/>
      <c r="W913" s="24"/>
      <c r="X913" s="24"/>
      <c r="Y913" s="24"/>
      <c r="Z913" s="24"/>
      <c r="AA913" s="24"/>
      <c r="AB913" s="24"/>
      <c r="AC913" s="24"/>
    </row>
    <row r="914" spans="1:29" ht="16.3">
      <c r="A914" s="24"/>
      <c r="B914" s="24"/>
      <c r="C914" s="24"/>
      <c r="D914" s="24"/>
      <c r="E914" s="24"/>
      <c r="F914" s="24"/>
      <c r="G914" s="117"/>
      <c r="H914" s="117"/>
      <c r="I914" s="118"/>
      <c r="J914" s="119"/>
      <c r="K914" s="119"/>
      <c r="L914" s="24"/>
      <c r="M914" s="24"/>
      <c r="N914" s="24"/>
      <c r="O914" s="24"/>
      <c r="P914" s="114"/>
      <c r="Q914" s="24"/>
      <c r="R914" s="24"/>
      <c r="S914" s="24"/>
      <c r="T914" s="24"/>
      <c r="U914" s="24"/>
      <c r="V914" s="24"/>
      <c r="W914" s="24"/>
      <c r="X914" s="24"/>
      <c r="Y914" s="24"/>
      <c r="Z914" s="24"/>
      <c r="AA914" s="24"/>
      <c r="AB914" s="24"/>
      <c r="AC914" s="24"/>
    </row>
    <row r="915" spans="1:29" ht="16.3">
      <c r="A915" s="24"/>
      <c r="B915" s="24"/>
      <c r="C915" s="24"/>
      <c r="D915" s="24"/>
      <c r="E915" s="24"/>
      <c r="F915" s="24"/>
      <c r="G915" s="117"/>
      <c r="H915" s="117"/>
      <c r="I915" s="118"/>
      <c r="J915" s="119"/>
      <c r="K915" s="119"/>
      <c r="L915" s="24"/>
      <c r="M915" s="24"/>
      <c r="N915" s="24"/>
      <c r="O915" s="24"/>
      <c r="P915" s="114"/>
      <c r="Q915" s="24"/>
      <c r="R915" s="24"/>
      <c r="S915" s="24"/>
      <c r="T915" s="24"/>
      <c r="U915" s="24"/>
      <c r="V915" s="24"/>
      <c r="W915" s="24"/>
      <c r="X915" s="24"/>
      <c r="Y915" s="24"/>
      <c r="Z915" s="24"/>
      <c r="AA915" s="24"/>
      <c r="AB915" s="24"/>
      <c r="AC915" s="24"/>
    </row>
    <row r="916" spans="1:29" ht="16.3">
      <c r="A916" s="24"/>
      <c r="B916" s="24"/>
      <c r="C916" s="24"/>
      <c r="D916" s="24"/>
      <c r="E916" s="24"/>
      <c r="F916" s="24"/>
      <c r="G916" s="117"/>
      <c r="H916" s="117"/>
      <c r="I916" s="118"/>
      <c r="J916" s="119"/>
      <c r="K916" s="119"/>
      <c r="L916" s="24"/>
      <c r="M916" s="24"/>
      <c r="N916" s="24"/>
      <c r="O916" s="24"/>
      <c r="P916" s="114"/>
      <c r="Q916" s="24"/>
      <c r="R916" s="24"/>
      <c r="S916" s="24"/>
      <c r="T916" s="24"/>
      <c r="U916" s="24"/>
      <c r="V916" s="24"/>
      <c r="W916" s="24"/>
      <c r="X916" s="24"/>
      <c r="Y916" s="24"/>
      <c r="Z916" s="24"/>
      <c r="AA916" s="24"/>
      <c r="AB916" s="24"/>
      <c r="AC916" s="24"/>
    </row>
    <row r="917" spans="1:29" ht="16.3">
      <c r="A917" s="24"/>
      <c r="B917" s="24"/>
      <c r="C917" s="24"/>
      <c r="D917" s="24"/>
      <c r="E917" s="24"/>
      <c r="F917" s="24"/>
      <c r="G917" s="117"/>
      <c r="H917" s="117"/>
      <c r="I917" s="118"/>
      <c r="J917" s="119"/>
      <c r="K917" s="119"/>
      <c r="L917" s="24"/>
      <c r="M917" s="24"/>
      <c r="N917" s="24"/>
      <c r="O917" s="24"/>
      <c r="P917" s="114"/>
      <c r="Q917" s="24"/>
      <c r="R917" s="24"/>
      <c r="S917" s="24"/>
      <c r="T917" s="24"/>
      <c r="U917" s="24"/>
      <c r="V917" s="24"/>
      <c r="W917" s="24"/>
      <c r="X917" s="24"/>
      <c r="Y917" s="24"/>
      <c r="Z917" s="24"/>
      <c r="AA917" s="24"/>
      <c r="AB917" s="24"/>
      <c r="AC917" s="24"/>
    </row>
    <row r="918" spans="1:29" ht="16.3">
      <c r="A918" s="24"/>
      <c r="B918" s="24"/>
      <c r="C918" s="24"/>
      <c r="D918" s="24"/>
      <c r="E918" s="24"/>
      <c r="F918" s="24"/>
      <c r="G918" s="117"/>
      <c r="H918" s="117"/>
      <c r="I918" s="118"/>
      <c r="J918" s="119"/>
      <c r="K918" s="119"/>
      <c r="L918" s="24"/>
      <c r="M918" s="24"/>
      <c r="N918" s="24"/>
      <c r="O918" s="24"/>
      <c r="P918" s="114"/>
      <c r="Q918" s="24"/>
      <c r="R918" s="24"/>
      <c r="S918" s="24"/>
      <c r="T918" s="24"/>
      <c r="U918" s="24"/>
      <c r="V918" s="24"/>
      <c r="W918" s="24"/>
      <c r="X918" s="24"/>
      <c r="Y918" s="24"/>
      <c r="Z918" s="24"/>
      <c r="AA918" s="24"/>
      <c r="AB918" s="24"/>
      <c r="AC918" s="24"/>
    </row>
    <row r="919" spans="1:29" ht="16.3">
      <c r="A919" s="24"/>
      <c r="B919" s="24"/>
      <c r="C919" s="24"/>
      <c r="D919" s="24"/>
      <c r="E919" s="24"/>
      <c r="F919" s="24"/>
      <c r="G919" s="117"/>
      <c r="H919" s="117"/>
      <c r="I919" s="118"/>
      <c r="J919" s="119"/>
      <c r="K919" s="119"/>
      <c r="L919" s="24"/>
      <c r="M919" s="24"/>
      <c r="N919" s="24"/>
      <c r="O919" s="24"/>
      <c r="P919" s="114"/>
      <c r="Q919" s="24"/>
      <c r="R919" s="24"/>
      <c r="S919" s="24"/>
      <c r="T919" s="24"/>
      <c r="U919" s="24"/>
      <c r="V919" s="24"/>
      <c r="W919" s="24"/>
      <c r="X919" s="24"/>
      <c r="Y919" s="24"/>
      <c r="Z919" s="24"/>
      <c r="AA919" s="24"/>
      <c r="AB919" s="24"/>
      <c r="AC919" s="24"/>
    </row>
    <row r="920" spans="1:29" ht="16.3">
      <c r="A920" s="24"/>
      <c r="B920" s="24"/>
      <c r="C920" s="24"/>
      <c r="D920" s="24"/>
      <c r="E920" s="24"/>
      <c r="F920" s="24"/>
      <c r="G920" s="117"/>
      <c r="H920" s="117"/>
      <c r="I920" s="118"/>
      <c r="J920" s="119"/>
      <c r="K920" s="119"/>
      <c r="L920" s="24"/>
      <c r="M920" s="24"/>
      <c r="N920" s="24"/>
      <c r="O920" s="24"/>
      <c r="P920" s="114"/>
      <c r="Q920" s="24"/>
      <c r="R920" s="24"/>
      <c r="S920" s="24"/>
      <c r="T920" s="24"/>
      <c r="U920" s="24"/>
      <c r="V920" s="24"/>
      <c r="W920" s="24"/>
      <c r="X920" s="24"/>
      <c r="Y920" s="24"/>
      <c r="Z920" s="24"/>
      <c r="AA920" s="24"/>
      <c r="AB920" s="24"/>
      <c r="AC920" s="24"/>
    </row>
    <row r="921" spans="1:29" ht="16.3">
      <c r="A921" s="24"/>
      <c r="B921" s="24"/>
      <c r="C921" s="24"/>
      <c r="D921" s="24"/>
      <c r="E921" s="24"/>
      <c r="F921" s="24"/>
      <c r="G921" s="117"/>
      <c r="H921" s="117"/>
      <c r="I921" s="118"/>
      <c r="J921" s="119"/>
      <c r="K921" s="119"/>
      <c r="L921" s="24"/>
      <c r="M921" s="24"/>
      <c r="N921" s="24"/>
      <c r="O921" s="24"/>
      <c r="P921" s="114"/>
      <c r="Q921" s="24"/>
      <c r="R921" s="24"/>
      <c r="S921" s="24"/>
      <c r="T921" s="24"/>
      <c r="U921" s="24"/>
      <c r="V921" s="24"/>
      <c r="W921" s="24"/>
      <c r="X921" s="24"/>
      <c r="Y921" s="24"/>
      <c r="Z921" s="24"/>
      <c r="AA921" s="24"/>
      <c r="AB921" s="24"/>
      <c r="AC921" s="24"/>
    </row>
    <row r="922" spans="1:29" ht="16.3">
      <c r="A922" s="24"/>
      <c r="B922" s="24"/>
      <c r="C922" s="24"/>
      <c r="D922" s="24"/>
      <c r="E922" s="24"/>
      <c r="F922" s="24"/>
      <c r="G922" s="117"/>
      <c r="H922" s="117"/>
      <c r="I922" s="118"/>
      <c r="J922" s="119"/>
      <c r="K922" s="119"/>
      <c r="L922" s="24"/>
      <c r="M922" s="24"/>
      <c r="N922" s="24"/>
      <c r="O922" s="24"/>
      <c r="P922" s="114"/>
      <c r="Q922" s="24"/>
      <c r="R922" s="24"/>
      <c r="S922" s="24"/>
      <c r="T922" s="24"/>
      <c r="U922" s="24"/>
      <c r="V922" s="24"/>
      <c r="W922" s="24"/>
      <c r="X922" s="24"/>
      <c r="Y922" s="24"/>
      <c r="Z922" s="24"/>
      <c r="AA922" s="24"/>
      <c r="AB922" s="24"/>
      <c r="AC922" s="24"/>
    </row>
    <row r="923" spans="1:29" ht="16.3">
      <c r="A923" s="24"/>
      <c r="B923" s="24"/>
      <c r="C923" s="24"/>
      <c r="D923" s="24"/>
      <c r="E923" s="24"/>
      <c r="F923" s="24"/>
      <c r="G923" s="117"/>
      <c r="H923" s="117"/>
      <c r="I923" s="118"/>
      <c r="J923" s="119"/>
      <c r="K923" s="119"/>
      <c r="L923" s="24"/>
      <c r="M923" s="24"/>
      <c r="N923" s="24"/>
      <c r="O923" s="24"/>
      <c r="P923" s="114"/>
      <c r="Q923" s="24"/>
      <c r="R923" s="24"/>
      <c r="S923" s="24"/>
      <c r="T923" s="24"/>
      <c r="U923" s="24"/>
      <c r="V923" s="24"/>
      <c r="W923" s="24"/>
      <c r="X923" s="24"/>
      <c r="Y923" s="24"/>
      <c r="Z923" s="24"/>
      <c r="AA923" s="24"/>
      <c r="AB923" s="24"/>
      <c r="AC923" s="24"/>
    </row>
    <row r="924" spans="1:29" ht="16.3">
      <c r="A924" s="24"/>
      <c r="B924" s="24"/>
      <c r="C924" s="24"/>
      <c r="D924" s="24"/>
      <c r="E924" s="24"/>
      <c r="F924" s="24"/>
      <c r="G924" s="117"/>
      <c r="H924" s="117"/>
      <c r="I924" s="118"/>
      <c r="J924" s="119"/>
      <c r="K924" s="119"/>
      <c r="L924" s="24"/>
      <c r="M924" s="24"/>
      <c r="N924" s="24"/>
      <c r="O924" s="24"/>
      <c r="P924" s="114"/>
      <c r="Q924" s="24"/>
      <c r="R924" s="24"/>
      <c r="S924" s="24"/>
      <c r="T924" s="24"/>
      <c r="U924" s="24"/>
      <c r="V924" s="24"/>
      <c r="W924" s="24"/>
      <c r="X924" s="24"/>
      <c r="Y924" s="24"/>
      <c r="Z924" s="24"/>
      <c r="AA924" s="24"/>
      <c r="AB924" s="24"/>
      <c r="AC924" s="24"/>
    </row>
    <row r="925" spans="1:29" ht="16.3">
      <c r="A925" s="24"/>
      <c r="B925" s="24"/>
      <c r="C925" s="24"/>
      <c r="D925" s="24"/>
      <c r="E925" s="24"/>
      <c r="F925" s="24"/>
      <c r="G925" s="117"/>
      <c r="H925" s="117"/>
      <c r="I925" s="118"/>
      <c r="J925" s="119"/>
      <c r="K925" s="119"/>
      <c r="L925" s="24"/>
      <c r="M925" s="24"/>
      <c r="N925" s="24"/>
      <c r="O925" s="24"/>
      <c r="P925" s="114"/>
      <c r="Q925" s="24"/>
      <c r="R925" s="24"/>
      <c r="S925" s="24"/>
      <c r="T925" s="24"/>
      <c r="U925" s="24"/>
      <c r="V925" s="24"/>
      <c r="W925" s="24"/>
      <c r="X925" s="24"/>
      <c r="Y925" s="24"/>
      <c r="Z925" s="24"/>
      <c r="AA925" s="24"/>
      <c r="AB925" s="24"/>
      <c r="AC925" s="24"/>
    </row>
    <row r="926" spans="1:29" ht="16.3">
      <c r="A926" s="24"/>
      <c r="B926" s="24"/>
      <c r="C926" s="24"/>
      <c r="D926" s="24"/>
      <c r="E926" s="24"/>
      <c r="F926" s="24"/>
      <c r="G926" s="117"/>
      <c r="H926" s="117"/>
      <c r="I926" s="118"/>
      <c r="J926" s="119"/>
      <c r="K926" s="119"/>
      <c r="L926" s="24"/>
      <c r="M926" s="24"/>
      <c r="N926" s="24"/>
      <c r="O926" s="24"/>
      <c r="P926" s="114"/>
      <c r="Q926" s="24"/>
      <c r="R926" s="24"/>
      <c r="S926" s="24"/>
      <c r="T926" s="24"/>
      <c r="U926" s="24"/>
      <c r="V926" s="24"/>
      <c r="W926" s="24"/>
      <c r="X926" s="24"/>
      <c r="Y926" s="24"/>
      <c r="Z926" s="24"/>
      <c r="AA926" s="24"/>
      <c r="AB926" s="24"/>
      <c r="AC926" s="24"/>
    </row>
    <row r="927" spans="1:29" ht="16.3">
      <c r="A927" s="24"/>
      <c r="B927" s="24"/>
      <c r="C927" s="24"/>
      <c r="D927" s="24"/>
      <c r="E927" s="24"/>
      <c r="F927" s="24"/>
      <c r="G927" s="117"/>
      <c r="H927" s="117"/>
      <c r="I927" s="118"/>
      <c r="J927" s="119"/>
      <c r="K927" s="119"/>
      <c r="L927" s="24"/>
      <c r="M927" s="24"/>
      <c r="N927" s="24"/>
      <c r="O927" s="24"/>
      <c r="P927" s="114"/>
      <c r="Q927" s="24"/>
      <c r="R927" s="24"/>
      <c r="S927" s="24"/>
      <c r="T927" s="24"/>
      <c r="U927" s="24"/>
      <c r="V927" s="24"/>
      <c r="W927" s="24"/>
      <c r="X927" s="24"/>
      <c r="Y927" s="24"/>
      <c r="Z927" s="24"/>
      <c r="AA927" s="24"/>
      <c r="AB927" s="24"/>
      <c r="AC927" s="24"/>
    </row>
    <row r="928" spans="1:29" ht="16.3">
      <c r="A928" s="24"/>
      <c r="B928" s="24"/>
      <c r="C928" s="24"/>
      <c r="D928" s="24"/>
      <c r="E928" s="24"/>
      <c r="F928" s="24"/>
      <c r="G928" s="117"/>
      <c r="H928" s="117"/>
      <c r="I928" s="118"/>
      <c r="J928" s="119"/>
      <c r="K928" s="119"/>
      <c r="L928" s="24"/>
      <c r="M928" s="24"/>
      <c r="N928" s="24"/>
      <c r="O928" s="24"/>
      <c r="P928" s="114"/>
      <c r="Q928" s="24"/>
      <c r="R928" s="24"/>
      <c r="S928" s="24"/>
      <c r="T928" s="24"/>
      <c r="U928" s="24"/>
      <c r="V928" s="24"/>
      <c r="W928" s="24"/>
      <c r="X928" s="24"/>
      <c r="Y928" s="24"/>
      <c r="Z928" s="24"/>
      <c r="AA928" s="24"/>
      <c r="AB928" s="24"/>
      <c r="AC928" s="24"/>
    </row>
    <row r="929" spans="1:29" ht="16.3">
      <c r="A929" s="24"/>
      <c r="B929" s="24"/>
      <c r="C929" s="24"/>
      <c r="D929" s="24"/>
      <c r="E929" s="24"/>
      <c r="F929" s="24"/>
      <c r="G929" s="117"/>
      <c r="H929" s="117"/>
      <c r="I929" s="118"/>
      <c r="J929" s="119"/>
      <c r="K929" s="119"/>
      <c r="L929" s="24"/>
      <c r="M929" s="24"/>
      <c r="N929" s="24"/>
      <c r="O929" s="24"/>
      <c r="P929" s="114"/>
      <c r="Q929" s="24"/>
      <c r="R929" s="24"/>
      <c r="S929" s="24"/>
      <c r="T929" s="24"/>
      <c r="U929" s="24"/>
      <c r="V929" s="24"/>
      <c r="W929" s="24"/>
      <c r="X929" s="24"/>
      <c r="Y929" s="24"/>
      <c r="Z929" s="24"/>
      <c r="AA929" s="24"/>
      <c r="AB929" s="24"/>
      <c r="AC929" s="24"/>
    </row>
    <row r="930" spans="1:29" ht="16.3">
      <c r="A930" s="24"/>
      <c r="B930" s="24"/>
      <c r="C930" s="24"/>
      <c r="D930" s="24"/>
      <c r="E930" s="24"/>
      <c r="F930" s="24"/>
      <c r="G930" s="117"/>
      <c r="H930" s="117"/>
      <c r="I930" s="118"/>
      <c r="J930" s="119"/>
      <c r="K930" s="119"/>
      <c r="L930" s="24"/>
      <c r="M930" s="24"/>
      <c r="N930" s="24"/>
      <c r="O930" s="24"/>
      <c r="P930" s="114"/>
      <c r="Q930" s="24"/>
      <c r="R930" s="24"/>
      <c r="S930" s="24"/>
      <c r="T930" s="24"/>
      <c r="U930" s="24"/>
      <c r="V930" s="24"/>
      <c r="W930" s="24"/>
      <c r="X930" s="24"/>
      <c r="Y930" s="24"/>
      <c r="Z930" s="24"/>
      <c r="AA930" s="24"/>
      <c r="AB930" s="24"/>
      <c r="AC930" s="24"/>
    </row>
    <row r="931" spans="1:29" ht="16.3">
      <c r="A931" s="24"/>
      <c r="B931" s="24"/>
      <c r="C931" s="24"/>
      <c r="D931" s="24"/>
      <c r="E931" s="24"/>
      <c r="F931" s="24"/>
      <c r="G931" s="117"/>
      <c r="H931" s="117"/>
      <c r="I931" s="118"/>
      <c r="J931" s="119"/>
      <c r="K931" s="119"/>
      <c r="L931" s="24"/>
      <c r="M931" s="24"/>
      <c r="N931" s="24"/>
      <c r="O931" s="24"/>
      <c r="P931" s="114"/>
      <c r="Q931" s="24"/>
      <c r="R931" s="24"/>
      <c r="S931" s="24"/>
      <c r="T931" s="24"/>
      <c r="U931" s="24"/>
      <c r="V931" s="24"/>
      <c r="W931" s="24"/>
      <c r="X931" s="24"/>
      <c r="Y931" s="24"/>
      <c r="Z931" s="24"/>
      <c r="AA931" s="24"/>
      <c r="AB931" s="24"/>
      <c r="AC931" s="24"/>
    </row>
    <row r="932" spans="1:29" ht="16.3">
      <c r="A932" s="24"/>
      <c r="B932" s="24"/>
      <c r="C932" s="24"/>
      <c r="D932" s="24"/>
      <c r="E932" s="24"/>
      <c r="F932" s="24"/>
      <c r="G932" s="117"/>
      <c r="H932" s="117"/>
      <c r="I932" s="118"/>
      <c r="J932" s="119"/>
      <c r="K932" s="119"/>
      <c r="L932" s="24"/>
      <c r="M932" s="24"/>
      <c r="N932" s="24"/>
      <c r="O932" s="24"/>
      <c r="P932" s="114"/>
      <c r="Q932" s="24"/>
      <c r="R932" s="24"/>
      <c r="S932" s="24"/>
      <c r="T932" s="24"/>
      <c r="U932" s="24"/>
      <c r="V932" s="24"/>
      <c r="W932" s="24"/>
      <c r="X932" s="24"/>
      <c r="Y932" s="24"/>
      <c r="Z932" s="24"/>
      <c r="AA932" s="24"/>
      <c r="AB932" s="24"/>
      <c r="AC932" s="24"/>
    </row>
    <row r="933" spans="1:29" ht="16.3">
      <c r="A933" s="24"/>
      <c r="B933" s="24"/>
      <c r="C933" s="24"/>
      <c r="D933" s="24"/>
      <c r="E933" s="24"/>
      <c r="F933" s="24"/>
      <c r="G933" s="117"/>
      <c r="H933" s="117"/>
      <c r="I933" s="118"/>
      <c r="J933" s="119"/>
      <c r="K933" s="119"/>
      <c r="L933" s="24"/>
      <c r="M933" s="24"/>
      <c r="N933" s="24"/>
      <c r="O933" s="24"/>
      <c r="P933" s="114"/>
      <c r="Q933" s="24"/>
      <c r="R933" s="24"/>
      <c r="S933" s="24"/>
      <c r="T933" s="24"/>
      <c r="U933" s="24"/>
      <c r="V933" s="24"/>
      <c r="W933" s="24"/>
      <c r="X933" s="24"/>
      <c r="Y933" s="24"/>
      <c r="Z933" s="24"/>
      <c r="AA933" s="24"/>
      <c r="AB933" s="24"/>
      <c r="AC933" s="24"/>
    </row>
    <row r="934" spans="1:29" ht="16.3">
      <c r="A934" s="24"/>
      <c r="B934" s="24"/>
      <c r="C934" s="24"/>
      <c r="D934" s="24"/>
      <c r="E934" s="24"/>
      <c r="F934" s="24"/>
      <c r="G934" s="117"/>
      <c r="H934" s="117"/>
      <c r="I934" s="118"/>
      <c r="J934" s="119"/>
      <c r="K934" s="119"/>
      <c r="L934" s="24"/>
      <c r="M934" s="24"/>
      <c r="N934" s="24"/>
      <c r="O934" s="24"/>
      <c r="P934" s="114"/>
      <c r="Q934" s="24"/>
      <c r="R934" s="24"/>
      <c r="S934" s="24"/>
      <c r="T934" s="24"/>
      <c r="U934" s="24"/>
      <c r="V934" s="24"/>
      <c r="W934" s="24"/>
      <c r="X934" s="24"/>
      <c r="Y934" s="24"/>
      <c r="Z934" s="24"/>
      <c r="AA934" s="24"/>
      <c r="AB934" s="24"/>
      <c r="AC934" s="24"/>
    </row>
    <row r="935" spans="1:29" ht="16.3">
      <c r="A935" s="24"/>
      <c r="B935" s="24"/>
      <c r="C935" s="24"/>
      <c r="D935" s="24"/>
      <c r="E935" s="24"/>
      <c r="F935" s="24"/>
      <c r="G935" s="117"/>
      <c r="H935" s="117"/>
      <c r="I935" s="118"/>
      <c r="J935" s="119"/>
      <c r="K935" s="119"/>
      <c r="L935" s="24"/>
      <c r="M935" s="24"/>
      <c r="N935" s="24"/>
      <c r="O935" s="24"/>
      <c r="P935" s="114"/>
      <c r="Q935" s="24"/>
      <c r="R935" s="24"/>
      <c r="S935" s="24"/>
      <c r="T935" s="24"/>
      <c r="U935" s="24"/>
      <c r="V935" s="24"/>
      <c r="W935" s="24"/>
      <c r="X935" s="24"/>
      <c r="Y935" s="24"/>
      <c r="Z935" s="24"/>
      <c r="AA935" s="24"/>
      <c r="AB935" s="24"/>
      <c r="AC935" s="24"/>
    </row>
    <row r="936" spans="1:29" ht="16.3">
      <c r="A936" s="24"/>
      <c r="B936" s="24"/>
      <c r="C936" s="24"/>
      <c r="D936" s="24"/>
      <c r="E936" s="24"/>
      <c r="F936" s="24"/>
      <c r="G936" s="117"/>
      <c r="H936" s="117"/>
      <c r="I936" s="118"/>
      <c r="J936" s="119"/>
      <c r="K936" s="119"/>
      <c r="L936" s="24"/>
      <c r="M936" s="24"/>
      <c r="N936" s="24"/>
      <c r="O936" s="24"/>
      <c r="P936" s="114"/>
      <c r="Q936" s="24"/>
      <c r="R936" s="24"/>
      <c r="S936" s="24"/>
      <c r="T936" s="24"/>
      <c r="U936" s="24"/>
      <c r="V936" s="24"/>
      <c r="W936" s="24"/>
      <c r="X936" s="24"/>
      <c r="Y936" s="24"/>
      <c r="Z936" s="24"/>
      <c r="AA936" s="24"/>
      <c r="AB936" s="24"/>
      <c r="AC936" s="24"/>
    </row>
    <row r="937" spans="1:29" ht="16.3">
      <c r="A937" s="24"/>
      <c r="B937" s="24"/>
      <c r="C937" s="24"/>
      <c r="D937" s="24"/>
      <c r="E937" s="24"/>
      <c r="F937" s="24"/>
      <c r="G937" s="117"/>
      <c r="H937" s="117"/>
      <c r="I937" s="118"/>
      <c r="J937" s="119"/>
      <c r="K937" s="119"/>
      <c r="L937" s="24"/>
      <c r="M937" s="24"/>
      <c r="N937" s="24"/>
      <c r="O937" s="24"/>
      <c r="P937" s="114"/>
      <c r="Q937" s="24"/>
      <c r="R937" s="24"/>
      <c r="S937" s="24"/>
      <c r="T937" s="24"/>
      <c r="U937" s="24"/>
      <c r="V937" s="24"/>
      <c r="W937" s="24"/>
      <c r="X937" s="24"/>
      <c r="Y937" s="24"/>
      <c r="Z937" s="24"/>
      <c r="AA937" s="24"/>
      <c r="AB937" s="24"/>
      <c r="AC937" s="24"/>
    </row>
    <row r="938" spans="1:29" ht="16.3">
      <c r="A938" s="24"/>
      <c r="B938" s="24"/>
      <c r="C938" s="24"/>
      <c r="D938" s="24"/>
      <c r="E938" s="24"/>
      <c r="F938" s="24"/>
      <c r="G938" s="117"/>
      <c r="H938" s="117"/>
      <c r="I938" s="118"/>
      <c r="J938" s="119"/>
      <c r="K938" s="119"/>
      <c r="L938" s="24"/>
      <c r="M938" s="24"/>
      <c r="N938" s="24"/>
      <c r="O938" s="24"/>
      <c r="P938" s="114"/>
      <c r="Q938" s="24"/>
      <c r="R938" s="24"/>
      <c r="S938" s="24"/>
      <c r="T938" s="24"/>
      <c r="U938" s="24"/>
      <c r="V938" s="24"/>
      <c r="W938" s="24"/>
      <c r="X938" s="24"/>
      <c r="Y938" s="24"/>
      <c r="Z938" s="24"/>
      <c r="AA938" s="24"/>
      <c r="AB938" s="24"/>
      <c r="AC938" s="24"/>
    </row>
    <row r="939" spans="1:29" ht="16.3">
      <c r="A939" s="24"/>
      <c r="B939" s="24"/>
      <c r="C939" s="24"/>
      <c r="D939" s="24"/>
      <c r="E939" s="24"/>
      <c r="F939" s="24"/>
      <c r="G939" s="117"/>
      <c r="H939" s="117"/>
      <c r="I939" s="118"/>
      <c r="J939" s="119"/>
      <c r="K939" s="119"/>
      <c r="L939" s="24"/>
      <c r="M939" s="24"/>
      <c r="N939" s="24"/>
      <c r="O939" s="24"/>
      <c r="P939" s="114"/>
      <c r="Q939" s="24"/>
      <c r="R939" s="24"/>
      <c r="S939" s="24"/>
      <c r="T939" s="24"/>
      <c r="U939" s="24"/>
      <c r="V939" s="24"/>
      <c r="W939" s="24"/>
      <c r="X939" s="24"/>
      <c r="Y939" s="24"/>
      <c r="Z939" s="24"/>
      <c r="AA939" s="24"/>
      <c r="AB939" s="24"/>
      <c r="AC939" s="24"/>
    </row>
    <row r="940" spans="1:29" ht="16.3">
      <c r="A940" s="24"/>
      <c r="B940" s="24"/>
      <c r="C940" s="24"/>
      <c r="D940" s="24"/>
      <c r="E940" s="24"/>
      <c r="F940" s="24"/>
      <c r="G940" s="117"/>
      <c r="H940" s="117"/>
      <c r="I940" s="118"/>
      <c r="J940" s="119"/>
      <c r="K940" s="119"/>
      <c r="L940" s="24"/>
      <c r="M940" s="24"/>
      <c r="N940" s="24"/>
      <c r="O940" s="24"/>
      <c r="P940" s="114"/>
      <c r="Q940" s="24"/>
      <c r="R940" s="24"/>
      <c r="S940" s="24"/>
      <c r="T940" s="24"/>
      <c r="U940" s="24"/>
      <c r="V940" s="24"/>
      <c r="W940" s="24"/>
      <c r="X940" s="24"/>
      <c r="Y940" s="24"/>
      <c r="Z940" s="24"/>
      <c r="AA940" s="24"/>
      <c r="AB940" s="24"/>
      <c r="AC940" s="24"/>
    </row>
    <row r="941" spans="1:29" ht="16.3">
      <c r="A941" s="24"/>
      <c r="B941" s="24"/>
      <c r="C941" s="24"/>
      <c r="D941" s="24"/>
      <c r="E941" s="24"/>
      <c r="F941" s="24"/>
      <c r="G941" s="117"/>
      <c r="H941" s="117"/>
      <c r="I941" s="118"/>
      <c r="J941" s="119"/>
      <c r="K941" s="119"/>
      <c r="L941" s="24"/>
      <c r="M941" s="24"/>
      <c r="N941" s="24"/>
      <c r="O941" s="24"/>
      <c r="P941" s="114"/>
      <c r="Q941" s="24"/>
      <c r="R941" s="24"/>
      <c r="S941" s="24"/>
      <c r="T941" s="24"/>
      <c r="U941" s="24"/>
      <c r="V941" s="24"/>
      <c r="W941" s="24"/>
      <c r="X941" s="24"/>
      <c r="Y941" s="24"/>
      <c r="Z941" s="24"/>
      <c r="AA941" s="24"/>
      <c r="AB941" s="24"/>
      <c r="AC941" s="24"/>
    </row>
    <row r="942" spans="1:29" ht="16.3">
      <c r="A942" s="24"/>
      <c r="B942" s="24"/>
      <c r="C942" s="24"/>
      <c r="D942" s="24"/>
      <c r="E942" s="24"/>
      <c r="F942" s="24"/>
      <c r="G942" s="117"/>
      <c r="H942" s="117"/>
      <c r="I942" s="118"/>
      <c r="J942" s="119"/>
      <c r="K942" s="119"/>
      <c r="L942" s="24"/>
      <c r="M942" s="24"/>
      <c r="N942" s="24"/>
      <c r="O942" s="24"/>
      <c r="P942" s="114"/>
      <c r="Q942" s="24"/>
      <c r="R942" s="24"/>
      <c r="S942" s="24"/>
      <c r="T942" s="24"/>
      <c r="U942" s="24"/>
      <c r="V942" s="24"/>
      <c r="W942" s="24"/>
      <c r="X942" s="24"/>
      <c r="Y942" s="24"/>
      <c r="Z942" s="24"/>
      <c r="AA942" s="24"/>
      <c r="AB942" s="24"/>
      <c r="AC942" s="24"/>
    </row>
    <row r="943" spans="1:29" ht="16.3">
      <c r="A943" s="24"/>
      <c r="B943" s="24"/>
      <c r="C943" s="24"/>
      <c r="D943" s="24"/>
      <c r="E943" s="24"/>
      <c r="F943" s="24"/>
      <c r="G943" s="117"/>
      <c r="H943" s="117"/>
      <c r="I943" s="118"/>
      <c r="J943" s="119"/>
      <c r="K943" s="119"/>
      <c r="L943" s="24"/>
      <c r="M943" s="24"/>
      <c r="N943" s="24"/>
      <c r="O943" s="24"/>
      <c r="P943" s="114"/>
      <c r="Q943" s="24"/>
      <c r="R943" s="24"/>
      <c r="S943" s="24"/>
      <c r="T943" s="24"/>
      <c r="U943" s="24"/>
      <c r="V943" s="24"/>
      <c r="W943" s="24"/>
      <c r="X943" s="24"/>
      <c r="Y943" s="24"/>
      <c r="Z943" s="24"/>
      <c r="AA943" s="24"/>
      <c r="AB943" s="24"/>
      <c r="AC943" s="24"/>
    </row>
    <row r="944" spans="1:29" ht="16.3">
      <c r="A944" s="24"/>
      <c r="B944" s="24"/>
      <c r="C944" s="24"/>
      <c r="D944" s="24"/>
      <c r="E944" s="24"/>
      <c r="F944" s="24"/>
      <c r="G944" s="117"/>
      <c r="H944" s="117"/>
      <c r="I944" s="118"/>
      <c r="J944" s="119"/>
      <c r="K944" s="119"/>
      <c r="L944" s="24"/>
      <c r="M944" s="24"/>
      <c r="N944" s="24"/>
      <c r="O944" s="24"/>
      <c r="P944" s="114"/>
      <c r="Q944" s="24"/>
      <c r="R944" s="24"/>
      <c r="S944" s="24"/>
      <c r="T944" s="24"/>
      <c r="U944" s="24"/>
      <c r="V944" s="24"/>
      <c r="W944" s="24"/>
      <c r="X944" s="24"/>
      <c r="Y944" s="24"/>
      <c r="Z944" s="24"/>
      <c r="AA944" s="24"/>
      <c r="AB944" s="24"/>
      <c r="AC944" s="24"/>
    </row>
    <row r="945" spans="1:29" ht="16.3">
      <c r="A945" s="24"/>
      <c r="B945" s="24"/>
      <c r="C945" s="24"/>
      <c r="D945" s="24"/>
      <c r="E945" s="24"/>
      <c r="F945" s="24"/>
      <c r="G945" s="117"/>
      <c r="H945" s="117"/>
      <c r="I945" s="118"/>
      <c r="J945" s="119"/>
      <c r="K945" s="119"/>
      <c r="L945" s="24"/>
      <c r="M945" s="24"/>
      <c r="N945" s="24"/>
      <c r="O945" s="24"/>
      <c r="P945" s="114"/>
      <c r="Q945" s="24"/>
      <c r="R945" s="24"/>
      <c r="S945" s="24"/>
      <c r="T945" s="24"/>
      <c r="U945" s="24"/>
      <c r="V945" s="24"/>
      <c r="W945" s="24"/>
      <c r="X945" s="24"/>
      <c r="Y945" s="24"/>
      <c r="Z945" s="24"/>
      <c r="AA945" s="24"/>
      <c r="AB945" s="24"/>
      <c r="AC945" s="24"/>
    </row>
    <row r="946" spans="1:29" ht="16.3">
      <c r="A946" s="24"/>
      <c r="B946" s="24"/>
      <c r="C946" s="24"/>
      <c r="D946" s="24"/>
      <c r="E946" s="24"/>
      <c r="F946" s="24"/>
      <c r="G946" s="117"/>
      <c r="H946" s="117"/>
      <c r="I946" s="118"/>
      <c r="J946" s="119"/>
      <c r="K946" s="119"/>
      <c r="L946" s="24"/>
      <c r="M946" s="24"/>
      <c r="N946" s="24"/>
      <c r="O946" s="24"/>
      <c r="P946" s="114"/>
      <c r="Q946" s="24"/>
      <c r="R946" s="24"/>
      <c r="S946" s="24"/>
      <c r="T946" s="24"/>
      <c r="U946" s="24"/>
      <c r="V946" s="24"/>
      <c r="W946" s="24"/>
      <c r="X946" s="24"/>
      <c r="Y946" s="24"/>
      <c r="Z946" s="24"/>
      <c r="AA946" s="24"/>
      <c r="AB946" s="24"/>
      <c r="AC946" s="24"/>
    </row>
    <row r="947" spans="1:29" ht="16.3">
      <c r="A947" s="24"/>
      <c r="B947" s="24"/>
      <c r="C947" s="24"/>
      <c r="D947" s="24"/>
      <c r="E947" s="24"/>
      <c r="F947" s="24"/>
      <c r="G947" s="117"/>
      <c r="H947" s="117"/>
      <c r="I947" s="118"/>
      <c r="J947" s="119"/>
      <c r="K947" s="119"/>
      <c r="L947" s="24"/>
      <c r="M947" s="24"/>
      <c r="N947" s="24"/>
      <c r="O947" s="24"/>
      <c r="P947" s="114"/>
      <c r="Q947" s="24"/>
      <c r="R947" s="24"/>
      <c r="S947" s="24"/>
      <c r="T947" s="24"/>
      <c r="U947" s="24"/>
      <c r="V947" s="24"/>
      <c r="W947" s="24"/>
      <c r="X947" s="24"/>
      <c r="Y947" s="24"/>
      <c r="Z947" s="24"/>
      <c r="AA947" s="24"/>
      <c r="AB947" s="24"/>
      <c r="AC947" s="24"/>
    </row>
    <row r="948" spans="1:29" ht="16.3">
      <c r="A948" s="24"/>
      <c r="B948" s="24"/>
      <c r="C948" s="24"/>
      <c r="D948" s="24"/>
      <c r="E948" s="24"/>
      <c r="F948" s="24"/>
      <c r="G948" s="117"/>
      <c r="H948" s="117"/>
      <c r="I948" s="118"/>
      <c r="J948" s="119"/>
      <c r="K948" s="119"/>
      <c r="L948" s="24"/>
      <c r="M948" s="24"/>
      <c r="N948" s="24"/>
      <c r="O948" s="24"/>
      <c r="P948" s="114"/>
      <c r="Q948" s="24"/>
      <c r="R948" s="24"/>
      <c r="S948" s="24"/>
      <c r="T948" s="24"/>
      <c r="U948" s="24"/>
      <c r="V948" s="24"/>
      <c r="W948" s="24"/>
      <c r="X948" s="24"/>
      <c r="Y948" s="24"/>
      <c r="Z948" s="24"/>
      <c r="AA948" s="24"/>
      <c r="AB948" s="24"/>
      <c r="AC948" s="24"/>
    </row>
    <row r="949" spans="1:29" ht="16.3">
      <c r="A949" s="24"/>
      <c r="B949" s="24"/>
      <c r="C949" s="24"/>
      <c r="D949" s="24"/>
      <c r="E949" s="24"/>
      <c r="F949" s="24"/>
      <c r="G949" s="117"/>
      <c r="H949" s="117"/>
      <c r="I949" s="118"/>
      <c r="J949" s="119"/>
      <c r="K949" s="119"/>
      <c r="L949" s="24"/>
      <c r="M949" s="24"/>
      <c r="N949" s="24"/>
      <c r="O949" s="24"/>
      <c r="P949" s="114"/>
      <c r="Q949" s="24"/>
      <c r="R949" s="24"/>
      <c r="S949" s="24"/>
      <c r="T949" s="24"/>
      <c r="U949" s="24"/>
      <c r="V949" s="24"/>
      <c r="W949" s="24"/>
      <c r="X949" s="24"/>
      <c r="Y949" s="24"/>
      <c r="Z949" s="24"/>
      <c r="AA949" s="24"/>
      <c r="AB949" s="24"/>
      <c r="AC949" s="24"/>
    </row>
    <row r="950" spans="1:29" ht="16.3">
      <c r="A950" s="24"/>
      <c r="B950" s="24"/>
      <c r="C950" s="24"/>
      <c r="D950" s="24"/>
      <c r="E950" s="24"/>
      <c r="F950" s="24"/>
      <c r="G950" s="117"/>
      <c r="H950" s="117"/>
      <c r="I950" s="118"/>
      <c r="J950" s="119"/>
      <c r="K950" s="119"/>
      <c r="L950" s="24"/>
      <c r="M950" s="24"/>
      <c r="N950" s="24"/>
      <c r="O950" s="24"/>
      <c r="P950" s="114"/>
      <c r="Q950" s="24"/>
      <c r="R950" s="24"/>
      <c r="S950" s="24"/>
      <c r="T950" s="24"/>
      <c r="U950" s="24"/>
      <c r="V950" s="24"/>
      <c r="W950" s="24"/>
      <c r="X950" s="24"/>
      <c r="Y950" s="24"/>
      <c r="Z950" s="24"/>
      <c r="AA950" s="24"/>
      <c r="AB950" s="24"/>
      <c r="AC950" s="24"/>
    </row>
    <row r="951" spans="1:29" ht="16.3">
      <c r="A951" s="24"/>
      <c r="B951" s="24"/>
      <c r="C951" s="24"/>
      <c r="D951" s="24"/>
      <c r="E951" s="24"/>
      <c r="F951" s="24"/>
      <c r="G951" s="117"/>
      <c r="H951" s="117"/>
      <c r="I951" s="118"/>
      <c r="J951" s="119"/>
      <c r="K951" s="119"/>
      <c r="L951" s="24"/>
      <c r="M951" s="24"/>
      <c r="N951" s="24"/>
      <c r="O951" s="24"/>
      <c r="P951" s="114"/>
      <c r="Q951" s="24"/>
      <c r="R951" s="24"/>
      <c r="S951" s="24"/>
      <c r="T951" s="24"/>
      <c r="U951" s="24"/>
      <c r="V951" s="24"/>
      <c r="W951" s="24"/>
      <c r="X951" s="24"/>
      <c r="Y951" s="24"/>
      <c r="Z951" s="24"/>
      <c r="AA951" s="24"/>
      <c r="AB951" s="24"/>
      <c r="AC951" s="24"/>
    </row>
    <row r="952" spans="1:29" ht="16.3">
      <c r="A952" s="24"/>
      <c r="B952" s="24"/>
      <c r="C952" s="24"/>
      <c r="D952" s="24"/>
      <c r="E952" s="24"/>
      <c r="F952" s="24"/>
      <c r="G952" s="117"/>
      <c r="H952" s="117"/>
      <c r="I952" s="118"/>
      <c r="J952" s="119"/>
      <c r="K952" s="119"/>
      <c r="L952" s="24"/>
      <c r="M952" s="24"/>
      <c r="N952" s="24"/>
      <c r="O952" s="24"/>
      <c r="P952" s="114"/>
      <c r="Q952" s="24"/>
      <c r="R952" s="24"/>
      <c r="S952" s="24"/>
      <c r="T952" s="24"/>
      <c r="U952" s="24"/>
      <c r="V952" s="24"/>
      <c r="W952" s="24"/>
      <c r="X952" s="24"/>
      <c r="Y952" s="24"/>
      <c r="Z952" s="24"/>
      <c r="AA952" s="24"/>
      <c r="AB952" s="24"/>
      <c r="AC952" s="24"/>
    </row>
    <row r="953" spans="1:29" ht="16.3">
      <c r="A953" s="24"/>
      <c r="B953" s="24"/>
      <c r="C953" s="24"/>
      <c r="D953" s="24"/>
      <c r="E953" s="24"/>
      <c r="F953" s="24"/>
      <c r="G953" s="117"/>
      <c r="H953" s="117"/>
      <c r="I953" s="118"/>
      <c r="J953" s="119"/>
      <c r="K953" s="119"/>
      <c r="L953" s="24"/>
      <c r="M953" s="24"/>
      <c r="N953" s="24"/>
      <c r="O953" s="24"/>
      <c r="P953" s="114"/>
      <c r="Q953" s="24"/>
      <c r="R953" s="24"/>
      <c r="S953" s="24"/>
      <c r="T953" s="24"/>
      <c r="U953" s="24"/>
      <c r="V953" s="24"/>
      <c r="W953" s="24"/>
      <c r="X953" s="24"/>
      <c r="Y953" s="24"/>
      <c r="Z953" s="24"/>
      <c r="AA953" s="24"/>
      <c r="AB953" s="24"/>
      <c r="AC953" s="24"/>
    </row>
    <row r="954" spans="1:29" ht="16.3">
      <c r="A954" s="24"/>
      <c r="B954" s="24"/>
      <c r="C954" s="24"/>
      <c r="D954" s="24"/>
      <c r="E954" s="24"/>
      <c r="F954" s="24"/>
      <c r="G954" s="117"/>
      <c r="H954" s="117"/>
      <c r="I954" s="118"/>
      <c r="J954" s="119"/>
      <c r="K954" s="119"/>
      <c r="L954" s="24"/>
      <c r="M954" s="24"/>
      <c r="N954" s="24"/>
      <c r="O954" s="24"/>
      <c r="P954" s="114"/>
      <c r="Q954" s="24"/>
      <c r="R954" s="24"/>
      <c r="S954" s="24"/>
      <c r="T954" s="24"/>
      <c r="U954" s="24"/>
      <c r="V954" s="24"/>
      <c r="W954" s="24"/>
      <c r="X954" s="24"/>
      <c r="Y954" s="24"/>
      <c r="Z954" s="24"/>
      <c r="AA954" s="24"/>
      <c r="AB954" s="24"/>
      <c r="AC954" s="24"/>
    </row>
    <row r="955" spans="1:29" ht="16.3">
      <c r="A955" s="24"/>
      <c r="B955" s="24"/>
      <c r="C955" s="24"/>
      <c r="D955" s="24"/>
      <c r="E955" s="24"/>
      <c r="F955" s="24"/>
      <c r="G955" s="117"/>
      <c r="H955" s="117"/>
      <c r="I955" s="118"/>
      <c r="J955" s="119"/>
      <c r="K955" s="119"/>
      <c r="L955" s="24"/>
      <c r="M955" s="24"/>
      <c r="N955" s="24"/>
      <c r="O955" s="24"/>
      <c r="P955" s="114"/>
      <c r="Q955" s="24"/>
      <c r="R955" s="24"/>
      <c r="S955" s="24"/>
      <c r="T955" s="24"/>
      <c r="U955" s="24"/>
      <c r="V955" s="24"/>
      <c r="W955" s="24"/>
      <c r="X955" s="24"/>
      <c r="Y955" s="24"/>
      <c r="Z955" s="24"/>
      <c r="AA955" s="24"/>
      <c r="AB955" s="24"/>
      <c r="AC955" s="24"/>
    </row>
    <row r="956" spans="1:29" ht="16.3">
      <c r="A956" s="24"/>
      <c r="B956" s="24"/>
      <c r="C956" s="24"/>
      <c r="D956" s="24"/>
      <c r="E956" s="24"/>
      <c r="F956" s="24"/>
      <c r="G956" s="117"/>
      <c r="H956" s="117"/>
      <c r="I956" s="118"/>
      <c r="J956" s="119"/>
      <c r="K956" s="119"/>
      <c r="L956" s="24"/>
      <c r="M956" s="24"/>
      <c r="N956" s="24"/>
      <c r="O956" s="24"/>
      <c r="P956" s="114"/>
      <c r="Q956" s="24"/>
      <c r="R956" s="24"/>
      <c r="S956" s="24"/>
      <c r="T956" s="24"/>
      <c r="U956" s="24"/>
      <c r="V956" s="24"/>
      <c r="W956" s="24"/>
      <c r="X956" s="24"/>
      <c r="Y956" s="24"/>
      <c r="Z956" s="24"/>
      <c r="AA956" s="24"/>
      <c r="AB956" s="24"/>
      <c r="AC956" s="24"/>
    </row>
    <row r="957" spans="1:29" ht="16.3">
      <c r="A957" s="24"/>
      <c r="B957" s="24"/>
      <c r="C957" s="24"/>
      <c r="D957" s="24"/>
      <c r="E957" s="24"/>
      <c r="F957" s="24"/>
      <c r="G957" s="117"/>
      <c r="H957" s="117"/>
      <c r="I957" s="118"/>
      <c r="J957" s="119"/>
      <c r="K957" s="119"/>
      <c r="L957" s="24"/>
      <c r="M957" s="24"/>
      <c r="N957" s="24"/>
      <c r="O957" s="24"/>
      <c r="P957" s="114"/>
      <c r="Q957" s="24"/>
      <c r="R957" s="24"/>
      <c r="S957" s="24"/>
      <c r="T957" s="24"/>
      <c r="U957" s="24"/>
      <c r="V957" s="24"/>
      <c r="W957" s="24"/>
      <c r="X957" s="24"/>
      <c r="Y957" s="24"/>
      <c r="Z957" s="24"/>
      <c r="AA957" s="24"/>
      <c r="AB957" s="24"/>
      <c r="AC957" s="24"/>
    </row>
    <row r="958" spans="1:29" ht="16.3">
      <c r="A958" s="24"/>
      <c r="B958" s="24"/>
      <c r="C958" s="24"/>
      <c r="D958" s="24"/>
      <c r="E958" s="24"/>
      <c r="F958" s="24"/>
      <c r="G958" s="117"/>
      <c r="H958" s="117"/>
      <c r="I958" s="118"/>
      <c r="J958" s="119"/>
      <c r="K958" s="119"/>
      <c r="L958" s="24"/>
      <c r="M958" s="24"/>
      <c r="N958" s="24"/>
      <c r="O958" s="24"/>
      <c r="P958" s="114"/>
      <c r="Q958" s="24"/>
      <c r="R958" s="24"/>
      <c r="S958" s="24"/>
      <c r="T958" s="24"/>
      <c r="U958" s="24"/>
      <c r="V958" s="24"/>
      <c r="W958" s="24"/>
      <c r="X958" s="24"/>
      <c r="Y958" s="24"/>
      <c r="Z958" s="24"/>
      <c r="AA958" s="24"/>
      <c r="AB958" s="24"/>
      <c r="AC958" s="24"/>
    </row>
    <row r="959" spans="1:29" ht="16.3">
      <c r="A959" s="24"/>
      <c r="B959" s="24"/>
      <c r="C959" s="24"/>
      <c r="D959" s="24"/>
      <c r="E959" s="24"/>
      <c r="F959" s="24"/>
      <c r="G959" s="117"/>
      <c r="H959" s="117"/>
      <c r="I959" s="118"/>
      <c r="J959" s="119"/>
      <c r="K959" s="119"/>
      <c r="L959" s="24"/>
      <c r="M959" s="24"/>
      <c r="N959" s="24"/>
      <c r="O959" s="24"/>
      <c r="P959" s="114"/>
      <c r="Q959" s="24"/>
      <c r="R959" s="24"/>
      <c r="S959" s="24"/>
      <c r="T959" s="24"/>
      <c r="U959" s="24"/>
      <c r="V959" s="24"/>
      <c r="W959" s="24"/>
      <c r="X959" s="24"/>
      <c r="Y959" s="24"/>
      <c r="Z959" s="24"/>
      <c r="AA959" s="24"/>
      <c r="AB959" s="24"/>
      <c r="AC959" s="24"/>
    </row>
    <row r="960" spans="1:29" ht="16.3">
      <c r="A960" s="24"/>
      <c r="B960" s="24"/>
      <c r="C960" s="24"/>
      <c r="D960" s="24"/>
      <c r="E960" s="24"/>
      <c r="F960" s="24"/>
      <c r="G960" s="117"/>
      <c r="H960" s="117"/>
      <c r="I960" s="118"/>
      <c r="J960" s="119"/>
      <c r="K960" s="119"/>
      <c r="L960" s="24"/>
      <c r="M960" s="24"/>
      <c r="N960" s="24"/>
      <c r="O960" s="24"/>
      <c r="P960" s="114"/>
      <c r="Q960" s="24"/>
      <c r="R960" s="24"/>
      <c r="S960" s="24"/>
      <c r="T960" s="24"/>
      <c r="U960" s="24"/>
      <c r="V960" s="24"/>
      <c r="W960" s="24"/>
      <c r="X960" s="24"/>
      <c r="Y960" s="24"/>
      <c r="Z960" s="24"/>
      <c r="AA960" s="24"/>
      <c r="AB960" s="24"/>
      <c r="AC960" s="24"/>
    </row>
    <row r="961" spans="1:29" ht="16.3">
      <c r="A961" s="24"/>
      <c r="B961" s="24"/>
      <c r="C961" s="24"/>
      <c r="D961" s="24"/>
      <c r="E961" s="24"/>
      <c r="F961" s="24"/>
      <c r="G961" s="117"/>
      <c r="H961" s="117"/>
      <c r="I961" s="118"/>
      <c r="J961" s="119"/>
      <c r="K961" s="119"/>
      <c r="L961" s="24"/>
      <c r="M961" s="24"/>
      <c r="N961" s="24"/>
      <c r="O961" s="24"/>
      <c r="P961" s="114"/>
      <c r="Q961" s="24"/>
      <c r="R961" s="24"/>
      <c r="S961" s="24"/>
      <c r="T961" s="24"/>
      <c r="U961" s="24"/>
      <c r="V961" s="24"/>
      <c r="W961" s="24"/>
      <c r="X961" s="24"/>
      <c r="Y961" s="24"/>
      <c r="Z961" s="24"/>
      <c r="AA961" s="24"/>
      <c r="AB961" s="24"/>
      <c r="AC961" s="24"/>
    </row>
    <row r="962" spans="1:29" ht="16.3">
      <c r="A962" s="24"/>
      <c r="B962" s="24"/>
      <c r="C962" s="24"/>
      <c r="D962" s="24"/>
      <c r="E962" s="24"/>
      <c r="F962" s="24"/>
      <c r="G962" s="117"/>
      <c r="H962" s="117"/>
      <c r="I962" s="118"/>
      <c r="J962" s="119"/>
      <c r="K962" s="119"/>
      <c r="L962" s="24"/>
      <c r="M962" s="24"/>
      <c r="N962" s="24"/>
      <c r="O962" s="24"/>
      <c r="P962" s="114"/>
      <c r="Q962" s="24"/>
      <c r="R962" s="24"/>
      <c r="S962" s="24"/>
      <c r="T962" s="24"/>
      <c r="U962" s="24"/>
      <c r="V962" s="24"/>
      <c r="W962" s="24"/>
      <c r="X962" s="24"/>
      <c r="Y962" s="24"/>
      <c r="Z962" s="24"/>
      <c r="AA962" s="24"/>
      <c r="AB962" s="24"/>
      <c r="AC962" s="24"/>
    </row>
    <row r="963" spans="1:29" ht="16.3">
      <c r="A963" s="24"/>
      <c r="B963" s="24"/>
      <c r="C963" s="24"/>
      <c r="D963" s="24"/>
      <c r="E963" s="24"/>
      <c r="F963" s="24"/>
      <c r="G963" s="117"/>
      <c r="H963" s="117"/>
      <c r="I963" s="118"/>
      <c r="J963" s="119"/>
      <c r="K963" s="119"/>
      <c r="L963" s="24"/>
      <c r="M963" s="24"/>
      <c r="N963" s="24"/>
      <c r="O963" s="24"/>
      <c r="P963" s="114"/>
      <c r="Q963" s="24"/>
      <c r="R963" s="24"/>
      <c r="S963" s="24"/>
      <c r="T963" s="24"/>
      <c r="U963" s="24"/>
      <c r="V963" s="24"/>
      <c r="W963" s="24"/>
      <c r="X963" s="24"/>
      <c r="Y963" s="24"/>
      <c r="Z963" s="24"/>
      <c r="AA963" s="24"/>
      <c r="AB963" s="24"/>
      <c r="AC963" s="24"/>
    </row>
    <row r="964" spans="1:29" ht="16.3">
      <c r="A964" s="24"/>
      <c r="B964" s="24"/>
      <c r="C964" s="24"/>
      <c r="D964" s="24"/>
      <c r="E964" s="24"/>
      <c r="F964" s="24"/>
      <c r="G964" s="117"/>
      <c r="H964" s="117"/>
      <c r="I964" s="118"/>
      <c r="J964" s="119"/>
      <c r="K964" s="119"/>
      <c r="L964" s="24"/>
      <c r="M964" s="24"/>
      <c r="N964" s="24"/>
      <c r="O964" s="24"/>
      <c r="P964" s="114"/>
      <c r="Q964" s="24"/>
      <c r="R964" s="24"/>
      <c r="S964" s="24"/>
      <c r="T964" s="24"/>
      <c r="U964" s="24"/>
      <c r="V964" s="24"/>
      <c r="W964" s="24"/>
      <c r="X964" s="24"/>
      <c r="Y964" s="24"/>
      <c r="Z964" s="24"/>
      <c r="AA964" s="24"/>
      <c r="AB964" s="24"/>
      <c r="AC964" s="24"/>
    </row>
    <row r="965" spans="1:29" ht="16.3">
      <c r="A965" s="24"/>
      <c r="B965" s="24"/>
      <c r="C965" s="24"/>
      <c r="D965" s="24"/>
      <c r="E965" s="24"/>
      <c r="F965" s="24"/>
      <c r="G965" s="117"/>
      <c r="H965" s="117"/>
      <c r="I965" s="118"/>
      <c r="J965" s="119"/>
      <c r="K965" s="119"/>
      <c r="L965" s="24"/>
      <c r="M965" s="24"/>
      <c r="N965" s="24"/>
      <c r="O965" s="24"/>
      <c r="P965" s="114"/>
      <c r="Q965" s="24"/>
      <c r="R965" s="24"/>
      <c r="S965" s="24"/>
      <c r="T965" s="24"/>
      <c r="U965" s="24"/>
      <c r="V965" s="24"/>
      <c r="W965" s="24"/>
      <c r="X965" s="24"/>
      <c r="Y965" s="24"/>
      <c r="Z965" s="24"/>
      <c r="AA965" s="24"/>
      <c r="AB965" s="24"/>
      <c r="AC965" s="24"/>
    </row>
    <row r="966" spans="1:29" ht="16.3">
      <c r="A966" s="24"/>
      <c r="B966" s="24"/>
      <c r="C966" s="24"/>
      <c r="D966" s="24"/>
      <c r="E966" s="24"/>
      <c r="F966" s="24"/>
      <c r="G966" s="117"/>
      <c r="H966" s="117"/>
      <c r="I966" s="118"/>
      <c r="J966" s="119"/>
      <c r="K966" s="119"/>
      <c r="L966" s="24"/>
      <c r="M966" s="24"/>
      <c r="N966" s="24"/>
      <c r="O966" s="24"/>
      <c r="P966" s="114"/>
      <c r="Q966" s="24"/>
      <c r="R966" s="24"/>
      <c r="S966" s="24"/>
      <c r="T966" s="24"/>
      <c r="U966" s="24"/>
      <c r="V966" s="24"/>
      <c r="W966" s="24"/>
      <c r="X966" s="24"/>
      <c r="Y966" s="24"/>
      <c r="Z966" s="24"/>
      <c r="AA966" s="24"/>
      <c r="AB966" s="24"/>
      <c r="AC966" s="24"/>
    </row>
    <row r="967" spans="1:29" ht="16.3">
      <c r="A967" s="24"/>
      <c r="B967" s="24"/>
      <c r="C967" s="24"/>
      <c r="D967" s="24"/>
      <c r="E967" s="24"/>
      <c r="F967" s="24"/>
      <c r="G967" s="117"/>
      <c r="H967" s="117"/>
      <c r="I967" s="118"/>
      <c r="J967" s="119"/>
      <c r="K967" s="119"/>
      <c r="L967" s="24"/>
      <c r="M967" s="24"/>
      <c r="N967" s="24"/>
      <c r="O967" s="24"/>
      <c r="P967" s="114"/>
      <c r="Q967" s="24"/>
      <c r="R967" s="24"/>
      <c r="S967" s="24"/>
      <c r="T967" s="24"/>
      <c r="U967" s="24"/>
      <c r="V967" s="24"/>
      <c r="W967" s="24"/>
      <c r="X967" s="24"/>
      <c r="Y967" s="24"/>
      <c r="Z967" s="24"/>
      <c r="AA967" s="24"/>
      <c r="AB967" s="24"/>
      <c r="AC967" s="24"/>
    </row>
    <row r="968" spans="1:29" ht="16.3">
      <c r="A968" s="24"/>
      <c r="B968" s="24"/>
      <c r="C968" s="24"/>
      <c r="D968" s="24"/>
      <c r="E968" s="24"/>
      <c r="F968" s="24"/>
      <c r="G968" s="117"/>
      <c r="H968" s="117"/>
      <c r="I968" s="118"/>
      <c r="J968" s="119"/>
      <c r="K968" s="119"/>
      <c r="L968" s="24"/>
      <c r="M968" s="24"/>
      <c r="N968" s="24"/>
      <c r="O968" s="24"/>
      <c r="P968" s="114"/>
      <c r="Q968" s="24"/>
      <c r="R968" s="24"/>
      <c r="S968" s="24"/>
      <c r="T968" s="24"/>
      <c r="U968" s="24"/>
      <c r="V968" s="24"/>
      <c r="W968" s="24"/>
      <c r="X968" s="24"/>
      <c r="Y968" s="24"/>
      <c r="Z968" s="24"/>
      <c r="AA968" s="24"/>
      <c r="AB968" s="24"/>
      <c r="AC968" s="24"/>
    </row>
    <row r="969" spans="1:29" ht="16.3">
      <c r="A969" s="24"/>
      <c r="B969" s="24"/>
      <c r="C969" s="24"/>
      <c r="D969" s="24"/>
      <c r="E969" s="24"/>
      <c r="F969" s="24"/>
      <c r="G969" s="117"/>
      <c r="H969" s="117"/>
      <c r="I969" s="118"/>
      <c r="J969" s="119"/>
      <c r="K969" s="119"/>
      <c r="L969" s="24"/>
      <c r="M969" s="24"/>
      <c r="N969" s="24"/>
      <c r="O969" s="24"/>
      <c r="P969" s="114"/>
      <c r="Q969" s="24"/>
      <c r="R969" s="24"/>
      <c r="S969" s="24"/>
      <c r="T969" s="24"/>
      <c r="U969" s="24"/>
      <c r="V969" s="24"/>
      <c r="W969" s="24"/>
      <c r="X969" s="24"/>
      <c r="Y969" s="24"/>
      <c r="Z969" s="24"/>
      <c r="AA969" s="24"/>
      <c r="AB969" s="24"/>
      <c r="AC969" s="24"/>
    </row>
    <row r="970" spans="1:29" ht="16.3">
      <c r="A970" s="24"/>
      <c r="B970" s="24"/>
      <c r="C970" s="24"/>
      <c r="D970" s="24"/>
      <c r="E970" s="24"/>
      <c r="F970" s="24"/>
      <c r="G970" s="117"/>
      <c r="H970" s="117"/>
      <c r="I970" s="118"/>
      <c r="J970" s="119"/>
      <c r="K970" s="119"/>
      <c r="L970" s="24"/>
      <c r="M970" s="24"/>
      <c r="N970" s="24"/>
      <c r="O970" s="24"/>
      <c r="P970" s="114"/>
      <c r="Q970" s="24"/>
      <c r="R970" s="24"/>
      <c r="S970" s="24"/>
      <c r="T970" s="24"/>
      <c r="U970" s="24"/>
      <c r="V970" s="24"/>
      <c r="W970" s="24"/>
      <c r="X970" s="24"/>
      <c r="Y970" s="24"/>
      <c r="Z970" s="24"/>
      <c r="AA970" s="24"/>
      <c r="AB970" s="24"/>
      <c r="AC970" s="24"/>
    </row>
    <row r="971" spans="1:29" ht="16.3">
      <c r="A971" s="24"/>
      <c r="B971" s="24"/>
      <c r="C971" s="24"/>
      <c r="D971" s="24"/>
      <c r="E971" s="24"/>
      <c r="F971" s="24"/>
      <c r="G971" s="117"/>
      <c r="H971" s="117"/>
      <c r="I971" s="118"/>
      <c r="J971" s="119"/>
      <c r="K971" s="119"/>
      <c r="L971" s="24"/>
      <c r="M971" s="24"/>
      <c r="N971" s="24"/>
      <c r="O971" s="24"/>
      <c r="P971" s="114"/>
      <c r="Q971" s="24"/>
      <c r="R971" s="24"/>
      <c r="S971" s="24"/>
      <c r="T971" s="24"/>
      <c r="U971" s="24"/>
      <c r="V971" s="24"/>
      <c r="W971" s="24"/>
      <c r="X971" s="24"/>
      <c r="Y971" s="24"/>
      <c r="Z971" s="24"/>
      <c r="AA971" s="24"/>
      <c r="AB971" s="24"/>
      <c r="AC971" s="24"/>
    </row>
    <row r="972" spans="1:29" ht="16.3">
      <c r="A972" s="24"/>
      <c r="B972" s="24"/>
      <c r="C972" s="24"/>
      <c r="D972" s="24"/>
      <c r="E972" s="24"/>
      <c r="F972" s="24"/>
      <c r="G972" s="117"/>
      <c r="H972" s="117"/>
      <c r="I972" s="118"/>
      <c r="J972" s="119"/>
      <c r="K972" s="119"/>
      <c r="L972" s="24"/>
      <c r="M972" s="24"/>
      <c r="N972" s="24"/>
      <c r="O972" s="24"/>
      <c r="P972" s="114"/>
      <c r="Q972" s="24"/>
      <c r="R972" s="24"/>
      <c r="S972" s="24"/>
      <c r="T972" s="24"/>
      <c r="U972" s="24"/>
      <c r="V972" s="24"/>
      <c r="W972" s="24"/>
      <c r="X972" s="24"/>
      <c r="Y972" s="24"/>
      <c r="Z972" s="24"/>
      <c r="AA972" s="24"/>
      <c r="AB972" s="24"/>
      <c r="AC972" s="24"/>
    </row>
    <row r="973" spans="1:29" ht="16.3">
      <c r="A973" s="24"/>
      <c r="B973" s="24"/>
      <c r="C973" s="24"/>
      <c r="D973" s="24"/>
      <c r="E973" s="24"/>
      <c r="F973" s="24"/>
      <c r="G973" s="117"/>
      <c r="H973" s="117"/>
      <c r="I973" s="118"/>
      <c r="J973" s="119"/>
      <c r="K973" s="119"/>
      <c r="L973" s="24"/>
      <c r="M973" s="24"/>
      <c r="N973" s="24"/>
      <c r="O973" s="24"/>
      <c r="P973" s="114"/>
      <c r="Q973" s="24"/>
      <c r="R973" s="24"/>
      <c r="S973" s="24"/>
      <c r="T973" s="24"/>
      <c r="U973" s="24"/>
      <c r="V973" s="24"/>
      <c r="W973" s="24"/>
      <c r="X973" s="24"/>
      <c r="Y973" s="24"/>
      <c r="Z973" s="24"/>
      <c r="AA973" s="24"/>
      <c r="AB973" s="24"/>
      <c r="AC973" s="24"/>
    </row>
    <row r="974" spans="1:29" ht="16.3">
      <c r="A974" s="24"/>
      <c r="B974" s="24"/>
      <c r="C974" s="24"/>
      <c r="D974" s="24"/>
      <c r="E974" s="24"/>
      <c r="F974" s="24"/>
      <c r="G974" s="117"/>
      <c r="H974" s="117"/>
      <c r="I974" s="118"/>
      <c r="J974" s="119"/>
      <c r="K974" s="119"/>
      <c r="L974" s="24"/>
      <c r="M974" s="24"/>
      <c r="N974" s="24"/>
      <c r="O974" s="24"/>
      <c r="P974" s="114"/>
      <c r="Q974" s="24"/>
      <c r="R974" s="24"/>
      <c r="S974" s="24"/>
      <c r="T974" s="24"/>
      <c r="U974" s="24"/>
      <c r="V974" s="24"/>
      <c r="W974" s="24"/>
      <c r="X974" s="24"/>
      <c r="Y974" s="24"/>
      <c r="Z974" s="24"/>
      <c r="AA974" s="24"/>
      <c r="AB974" s="24"/>
      <c r="AC974" s="24"/>
    </row>
    <row r="975" spans="1:29" ht="16.3">
      <c r="A975" s="24"/>
      <c r="B975" s="24"/>
      <c r="C975" s="24"/>
      <c r="D975" s="24"/>
      <c r="E975" s="24"/>
      <c r="F975" s="24"/>
      <c r="G975" s="117"/>
      <c r="H975" s="117"/>
      <c r="I975" s="118"/>
      <c r="J975" s="119"/>
      <c r="K975" s="119"/>
      <c r="L975" s="24"/>
      <c r="M975" s="24"/>
      <c r="N975" s="24"/>
      <c r="O975" s="24"/>
      <c r="P975" s="114"/>
      <c r="Q975" s="24"/>
      <c r="R975" s="24"/>
      <c r="S975" s="24"/>
      <c r="T975" s="24"/>
      <c r="U975" s="24"/>
      <c r="V975" s="24"/>
      <c r="W975" s="24"/>
      <c r="X975" s="24"/>
      <c r="Y975" s="24"/>
      <c r="Z975" s="24"/>
      <c r="AA975" s="24"/>
      <c r="AB975" s="24"/>
      <c r="AC975" s="24"/>
    </row>
    <row r="976" spans="1:29" ht="16.3">
      <c r="A976" s="24"/>
      <c r="B976" s="24"/>
      <c r="C976" s="24"/>
      <c r="D976" s="24"/>
      <c r="E976" s="24"/>
      <c r="F976" s="24"/>
      <c r="G976" s="117"/>
      <c r="H976" s="117"/>
      <c r="I976" s="118"/>
      <c r="J976" s="119"/>
      <c r="K976" s="119"/>
      <c r="L976" s="24"/>
      <c r="M976" s="24"/>
      <c r="N976" s="24"/>
      <c r="O976" s="24"/>
      <c r="P976" s="114"/>
      <c r="Q976" s="24"/>
      <c r="R976" s="24"/>
      <c r="S976" s="24"/>
      <c r="T976" s="24"/>
      <c r="U976" s="24"/>
      <c r="V976" s="24"/>
      <c r="W976" s="24"/>
      <c r="X976" s="24"/>
      <c r="Y976" s="24"/>
      <c r="Z976" s="24"/>
      <c r="AA976" s="24"/>
      <c r="AB976" s="24"/>
      <c r="AC976" s="24"/>
    </row>
    <row r="977" spans="1:29" ht="16.3">
      <c r="A977" s="24"/>
      <c r="B977" s="24"/>
      <c r="C977" s="24"/>
      <c r="D977" s="24"/>
      <c r="E977" s="24"/>
      <c r="F977" s="24"/>
      <c r="G977" s="117"/>
      <c r="H977" s="117"/>
      <c r="I977" s="118"/>
      <c r="J977" s="119"/>
      <c r="K977" s="119"/>
      <c r="L977" s="24"/>
      <c r="M977" s="24"/>
      <c r="N977" s="24"/>
      <c r="O977" s="24"/>
      <c r="P977" s="114"/>
      <c r="Q977" s="24"/>
      <c r="R977" s="24"/>
      <c r="S977" s="24"/>
      <c r="T977" s="24"/>
      <c r="U977" s="24"/>
      <c r="V977" s="24"/>
      <c r="W977" s="24"/>
      <c r="X977" s="24"/>
      <c r="Y977" s="24"/>
      <c r="Z977" s="24"/>
      <c r="AA977" s="24"/>
      <c r="AB977" s="24"/>
      <c r="AC977" s="24"/>
    </row>
    <row r="978" spans="1:29" ht="16.3">
      <c r="A978" s="24"/>
      <c r="B978" s="24"/>
      <c r="C978" s="24"/>
      <c r="D978" s="24"/>
      <c r="E978" s="24"/>
      <c r="F978" s="24"/>
      <c r="G978" s="117"/>
      <c r="H978" s="117"/>
      <c r="I978" s="118"/>
      <c r="J978" s="119"/>
      <c r="K978" s="119"/>
      <c r="L978" s="24"/>
      <c r="M978" s="24"/>
      <c r="N978" s="24"/>
      <c r="O978" s="24"/>
      <c r="P978" s="114"/>
      <c r="Q978" s="24"/>
      <c r="R978" s="24"/>
      <c r="S978" s="24"/>
      <c r="T978" s="24"/>
      <c r="U978" s="24"/>
      <c r="V978" s="24"/>
      <c r="W978" s="24"/>
      <c r="X978" s="24"/>
      <c r="Y978" s="24"/>
      <c r="Z978" s="24"/>
      <c r="AA978" s="24"/>
      <c r="AB978" s="24"/>
      <c r="AC978" s="24"/>
    </row>
    <row r="979" spans="1:29" ht="16.3">
      <c r="A979" s="24"/>
      <c r="B979" s="24"/>
      <c r="C979" s="24"/>
      <c r="D979" s="24"/>
      <c r="E979" s="24"/>
      <c r="F979" s="24"/>
      <c r="G979" s="117"/>
      <c r="H979" s="117"/>
      <c r="I979" s="118"/>
      <c r="J979" s="119"/>
      <c r="K979" s="119"/>
      <c r="L979" s="24"/>
      <c r="M979" s="24"/>
      <c r="N979" s="24"/>
      <c r="O979" s="24"/>
      <c r="P979" s="114"/>
      <c r="Q979" s="24"/>
      <c r="R979" s="24"/>
      <c r="S979" s="24"/>
      <c r="T979" s="24"/>
      <c r="U979" s="24"/>
      <c r="V979" s="24"/>
      <c r="W979" s="24"/>
      <c r="X979" s="24"/>
      <c r="Y979" s="24"/>
      <c r="Z979" s="24"/>
      <c r="AA979" s="24"/>
      <c r="AB979" s="24"/>
      <c r="AC979" s="24"/>
    </row>
    <row r="980" spans="1:29" ht="16.3">
      <c r="A980" s="24"/>
      <c r="B980" s="24"/>
      <c r="C980" s="24"/>
      <c r="D980" s="24"/>
      <c r="E980" s="24"/>
      <c r="F980" s="24"/>
      <c r="G980" s="117"/>
      <c r="H980" s="117"/>
      <c r="I980" s="118"/>
      <c r="J980" s="119"/>
      <c r="K980" s="119"/>
      <c r="L980" s="24"/>
      <c r="M980" s="24"/>
      <c r="N980" s="24"/>
      <c r="O980" s="24"/>
      <c r="P980" s="114"/>
      <c r="Q980" s="24"/>
      <c r="R980" s="24"/>
      <c r="S980" s="24"/>
      <c r="T980" s="24"/>
      <c r="U980" s="24"/>
      <c r="V980" s="24"/>
      <c r="W980" s="24"/>
      <c r="X980" s="24"/>
      <c r="Y980" s="24"/>
      <c r="Z980" s="24"/>
      <c r="AA980" s="24"/>
      <c r="AB980" s="24"/>
      <c r="AC980" s="24"/>
    </row>
    <row r="981" spans="1:29" ht="16.3">
      <c r="A981" s="24"/>
      <c r="B981" s="24"/>
      <c r="C981" s="24"/>
      <c r="D981" s="24"/>
      <c r="E981" s="24"/>
      <c r="F981" s="24"/>
      <c r="G981" s="117"/>
      <c r="H981" s="117"/>
      <c r="I981" s="118"/>
      <c r="J981" s="119"/>
      <c r="K981" s="119"/>
      <c r="L981" s="24"/>
      <c r="M981" s="24"/>
      <c r="N981" s="24"/>
      <c r="O981" s="24"/>
      <c r="P981" s="114"/>
      <c r="Q981" s="24"/>
      <c r="R981" s="24"/>
      <c r="S981" s="24"/>
      <c r="T981" s="24"/>
      <c r="U981" s="24"/>
      <c r="V981" s="24"/>
      <c r="W981" s="24"/>
      <c r="X981" s="24"/>
      <c r="Y981" s="24"/>
      <c r="Z981" s="24"/>
      <c r="AA981" s="24"/>
      <c r="AB981" s="24"/>
      <c r="AC981" s="24"/>
    </row>
    <row r="982" spans="1:29" ht="16.3">
      <c r="A982" s="24"/>
      <c r="B982" s="24"/>
      <c r="C982" s="24"/>
      <c r="D982" s="24"/>
      <c r="E982" s="24"/>
      <c r="F982" s="24"/>
      <c r="G982" s="117"/>
      <c r="H982" s="117"/>
      <c r="I982" s="118"/>
      <c r="J982" s="119"/>
      <c r="K982" s="119"/>
      <c r="L982" s="24"/>
      <c r="M982" s="24"/>
      <c r="N982" s="24"/>
      <c r="O982" s="24"/>
      <c r="P982" s="114"/>
      <c r="Q982" s="24"/>
      <c r="R982" s="24"/>
      <c r="S982" s="24"/>
      <c r="T982" s="24"/>
      <c r="U982" s="24"/>
      <c r="V982" s="24"/>
      <c r="W982" s="24"/>
      <c r="X982" s="24"/>
      <c r="Y982" s="24"/>
      <c r="Z982" s="24"/>
      <c r="AA982" s="24"/>
      <c r="AB982" s="24"/>
      <c r="AC982" s="24"/>
    </row>
    <row r="983" spans="1:29" ht="16.3">
      <c r="A983" s="24"/>
      <c r="B983" s="24"/>
      <c r="C983" s="24"/>
      <c r="D983" s="24"/>
      <c r="E983" s="24"/>
      <c r="F983" s="24"/>
      <c r="G983" s="117"/>
      <c r="H983" s="117"/>
      <c r="I983" s="118"/>
      <c r="J983" s="119"/>
      <c r="K983" s="119"/>
      <c r="L983" s="24"/>
      <c r="M983" s="24"/>
      <c r="N983" s="24"/>
      <c r="O983" s="24"/>
      <c r="P983" s="114"/>
      <c r="Q983" s="24"/>
      <c r="R983" s="24"/>
      <c r="S983" s="24"/>
      <c r="T983" s="24"/>
      <c r="U983" s="24"/>
      <c r="V983" s="24"/>
      <c r="W983" s="24"/>
      <c r="X983" s="24"/>
      <c r="Y983" s="24"/>
      <c r="Z983" s="24"/>
      <c r="AA983" s="24"/>
      <c r="AB983" s="24"/>
      <c r="AC983" s="24"/>
    </row>
    <row r="984" spans="1:29" ht="16.3">
      <c r="A984" s="24"/>
      <c r="B984" s="24"/>
      <c r="C984" s="24"/>
      <c r="D984" s="24"/>
      <c r="E984" s="24"/>
      <c r="F984" s="24"/>
      <c r="G984" s="117"/>
      <c r="H984" s="117"/>
      <c r="I984" s="118"/>
      <c r="J984" s="119"/>
      <c r="K984" s="119"/>
      <c r="L984" s="24"/>
      <c r="M984" s="24"/>
      <c r="N984" s="24"/>
      <c r="O984" s="24"/>
      <c r="P984" s="114"/>
      <c r="Q984" s="24"/>
      <c r="R984" s="24"/>
      <c r="S984" s="24"/>
      <c r="T984" s="24"/>
      <c r="U984" s="24"/>
      <c r="V984" s="24"/>
      <c r="W984" s="24"/>
      <c r="X984" s="24"/>
      <c r="Y984" s="24"/>
      <c r="Z984" s="24"/>
      <c r="AA984" s="24"/>
      <c r="AB984" s="24"/>
      <c r="AC984" s="24"/>
    </row>
    <row r="985" spans="1:29" ht="16.3">
      <c r="A985" s="24"/>
      <c r="B985" s="24"/>
      <c r="C985" s="24"/>
      <c r="D985" s="24"/>
      <c r="E985" s="24"/>
      <c r="F985" s="24"/>
      <c r="G985" s="117"/>
      <c r="H985" s="117"/>
      <c r="I985" s="118"/>
      <c r="J985" s="119"/>
      <c r="K985" s="119"/>
      <c r="L985" s="24"/>
      <c r="M985" s="24"/>
      <c r="N985" s="24"/>
      <c r="O985" s="24"/>
      <c r="P985" s="114"/>
      <c r="Q985" s="24"/>
      <c r="R985" s="24"/>
      <c r="S985" s="24"/>
      <c r="T985" s="24"/>
      <c r="U985" s="24"/>
      <c r="V985" s="24"/>
      <c r="W985" s="24"/>
      <c r="X985" s="24"/>
      <c r="Y985" s="24"/>
      <c r="Z985" s="24"/>
      <c r="AA985" s="24"/>
      <c r="AB985" s="24"/>
      <c r="AC985" s="24"/>
    </row>
    <row r="986" spans="1:29" ht="16.3">
      <c r="A986" s="24"/>
      <c r="B986" s="24"/>
      <c r="C986" s="24"/>
      <c r="D986" s="24"/>
      <c r="E986" s="24"/>
      <c r="F986" s="24"/>
      <c r="G986" s="117"/>
      <c r="H986" s="117"/>
      <c r="I986" s="118"/>
      <c r="J986" s="119"/>
      <c r="K986" s="119"/>
      <c r="L986" s="24"/>
      <c r="M986" s="24"/>
      <c r="N986" s="24"/>
      <c r="O986" s="24"/>
      <c r="P986" s="114"/>
      <c r="Q986" s="24"/>
      <c r="R986" s="24"/>
      <c r="S986" s="24"/>
      <c r="T986" s="24"/>
      <c r="U986" s="24"/>
      <c r="V986" s="24"/>
      <c r="W986" s="24"/>
      <c r="X986" s="24"/>
      <c r="Y986" s="24"/>
      <c r="Z986" s="24"/>
      <c r="AA986" s="24"/>
      <c r="AB986" s="24"/>
      <c r="AC986" s="24"/>
    </row>
    <row r="987" spans="1:29" ht="16.3">
      <c r="A987" s="24"/>
      <c r="B987" s="24"/>
      <c r="C987" s="24"/>
      <c r="D987" s="24"/>
      <c r="E987" s="24"/>
      <c r="F987" s="24"/>
      <c r="G987" s="117"/>
      <c r="H987" s="117"/>
      <c r="I987" s="118"/>
      <c r="J987" s="119"/>
      <c r="K987" s="119"/>
      <c r="L987" s="24"/>
      <c r="M987" s="24"/>
      <c r="N987" s="24"/>
      <c r="O987" s="24"/>
      <c r="P987" s="114"/>
      <c r="Q987" s="24"/>
      <c r="R987" s="24"/>
      <c r="S987" s="24"/>
      <c r="T987" s="24"/>
      <c r="U987" s="24"/>
      <c r="V987" s="24"/>
      <c r="W987" s="24"/>
      <c r="X987" s="24"/>
      <c r="Y987" s="24"/>
      <c r="Z987" s="24"/>
      <c r="AA987" s="24"/>
      <c r="AB987" s="24"/>
      <c r="AC987" s="24"/>
    </row>
    <row r="988" spans="1:29" ht="16.3">
      <c r="A988" s="24"/>
      <c r="B988" s="24"/>
      <c r="C988" s="24"/>
      <c r="D988" s="24"/>
      <c r="E988" s="24"/>
      <c r="F988" s="24"/>
      <c r="G988" s="117"/>
      <c r="H988" s="117"/>
      <c r="I988" s="118"/>
      <c r="J988" s="119"/>
      <c r="K988" s="119"/>
      <c r="L988" s="24"/>
      <c r="M988" s="24"/>
      <c r="N988" s="24"/>
      <c r="O988" s="24"/>
      <c r="P988" s="114"/>
      <c r="Q988" s="24"/>
      <c r="R988" s="24"/>
      <c r="S988" s="24"/>
      <c r="T988" s="24"/>
      <c r="U988" s="24"/>
      <c r="V988" s="24"/>
      <c r="W988" s="24"/>
      <c r="X988" s="24"/>
      <c r="Y988" s="24"/>
      <c r="Z988" s="24"/>
      <c r="AA988" s="24"/>
      <c r="AB988" s="24"/>
      <c r="AC988" s="24"/>
    </row>
    <row r="989" spans="1:29" ht="16.3">
      <c r="A989" s="24"/>
      <c r="B989" s="24"/>
      <c r="C989" s="24"/>
      <c r="D989" s="24"/>
      <c r="E989" s="24"/>
      <c r="F989" s="24"/>
      <c r="G989" s="117"/>
      <c r="H989" s="117"/>
      <c r="I989" s="118"/>
      <c r="J989" s="119"/>
      <c r="K989" s="119"/>
      <c r="L989" s="24"/>
      <c r="M989" s="24"/>
      <c r="N989" s="24"/>
      <c r="O989" s="24"/>
      <c r="P989" s="114"/>
      <c r="Q989" s="24"/>
      <c r="R989" s="24"/>
      <c r="S989" s="24"/>
      <c r="T989" s="24"/>
      <c r="U989" s="24"/>
      <c r="V989" s="24"/>
      <c r="W989" s="24"/>
      <c r="X989" s="24"/>
      <c r="Y989" s="24"/>
      <c r="Z989" s="24"/>
      <c r="AA989" s="24"/>
      <c r="AB989" s="24"/>
      <c r="AC989" s="24"/>
    </row>
    <row r="990" spans="1:29" ht="16.3">
      <c r="A990" s="24"/>
      <c r="B990" s="24"/>
      <c r="C990" s="24"/>
      <c r="D990" s="24"/>
      <c r="E990" s="24"/>
      <c r="F990" s="24"/>
      <c r="G990" s="117"/>
      <c r="H990" s="117"/>
      <c r="I990" s="118"/>
      <c r="J990" s="119"/>
      <c r="K990" s="119"/>
      <c r="L990" s="24"/>
      <c r="M990" s="24"/>
      <c r="N990" s="24"/>
      <c r="O990" s="24"/>
      <c r="P990" s="114"/>
      <c r="Q990" s="24"/>
      <c r="R990" s="24"/>
      <c r="S990" s="24"/>
      <c r="T990" s="24"/>
      <c r="U990" s="24"/>
      <c r="V990" s="24"/>
      <c r="W990" s="24"/>
      <c r="X990" s="24"/>
      <c r="Y990" s="24"/>
      <c r="Z990" s="24"/>
      <c r="AA990" s="24"/>
      <c r="AB990" s="24"/>
      <c r="AC990" s="24"/>
    </row>
    <row r="991" spans="1:29" ht="16.3">
      <c r="A991" s="24"/>
      <c r="B991" s="24"/>
      <c r="C991" s="24"/>
      <c r="D991" s="24"/>
      <c r="E991" s="24"/>
      <c r="F991" s="24"/>
      <c r="G991" s="117"/>
      <c r="H991" s="117"/>
      <c r="I991" s="118"/>
      <c r="J991" s="119"/>
      <c r="K991" s="119"/>
      <c r="L991" s="24"/>
      <c r="M991" s="24"/>
      <c r="N991" s="24"/>
      <c r="O991" s="24"/>
      <c r="P991" s="114"/>
      <c r="Q991" s="24"/>
      <c r="R991" s="24"/>
      <c r="S991" s="24"/>
      <c r="T991" s="24"/>
      <c r="U991" s="24"/>
      <c r="V991" s="24"/>
      <c r="W991" s="24"/>
      <c r="X991" s="24"/>
      <c r="Y991" s="24"/>
      <c r="Z991" s="24"/>
      <c r="AA991" s="24"/>
      <c r="AB991" s="24"/>
      <c r="AC991" s="24"/>
    </row>
    <row r="992" spans="1:29" ht="16.3">
      <c r="A992" s="24"/>
      <c r="B992" s="24"/>
      <c r="C992" s="24"/>
      <c r="D992" s="24"/>
      <c r="E992" s="24"/>
      <c r="F992" s="24"/>
      <c r="G992" s="117"/>
      <c r="H992" s="117"/>
      <c r="I992" s="118"/>
      <c r="J992" s="119"/>
      <c r="K992" s="119"/>
      <c r="L992" s="24"/>
      <c r="M992" s="24"/>
      <c r="N992" s="24"/>
      <c r="O992" s="24"/>
      <c r="P992" s="114"/>
      <c r="Q992" s="24"/>
      <c r="R992" s="24"/>
      <c r="S992" s="24"/>
      <c r="T992" s="24"/>
      <c r="U992" s="24"/>
      <c r="V992" s="24"/>
      <c r="W992" s="24"/>
      <c r="X992" s="24"/>
      <c r="Y992" s="24"/>
      <c r="Z992" s="24"/>
      <c r="AA992" s="24"/>
      <c r="AB992" s="24"/>
      <c r="AC992" s="24"/>
    </row>
    <row r="993" spans="1:29" ht="16.3">
      <c r="A993" s="24"/>
      <c r="B993" s="24"/>
      <c r="C993" s="24"/>
      <c r="D993" s="24"/>
      <c r="E993" s="24"/>
      <c r="F993" s="24"/>
      <c r="G993" s="117"/>
      <c r="H993" s="117"/>
      <c r="I993" s="118"/>
      <c r="J993" s="119"/>
      <c r="K993" s="119"/>
      <c r="L993" s="24"/>
      <c r="M993" s="24"/>
      <c r="N993" s="24"/>
      <c r="O993" s="24"/>
      <c r="P993" s="114"/>
      <c r="Q993" s="24"/>
      <c r="R993" s="24"/>
      <c r="S993" s="24"/>
      <c r="T993" s="24"/>
      <c r="U993" s="24"/>
      <c r="V993" s="24"/>
      <c r="W993" s="24"/>
      <c r="X993" s="24"/>
      <c r="Y993" s="24"/>
      <c r="Z993" s="24"/>
      <c r="AA993" s="24"/>
      <c r="AB993" s="24"/>
      <c r="AC993" s="24"/>
    </row>
    <row r="994" spans="1:29" ht="16.3">
      <c r="A994" s="24"/>
      <c r="B994" s="24"/>
      <c r="C994" s="24"/>
      <c r="D994" s="24"/>
      <c r="E994" s="24"/>
      <c r="F994" s="24"/>
      <c r="G994" s="117"/>
      <c r="H994" s="117"/>
      <c r="I994" s="118"/>
      <c r="J994" s="119"/>
      <c r="K994" s="119"/>
      <c r="L994" s="24"/>
      <c r="M994" s="24"/>
      <c r="N994" s="24"/>
      <c r="O994" s="24"/>
      <c r="P994" s="114"/>
      <c r="Q994" s="24"/>
      <c r="R994" s="24"/>
      <c r="S994" s="24"/>
      <c r="T994" s="24"/>
      <c r="U994" s="24"/>
      <c r="V994" s="24"/>
      <c r="W994" s="24"/>
      <c r="X994" s="24"/>
      <c r="Y994" s="24"/>
      <c r="Z994" s="24"/>
      <c r="AA994" s="24"/>
      <c r="AB994" s="24"/>
      <c r="AC994" s="24"/>
    </row>
    <row r="995" spans="1:29" ht="16.3">
      <c r="A995" s="24"/>
      <c r="B995" s="24"/>
      <c r="C995" s="24"/>
      <c r="D995" s="24"/>
      <c r="E995" s="24"/>
      <c r="F995" s="24"/>
      <c r="G995" s="117"/>
      <c r="H995" s="117"/>
      <c r="I995" s="118"/>
      <c r="J995" s="119"/>
      <c r="K995" s="119"/>
      <c r="L995" s="24"/>
      <c r="M995" s="24"/>
      <c r="N995" s="24"/>
      <c r="O995" s="24"/>
      <c r="P995" s="114"/>
      <c r="Q995" s="24"/>
      <c r="R995" s="24"/>
      <c r="S995" s="24"/>
      <c r="T995" s="24"/>
      <c r="U995" s="24"/>
      <c r="V995" s="24"/>
      <c r="W995" s="24"/>
      <c r="X995" s="24"/>
      <c r="Y995" s="24"/>
      <c r="Z995" s="24"/>
      <c r="AA995" s="24"/>
      <c r="AB995" s="24"/>
      <c r="AC995" s="24"/>
    </row>
    <row r="996" spans="1:29" ht="16.3">
      <c r="A996" s="24"/>
      <c r="B996" s="24"/>
      <c r="C996" s="24"/>
      <c r="D996" s="24"/>
      <c r="E996" s="24"/>
      <c r="F996" s="24"/>
      <c r="G996" s="117"/>
      <c r="H996" s="117"/>
      <c r="I996" s="118"/>
      <c r="J996" s="119"/>
      <c r="K996" s="119"/>
      <c r="L996" s="24"/>
      <c r="M996" s="24"/>
      <c r="N996" s="24"/>
      <c r="O996" s="24"/>
      <c r="P996" s="114"/>
      <c r="Q996" s="24"/>
      <c r="R996" s="24"/>
      <c r="S996" s="24"/>
      <c r="T996" s="24"/>
      <c r="U996" s="24"/>
      <c r="V996" s="24"/>
      <c r="W996" s="24"/>
      <c r="X996" s="24"/>
      <c r="Y996" s="24"/>
      <c r="Z996" s="24"/>
      <c r="AA996" s="24"/>
      <c r="AB996" s="24"/>
      <c r="AC996" s="24"/>
    </row>
    <row r="997" spans="1:29" ht="16.3">
      <c r="A997" s="24"/>
      <c r="B997" s="24"/>
      <c r="C997" s="24"/>
      <c r="D997" s="24"/>
      <c r="E997" s="24"/>
      <c r="F997" s="24"/>
      <c r="G997" s="117"/>
      <c r="H997" s="117"/>
      <c r="I997" s="118"/>
      <c r="J997" s="119"/>
      <c r="K997" s="119"/>
      <c r="L997" s="24"/>
      <c r="M997" s="24"/>
      <c r="N997" s="24"/>
      <c r="O997" s="24"/>
      <c r="P997" s="114"/>
      <c r="Q997" s="24"/>
      <c r="R997" s="24"/>
      <c r="S997" s="24"/>
      <c r="T997" s="24"/>
      <c r="U997" s="24"/>
      <c r="V997" s="24"/>
      <c r="W997" s="24"/>
      <c r="X997" s="24"/>
      <c r="Y997" s="24"/>
      <c r="Z997" s="24"/>
      <c r="AA997" s="24"/>
      <c r="AB997" s="24"/>
      <c r="AC997" s="24"/>
    </row>
    <row r="998" spans="1:29" ht="16.3">
      <c r="A998" s="24"/>
      <c r="B998" s="24"/>
      <c r="C998" s="24"/>
      <c r="D998" s="24"/>
      <c r="E998" s="24"/>
      <c r="F998" s="24"/>
      <c r="G998" s="117"/>
      <c r="H998" s="117"/>
      <c r="I998" s="118"/>
      <c r="J998" s="119"/>
      <c r="K998" s="119"/>
      <c r="L998" s="24"/>
      <c r="M998" s="24"/>
      <c r="N998" s="24"/>
      <c r="O998" s="24"/>
      <c r="P998" s="114"/>
      <c r="Q998" s="24"/>
      <c r="R998" s="24"/>
      <c r="S998" s="24"/>
      <c r="T998" s="24"/>
      <c r="U998" s="24"/>
      <c r="V998" s="24"/>
      <c r="W998" s="24"/>
      <c r="X998" s="24"/>
      <c r="Y998" s="24"/>
      <c r="Z998" s="24"/>
      <c r="AA998" s="24"/>
      <c r="AB998" s="24"/>
      <c r="AC998" s="24"/>
    </row>
    <row r="999" spans="1:29" ht="16.3">
      <c r="A999" s="24"/>
      <c r="B999" s="24"/>
      <c r="C999" s="24"/>
      <c r="D999" s="24"/>
      <c r="E999" s="24"/>
      <c r="F999" s="24"/>
      <c r="G999" s="117"/>
      <c r="H999" s="117"/>
      <c r="I999" s="118"/>
      <c r="J999" s="119"/>
      <c r="K999" s="119"/>
      <c r="L999" s="24"/>
      <c r="M999" s="24"/>
      <c r="N999" s="24"/>
      <c r="O999" s="24"/>
      <c r="P999" s="114"/>
      <c r="Q999" s="24"/>
      <c r="R999" s="24"/>
      <c r="S999" s="24"/>
      <c r="T999" s="24"/>
      <c r="U999" s="24"/>
      <c r="V999" s="24"/>
      <c r="W999" s="24"/>
      <c r="X999" s="24"/>
      <c r="Y999" s="24"/>
      <c r="Z999" s="24"/>
      <c r="AA999" s="24"/>
      <c r="AB999" s="24"/>
      <c r="AC999" s="24"/>
    </row>
    <row r="1000" spans="1:29" ht="16.3">
      <c r="A1000" s="24"/>
      <c r="B1000" s="24"/>
      <c r="C1000" s="24"/>
      <c r="D1000" s="24"/>
      <c r="E1000" s="24"/>
      <c r="F1000" s="24"/>
      <c r="G1000" s="117"/>
      <c r="H1000" s="117"/>
      <c r="I1000" s="118"/>
      <c r="J1000" s="119"/>
      <c r="K1000" s="119"/>
      <c r="L1000" s="24"/>
      <c r="M1000" s="24"/>
      <c r="N1000" s="24"/>
      <c r="O1000" s="24"/>
      <c r="P1000" s="114"/>
      <c r="Q1000" s="24"/>
      <c r="R1000" s="24"/>
      <c r="S1000" s="24"/>
      <c r="T1000" s="24"/>
      <c r="U1000" s="24"/>
      <c r="V1000" s="24"/>
      <c r="W1000" s="24"/>
      <c r="X1000" s="24"/>
      <c r="Y1000" s="24"/>
      <c r="Z1000" s="24"/>
      <c r="AA1000" s="24"/>
      <c r="AB1000" s="24"/>
      <c r="AC1000" s="24"/>
    </row>
    <row r="1001" spans="1:29" ht="16.3">
      <c r="A1001" s="24"/>
      <c r="B1001" s="24"/>
      <c r="C1001" s="24"/>
      <c r="D1001" s="24"/>
      <c r="E1001" s="24"/>
      <c r="F1001" s="24"/>
      <c r="G1001" s="117"/>
      <c r="H1001" s="117"/>
      <c r="I1001" s="118"/>
      <c r="J1001" s="119"/>
      <c r="K1001" s="119"/>
      <c r="L1001" s="24"/>
      <c r="M1001" s="24"/>
      <c r="N1001" s="24"/>
      <c r="O1001" s="24"/>
      <c r="P1001" s="114"/>
      <c r="Q1001" s="24"/>
      <c r="R1001" s="24"/>
      <c r="S1001" s="24"/>
      <c r="T1001" s="24"/>
      <c r="U1001" s="24"/>
      <c r="V1001" s="24"/>
      <c r="W1001" s="24"/>
      <c r="X1001" s="24"/>
      <c r="Y1001" s="24"/>
      <c r="Z1001" s="24"/>
      <c r="AA1001" s="24"/>
      <c r="AB1001" s="24"/>
      <c r="AC1001" s="24"/>
    </row>
    <row r="1002" spans="1:29" ht="16.3">
      <c r="A1002" s="24"/>
      <c r="B1002" s="24"/>
      <c r="C1002" s="24"/>
      <c r="D1002" s="24"/>
      <c r="E1002" s="24"/>
      <c r="F1002" s="24"/>
      <c r="G1002" s="117"/>
      <c r="H1002" s="117"/>
      <c r="I1002" s="118"/>
      <c r="J1002" s="119"/>
      <c r="K1002" s="119"/>
      <c r="L1002" s="24"/>
      <c r="M1002" s="24"/>
      <c r="N1002" s="24"/>
      <c r="O1002" s="24"/>
      <c r="P1002" s="114"/>
      <c r="Q1002" s="24"/>
      <c r="R1002" s="24"/>
      <c r="S1002" s="24"/>
      <c r="T1002" s="24"/>
      <c r="U1002" s="24"/>
      <c r="V1002" s="24"/>
      <c r="W1002" s="24"/>
      <c r="X1002" s="24"/>
      <c r="Y1002" s="24"/>
      <c r="Z1002" s="24"/>
      <c r="AA1002" s="24"/>
      <c r="AB1002" s="24"/>
      <c r="AC1002" s="24"/>
    </row>
    <row r="1003" spans="1:29" ht="16.3">
      <c r="A1003" s="24"/>
      <c r="B1003" s="24"/>
      <c r="C1003" s="24"/>
      <c r="D1003" s="24"/>
      <c r="E1003" s="24"/>
      <c r="F1003" s="24"/>
      <c r="G1003" s="117"/>
      <c r="H1003" s="117"/>
      <c r="I1003" s="118"/>
      <c r="J1003" s="119"/>
      <c r="K1003" s="119"/>
      <c r="L1003" s="24"/>
      <c r="M1003" s="24"/>
      <c r="N1003" s="24"/>
      <c r="O1003" s="24"/>
      <c r="P1003" s="114"/>
      <c r="Q1003" s="24"/>
      <c r="R1003" s="24"/>
      <c r="S1003" s="24"/>
      <c r="T1003" s="24"/>
      <c r="U1003" s="24"/>
      <c r="V1003" s="24"/>
      <c r="W1003" s="24"/>
      <c r="X1003" s="24"/>
      <c r="Y1003" s="24"/>
      <c r="Z1003" s="24"/>
      <c r="AA1003" s="24"/>
      <c r="AB1003" s="24"/>
      <c r="AC1003" s="24"/>
    </row>
    <row r="1004" spans="1:29" ht="16.3">
      <c r="A1004" s="24"/>
      <c r="B1004" s="24"/>
      <c r="C1004" s="24"/>
      <c r="D1004" s="24"/>
      <c r="E1004" s="24"/>
      <c r="F1004" s="24"/>
      <c r="G1004" s="117"/>
      <c r="H1004" s="117"/>
      <c r="I1004" s="118"/>
      <c r="J1004" s="119"/>
      <c r="K1004" s="119"/>
      <c r="L1004" s="24"/>
      <c r="M1004" s="24"/>
      <c r="N1004" s="24"/>
      <c r="O1004" s="24"/>
      <c r="P1004" s="114"/>
      <c r="Q1004" s="24"/>
      <c r="R1004" s="24"/>
      <c r="S1004" s="24"/>
      <c r="T1004" s="24"/>
      <c r="U1004" s="24"/>
      <c r="V1004" s="24"/>
      <c r="W1004" s="24"/>
      <c r="X1004" s="24"/>
      <c r="Y1004" s="24"/>
      <c r="Z1004" s="24"/>
      <c r="AA1004" s="24"/>
      <c r="AB1004" s="24"/>
      <c r="AC1004" s="24"/>
    </row>
    <row r="1005" spans="1:29" ht="16.3">
      <c r="A1005" s="24"/>
      <c r="B1005" s="24"/>
      <c r="C1005" s="24"/>
      <c r="D1005" s="24"/>
      <c r="E1005" s="24"/>
      <c r="F1005" s="24"/>
      <c r="G1005" s="117"/>
      <c r="H1005" s="117"/>
      <c r="I1005" s="118"/>
      <c r="J1005" s="119"/>
      <c r="K1005" s="119"/>
      <c r="L1005" s="24"/>
      <c r="M1005" s="24"/>
      <c r="N1005" s="24"/>
      <c r="O1005" s="24"/>
      <c r="P1005" s="114"/>
      <c r="Q1005" s="24"/>
      <c r="R1005" s="24"/>
      <c r="S1005" s="24"/>
      <c r="T1005" s="24"/>
      <c r="U1005" s="24"/>
      <c r="V1005" s="24"/>
      <c r="W1005" s="24"/>
      <c r="X1005" s="24"/>
      <c r="Y1005" s="24"/>
      <c r="Z1005" s="24"/>
      <c r="AA1005" s="24"/>
      <c r="AB1005" s="24"/>
      <c r="AC1005" s="24"/>
    </row>
    <row r="1006" spans="1:29" ht="16.3">
      <c r="A1006" s="24"/>
      <c r="B1006" s="24"/>
      <c r="C1006" s="24"/>
      <c r="D1006" s="24"/>
      <c r="E1006" s="24"/>
      <c r="F1006" s="24"/>
      <c r="G1006" s="117"/>
      <c r="H1006" s="117"/>
      <c r="I1006" s="118"/>
      <c r="J1006" s="119"/>
      <c r="K1006" s="119"/>
      <c r="L1006" s="24"/>
      <c r="M1006" s="24"/>
      <c r="N1006" s="24"/>
      <c r="O1006" s="24"/>
      <c r="P1006" s="114"/>
      <c r="Q1006" s="24"/>
      <c r="R1006" s="24"/>
      <c r="S1006" s="24"/>
      <c r="T1006" s="24"/>
      <c r="U1006" s="24"/>
      <c r="V1006" s="24"/>
      <c r="W1006" s="24"/>
      <c r="X1006" s="24"/>
      <c r="Y1006" s="24"/>
      <c r="Z1006" s="24"/>
      <c r="AA1006" s="24"/>
      <c r="AB1006" s="24"/>
      <c r="AC1006" s="24"/>
    </row>
    <row r="1007" spans="1:29" ht="16.3">
      <c r="A1007" s="24"/>
      <c r="B1007" s="24"/>
      <c r="C1007" s="24"/>
      <c r="D1007" s="24"/>
      <c r="E1007" s="24"/>
      <c r="F1007" s="24"/>
      <c r="G1007" s="117"/>
      <c r="H1007" s="117"/>
      <c r="I1007" s="118"/>
      <c r="J1007" s="119"/>
      <c r="K1007" s="119"/>
      <c r="L1007" s="24"/>
      <c r="M1007" s="24"/>
      <c r="N1007" s="24"/>
      <c r="O1007" s="24"/>
      <c r="P1007" s="114"/>
      <c r="Q1007" s="24"/>
      <c r="R1007" s="24"/>
      <c r="S1007" s="24"/>
      <c r="T1007" s="24"/>
      <c r="U1007" s="24"/>
      <c r="V1007" s="24"/>
      <c r="W1007" s="24"/>
      <c r="X1007" s="24"/>
      <c r="Y1007" s="24"/>
      <c r="Z1007" s="24"/>
      <c r="AA1007" s="24"/>
      <c r="AB1007" s="24"/>
      <c r="AC1007" s="24"/>
    </row>
    <row r="1008" spans="1:29" ht="16.3">
      <c r="A1008" s="24"/>
      <c r="B1008" s="24"/>
      <c r="C1008" s="24"/>
      <c r="D1008" s="24"/>
      <c r="E1008" s="24"/>
      <c r="F1008" s="24"/>
      <c r="G1008" s="117"/>
      <c r="H1008" s="117"/>
      <c r="I1008" s="118"/>
      <c r="J1008" s="119"/>
      <c r="K1008" s="119"/>
      <c r="L1008" s="24"/>
      <c r="M1008" s="24"/>
      <c r="N1008" s="24"/>
      <c r="O1008" s="24"/>
      <c r="P1008" s="114"/>
      <c r="Q1008" s="24"/>
      <c r="R1008" s="24"/>
      <c r="S1008" s="24"/>
      <c r="T1008" s="24"/>
      <c r="U1008" s="24"/>
      <c r="V1008" s="24"/>
      <c r="W1008" s="24"/>
      <c r="X1008" s="24"/>
      <c r="Y1008" s="24"/>
      <c r="Z1008" s="24"/>
      <c r="AA1008" s="24"/>
      <c r="AB1008" s="24"/>
      <c r="AC1008" s="24"/>
    </row>
    <row r="1009" spans="1:29" ht="16.3">
      <c r="A1009" s="24"/>
      <c r="B1009" s="24"/>
      <c r="C1009" s="24"/>
      <c r="D1009" s="24"/>
      <c r="E1009" s="24"/>
      <c r="F1009" s="24"/>
      <c r="G1009" s="117"/>
      <c r="H1009" s="117"/>
      <c r="I1009" s="118"/>
      <c r="J1009" s="119"/>
      <c r="K1009" s="119"/>
      <c r="L1009" s="24"/>
      <c r="M1009" s="24"/>
      <c r="N1009" s="24"/>
      <c r="O1009" s="24"/>
      <c r="P1009" s="114"/>
      <c r="Q1009" s="24"/>
      <c r="R1009" s="24"/>
      <c r="S1009" s="24"/>
      <c r="T1009" s="24"/>
      <c r="U1009" s="24"/>
      <c r="V1009" s="24"/>
      <c r="W1009" s="24"/>
      <c r="X1009" s="24"/>
      <c r="Y1009" s="24"/>
      <c r="Z1009" s="24"/>
      <c r="AA1009" s="24"/>
      <c r="AB1009" s="24"/>
      <c r="AC1009" s="24"/>
    </row>
    <row r="1010" spans="1:29" ht="16.3">
      <c r="A1010" s="24"/>
      <c r="B1010" s="24"/>
      <c r="C1010" s="24"/>
      <c r="D1010" s="24"/>
      <c r="E1010" s="24"/>
      <c r="F1010" s="24"/>
      <c r="G1010" s="117"/>
      <c r="H1010" s="117"/>
      <c r="I1010" s="118"/>
      <c r="J1010" s="119"/>
      <c r="K1010" s="119"/>
      <c r="L1010" s="24"/>
      <c r="M1010" s="24"/>
      <c r="N1010" s="24"/>
      <c r="O1010" s="24"/>
      <c r="P1010" s="114"/>
      <c r="Q1010" s="24"/>
      <c r="R1010" s="24"/>
      <c r="S1010" s="24"/>
      <c r="T1010" s="24"/>
      <c r="U1010" s="24"/>
      <c r="V1010" s="24"/>
      <c r="W1010" s="24"/>
      <c r="X1010" s="24"/>
      <c r="Y1010" s="24"/>
      <c r="Z1010" s="24"/>
      <c r="AA1010" s="24"/>
      <c r="AB1010" s="24"/>
      <c r="AC1010" s="24"/>
    </row>
    <row r="1011" spans="1:29" ht="16.3">
      <c r="A1011" s="24"/>
      <c r="B1011" s="24"/>
      <c r="C1011" s="24"/>
      <c r="D1011" s="24"/>
      <c r="E1011" s="24"/>
      <c r="F1011" s="24"/>
      <c r="G1011" s="117"/>
      <c r="H1011" s="117"/>
      <c r="I1011" s="118"/>
      <c r="J1011" s="119"/>
      <c r="K1011" s="119"/>
      <c r="L1011" s="24"/>
      <c r="M1011" s="24"/>
      <c r="N1011" s="24"/>
      <c r="O1011" s="24"/>
      <c r="P1011" s="114"/>
      <c r="Q1011" s="24"/>
      <c r="R1011" s="24"/>
      <c r="S1011" s="24"/>
      <c r="T1011" s="24"/>
      <c r="U1011" s="24"/>
      <c r="V1011" s="24"/>
      <c r="W1011" s="24"/>
      <c r="X1011" s="24"/>
      <c r="Y1011" s="24"/>
      <c r="Z1011" s="24"/>
      <c r="AA1011" s="24"/>
      <c r="AB1011" s="24"/>
      <c r="AC1011" s="24"/>
    </row>
    <row r="1012" spans="1:29" ht="16.3">
      <c r="A1012" s="24"/>
      <c r="B1012" s="24"/>
      <c r="C1012" s="24"/>
      <c r="D1012" s="24"/>
      <c r="E1012" s="24"/>
      <c r="F1012" s="24"/>
      <c r="G1012" s="117"/>
      <c r="H1012" s="117"/>
      <c r="I1012" s="118"/>
      <c r="J1012" s="119"/>
      <c r="K1012" s="119"/>
      <c r="L1012" s="24"/>
      <c r="M1012" s="24"/>
      <c r="N1012" s="24"/>
      <c r="O1012" s="24"/>
      <c r="P1012" s="114"/>
      <c r="Q1012" s="24"/>
      <c r="R1012" s="24"/>
      <c r="S1012" s="24"/>
      <c r="T1012" s="24"/>
      <c r="U1012" s="24"/>
      <c r="V1012" s="24"/>
      <c r="W1012" s="24"/>
      <c r="X1012" s="24"/>
      <c r="Y1012" s="24"/>
      <c r="Z1012" s="24"/>
      <c r="AA1012" s="24"/>
      <c r="AB1012" s="24"/>
      <c r="AC1012" s="24"/>
    </row>
    <row r="1013" spans="1:29" ht="16.3">
      <c r="A1013" s="24"/>
      <c r="B1013" s="24"/>
      <c r="C1013" s="24"/>
      <c r="D1013" s="24"/>
      <c r="E1013" s="24"/>
      <c r="F1013" s="24"/>
      <c r="G1013" s="117"/>
      <c r="H1013" s="117"/>
      <c r="I1013" s="118"/>
      <c r="J1013" s="119"/>
      <c r="K1013" s="119"/>
      <c r="L1013" s="24"/>
      <c r="M1013" s="24"/>
      <c r="N1013" s="24"/>
      <c r="O1013" s="24"/>
      <c r="P1013" s="114"/>
      <c r="Q1013" s="24"/>
      <c r="R1013" s="24"/>
      <c r="S1013" s="24"/>
      <c r="T1013" s="24"/>
      <c r="U1013" s="24"/>
      <c r="V1013" s="24"/>
      <c r="W1013" s="24"/>
      <c r="X1013" s="24"/>
      <c r="Y1013" s="24"/>
      <c r="Z1013" s="24"/>
      <c r="AA1013" s="24"/>
      <c r="AB1013" s="24"/>
      <c r="AC1013" s="24"/>
    </row>
    <row r="1014" spans="1:29" ht="16.3">
      <c r="A1014" s="24"/>
      <c r="B1014" s="24"/>
      <c r="C1014" s="24"/>
      <c r="D1014" s="24"/>
      <c r="E1014" s="24"/>
      <c r="F1014" s="24"/>
      <c r="G1014" s="117"/>
      <c r="H1014" s="117"/>
      <c r="I1014" s="118"/>
      <c r="J1014" s="119"/>
      <c r="K1014" s="119"/>
      <c r="L1014" s="24"/>
      <c r="M1014" s="24"/>
      <c r="N1014" s="24"/>
      <c r="O1014" s="24"/>
      <c r="P1014" s="114"/>
      <c r="Q1014" s="24"/>
      <c r="R1014" s="24"/>
      <c r="S1014" s="24"/>
      <c r="T1014" s="24"/>
      <c r="U1014" s="24"/>
      <c r="V1014" s="24"/>
      <c r="W1014" s="24"/>
      <c r="X1014" s="24"/>
      <c r="Y1014" s="24"/>
      <c r="Z1014" s="24"/>
      <c r="AA1014" s="24"/>
      <c r="AB1014" s="24"/>
      <c r="AC1014" s="24"/>
    </row>
    <row r="1015" spans="1:29" ht="16.3">
      <c r="A1015" s="24"/>
      <c r="B1015" s="24"/>
      <c r="C1015" s="24"/>
      <c r="D1015" s="24"/>
      <c r="E1015" s="24"/>
      <c r="F1015" s="24"/>
      <c r="G1015" s="117"/>
      <c r="H1015" s="117"/>
      <c r="I1015" s="118"/>
      <c r="J1015" s="119"/>
      <c r="K1015" s="119"/>
      <c r="L1015" s="24"/>
      <c r="M1015" s="24"/>
      <c r="N1015" s="24"/>
      <c r="O1015" s="24"/>
      <c r="P1015" s="114"/>
      <c r="Q1015" s="24"/>
      <c r="R1015" s="24"/>
      <c r="S1015" s="24"/>
      <c r="T1015" s="24"/>
      <c r="U1015" s="24"/>
      <c r="V1015" s="24"/>
      <c r="W1015" s="24"/>
      <c r="X1015" s="24"/>
      <c r="Y1015" s="24"/>
      <c r="Z1015" s="24"/>
      <c r="AA1015" s="24"/>
      <c r="AB1015" s="24"/>
      <c r="AC1015" s="24"/>
    </row>
    <row r="1016" spans="1:29" ht="16.3">
      <c r="A1016" s="24"/>
      <c r="B1016" s="24"/>
      <c r="C1016" s="24"/>
      <c r="D1016" s="24"/>
      <c r="E1016" s="24"/>
      <c r="F1016" s="24"/>
      <c r="G1016" s="117"/>
      <c r="H1016" s="117"/>
      <c r="I1016" s="118"/>
      <c r="J1016" s="119"/>
      <c r="K1016" s="119"/>
      <c r="L1016" s="24"/>
      <c r="M1016" s="24"/>
      <c r="N1016" s="24"/>
      <c r="O1016" s="24"/>
      <c r="P1016" s="114"/>
      <c r="Q1016" s="24"/>
      <c r="R1016" s="24"/>
      <c r="S1016" s="24"/>
      <c r="T1016" s="24"/>
      <c r="U1016" s="24"/>
      <c r="V1016" s="24"/>
      <c r="W1016" s="24"/>
      <c r="X1016" s="24"/>
      <c r="Y1016" s="24"/>
      <c r="Z1016" s="24"/>
      <c r="AA1016" s="24"/>
      <c r="AB1016" s="24"/>
      <c r="AC1016" s="24"/>
    </row>
    <row r="1017" spans="1:29" ht="16.3">
      <c r="A1017" s="24"/>
      <c r="B1017" s="24"/>
      <c r="C1017" s="24"/>
      <c r="D1017" s="24"/>
      <c r="E1017" s="24"/>
      <c r="F1017" s="24"/>
      <c r="G1017" s="117"/>
      <c r="H1017" s="117"/>
      <c r="I1017" s="118"/>
      <c r="J1017" s="119"/>
      <c r="K1017" s="119"/>
      <c r="L1017" s="24"/>
      <c r="M1017" s="24"/>
      <c r="N1017" s="24"/>
      <c r="O1017" s="24"/>
      <c r="P1017" s="114"/>
      <c r="Q1017" s="24"/>
      <c r="R1017" s="24"/>
      <c r="S1017" s="24"/>
      <c r="T1017" s="24"/>
      <c r="U1017" s="24"/>
      <c r="V1017" s="24"/>
      <c r="W1017" s="24"/>
      <c r="X1017" s="24"/>
      <c r="Y1017" s="24"/>
      <c r="Z1017" s="24"/>
      <c r="AA1017" s="24"/>
      <c r="AB1017" s="24"/>
      <c r="AC1017" s="24"/>
    </row>
    <row r="1018" spans="1:29" ht="16.3">
      <c r="A1018" s="24"/>
      <c r="B1018" s="24"/>
      <c r="C1018" s="24"/>
      <c r="D1018" s="24"/>
      <c r="E1018" s="24"/>
      <c r="F1018" s="24"/>
      <c r="G1018" s="117"/>
      <c r="H1018" s="117"/>
      <c r="I1018" s="118"/>
      <c r="J1018" s="119"/>
      <c r="K1018" s="119"/>
      <c r="L1018" s="24"/>
      <c r="M1018" s="24"/>
      <c r="N1018" s="24"/>
      <c r="O1018" s="24"/>
      <c r="P1018" s="114"/>
      <c r="Q1018" s="24"/>
      <c r="R1018" s="24"/>
      <c r="S1018" s="24"/>
      <c r="T1018" s="24"/>
      <c r="U1018" s="24"/>
      <c r="V1018" s="24"/>
      <c r="W1018" s="24"/>
      <c r="X1018" s="24"/>
      <c r="Y1018" s="24"/>
      <c r="Z1018" s="24"/>
      <c r="AA1018" s="24"/>
      <c r="AB1018" s="24"/>
      <c r="AC1018" s="24"/>
    </row>
    <row r="1019" spans="1:29" ht="16.3">
      <c r="A1019" s="24"/>
      <c r="B1019" s="24"/>
      <c r="C1019" s="24"/>
      <c r="D1019" s="24"/>
      <c r="E1019" s="24"/>
      <c r="F1019" s="24"/>
      <c r="G1019" s="117"/>
      <c r="H1019" s="117"/>
      <c r="I1019" s="118"/>
      <c r="J1019" s="119"/>
      <c r="K1019" s="119"/>
      <c r="L1019" s="24"/>
      <c r="M1019" s="24"/>
      <c r="N1019" s="24"/>
      <c r="O1019" s="24"/>
      <c r="P1019" s="114"/>
      <c r="Q1019" s="24"/>
      <c r="R1019" s="24"/>
      <c r="S1019" s="24"/>
      <c r="T1019" s="24"/>
      <c r="U1019" s="24"/>
      <c r="V1019" s="24"/>
      <c r="W1019" s="24"/>
      <c r="X1019" s="24"/>
      <c r="Y1019" s="24"/>
      <c r="Z1019" s="24"/>
      <c r="AA1019" s="24"/>
      <c r="AB1019" s="24"/>
      <c r="AC1019" s="24"/>
    </row>
    <row r="1020" spans="1:29" ht="16.3">
      <c r="A1020" s="24"/>
      <c r="B1020" s="24"/>
      <c r="C1020" s="24"/>
      <c r="D1020" s="24"/>
      <c r="E1020" s="24"/>
      <c r="F1020" s="24"/>
      <c r="G1020" s="117"/>
      <c r="H1020" s="117"/>
      <c r="I1020" s="118"/>
      <c r="J1020" s="119"/>
      <c r="K1020" s="119"/>
      <c r="L1020" s="24"/>
      <c r="M1020" s="24"/>
      <c r="N1020" s="24"/>
      <c r="O1020" s="24"/>
      <c r="P1020" s="114"/>
      <c r="Q1020" s="24"/>
      <c r="R1020" s="24"/>
      <c r="S1020" s="24"/>
      <c r="T1020" s="24"/>
      <c r="U1020" s="24"/>
      <c r="V1020" s="24"/>
      <c r="W1020" s="24"/>
      <c r="X1020" s="24"/>
      <c r="Y1020" s="24"/>
      <c r="Z1020" s="24"/>
      <c r="AA1020" s="24"/>
      <c r="AB1020" s="24"/>
      <c r="AC1020" s="24"/>
    </row>
    <row r="1021" spans="1:29" ht="16.3">
      <c r="A1021" s="24"/>
      <c r="B1021" s="24"/>
      <c r="C1021" s="24"/>
      <c r="D1021" s="24"/>
      <c r="E1021" s="24"/>
      <c r="F1021" s="24"/>
      <c r="G1021" s="117"/>
      <c r="H1021" s="117"/>
      <c r="I1021" s="118"/>
      <c r="J1021" s="119"/>
      <c r="K1021" s="119"/>
      <c r="L1021" s="24"/>
      <c r="M1021" s="24"/>
      <c r="N1021" s="24"/>
      <c r="O1021" s="24"/>
      <c r="P1021" s="114"/>
      <c r="Q1021" s="24"/>
      <c r="R1021" s="24"/>
      <c r="S1021" s="24"/>
      <c r="T1021" s="24"/>
      <c r="U1021" s="24"/>
      <c r="V1021" s="24"/>
      <c r="W1021" s="24"/>
      <c r="X1021" s="24"/>
      <c r="Y1021" s="24"/>
      <c r="Z1021" s="24"/>
      <c r="AA1021" s="24"/>
      <c r="AB1021" s="24"/>
      <c r="AC1021" s="24"/>
    </row>
    <row r="1022" spans="1:29" ht="16.3">
      <c r="A1022" s="24"/>
      <c r="B1022" s="24"/>
      <c r="C1022" s="24"/>
      <c r="D1022" s="24"/>
      <c r="E1022" s="24"/>
      <c r="F1022" s="24"/>
      <c r="G1022" s="117"/>
      <c r="H1022" s="117"/>
      <c r="I1022" s="118"/>
      <c r="J1022" s="119"/>
      <c r="K1022" s="119"/>
      <c r="L1022" s="24"/>
      <c r="M1022" s="24"/>
      <c r="N1022" s="24"/>
      <c r="O1022" s="24"/>
      <c r="P1022" s="114"/>
      <c r="Q1022" s="24"/>
      <c r="R1022" s="24"/>
      <c r="S1022" s="24"/>
      <c r="T1022" s="24"/>
      <c r="U1022" s="24"/>
      <c r="V1022" s="24"/>
      <c r="W1022" s="24"/>
      <c r="X1022" s="24"/>
      <c r="Y1022" s="24"/>
      <c r="Z1022" s="24"/>
      <c r="AA1022" s="24"/>
      <c r="AB1022" s="24"/>
      <c r="AC1022" s="24"/>
    </row>
    <row r="1023" spans="1:29" ht="16.3">
      <c r="A1023" s="24"/>
      <c r="B1023" s="24"/>
      <c r="C1023" s="24"/>
      <c r="D1023" s="24"/>
      <c r="E1023" s="24"/>
      <c r="F1023" s="24"/>
      <c r="G1023" s="117"/>
      <c r="H1023" s="117"/>
      <c r="I1023" s="118"/>
      <c r="J1023" s="119"/>
      <c r="K1023" s="119"/>
      <c r="L1023" s="24"/>
      <c r="M1023" s="24"/>
      <c r="N1023" s="24"/>
      <c r="O1023" s="24"/>
      <c r="P1023" s="114"/>
      <c r="Q1023" s="24"/>
      <c r="R1023" s="24"/>
      <c r="S1023" s="24"/>
      <c r="T1023" s="24"/>
      <c r="U1023" s="24"/>
      <c r="V1023" s="24"/>
      <c r="W1023" s="24"/>
      <c r="X1023" s="24"/>
      <c r="Y1023" s="24"/>
      <c r="Z1023" s="24"/>
      <c r="AA1023" s="24"/>
      <c r="AB1023" s="24"/>
      <c r="AC1023" s="24"/>
    </row>
    <row r="1024" spans="1:29" ht="16.3">
      <c r="A1024" s="24"/>
      <c r="B1024" s="24"/>
      <c r="C1024" s="24"/>
      <c r="D1024" s="24"/>
      <c r="E1024" s="24"/>
      <c r="F1024" s="24"/>
      <c r="G1024" s="117"/>
      <c r="H1024" s="117"/>
      <c r="I1024" s="118"/>
      <c r="J1024" s="119"/>
      <c r="K1024" s="119"/>
      <c r="L1024" s="24"/>
      <c r="M1024" s="24"/>
      <c r="N1024" s="24"/>
      <c r="O1024" s="24"/>
      <c r="P1024" s="114"/>
      <c r="Q1024" s="24"/>
      <c r="R1024" s="24"/>
      <c r="S1024" s="24"/>
      <c r="T1024" s="24"/>
      <c r="U1024" s="24"/>
      <c r="V1024" s="24"/>
      <c r="W1024" s="24"/>
      <c r="X1024" s="24"/>
      <c r="Y1024" s="24"/>
      <c r="Z1024" s="24"/>
      <c r="AA1024" s="24"/>
      <c r="AB1024" s="24"/>
      <c r="AC1024" s="24"/>
    </row>
    <row r="1025" spans="1:29" ht="16.3">
      <c r="A1025" s="24"/>
      <c r="B1025" s="24"/>
      <c r="C1025" s="24"/>
      <c r="D1025" s="24"/>
      <c r="E1025" s="24"/>
      <c r="F1025" s="24"/>
      <c r="G1025" s="117"/>
      <c r="H1025" s="117"/>
      <c r="I1025" s="118"/>
      <c r="J1025" s="119"/>
      <c r="K1025" s="119"/>
      <c r="L1025" s="24"/>
      <c r="M1025" s="24"/>
      <c r="N1025" s="24"/>
      <c r="O1025" s="24"/>
      <c r="P1025" s="114"/>
      <c r="Q1025" s="24"/>
      <c r="R1025" s="24"/>
      <c r="S1025" s="24"/>
      <c r="T1025" s="24"/>
      <c r="U1025" s="24"/>
      <c r="V1025" s="24"/>
      <c r="W1025" s="24"/>
      <c r="X1025" s="24"/>
      <c r="Y1025" s="24"/>
      <c r="Z1025" s="24"/>
      <c r="AA1025" s="24"/>
      <c r="AB1025" s="24"/>
      <c r="AC1025" s="24"/>
    </row>
    <row r="1026" spans="1:29" ht="16.3">
      <c r="A1026" s="24"/>
      <c r="B1026" s="24"/>
      <c r="C1026" s="24"/>
      <c r="D1026" s="24"/>
      <c r="E1026" s="24"/>
      <c r="F1026" s="24"/>
      <c r="G1026" s="117"/>
      <c r="H1026" s="117"/>
      <c r="I1026" s="118"/>
      <c r="J1026" s="119"/>
      <c r="K1026" s="119"/>
      <c r="L1026" s="24"/>
      <c r="M1026" s="24"/>
      <c r="N1026" s="24"/>
      <c r="O1026" s="24"/>
      <c r="P1026" s="114"/>
      <c r="Q1026" s="24"/>
      <c r="R1026" s="24"/>
      <c r="S1026" s="24"/>
      <c r="T1026" s="24"/>
      <c r="U1026" s="24"/>
      <c r="V1026" s="24"/>
      <c r="W1026" s="24"/>
      <c r="X1026" s="24"/>
      <c r="Y1026" s="24"/>
      <c r="Z1026" s="24"/>
      <c r="AA1026" s="24"/>
      <c r="AB1026" s="24"/>
      <c r="AC1026" s="24"/>
    </row>
    <row r="1027" spans="1:29" ht="16.3">
      <c r="A1027" s="24"/>
      <c r="B1027" s="24"/>
      <c r="C1027" s="24"/>
      <c r="D1027" s="24"/>
      <c r="E1027" s="24"/>
      <c r="F1027" s="24"/>
      <c r="G1027" s="117"/>
      <c r="H1027" s="117"/>
      <c r="I1027" s="118"/>
      <c r="J1027" s="119"/>
      <c r="K1027" s="119"/>
      <c r="L1027" s="24"/>
      <c r="M1027" s="24"/>
      <c r="N1027" s="24"/>
      <c r="O1027" s="24"/>
      <c r="P1027" s="114"/>
      <c r="Q1027" s="24"/>
      <c r="R1027" s="24"/>
      <c r="S1027" s="24"/>
      <c r="T1027" s="24"/>
      <c r="U1027" s="24"/>
      <c r="V1027" s="24"/>
      <c r="W1027" s="24"/>
      <c r="X1027" s="24"/>
      <c r="Y1027" s="24"/>
      <c r="Z1027" s="24"/>
      <c r="AA1027" s="24"/>
      <c r="AB1027" s="24"/>
      <c r="AC1027" s="24"/>
    </row>
    <row r="1028" spans="1:29" ht="16.3">
      <c r="A1028" s="24"/>
      <c r="B1028" s="24"/>
      <c r="C1028" s="24"/>
      <c r="D1028" s="24"/>
      <c r="E1028" s="24"/>
      <c r="F1028" s="24"/>
      <c r="G1028" s="117"/>
      <c r="H1028" s="117"/>
      <c r="I1028" s="118"/>
      <c r="J1028" s="119"/>
      <c r="K1028" s="119"/>
      <c r="L1028" s="24"/>
      <c r="M1028" s="24"/>
      <c r="N1028" s="24"/>
      <c r="O1028" s="24"/>
      <c r="P1028" s="114"/>
      <c r="Q1028" s="24"/>
      <c r="R1028" s="24"/>
      <c r="S1028" s="24"/>
      <c r="T1028" s="24"/>
      <c r="U1028" s="24"/>
      <c r="V1028" s="24"/>
      <c r="W1028" s="24"/>
      <c r="X1028" s="24"/>
      <c r="Y1028" s="24"/>
      <c r="Z1028" s="24"/>
      <c r="AA1028" s="24"/>
      <c r="AB1028" s="24"/>
      <c r="AC1028" s="24"/>
    </row>
    <row r="1029" spans="1:29" ht="16.3">
      <c r="A1029" s="24"/>
      <c r="B1029" s="24"/>
      <c r="C1029" s="24"/>
      <c r="D1029" s="24"/>
      <c r="E1029" s="24"/>
      <c r="F1029" s="24"/>
      <c r="G1029" s="117"/>
      <c r="H1029" s="117"/>
      <c r="I1029" s="118"/>
      <c r="J1029" s="119"/>
      <c r="K1029" s="119"/>
      <c r="L1029" s="24"/>
      <c r="M1029" s="24"/>
      <c r="N1029" s="24"/>
      <c r="O1029" s="24"/>
      <c r="P1029" s="114"/>
      <c r="Q1029" s="24"/>
      <c r="R1029" s="24"/>
      <c r="S1029" s="24"/>
      <c r="T1029" s="24"/>
      <c r="U1029" s="24"/>
      <c r="V1029" s="24"/>
      <c r="W1029" s="24"/>
      <c r="X1029" s="24"/>
      <c r="Y1029" s="24"/>
      <c r="Z1029" s="24"/>
      <c r="AA1029" s="24"/>
      <c r="AB1029" s="24"/>
      <c r="AC1029" s="24"/>
    </row>
    <row r="1030" spans="1:29" ht="16.3">
      <c r="A1030" s="24"/>
      <c r="B1030" s="24"/>
      <c r="C1030" s="24"/>
      <c r="D1030" s="24"/>
      <c r="E1030" s="24"/>
      <c r="F1030" s="24"/>
      <c r="G1030" s="117"/>
      <c r="H1030" s="117"/>
      <c r="I1030" s="118"/>
      <c r="J1030" s="119"/>
      <c r="K1030" s="119"/>
      <c r="L1030" s="24"/>
      <c r="M1030" s="24"/>
      <c r="N1030" s="24"/>
      <c r="O1030" s="24"/>
      <c r="P1030" s="114"/>
      <c r="Q1030" s="24"/>
      <c r="R1030" s="24"/>
      <c r="S1030" s="24"/>
      <c r="T1030" s="24"/>
      <c r="U1030" s="24"/>
      <c r="V1030" s="24"/>
      <c r="W1030" s="24"/>
      <c r="X1030" s="24"/>
      <c r="Y1030" s="24"/>
      <c r="Z1030" s="24"/>
      <c r="AA1030" s="24"/>
      <c r="AB1030" s="24"/>
      <c r="AC1030" s="24"/>
    </row>
    <row r="1031" spans="1:29" ht="16.3">
      <c r="A1031" s="24"/>
      <c r="B1031" s="24"/>
      <c r="C1031" s="24"/>
      <c r="D1031" s="24"/>
      <c r="E1031" s="24"/>
      <c r="F1031" s="24"/>
      <c r="G1031" s="117"/>
      <c r="H1031" s="117"/>
      <c r="I1031" s="118"/>
      <c r="J1031" s="119"/>
      <c r="K1031" s="119"/>
      <c r="L1031" s="24"/>
      <c r="M1031" s="24"/>
      <c r="N1031" s="24"/>
      <c r="O1031" s="24"/>
      <c r="P1031" s="114"/>
      <c r="Q1031" s="24"/>
      <c r="R1031" s="24"/>
      <c r="S1031" s="24"/>
      <c r="T1031" s="24"/>
      <c r="U1031" s="24"/>
      <c r="V1031" s="24"/>
      <c r="W1031" s="24"/>
      <c r="X1031" s="24"/>
      <c r="Y1031" s="24"/>
      <c r="Z1031" s="24"/>
      <c r="AA1031" s="24"/>
      <c r="AB1031" s="24"/>
      <c r="AC1031" s="24"/>
    </row>
    <row r="1032" spans="1:29" ht="16.3">
      <c r="A1032" s="24"/>
      <c r="B1032" s="24"/>
      <c r="C1032" s="24"/>
      <c r="D1032" s="24"/>
      <c r="E1032" s="24"/>
      <c r="F1032" s="24"/>
      <c r="G1032" s="117"/>
      <c r="H1032" s="117"/>
      <c r="I1032" s="118"/>
      <c r="J1032" s="119"/>
      <c r="K1032" s="119"/>
      <c r="L1032" s="24"/>
      <c r="M1032" s="24"/>
      <c r="N1032" s="24"/>
      <c r="O1032" s="24"/>
      <c r="P1032" s="114"/>
      <c r="Q1032" s="24"/>
      <c r="R1032" s="24"/>
      <c r="S1032" s="24"/>
      <c r="T1032" s="24"/>
      <c r="U1032" s="24"/>
      <c r="V1032" s="24"/>
      <c r="W1032" s="24"/>
      <c r="X1032" s="24"/>
      <c r="Y1032" s="24"/>
      <c r="Z1032" s="24"/>
      <c r="AA1032" s="24"/>
      <c r="AB1032" s="24"/>
      <c r="AC1032" s="24"/>
    </row>
    <row r="1033" spans="1:29" ht="16.3">
      <c r="A1033" s="24"/>
      <c r="B1033" s="24"/>
      <c r="C1033" s="24"/>
      <c r="D1033" s="24"/>
      <c r="E1033" s="24"/>
      <c r="F1033" s="24"/>
      <c r="G1033" s="117"/>
      <c r="H1033" s="117"/>
      <c r="I1033" s="118"/>
      <c r="J1033" s="119"/>
      <c r="K1033" s="119"/>
      <c r="L1033" s="24"/>
      <c r="M1033" s="24"/>
      <c r="N1033" s="24"/>
      <c r="O1033" s="24"/>
      <c r="P1033" s="114"/>
      <c r="Q1033" s="24"/>
      <c r="R1033" s="24"/>
      <c r="S1033" s="24"/>
      <c r="T1033" s="24"/>
      <c r="U1033" s="24"/>
      <c r="V1033" s="24"/>
      <c r="W1033" s="24"/>
      <c r="X1033" s="24"/>
      <c r="Y1033" s="24"/>
      <c r="Z1033" s="24"/>
      <c r="AA1033" s="24"/>
      <c r="AB1033" s="24"/>
      <c r="AC1033" s="24"/>
    </row>
    <row r="1034" spans="1:29" ht="16.3">
      <c r="A1034" s="24"/>
      <c r="B1034" s="24"/>
      <c r="C1034" s="24"/>
      <c r="D1034" s="24"/>
      <c r="E1034" s="24"/>
      <c r="F1034" s="24"/>
      <c r="G1034" s="117"/>
      <c r="H1034" s="117"/>
      <c r="I1034" s="118"/>
      <c r="J1034" s="119"/>
      <c r="K1034" s="119"/>
      <c r="L1034" s="24"/>
      <c r="M1034" s="24"/>
      <c r="N1034" s="24"/>
      <c r="O1034" s="24"/>
      <c r="P1034" s="114"/>
      <c r="Q1034" s="24"/>
      <c r="R1034" s="24"/>
      <c r="S1034" s="24"/>
      <c r="T1034" s="24"/>
      <c r="U1034" s="24"/>
      <c r="V1034" s="24"/>
      <c r="W1034" s="24"/>
      <c r="X1034" s="24"/>
      <c r="Y1034" s="24"/>
      <c r="Z1034" s="24"/>
      <c r="AA1034" s="24"/>
      <c r="AB1034" s="24"/>
      <c r="AC1034" s="24"/>
    </row>
    <row r="1035" spans="1:29" ht="16.3">
      <c r="A1035" s="24"/>
      <c r="B1035" s="24"/>
      <c r="C1035" s="24"/>
      <c r="D1035" s="24"/>
      <c r="E1035" s="24"/>
      <c r="F1035" s="24"/>
      <c r="G1035" s="117"/>
      <c r="H1035" s="117"/>
      <c r="I1035" s="118"/>
      <c r="J1035" s="119"/>
      <c r="K1035" s="119"/>
      <c r="L1035" s="24"/>
      <c r="M1035" s="24"/>
      <c r="N1035" s="24"/>
      <c r="O1035" s="24"/>
      <c r="P1035" s="114"/>
      <c r="Q1035" s="24"/>
      <c r="R1035" s="24"/>
      <c r="S1035" s="24"/>
      <c r="T1035" s="24"/>
      <c r="U1035" s="24"/>
      <c r="V1035" s="24"/>
      <c r="W1035" s="24"/>
      <c r="X1035" s="24"/>
      <c r="Y1035" s="24"/>
      <c r="Z1035" s="24"/>
      <c r="AA1035" s="24"/>
      <c r="AB1035" s="24"/>
      <c r="AC1035" s="24"/>
    </row>
    <row r="1036" spans="1:29" ht="16.3">
      <c r="A1036" s="24"/>
      <c r="B1036" s="24"/>
      <c r="C1036" s="24"/>
      <c r="D1036" s="24"/>
      <c r="E1036" s="24"/>
      <c r="F1036" s="24"/>
      <c r="G1036" s="117"/>
      <c r="H1036" s="117"/>
      <c r="I1036" s="118"/>
      <c r="J1036" s="119"/>
      <c r="K1036" s="119"/>
      <c r="L1036" s="24"/>
      <c r="M1036" s="24"/>
      <c r="N1036" s="24"/>
      <c r="O1036" s="24"/>
      <c r="P1036" s="114"/>
      <c r="Q1036" s="24"/>
      <c r="R1036" s="24"/>
      <c r="S1036" s="24"/>
      <c r="T1036" s="24"/>
      <c r="U1036" s="24"/>
      <c r="V1036" s="24"/>
      <c r="W1036" s="24"/>
      <c r="X1036" s="24"/>
      <c r="Y1036" s="24"/>
      <c r="Z1036" s="24"/>
      <c r="AA1036" s="24"/>
      <c r="AB1036" s="24"/>
      <c r="AC1036" s="24"/>
    </row>
    <row r="1037" spans="1:29" ht="16.3">
      <c r="A1037" s="24"/>
      <c r="B1037" s="24"/>
      <c r="C1037" s="24"/>
      <c r="D1037" s="24"/>
      <c r="E1037" s="24"/>
      <c r="F1037" s="24"/>
      <c r="G1037" s="117"/>
      <c r="H1037" s="117"/>
      <c r="I1037" s="118"/>
      <c r="J1037" s="119"/>
      <c r="K1037" s="119"/>
      <c r="L1037" s="24"/>
      <c r="M1037" s="24"/>
      <c r="N1037" s="24"/>
      <c r="O1037" s="24"/>
      <c r="P1037" s="114"/>
      <c r="Q1037" s="24"/>
      <c r="R1037" s="24"/>
      <c r="S1037" s="24"/>
      <c r="T1037" s="24"/>
      <c r="U1037" s="24"/>
      <c r="V1037" s="24"/>
      <c r="W1037" s="24"/>
      <c r="X1037" s="24"/>
      <c r="Y1037" s="24"/>
      <c r="Z1037" s="24"/>
      <c r="AA1037" s="24"/>
      <c r="AB1037" s="24"/>
      <c r="AC1037" s="24"/>
    </row>
    <row r="1038" spans="1:29" ht="16.3">
      <c r="A1038" s="24"/>
      <c r="B1038" s="24"/>
      <c r="C1038" s="24"/>
      <c r="D1038" s="24"/>
      <c r="E1038" s="24"/>
      <c r="F1038" s="24"/>
      <c r="G1038" s="117"/>
      <c r="H1038" s="117"/>
      <c r="I1038" s="118"/>
      <c r="J1038" s="119"/>
      <c r="K1038" s="119"/>
      <c r="L1038" s="24"/>
      <c r="M1038" s="24"/>
      <c r="N1038" s="24"/>
      <c r="O1038" s="24"/>
      <c r="P1038" s="114"/>
      <c r="Q1038" s="24"/>
      <c r="R1038" s="24"/>
      <c r="S1038" s="24"/>
      <c r="T1038" s="24"/>
      <c r="U1038" s="24"/>
      <c r="V1038" s="24"/>
      <c r="W1038" s="24"/>
      <c r="X1038" s="24"/>
      <c r="Y1038" s="24"/>
      <c r="Z1038" s="24"/>
      <c r="AA1038" s="24"/>
      <c r="AB1038" s="24"/>
      <c r="AC1038" s="24"/>
    </row>
    <row r="1039" spans="1:29" ht="16.3">
      <c r="A1039" s="24"/>
      <c r="B1039" s="24"/>
      <c r="C1039" s="24"/>
      <c r="D1039" s="24"/>
      <c r="E1039" s="24"/>
      <c r="F1039" s="24"/>
      <c r="G1039" s="117"/>
      <c r="H1039" s="117"/>
      <c r="I1039" s="118"/>
      <c r="J1039" s="119"/>
      <c r="K1039" s="119"/>
      <c r="L1039" s="24"/>
      <c r="M1039" s="24"/>
      <c r="N1039" s="24"/>
      <c r="O1039" s="24"/>
      <c r="P1039" s="114"/>
      <c r="Q1039" s="24"/>
      <c r="R1039" s="24"/>
      <c r="S1039" s="24"/>
      <c r="T1039" s="24"/>
      <c r="U1039" s="24"/>
      <c r="V1039" s="24"/>
      <c r="W1039" s="24"/>
      <c r="X1039" s="24"/>
      <c r="Y1039" s="24"/>
      <c r="Z1039" s="24"/>
      <c r="AA1039" s="24"/>
      <c r="AB1039" s="24"/>
      <c r="AC1039" s="24"/>
    </row>
    <row r="1040" spans="1:29" ht="16.3">
      <c r="A1040" s="24"/>
      <c r="B1040" s="24"/>
      <c r="C1040" s="24"/>
      <c r="D1040" s="24"/>
      <c r="E1040" s="24"/>
      <c r="F1040" s="24"/>
      <c r="G1040" s="117"/>
      <c r="H1040" s="117"/>
      <c r="I1040" s="118"/>
      <c r="J1040" s="119"/>
      <c r="K1040" s="119"/>
      <c r="L1040" s="24"/>
      <c r="M1040" s="24"/>
      <c r="N1040" s="24"/>
      <c r="O1040" s="24"/>
      <c r="P1040" s="114"/>
      <c r="Q1040" s="24"/>
      <c r="R1040" s="24"/>
      <c r="S1040" s="24"/>
      <c r="T1040" s="24"/>
      <c r="U1040" s="24"/>
      <c r="V1040" s="24"/>
      <c r="W1040" s="24"/>
      <c r="X1040" s="24"/>
      <c r="Y1040" s="24"/>
      <c r="Z1040" s="24"/>
      <c r="AA1040" s="24"/>
      <c r="AB1040" s="24"/>
      <c r="AC1040" s="24"/>
    </row>
    <row r="1041" spans="1:29" ht="16.3">
      <c r="A1041" s="24"/>
      <c r="B1041" s="24"/>
      <c r="C1041" s="24"/>
      <c r="D1041" s="24"/>
      <c r="E1041" s="24"/>
      <c r="F1041" s="24"/>
      <c r="G1041" s="117"/>
      <c r="H1041" s="117"/>
      <c r="I1041" s="118"/>
      <c r="J1041" s="119"/>
      <c r="K1041" s="119"/>
      <c r="L1041" s="24"/>
      <c r="M1041" s="24"/>
      <c r="N1041" s="24"/>
      <c r="O1041" s="24"/>
      <c r="P1041" s="114"/>
      <c r="Q1041" s="24"/>
      <c r="R1041" s="24"/>
      <c r="S1041" s="24"/>
      <c r="T1041" s="24"/>
      <c r="U1041" s="24"/>
      <c r="V1041" s="24"/>
      <c r="W1041" s="24"/>
      <c r="X1041" s="24"/>
      <c r="Y1041" s="24"/>
      <c r="Z1041" s="24"/>
      <c r="AA1041" s="24"/>
      <c r="AB1041" s="24"/>
      <c r="AC1041" s="24"/>
    </row>
    <row r="1042" spans="1:29" ht="16.3">
      <c r="A1042" s="24"/>
      <c r="B1042" s="24"/>
      <c r="C1042" s="24"/>
      <c r="D1042" s="24"/>
      <c r="E1042" s="24"/>
      <c r="F1042" s="24"/>
      <c r="G1042" s="117"/>
      <c r="H1042" s="117"/>
      <c r="I1042" s="118"/>
      <c r="J1042" s="119"/>
      <c r="K1042" s="119"/>
      <c r="L1042" s="24"/>
      <c r="M1042" s="24"/>
      <c r="N1042" s="24"/>
      <c r="O1042" s="24"/>
      <c r="P1042" s="114"/>
      <c r="Q1042" s="24"/>
      <c r="R1042" s="24"/>
      <c r="S1042" s="24"/>
      <c r="T1042" s="24"/>
      <c r="U1042" s="24"/>
      <c r="V1042" s="24"/>
      <c r="W1042" s="24"/>
      <c r="X1042" s="24"/>
      <c r="Y1042" s="24"/>
      <c r="Z1042" s="24"/>
      <c r="AA1042" s="24"/>
      <c r="AB1042" s="24"/>
      <c r="AC1042" s="24"/>
    </row>
    <row r="1043" spans="1:29" ht="16.3">
      <c r="A1043" s="24"/>
      <c r="B1043" s="24"/>
      <c r="C1043" s="24"/>
      <c r="D1043" s="24"/>
      <c r="E1043" s="24"/>
      <c r="F1043" s="24"/>
      <c r="G1043" s="117"/>
      <c r="H1043" s="117"/>
      <c r="I1043" s="118"/>
      <c r="J1043" s="119"/>
      <c r="K1043" s="119"/>
      <c r="L1043" s="24"/>
      <c r="M1043" s="24"/>
      <c r="N1043" s="24"/>
      <c r="O1043" s="24"/>
      <c r="P1043" s="114"/>
      <c r="Q1043" s="24"/>
      <c r="R1043" s="24"/>
      <c r="S1043" s="24"/>
      <c r="T1043" s="24"/>
      <c r="U1043" s="24"/>
      <c r="V1043" s="24"/>
      <c r="W1043" s="24"/>
      <c r="X1043" s="24"/>
      <c r="Y1043" s="24"/>
      <c r="Z1043" s="24"/>
      <c r="AA1043" s="24"/>
      <c r="AB1043" s="24"/>
      <c r="AC1043" s="24"/>
    </row>
    <row r="1044" spans="1:29" ht="16.3">
      <c r="A1044" s="24"/>
      <c r="B1044" s="24"/>
      <c r="C1044" s="24"/>
      <c r="D1044" s="24"/>
      <c r="E1044" s="24"/>
      <c r="F1044" s="24"/>
      <c r="G1044" s="117"/>
      <c r="H1044" s="117"/>
      <c r="I1044" s="118"/>
      <c r="J1044" s="119"/>
      <c r="K1044" s="119"/>
      <c r="L1044" s="24"/>
      <c r="M1044" s="24"/>
      <c r="N1044" s="24"/>
      <c r="O1044" s="24"/>
      <c r="P1044" s="114"/>
      <c r="Q1044" s="24"/>
      <c r="R1044" s="24"/>
      <c r="S1044" s="24"/>
      <c r="T1044" s="24"/>
      <c r="U1044" s="24"/>
      <c r="V1044" s="24"/>
      <c r="W1044" s="24"/>
      <c r="X1044" s="24"/>
      <c r="Y1044" s="24"/>
      <c r="Z1044" s="24"/>
      <c r="AA1044" s="24"/>
      <c r="AB1044" s="24"/>
      <c r="AC1044" s="24"/>
    </row>
    <row r="1045" spans="1:29" ht="16.3">
      <c r="A1045" s="24"/>
      <c r="B1045" s="24"/>
      <c r="C1045" s="24"/>
      <c r="D1045" s="24"/>
      <c r="E1045" s="24"/>
      <c r="F1045" s="24"/>
      <c r="G1045" s="117"/>
      <c r="H1045" s="117"/>
      <c r="I1045" s="118"/>
      <c r="J1045" s="119"/>
      <c r="K1045" s="119"/>
      <c r="L1045" s="24"/>
      <c r="M1045" s="24"/>
      <c r="N1045" s="24"/>
      <c r="O1045" s="24"/>
      <c r="P1045" s="114"/>
      <c r="Q1045" s="24"/>
      <c r="R1045" s="24"/>
      <c r="S1045" s="24"/>
      <c r="T1045" s="24"/>
      <c r="U1045" s="24"/>
      <c r="V1045" s="24"/>
      <c r="W1045" s="24"/>
      <c r="X1045" s="24"/>
      <c r="Y1045" s="24"/>
      <c r="Z1045" s="24"/>
      <c r="AA1045" s="24"/>
      <c r="AB1045" s="24"/>
      <c r="AC1045" s="24"/>
    </row>
    <row r="1046" spans="1:29" ht="16.3">
      <c r="A1046" s="24"/>
      <c r="B1046" s="24"/>
      <c r="C1046" s="24"/>
      <c r="D1046" s="24"/>
      <c r="E1046" s="24"/>
      <c r="F1046" s="24"/>
      <c r="G1046" s="117"/>
      <c r="H1046" s="117"/>
      <c r="I1046" s="118"/>
      <c r="J1046" s="119"/>
      <c r="K1046" s="119"/>
      <c r="L1046" s="24"/>
      <c r="M1046" s="24"/>
      <c r="N1046" s="24"/>
      <c r="O1046" s="24"/>
      <c r="P1046" s="114"/>
      <c r="Q1046" s="24"/>
      <c r="R1046" s="24"/>
      <c r="S1046" s="24"/>
      <c r="T1046" s="24"/>
      <c r="U1046" s="24"/>
      <c r="V1046" s="24"/>
      <c r="W1046" s="24"/>
      <c r="X1046" s="24"/>
      <c r="Y1046" s="24"/>
      <c r="Z1046" s="24"/>
      <c r="AA1046" s="24"/>
      <c r="AB1046" s="24"/>
      <c r="AC1046" s="24"/>
    </row>
    <row r="1047" spans="1:29" ht="16.3">
      <c r="A1047" s="24"/>
      <c r="B1047" s="24"/>
      <c r="C1047" s="24"/>
      <c r="D1047" s="24"/>
      <c r="E1047" s="24"/>
      <c r="F1047" s="24"/>
      <c r="G1047" s="117"/>
      <c r="H1047" s="117"/>
      <c r="I1047" s="118"/>
      <c r="J1047" s="119"/>
      <c r="K1047" s="119"/>
      <c r="L1047" s="24"/>
      <c r="M1047" s="24"/>
      <c r="N1047" s="24"/>
      <c r="O1047" s="24"/>
      <c r="P1047" s="114"/>
      <c r="Q1047" s="24"/>
      <c r="R1047" s="24"/>
      <c r="S1047" s="24"/>
      <c r="T1047" s="24"/>
      <c r="U1047" s="24"/>
      <c r="V1047" s="24"/>
      <c r="W1047" s="24"/>
      <c r="X1047" s="24"/>
      <c r="Y1047" s="24"/>
      <c r="Z1047" s="24"/>
      <c r="AA1047" s="24"/>
      <c r="AB1047" s="24"/>
      <c r="AC1047" s="24"/>
    </row>
    <row r="1048" spans="1:29" ht="16.3">
      <c r="A1048" s="24"/>
      <c r="B1048" s="24"/>
      <c r="C1048" s="24"/>
      <c r="D1048" s="24"/>
      <c r="E1048" s="24"/>
      <c r="F1048" s="24"/>
      <c r="G1048" s="117"/>
      <c r="H1048" s="117"/>
      <c r="I1048" s="118"/>
      <c r="J1048" s="119"/>
      <c r="K1048" s="119"/>
      <c r="L1048" s="24"/>
      <c r="M1048" s="24"/>
      <c r="N1048" s="24"/>
      <c r="O1048" s="24"/>
      <c r="P1048" s="114"/>
      <c r="Q1048" s="24"/>
      <c r="R1048" s="24"/>
      <c r="S1048" s="24"/>
      <c r="T1048" s="24"/>
      <c r="U1048" s="24"/>
      <c r="V1048" s="24"/>
      <c r="W1048" s="24"/>
      <c r="X1048" s="24"/>
      <c r="Y1048" s="24"/>
      <c r="Z1048" s="24"/>
      <c r="AA1048" s="24"/>
      <c r="AB1048" s="24"/>
      <c r="AC1048" s="24"/>
    </row>
    <row r="1049" spans="1:29" ht="16.3">
      <c r="A1049" s="24"/>
      <c r="B1049" s="24"/>
      <c r="C1049" s="24"/>
      <c r="D1049" s="24"/>
      <c r="E1049" s="24"/>
      <c r="F1049" s="24"/>
      <c r="G1049" s="117"/>
      <c r="H1049" s="117"/>
      <c r="I1049" s="118"/>
      <c r="J1049" s="119"/>
      <c r="K1049" s="119"/>
      <c r="L1049" s="24"/>
      <c r="M1049" s="24"/>
      <c r="N1049" s="24"/>
      <c r="O1049" s="24"/>
      <c r="P1049" s="114"/>
      <c r="Q1049" s="24"/>
      <c r="R1049" s="24"/>
      <c r="S1049" s="24"/>
      <c r="T1049" s="24"/>
      <c r="U1049" s="24"/>
      <c r="V1049" s="24"/>
      <c r="W1049" s="24"/>
      <c r="X1049" s="24"/>
      <c r="Y1049" s="24"/>
      <c r="Z1049" s="24"/>
      <c r="AA1049" s="24"/>
      <c r="AB1049" s="24"/>
      <c r="AC1049" s="24"/>
    </row>
    <row r="1050" spans="1:29" ht="16.3">
      <c r="A1050" s="24"/>
      <c r="B1050" s="24"/>
      <c r="C1050" s="24"/>
      <c r="D1050" s="24"/>
      <c r="E1050" s="24"/>
      <c r="F1050" s="24"/>
      <c r="G1050" s="117"/>
      <c r="H1050" s="117"/>
      <c r="I1050" s="118"/>
      <c r="J1050" s="119"/>
      <c r="K1050" s="119"/>
      <c r="L1050" s="24"/>
      <c r="M1050" s="24"/>
      <c r="N1050" s="24"/>
      <c r="O1050" s="24"/>
      <c r="P1050" s="114"/>
      <c r="Q1050" s="24"/>
      <c r="R1050" s="24"/>
      <c r="S1050" s="24"/>
      <c r="T1050" s="24"/>
      <c r="U1050" s="24"/>
      <c r="V1050" s="24"/>
      <c r="W1050" s="24"/>
      <c r="X1050" s="24"/>
      <c r="Y1050" s="24"/>
      <c r="Z1050" s="24"/>
      <c r="AA1050" s="24"/>
      <c r="AB1050" s="24"/>
      <c r="AC1050" s="24"/>
    </row>
    <row r="1051" spans="1:29" ht="16.3">
      <c r="A1051" s="24"/>
      <c r="B1051" s="24"/>
      <c r="C1051" s="24"/>
      <c r="D1051" s="24"/>
      <c r="E1051" s="24"/>
      <c r="F1051" s="24"/>
      <c r="G1051" s="117"/>
      <c r="H1051" s="117"/>
      <c r="I1051" s="118"/>
      <c r="J1051" s="119"/>
      <c r="K1051" s="119"/>
      <c r="L1051" s="24"/>
      <c r="M1051" s="24"/>
      <c r="N1051" s="24"/>
      <c r="O1051" s="24"/>
      <c r="P1051" s="114"/>
      <c r="Q1051" s="24"/>
      <c r="R1051" s="24"/>
      <c r="S1051" s="24"/>
      <c r="T1051" s="24"/>
      <c r="U1051" s="24"/>
      <c r="V1051" s="24"/>
      <c r="W1051" s="24"/>
      <c r="X1051" s="24"/>
      <c r="Y1051" s="24"/>
      <c r="Z1051" s="24"/>
      <c r="AA1051" s="24"/>
      <c r="AB1051" s="24"/>
      <c r="AC1051" s="24"/>
    </row>
    <row r="1052" spans="1:29" ht="16.3">
      <c r="A1052" s="24"/>
      <c r="B1052" s="24"/>
      <c r="C1052" s="24"/>
      <c r="D1052" s="24"/>
      <c r="E1052" s="24"/>
      <c r="F1052" s="24"/>
      <c r="G1052" s="117"/>
      <c r="H1052" s="117"/>
      <c r="I1052" s="118"/>
      <c r="J1052" s="119"/>
      <c r="K1052" s="119"/>
      <c r="L1052" s="24"/>
      <c r="M1052" s="24"/>
      <c r="N1052" s="24"/>
      <c r="O1052" s="24"/>
      <c r="P1052" s="114"/>
      <c r="Q1052" s="24"/>
      <c r="R1052" s="24"/>
      <c r="S1052" s="24"/>
      <c r="T1052" s="24"/>
      <c r="U1052" s="24"/>
      <c r="V1052" s="24"/>
      <c r="W1052" s="24"/>
      <c r="X1052" s="24"/>
      <c r="Y1052" s="24"/>
      <c r="Z1052" s="24"/>
      <c r="AA1052" s="24"/>
      <c r="AB1052" s="24"/>
      <c r="AC1052" s="24"/>
    </row>
    <row r="1053" spans="1:29" ht="16.3">
      <c r="A1053" s="24"/>
      <c r="B1053" s="24"/>
      <c r="C1053" s="24"/>
      <c r="D1053" s="24"/>
      <c r="E1053" s="24"/>
      <c r="F1053" s="24"/>
      <c r="G1053" s="117"/>
      <c r="H1053" s="117"/>
      <c r="I1053" s="118"/>
      <c r="J1053" s="119"/>
      <c r="K1053" s="119"/>
      <c r="L1053" s="24"/>
      <c r="M1053" s="24"/>
      <c r="N1053" s="24"/>
      <c r="O1053" s="24"/>
      <c r="P1053" s="114"/>
      <c r="Q1053" s="24"/>
      <c r="R1053" s="24"/>
      <c r="S1053" s="24"/>
      <c r="T1053" s="24"/>
      <c r="U1053" s="24"/>
      <c r="V1053" s="24"/>
      <c r="W1053" s="24"/>
      <c r="X1053" s="24"/>
      <c r="Y1053" s="24"/>
      <c r="Z1053" s="24"/>
      <c r="AA1053" s="24"/>
      <c r="AB1053" s="24"/>
      <c r="AC1053" s="24"/>
    </row>
    <row r="1054" spans="1:29" ht="16.3">
      <c r="A1054" s="24"/>
      <c r="B1054" s="24"/>
      <c r="C1054" s="24"/>
      <c r="D1054" s="24"/>
      <c r="E1054" s="24"/>
      <c r="F1054" s="24"/>
      <c r="G1054" s="117"/>
      <c r="H1054" s="117"/>
      <c r="I1054" s="118"/>
      <c r="J1054" s="119"/>
      <c r="K1054" s="119"/>
      <c r="L1054" s="24"/>
      <c r="M1054" s="24"/>
      <c r="N1054" s="24"/>
      <c r="O1054" s="24"/>
      <c r="P1054" s="114"/>
      <c r="Q1054" s="24"/>
      <c r="R1054" s="24"/>
      <c r="S1054" s="24"/>
      <c r="T1054" s="24"/>
      <c r="U1054" s="24"/>
      <c r="V1054" s="24"/>
      <c r="W1054" s="24"/>
      <c r="X1054" s="24"/>
      <c r="Y1054" s="24"/>
      <c r="Z1054" s="24"/>
      <c r="AA1054" s="24"/>
      <c r="AB1054" s="24"/>
      <c r="AC1054" s="24"/>
    </row>
    <row r="1055" spans="1:29" ht="16.3">
      <c r="A1055" s="24"/>
      <c r="B1055" s="24"/>
      <c r="C1055" s="24"/>
      <c r="D1055" s="24"/>
      <c r="E1055" s="24"/>
      <c r="F1055" s="24"/>
      <c r="G1055" s="117"/>
      <c r="H1055" s="117"/>
      <c r="I1055" s="118"/>
      <c r="J1055" s="119"/>
      <c r="K1055" s="119"/>
      <c r="L1055" s="24"/>
      <c r="M1055" s="24"/>
      <c r="N1055" s="24"/>
      <c r="O1055" s="24"/>
      <c r="P1055" s="114"/>
      <c r="Q1055" s="24"/>
      <c r="R1055" s="24"/>
      <c r="S1055" s="24"/>
      <c r="T1055" s="24"/>
      <c r="U1055" s="24"/>
      <c r="V1055" s="24"/>
      <c r="W1055" s="24"/>
      <c r="X1055" s="24"/>
      <c r="Y1055" s="24"/>
      <c r="Z1055" s="24"/>
      <c r="AA1055" s="24"/>
      <c r="AB1055" s="24"/>
      <c r="AC1055" s="24"/>
    </row>
    <row r="1056" spans="1:29" ht="16.3">
      <c r="A1056" s="24"/>
      <c r="B1056" s="24"/>
      <c r="C1056" s="24"/>
      <c r="D1056" s="24"/>
      <c r="E1056" s="24"/>
      <c r="F1056" s="24"/>
      <c r="G1056" s="117"/>
      <c r="H1056" s="117"/>
      <c r="I1056" s="118"/>
      <c r="J1056" s="119"/>
      <c r="K1056" s="119"/>
      <c r="L1056" s="24"/>
      <c r="M1056" s="24"/>
      <c r="N1056" s="24"/>
      <c r="O1056" s="24"/>
      <c r="P1056" s="114"/>
      <c r="Q1056" s="24"/>
      <c r="R1056" s="24"/>
      <c r="S1056" s="24"/>
      <c r="T1056" s="24"/>
      <c r="U1056" s="24"/>
      <c r="V1056" s="24"/>
      <c r="W1056" s="24"/>
      <c r="X1056" s="24"/>
      <c r="Y1056" s="24"/>
      <c r="Z1056" s="24"/>
      <c r="AA1056" s="24"/>
      <c r="AB1056" s="24"/>
      <c r="AC1056" s="24"/>
    </row>
    <row r="1057" spans="1:29" ht="16.3">
      <c r="A1057" s="24"/>
      <c r="B1057" s="24"/>
      <c r="C1057" s="24"/>
      <c r="D1057" s="24"/>
      <c r="E1057" s="24"/>
      <c r="F1057" s="24"/>
      <c r="G1057" s="117"/>
      <c r="H1057" s="117"/>
      <c r="I1057" s="118"/>
      <c r="J1057" s="119"/>
      <c r="K1057" s="119"/>
      <c r="L1057" s="24"/>
      <c r="M1057" s="24"/>
      <c r="N1057" s="24"/>
      <c r="O1057" s="24"/>
      <c r="P1057" s="114"/>
      <c r="Q1057" s="24"/>
      <c r="R1057" s="24"/>
      <c r="S1057" s="24"/>
      <c r="T1057" s="24"/>
      <c r="U1057" s="24"/>
      <c r="V1057" s="24"/>
      <c r="W1057" s="24"/>
      <c r="X1057" s="24"/>
      <c r="Y1057" s="24"/>
      <c r="Z1057" s="24"/>
      <c r="AA1057" s="24"/>
      <c r="AB1057" s="24"/>
      <c r="AC1057" s="24"/>
    </row>
    <row r="1058" spans="1:29" ht="16.3">
      <c r="A1058" s="24"/>
      <c r="B1058" s="24"/>
      <c r="C1058" s="24"/>
      <c r="D1058" s="24"/>
      <c r="E1058" s="24"/>
      <c r="F1058" s="24"/>
      <c r="G1058" s="117"/>
      <c r="H1058" s="117"/>
      <c r="I1058" s="118"/>
      <c r="J1058" s="119"/>
      <c r="K1058" s="119"/>
      <c r="L1058" s="24"/>
      <c r="M1058" s="24"/>
      <c r="N1058" s="24"/>
      <c r="O1058" s="24"/>
      <c r="P1058" s="114"/>
      <c r="Q1058" s="24"/>
      <c r="R1058" s="24"/>
      <c r="S1058" s="24"/>
      <c r="T1058" s="24"/>
      <c r="U1058" s="24"/>
      <c r="V1058" s="24"/>
      <c r="W1058" s="24"/>
      <c r="X1058" s="24"/>
      <c r="Y1058" s="24"/>
      <c r="Z1058" s="24"/>
      <c r="AA1058" s="24"/>
      <c r="AB1058" s="24"/>
      <c r="AC1058" s="24"/>
    </row>
    <row r="1059" spans="1:29" ht="16.3">
      <c r="A1059" s="24"/>
      <c r="B1059" s="24"/>
      <c r="C1059" s="24"/>
      <c r="D1059" s="24"/>
      <c r="E1059" s="24"/>
      <c r="F1059" s="24"/>
      <c r="G1059" s="117"/>
      <c r="H1059" s="117"/>
      <c r="I1059" s="118"/>
      <c r="J1059" s="119"/>
      <c r="K1059" s="119"/>
      <c r="L1059" s="24"/>
      <c r="M1059" s="24"/>
      <c r="N1059" s="24"/>
      <c r="O1059" s="24"/>
      <c r="P1059" s="114"/>
      <c r="Q1059" s="24"/>
      <c r="R1059" s="24"/>
      <c r="S1059" s="24"/>
      <c r="T1059" s="24"/>
      <c r="U1059" s="24"/>
      <c r="V1059" s="24"/>
      <c r="W1059" s="24"/>
      <c r="X1059" s="24"/>
      <c r="Y1059" s="24"/>
      <c r="Z1059" s="24"/>
      <c r="AA1059" s="24"/>
      <c r="AB1059" s="24"/>
      <c r="AC1059" s="24"/>
    </row>
    <row r="1060" spans="1:29" ht="16.3">
      <c r="A1060" s="24"/>
      <c r="B1060" s="24"/>
      <c r="C1060" s="24"/>
      <c r="D1060" s="24"/>
      <c r="E1060" s="24"/>
      <c r="F1060" s="24"/>
      <c r="G1060" s="117"/>
      <c r="H1060" s="117"/>
      <c r="I1060" s="118"/>
      <c r="J1060" s="119"/>
      <c r="K1060" s="119"/>
      <c r="L1060" s="24"/>
      <c r="M1060" s="24"/>
      <c r="N1060" s="24"/>
      <c r="O1060" s="24"/>
      <c r="P1060" s="114"/>
      <c r="Q1060" s="24"/>
      <c r="R1060" s="24"/>
      <c r="S1060" s="24"/>
      <c r="T1060" s="24"/>
      <c r="U1060" s="24"/>
      <c r="V1060" s="24"/>
      <c r="W1060" s="24"/>
      <c r="X1060" s="24"/>
      <c r="Y1060" s="24"/>
      <c r="Z1060" s="24"/>
      <c r="AA1060" s="24"/>
      <c r="AB1060" s="24"/>
      <c r="AC1060" s="24"/>
    </row>
    <row r="1061" spans="1:29" ht="16.3">
      <c r="A1061" s="24"/>
      <c r="B1061" s="24"/>
      <c r="C1061" s="24"/>
      <c r="D1061" s="24"/>
      <c r="E1061" s="24"/>
      <c r="F1061" s="24"/>
      <c r="G1061" s="117"/>
      <c r="H1061" s="117"/>
      <c r="I1061" s="118"/>
      <c r="J1061" s="119"/>
      <c r="K1061" s="119"/>
      <c r="L1061" s="24"/>
      <c r="M1061" s="24"/>
      <c r="N1061" s="24"/>
      <c r="O1061" s="24"/>
      <c r="P1061" s="114"/>
      <c r="Q1061" s="24"/>
      <c r="R1061" s="24"/>
      <c r="S1061" s="24"/>
      <c r="T1061" s="24"/>
      <c r="U1061" s="24"/>
      <c r="V1061" s="24"/>
      <c r="W1061" s="24"/>
      <c r="X1061" s="24"/>
      <c r="Y1061" s="24"/>
      <c r="Z1061" s="24"/>
      <c r="AA1061" s="24"/>
      <c r="AB1061" s="24"/>
      <c r="AC1061" s="24"/>
    </row>
    <row r="1062" spans="1:29" ht="16.3">
      <c r="A1062" s="24"/>
      <c r="B1062" s="24"/>
      <c r="C1062" s="24"/>
      <c r="D1062" s="24"/>
      <c r="E1062" s="24"/>
      <c r="F1062" s="24"/>
      <c r="G1062" s="117"/>
      <c r="H1062" s="117"/>
      <c r="I1062" s="118"/>
      <c r="J1062" s="119"/>
      <c r="K1062" s="119"/>
      <c r="L1062" s="24"/>
      <c r="M1062" s="24"/>
      <c r="N1062" s="24"/>
      <c r="O1062" s="24"/>
      <c r="P1062" s="114"/>
      <c r="Q1062" s="24"/>
      <c r="R1062" s="24"/>
      <c r="S1062" s="24"/>
      <c r="T1062" s="24"/>
      <c r="U1062" s="24"/>
      <c r="V1062" s="24"/>
      <c r="W1062" s="24"/>
      <c r="X1062" s="24"/>
      <c r="Y1062" s="24"/>
      <c r="Z1062" s="24"/>
      <c r="AA1062" s="24"/>
      <c r="AB1062" s="24"/>
      <c r="AC1062" s="24"/>
    </row>
    <row r="1063" spans="1:29" ht="16.3">
      <c r="A1063" s="24"/>
      <c r="B1063" s="24"/>
      <c r="C1063" s="24"/>
      <c r="D1063" s="24"/>
      <c r="E1063" s="24"/>
      <c r="F1063" s="24"/>
      <c r="G1063" s="117"/>
      <c r="H1063" s="117"/>
      <c r="I1063" s="118"/>
      <c r="J1063" s="119"/>
      <c r="K1063" s="119"/>
      <c r="L1063" s="24"/>
      <c r="M1063" s="24"/>
      <c r="N1063" s="24"/>
      <c r="O1063" s="24"/>
      <c r="P1063" s="114"/>
      <c r="Q1063" s="24"/>
      <c r="R1063" s="24"/>
      <c r="S1063" s="24"/>
      <c r="T1063" s="24"/>
      <c r="U1063" s="24"/>
      <c r="V1063" s="24"/>
      <c r="W1063" s="24"/>
      <c r="X1063" s="24"/>
      <c r="Y1063" s="24"/>
      <c r="Z1063" s="24"/>
      <c r="AA1063" s="24"/>
      <c r="AB1063" s="24"/>
      <c r="AC1063" s="24"/>
    </row>
    <row r="1064" spans="1:29" ht="16.3">
      <c r="A1064" s="24"/>
      <c r="B1064" s="24"/>
      <c r="C1064" s="24"/>
      <c r="D1064" s="24"/>
      <c r="E1064" s="24"/>
      <c r="F1064" s="24"/>
      <c r="G1064" s="117"/>
      <c r="H1064" s="117"/>
      <c r="I1064" s="118"/>
      <c r="J1064" s="119"/>
      <c r="K1064" s="119"/>
      <c r="L1064" s="24"/>
      <c r="M1064" s="24"/>
      <c r="N1064" s="24"/>
      <c r="O1064" s="24"/>
      <c r="P1064" s="114"/>
      <c r="Q1064" s="24"/>
      <c r="R1064" s="24"/>
      <c r="S1064" s="24"/>
      <c r="T1064" s="24"/>
      <c r="U1064" s="24"/>
      <c r="V1064" s="24"/>
      <c r="W1064" s="24"/>
      <c r="X1064" s="24"/>
      <c r="Y1064" s="24"/>
      <c r="Z1064" s="24"/>
      <c r="AA1064" s="24"/>
      <c r="AB1064" s="24"/>
      <c r="AC1064" s="24"/>
    </row>
    <row r="1065" spans="1:29" ht="16.3">
      <c r="A1065" s="24"/>
      <c r="B1065" s="24"/>
      <c r="C1065" s="24"/>
      <c r="D1065" s="24"/>
      <c r="E1065" s="24"/>
      <c r="F1065" s="24"/>
      <c r="G1065" s="117"/>
      <c r="H1065" s="117"/>
      <c r="I1065" s="118"/>
      <c r="J1065" s="119"/>
      <c r="K1065" s="119"/>
      <c r="L1065" s="24"/>
      <c r="M1065" s="24"/>
      <c r="N1065" s="24"/>
      <c r="O1065" s="24"/>
      <c r="P1065" s="114"/>
      <c r="Q1065" s="24"/>
      <c r="R1065" s="24"/>
      <c r="S1065" s="24"/>
      <c r="T1065" s="24"/>
      <c r="U1065" s="24"/>
      <c r="V1065" s="24"/>
      <c r="W1065" s="24"/>
      <c r="X1065" s="24"/>
      <c r="Y1065" s="24"/>
      <c r="Z1065" s="24"/>
      <c r="AA1065" s="24"/>
      <c r="AB1065" s="24"/>
      <c r="AC1065" s="24"/>
    </row>
    <row r="1066" spans="1:29" ht="16.3">
      <c r="A1066" s="24"/>
      <c r="B1066" s="24"/>
      <c r="C1066" s="24"/>
      <c r="D1066" s="24"/>
      <c r="E1066" s="24"/>
      <c r="F1066" s="24"/>
      <c r="G1066" s="117"/>
      <c r="H1066" s="117"/>
      <c r="I1066" s="118"/>
      <c r="J1066" s="119"/>
      <c r="K1066" s="119"/>
      <c r="L1066" s="24"/>
      <c r="M1066" s="24"/>
      <c r="N1066" s="24"/>
      <c r="O1066" s="24"/>
      <c r="P1066" s="114"/>
      <c r="Q1066" s="24"/>
      <c r="R1066" s="24"/>
      <c r="S1066" s="24"/>
      <c r="T1066" s="24"/>
      <c r="U1066" s="24"/>
      <c r="V1066" s="24"/>
      <c r="W1066" s="24"/>
      <c r="X1066" s="24"/>
      <c r="Y1066" s="24"/>
      <c r="Z1066" s="24"/>
      <c r="AA1066" s="24"/>
      <c r="AB1066" s="24"/>
      <c r="AC1066" s="24"/>
    </row>
    <row r="1067" spans="1:29" ht="16.3">
      <c r="A1067" s="24"/>
      <c r="B1067" s="24"/>
      <c r="C1067" s="24"/>
      <c r="D1067" s="24"/>
      <c r="E1067" s="24"/>
      <c r="F1067" s="24"/>
      <c r="G1067" s="117"/>
      <c r="H1067" s="117"/>
      <c r="I1067" s="118"/>
      <c r="J1067" s="119"/>
      <c r="K1067" s="119"/>
      <c r="L1067" s="24"/>
      <c r="M1067" s="24"/>
      <c r="N1067" s="24"/>
      <c r="O1067" s="24"/>
      <c r="P1067" s="114"/>
      <c r="Q1067" s="24"/>
      <c r="R1067" s="24"/>
      <c r="S1067" s="24"/>
      <c r="T1067" s="24"/>
      <c r="U1067" s="24"/>
      <c r="V1067" s="24"/>
      <c r="W1067" s="24"/>
      <c r="X1067" s="24"/>
      <c r="Y1067" s="24"/>
      <c r="Z1067" s="24"/>
      <c r="AA1067" s="24"/>
      <c r="AB1067" s="24"/>
      <c r="AC1067" s="24"/>
    </row>
    <row r="1068" spans="1:29" ht="16.3">
      <c r="A1068" s="24"/>
      <c r="B1068" s="24"/>
      <c r="C1068" s="24"/>
      <c r="D1068" s="24"/>
      <c r="E1068" s="24"/>
      <c r="F1068" s="24"/>
      <c r="G1068" s="117"/>
      <c r="H1068" s="117"/>
      <c r="I1068" s="118"/>
      <c r="J1068" s="119"/>
      <c r="K1068" s="119"/>
      <c r="L1068" s="24"/>
      <c r="M1068" s="24"/>
      <c r="N1068" s="24"/>
      <c r="O1068" s="24"/>
      <c r="P1068" s="114"/>
      <c r="Q1068" s="24"/>
      <c r="R1068" s="24"/>
      <c r="S1068" s="24"/>
      <c r="T1068" s="24"/>
      <c r="U1068" s="24"/>
      <c r="V1068" s="24"/>
      <c r="W1068" s="24"/>
      <c r="X1068" s="24"/>
      <c r="Y1068" s="24"/>
      <c r="Z1068" s="24"/>
      <c r="AA1068" s="24"/>
      <c r="AB1068" s="24"/>
      <c r="AC1068" s="24"/>
    </row>
    <row r="1069" spans="1:29" ht="16.3">
      <c r="A1069" s="24"/>
      <c r="B1069" s="24"/>
      <c r="C1069" s="24"/>
      <c r="D1069" s="24"/>
      <c r="E1069" s="24"/>
      <c r="F1069" s="24"/>
      <c r="G1069" s="117"/>
      <c r="H1069" s="117"/>
      <c r="I1069" s="118"/>
      <c r="J1069" s="119"/>
      <c r="K1069" s="119"/>
      <c r="L1069" s="24"/>
      <c r="M1069" s="24"/>
      <c r="N1069" s="24"/>
      <c r="O1069" s="24"/>
      <c r="P1069" s="114"/>
      <c r="Q1069" s="24"/>
      <c r="R1069" s="24"/>
      <c r="S1069" s="24"/>
      <c r="T1069" s="24"/>
      <c r="U1069" s="24"/>
      <c r="V1069" s="24"/>
      <c r="W1069" s="24"/>
      <c r="X1069" s="24"/>
      <c r="Y1069" s="24"/>
      <c r="Z1069" s="24"/>
      <c r="AA1069" s="24"/>
      <c r="AB1069" s="24"/>
      <c r="AC1069" s="24"/>
    </row>
    <row r="1070" spans="1:29" ht="16.3">
      <c r="A1070" s="24"/>
      <c r="B1070" s="24"/>
      <c r="C1070" s="24"/>
      <c r="D1070" s="24"/>
      <c r="E1070" s="24"/>
      <c r="F1070" s="24"/>
      <c r="G1070" s="117"/>
      <c r="H1070" s="117"/>
      <c r="I1070" s="118"/>
      <c r="J1070" s="119"/>
      <c r="K1070" s="119"/>
      <c r="L1070" s="24"/>
      <c r="M1070" s="24"/>
      <c r="N1070" s="24"/>
      <c r="O1070" s="24"/>
      <c r="P1070" s="114"/>
      <c r="Q1070" s="24"/>
      <c r="R1070" s="24"/>
      <c r="S1070" s="24"/>
      <c r="T1070" s="24"/>
      <c r="U1070" s="24"/>
      <c r="V1070" s="24"/>
      <c r="W1070" s="24"/>
      <c r="X1070" s="24"/>
      <c r="Y1070" s="24"/>
      <c r="Z1070" s="24"/>
      <c r="AA1070" s="24"/>
      <c r="AB1070" s="24"/>
      <c r="AC1070" s="24"/>
    </row>
    <row r="1071" spans="1:29" ht="16.3">
      <c r="A1071" s="24"/>
      <c r="B1071" s="24"/>
      <c r="C1071" s="24"/>
      <c r="D1071" s="24"/>
      <c r="E1071" s="24"/>
      <c r="F1071" s="24"/>
      <c r="G1071" s="117"/>
      <c r="H1071" s="117"/>
      <c r="I1071" s="118"/>
      <c r="J1071" s="119"/>
      <c r="K1071" s="119"/>
      <c r="L1071" s="24"/>
      <c r="M1071" s="24"/>
      <c r="N1071" s="24"/>
      <c r="O1071" s="24"/>
      <c r="P1071" s="114"/>
      <c r="Q1071" s="24"/>
      <c r="R1071" s="24"/>
      <c r="S1071" s="24"/>
      <c r="T1071" s="24"/>
      <c r="U1071" s="24"/>
      <c r="V1071" s="24"/>
      <c r="W1071" s="24"/>
      <c r="X1071" s="24"/>
      <c r="Y1071" s="24"/>
      <c r="Z1071" s="24"/>
      <c r="AA1071" s="24"/>
      <c r="AB1071" s="24"/>
      <c r="AC1071" s="24"/>
    </row>
    <row r="1072" spans="1:29" ht="16.3">
      <c r="A1072" s="24"/>
      <c r="B1072" s="24"/>
      <c r="C1072" s="24"/>
      <c r="D1072" s="24"/>
      <c r="E1072" s="24"/>
      <c r="F1072" s="24"/>
      <c r="G1072" s="117"/>
      <c r="H1072" s="117"/>
      <c r="I1072" s="118"/>
      <c r="J1072" s="119"/>
      <c r="K1072" s="119"/>
      <c r="L1072" s="24"/>
      <c r="M1072" s="24"/>
      <c r="N1072" s="24"/>
      <c r="O1072" s="24"/>
      <c r="P1072" s="114"/>
      <c r="Q1072" s="24"/>
      <c r="R1072" s="24"/>
      <c r="S1072" s="24"/>
      <c r="T1072" s="24"/>
      <c r="U1072" s="24"/>
      <c r="V1072" s="24"/>
      <c r="W1072" s="24"/>
      <c r="X1072" s="24"/>
      <c r="Y1072" s="24"/>
      <c r="Z1072" s="24"/>
      <c r="AA1072" s="24"/>
      <c r="AB1072" s="24"/>
      <c r="AC1072" s="24"/>
    </row>
    <row r="1073" spans="1:29" ht="16.3">
      <c r="A1073" s="24"/>
      <c r="B1073" s="24"/>
      <c r="C1073" s="24"/>
      <c r="D1073" s="24"/>
      <c r="E1073" s="24"/>
      <c r="F1073" s="24"/>
      <c r="G1073" s="117"/>
      <c r="H1073" s="117"/>
      <c r="I1073" s="118"/>
      <c r="J1073" s="119"/>
      <c r="K1073" s="119"/>
      <c r="L1073" s="24"/>
      <c r="M1073" s="24"/>
      <c r="N1073" s="24"/>
      <c r="O1073" s="24"/>
      <c r="P1073" s="114"/>
      <c r="Q1073" s="24"/>
      <c r="R1073" s="24"/>
      <c r="S1073" s="24"/>
      <c r="T1073" s="24"/>
      <c r="U1073" s="24"/>
      <c r="V1073" s="24"/>
      <c r="W1073" s="24"/>
      <c r="X1073" s="24"/>
      <c r="Y1073" s="24"/>
      <c r="Z1073" s="24"/>
      <c r="AA1073" s="24"/>
      <c r="AB1073" s="24"/>
      <c r="AC1073" s="24"/>
    </row>
    <row r="1074" spans="1:29" ht="16.3">
      <c r="A1074" s="24"/>
      <c r="B1074" s="24"/>
      <c r="C1074" s="24"/>
      <c r="D1074" s="24"/>
      <c r="E1074" s="24"/>
      <c r="F1074" s="24"/>
      <c r="G1074" s="117"/>
      <c r="H1074" s="117"/>
      <c r="I1074" s="118"/>
      <c r="J1074" s="119"/>
      <c r="K1074" s="119"/>
      <c r="L1074" s="24"/>
      <c r="M1074" s="24"/>
      <c r="N1074" s="24"/>
      <c r="O1074" s="24"/>
      <c r="P1074" s="114"/>
      <c r="Q1074" s="24"/>
      <c r="R1074" s="24"/>
      <c r="S1074" s="24"/>
      <c r="T1074" s="24"/>
      <c r="U1074" s="24"/>
      <c r="V1074" s="24"/>
      <c r="W1074" s="24"/>
      <c r="X1074" s="24"/>
      <c r="Y1074" s="24"/>
      <c r="Z1074" s="24"/>
      <c r="AA1074" s="24"/>
      <c r="AB1074" s="24"/>
      <c r="AC1074" s="24"/>
    </row>
    <row r="1075" spans="1:29" ht="16.3">
      <c r="A1075" s="24"/>
      <c r="B1075" s="24"/>
      <c r="C1075" s="24"/>
      <c r="D1075" s="24"/>
      <c r="E1075" s="24"/>
      <c r="F1075" s="24"/>
      <c r="G1075" s="117"/>
      <c r="H1075" s="117"/>
      <c r="I1075" s="118"/>
      <c r="J1075" s="119"/>
      <c r="K1075" s="119"/>
      <c r="L1075" s="24"/>
      <c r="M1075" s="24"/>
      <c r="N1075" s="24"/>
      <c r="O1075" s="24"/>
      <c r="P1075" s="114"/>
      <c r="Q1075" s="24"/>
      <c r="R1075" s="24"/>
      <c r="S1075" s="24"/>
      <c r="T1075" s="24"/>
      <c r="U1075" s="24"/>
      <c r="V1075" s="24"/>
      <c r="W1075" s="24"/>
      <c r="X1075" s="24"/>
      <c r="Y1075" s="24"/>
      <c r="Z1075" s="24"/>
      <c r="AA1075" s="24"/>
      <c r="AB1075" s="24"/>
      <c r="AC1075" s="24"/>
    </row>
    <row r="1076" spans="1:29" ht="16.3">
      <c r="A1076" s="24"/>
      <c r="B1076" s="24"/>
      <c r="C1076" s="24"/>
      <c r="D1076" s="24"/>
      <c r="E1076" s="24"/>
      <c r="F1076" s="24"/>
      <c r="G1076" s="117"/>
      <c r="H1076" s="117"/>
      <c r="I1076" s="118"/>
      <c r="J1076" s="119"/>
      <c r="K1076" s="119"/>
      <c r="L1076" s="24"/>
      <c r="M1076" s="24"/>
      <c r="N1076" s="24"/>
      <c r="O1076" s="24"/>
      <c r="P1076" s="114"/>
      <c r="Q1076" s="24"/>
      <c r="R1076" s="24"/>
      <c r="S1076" s="24"/>
      <c r="T1076" s="24"/>
      <c r="U1076" s="24"/>
      <c r="V1076" s="24"/>
      <c r="W1076" s="24"/>
      <c r="X1076" s="24"/>
      <c r="Y1076" s="24"/>
      <c r="Z1076" s="24"/>
      <c r="AA1076" s="24"/>
      <c r="AB1076" s="24"/>
      <c r="AC1076" s="24"/>
    </row>
    <row r="1077" spans="1:29" ht="16.3">
      <c r="A1077" s="24"/>
      <c r="B1077" s="24"/>
      <c r="C1077" s="24"/>
      <c r="D1077" s="24"/>
      <c r="E1077" s="24"/>
      <c r="F1077" s="24"/>
      <c r="G1077" s="117"/>
      <c r="H1077" s="117"/>
      <c r="I1077" s="118"/>
      <c r="J1077" s="119"/>
      <c r="K1077" s="119"/>
      <c r="L1077" s="24"/>
      <c r="M1077" s="24"/>
      <c r="N1077" s="24"/>
      <c r="O1077" s="24"/>
      <c r="P1077" s="114"/>
      <c r="Q1077" s="24"/>
      <c r="R1077" s="24"/>
      <c r="S1077" s="24"/>
      <c r="T1077" s="24"/>
      <c r="U1077" s="24"/>
      <c r="V1077" s="24"/>
      <c r="W1077" s="24"/>
      <c r="X1077" s="24"/>
      <c r="Y1077" s="24"/>
      <c r="Z1077" s="24"/>
      <c r="AA1077" s="24"/>
      <c r="AB1077" s="24"/>
      <c r="AC1077" s="24"/>
    </row>
    <row r="1078" spans="1:29" ht="16.3">
      <c r="A1078" s="24"/>
      <c r="B1078" s="24"/>
      <c r="C1078" s="24"/>
      <c r="D1078" s="24"/>
      <c r="E1078" s="24"/>
      <c r="F1078" s="24"/>
      <c r="G1078" s="117"/>
      <c r="H1078" s="117"/>
      <c r="I1078" s="118"/>
      <c r="J1078" s="119"/>
      <c r="K1078" s="119"/>
      <c r="L1078" s="24"/>
      <c r="M1078" s="24"/>
      <c r="N1078" s="24"/>
      <c r="O1078" s="24"/>
      <c r="P1078" s="114"/>
      <c r="Q1078" s="24"/>
      <c r="R1078" s="24"/>
      <c r="S1078" s="24"/>
      <c r="T1078" s="24"/>
      <c r="U1078" s="24"/>
      <c r="V1078" s="24"/>
      <c r="W1078" s="24"/>
      <c r="X1078" s="24"/>
      <c r="Y1078" s="24"/>
      <c r="Z1078" s="24"/>
      <c r="AA1078" s="24"/>
      <c r="AB1078" s="24"/>
      <c r="AC1078" s="24"/>
    </row>
    <row r="1079" spans="1:29" ht="16.3">
      <c r="A1079" s="24"/>
      <c r="B1079" s="24"/>
      <c r="C1079" s="24"/>
      <c r="D1079" s="24"/>
      <c r="E1079" s="24"/>
      <c r="F1079" s="24"/>
      <c r="G1079" s="117"/>
      <c r="H1079" s="117"/>
      <c r="I1079" s="118"/>
      <c r="J1079" s="119"/>
      <c r="K1079" s="119"/>
      <c r="L1079" s="24"/>
      <c r="M1079" s="24"/>
      <c r="N1079" s="24"/>
      <c r="O1079" s="24"/>
      <c r="P1079" s="114"/>
      <c r="Q1079" s="24"/>
      <c r="R1079" s="24"/>
      <c r="S1079" s="24"/>
      <c r="T1079" s="24"/>
      <c r="U1079" s="24"/>
      <c r="V1079" s="24"/>
      <c r="W1079" s="24"/>
      <c r="X1079" s="24"/>
      <c r="Y1079" s="24"/>
      <c r="Z1079" s="24"/>
      <c r="AA1079" s="24"/>
      <c r="AB1079" s="24"/>
      <c r="AC1079" s="24"/>
    </row>
    <row r="1080" spans="1:29" ht="16.3">
      <c r="A1080" s="24"/>
      <c r="B1080" s="24"/>
      <c r="C1080" s="24"/>
      <c r="D1080" s="24"/>
      <c r="E1080" s="24"/>
      <c r="F1080" s="24"/>
      <c r="G1080" s="117"/>
      <c r="H1080" s="117"/>
      <c r="I1080" s="118"/>
      <c r="J1080" s="119"/>
      <c r="K1080" s="119"/>
      <c r="L1080" s="24"/>
      <c r="M1080" s="24"/>
      <c r="N1080" s="24"/>
      <c r="O1080" s="24"/>
      <c r="P1080" s="114"/>
      <c r="Q1080" s="24"/>
      <c r="R1080" s="24"/>
      <c r="S1080" s="24"/>
      <c r="T1080" s="24"/>
      <c r="U1080" s="24"/>
      <c r="V1080" s="24"/>
      <c r="W1080" s="24"/>
      <c r="X1080" s="24"/>
      <c r="Y1080" s="24"/>
      <c r="Z1080" s="24"/>
      <c r="AA1080" s="24"/>
      <c r="AB1080" s="24"/>
      <c r="AC1080" s="24"/>
    </row>
    <row r="1081" spans="1:29" ht="16.3">
      <c r="A1081" s="24"/>
      <c r="B1081" s="24"/>
      <c r="C1081" s="24"/>
      <c r="D1081" s="24"/>
      <c r="E1081" s="24"/>
      <c r="F1081" s="24"/>
      <c r="G1081" s="117"/>
      <c r="H1081" s="117"/>
      <c r="I1081" s="118"/>
      <c r="J1081" s="119"/>
      <c r="K1081" s="119"/>
      <c r="L1081" s="24"/>
      <c r="M1081" s="24"/>
      <c r="N1081" s="24"/>
      <c r="O1081" s="24"/>
      <c r="P1081" s="114"/>
      <c r="Q1081" s="24"/>
      <c r="R1081" s="24"/>
      <c r="S1081" s="24"/>
      <c r="T1081" s="24"/>
      <c r="U1081" s="24"/>
      <c r="V1081" s="24"/>
      <c r="W1081" s="24"/>
      <c r="X1081" s="24"/>
      <c r="Y1081" s="24"/>
      <c r="Z1081" s="24"/>
      <c r="AA1081" s="24"/>
      <c r="AB1081" s="24"/>
      <c r="AC1081" s="24"/>
    </row>
    <row r="1082" spans="1:29" ht="16.3">
      <c r="A1082" s="24"/>
      <c r="B1082" s="24"/>
      <c r="C1082" s="24"/>
      <c r="D1082" s="24"/>
      <c r="E1082" s="24"/>
      <c r="F1082" s="24"/>
      <c r="G1082" s="117"/>
      <c r="H1082" s="117"/>
      <c r="I1082" s="118"/>
      <c r="J1082" s="119"/>
      <c r="K1082" s="119"/>
      <c r="L1082" s="24"/>
      <c r="M1082" s="24"/>
      <c r="N1082" s="24"/>
      <c r="O1082" s="24"/>
      <c r="P1082" s="114"/>
      <c r="Q1082" s="24"/>
      <c r="R1082" s="24"/>
      <c r="S1082" s="24"/>
      <c r="T1082" s="24"/>
      <c r="U1082" s="24"/>
      <c r="V1082" s="24"/>
      <c r="W1082" s="24"/>
      <c r="X1082" s="24"/>
      <c r="Y1082" s="24"/>
      <c r="Z1082" s="24"/>
      <c r="AA1082" s="24"/>
      <c r="AB1082" s="24"/>
      <c r="AC1082" s="24"/>
    </row>
    <row r="1083" spans="1:29" ht="16.3">
      <c r="A1083" s="24"/>
      <c r="B1083" s="24"/>
      <c r="C1083" s="24"/>
      <c r="D1083" s="24"/>
      <c r="E1083" s="24"/>
      <c r="F1083" s="24"/>
      <c r="G1083" s="117"/>
      <c r="H1083" s="117"/>
      <c r="I1083" s="118"/>
      <c r="J1083" s="119"/>
      <c r="K1083" s="119"/>
      <c r="L1083" s="24"/>
      <c r="M1083" s="24"/>
      <c r="N1083" s="24"/>
      <c r="O1083" s="24"/>
      <c r="P1083" s="114"/>
      <c r="Q1083" s="24"/>
      <c r="R1083" s="24"/>
      <c r="S1083" s="24"/>
      <c r="T1083" s="24"/>
      <c r="U1083" s="24"/>
      <c r="V1083" s="24"/>
      <c r="W1083" s="24"/>
      <c r="X1083" s="24"/>
      <c r="Y1083" s="24"/>
      <c r="Z1083" s="24"/>
      <c r="AA1083" s="24"/>
      <c r="AB1083" s="24"/>
      <c r="AC1083" s="24"/>
    </row>
    <row r="1084" spans="1:29" ht="16.3">
      <c r="A1084" s="24"/>
      <c r="B1084" s="24"/>
      <c r="C1084" s="24"/>
      <c r="D1084" s="24"/>
      <c r="E1084" s="24"/>
      <c r="F1084" s="24"/>
      <c r="G1084" s="117"/>
      <c r="H1084" s="117"/>
      <c r="I1084" s="118"/>
      <c r="J1084" s="119"/>
      <c r="K1084" s="119"/>
      <c r="L1084" s="24"/>
      <c r="M1084" s="24"/>
      <c r="N1084" s="24"/>
      <c r="O1084" s="24"/>
      <c r="P1084" s="114"/>
      <c r="Q1084" s="24"/>
      <c r="R1084" s="24"/>
      <c r="S1084" s="24"/>
      <c r="T1084" s="24"/>
      <c r="U1084" s="24"/>
      <c r="V1084" s="24"/>
      <c r="W1084" s="24"/>
      <c r="X1084" s="24"/>
      <c r="Y1084" s="24"/>
      <c r="Z1084" s="24"/>
      <c r="AA1084" s="24"/>
      <c r="AB1084" s="24"/>
      <c r="AC1084" s="24"/>
    </row>
    <row r="1085" spans="1:29" ht="16.3">
      <c r="A1085" s="24"/>
      <c r="B1085" s="24"/>
      <c r="C1085" s="24"/>
      <c r="D1085" s="24"/>
      <c r="E1085" s="24"/>
      <c r="F1085" s="24"/>
      <c r="G1085" s="117"/>
      <c r="H1085" s="117"/>
      <c r="I1085" s="118"/>
      <c r="J1085" s="119"/>
      <c r="K1085" s="119"/>
      <c r="L1085" s="24"/>
      <c r="M1085" s="24"/>
      <c r="N1085" s="24"/>
      <c r="O1085" s="24"/>
      <c r="P1085" s="114"/>
      <c r="Q1085" s="24"/>
      <c r="R1085" s="24"/>
      <c r="S1085" s="24"/>
      <c r="T1085" s="24"/>
      <c r="U1085" s="24"/>
      <c r="V1085" s="24"/>
      <c r="W1085" s="24"/>
      <c r="X1085" s="24"/>
      <c r="Y1085" s="24"/>
      <c r="Z1085" s="24"/>
      <c r="AA1085" s="24"/>
      <c r="AB1085" s="24"/>
      <c r="AC1085" s="24"/>
    </row>
    <row r="1086" spans="1:29" ht="16.3">
      <c r="A1086" s="24"/>
      <c r="B1086" s="24"/>
      <c r="C1086" s="24"/>
      <c r="D1086" s="24"/>
      <c r="E1086" s="24"/>
      <c r="F1086" s="24"/>
      <c r="G1086" s="117"/>
      <c r="H1086" s="117"/>
      <c r="I1086" s="118"/>
      <c r="J1086" s="119"/>
      <c r="K1086" s="119"/>
      <c r="L1086" s="24"/>
      <c r="M1086" s="24"/>
      <c r="N1086" s="24"/>
      <c r="O1086" s="24"/>
      <c r="P1086" s="114"/>
      <c r="Q1086" s="24"/>
      <c r="R1086" s="24"/>
      <c r="S1086" s="24"/>
      <c r="T1086" s="24"/>
      <c r="U1086" s="24"/>
      <c r="V1086" s="24"/>
      <c r="W1086" s="24"/>
      <c r="X1086" s="24"/>
      <c r="Y1086" s="24"/>
      <c r="Z1086" s="24"/>
      <c r="AA1086" s="24"/>
      <c r="AB1086" s="24"/>
      <c r="AC1086" s="24"/>
    </row>
    <row r="1087" spans="1:29" ht="16.3">
      <c r="A1087" s="24"/>
      <c r="B1087" s="24"/>
      <c r="C1087" s="24"/>
      <c r="D1087" s="24"/>
      <c r="E1087" s="24"/>
      <c r="F1087" s="24"/>
      <c r="G1087" s="117"/>
      <c r="H1087" s="117"/>
      <c r="I1087" s="118"/>
      <c r="J1087" s="119"/>
      <c r="K1087" s="119"/>
      <c r="L1087" s="24"/>
      <c r="M1087" s="24"/>
      <c r="N1087" s="24"/>
      <c r="O1087" s="24"/>
      <c r="P1087" s="114"/>
      <c r="Q1087" s="24"/>
      <c r="R1087" s="24"/>
      <c r="S1087" s="24"/>
      <c r="T1087" s="24"/>
      <c r="U1087" s="24"/>
      <c r="V1087" s="24"/>
      <c r="W1087" s="24"/>
      <c r="X1087" s="24"/>
      <c r="Y1087" s="24"/>
      <c r="Z1087" s="24"/>
      <c r="AA1087" s="24"/>
      <c r="AB1087" s="24"/>
      <c r="AC1087" s="24"/>
    </row>
    <row r="1088" spans="1:29" ht="16.3">
      <c r="A1088" s="24"/>
      <c r="B1088" s="24"/>
      <c r="C1088" s="24"/>
      <c r="D1088" s="24"/>
      <c r="E1088" s="24"/>
      <c r="F1088" s="24"/>
      <c r="G1088" s="117"/>
      <c r="H1088" s="117"/>
      <c r="I1088" s="118"/>
      <c r="J1088" s="119"/>
      <c r="K1088" s="119"/>
      <c r="L1088" s="24"/>
      <c r="M1088" s="24"/>
      <c r="N1088" s="24"/>
      <c r="O1088" s="24"/>
      <c r="P1088" s="114"/>
      <c r="Q1088" s="24"/>
      <c r="R1088" s="24"/>
      <c r="S1088" s="24"/>
      <c r="T1088" s="24"/>
      <c r="U1088" s="24"/>
      <c r="V1088" s="24"/>
      <c r="W1088" s="24"/>
      <c r="X1088" s="24"/>
      <c r="Y1088" s="24"/>
      <c r="Z1088" s="24"/>
      <c r="AA1088" s="24"/>
      <c r="AB1088" s="24"/>
      <c r="AC1088" s="24"/>
    </row>
    <row r="1089" spans="1:29" ht="16.3">
      <c r="A1089" s="24"/>
      <c r="B1089" s="24"/>
      <c r="C1089" s="24"/>
      <c r="D1089" s="24"/>
      <c r="E1089" s="24"/>
      <c r="F1089" s="24"/>
      <c r="G1089" s="117"/>
      <c r="H1089" s="117"/>
      <c r="I1089" s="118"/>
      <c r="J1089" s="119"/>
      <c r="K1089" s="119"/>
      <c r="L1089" s="24"/>
      <c r="M1089" s="24"/>
      <c r="N1089" s="24"/>
      <c r="O1089" s="24"/>
      <c r="P1089" s="114"/>
      <c r="Q1089" s="24"/>
      <c r="R1089" s="24"/>
      <c r="S1089" s="24"/>
      <c r="T1089" s="24"/>
      <c r="U1089" s="24"/>
      <c r="V1089" s="24"/>
      <c r="W1089" s="24"/>
      <c r="X1089" s="24"/>
      <c r="Y1089" s="24"/>
      <c r="Z1089" s="24"/>
      <c r="AA1089" s="24"/>
      <c r="AB1089" s="24"/>
      <c r="AC1089" s="24"/>
    </row>
    <row r="1090" spans="1:29" ht="16.3">
      <c r="A1090" s="24"/>
      <c r="B1090" s="24"/>
      <c r="C1090" s="24"/>
      <c r="D1090" s="24"/>
      <c r="E1090" s="24"/>
      <c r="F1090" s="24"/>
      <c r="G1090" s="117"/>
      <c r="H1090" s="117"/>
      <c r="I1090" s="118"/>
      <c r="J1090" s="119"/>
      <c r="K1090" s="119"/>
      <c r="L1090" s="24"/>
      <c r="M1090" s="24"/>
      <c r="N1090" s="24"/>
      <c r="O1090" s="24"/>
      <c r="P1090" s="114"/>
      <c r="Q1090" s="24"/>
      <c r="R1090" s="24"/>
      <c r="S1090" s="24"/>
      <c r="T1090" s="24"/>
      <c r="U1090" s="24"/>
      <c r="V1090" s="24"/>
      <c r="W1090" s="24"/>
      <c r="X1090" s="24"/>
      <c r="Y1090" s="24"/>
      <c r="Z1090" s="24"/>
      <c r="AA1090" s="24"/>
      <c r="AB1090" s="24"/>
      <c r="AC1090" s="24"/>
    </row>
    <row r="1091" spans="1:29" ht="16.3">
      <c r="A1091" s="24"/>
      <c r="B1091" s="24"/>
      <c r="C1091" s="24"/>
      <c r="D1091" s="24"/>
      <c r="E1091" s="24"/>
      <c r="F1091" s="24"/>
      <c r="G1091" s="117"/>
      <c r="H1091" s="117"/>
      <c r="I1091" s="118"/>
      <c r="J1091" s="119"/>
      <c r="K1091" s="119"/>
      <c r="L1091" s="24"/>
      <c r="M1091" s="24"/>
      <c r="N1091" s="24"/>
      <c r="O1091" s="24"/>
      <c r="P1091" s="114"/>
      <c r="Q1091" s="24"/>
      <c r="R1091" s="24"/>
      <c r="S1091" s="24"/>
      <c r="T1091" s="24"/>
      <c r="U1091" s="24"/>
      <c r="V1091" s="24"/>
      <c r="W1091" s="24"/>
      <c r="X1091" s="24"/>
      <c r="Y1091" s="24"/>
      <c r="Z1091" s="24"/>
      <c r="AA1091" s="24"/>
      <c r="AB1091" s="24"/>
      <c r="AC1091" s="24"/>
    </row>
    <row r="1092" spans="1:29" ht="16.3">
      <c r="A1092" s="24"/>
      <c r="B1092" s="24"/>
      <c r="C1092" s="24"/>
      <c r="D1092" s="24"/>
      <c r="E1092" s="24"/>
      <c r="F1092" s="24"/>
      <c r="G1092" s="117"/>
      <c r="H1092" s="117"/>
      <c r="I1092" s="118"/>
      <c r="J1092" s="119"/>
      <c r="K1092" s="119"/>
      <c r="L1092" s="24"/>
      <c r="M1092" s="24"/>
      <c r="N1092" s="24"/>
      <c r="O1092" s="24"/>
      <c r="P1092" s="114"/>
      <c r="Q1092" s="24"/>
      <c r="R1092" s="24"/>
      <c r="S1092" s="24"/>
      <c r="T1092" s="24"/>
      <c r="U1092" s="24"/>
      <c r="V1092" s="24"/>
      <c r="W1092" s="24"/>
      <c r="X1092" s="24"/>
      <c r="Y1092" s="24"/>
      <c r="Z1092" s="24"/>
      <c r="AA1092" s="24"/>
      <c r="AB1092" s="24"/>
      <c r="AC1092" s="24"/>
    </row>
    <row r="1093" spans="1:29" ht="16.3">
      <c r="A1093" s="24"/>
      <c r="B1093" s="24"/>
      <c r="C1093" s="24"/>
      <c r="D1093" s="24"/>
      <c r="E1093" s="24"/>
      <c r="F1093" s="24"/>
      <c r="G1093" s="117"/>
      <c r="H1093" s="117"/>
      <c r="I1093" s="118"/>
      <c r="J1093" s="119"/>
      <c r="K1093" s="119"/>
      <c r="L1093" s="24"/>
      <c r="M1093" s="24"/>
      <c r="N1093" s="24"/>
      <c r="O1093" s="24"/>
      <c r="P1093" s="114"/>
      <c r="Q1093" s="24"/>
      <c r="R1093" s="24"/>
      <c r="S1093" s="24"/>
      <c r="T1093" s="24"/>
      <c r="U1093" s="24"/>
      <c r="V1093" s="24"/>
      <c r="W1093" s="24"/>
      <c r="X1093" s="24"/>
      <c r="Y1093" s="24"/>
      <c r="Z1093" s="24"/>
      <c r="AA1093" s="24"/>
      <c r="AB1093" s="24"/>
      <c r="AC1093" s="24"/>
    </row>
    <row r="1094" spans="1:29" ht="16.3">
      <c r="A1094" s="24"/>
      <c r="B1094" s="24"/>
      <c r="C1094" s="24"/>
      <c r="D1094" s="24"/>
      <c r="E1094" s="24"/>
      <c r="F1094" s="24"/>
      <c r="G1094" s="117"/>
      <c r="H1094" s="117"/>
      <c r="I1094" s="118"/>
      <c r="J1094" s="119"/>
      <c r="K1094" s="119"/>
      <c r="L1094" s="24"/>
      <c r="M1094" s="24"/>
      <c r="N1094" s="24"/>
      <c r="O1094" s="24"/>
      <c r="P1094" s="114"/>
      <c r="Q1094" s="24"/>
      <c r="R1094" s="24"/>
      <c r="S1094" s="24"/>
      <c r="T1094" s="24"/>
      <c r="U1094" s="24"/>
      <c r="V1094" s="24"/>
      <c r="W1094" s="24"/>
      <c r="X1094" s="24"/>
      <c r="Y1094" s="24"/>
      <c r="Z1094" s="24"/>
      <c r="AA1094" s="24"/>
      <c r="AB1094" s="24"/>
      <c r="AC1094" s="24"/>
    </row>
    <row r="1095" spans="1:29" ht="16.3">
      <c r="A1095" s="24"/>
      <c r="B1095" s="24"/>
      <c r="C1095" s="24"/>
      <c r="D1095" s="24"/>
      <c r="E1095" s="24"/>
      <c r="F1095" s="24"/>
      <c r="G1095" s="117"/>
      <c r="H1095" s="117"/>
      <c r="I1095" s="118"/>
      <c r="J1095" s="119"/>
      <c r="K1095" s="119"/>
      <c r="L1095" s="24"/>
      <c r="M1095" s="24"/>
      <c r="N1095" s="24"/>
      <c r="O1095" s="24"/>
      <c r="P1095" s="114"/>
      <c r="Q1095" s="24"/>
      <c r="R1095" s="24"/>
      <c r="S1095" s="24"/>
      <c r="T1095" s="24"/>
      <c r="U1095" s="24"/>
      <c r="V1095" s="24"/>
      <c r="W1095" s="24"/>
      <c r="X1095" s="24"/>
      <c r="Y1095" s="24"/>
      <c r="Z1095" s="24"/>
      <c r="AA1095" s="24"/>
      <c r="AB1095" s="24"/>
      <c r="AC1095" s="24"/>
    </row>
    <row r="1096" spans="1:29" ht="16.3">
      <c r="A1096" s="24"/>
      <c r="B1096" s="24"/>
      <c r="C1096" s="24"/>
      <c r="D1096" s="24"/>
      <c r="E1096" s="24"/>
      <c r="F1096" s="24"/>
      <c r="G1096" s="117"/>
      <c r="H1096" s="117"/>
      <c r="I1096" s="118"/>
      <c r="J1096" s="119"/>
      <c r="K1096" s="119"/>
      <c r="L1096" s="24"/>
      <c r="M1096" s="24"/>
      <c r="N1096" s="24"/>
      <c r="O1096" s="24"/>
      <c r="P1096" s="114"/>
      <c r="Q1096" s="24"/>
      <c r="R1096" s="24"/>
      <c r="S1096" s="24"/>
      <c r="T1096" s="24"/>
      <c r="U1096" s="24"/>
      <c r="V1096" s="24"/>
      <c r="W1096" s="24"/>
      <c r="X1096" s="24"/>
      <c r="Y1096" s="24"/>
      <c r="Z1096" s="24"/>
      <c r="AA1096" s="24"/>
      <c r="AB1096" s="24"/>
      <c r="AC1096" s="24"/>
    </row>
    <row r="1097" spans="1:29" ht="16.3">
      <c r="A1097" s="24"/>
      <c r="B1097" s="24"/>
      <c r="C1097" s="24"/>
      <c r="D1097" s="24"/>
      <c r="E1097" s="24"/>
      <c r="F1097" s="24"/>
      <c r="G1097" s="117"/>
      <c r="H1097" s="117"/>
      <c r="I1097" s="118"/>
      <c r="J1097" s="119"/>
      <c r="K1097" s="119"/>
      <c r="L1097" s="24"/>
      <c r="M1097" s="24"/>
      <c r="N1097" s="24"/>
      <c r="O1097" s="24"/>
      <c r="P1097" s="114"/>
      <c r="Q1097" s="24"/>
      <c r="R1097" s="24"/>
      <c r="S1097" s="24"/>
      <c r="T1097" s="24"/>
      <c r="U1097" s="24"/>
      <c r="V1097" s="24"/>
      <c r="W1097" s="24"/>
      <c r="X1097" s="24"/>
      <c r="Y1097" s="24"/>
      <c r="Z1097" s="24"/>
      <c r="AA1097" s="24"/>
      <c r="AB1097" s="24"/>
      <c r="AC1097" s="24"/>
    </row>
    <row r="1098" spans="1:29" ht="16.3">
      <c r="A1098" s="24"/>
      <c r="B1098" s="24"/>
      <c r="C1098" s="24"/>
      <c r="D1098" s="24"/>
      <c r="E1098" s="24"/>
      <c r="F1098" s="24"/>
      <c r="G1098" s="117"/>
      <c r="H1098" s="117"/>
      <c r="I1098" s="118"/>
      <c r="J1098" s="119"/>
      <c r="K1098" s="119"/>
      <c r="L1098" s="24"/>
      <c r="M1098" s="24"/>
      <c r="N1098" s="24"/>
      <c r="O1098" s="24"/>
      <c r="P1098" s="114"/>
      <c r="Q1098" s="24"/>
      <c r="R1098" s="24"/>
      <c r="S1098" s="24"/>
      <c r="T1098" s="24"/>
      <c r="U1098" s="24"/>
      <c r="V1098" s="24"/>
      <c r="W1098" s="24"/>
      <c r="X1098" s="24"/>
      <c r="Y1098" s="24"/>
      <c r="Z1098" s="24"/>
      <c r="AA1098" s="24"/>
      <c r="AB1098" s="24"/>
      <c r="AC1098" s="24"/>
    </row>
    <row r="1099" spans="1:29" ht="16.3">
      <c r="A1099" s="24"/>
      <c r="B1099" s="24"/>
      <c r="C1099" s="24"/>
      <c r="D1099" s="24"/>
      <c r="E1099" s="24"/>
      <c r="F1099" s="24"/>
      <c r="G1099" s="117"/>
      <c r="H1099" s="117"/>
      <c r="I1099" s="118"/>
      <c r="J1099" s="119"/>
      <c r="K1099" s="119"/>
      <c r="L1099" s="24"/>
      <c r="M1099" s="24"/>
      <c r="N1099" s="24"/>
      <c r="O1099" s="24"/>
      <c r="P1099" s="114"/>
      <c r="Q1099" s="24"/>
      <c r="R1099" s="24"/>
      <c r="S1099" s="24"/>
      <c r="T1099" s="24"/>
      <c r="U1099" s="24"/>
      <c r="V1099" s="24"/>
      <c r="W1099" s="24"/>
      <c r="X1099" s="24"/>
      <c r="Y1099" s="24"/>
      <c r="Z1099" s="24"/>
      <c r="AA1099" s="24"/>
      <c r="AB1099" s="24"/>
      <c r="AC1099" s="24"/>
    </row>
    <row r="1100" spans="1:29" ht="16.3">
      <c r="A1100" s="24"/>
      <c r="B1100" s="24"/>
      <c r="C1100" s="24"/>
      <c r="D1100" s="24"/>
      <c r="E1100" s="24"/>
      <c r="F1100" s="24"/>
      <c r="G1100" s="117"/>
      <c r="H1100" s="117"/>
      <c r="I1100" s="118"/>
      <c r="J1100" s="119"/>
      <c r="K1100" s="119"/>
      <c r="L1100" s="24"/>
      <c r="M1100" s="24"/>
      <c r="N1100" s="24"/>
      <c r="O1100" s="24"/>
      <c r="P1100" s="114"/>
      <c r="Q1100" s="24"/>
      <c r="R1100" s="24"/>
      <c r="S1100" s="24"/>
      <c r="T1100" s="24"/>
      <c r="U1100" s="24"/>
      <c r="V1100" s="24"/>
      <c r="W1100" s="24"/>
      <c r="X1100" s="24"/>
      <c r="Y1100" s="24"/>
      <c r="Z1100" s="24"/>
      <c r="AA1100" s="24"/>
      <c r="AB1100" s="24"/>
      <c r="AC1100" s="24"/>
    </row>
    <row r="1101" spans="1:29" ht="16.3">
      <c r="A1101" s="24"/>
      <c r="B1101" s="24"/>
      <c r="C1101" s="24"/>
      <c r="D1101" s="24"/>
      <c r="E1101" s="24"/>
      <c r="F1101" s="24"/>
      <c r="G1101" s="117"/>
      <c r="H1101" s="117"/>
      <c r="I1101" s="118"/>
      <c r="J1101" s="119"/>
      <c r="K1101" s="119"/>
      <c r="L1101" s="24"/>
      <c r="M1101" s="24"/>
      <c r="N1101" s="24"/>
      <c r="O1101" s="24"/>
      <c r="P1101" s="114"/>
      <c r="Q1101" s="24"/>
      <c r="R1101" s="24"/>
      <c r="S1101" s="24"/>
      <c r="T1101" s="24"/>
      <c r="U1101" s="24"/>
      <c r="V1101" s="24"/>
      <c r="W1101" s="24"/>
      <c r="X1101" s="24"/>
      <c r="Y1101" s="24"/>
      <c r="Z1101" s="24"/>
      <c r="AA1101" s="24"/>
      <c r="AB1101" s="24"/>
      <c r="AC1101" s="24"/>
    </row>
    <row r="1102" spans="1:29" ht="16.3">
      <c r="A1102" s="24"/>
      <c r="B1102" s="24"/>
      <c r="C1102" s="24"/>
      <c r="D1102" s="24"/>
      <c r="E1102" s="24"/>
      <c r="F1102" s="24"/>
      <c r="G1102" s="117"/>
      <c r="H1102" s="117"/>
      <c r="I1102" s="118"/>
      <c r="J1102" s="119"/>
      <c r="K1102" s="119"/>
      <c r="L1102" s="24"/>
      <c r="M1102" s="24"/>
      <c r="N1102" s="24"/>
      <c r="O1102" s="24"/>
      <c r="P1102" s="114"/>
      <c r="Q1102" s="24"/>
      <c r="R1102" s="24"/>
      <c r="S1102" s="24"/>
      <c r="T1102" s="24"/>
      <c r="U1102" s="24"/>
      <c r="V1102" s="24"/>
      <c r="W1102" s="24"/>
      <c r="X1102" s="24"/>
      <c r="Y1102" s="24"/>
      <c r="Z1102" s="24"/>
      <c r="AA1102" s="24"/>
      <c r="AB1102" s="24"/>
      <c r="AC1102" s="24"/>
    </row>
    <row r="1103" spans="1:29" ht="16.3">
      <c r="A1103" s="24"/>
      <c r="B1103" s="24"/>
      <c r="C1103" s="24"/>
      <c r="D1103" s="24"/>
      <c r="E1103" s="24"/>
      <c r="F1103" s="24"/>
      <c r="G1103" s="117"/>
      <c r="H1103" s="117"/>
      <c r="I1103" s="118"/>
      <c r="J1103" s="119"/>
      <c r="K1103" s="119"/>
      <c r="L1103" s="24"/>
      <c r="M1103" s="24"/>
      <c r="N1103" s="24"/>
      <c r="O1103" s="24"/>
      <c r="P1103" s="114"/>
      <c r="Q1103" s="24"/>
      <c r="R1103" s="24"/>
      <c r="S1103" s="24"/>
      <c r="T1103" s="24"/>
      <c r="U1103" s="24"/>
      <c r="V1103" s="24"/>
      <c r="W1103" s="24"/>
      <c r="X1103" s="24"/>
      <c r="Y1103" s="24"/>
      <c r="Z1103" s="24"/>
      <c r="AA1103" s="24"/>
      <c r="AB1103" s="24"/>
      <c r="AC1103" s="24"/>
    </row>
    <row r="1104" spans="1:29" ht="16.3">
      <c r="A1104" s="24"/>
      <c r="B1104" s="24"/>
      <c r="C1104" s="24"/>
      <c r="D1104" s="24"/>
      <c r="E1104" s="24"/>
      <c r="F1104" s="24"/>
      <c r="G1104" s="117"/>
      <c r="H1104" s="117"/>
      <c r="I1104" s="118"/>
      <c r="J1104" s="119"/>
      <c r="K1104" s="119"/>
      <c r="L1104" s="24"/>
      <c r="M1104" s="24"/>
      <c r="N1104" s="24"/>
      <c r="O1104" s="24"/>
      <c r="P1104" s="114"/>
      <c r="Q1104" s="24"/>
      <c r="R1104" s="24"/>
      <c r="S1104" s="24"/>
      <c r="T1104" s="24"/>
      <c r="U1104" s="24"/>
      <c r="V1104" s="24"/>
      <c r="W1104" s="24"/>
      <c r="X1104" s="24"/>
      <c r="Y1104" s="24"/>
      <c r="Z1104" s="24"/>
      <c r="AA1104" s="24"/>
      <c r="AB1104" s="24"/>
      <c r="AC1104" s="24"/>
    </row>
    <row r="1105" spans="1:29" ht="16.3">
      <c r="A1105" s="24"/>
      <c r="B1105" s="24"/>
      <c r="C1105" s="24"/>
      <c r="D1105" s="24"/>
      <c r="E1105" s="24"/>
      <c r="F1105" s="24"/>
      <c r="G1105" s="117"/>
      <c r="H1105" s="117"/>
      <c r="I1105" s="118"/>
      <c r="J1105" s="119"/>
      <c r="K1105" s="119"/>
      <c r="L1105" s="24"/>
      <c r="M1105" s="24"/>
      <c r="N1105" s="24"/>
      <c r="O1105" s="24"/>
      <c r="P1105" s="114"/>
      <c r="Q1105" s="24"/>
      <c r="R1105" s="24"/>
      <c r="S1105" s="24"/>
      <c r="T1105" s="24"/>
      <c r="U1105" s="24"/>
      <c r="V1105" s="24"/>
      <c r="W1105" s="24"/>
      <c r="X1105" s="24"/>
      <c r="Y1105" s="24"/>
      <c r="Z1105" s="24"/>
      <c r="AA1105" s="24"/>
      <c r="AB1105" s="24"/>
      <c r="AC1105" s="24"/>
    </row>
    <row r="1106" spans="1:29" ht="16.3">
      <c r="A1106" s="24"/>
      <c r="B1106" s="24"/>
      <c r="C1106" s="24"/>
      <c r="D1106" s="24"/>
      <c r="E1106" s="24"/>
      <c r="F1106" s="24"/>
      <c r="G1106" s="117"/>
      <c r="H1106" s="117"/>
      <c r="I1106" s="118"/>
      <c r="J1106" s="119"/>
      <c r="K1106" s="119"/>
      <c r="L1106" s="24"/>
      <c r="M1106" s="24"/>
      <c r="N1106" s="24"/>
      <c r="O1106" s="24"/>
      <c r="P1106" s="114"/>
      <c r="Q1106" s="24"/>
      <c r="R1106" s="24"/>
      <c r="S1106" s="24"/>
      <c r="T1106" s="24"/>
      <c r="U1106" s="24"/>
      <c r="V1106" s="24"/>
      <c r="W1106" s="24"/>
      <c r="X1106" s="24"/>
      <c r="Y1106" s="24"/>
      <c r="Z1106" s="24"/>
      <c r="AA1106" s="24"/>
      <c r="AB1106" s="24"/>
      <c r="AC1106" s="24"/>
    </row>
    <row r="1107" spans="1:29" ht="16.3">
      <c r="A1107" s="24"/>
      <c r="B1107" s="24"/>
      <c r="C1107" s="24"/>
      <c r="D1107" s="24"/>
      <c r="E1107" s="24"/>
      <c r="F1107" s="24"/>
      <c r="G1107" s="117"/>
      <c r="H1107" s="117"/>
      <c r="I1107" s="118"/>
      <c r="J1107" s="119"/>
      <c r="K1107" s="119"/>
      <c r="L1107" s="24"/>
      <c r="M1107" s="24"/>
      <c r="N1107" s="24"/>
      <c r="O1107" s="24"/>
      <c r="P1107" s="114"/>
      <c r="Q1107" s="24"/>
      <c r="R1107" s="24"/>
      <c r="S1107" s="24"/>
      <c r="T1107" s="24"/>
      <c r="U1107" s="24"/>
      <c r="V1107" s="24"/>
      <c r="W1107" s="24"/>
      <c r="X1107" s="24"/>
      <c r="Y1107" s="24"/>
      <c r="Z1107" s="24"/>
      <c r="AA1107" s="24"/>
      <c r="AB1107" s="24"/>
      <c r="AC1107" s="24"/>
    </row>
    <row r="1108" spans="1:29" ht="16.3">
      <c r="A1108" s="24"/>
      <c r="B1108" s="24"/>
      <c r="C1108" s="24"/>
      <c r="D1108" s="24"/>
      <c r="E1108" s="24"/>
      <c r="F1108" s="24"/>
      <c r="G1108" s="117"/>
      <c r="H1108" s="117"/>
      <c r="I1108" s="118"/>
      <c r="J1108" s="119"/>
      <c r="K1108" s="119"/>
      <c r="L1108" s="24"/>
      <c r="M1108" s="24"/>
      <c r="N1108" s="24"/>
      <c r="O1108" s="24"/>
      <c r="P1108" s="114"/>
      <c r="Q1108" s="24"/>
      <c r="R1108" s="24"/>
      <c r="S1108" s="24"/>
      <c r="T1108" s="24"/>
      <c r="U1108" s="24"/>
      <c r="V1108" s="24"/>
      <c r="W1108" s="24"/>
      <c r="X1108" s="24"/>
      <c r="Y1108" s="24"/>
      <c r="Z1108" s="24"/>
      <c r="AA1108" s="24"/>
      <c r="AB1108" s="24"/>
      <c r="AC1108" s="24"/>
    </row>
    <row r="1109" spans="1:29" ht="16.3">
      <c r="A1109" s="24"/>
      <c r="B1109" s="24"/>
      <c r="C1109" s="24"/>
      <c r="D1109" s="24"/>
      <c r="E1109" s="24"/>
      <c r="F1109" s="24"/>
      <c r="G1109" s="117"/>
      <c r="H1109" s="117"/>
      <c r="I1109" s="118"/>
      <c r="J1109" s="119"/>
      <c r="K1109" s="119"/>
      <c r="L1109" s="24"/>
      <c r="M1109" s="24"/>
      <c r="N1109" s="24"/>
      <c r="O1109" s="24"/>
      <c r="P1109" s="114"/>
      <c r="Q1109" s="24"/>
      <c r="R1109" s="24"/>
      <c r="S1109" s="24"/>
      <c r="T1109" s="24"/>
      <c r="U1109" s="24"/>
      <c r="V1109" s="24"/>
      <c r="W1109" s="24"/>
      <c r="X1109" s="24"/>
      <c r="Y1109" s="24"/>
      <c r="Z1109" s="24"/>
      <c r="AA1109" s="24"/>
      <c r="AB1109" s="24"/>
      <c r="AC1109" s="24"/>
    </row>
    <row r="1110" spans="1:29" ht="16.3">
      <c r="A1110" s="24"/>
      <c r="B1110" s="24"/>
      <c r="C1110" s="24"/>
      <c r="D1110" s="24"/>
      <c r="E1110" s="24"/>
      <c r="F1110" s="24"/>
      <c r="G1110" s="117"/>
      <c r="H1110" s="117"/>
      <c r="I1110" s="118"/>
      <c r="J1110" s="119"/>
      <c r="K1110" s="119"/>
      <c r="L1110" s="24"/>
      <c r="M1110" s="24"/>
      <c r="N1110" s="24"/>
      <c r="O1110" s="24"/>
      <c r="P1110" s="114"/>
      <c r="Q1110" s="24"/>
      <c r="R1110" s="24"/>
      <c r="S1110" s="24"/>
      <c r="T1110" s="24"/>
      <c r="U1110" s="24"/>
      <c r="V1110" s="24"/>
      <c r="W1110" s="24"/>
      <c r="X1110" s="24"/>
      <c r="Y1110" s="24"/>
      <c r="Z1110" s="24"/>
      <c r="AA1110" s="24"/>
      <c r="AB1110" s="24"/>
      <c r="AC1110" s="24"/>
    </row>
    <row r="1111" spans="1:29" ht="16.3">
      <c r="A1111" s="24"/>
      <c r="B1111" s="24"/>
      <c r="C1111" s="24"/>
      <c r="D1111" s="24"/>
      <c r="E1111" s="24"/>
      <c r="F1111" s="24"/>
      <c r="G1111" s="117"/>
      <c r="H1111" s="117"/>
      <c r="I1111" s="118"/>
      <c r="J1111" s="119"/>
      <c r="K1111" s="119"/>
      <c r="L1111" s="24"/>
      <c r="M1111" s="24"/>
      <c r="N1111" s="24"/>
      <c r="O1111" s="24"/>
      <c r="P1111" s="114"/>
      <c r="Q1111" s="24"/>
      <c r="R1111" s="24"/>
      <c r="S1111" s="24"/>
      <c r="T1111" s="24"/>
      <c r="U1111" s="24"/>
      <c r="V1111" s="24"/>
      <c r="W1111" s="24"/>
      <c r="X1111" s="24"/>
      <c r="Y1111" s="24"/>
      <c r="Z1111" s="24"/>
      <c r="AA1111" s="24"/>
      <c r="AB1111" s="24"/>
      <c r="AC1111" s="24"/>
    </row>
    <row r="1112" spans="1:29" ht="16.3">
      <c r="A1112" s="24"/>
      <c r="B1112" s="24"/>
      <c r="C1112" s="24"/>
      <c r="D1112" s="24"/>
      <c r="E1112" s="24"/>
      <c r="F1112" s="24"/>
      <c r="G1112" s="117"/>
      <c r="H1112" s="117"/>
      <c r="I1112" s="118"/>
      <c r="J1112" s="119"/>
      <c r="K1112" s="119"/>
      <c r="L1112" s="24"/>
      <c r="M1112" s="24"/>
      <c r="N1112" s="24"/>
      <c r="O1112" s="24"/>
      <c r="P1112" s="114"/>
      <c r="Q1112" s="24"/>
      <c r="R1112" s="24"/>
      <c r="S1112" s="24"/>
      <c r="T1112" s="24"/>
      <c r="U1112" s="24"/>
      <c r="V1112" s="24"/>
      <c r="W1112" s="24"/>
      <c r="X1112" s="24"/>
      <c r="Y1112" s="24"/>
      <c r="Z1112" s="24"/>
      <c r="AA1112" s="24"/>
      <c r="AB1112" s="24"/>
      <c r="AC1112" s="24"/>
    </row>
    <row r="1113" spans="1:29" ht="16.3">
      <c r="A1113" s="24"/>
      <c r="B1113" s="24"/>
      <c r="C1113" s="24"/>
      <c r="D1113" s="24"/>
      <c r="E1113" s="24"/>
      <c r="F1113" s="24"/>
      <c r="G1113" s="117"/>
      <c r="H1113" s="117"/>
      <c r="I1113" s="118"/>
      <c r="J1113" s="119"/>
      <c r="K1113" s="119"/>
      <c r="L1113" s="24"/>
      <c r="M1113" s="24"/>
      <c r="N1113" s="24"/>
      <c r="O1113" s="24"/>
      <c r="P1113" s="114"/>
      <c r="Q1113" s="24"/>
      <c r="R1113" s="24"/>
      <c r="S1113" s="24"/>
      <c r="T1113" s="24"/>
      <c r="U1113" s="24"/>
      <c r="V1113" s="24"/>
      <c r="W1113" s="24"/>
      <c r="X1113" s="24"/>
      <c r="Y1113" s="24"/>
      <c r="Z1113" s="24"/>
      <c r="AA1113" s="24"/>
      <c r="AB1113" s="24"/>
      <c r="AC1113" s="24"/>
    </row>
    <row r="1114" spans="1:29" ht="16.3">
      <c r="A1114" s="24"/>
      <c r="B1114" s="24"/>
      <c r="C1114" s="24"/>
      <c r="D1114" s="24"/>
      <c r="E1114" s="24"/>
      <c r="F1114" s="24"/>
      <c r="G1114" s="117"/>
      <c r="H1114" s="117"/>
      <c r="I1114" s="118"/>
      <c r="J1114" s="119"/>
      <c r="K1114" s="119"/>
      <c r="L1114" s="24"/>
      <c r="M1114" s="24"/>
      <c r="N1114" s="24"/>
      <c r="O1114" s="24"/>
      <c r="P1114" s="114"/>
      <c r="Q1114" s="24"/>
      <c r="R1114" s="24"/>
      <c r="S1114" s="24"/>
      <c r="T1114" s="24"/>
      <c r="U1114" s="24"/>
      <c r="V1114" s="24"/>
      <c r="W1114" s="24"/>
      <c r="X1114" s="24"/>
      <c r="Y1114" s="24"/>
      <c r="Z1114" s="24"/>
      <c r="AA1114" s="24"/>
      <c r="AB1114" s="24"/>
      <c r="AC1114" s="24"/>
    </row>
    <row r="1115" spans="1:29" ht="16.3">
      <c r="A1115" s="24"/>
      <c r="B1115" s="24"/>
      <c r="C1115" s="24"/>
      <c r="D1115" s="24"/>
      <c r="E1115" s="24"/>
      <c r="F1115" s="24"/>
      <c r="G1115" s="117"/>
      <c r="H1115" s="117"/>
      <c r="I1115" s="118"/>
      <c r="J1115" s="119"/>
      <c r="K1115" s="119"/>
      <c r="L1115" s="24"/>
      <c r="M1115" s="24"/>
      <c r="N1115" s="24"/>
      <c r="O1115" s="24"/>
      <c r="P1115" s="114"/>
      <c r="Q1115" s="24"/>
      <c r="R1115" s="24"/>
      <c r="S1115" s="24"/>
      <c r="T1115" s="24"/>
      <c r="U1115" s="24"/>
      <c r="V1115" s="24"/>
      <c r="W1115" s="24"/>
      <c r="X1115" s="24"/>
      <c r="Y1115" s="24"/>
      <c r="Z1115" s="24"/>
      <c r="AA1115" s="24"/>
      <c r="AB1115" s="24"/>
      <c r="AC1115" s="24"/>
    </row>
    <row r="1116" spans="1:29" ht="16.3">
      <c r="A1116" s="24"/>
      <c r="B1116" s="24"/>
      <c r="C1116" s="24"/>
      <c r="D1116" s="24"/>
      <c r="E1116" s="24"/>
      <c r="F1116" s="24"/>
      <c r="G1116" s="117"/>
      <c r="H1116" s="117"/>
      <c r="I1116" s="118"/>
      <c r="J1116" s="119"/>
      <c r="K1116" s="119"/>
      <c r="L1116" s="24"/>
      <c r="M1116" s="24"/>
      <c r="N1116" s="24"/>
      <c r="O1116" s="24"/>
      <c r="P1116" s="114"/>
      <c r="Q1116" s="24"/>
      <c r="R1116" s="24"/>
      <c r="S1116" s="24"/>
      <c r="T1116" s="24"/>
      <c r="U1116" s="24"/>
      <c r="V1116" s="24"/>
      <c r="W1116" s="24"/>
      <c r="X1116" s="24"/>
      <c r="Y1116" s="24"/>
      <c r="Z1116" s="24"/>
      <c r="AA1116" s="24"/>
      <c r="AB1116" s="24"/>
      <c r="AC1116" s="24"/>
    </row>
    <row r="1117" spans="1:29" ht="16.3">
      <c r="A1117" s="24"/>
      <c r="B1117" s="24"/>
      <c r="C1117" s="24"/>
      <c r="D1117" s="24"/>
      <c r="E1117" s="24"/>
      <c r="F1117" s="24"/>
      <c r="G1117" s="117"/>
      <c r="H1117" s="117"/>
      <c r="I1117" s="118"/>
      <c r="J1117" s="119"/>
      <c r="K1117" s="119"/>
      <c r="L1117" s="24"/>
      <c r="M1117" s="24"/>
      <c r="N1117" s="24"/>
      <c r="O1117" s="24"/>
      <c r="P1117" s="114"/>
      <c r="Q1117" s="24"/>
      <c r="R1117" s="24"/>
      <c r="S1117" s="24"/>
      <c r="T1117" s="24"/>
      <c r="U1117" s="24"/>
      <c r="V1117" s="24"/>
      <c r="W1117" s="24"/>
      <c r="X1117" s="24"/>
      <c r="Y1117" s="24"/>
      <c r="Z1117" s="24"/>
      <c r="AA1117" s="24"/>
      <c r="AB1117" s="24"/>
      <c r="AC1117" s="24"/>
    </row>
    <row r="1118" spans="1:29" ht="16.3">
      <c r="A1118" s="24"/>
      <c r="B1118" s="24"/>
      <c r="C1118" s="24"/>
      <c r="D1118" s="24"/>
      <c r="E1118" s="24"/>
      <c r="F1118" s="24"/>
      <c r="G1118" s="117"/>
      <c r="H1118" s="117"/>
      <c r="I1118" s="118"/>
      <c r="J1118" s="119"/>
      <c r="K1118" s="119"/>
      <c r="L1118" s="24"/>
      <c r="M1118" s="24"/>
      <c r="N1118" s="24"/>
      <c r="O1118" s="24"/>
      <c r="P1118" s="114"/>
      <c r="Q1118" s="24"/>
      <c r="R1118" s="24"/>
      <c r="S1118" s="24"/>
      <c r="T1118" s="24"/>
      <c r="U1118" s="24"/>
      <c r="V1118" s="24"/>
      <c r="W1118" s="24"/>
      <c r="X1118" s="24"/>
      <c r="Y1118" s="24"/>
      <c r="Z1118" s="24"/>
      <c r="AA1118" s="24"/>
      <c r="AB1118" s="24"/>
      <c r="AC1118" s="24"/>
    </row>
    <row r="1119" spans="1:29" ht="16.3">
      <c r="A1119" s="24"/>
      <c r="B1119" s="24"/>
      <c r="C1119" s="24"/>
      <c r="D1119" s="24"/>
      <c r="E1119" s="24"/>
      <c r="F1119" s="24"/>
      <c r="G1119" s="117"/>
      <c r="H1119" s="117"/>
      <c r="I1119" s="118"/>
      <c r="J1119" s="119"/>
      <c r="K1119" s="119"/>
      <c r="L1119" s="24"/>
      <c r="M1119" s="24"/>
      <c r="N1119" s="24"/>
      <c r="O1119" s="24"/>
      <c r="P1119" s="114"/>
      <c r="Q1119" s="24"/>
      <c r="R1119" s="24"/>
      <c r="S1119" s="24"/>
      <c r="T1119" s="24"/>
      <c r="U1119" s="24"/>
      <c r="V1119" s="24"/>
      <c r="W1119" s="24"/>
      <c r="X1119" s="24"/>
      <c r="Y1119" s="24"/>
      <c r="Z1119" s="24"/>
      <c r="AA1119" s="24"/>
      <c r="AB1119" s="24"/>
      <c r="AC1119" s="24"/>
    </row>
    <row r="1120" spans="1:29" ht="16.3">
      <c r="A1120" s="24"/>
      <c r="B1120" s="24"/>
      <c r="C1120" s="24"/>
      <c r="D1120" s="24"/>
      <c r="E1120" s="24"/>
      <c r="F1120" s="24"/>
      <c r="G1120" s="117"/>
      <c r="H1120" s="117"/>
      <c r="I1120" s="118"/>
      <c r="J1120" s="119"/>
      <c r="K1120" s="119"/>
      <c r="L1120" s="24"/>
      <c r="M1120" s="24"/>
      <c r="N1120" s="24"/>
      <c r="O1120" s="24"/>
      <c r="P1120" s="114"/>
      <c r="Q1120" s="24"/>
      <c r="R1120" s="24"/>
      <c r="S1120" s="24"/>
      <c r="T1120" s="24"/>
      <c r="U1120" s="24"/>
      <c r="V1120" s="24"/>
      <c r="W1120" s="24"/>
      <c r="X1120" s="24"/>
      <c r="Y1120" s="24"/>
      <c r="Z1120" s="24"/>
      <c r="AA1120" s="24"/>
      <c r="AB1120" s="24"/>
      <c r="AC1120" s="24"/>
    </row>
    <row r="1121" spans="1:29" ht="16.3">
      <c r="A1121" s="24"/>
      <c r="B1121" s="24"/>
      <c r="C1121" s="24"/>
      <c r="D1121" s="24"/>
      <c r="E1121" s="24"/>
      <c r="F1121" s="24"/>
      <c r="G1121" s="117"/>
      <c r="H1121" s="117"/>
      <c r="I1121" s="118"/>
      <c r="J1121" s="119"/>
      <c r="K1121" s="119"/>
      <c r="L1121" s="24"/>
      <c r="M1121" s="24"/>
      <c r="N1121" s="24"/>
      <c r="O1121" s="24"/>
      <c r="P1121" s="114"/>
      <c r="Q1121" s="24"/>
      <c r="R1121" s="24"/>
      <c r="S1121" s="24"/>
      <c r="T1121" s="24"/>
      <c r="U1121" s="24"/>
      <c r="V1121" s="24"/>
      <c r="W1121" s="24"/>
      <c r="X1121" s="24"/>
      <c r="Y1121" s="24"/>
      <c r="Z1121" s="24"/>
      <c r="AA1121" s="24"/>
      <c r="AB1121" s="24"/>
      <c r="AC1121" s="24"/>
    </row>
    <row r="1122" spans="1:29" ht="16.3">
      <c r="A1122" s="24"/>
      <c r="B1122" s="24"/>
      <c r="C1122" s="24"/>
      <c r="D1122" s="24"/>
      <c r="E1122" s="24"/>
      <c r="F1122" s="24"/>
      <c r="G1122" s="117"/>
      <c r="H1122" s="117"/>
      <c r="I1122" s="118"/>
      <c r="J1122" s="119"/>
      <c r="K1122" s="119"/>
      <c r="L1122" s="24"/>
      <c r="M1122" s="24"/>
      <c r="N1122" s="24"/>
      <c r="O1122" s="24"/>
      <c r="P1122" s="114"/>
      <c r="Q1122" s="24"/>
      <c r="R1122" s="24"/>
      <c r="S1122" s="24"/>
      <c r="T1122" s="24"/>
      <c r="U1122" s="24"/>
      <c r="V1122" s="24"/>
      <c r="W1122" s="24"/>
      <c r="X1122" s="24"/>
      <c r="Y1122" s="24"/>
      <c r="Z1122" s="24"/>
      <c r="AA1122" s="24"/>
      <c r="AB1122" s="24"/>
      <c r="AC1122" s="24"/>
    </row>
    <row r="1123" spans="1:29" ht="16.3">
      <c r="A1123" s="24"/>
      <c r="B1123" s="24"/>
      <c r="C1123" s="24"/>
      <c r="D1123" s="24"/>
      <c r="E1123" s="24"/>
      <c r="F1123" s="24"/>
      <c r="G1123" s="117"/>
      <c r="H1123" s="117"/>
      <c r="I1123" s="118"/>
      <c r="J1123" s="119"/>
      <c r="K1123" s="119"/>
      <c r="L1123" s="24"/>
      <c r="M1123" s="24"/>
      <c r="N1123" s="24"/>
      <c r="O1123" s="24"/>
      <c r="P1123" s="114"/>
      <c r="Q1123" s="24"/>
      <c r="R1123" s="24"/>
      <c r="S1123" s="24"/>
      <c r="T1123" s="24"/>
      <c r="U1123" s="24"/>
      <c r="V1123" s="24"/>
      <c r="W1123" s="24"/>
      <c r="X1123" s="24"/>
      <c r="Y1123" s="24"/>
      <c r="Z1123" s="24"/>
      <c r="AA1123" s="24"/>
      <c r="AB1123" s="24"/>
      <c r="AC1123" s="24"/>
    </row>
    <row r="1124" spans="1:29" ht="16.3">
      <c r="A1124" s="24"/>
      <c r="B1124" s="24"/>
      <c r="C1124" s="24"/>
      <c r="D1124" s="24"/>
      <c r="E1124" s="24"/>
      <c r="F1124" s="24"/>
      <c r="G1124" s="117"/>
      <c r="H1124" s="117"/>
      <c r="I1124" s="118"/>
      <c r="J1124" s="119"/>
      <c r="K1124" s="119"/>
      <c r="L1124" s="24"/>
      <c r="M1124" s="24"/>
      <c r="N1124" s="24"/>
      <c r="O1124" s="24"/>
      <c r="P1124" s="114"/>
      <c r="Q1124" s="24"/>
      <c r="R1124" s="24"/>
      <c r="S1124" s="24"/>
      <c r="T1124" s="24"/>
      <c r="U1124" s="24"/>
      <c r="V1124" s="24"/>
      <c r="W1124" s="24"/>
      <c r="X1124" s="24"/>
      <c r="Y1124" s="24"/>
      <c r="Z1124" s="24"/>
      <c r="AA1124" s="24"/>
      <c r="AB1124" s="24"/>
      <c r="AC1124" s="24"/>
    </row>
    <row r="1125" spans="1:29" ht="16.3">
      <c r="A1125" s="24"/>
      <c r="B1125" s="24"/>
      <c r="C1125" s="24"/>
      <c r="D1125" s="24"/>
      <c r="E1125" s="24"/>
      <c r="F1125" s="24"/>
      <c r="G1125" s="117"/>
      <c r="H1125" s="117"/>
      <c r="I1125" s="118"/>
      <c r="J1125" s="119"/>
      <c r="K1125" s="119"/>
      <c r="L1125" s="24"/>
      <c r="M1125" s="24"/>
      <c r="N1125" s="24"/>
      <c r="O1125" s="24"/>
      <c r="P1125" s="114"/>
      <c r="Q1125" s="24"/>
      <c r="R1125" s="24"/>
      <c r="S1125" s="24"/>
      <c r="T1125" s="24"/>
      <c r="U1125" s="24"/>
      <c r="V1125" s="24"/>
      <c r="W1125" s="24"/>
      <c r="X1125" s="24"/>
      <c r="Y1125" s="24"/>
      <c r="Z1125" s="24"/>
      <c r="AA1125" s="24"/>
      <c r="AB1125" s="24"/>
      <c r="AC1125" s="24"/>
    </row>
    <row r="1126" spans="1:29" ht="16.3">
      <c r="A1126" s="24"/>
      <c r="B1126" s="24"/>
      <c r="C1126" s="24"/>
      <c r="D1126" s="24"/>
      <c r="E1126" s="24"/>
      <c r="F1126" s="24"/>
      <c r="G1126" s="117"/>
      <c r="H1126" s="117"/>
      <c r="I1126" s="118"/>
      <c r="J1126" s="119"/>
      <c r="K1126" s="119"/>
      <c r="L1126" s="24"/>
      <c r="M1126" s="24"/>
      <c r="N1126" s="24"/>
      <c r="O1126" s="24"/>
      <c r="P1126" s="114"/>
      <c r="Q1126" s="24"/>
      <c r="R1126" s="24"/>
      <c r="S1126" s="24"/>
      <c r="T1126" s="24"/>
      <c r="U1126" s="24"/>
      <c r="V1126" s="24"/>
      <c r="W1126" s="24"/>
      <c r="X1126" s="24"/>
      <c r="Y1126" s="24"/>
      <c r="Z1126" s="24"/>
      <c r="AA1126" s="24"/>
      <c r="AB1126" s="24"/>
      <c r="AC1126" s="24"/>
    </row>
    <row r="1127" spans="1:29" ht="16.3">
      <c r="A1127" s="24"/>
      <c r="B1127" s="24"/>
      <c r="C1127" s="24"/>
      <c r="D1127" s="24"/>
      <c r="E1127" s="24"/>
      <c r="F1127" s="24"/>
      <c r="G1127" s="117"/>
      <c r="H1127" s="117"/>
      <c r="I1127" s="118"/>
      <c r="J1127" s="119"/>
      <c r="K1127" s="119"/>
      <c r="L1127" s="24"/>
      <c r="M1127" s="24"/>
      <c r="N1127" s="24"/>
      <c r="O1127" s="24"/>
      <c r="P1127" s="114"/>
      <c r="Q1127" s="24"/>
      <c r="R1127" s="24"/>
      <c r="S1127" s="24"/>
      <c r="T1127" s="24"/>
      <c r="U1127" s="24"/>
      <c r="V1127" s="24"/>
      <c r="W1127" s="24"/>
      <c r="X1127" s="24"/>
      <c r="Y1127" s="24"/>
      <c r="Z1127" s="24"/>
      <c r="AA1127" s="24"/>
      <c r="AB1127" s="24"/>
      <c r="AC1127" s="24"/>
    </row>
    <row r="1128" spans="1:29" ht="16.3">
      <c r="A1128" s="24"/>
      <c r="B1128" s="24"/>
      <c r="C1128" s="24"/>
      <c r="D1128" s="24"/>
      <c r="E1128" s="24"/>
      <c r="F1128" s="24"/>
      <c r="G1128" s="117"/>
      <c r="H1128" s="117"/>
      <c r="I1128" s="118"/>
      <c r="J1128" s="119"/>
      <c r="K1128" s="119"/>
      <c r="L1128" s="24"/>
      <c r="M1128" s="24"/>
      <c r="N1128" s="24"/>
      <c r="O1128" s="24"/>
      <c r="P1128" s="114"/>
      <c r="Q1128" s="24"/>
      <c r="R1128" s="24"/>
      <c r="S1128" s="24"/>
      <c r="T1128" s="24"/>
      <c r="U1128" s="24"/>
      <c r="V1128" s="24"/>
      <c r="W1128" s="24"/>
      <c r="X1128" s="24"/>
      <c r="Y1128" s="24"/>
      <c r="Z1128" s="24"/>
      <c r="AA1128" s="24"/>
      <c r="AB1128" s="24"/>
      <c r="AC1128" s="24"/>
    </row>
    <row r="1129" spans="1:29" ht="16.3">
      <c r="A1129" s="24"/>
      <c r="B1129" s="24"/>
      <c r="C1129" s="24"/>
      <c r="D1129" s="24"/>
      <c r="E1129" s="24"/>
      <c r="F1129" s="24"/>
      <c r="G1129" s="117"/>
      <c r="H1129" s="117"/>
      <c r="I1129" s="118"/>
      <c r="J1129" s="119"/>
      <c r="K1129" s="119"/>
      <c r="L1129" s="24"/>
      <c r="M1129" s="24"/>
      <c r="N1129" s="24"/>
      <c r="O1129" s="24"/>
      <c r="P1129" s="114"/>
      <c r="Q1129" s="24"/>
      <c r="R1129" s="24"/>
      <c r="S1129" s="24"/>
      <c r="T1129" s="24"/>
      <c r="U1129" s="24"/>
      <c r="V1129" s="24"/>
      <c r="W1129" s="24"/>
      <c r="X1129" s="24"/>
      <c r="Y1129" s="24"/>
      <c r="Z1129" s="24"/>
      <c r="AA1129" s="24"/>
      <c r="AB1129" s="24"/>
      <c r="AC1129" s="24"/>
    </row>
    <row r="1130" spans="1:29" ht="16.3">
      <c r="A1130" s="24"/>
      <c r="B1130" s="24"/>
      <c r="C1130" s="24"/>
      <c r="D1130" s="24"/>
      <c r="E1130" s="24"/>
      <c r="F1130" s="24"/>
      <c r="G1130" s="117"/>
      <c r="H1130" s="117"/>
      <c r="I1130" s="118"/>
      <c r="J1130" s="119"/>
      <c r="K1130" s="119"/>
      <c r="L1130" s="24"/>
      <c r="M1130" s="24"/>
      <c r="N1130" s="24"/>
      <c r="O1130" s="24"/>
      <c r="P1130" s="114"/>
      <c r="Q1130" s="24"/>
      <c r="R1130" s="24"/>
      <c r="S1130" s="24"/>
      <c r="T1130" s="24"/>
      <c r="U1130" s="24"/>
      <c r="V1130" s="24"/>
      <c r="W1130" s="24"/>
      <c r="X1130" s="24"/>
      <c r="Y1130" s="24"/>
      <c r="Z1130" s="24"/>
      <c r="AA1130" s="24"/>
      <c r="AB1130" s="24"/>
      <c r="AC1130" s="24"/>
    </row>
    <row r="1131" spans="1:29" ht="16.3">
      <c r="A1131" s="24"/>
      <c r="B1131" s="24"/>
      <c r="C1131" s="24"/>
      <c r="D1131" s="24"/>
      <c r="E1131" s="24"/>
      <c r="F1131" s="24"/>
      <c r="G1131" s="117"/>
      <c r="H1131" s="117"/>
      <c r="I1131" s="118"/>
      <c r="J1131" s="119"/>
      <c r="K1131" s="119"/>
      <c r="L1131" s="24"/>
      <c r="M1131" s="24"/>
      <c r="N1131" s="24"/>
      <c r="O1131" s="24"/>
      <c r="P1131" s="114"/>
      <c r="Q1131" s="24"/>
      <c r="R1131" s="24"/>
      <c r="S1131" s="24"/>
      <c r="T1131" s="24"/>
      <c r="U1131" s="24"/>
      <c r="V1131" s="24"/>
      <c r="W1131" s="24"/>
      <c r="X1131" s="24"/>
      <c r="Y1131" s="24"/>
      <c r="Z1131" s="24"/>
      <c r="AA1131" s="24"/>
      <c r="AB1131" s="24"/>
      <c r="AC1131" s="24"/>
    </row>
    <row r="1132" spans="1:29" ht="16.3">
      <c r="A1132" s="24"/>
      <c r="B1132" s="24"/>
      <c r="C1132" s="24"/>
      <c r="D1132" s="24"/>
      <c r="E1132" s="24"/>
      <c r="F1132" s="24"/>
      <c r="G1132" s="117"/>
      <c r="H1132" s="117"/>
      <c r="I1132" s="118"/>
      <c r="J1132" s="119"/>
      <c r="K1132" s="119"/>
      <c r="L1132" s="24"/>
      <c r="M1132" s="24"/>
      <c r="N1132" s="24"/>
      <c r="O1132" s="24"/>
      <c r="P1132" s="114"/>
      <c r="Q1132" s="24"/>
      <c r="R1132" s="24"/>
      <c r="S1132" s="24"/>
      <c r="T1132" s="24"/>
      <c r="U1132" s="24"/>
      <c r="V1132" s="24"/>
      <c r="W1132" s="24"/>
      <c r="X1132" s="24"/>
      <c r="Y1132" s="24"/>
      <c r="Z1132" s="24"/>
      <c r="AA1132" s="24"/>
      <c r="AB1132" s="24"/>
      <c r="AC1132" s="24"/>
    </row>
    <row r="1133" spans="1:29" ht="16.3">
      <c r="A1133" s="24"/>
      <c r="B1133" s="24"/>
      <c r="C1133" s="24"/>
      <c r="D1133" s="24"/>
      <c r="E1133" s="24"/>
      <c r="F1133" s="24"/>
      <c r="G1133" s="117"/>
      <c r="H1133" s="117"/>
      <c r="I1133" s="118"/>
      <c r="J1133" s="119"/>
      <c r="K1133" s="119"/>
      <c r="L1133" s="24"/>
      <c r="M1133" s="24"/>
      <c r="N1133" s="24"/>
      <c r="O1133" s="24"/>
      <c r="P1133" s="114"/>
      <c r="Q1133" s="24"/>
      <c r="R1133" s="24"/>
      <c r="S1133" s="24"/>
      <c r="T1133" s="24"/>
      <c r="U1133" s="24"/>
      <c r="V1133" s="24"/>
      <c r="W1133" s="24"/>
      <c r="X1133" s="24"/>
      <c r="Y1133" s="24"/>
      <c r="Z1133" s="24"/>
      <c r="AA1133" s="24"/>
      <c r="AB1133" s="24"/>
      <c r="AC1133" s="24"/>
    </row>
    <row r="1134" spans="1:29" ht="16.3">
      <c r="A1134" s="24"/>
      <c r="B1134" s="24"/>
      <c r="C1134" s="24"/>
      <c r="D1134" s="24"/>
      <c r="E1134" s="24"/>
      <c r="F1134" s="24"/>
      <c r="G1134" s="117"/>
      <c r="H1134" s="117"/>
      <c r="I1134" s="118"/>
      <c r="J1134" s="119"/>
      <c r="K1134" s="119"/>
      <c r="L1134" s="24"/>
      <c r="M1134" s="24"/>
      <c r="N1134" s="24"/>
      <c r="O1134" s="24"/>
      <c r="P1134" s="114"/>
      <c r="Q1134" s="24"/>
      <c r="R1134" s="24"/>
      <c r="S1134" s="24"/>
      <c r="T1134" s="24"/>
      <c r="U1134" s="24"/>
      <c r="V1134" s="24"/>
      <c r="W1134" s="24"/>
      <c r="X1134" s="24"/>
      <c r="Y1134" s="24"/>
      <c r="Z1134" s="24"/>
      <c r="AA1134" s="24"/>
      <c r="AB1134" s="24"/>
      <c r="AC1134" s="24"/>
    </row>
    <row r="1135" spans="1:29" ht="16.3">
      <c r="A1135" s="24"/>
      <c r="B1135" s="24"/>
      <c r="C1135" s="24"/>
      <c r="D1135" s="24"/>
      <c r="E1135" s="24"/>
      <c r="F1135" s="24"/>
      <c r="G1135" s="117"/>
      <c r="H1135" s="117"/>
      <c r="I1135" s="118"/>
      <c r="J1135" s="119"/>
      <c r="K1135" s="119"/>
      <c r="L1135" s="24"/>
      <c r="M1135" s="24"/>
      <c r="N1135" s="24"/>
      <c r="O1135" s="24"/>
      <c r="P1135" s="114"/>
      <c r="Q1135" s="24"/>
      <c r="R1135" s="24"/>
      <c r="S1135" s="24"/>
      <c r="T1135" s="24"/>
      <c r="U1135" s="24"/>
      <c r="V1135" s="24"/>
      <c r="W1135" s="24"/>
      <c r="X1135" s="24"/>
      <c r="Y1135" s="24"/>
      <c r="Z1135" s="24"/>
      <c r="AA1135" s="24"/>
      <c r="AB1135" s="24"/>
      <c r="AC1135" s="24"/>
    </row>
  </sheetData>
  <mergeCells count="17">
    <mergeCell ref="G1:G2"/>
    <mergeCell ref="H1:H2"/>
    <mergeCell ref="C1:C2"/>
    <mergeCell ref="B1:B2"/>
    <mergeCell ref="A1:A2"/>
    <mergeCell ref="D1:D2"/>
    <mergeCell ref="E1:F1"/>
    <mergeCell ref="Q1:Q2"/>
    <mergeCell ref="R1:R2"/>
    <mergeCell ref="O1:O2"/>
    <mergeCell ref="I1:I2"/>
    <mergeCell ref="J1:J2"/>
    <mergeCell ref="K1:K2"/>
    <mergeCell ref="L1:L2"/>
    <mergeCell ref="M1:M2"/>
    <mergeCell ref="N1:N2"/>
    <mergeCell ref="P1:P2"/>
  </mergeCells>
  <conditionalFormatting sqref="J3:J6 J8:J13 J15:J38 J40:J41 J43:J142">
    <cfRule type="containsText" dxfId="31" priority="1" operator="containsText" text="1.0">
      <formula>NOT(ISERROR(SEARCH(("1.0"),(J3))))</formula>
    </cfRule>
  </conditionalFormatting>
  <conditionalFormatting sqref="J3:J6 J8:J13 J15:J38 J40:J41 J43:J142">
    <cfRule type="containsText" dxfId="30" priority="2" operator="containsText" text="2.0">
      <formula>NOT(ISERROR(SEARCH(("2.0"),(J3))))</formula>
    </cfRule>
  </conditionalFormatting>
  <conditionalFormatting sqref="J3:J6 J8:J13 J15:J38 J40:J41 J43:J142">
    <cfRule type="containsText" dxfId="29" priority="3" operator="containsText" text="3.0">
      <formula>NOT(ISERROR(SEARCH(("3.0"),(J3))))</formula>
    </cfRule>
  </conditionalFormatting>
  <conditionalFormatting sqref="J3:J6 J8:J13 J15:J38 J40:J41 J43:J142">
    <cfRule type="containsText" dxfId="28" priority="4" operator="containsText" text="4.0">
      <formula>NOT(ISERROR(SEARCH(("4.0"),(J3))))</formula>
    </cfRule>
  </conditionalFormatting>
  <conditionalFormatting sqref="J3:J6 J8:J13 J15:J38 J40:J41 J43:J142">
    <cfRule type="containsText" dxfId="27" priority="5" operator="containsText" text="5.0">
      <formula>NOT(ISERROR(SEARCH(("5.0"),(J3))))</formula>
    </cfRule>
  </conditionalFormatting>
  <conditionalFormatting sqref="J3:J6 J8:J13 J15:J38 J40:J41 J43:J142">
    <cfRule type="containsText" dxfId="26" priority="6" operator="containsText" text="6.0">
      <formula>NOT(ISERROR(SEARCH(("6.0"),(J3))))</formula>
    </cfRule>
  </conditionalFormatting>
  <conditionalFormatting sqref="J3:J6 J8:J13 J15:J38 J40:J41 J43:J142">
    <cfRule type="containsText" dxfId="25" priority="7" operator="containsText" text="7.0">
      <formula>NOT(ISERROR(SEARCH(("7.0"),(J3))))</formula>
    </cfRule>
  </conditionalFormatting>
  <conditionalFormatting sqref="J3:J6 J8:J9 J13 J17 J25 J29:J38 J40:J41 J43:J142">
    <cfRule type="containsText" dxfId="24" priority="8" operator="containsText" text="Two or More">
      <formula>NOT(ISERROR(SEARCH(("Two or More"),(J3))))</formula>
    </cfRule>
  </conditionalFormatting>
  <dataValidations count="2">
    <dataValidation type="list" allowBlank="1" sqref="J3:J6 J8:J9 J13 J17 J25 J29:J38 J40:J41 J43:J142">
      <formula1>"1.0 - Requirements Definition,2.0 -  Acq. Planning &amp; Mkt. Research,3.0 - Synopsis &amp; Solicitation,4.0 - Source Selection,5.0 - Award,6.0 - Contract Admin,7.0 - Closeout,Two or more,Unidentified"</formula1>
    </dataValidation>
    <dataValidation type="list" allowBlank="1" sqref="J10:J12 J15:J16 J18:J24 J26:J28">
      <formula1>"1.0 - Requirements Definition,2.0 -  Acq. Planning &amp; Mkt. Research,3.0 - Synopsis &amp; Solicitation,4.0 - Source Selection,5.0 - Award,6.0 - Contract Admin,7.0 - Closeout,Unidentified"</formula1>
    </dataValidation>
  </dataValidations>
  <printOptions horizontalCentered="1" gridLines="1"/>
  <pageMargins left="0.28437499999999999" right="0.35000000000000003" top="0.2734375" bottom="0.6" header="0" footer="0"/>
  <pageSetup paperSize="5" fitToHeight="0" pageOrder="overThenDown" orientation="landscape" cellComments="atEnd"/>
  <extLst>
    <ext xmlns:x14="http://schemas.microsoft.com/office/spreadsheetml/2009/9/main" uri="{CCE6A557-97BC-4b89-ADB6-D9C93CAAB3DF}">
      <x14:dataValidations xmlns:xm="http://schemas.microsoft.com/office/excel/2006/main" count="1">
        <x14:dataValidation type="list" allowBlank="1">
          <x14:formula1>
            <xm:f>'Self Assessment Total Score'!$C$18:$C$21</xm:f>
          </x14:formula1>
          <xm:sqref>O3:O142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B1168"/>
  <sheetViews>
    <sheetView workbookViewId="0">
      <pane xSplit="2" ySplit="2" topLeftCell="H3" activePane="bottomRight" state="frozen"/>
      <selection pane="topRight" activeCell="C1" sqref="C1"/>
      <selection pane="bottomLeft" activeCell="A3" sqref="A3"/>
      <selection pane="bottomRight" activeCell="O4" sqref="O4"/>
    </sheetView>
  </sheetViews>
  <sheetFormatPr defaultColWidth="14.375" defaultRowHeight="15.8" customHeight="1"/>
  <cols>
    <col min="1" max="1" width="10.375" customWidth="1"/>
    <col min="2" max="2" width="9.375" customWidth="1"/>
    <col min="3" max="3" width="37.875" customWidth="1"/>
    <col min="4" max="4" width="14.375" customWidth="1"/>
    <col min="5" max="5" width="15.625" customWidth="1"/>
    <col min="6" max="6" width="14.75" customWidth="1"/>
    <col min="7" max="7" width="17.25" customWidth="1"/>
    <col min="8" max="8" width="7.375" customWidth="1"/>
    <col min="9" max="9" width="9.125" customWidth="1"/>
    <col min="10" max="10" width="12.75" customWidth="1"/>
    <col min="11" max="11" width="8.875" customWidth="1"/>
    <col min="12" max="12" width="28.25" customWidth="1"/>
    <col min="13" max="13" width="38" customWidth="1"/>
    <col min="14" max="14" width="29.375" customWidth="1"/>
    <col min="15" max="15" width="36.875" customWidth="1"/>
    <col min="16" max="16" width="10.625" customWidth="1"/>
    <col min="17" max="17" width="11.625" hidden="1" customWidth="1"/>
    <col min="18" max="18" width="11.625" customWidth="1"/>
  </cols>
  <sheetData>
    <row r="1" spans="1:28" ht="12.9">
      <c r="A1" s="297" t="s">
        <v>2</v>
      </c>
      <c r="B1" s="297" t="s">
        <v>3</v>
      </c>
      <c r="C1" s="297" t="s">
        <v>5</v>
      </c>
      <c r="D1" s="297" t="s">
        <v>6</v>
      </c>
      <c r="E1" s="303" t="s">
        <v>7</v>
      </c>
      <c r="F1" s="304"/>
      <c r="G1" s="297" t="s">
        <v>9</v>
      </c>
      <c r="H1" s="297" t="s">
        <v>14</v>
      </c>
      <c r="I1" s="295" t="s">
        <v>19</v>
      </c>
      <c r="J1" s="295" t="s">
        <v>31</v>
      </c>
      <c r="K1" s="295" t="s">
        <v>33</v>
      </c>
      <c r="L1" s="297" t="s">
        <v>34</v>
      </c>
      <c r="M1" s="299" t="s">
        <v>36</v>
      </c>
      <c r="N1" s="299" t="s">
        <v>39</v>
      </c>
      <c r="O1" s="301" t="s">
        <v>44</v>
      </c>
      <c r="P1" s="300" t="s">
        <v>46</v>
      </c>
      <c r="Q1" s="300" t="s">
        <v>47</v>
      </c>
      <c r="R1" s="300" t="s">
        <v>48</v>
      </c>
      <c r="S1" s="21"/>
      <c r="T1" s="21"/>
      <c r="U1" s="21"/>
      <c r="V1" s="21"/>
      <c r="W1" s="21"/>
      <c r="X1" s="21"/>
      <c r="Y1" s="21"/>
      <c r="Z1" s="21"/>
      <c r="AA1" s="21"/>
      <c r="AB1" s="21"/>
    </row>
    <row r="2" spans="1:28" ht="12.9">
      <c r="A2" s="298"/>
      <c r="B2" s="298"/>
      <c r="C2" s="298"/>
      <c r="D2" s="298"/>
      <c r="E2" s="23" t="s">
        <v>59</v>
      </c>
      <c r="F2" s="23" t="s">
        <v>68</v>
      </c>
      <c r="G2" s="298"/>
      <c r="H2" s="298"/>
      <c r="I2" s="296"/>
      <c r="J2" s="296"/>
      <c r="K2" s="296"/>
      <c r="L2" s="298"/>
      <c r="M2" s="298"/>
      <c r="N2" s="298"/>
      <c r="O2" s="298"/>
      <c r="P2" s="298"/>
      <c r="Q2" s="298"/>
      <c r="R2" s="298"/>
      <c r="S2" s="24"/>
      <c r="T2" s="24"/>
      <c r="U2" s="24"/>
      <c r="V2" s="24"/>
      <c r="W2" s="24"/>
      <c r="X2" s="24"/>
      <c r="Y2" s="24"/>
      <c r="Z2" s="24"/>
      <c r="AA2" s="24"/>
      <c r="AB2" s="24"/>
    </row>
    <row r="3" spans="1:28" ht="173.9">
      <c r="A3" s="25" t="s">
        <v>120</v>
      </c>
      <c r="B3" s="26" t="s">
        <v>121</v>
      </c>
      <c r="C3" s="26" t="s">
        <v>122</v>
      </c>
      <c r="D3" s="26" t="s">
        <v>123</v>
      </c>
      <c r="E3" s="27" t="s">
        <v>124</v>
      </c>
      <c r="F3" s="25" t="s">
        <v>125</v>
      </c>
      <c r="G3" s="48" t="str">
        <f>HYPERLINK("https://www.acquisition.gov/content/32703-contract-funding-requirements#id1617MD0G05E","FAR 32.703 Contract Funding")</f>
        <v>FAR 32.703 Contract Funding</v>
      </c>
      <c r="H3" s="49" t="str">
        <f>HYPERLINK("https://www.acquisition.gov/sites/default/files/current/gsam/html/Part532.html#wp1861797","GSAR 532.703")</f>
        <v>GSAR 532.703</v>
      </c>
      <c r="I3" s="34" t="s">
        <v>134</v>
      </c>
      <c r="J3" s="37" t="s">
        <v>112</v>
      </c>
      <c r="K3" s="37" t="s">
        <v>135</v>
      </c>
      <c r="L3" s="25" t="s">
        <v>136</v>
      </c>
      <c r="M3" s="51" t="s">
        <v>137</v>
      </c>
      <c r="N3" s="25" t="s">
        <v>138</v>
      </c>
      <c r="O3" s="64"/>
      <c r="P3" s="45" t="b">
        <f t="shared" ref="P3:P10" si="0">IF(AND(O3="Meet the requirements traceability “out of the box”"), 10, IF(AND(O3="Can meet the requirements traceability with configuration or through the use of another commercial product “out of the box” or other arrangement as part of the service offering quoted (i.e. at no additional cost)"), 8, IF(AND(O3="Can meet the requirements traceability with customization at additional cost"), 3, IF(AND(O3="Cannot meet the requirements traceability requirement"), 0))))</f>
        <v>0</v>
      </c>
      <c r="Q3" s="45">
        <f t="shared" ref="Q3:Q10" si="1">IF(J3="Unidentified",0,3)</f>
        <v>3</v>
      </c>
      <c r="R3" s="45">
        <f t="shared" ref="R3:R10" si="2">IF(P3=FALSE,0,IF(P3&gt;4,(P3+Q3),P3))</f>
        <v>0</v>
      </c>
      <c r="S3" s="24"/>
      <c r="T3" s="24"/>
      <c r="U3" s="24"/>
      <c r="V3" s="24"/>
      <c r="W3" s="24"/>
      <c r="X3" s="24"/>
      <c r="Y3" s="24"/>
      <c r="Z3" s="24"/>
      <c r="AA3" s="24"/>
      <c r="AB3" s="24"/>
    </row>
    <row r="4" spans="1:28" ht="288.7" customHeight="1">
      <c r="A4" s="25" t="s">
        <v>120</v>
      </c>
      <c r="B4" s="26" t="s">
        <v>121</v>
      </c>
      <c r="C4" s="26" t="s">
        <v>122</v>
      </c>
      <c r="D4" s="26" t="s">
        <v>147</v>
      </c>
      <c r="E4" s="27" t="s">
        <v>148</v>
      </c>
      <c r="F4" s="54" t="s">
        <v>149</v>
      </c>
      <c r="G4" s="48" t="str">
        <f>HYPERLINK("https://www.acquisition.gov/content/subpart-327-contract-funding#i1081624","FAR 32.7 Contract Funding")</f>
        <v>FAR 32.7 Contract Funding</v>
      </c>
      <c r="H4" s="57" t="str">
        <f>HYPERLINK("https://www.acquisition.gov/sites/default/files/current/gsam/html/Part532.html#wp1858173","GSAR 532.700")</f>
        <v>GSAR 532.700</v>
      </c>
      <c r="I4" s="34" t="s">
        <v>134</v>
      </c>
      <c r="J4" s="37" t="s">
        <v>112</v>
      </c>
      <c r="K4" s="37" t="s">
        <v>155</v>
      </c>
      <c r="L4" s="58" t="s">
        <v>156</v>
      </c>
      <c r="M4" s="58" t="s">
        <v>157</v>
      </c>
      <c r="N4" s="25" t="s">
        <v>158</v>
      </c>
      <c r="O4" s="64"/>
      <c r="P4" s="45" t="b">
        <f t="shared" si="0"/>
        <v>0</v>
      </c>
      <c r="Q4" s="45">
        <f t="shared" si="1"/>
        <v>3</v>
      </c>
      <c r="R4" s="45">
        <f t="shared" si="2"/>
        <v>0</v>
      </c>
      <c r="S4" s="24"/>
      <c r="T4" s="24"/>
      <c r="U4" s="24"/>
      <c r="V4" s="24"/>
      <c r="W4" s="24"/>
      <c r="X4" s="24"/>
      <c r="Y4" s="24"/>
      <c r="Z4" s="24"/>
      <c r="AA4" s="24"/>
      <c r="AB4" s="24"/>
    </row>
    <row r="5" spans="1:28" ht="195.65">
      <c r="A5" s="25" t="s">
        <v>120</v>
      </c>
      <c r="B5" s="26" t="s">
        <v>121</v>
      </c>
      <c r="C5" s="26" t="s">
        <v>122</v>
      </c>
      <c r="D5" s="26" t="s">
        <v>159</v>
      </c>
      <c r="E5" s="27" t="s">
        <v>160</v>
      </c>
      <c r="F5" s="25" t="s">
        <v>125</v>
      </c>
      <c r="G5" s="48" t="str">
        <f>HYPERLINK("https://www.acquisition.gov/content/7103-agency-head-responsibilities#i1118821","FAR 7.103 Agency-head responsibilities [acquisition plans]")</f>
        <v>FAR 7.103 Agency-head responsibilities [acquisition plans]</v>
      </c>
      <c r="H5" s="57" t="str">
        <f>HYPERLINK("https://www.acquisition.gov/sites/default/files/current/gsam/html/Part507.html#wp1859250","GSAR 507.103")</f>
        <v>GSAR 507.103</v>
      </c>
      <c r="I5" s="34" t="s">
        <v>150</v>
      </c>
      <c r="J5" s="37" t="s">
        <v>112</v>
      </c>
      <c r="K5" s="37" t="s">
        <v>161</v>
      </c>
      <c r="L5" s="25" t="s">
        <v>162</v>
      </c>
      <c r="M5" s="62" t="s">
        <v>163</v>
      </c>
      <c r="N5" s="58" t="s">
        <v>164</v>
      </c>
      <c r="O5" s="64"/>
      <c r="P5" s="45" t="b">
        <f t="shared" si="0"/>
        <v>0</v>
      </c>
      <c r="Q5" s="45">
        <f t="shared" si="1"/>
        <v>3</v>
      </c>
      <c r="R5" s="45">
        <f t="shared" si="2"/>
        <v>0</v>
      </c>
      <c r="S5" s="24"/>
      <c r="T5" s="24"/>
      <c r="U5" s="24"/>
      <c r="V5" s="24"/>
      <c r="W5" s="24"/>
      <c r="X5" s="24"/>
      <c r="Y5" s="24"/>
      <c r="Z5" s="24"/>
      <c r="AA5" s="24"/>
      <c r="AB5" s="24"/>
    </row>
    <row r="6" spans="1:28" ht="86.95">
      <c r="A6" s="25" t="s">
        <v>120</v>
      </c>
      <c r="B6" s="26" t="s">
        <v>121</v>
      </c>
      <c r="C6" s="26" t="s">
        <v>122</v>
      </c>
      <c r="D6" s="26" t="s">
        <v>165</v>
      </c>
      <c r="E6" s="27" t="s">
        <v>166</v>
      </c>
      <c r="F6" s="54" t="s">
        <v>167</v>
      </c>
      <c r="G6" s="48" t="str">
        <f>HYPERLINK("https://www.acquisition.gov/browse/index/far","FAR 3.104; FAR 14.211(a) Release of acquisition information [sealed bidding]")</f>
        <v>FAR 3.104; FAR 14.211(a) Release of acquisition information [sealed bidding]</v>
      </c>
      <c r="H6" s="57" t="str">
        <f>HYPERLINK("https://www.acquisition.gov/browsegsam","GSAR 503.104-2 and GSAR 514.211")</f>
        <v>GSAR 503.104-2 and GSAR 514.211</v>
      </c>
      <c r="I6" s="34" t="s">
        <v>171</v>
      </c>
      <c r="J6" s="37" t="s">
        <v>112</v>
      </c>
      <c r="K6" s="37" t="s">
        <v>172</v>
      </c>
      <c r="L6" s="25" t="s">
        <v>173</v>
      </c>
      <c r="M6" s="25" t="s">
        <v>174</v>
      </c>
      <c r="N6" s="25" t="s">
        <v>175</v>
      </c>
      <c r="O6" s="64"/>
      <c r="P6" s="45" t="b">
        <f t="shared" si="0"/>
        <v>0</v>
      </c>
      <c r="Q6" s="45">
        <f t="shared" si="1"/>
        <v>3</v>
      </c>
      <c r="R6" s="45">
        <f t="shared" si="2"/>
        <v>0</v>
      </c>
      <c r="S6" s="24"/>
      <c r="T6" s="24"/>
      <c r="U6" s="24"/>
      <c r="V6" s="24"/>
      <c r="W6" s="24"/>
      <c r="X6" s="24"/>
      <c r="Y6" s="24"/>
      <c r="Z6" s="24"/>
      <c r="AA6" s="24"/>
      <c r="AB6" s="24"/>
    </row>
    <row r="7" spans="1:28" ht="358.65">
      <c r="A7" s="25" t="s">
        <v>120</v>
      </c>
      <c r="B7" s="26" t="s">
        <v>121</v>
      </c>
      <c r="C7" s="26" t="s">
        <v>122</v>
      </c>
      <c r="D7" s="26" t="s">
        <v>176</v>
      </c>
      <c r="E7" s="27" t="s">
        <v>177</v>
      </c>
      <c r="F7" s="25" t="s">
        <v>178</v>
      </c>
      <c r="G7" s="48" t="str">
        <f>HYPERLINK("https://www.acquisition.gov/content/32706-1-clauses-contracting-advance-funds","FAR 32.706-1 Clauses for contracting in advance of funds")</f>
        <v>FAR 32.706-1 Clauses for contracting in advance of funds</v>
      </c>
      <c r="H7" s="54"/>
      <c r="I7" s="34" t="s">
        <v>134</v>
      </c>
      <c r="J7" s="37" t="s">
        <v>112</v>
      </c>
      <c r="K7" s="37" t="s">
        <v>182</v>
      </c>
      <c r="L7" s="25" t="s">
        <v>183</v>
      </c>
      <c r="M7" s="25" t="s">
        <v>184</v>
      </c>
      <c r="N7" s="25" t="s">
        <v>185</v>
      </c>
      <c r="O7" s="64"/>
      <c r="P7" s="45" t="b">
        <f t="shared" si="0"/>
        <v>0</v>
      </c>
      <c r="Q7" s="45">
        <f t="shared" si="1"/>
        <v>3</v>
      </c>
      <c r="R7" s="45">
        <f t="shared" si="2"/>
        <v>0</v>
      </c>
      <c r="S7" s="24"/>
      <c r="T7" s="24"/>
      <c r="U7" s="24"/>
      <c r="V7" s="24"/>
      <c r="W7" s="24"/>
      <c r="X7" s="24"/>
      <c r="Y7" s="24"/>
      <c r="Z7" s="24"/>
      <c r="AA7" s="24"/>
      <c r="AB7" s="24"/>
    </row>
    <row r="8" spans="1:28" ht="195.65">
      <c r="A8" s="25" t="s">
        <v>120</v>
      </c>
      <c r="B8" s="26" t="s">
        <v>121</v>
      </c>
      <c r="C8" s="26" t="s">
        <v>122</v>
      </c>
      <c r="D8" s="26" t="s">
        <v>186</v>
      </c>
      <c r="E8" s="25" t="s">
        <v>187</v>
      </c>
      <c r="F8" s="25" t="s">
        <v>188</v>
      </c>
      <c r="G8" s="48" t="str">
        <f>HYPERLINK("https://www.acquisition.gov/content/7103-agency-head-responsibilities#i1118821","FAR 7.103 Agency-head responsibilities [acquisition plans]")</f>
        <v>FAR 7.103 Agency-head responsibilities [acquisition plans]</v>
      </c>
      <c r="H8" s="57" t="str">
        <f>HYPERLINK("https://www.acquisition.gov/sites/default/files/current/gsam/html/Part507.html#wp1859250","GSAR 507.103")</f>
        <v>GSAR 507.103</v>
      </c>
      <c r="I8" s="34" t="s">
        <v>150</v>
      </c>
      <c r="J8" s="37" t="s">
        <v>112</v>
      </c>
      <c r="K8" s="37" t="s">
        <v>193</v>
      </c>
      <c r="L8" s="25" t="s">
        <v>195</v>
      </c>
      <c r="M8" s="25" t="s">
        <v>197</v>
      </c>
      <c r="N8" s="25" t="s">
        <v>198</v>
      </c>
      <c r="O8" s="64"/>
      <c r="P8" s="45" t="b">
        <f t="shared" si="0"/>
        <v>0</v>
      </c>
      <c r="Q8" s="45">
        <f t="shared" si="1"/>
        <v>3</v>
      </c>
      <c r="R8" s="45">
        <f t="shared" si="2"/>
        <v>0</v>
      </c>
      <c r="S8" s="24"/>
      <c r="T8" s="24"/>
      <c r="U8" s="24"/>
      <c r="V8" s="24"/>
      <c r="W8" s="24"/>
      <c r="X8" s="24"/>
      <c r="Y8" s="24"/>
      <c r="Z8" s="24"/>
      <c r="AA8" s="24"/>
      <c r="AB8" s="24"/>
    </row>
    <row r="9" spans="1:28" ht="217.4">
      <c r="A9" s="25" t="s">
        <v>120</v>
      </c>
      <c r="B9" s="26" t="s">
        <v>121</v>
      </c>
      <c r="C9" s="26" t="s">
        <v>122</v>
      </c>
      <c r="D9" s="26" t="s">
        <v>199</v>
      </c>
      <c r="E9" s="54" t="s">
        <v>200</v>
      </c>
      <c r="F9" s="25" t="s">
        <v>201</v>
      </c>
      <c r="G9" s="48" t="str">
        <f>HYPERLINK("https://www.acquisition.gov/content/4803-contents-contract-files#i1122357","FAR 4.803(a) Contracting office contract file [contents of contract files]")</f>
        <v>FAR 4.803(a) Contracting office contract file [contents of contract files]</v>
      </c>
      <c r="H9" s="57" t="str">
        <f>HYPERLINK("https://www.acquisition.gov/sites/default/files/current/gsam/html/Part504.html#wp1858232","GSAR 504.803")</f>
        <v>GSAR 504.803</v>
      </c>
      <c r="I9" s="34" t="s">
        <v>202</v>
      </c>
      <c r="J9" s="37" t="s">
        <v>203</v>
      </c>
      <c r="K9" s="37" t="s">
        <v>205</v>
      </c>
      <c r="L9" s="25" t="s">
        <v>207</v>
      </c>
      <c r="M9" s="25" t="s">
        <v>208</v>
      </c>
      <c r="N9" s="25" t="s">
        <v>209</v>
      </c>
      <c r="O9" s="64"/>
      <c r="P9" s="45" t="b">
        <f t="shared" si="0"/>
        <v>0</v>
      </c>
      <c r="Q9" s="45">
        <f t="shared" si="1"/>
        <v>3</v>
      </c>
      <c r="R9" s="45">
        <f t="shared" si="2"/>
        <v>0</v>
      </c>
      <c r="S9" s="24"/>
      <c r="T9" s="24"/>
      <c r="U9" s="24"/>
      <c r="V9" s="24"/>
      <c r="W9" s="24"/>
      <c r="X9" s="24"/>
      <c r="Y9" s="24"/>
      <c r="Z9" s="24"/>
      <c r="AA9" s="24"/>
      <c r="AB9" s="24"/>
    </row>
    <row r="10" spans="1:28" ht="108.7">
      <c r="A10" s="25" t="s">
        <v>120</v>
      </c>
      <c r="B10" s="26" t="s">
        <v>121</v>
      </c>
      <c r="C10" s="26" t="s">
        <v>122</v>
      </c>
      <c r="D10" s="71" t="s">
        <v>211</v>
      </c>
      <c r="E10" s="25" t="s">
        <v>216</v>
      </c>
      <c r="F10" s="25" t="s">
        <v>217</v>
      </c>
      <c r="G10" s="57" t="str">
        <f>HYPERLINK("https://www.acquisition.gov/content/13303-5-purchases-under-bpas#i1111666","FAR 13.303-5(e) Purchases under BPAs. ")</f>
        <v xml:space="preserve">FAR 13.303-5(e) Purchases under BPAs. </v>
      </c>
      <c r="H10" s="57" t="str">
        <f>HYPERLINK("https://www.acquisition.gov/sites/default/files/current/gsam/html/Part513.html#wp1860001","GSAR 513.303")</f>
        <v>GSAR 513.303</v>
      </c>
      <c r="I10" s="34" t="s">
        <v>225</v>
      </c>
      <c r="J10" s="37" t="s">
        <v>203</v>
      </c>
      <c r="K10" s="37" t="s">
        <v>226</v>
      </c>
      <c r="L10" s="25" t="s">
        <v>229</v>
      </c>
      <c r="M10" s="25" t="s">
        <v>230</v>
      </c>
      <c r="N10" s="25" t="s">
        <v>231</v>
      </c>
      <c r="O10" s="64"/>
      <c r="P10" s="45" t="b">
        <f t="shared" si="0"/>
        <v>0</v>
      </c>
      <c r="Q10" s="45">
        <f t="shared" si="1"/>
        <v>3</v>
      </c>
      <c r="R10" s="45">
        <f t="shared" si="2"/>
        <v>0</v>
      </c>
      <c r="S10" s="24"/>
      <c r="T10" s="24"/>
      <c r="U10" s="24"/>
      <c r="V10" s="24"/>
      <c r="W10" s="24"/>
      <c r="X10" s="24"/>
      <c r="Y10" s="24"/>
      <c r="Z10" s="24"/>
      <c r="AA10" s="24"/>
      <c r="AB10" s="24"/>
    </row>
    <row r="11" spans="1:28" ht="4.5999999999999996" customHeight="1">
      <c r="A11" s="55"/>
      <c r="B11" s="55"/>
      <c r="C11" s="56"/>
      <c r="D11" s="56"/>
      <c r="E11" s="55"/>
      <c r="F11" s="55"/>
      <c r="G11" s="72"/>
      <c r="H11" s="72"/>
      <c r="I11" s="63"/>
      <c r="J11" s="63"/>
      <c r="K11" s="63"/>
      <c r="L11" s="63"/>
      <c r="M11" s="63"/>
      <c r="N11" s="63"/>
      <c r="O11" s="64"/>
      <c r="P11" s="45"/>
      <c r="Q11" s="45"/>
      <c r="R11" s="45"/>
      <c r="S11" s="24"/>
      <c r="T11" s="24"/>
      <c r="U11" s="24"/>
      <c r="V11" s="24"/>
      <c r="W11" s="24"/>
      <c r="X11" s="24"/>
      <c r="Y11" s="24"/>
      <c r="Z11" s="24"/>
      <c r="AA11" s="24"/>
      <c r="AB11" s="24"/>
    </row>
    <row r="12" spans="1:28" ht="130.44999999999999">
      <c r="A12" s="25" t="s">
        <v>244</v>
      </c>
      <c r="B12" s="26" t="s">
        <v>245</v>
      </c>
      <c r="C12" s="26" t="s">
        <v>246</v>
      </c>
      <c r="D12" s="26" t="s">
        <v>247</v>
      </c>
      <c r="E12" s="25" t="s">
        <v>248</v>
      </c>
      <c r="F12" s="25" t="s">
        <v>249</v>
      </c>
      <c r="G12" s="57" t="str">
        <f>HYPERLINK("https://www.acquisition.gov/content/13106-1-soliciting-competition#i1112291","FAR 13.106-1(b)(1) For purchases not exceeding the simplified acquisition threshold [soliciting from a single source].")</f>
        <v>FAR 13.106-1(b)(1) For purchases not exceeding the simplified acquisition threshold [soliciting from a single source].</v>
      </c>
      <c r="H12" s="57" t="str">
        <f t="shared" ref="H12:H14" si="3">HYPERLINK("https://www.acquisition.gov/sites/default/files/current/gsam/html/Part513.html#wp1858094","GSAR 513.106")</f>
        <v>GSAR 513.106</v>
      </c>
      <c r="I12" s="34" t="s">
        <v>255</v>
      </c>
      <c r="J12" s="37" t="s">
        <v>256</v>
      </c>
      <c r="K12" s="37" t="s">
        <v>257</v>
      </c>
      <c r="L12" s="25" t="s">
        <v>258</v>
      </c>
      <c r="M12" s="25" t="s">
        <v>259</v>
      </c>
      <c r="N12" s="25" t="s">
        <v>260</v>
      </c>
      <c r="O12" s="64"/>
      <c r="P12" s="45" t="b">
        <f t="shared" ref="P12:P48" si="4">IF(AND(O12="Meet the requirements traceability “out of the box”"), 10, IF(AND(O12="Can meet the requirements traceability with configuration or through the use of another commercial product “out of the box” or other arrangement as part of the service offering quoted (i.e. at no additional cost)"), 8, IF(AND(O12="Can meet the requirements traceability with customization at additional cost"), 3, IF(AND(O12="Cannot meet the requirements traceability requirement"), 0))))</f>
        <v>0</v>
      </c>
      <c r="Q12" s="45">
        <f t="shared" ref="Q12:Q48" si="5">IF(J12="Unidentified",0,3)</f>
        <v>3</v>
      </c>
      <c r="R12" s="45">
        <f t="shared" ref="R12:R48" si="6">IF(P12=FALSE,0,IF(P12&gt;4,(P12+Q12),P12))</f>
        <v>0</v>
      </c>
      <c r="S12" s="24"/>
      <c r="T12" s="24"/>
      <c r="U12" s="24"/>
      <c r="V12" s="24"/>
      <c r="W12" s="24"/>
      <c r="X12" s="24"/>
      <c r="Y12" s="24"/>
      <c r="Z12" s="24"/>
      <c r="AA12" s="24"/>
      <c r="AB12" s="24"/>
    </row>
    <row r="13" spans="1:28" ht="130.44999999999999">
      <c r="A13" s="25" t="s">
        <v>244</v>
      </c>
      <c r="B13" s="26" t="s">
        <v>245</v>
      </c>
      <c r="C13" s="26" t="s">
        <v>246</v>
      </c>
      <c r="D13" s="26" t="s">
        <v>272</v>
      </c>
      <c r="E13" s="25" t="s">
        <v>273</v>
      </c>
      <c r="F13" s="25" t="s">
        <v>275</v>
      </c>
      <c r="G13" s="57" t="str">
        <f>HYPERLINK("https://www.acquisition.gov/content/13106-3-award-and-documentation","FAR 13.106-3(b)(3)(i) Special situations [file documentation and retention].")</f>
        <v>FAR 13.106-3(b)(3)(i) Special situations [file documentation and retention].</v>
      </c>
      <c r="H13" s="57" t="str">
        <f t="shared" si="3"/>
        <v>GSAR 513.106</v>
      </c>
      <c r="I13" s="34" t="s">
        <v>255</v>
      </c>
      <c r="J13" s="37" t="s">
        <v>256</v>
      </c>
      <c r="K13" s="75" t="s">
        <v>257</v>
      </c>
      <c r="L13" s="25" t="s">
        <v>258</v>
      </c>
      <c r="M13" s="25" t="s">
        <v>276</v>
      </c>
      <c r="N13" s="25" t="s">
        <v>260</v>
      </c>
      <c r="O13" s="64"/>
      <c r="P13" s="45" t="b">
        <f t="shared" si="4"/>
        <v>0</v>
      </c>
      <c r="Q13" s="45">
        <f t="shared" si="5"/>
        <v>3</v>
      </c>
      <c r="R13" s="45">
        <f t="shared" si="6"/>
        <v>0</v>
      </c>
      <c r="S13" s="24"/>
      <c r="T13" s="24"/>
      <c r="U13" s="24"/>
      <c r="V13" s="24"/>
      <c r="W13" s="24"/>
      <c r="X13" s="24"/>
      <c r="Y13" s="24"/>
      <c r="Z13" s="24"/>
      <c r="AA13" s="24"/>
      <c r="AB13" s="24"/>
    </row>
    <row r="14" spans="1:28" ht="130.44999999999999">
      <c r="A14" s="25" t="s">
        <v>244</v>
      </c>
      <c r="B14" s="26" t="s">
        <v>245</v>
      </c>
      <c r="C14" s="26" t="s">
        <v>246</v>
      </c>
      <c r="D14" s="26" t="s">
        <v>280</v>
      </c>
      <c r="E14" s="25" t="s">
        <v>281</v>
      </c>
      <c r="F14" s="25" t="s">
        <v>275</v>
      </c>
      <c r="G14" s="57" t="str">
        <f>HYPERLINK("https://www.acquisition.gov/content/13106-3-award-and-documentation","FAR 13.106-3 Award and documentation [soliciting competition, evaluation of quotations or offers, award and documentation")</f>
        <v>FAR 13.106-3 Award and documentation [soliciting competition, evaluation of quotations or offers, award and documentation</v>
      </c>
      <c r="H14" s="57" t="str">
        <f t="shared" si="3"/>
        <v>GSAR 513.106</v>
      </c>
      <c r="I14" s="34" t="s">
        <v>255</v>
      </c>
      <c r="J14" s="37" t="s">
        <v>256</v>
      </c>
      <c r="K14" s="75" t="s">
        <v>257</v>
      </c>
      <c r="L14" s="25" t="s">
        <v>258</v>
      </c>
      <c r="M14" s="25" t="s">
        <v>276</v>
      </c>
      <c r="N14" s="25" t="s">
        <v>260</v>
      </c>
      <c r="O14" s="64"/>
      <c r="P14" s="45" t="b">
        <f t="shared" si="4"/>
        <v>0</v>
      </c>
      <c r="Q14" s="45">
        <f t="shared" si="5"/>
        <v>3</v>
      </c>
      <c r="R14" s="45">
        <f t="shared" si="6"/>
        <v>0</v>
      </c>
      <c r="S14" s="24"/>
      <c r="T14" s="24"/>
      <c r="U14" s="24"/>
      <c r="V14" s="24"/>
      <c r="W14" s="24"/>
      <c r="X14" s="24"/>
      <c r="Y14" s="24"/>
      <c r="Z14" s="24"/>
      <c r="AA14" s="24"/>
      <c r="AB14" s="24"/>
    </row>
    <row r="15" spans="1:28" ht="130.44999999999999">
      <c r="A15" s="25" t="s">
        <v>244</v>
      </c>
      <c r="B15" s="26" t="s">
        <v>245</v>
      </c>
      <c r="C15" s="26" t="s">
        <v>246</v>
      </c>
      <c r="D15" s="26" t="s">
        <v>289</v>
      </c>
      <c r="E15" s="25" t="s">
        <v>290</v>
      </c>
      <c r="F15" s="25" t="s">
        <v>249</v>
      </c>
      <c r="G15" s="57" t="str">
        <f>HYPERLINK("https://www.acquisition.gov/content/13501-special-documentation-requirements#i1111284","FAR 13.501(a) Sole source (including brand name) acquisitions [special documentation requirements].")</f>
        <v>FAR 13.501(a) Sole source (including brand name) acquisitions [special documentation requirements].</v>
      </c>
      <c r="H15" s="25"/>
      <c r="I15" s="34" t="s">
        <v>255</v>
      </c>
      <c r="J15" s="37" t="s">
        <v>256</v>
      </c>
      <c r="K15" s="75" t="s">
        <v>257</v>
      </c>
      <c r="L15" s="25" t="s">
        <v>258</v>
      </c>
      <c r="M15" s="25" t="s">
        <v>276</v>
      </c>
      <c r="N15" s="25" t="s">
        <v>260</v>
      </c>
      <c r="O15" s="64"/>
      <c r="P15" s="45" t="b">
        <f t="shared" si="4"/>
        <v>0</v>
      </c>
      <c r="Q15" s="45">
        <f t="shared" si="5"/>
        <v>3</v>
      </c>
      <c r="R15" s="45">
        <f t="shared" si="6"/>
        <v>0</v>
      </c>
      <c r="S15" s="24"/>
      <c r="T15" s="24"/>
      <c r="U15" s="24"/>
      <c r="V15" s="24"/>
      <c r="W15" s="24"/>
      <c r="X15" s="24"/>
      <c r="Y15" s="24"/>
      <c r="Z15" s="24"/>
      <c r="AA15" s="24"/>
      <c r="AB15" s="24"/>
    </row>
    <row r="16" spans="1:28" ht="130.44999999999999">
      <c r="A16" s="25" t="s">
        <v>244</v>
      </c>
      <c r="B16" s="26" t="s">
        <v>245</v>
      </c>
      <c r="C16" s="26" t="s">
        <v>246</v>
      </c>
      <c r="D16" s="26" t="s">
        <v>295</v>
      </c>
      <c r="E16" s="25" t="s">
        <v>296</v>
      </c>
      <c r="F16" s="25" t="s">
        <v>297</v>
      </c>
      <c r="G16" s="57" t="e">
        <f>HYPERLINK("https://www.acquisition.gov/content/13501-special-documentation-requirements#i1111284","FAR 13.501(a)(1)(ii) Sole source (including brand name) acquisitions [special documentation requirements]. Prepare the sole source (including brand name) justification using the format at FAR 6.303-2, modified to reflect that the procedures in FAR subpart"&amp;" 13.5 were used in accordance with 41 U.S.C. 1901 or the authority of 41 U.S.C. 1903. ")</f>
        <v>#VALUE!</v>
      </c>
      <c r="H16" s="25"/>
      <c r="I16" s="34" t="s">
        <v>255</v>
      </c>
      <c r="J16" s="37" t="s">
        <v>256</v>
      </c>
      <c r="K16" s="75" t="s">
        <v>257</v>
      </c>
      <c r="L16" s="25" t="s">
        <v>258</v>
      </c>
      <c r="M16" s="25" t="s">
        <v>276</v>
      </c>
      <c r="N16" s="25" t="s">
        <v>260</v>
      </c>
      <c r="O16" s="64"/>
      <c r="P16" s="45" t="b">
        <f t="shared" si="4"/>
        <v>0</v>
      </c>
      <c r="Q16" s="45">
        <f t="shared" si="5"/>
        <v>3</v>
      </c>
      <c r="R16" s="45">
        <f t="shared" si="6"/>
        <v>0</v>
      </c>
      <c r="S16" s="24"/>
      <c r="T16" s="24"/>
      <c r="U16" s="24"/>
      <c r="V16" s="24"/>
      <c r="W16" s="24"/>
      <c r="X16" s="24"/>
      <c r="Y16" s="24"/>
      <c r="Z16" s="24"/>
      <c r="AA16" s="24"/>
      <c r="AB16" s="24"/>
    </row>
    <row r="17" spans="1:28" ht="130.44999999999999">
      <c r="A17" s="25" t="s">
        <v>244</v>
      </c>
      <c r="B17" s="26" t="s">
        <v>245</v>
      </c>
      <c r="C17" s="26" t="s">
        <v>246</v>
      </c>
      <c r="D17" s="26" t="s">
        <v>305</v>
      </c>
      <c r="E17" s="25" t="s">
        <v>306</v>
      </c>
      <c r="F17" s="25" t="s">
        <v>308</v>
      </c>
      <c r="G17" s="57" t="str">
        <f>HYPERLINK("https://www.acquisition.gov/content/13501-special-documentation-requirements#i1111284","FAR 13.501(a)(2) Sole source (including brand name) acquisitions [special documentation requirements]. ")</f>
        <v xml:space="preserve">FAR 13.501(a)(2) Sole source (including brand name) acquisitions [special documentation requirements]. </v>
      </c>
      <c r="H17" s="25"/>
      <c r="I17" s="34" t="s">
        <v>255</v>
      </c>
      <c r="J17" s="37" t="s">
        <v>256</v>
      </c>
      <c r="K17" s="37" t="s">
        <v>309</v>
      </c>
      <c r="L17" s="77" t="s">
        <v>310</v>
      </c>
      <c r="M17" s="25" t="s">
        <v>313</v>
      </c>
      <c r="N17" s="41" t="s">
        <v>314</v>
      </c>
      <c r="O17" s="64"/>
      <c r="P17" s="45" t="b">
        <f t="shared" si="4"/>
        <v>0</v>
      </c>
      <c r="Q17" s="45">
        <f t="shared" si="5"/>
        <v>3</v>
      </c>
      <c r="R17" s="45">
        <f t="shared" si="6"/>
        <v>0</v>
      </c>
      <c r="S17" s="24"/>
      <c r="T17" s="24"/>
      <c r="U17" s="24"/>
      <c r="V17" s="24"/>
      <c r="W17" s="24"/>
      <c r="X17" s="24"/>
      <c r="Y17" s="24"/>
      <c r="Z17" s="24"/>
      <c r="AA17" s="24"/>
      <c r="AB17" s="24"/>
    </row>
    <row r="18" spans="1:28" ht="130.44999999999999">
      <c r="A18" s="25" t="s">
        <v>244</v>
      </c>
      <c r="B18" s="26" t="s">
        <v>245</v>
      </c>
      <c r="C18" s="26" t="s">
        <v>246</v>
      </c>
      <c r="D18" s="26" t="s">
        <v>315</v>
      </c>
      <c r="E18" s="25" t="s">
        <v>316</v>
      </c>
      <c r="F18" s="25" t="s">
        <v>318</v>
      </c>
      <c r="G18" s="57" t="str">
        <f>HYPERLINK("https://www.acquisition.gov/content/13501-special-documentation-requirements#i1111284","FAR 13.501(a)(1)(iii) Sole source (including brand name) acquisitions [special documentation requirements]. FAR 13.501(a)(1)(iv) Sole source (including brand name) acquisitions [special documentation requirements].")</f>
        <v>FAR 13.501(a)(1)(iii) Sole source (including brand name) acquisitions [special documentation requirements]. FAR 13.501(a)(1)(iv) Sole source (including brand name) acquisitions [special documentation requirements].</v>
      </c>
      <c r="H18" s="25"/>
      <c r="I18" s="34" t="s">
        <v>322</v>
      </c>
      <c r="J18" s="37" t="s">
        <v>203</v>
      </c>
      <c r="K18" s="37" t="s">
        <v>323</v>
      </c>
      <c r="L18" s="78" t="s">
        <v>325</v>
      </c>
      <c r="M18" s="39" t="s">
        <v>327</v>
      </c>
      <c r="N18" s="41" t="s">
        <v>328</v>
      </c>
      <c r="O18" s="64"/>
      <c r="P18" s="45" t="b">
        <f t="shared" si="4"/>
        <v>0</v>
      </c>
      <c r="Q18" s="45">
        <f t="shared" si="5"/>
        <v>3</v>
      </c>
      <c r="R18" s="45">
        <f t="shared" si="6"/>
        <v>0</v>
      </c>
      <c r="S18" s="24"/>
      <c r="T18" s="24"/>
      <c r="U18" s="24"/>
      <c r="V18" s="24"/>
      <c r="W18" s="24"/>
      <c r="X18" s="24"/>
      <c r="Y18" s="24"/>
      <c r="Z18" s="24"/>
      <c r="AA18" s="24"/>
      <c r="AB18" s="24"/>
    </row>
    <row r="19" spans="1:28" ht="217.4">
      <c r="A19" s="25" t="s">
        <v>244</v>
      </c>
      <c r="B19" s="26" t="s">
        <v>245</v>
      </c>
      <c r="C19" s="26" t="s">
        <v>246</v>
      </c>
      <c r="D19" s="26" t="s">
        <v>334</v>
      </c>
      <c r="E19" s="25" t="s">
        <v>281</v>
      </c>
      <c r="F19" s="25" t="s">
        <v>275</v>
      </c>
      <c r="G19" s="57" t="str">
        <f>HYPERLINK("https://www.acquisition.gov/content/13501-special-documentation-requirements#i1111284","FAR 13.501(b) Contract file documentation [special documentation requirements].")</f>
        <v>FAR 13.501(b) Contract file documentation [special documentation requirements].</v>
      </c>
      <c r="H19" s="25"/>
      <c r="I19" s="34" t="s">
        <v>202</v>
      </c>
      <c r="J19" s="37" t="s">
        <v>203</v>
      </c>
      <c r="K19" s="37" t="s">
        <v>338</v>
      </c>
      <c r="L19" s="25" t="s">
        <v>207</v>
      </c>
      <c r="M19" s="25" t="s">
        <v>208</v>
      </c>
      <c r="N19" s="25" t="s">
        <v>209</v>
      </c>
      <c r="O19" s="64"/>
      <c r="P19" s="45" t="b">
        <f t="shared" si="4"/>
        <v>0</v>
      </c>
      <c r="Q19" s="45">
        <f t="shared" si="5"/>
        <v>3</v>
      </c>
      <c r="R19" s="45">
        <f t="shared" si="6"/>
        <v>0</v>
      </c>
      <c r="S19" s="24"/>
      <c r="T19" s="24"/>
      <c r="U19" s="24"/>
      <c r="V19" s="24"/>
      <c r="W19" s="24"/>
      <c r="X19" s="24"/>
      <c r="Y19" s="24"/>
      <c r="Z19" s="24"/>
      <c r="AA19" s="24"/>
      <c r="AB19" s="24"/>
    </row>
    <row r="20" spans="1:28" ht="119.55">
      <c r="A20" s="25" t="s">
        <v>244</v>
      </c>
      <c r="B20" s="26" t="s">
        <v>245</v>
      </c>
      <c r="C20" s="26" t="s">
        <v>246</v>
      </c>
      <c r="D20" s="26" t="s">
        <v>343</v>
      </c>
      <c r="E20" s="25" t="s">
        <v>344</v>
      </c>
      <c r="F20" s="25" t="s">
        <v>249</v>
      </c>
      <c r="G20" s="57" t="str">
        <f>HYPERLINK("https://www.acquisition.gov/content/subpart-62-full-and-open-competition-after-exclusion-sources#i1119917","FAR 6.2 Full and open competition after the exclusion of sources [competition requirements].")</f>
        <v>FAR 6.2 Full and open competition after the exclusion of sources [competition requirements].</v>
      </c>
      <c r="H20" s="57" t="str">
        <f t="shared" ref="H20:H21" si="7">HYPERLINK("https://www.acquisition.gov/sites/default/files/current/gsam/html/Part506.html#wp1858091","GSAR 506.2")</f>
        <v>GSAR 506.2</v>
      </c>
      <c r="I20" s="34" t="s">
        <v>255</v>
      </c>
      <c r="J20" s="37" t="s">
        <v>256</v>
      </c>
      <c r="K20" s="37" t="s">
        <v>348</v>
      </c>
      <c r="L20" s="25" t="s">
        <v>349</v>
      </c>
      <c r="M20" s="25" t="s">
        <v>351</v>
      </c>
      <c r="N20" s="25" t="s">
        <v>260</v>
      </c>
      <c r="O20" s="64"/>
      <c r="P20" s="45" t="b">
        <f t="shared" si="4"/>
        <v>0</v>
      </c>
      <c r="Q20" s="45">
        <f t="shared" si="5"/>
        <v>3</v>
      </c>
      <c r="R20" s="45">
        <f t="shared" si="6"/>
        <v>0</v>
      </c>
      <c r="S20" s="24"/>
      <c r="T20" s="24"/>
      <c r="U20" s="24"/>
      <c r="V20" s="24"/>
      <c r="W20" s="24"/>
      <c r="X20" s="24"/>
      <c r="Y20" s="24"/>
      <c r="Z20" s="24"/>
      <c r="AA20" s="24"/>
      <c r="AB20" s="24"/>
    </row>
    <row r="21" spans="1:28" ht="119.55">
      <c r="A21" s="25" t="s">
        <v>244</v>
      </c>
      <c r="B21" s="26" t="s">
        <v>245</v>
      </c>
      <c r="C21" s="26" t="s">
        <v>246</v>
      </c>
      <c r="D21" s="26" t="s">
        <v>356</v>
      </c>
      <c r="E21" s="25" t="s">
        <v>357</v>
      </c>
      <c r="F21" s="25" t="s">
        <v>358</v>
      </c>
      <c r="G21" s="57" t="str">
        <f>HYPERLINK("https://www.acquisition.gov/content/6202-establishing-or-maintaining-alternative-sources","FAR 6.202 Establishing or maintaining alternative sources [full and open competition after exclusion of sources].")</f>
        <v>FAR 6.202 Establishing or maintaining alternative sources [full and open competition after exclusion of sources].</v>
      </c>
      <c r="H21" s="57" t="str">
        <f t="shared" si="7"/>
        <v>GSAR 506.2</v>
      </c>
      <c r="I21" s="34" t="s">
        <v>255</v>
      </c>
      <c r="J21" s="37" t="s">
        <v>256</v>
      </c>
      <c r="K21" s="75" t="s">
        <v>348</v>
      </c>
      <c r="L21" s="25" t="s">
        <v>349</v>
      </c>
      <c r="M21" s="25" t="s">
        <v>351</v>
      </c>
      <c r="N21" s="25" t="s">
        <v>260</v>
      </c>
      <c r="O21" s="64"/>
      <c r="P21" s="45" t="b">
        <f t="shared" si="4"/>
        <v>0</v>
      </c>
      <c r="Q21" s="45">
        <f t="shared" si="5"/>
        <v>3</v>
      </c>
      <c r="R21" s="45">
        <f t="shared" si="6"/>
        <v>0</v>
      </c>
      <c r="S21" s="24"/>
      <c r="T21" s="24"/>
      <c r="U21" s="24"/>
      <c r="V21" s="24"/>
      <c r="W21" s="24"/>
      <c r="X21" s="24"/>
      <c r="Y21" s="24"/>
      <c r="Z21" s="24"/>
      <c r="AA21" s="24"/>
      <c r="AB21" s="24"/>
    </row>
    <row r="22" spans="1:28" ht="130.44999999999999">
      <c r="A22" s="25" t="s">
        <v>244</v>
      </c>
      <c r="B22" s="26" t="s">
        <v>245</v>
      </c>
      <c r="C22" s="26" t="s">
        <v>246</v>
      </c>
      <c r="D22" s="26" t="s">
        <v>365</v>
      </c>
      <c r="E22" s="25" t="s">
        <v>366</v>
      </c>
      <c r="F22" s="25" t="s">
        <v>249</v>
      </c>
      <c r="G22" s="57" t="str">
        <f>HYPERLINK("https://www.acquisition.gov/content/6302-1-only-one-responsible-source-and-no-other-supplies-or-services-will-satisfy-agency","FAR 6.302-1 Only one responsible source and no other supplies or services will satisfy agency requirements [circumstances permitting other than full and open competition]. ")</f>
        <v xml:space="preserve">FAR 6.302-1 Only one responsible source and no other supplies or services will satisfy agency requirements [circumstances permitting other than full and open competition]. </v>
      </c>
      <c r="H22" s="25"/>
      <c r="I22" s="34" t="s">
        <v>255</v>
      </c>
      <c r="J22" s="37" t="s">
        <v>256</v>
      </c>
      <c r="K22" s="37" t="s">
        <v>370</v>
      </c>
      <c r="L22" s="25" t="s">
        <v>372</v>
      </c>
      <c r="M22" s="25" t="s">
        <v>373</v>
      </c>
      <c r="N22" s="25" t="s">
        <v>260</v>
      </c>
      <c r="O22" s="64"/>
      <c r="P22" s="45" t="b">
        <f t="shared" si="4"/>
        <v>0</v>
      </c>
      <c r="Q22" s="45">
        <f t="shared" si="5"/>
        <v>3</v>
      </c>
      <c r="R22" s="45">
        <f t="shared" si="6"/>
        <v>0</v>
      </c>
      <c r="S22" s="24"/>
      <c r="T22" s="24"/>
      <c r="U22" s="24"/>
      <c r="V22" s="24"/>
      <c r="W22" s="24"/>
      <c r="X22" s="24"/>
      <c r="Y22" s="24"/>
      <c r="Z22" s="24"/>
      <c r="AA22" s="24"/>
      <c r="AB22" s="24"/>
    </row>
    <row r="23" spans="1:28" ht="119.55">
      <c r="A23" s="25" t="s">
        <v>244</v>
      </c>
      <c r="B23" s="26" t="s">
        <v>245</v>
      </c>
      <c r="C23" s="26" t="s">
        <v>246</v>
      </c>
      <c r="D23" s="26" t="s">
        <v>378</v>
      </c>
      <c r="E23" s="25" t="s">
        <v>379</v>
      </c>
      <c r="F23" s="25" t="s">
        <v>249</v>
      </c>
      <c r="G23" s="57" t="str">
        <f>HYPERLINK("https://www.acquisition.gov/content/6302-1-only-one-responsible-source-and-no-other-supplies-or-services-will-satisfy-agency#","FAR 6.302-2 Unusual and compelling urgency [circumstances permitting other than full and open competition]. ")</f>
        <v xml:space="preserve">FAR 6.302-2 Unusual and compelling urgency [circumstances permitting other than full and open competition]. </v>
      </c>
      <c r="H23" s="25"/>
      <c r="I23" s="34" t="s">
        <v>255</v>
      </c>
      <c r="J23" s="37" t="s">
        <v>256</v>
      </c>
      <c r="K23" s="37" t="s">
        <v>383</v>
      </c>
      <c r="L23" s="25" t="s">
        <v>384</v>
      </c>
      <c r="M23" s="25" t="s">
        <v>385</v>
      </c>
      <c r="N23" s="25" t="s">
        <v>260</v>
      </c>
      <c r="O23" s="64"/>
      <c r="P23" s="45" t="b">
        <f t="shared" si="4"/>
        <v>0</v>
      </c>
      <c r="Q23" s="45">
        <f t="shared" si="5"/>
        <v>3</v>
      </c>
      <c r="R23" s="45">
        <f t="shared" si="6"/>
        <v>0</v>
      </c>
      <c r="S23" s="24"/>
      <c r="T23" s="24"/>
      <c r="U23" s="24"/>
      <c r="V23" s="24"/>
      <c r="W23" s="24"/>
      <c r="X23" s="24"/>
      <c r="Y23" s="24"/>
      <c r="Z23" s="24"/>
      <c r="AA23" s="24"/>
      <c r="AB23" s="24"/>
    </row>
    <row r="24" spans="1:28" ht="206.5">
      <c r="A24" s="25" t="s">
        <v>244</v>
      </c>
      <c r="B24" s="26" t="s">
        <v>245</v>
      </c>
      <c r="C24" s="26" t="s">
        <v>246</v>
      </c>
      <c r="D24" s="26" t="s">
        <v>391</v>
      </c>
      <c r="E24" s="25" t="s">
        <v>392</v>
      </c>
      <c r="F24" s="25" t="s">
        <v>249</v>
      </c>
      <c r="G24" s="57" t="str">
        <f>HYPERLINK("https://www.acquisition.gov/content/6302-1-only-one-responsible-source-and-no-other-supplies-or-services-will-satisfy-agency#","FAR 6.302-3 Industrial mobilization; engineering, developmental, or research capability; or expert services [circumstances other than full and open competition].")</f>
        <v>FAR 6.302-3 Industrial mobilization; engineering, developmental, or research capability; or expert services [circumstances other than full and open competition].</v>
      </c>
      <c r="H24" s="25"/>
      <c r="I24" s="34" t="s">
        <v>255</v>
      </c>
      <c r="J24" s="37" t="s">
        <v>256</v>
      </c>
      <c r="K24" s="37" t="s">
        <v>398</v>
      </c>
      <c r="L24" s="25" t="s">
        <v>400</v>
      </c>
      <c r="M24" s="25" t="s">
        <v>402</v>
      </c>
      <c r="N24" s="25" t="s">
        <v>260</v>
      </c>
      <c r="O24" s="64"/>
      <c r="P24" s="45" t="b">
        <f t="shared" si="4"/>
        <v>0</v>
      </c>
      <c r="Q24" s="45">
        <f t="shared" si="5"/>
        <v>3</v>
      </c>
      <c r="R24" s="45">
        <f t="shared" si="6"/>
        <v>0</v>
      </c>
      <c r="S24" s="24"/>
      <c r="T24" s="24"/>
      <c r="U24" s="24"/>
      <c r="V24" s="24"/>
      <c r="W24" s="24"/>
      <c r="X24" s="24"/>
      <c r="Y24" s="24"/>
      <c r="Z24" s="24"/>
      <c r="AA24" s="24"/>
      <c r="AB24" s="24"/>
    </row>
    <row r="25" spans="1:28" ht="206.5">
      <c r="A25" s="25" t="s">
        <v>244</v>
      </c>
      <c r="B25" s="26" t="s">
        <v>245</v>
      </c>
      <c r="C25" s="26" t="s">
        <v>246</v>
      </c>
      <c r="D25" s="26" t="s">
        <v>405</v>
      </c>
      <c r="E25" s="25" t="s">
        <v>407</v>
      </c>
      <c r="F25" s="25" t="s">
        <v>249</v>
      </c>
      <c r="G25" s="57" t="str">
        <f>HYPERLINK("https://www.acquisition.gov/content/6302-1-only-one-responsible-source-and-no-other-supplies-or-services-will-satisfy-agency#","FAR 6.302-4 International agreement [circumstances permitting other than full and open competition]. ")</f>
        <v xml:space="preserve">FAR 6.302-4 International agreement [circumstances permitting other than full and open competition]. </v>
      </c>
      <c r="H25" s="25"/>
      <c r="I25" s="34" t="s">
        <v>255</v>
      </c>
      <c r="J25" s="37" t="s">
        <v>256</v>
      </c>
      <c r="K25" s="75" t="s">
        <v>398</v>
      </c>
      <c r="L25" s="25" t="s">
        <v>400</v>
      </c>
      <c r="M25" s="25" t="s">
        <v>402</v>
      </c>
      <c r="N25" s="25" t="s">
        <v>260</v>
      </c>
      <c r="O25" s="64"/>
      <c r="P25" s="45" t="b">
        <f t="shared" si="4"/>
        <v>0</v>
      </c>
      <c r="Q25" s="45">
        <f t="shared" si="5"/>
        <v>3</v>
      </c>
      <c r="R25" s="45">
        <f t="shared" si="6"/>
        <v>0</v>
      </c>
      <c r="S25" s="24"/>
      <c r="T25" s="24"/>
      <c r="U25" s="24"/>
      <c r="V25" s="24"/>
      <c r="W25" s="24"/>
      <c r="X25" s="24"/>
      <c r="Y25" s="24"/>
      <c r="Z25" s="24"/>
      <c r="AA25" s="24"/>
      <c r="AB25" s="24"/>
    </row>
    <row r="26" spans="1:28" ht="206.5">
      <c r="A26" s="25" t="s">
        <v>244</v>
      </c>
      <c r="B26" s="26" t="s">
        <v>245</v>
      </c>
      <c r="C26" s="26" t="s">
        <v>246</v>
      </c>
      <c r="D26" s="26" t="s">
        <v>411</v>
      </c>
      <c r="E26" s="25" t="s">
        <v>413</v>
      </c>
      <c r="F26" s="25" t="s">
        <v>249</v>
      </c>
      <c r="G26" s="57" t="str">
        <f>HYPERLINK("https://www.acquisition.gov/content/6302-1-only-one-responsible-source-and-no-other-supplies-or-services-will-satisfy-agency#","FAR 6.302-5 Authorized or required by statute [circumstances permitting other than full and open competition].")</f>
        <v>FAR 6.302-5 Authorized or required by statute [circumstances permitting other than full and open competition].</v>
      </c>
      <c r="H26" s="25"/>
      <c r="I26" s="34" t="s">
        <v>255</v>
      </c>
      <c r="J26" s="37" t="s">
        <v>256</v>
      </c>
      <c r="K26" s="75" t="s">
        <v>398</v>
      </c>
      <c r="L26" s="25" t="s">
        <v>400</v>
      </c>
      <c r="M26" s="25" t="s">
        <v>402</v>
      </c>
      <c r="N26" s="25" t="s">
        <v>260</v>
      </c>
      <c r="O26" s="64"/>
      <c r="P26" s="45" t="b">
        <f t="shared" si="4"/>
        <v>0</v>
      </c>
      <c r="Q26" s="45">
        <f t="shared" si="5"/>
        <v>3</v>
      </c>
      <c r="R26" s="45">
        <f t="shared" si="6"/>
        <v>0</v>
      </c>
      <c r="S26" s="24"/>
      <c r="T26" s="24"/>
      <c r="U26" s="24"/>
      <c r="V26" s="24"/>
      <c r="W26" s="24"/>
      <c r="X26" s="24"/>
      <c r="Y26" s="24"/>
      <c r="Z26" s="24"/>
      <c r="AA26" s="24"/>
      <c r="AB26" s="24"/>
    </row>
    <row r="27" spans="1:28" ht="206.5">
      <c r="A27" s="25" t="s">
        <v>244</v>
      </c>
      <c r="B27" s="26" t="s">
        <v>245</v>
      </c>
      <c r="C27" s="26" t="s">
        <v>246</v>
      </c>
      <c r="D27" s="26" t="s">
        <v>417</v>
      </c>
      <c r="E27" s="25" t="s">
        <v>418</v>
      </c>
      <c r="F27" s="25" t="s">
        <v>249</v>
      </c>
      <c r="G27" s="57" t="str">
        <f>HYPERLINK("https://www.acquisition.gov/content/6302-1-only-one-responsible-source-and-no-other-supplies-or-services-will-satisfy-agency#","FAR 6.302-6 National security [circumstances permitting other than full and open competition].")</f>
        <v>FAR 6.302-6 National security [circumstances permitting other than full and open competition].</v>
      </c>
      <c r="H27" s="25"/>
      <c r="I27" s="34" t="s">
        <v>255</v>
      </c>
      <c r="J27" s="37" t="s">
        <v>256</v>
      </c>
      <c r="K27" s="75" t="s">
        <v>398</v>
      </c>
      <c r="L27" s="25" t="s">
        <v>400</v>
      </c>
      <c r="M27" s="25" t="s">
        <v>402</v>
      </c>
      <c r="N27" s="25" t="s">
        <v>260</v>
      </c>
      <c r="O27" s="64"/>
      <c r="P27" s="45" t="b">
        <f t="shared" si="4"/>
        <v>0</v>
      </c>
      <c r="Q27" s="45">
        <f t="shared" si="5"/>
        <v>3</v>
      </c>
      <c r="R27" s="45">
        <f t="shared" si="6"/>
        <v>0</v>
      </c>
      <c r="S27" s="24"/>
      <c r="T27" s="24"/>
      <c r="U27" s="24"/>
      <c r="V27" s="24"/>
      <c r="W27" s="24"/>
      <c r="X27" s="24"/>
      <c r="Y27" s="24"/>
      <c r="Z27" s="24"/>
      <c r="AA27" s="24"/>
      <c r="AB27" s="24"/>
    </row>
    <row r="28" spans="1:28" ht="206.5">
      <c r="A28" s="25" t="s">
        <v>244</v>
      </c>
      <c r="B28" s="26" t="s">
        <v>245</v>
      </c>
      <c r="C28" s="26" t="s">
        <v>246</v>
      </c>
      <c r="D28" s="26" t="s">
        <v>423</v>
      </c>
      <c r="E28" s="25" t="s">
        <v>424</v>
      </c>
      <c r="F28" s="25" t="s">
        <v>249</v>
      </c>
      <c r="G28" s="57" t="str">
        <f>HYPERLINK("https://www.acquisition.gov/content/6302-1-only-one-responsible-source-and-no-other-supplies-or-services-will-satisfy-agency#","FAR 6.302-7 Public interest [circumstances permitting other than full and open competition].")</f>
        <v>FAR 6.302-7 Public interest [circumstances permitting other than full and open competition].</v>
      </c>
      <c r="H28" s="25"/>
      <c r="I28" s="34" t="s">
        <v>255</v>
      </c>
      <c r="J28" s="37" t="s">
        <v>256</v>
      </c>
      <c r="K28" s="75" t="s">
        <v>398</v>
      </c>
      <c r="L28" s="25" t="s">
        <v>400</v>
      </c>
      <c r="M28" s="25" t="s">
        <v>402</v>
      </c>
      <c r="N28" s="25" t="s">
        <v>260</v>
      </c>
      <c r="O28" s="64"/>
      <c r="P28" s="45" t="b">
        <f t="shared" si="4"/>
        <v>0</v>
      </c>
      <c r="Q28" s="45">
        <f t="shared" si="5"/>
        <v>3</v>
      </c>
      <c r="R28" s="45">
        <f t="shared" si="6"/>
        <v>0</v>
      </c>
      <c r="S28" s="24"/>
      <c r="T28" s="24"/>
      <c r="U28" s="24"/>
      <c r="V28" s="24"/>
      <c r="W28" s="24"/>
      <c r="X28" s="24"/>
      <c r="Y28" s="24"/>
      <c r="Z28" s="24"/>
      <c r="AA28" s="24"/>
      <c r="AB28" s="24"/>
    </row>
    <row r="29" spans="1:28" ht="108.7">
      <c r="A29" s="25" t="s">
        <v>244</v>
      </c>
      <c r="B29" s="26" t="s">
        <v>245</v>
      </c>
      <c r="C29" s="26" t="s">
        <v>246</v>
      </c>
      <c r="D29" s="26" t="s">
        <v>433</v>
      </c>
      <c r="E29" s="25" t="s">
        <v>434</v>
      </c>
      <c r="F29" s="25" t="s">
        <v>297</v>
      </c>
      <c r="G29" s="57" t="str">
        <f>HYPERLINK("https://www.acquisition.gov/content/6303-1-requirements","FAR 6.303-1 Requirements [justifications]. FAR 6.303-2 Content [justifications].")</f>
        <v>FAR 6.303-1 Requirements [justifications]. FAR 6.303-2 Content [justifications].</v>
      </c>
      <c r="H29" s="57" t="str">
        <f>HYPERLINK("https://www.acquisition.gov/sites/default/files/current/gsam/html/Part506.html#wp1858097","GSAR 506.303")</f>
        <v>GSAR 506.303</v>
      </c>
      <c r="I29" s="34" t="s">
        <v>255</v>
      </c>
      <c r="J29" s="37" t="s">
        <v>256</v>
      </c>
      <c r="K29" s="37" t="s">
        <v>437</v>
      </c>
      <c r="L29" s="25" t="s">
        <v>438</v>
      </c>
      <c r="M29" s="25" t="s">
        <v>439</v>
      </c>
      <c r="N29" s="25" t="s">
        <v>441</v>
      </c>
      <c r="O29" s="64"/>
      <c r="P29" s="45" t="b">
        <f t="shared" si="4"/>
        <v>0</v>
      </c>
      <c r="Q29" s="45">
        <f t="shared" si="5"/>
        <v>3</v>
      </c>
      <c r="R29" s="45">
        <f t="shared" si="6"/>
        <v>0</v>
      </c>
      <c r="S29" s="24"/>
      <c r="T29" s="24"/>
      <c r="U29" s="24"/>
      <c r="V29" s="24"/>
      <c r="W29" s="24"/>
      <c r="X29" s="24"/>
      <c r="Y29" s="24"/>
      <c r="Z29" s="24"/>
      <c r="AA29" s="24"/>
      <c r="AB29" s="24"/>
    </row>
    <row r="30" spans="1:28" ht="130.44999999999999">
      <c r="A30" s="25" t="s">
        <v>244</v>
      </c>
      <c r="B30" s="26" t="s">
        <v>245</v>
      </c>
      <c r="C30" s="26" t="s">
        <v>246</v>
      </c>
      <c r="D30" s="26" t="s">
        <v>443</v>
      </c>
      <c r="E30" s="25" t="s">
        <v>444</v>
      </c>
      <c r="F30" s="25" t="s">
        <v>308</v>
      </c>
      <c r="G30" s="57" t="str">
        <f>HYPERLINK("https://www.acquisition.gov/content/6304-approval-justification","FAR 6.304 Approval of the justification [other than full and open competition]. ")</f>
        <v xml:space="preserve">FAR 6.304 Approval of the justification [other than full and open competition]. </v>
      </c>
      <c r="H30" s="25"/>
      <c r="I30" s="34" t="s">
        <v>255</v>
      </c>
      <c r="J30" s="37" t="s">
        <v>256</v>
      </c>
      <c r="K30" s="37" t="s">
        <v>447</v>
      </c>
      <c r="L30" s="77" t="s">
        <v>310</v>
      </c>
      <c r="M30" s="25" t="s">
        <v>448</v>
      </c>
      <c r="N30" s="41" t="s">
        <v>314</v>
      </c>
      <c r="O30" s="64"/>
      <c r="P30" s="45" t="b">
        <f t="shared" si="4"/>
        <v>0</v>
      </c>
      <c r="Q30" s="45">
        <f t="shared" si="5"/>
        <v>3</v>
      </c>
      <c r="R30" s="45">
        <f t="shared" si="6"/>
        <v>0</v>
      </c>
      <c r="S30" s="24"/>
      <c r="T30" s="24"/>
      <c r="U30" s="24"/>
      <c r="V30" s="24"/>
      <c r="W30" s="24"/>
      <c r="X30" s="24"/>
      <c r="Y30" s="24"/>
      <c r="Z30" s="24"/>
      <c r="AA30" s="24"/>
      <c r="AB30" s="24"/>
    </row>
    <row r="31" spans="1:28" ht="130.44999999999999">
      <c r="A31" s="25" t="s">
        <v>244</v>
      </c>
      <c r="B31" s="26" t="s">
        <v>245</v>
      </c>
      <c r="C31" s="26" t="s">
        <v>246</v>
      </c>
      <c r="D31" s="26" t="s">
        <v>451</v>
      </c>
      <c r="E31" s="25" t="s">
        <v>452</v>
      </c>
      <c r="F31" s="25" t="s">
        <v>318</v>
      </c>
      <c r="G31" s="57" t="str">
        <f>HYPERLINK("https://www.acquisition.gov/content/6305-availability-justification","FAR 6.305 Availability of the justification.")</f>
        <v>FAR 6.305 Availability of the justification.</v>
      </c>
      <c r="H31" s="25"/>
      <c r="I31" s="34" t="s">
        <v>322</v>
      </c>
      <c r="J31" s="37" t="s">
        <v>203</v>
      </c>
      <c r="K31" s="37" t="s">
        <v>455</v>
      </c>
      <c r="L31" s="78" t="s">
        <v>325</v>
      </c>
      <c r="M31" s="39" t="s">
        <v>456</v>
      </c>
      <c r="N31" s="41" t="s">
        <v>457</v>
      </c>
      <c r="O31" s="64"/>
      <c r="P31" s="45" t="b">
        <f t="shared" si="4"/>
        <v>0</v>
      </c>
      <c r="Q31" s="45">
        <f t="shared" si="5"/>
        <v>3</v>
      </c>
      <c r="R31" s="45">
        <f t="shared" si="6"/>
        <v>0</v>
      </c>
      <c r="S31" s="24"/>
      <c r="T31" s="24"/>
      <c r="U31" s="24"/>
      <c r="V31" s="24"/>
      <c r="W31" s="24"/>
      <c r="X31" s="24"/>
      <c r="Y31" s="24"/>
      <c r="Z31" s="24"/>
      <c r="AA31" s="24"/>
      <c r="AB31" s="24"/>
    </row>
    <row r="32" spans="1:28" ht="108.7">
      <c r="A32" s="25" t="s">
        <v>244</v>
      </c>
      <c r="B32" s="26" t="s">
        <v>245</v>
      </c>
      <c r="C32" s="26" t="s">
        <v>246</v>
      </c>
      <c r="D32" s="26" t="s">
        <v>458</v>
      </c>
      <c r="E32" s="25" t="s">
        <v>459</v>
      </c>
      <c r="F32" s="25" t="s">
        <v>460</v>
      </c>
      <c r="G32" s="57" t="str">
        <f>HYPERLINK("https://www.acquisition.gov/content/15606-agency-procedures#id1617MD00X7D","FAR 15.606 Agency procedures [unsolicited proposals].")</f>
        <v>FAR 15.606 Agency procedures [unsolicited proposals].</v>
      </c>
      <c r="H32" s="57" t="str">
        <f t="shared" ref="H32:H34" si="8">HYPERLINK("https://www.acquisition.gov/sites/default/files/current/gsam/html/Part515.html#wp1859149","GSAR 515.606")</f>
        <v>GSAR 515.606</v>
      </c>
      <c r="I32" s="34"/>
      <c r="J32" s="37" t="s">
        <v>463</v>
      </c>
      <c r="K32" s="37" t="s">
        <v>464</v>
      </c>
      <c r="L32" s="82" t="s">
        <v>466</v>
      </c>
      <c r="M32" s="25" t="s">
        <v>468</v>
      </c>
      <c r="N32" s="41" t="s">
        <v>469</v>
      </c>
      <c r="O32" s="64"/>
      <c r="P32" s="45" t="b">
        <f t="shared" si="4"/>
        <v>0</v>
      </c>
      <c r="Q32" s="45">
        <f t="shared" si="5"/>
        <v>0</v>
      </c>
      <c r="R32" s="45">
        <f t="shared" si="6"/>
        <v>0</v>
      </c>
      <c r="S32" s="24"/>
      <c r="T32" s="24"/>
      <c r="U32" s="24"/>
      <c r="V32" s="24"/>
      <c r="W32" s="24"/>
      <c r="X32" s="24"/>
      <c r="Y32" s="24"/>
      <c r="Z32" s="24"/>
      <c r="AA32" s="24"/>
      <c r="AB32" s="24"/>
    </row>
    <row r="33" spans="1:28" ht="86.95">
      <c r="A33" s="25" t="s">
        <v>244</v>
      </c>
      <c r="B33" s="26" t="s">
        <v>245</v>
      </c>
      <c r="C33" s="26" t="s">
        <v>246</v>
      </c>
      <c r="D33" s="26" t="s">
        <v>475</v>
      </c>
      <c r="E33" s="25" t="s">
        <v>476</v>
      </c>
      <c r="F33" s="25" t="s">
        <v>460</v>
      </c>
      <c r="G33" s="57" t="str">
        <f>HYPERLINK("https://www.acquisition.gov/content/15606-1-receipt-and-initial-review","FAR 15.606-1 Receipt and initial review [unsolicited proposals].")</f>
        <v>FAR 15.606-1 Receipt and initial review [unsolicited proposals].</v>
      </c>
      <c r="H33" s="57" t="str">
        <f t="shared" si="8"/>
        <v>GSAR 515.606</v>
      </c>
      <c r="I33" s="34"/>
      <c r="J33" s="37" t="s">
        <v>463</v>
      </c>
      <c r="K33" s="37" t="s">
        <v>480</v>
      </c>
      <c r="L33" s="25" t="s">
        <v>481</v>
      </c>
      <c r="M33" s="25" t="s">
        <v>482</v>
      </c>
      <c r="N33" s="41" t="s">
        <v>483</v>
      </c>
      <c r="O33" s="64"/>
      <c r="P33" s="45" t="b">
        <f t="shared" si="4"/>
        <v>0</v>
      </c>
      <c r="Q33" s="45">
        <f t="shared" si="5"/>
        <v>0</v>
      </c>
      <c r="R33" s="45">
        <f t="shared" si="6"/>
        <v>0</v>
      </c>
      <c r="S33" s="24"/>
      <c r="T33" s="24"/>
      <c r="U33" s="24"/>
      <c r="V33" s="24"/>
      <c r="W33" s="24"/>
      <c r="X33" s="24"/>
      <c r="Y33" s="24"/>
      <c r="Z33" s="24"/>
      <c r="AA33" s="24"/>
      <c r="AB33" s="24"/>
    </row>
    <row r="34" spans="1:28" ht="86.95">
      <c r="A34" s="25" t="s">
        <v>244</v>
      </c>
      <c r="B34" s="26" t="s">
        <v>245</v>
      </c>
      <c r="C34" s="26" t="s">
        <v>246</v>
      </c>
      <c r="D34" s="26" t="s">
        <v>488</v>
      </c>
      <c r="E34" s="25" t="s">
        <v>489</v>
      </c>
      <c r="F34" s="25" t="s">
        <v>490</v>
      </c>
      <c r="G34" s="57" t="str">
        <f>HYPERLINK("https://www.acquisition.gov/content/15606-1-receipt-and-initial-review","FAR 15.606-1(c) Receipt and initial review.")</f>
        <v>FAR 15.606-1(c) Receipt and initial review.</v>
      </c>
      <c r="H34" s="57" t="str">
        <f t="shared" si="8"/>
        <v>GSAR 515.606</v>
      </c>
      <c r="I34" s="34"/>
      <c r="J34" s="37" t="s">
        <v>463</v>
      </c>
      <c r="K34" s="75" t="s">
        <v>480</v>
      </c>
      <c r="L34" s="25" t="s">
        <v>493</v>
      </c>
      <c r="M34" s="25" t="s">
        <v>494</v>
      </c>
      <c r="N34" s="41" t="s">
        <v>495</v>
      </c>
      <c r="O34" s="64"/>
      <c r="P34" s="45" t="b">
        <f t="shared" si="4"/>
        <v>0</v>
      </c>
      <c r="Q34" s="45">
        <f t="shared" si="5"/>
        <v>0</v>
      </c>
      <c r="R34" s="45">
        <f t="shared" si="6"/>
        <v>0</v>
      </c>
      <c r="S34" s="24"/>
      <c r="T34" s="24"/>
      <c r="U34" s="24"/>
      <c r="V34" s="24"/>
      <c r="W34" s="24"/>
      <c r="X34" s="24"/>
      <c r="Y34" s="24"/>
      <c r="Z34" s="24"/>
      <c r="AA34" s="24"/>
      <c r="AB34" s="24"/>
    </row>
    <row r="35" spans="1:28" ht="97.85">
      <c r="A35" s="25" t="s">
        <v>244</v>
      </c>
      <c r="B35" s="26" t="s">
        <v>245</v>
      </c>
      <c r="C35" s="26" t="s">
        <v>246</v>
      </c>
      <c r="D35" s="26" t="s">
        <v>496</v>
      </c>
      <c r="E35" s="25" t="s">
        <v>497</v>
      </c>
      <c r="F35" s="25" t="s">
        <v>498</v>
      </c>
      <c r="G35" s="57" t="str">
        <f>HYPERLINK("https://www.acquisition.gov/content/15605-content-unsolicited-proposals","FAR 15.605 Content of unsolicited proposals.")</f>
        <v>FAR 15.605 Content of unsolicited proposals.</v>
      </c>
      <c r="H35" s="25"/>
      <c r="I35" s="34"/>
      <c r="J35" s="37" t="s">
        <v>463</v>
      </c>
      <c r="K35" s="37" t="s">
        <v>501</v>
      </c>
      <c r="L35" s="25" t="s">
        <v>502</v>
      </c>
      <c r="M35" s="25" t="s">
        <v>503</v>
      </c>
      <c r="N35" s="41" t="s">
        <v>504</v>
      </c>
      <c r="O35" s="64"/>
      <c r="P35" s="45" t="b">
        <f t="shared" si="4"/>
        <v>0</v>
      </c>
      <c r="Q35" s="45">
        <f t="shared" si="5"/>
        <v>0</v>
      </c>
      <c r="R35" s="45">
        <f t="shared" si="6"/>
        <v>0</v>
      </c>
      <c r="S35" s="24"/>
      <c r="T35" s="24"/>
      <c r="U35" s="24"/>
      <c r="V35" s="24"/>
      <c r="W35" s="24"/>
      <c r="X35" s="24"/>
      <c r="Y35" s="24"/>
      <c r="Z35" s="24"/>
      <c r="AA35" s="24"/>
      <c r="AB35" s="24"/>
    </row>
    <row r="36" spans="1:28" ht="86.95">
      <c r="A36" s="25" t="s">
        <v>244</v>
      </c>
      <c r="B36" s="26" t="s">
        <v>245</v>
      </c>
      <c r="C36" s="26" t="s">
        <v>246</v>
      </c>
      <c r="D36" s="26" t="s">
        <v>510</v>
      </c>
      <c r="E36" s="25" t="s">
        <v>511</v>
      </c>
      <c r="F36" s="25" t="s">
        <v>512</v>
      </c>
      <c r="G36" s="57" t="str">
        <f>HYPERLINK("https://www.acquisition.gov/content/subpart-156-unsolicited-proposals#i1105439","FAR 15.606-2(a) Evaluation [agency procedures]. FAR 15.608 Prohibitions [unsolicited proposal]. FAR 15.609 Limited use of data [unsolicited proposals]. ")</f>
        <v xml:space="preserve">FAR 15.606-2(a) Evaluation [agency procedures]. FAR 15.608 Prohibitions [unsolicited proposal]. FAR 15.609 Limited use of data [unsolicited proposals]. </v>
      </c>
      <c r="H36" s="57" t="str">
        <f>HYPERLINK("https://www.acquisition.gov/sites/default/files/current/gsam/html/Part515.html#wp1859149","GSAR 515.606")</f>
        <v>GSAR 515.606</v>
      </c>
      <c r="I36" s="34"/>
      <c r="J36" s="37" t="s">
        <v>463</v>
      </c>
      <c r="K36" s="37" t="s">
        <v>517</v>
      </c>
      <c r="L36" s="25" t="s">
        <v>518</v>
      </c>
      <c r="M36" s="25" t="s">
        <v>519</v>
      </c>
      <c r="N36" s="25" t="s">
        <v>520</v>
      </c>
      <c r="O36" s="64"/>
      <c r="P36" s="45" t="b">
        <f t="shared" si="4"/>
        <v>0</v>
      </c>
      <c r="Q36" s="45">
        <f t="shared" si="5"/>
        <v>0</v>
      </c>
      <c r="R36" s="45">
        <f t="shared" si="6"/>
        <v>0</v>
      </c>
      <c r="S36" s="24"/>
      <c r="T36" s="24"/>
      <c r="U36" s="24"/>
      <c r="V36" s="24"/>
      <c r="W36" s="24"/>
      <c r="X36" s="24"/>
      <c r="Y36" s="24"/>
      <c r="Z36" s="24"/>
      <c r="AA36" s="24"/>
      <c r="AB36" s="24"/>
    </row>
    <row r="37" spans="1:28" ht="119.55">
      <c r="A37" s="25" t="s">
        <v>244</v>
      </c>
      <c r="B37" s="26" t="s">
        <v>245</v>
      </c>
      <c r="C37" s="26" t="s">
        <v>246</v>
      </c>
      <c r="D37" s="26" t="s">
        <v>521</v>
      </c>
      <c r="E37" s="25" t="s">
        <v>522</v>
      </c>
      <c r="F37" s="25" t="s">
        <v>523</v>
      </c>
      <c r="G37" s="57" t="str">
        <f t="shared" ref="G37:G38" si="9">HYPERLINK("https://www.acquisition.gov/content/15607-criteria-acceptance-and-negotiation-unsolicited-proposal","FAR 15.607 Criteria for acceptance and negotiation of an unsolicited proposal. ")</f>
        <v xml:space="preserve">FAR 15.607 Criteria for acceptance and negotiation of an unsolicited proposal. </v>
      </c>
      <c r="H37" s="25"/>
      <c r="I37" s="34"/>
      <c r="J37" s="37" t="s">
        <v>463</v>
      </c>
      <c r="K37" s="37" t="s">
        <v>524</v>
      </c>
      <c r="L37" s="25" t="s">
        <v>525</v>
      </c>
      <c r="M37" s="25" t="s">
        <v>526</v>
      </c>
      <c r="N37" s="41" t="s">
        <v>527</v>
      </c>
      <c r="O37" s="64"/>
      <c r="P37" s="45" t="b">
        <f t="shared" si="4"/>
        <v>0</v>
      </c>
      <c r="Q37" s="45">
        <f t="shared" si="5"/>
        <v>0</v>
      </c>
      <c r="R37" s="45">
        <f t="shared" si="6"/>
        <v>0</v>
      </c>
      <c r="S37" s="24"/>
      <c r="T37" s="24"/>
      <c r="U37" s="24"/>
      <c r="V37" s="24"/>
      <c r="W37" s="24"/>
      <c r="X37" s="24"/>
      <c r="Y37" s="24"/>
      <c r="Z37" s="24"/>
      <c r="AA37" s="24"/>
      <c r="AB37" s="24"/>
    </row>
    <row r="38" spans="1:28" ht="86.95">
      <c r="A38" s="25" t="s">
        <v>244</v>
      </c>
      <c r="B38" s="26" t="s">
        <v>245</v>
      </c>
      <c r="C38" s="26" t="s">
        <v>246</v>
      </c>
      <c r="D38" s="26" t="s">
        <v>530</v>
      </c>
      <c r="E38" s="25" t="s">
        <v>531</v>
      </c>
      <c r="F38" s="25" t="s">
        <v>532</v>
      </c>
      <c r="G38" s="57" t="str">
        <f t="shared" si="9"/>
        <v xml:space="preserve">FAR 15.607 Criteria for acceptance and negotiation of an unsolicited proposal. </v>
      </c>
      <c r="H38" s="25"/>
      <c r="I38" s="34"/>
      <c r="J38" s="37" t="s">
        <v>463</v>
      </c>
      <c r="K38" s="37" t="s">
        <v>533</v>
      </c>
      <c r="L38" s="25" t="s">
        <v>534</v>
      </c>
      <c r="M38" s="25" t="s">
        <v>535</v>
      </c>
      <c r="N38" s="41" t="s">
        <v>537</v>
      </c>
      <c r="O38" s="64"/>
      <c r="P38" s="45" t="b">
        <f t="shared" si="4"/>
        <v>0</v>
      </c>
      <c r="Q38" s="45">
        <f t="shared" si="5"/>
        <v>0</v>
      </c>
      <c r="R38" s="45">
        <f t="shared" si="6"/>
        <v>0</v>
      </c>
      <c r="S38" s="24"/>
      <c r="T38" s="24"/>
      <c r="U38" s="24"/>
      <c r="V38" s="24"/>
      <c r="W38" s="24"/>
      <c r="X38" s="24"/>
      <c r="Y38" s="24"/>
      <c r="Z38" s="24"/>
      <c r="AA38" s="24"/>
      <c r="AB38" s="24"/>
    </row>
    <row r="39" spans="1:28" ht="108.7">
      <c r="A39" s="25" t="s">
        <v>244</v>
      </c>
      <c r="B39" s="26" t="s">
        <v>245</v>
      </c>
      <c r="C39" s="26" t="s">
        <v>246</v>
      </c>
      <c r="D39" s="26" t="s">
        <v>541</v>
      </c>
      <c r="E39" s="25" t="s">
        <v>542</v>
      </c>
      <c r="F39" s="25" t="s">
        <v>490</v>
      </c>
      <c r="G39" s="57" t="str">
        <f>HYPERLINK("https://www.acquisition.gov/content/15607-criteria-acceptance-and-negotiation-unsolicited-proposal","FAR 15.607 Criteria for acceptance and negotiation of an unsolicited proposal. FAR 15.608 Prohibitions [unsolicited proposals]. ")</f>
        <v xml:space="preserve">FAR 15.607 Criteria for acceptance and negotiation of an unsolicited proposal. FAR 15.608 Prohibitions [unsolicited proposals]. </v>
      </c>
      <c r="H39" s="25"/>
      <c r="I39" s="34"/>
      <c r="J39" s="37" t="s">
        <v>463</v>
      </c>
      <c r="K39" s="37" t="s">
        <v>545</v>
      </c>
      <c r="L39" s="25" t="s">
        <v>547</v>
      </c>
      <c r="M39" s="25" t="s">
        <v>549</v>
      </c>
      <c r="N39" s="41" t="s">
        <v>551</v>
      </c>
      <c r="O39" s="64"/>
      <c r="P39" s="45" t="b">
        <f t="shared" si="4"/>
        <v>0</v>
      </c>
      <c r="Q39" s="45">
        <f t="shared" si="5"/>
        <v>0</v>
      </c>
      <c r="R39" s="45">
        <f t="shared" si="6"/>
        <v>0</v>
      </c>
      <c r="S39" s="24"/>
      <c r="T39" s="24"/>
      <c r="U39" s="24"/>
      <c r="V39" s="24"/>
      <c r="W39" s="24"/>
      <c r="X39" s="24"/>
      <c r="Y39" s="24"/>
      <c r="Z39" s="24"/>
      <c r="AA39" s="24"/>
      <c r="AB39" s="24"/>
    </row>
    <row r="40" spans="1:28" ht="173.9">
      <c r="A40" s="25" t="s">
        <v>244</v>
      </c>
      <c r="B40" s="26" t="s">
        <v>245</v>
      </c>
      <c r="C40" s="26" t="s">
        <v>246</v>
      </c>
      <c r="D40" s="26" t="s">
        <v>553</v>
      </c>
      <c r="E40" s="85" t="s">
        <v>554</v>
      </c>
      <c r="F40" s="85" t="s">
        <v>297</v>
      </c>
      <c r="G40" s="86" t="str">
        <f>HYPERLINK("https://www.acquisition.gov/content/8405-6-limiting-sources#i1117840","FAR 8.405-6(a)(1) Circumstances justifying limiting the source [orders or BPAs exceeding the micro-purchase threshold based on a limited sources justification].")</f>
        <v>FAR 8.405-6(a)(1) Circumstances justifying limiting the source [orders or BPAs exceeding the micro-purchase threshold based on a limited sources justification].</v>
      </c>
      <c r="H40" s="25"/>
      <c r="I40" s="34" t="s">
        <v>255</v>
      </c>
      <c r="J40" s="37" t="s">
        <v>256</v>
      </c>
      <c r="K40" s="37" t="s">
        <v>560</v>
      </c>
      <c r="L40" s="25" t="s">
        <v>561</v>
      </c>
      <c r="M40" s="25" t="s">
        <v>562</v>
      </c>
      <c r="N40" s="41" t="s">
        <v>563</v>
      </c>
      <c r="O40" s="64"/>
      <c r="P40" s="45" t="b">
        <f t="shared" si="4"/>
        <v>0</v>
      </c>
      <c r="Q40" s="45">
        <f t="shared" si="5"/>
        <v>3</v>
      </c>
      <c r="R40" s="45">
        <f t="shared" si="6"/>
        <v>0</v>
      </c>
      <c r="S40" s="24"/>
      <c r="T40" s="24"/>
      <c r="U40" s="24"/>
      <c r="V40" s="24"/>
      <c r="W40" s="24"/>
      <c r="X40" s="24"/>
      <c r="Y40" s="24"/>
      <c r="Z40" s="24"/>
      <c r="AA40" s="24"/>
      <c r="AB40" s="24"/>
    </row>
    <row r="41" spans="1:28" ht="97.85">
      <c r="A41" s="25" t="s">
        <v>244</v>
      </c>
      <c r="B41" s="26" t="s">
        <v>245</v>
      </c>
      <c r="C41" s="26" t="s">
        <v>246</v>
      </c>
      <c r="D41" s="26" t="s">
        <v>566</v>
      </c>
      <c r="E41" s="85" t="s">
        <v>567</v>
      </c>
      <c r="F41" s="85" t="s">
        <v>568</v>
      </c>
      <c r="G41" s="86" t="str">
        <f>HYPERLINK("https://www.acquisition.gov/content/8405-6-limiting-sources#i1117840","FAR 8.405-6(a)(2) Posting [orders or BPAs exceeding the micro-purchase threshold based on a limited sources justification]. ")</f>
        <v xml:space="preserve">FAR 8.405-6(a)(2) Posting [orders or BPAs exceeding the micro-purchase threshold based on a limited sources justification]. </v>
      </c>
      <c r="H41" s="25"/>
      <c r="I41" s="34" t="s">
        <v>322</v>
      </c>
      <c r="J41" s="37" t="s">
        <v>203</v>
      </c>
      <c r="K41" s="37" t="s">
        <v>569</v>
      </c>
      <c r="L41" s="25" t="s">
        <v>570</v>
      </c>
      <c r="M41" s="25" t="s">
        <v>571</v>
      </c>
      <c r="N41" s="25" t="s">
        <v>572</v>
      </c>
      <c r="O41" s="64"/>
      <c r="P41" s="45" t="b">
        <f t="shared" si="4"/>
        <v>0</v>
      </c>
      <c r="Q41" s="45">
        <f t="shared" si="5"/>
        <v>3</v>
      </c>
      <c r="R41" s="45">
        <f t="shared" si="6"/>
        <v>0</v>
      </c>
      <c r="S41" s="24"/>
      <c r="T41" s="24"/>
      <c r="U41" s="24"/>
      <c r="V41" s="24"/>
      <c r="W41" s="24"/>
      <c r="X41" s="24"/>
      <c r="Y41" s="24"/>
      <c r="Z41" s="24"/>
      <c r="AA41" s="24"/>
      <c r="AB41" s="24"/>
    </row>
    <row r="42" spans="1:28" ht="97.85">
      <c r="A42" s="25" t="s">
        <v>244</v>
      </c>
      <c r="B42" s="26" t="s">
        <v>245</v>
      </c>
      <c r="C42" s="26" t="s">
        <v>246</v>
      </c>
      <c r="D42" s="26" t="s">
        <v>577</v>
      </c>
      <c r="E42" s="85" t="s">
        <v>578</v>
      </c>
      <c r="F42" s="85" t="s">
        <v>275</v>
      </c>
      <c r="G42" s="86" t="str">
        <f>HYPERLINK("https://www.acquisition.gov/content/8405-6-limiting-sources#i1117840","FAR 8.405-6(b) Items peculiar to one manufacturer [limiting sources]. ")</f>
        <v xml:space="preserve">FAR 8.405-6(b) Items peculiar to one manufacturer [limiting sources]. </v>
      </c>
      <c r="H42" s="25"/>
      <c r="I42" s="34" t="s">
        <v>255</v>
      </c>
      <c r="J42" s="37" t="s">
        <v>256</v>
      </c>
      <c r="K42" s="37" t="s">
        <v>582</v>
      </c>
      <c r="L42" s="25" t="s">
        <v>583</v>
      </c>
      <c r="M42" s="25" t="s">
        <v>584</v>
      </c>
      <c r="N42" s="25" t="s">
        <v>585</v>
      </c>
      <c r="O42" s="64"/>
      <c r="P42" s="45" t="b">
        <f t="shared" si="4"/>
        <v>0</v>
      </c>
      <c r="Q42" s="45">
        <f t="shared" si="5"/>
        <v>3</v>
      </c>
      <c r="R42" s="45">
        <f t="shared" si="6"/>
        <v>0</v>
      </c>
      <c r="S42" s="24"/>
      <c r="T42" s="24"/>
      <c r="U42" s="24"/>
      <c r="V42" s="24"/>
      <c r="W42" s="24"/>
      <c r="X42" s="24"/>
      <c r="Y42" s="24"/>
      <c r="Z42" s="24"/>
      <c r="AA42" s="24"/>
      <c r="AB42" s="24"/>
    </row>
    <row r="43" spans="1:28" ht="130.44999999999999">
      <c r="A43" s="25" t="s">
        <v>244</v>
      </c>
      <c r="B43" s="26" t="s">
        <v>245</v>
      </c>
      <c r="C43" s="26" t="s">
        <v>246</v>
      </c>
      <c r="D43" s="26" t="s">
        <v>589</v>
      </c>
      <c r="E43" s="85" t="s">
        <v>591</v>
      </c>
      <c r="F43" s="85" t="s">
        <v>308</v>
      </c>
      <c r="G43" s="86" t="str">
        <f>HYPERLINK("https://www.acquisition.gov/content/8405-6-limiting-sources#i1117840","FAR 8.405-6(d) Justification approvals [limiting sources]. ")</f>
        <v xml:space="preserve">FAR 8.405-6(d) Justification approvals [limiting sources]. </v>
      </c>
      <c r="H43" s="25"/>
      <c r="I43" s="34" t="s">
        <v>593</v>
      </c>
      <c r="J43" s="37" t="s">
        <v>256</v>
      </c>
      <c r="K43" s="37" t="s">
        <v>594</v>
      </c>
      <c r="L43" s="77" t="s">
        <v>310</v>
      </c>
      <c r="M43" s="25" t="s">
        <v>313</v>
      </c>
      <c r="N43" s="41" t="s">
        <v>314</v>
      </c>
      <c r="O43" s="64"/>
      <c r="P43" s="45" t="b">
        <f t="shared" si="4"/>
        <v>0</v>
      </c>
      <c r="Q43" s="45">
        <f t="shared" si="5"/>
        <v>3</v>
      </c>
      <c r="R43" s="45">
        <f t="shared" si="6"/>
        <v>0</v>
      </c>
      <c r="S43" s="24"/>
      <c r="T43" s="24"/>
      <c r="U43" s="24"/>
      <c r="V43" s="24"/>
      <c r="W43" s="24"/>
      <c r="X43" s="24"/>
      <c r="Y43" s="24"/>
      <c r="Z43" s="24"/>
      <c r="AA43" s="24"/>
      <c r="AB43" s="24"/>
    </row>
    <row r="44" spans="1:28" ht="86.95">
      <c r="A44" s="25" t="s">
        <v>244</v>
      </c>
      <c r="B44" s="26" t="s">
        <v>245</v>
      </c>
      <c r="C44" s="26" t="s">
        <v>246</v>
      </c>
      <c r="D44" s="26" t="s">
        <v>598</v>
      </c>
      <c r="E44" s="85" t="s">
        <v>599</v>
      </c>
      <c r="F44" s="85" t="s">
        <v>600</v>
      </c>
      <c r="G44" s="86" t="str">
        <f>HYPERLINK("https://www.acquisition.gov/content/8405-6-limiting-sources#i1117840","FAR 8.405-6(b)(3) Posting [items peculiar to one manufacturer]. ")</f>
        <v xml:space="preserve">FAR 8.405-6(b)(3) Posting [items peculiar to one manufacturer]. </v>
      </c>
      <c r="H44" s="25"/>
      <c r="I44" s="34" t="s">
        <v>322</v>
      </c>
      <c r="J44" s="37" t="s">
        <v>203</v>
      </c>
      <c r="K44" s="37" t="s">
        <v>605</v>
      </c>
      <c r="L44" s="25" t="s">
        <v>606</v>
      </c>
      <c r="M44" s="25" t="s">
        <v>607</v>
      </c>
      <c r="N44" s="25" t="s">
        <v>608</v>
      </c>
      <c r="O44" s="64"/>
      <c r="P44" s="45" t="b">
        <f t="shared" si="4"/>
        <v>0</v>
      </c>
      <c r="Q44" s="45">
        <f t="shared" si="5"/>
        <v>3</v>
      </c>
      <c r="R44" s="45">
        <f t="shared" si="6"/>
        <v>0</v>
      </c>
      <c r="S44" s="24"/>
      <c r="T44" s="24"/>
      <c r="U44" s="24"/>
      <c r="V44" s="24"/>
      <c r="W44" s="24"/>
      <c r="X44" s="24"/>
      <c r="Y44" s="24"/>
      <c r="Z44" s="24"/>
      <c r="AA44" s="24"/>
      <c r="AB44" s="24"/>
    </row>
    <row r="45" spans="1:28" ht="152.15">
      <c r="A45" s="25" t="s">
        <v>244</v>
      </c>
      <c r="B45" s="26" t="s">
        <v>245</v>
      </c>
      <c r="C45" s="26" t="s">
        <v>246</v>
      </c>
      <c r="D45" s="26" t="s">
        <v>611</v>
      </c>
      <c r="E45" s="25" t="s">
        <v>612</v>
      </c>
      <c r="F45" s="25" t="s">
        <v>613</v>
      </c>
      <c r="G45" s="57" t="str">
        <f>HYPERLINK("https://www.acquisition.gov/content/16505-ordering#i1104008","FAR 16.505(b)(2) Exceptions to the fair opportunity process [orders under multiple-award contracts].")</f>
        <v>FAR 16.505(b)(2) Exceptions to the fair opportunity process [orders under multiple-award contracts].</v>
      </c>
      <c r="H45" s="57" t="str">
        <f t="shared" ref="H45:H48" si="10">HYPERLINK("https://www.acquisition.gov/sites/default/files/current/gsam/html/Part516.html#wp1859966","GSAR 516.505")</f>
        <v>GSAR 516.505</v>
      </c>
      <c r="I45" s="34" t="s">
        <v>593</v>
      </c>
      <c r="J45" s="37" t="s">
        <v>256</v>
      </c>
      <c r="K45" s="37" t="s">
        <v>618</v>
      </c>
      <c r="L45" s="25" t="s">
        <v>619</v>
      </c>
      <c r="M45" s="25" t="s">
        <v>620</v>
      </c>
      <c r="N45" s="25" t="s">
        <v>621</v>
      </c>
      <c r="O45" s="64"/>
      <c r="P45" s="45" t="b">
        <f t="shared" si="4"/>
        <v>0</v>
      </c>
      <c r="Q45" s="45">
        <f t="shared" si="5"/>
        <v>3</v>
      </c>
      <c r="R45" s="45">
        <f t="shared" si="6"/>
        <v>0</v>
      </c>
      <c r="S45" s="24"/>
      <c r="T45" s="24"/>
      <c r="U45" s="24"/>
      <c r="V45" s="24"/>
      <c r="W45" s="24"/>
      <c r="X45" s="24"/>
      <c r="Y45" s="24"/>
      <c r="Z45" s="24"/>
      <c r="AA45" s="24"/>
      <c r="AB45" s="24"/>
    </row>
    <row r="46" spans="1:28" ht="108.7">
      <c r="A46" s="25" t="s">
        <v>244</v>
      </c>
      <c r="B46" s="26" t="s">
        <v>245</v>
      </c>
      <c r="C46" s="26" t="s">
        <v>246</v>
      </c>
      <c r="D46" s="26" t="s">
        <v>625</v>
      </c>
      <c r="E46" s="25" t="s">
        <v>626</v>
      </c>
      <c r="F46" s="25" t="s">
        <v>275</v>
      </c>
      <c r="G46" s="57" t="str">
        <f>HYPERLINK("https://www.acquisition.gov/content/16505-ordering#i1104008","FAR 16.505(b)(2)(ii) Exceptions to the fair opportunity process [orders under multiple-award contracts].")</f>
        <v>FAR 16.505(b)(2)(ii) Exceptions to the fair opportunity process [orders under multiple-award contracts].</v>
      </c>
      <c r="H46" s="57" t="str">
        <f t="shared" si="10"/>
        <v>GSAR 516.505</v>
      </c>
      <c r="I46" s="34" t="s">
        <v>322</v>
      </c>
      <c r="J46" s="37" t="s">
        <v>203</v>
      </c>
      <c r="K46" s="37" t="s">
        <v>632</v>
      </c>
      <c r="L46" s="25" t="s">
        <v>633</v>
      </c>
      <c r="M46" s="25" t="s">
        <v>634</v>
      </c>
      <c r="N46" s="25" t="s">
        <v>636</v>
      </c>
      <c r="O46" s="64"/>
      <c r="P46" s="45" t="b">
        <f t="shared" si="4"/>
        <v>0</v>
      </c>
      <c r="Q46" s="45">
        <f t="shared" si="5"/>
        <v>3</v>
      </c>
      <c r="R46" s="45">
        <f t="shared" si="6"/>
        <v>0</v>
      </c>
      <c r="S46" s="24"/>
      <c r="T46" s="24"/>
      <c r="U46" s="24"/>
      <c r="V46" s="24"/>
      <c r="W46" s="24"/>
      <c r="X46" s="24"/>
      <c r="Y46" s="24"/>
      <c r="Z46" s="24"/>
      <c r="AA46" s="24"/>
      <c r="AB46" s="24"/>
    </row>
    <row r="47" spans="1:28" ht="130.44999999999999">
      <c r="A47" s="25" t="s">
        <v>244</v>
      </c>
      <c r="B47" s="26" t="s">
        <v>245</v>
      </c>
      <c r="C47" s="26" t="s">
        <v>246</v>
      </c>
      <c r="D47" s="26" t="s">
        <v>639</v>
      </c>
      <c r="E47" s="25" t="s">
        <v>640</v>
      </c>
      <c r="F47" s="25" t="s">
        <v>243</v>
      </c>
      <c r="G47" s="57" t="str">
        <f>HYPERLINK("https://www.acquisition.gov/content/16505-ordering#i1104008","FAR 16.505(b)(2)(ii)(C) Approval [exceptions to fair opportunity].")</f>
        <v>FAR 16.505(b)(2)(ii)(C) Approval [exceptions to fair opportunity].</v>
      </c>
      <c r="H47" s="57" t="str">
        <f t="shared" si="10"/>
        <v>GSAR 516.505</v>
      </c>
      <c r="I47" s="34" t="s">
        <v>593</v>
      </c>
      <c r="J47" s="37" t="s">
        <v>256</v>
      </c>
      <c r="K47" s="37" t="s">
        <v>646</v>
      </c>
      <c r="L47" s="25" t="s">
        <v>647</v>
      </c>
      <c r="M47" s="25" t="s">
        <v>648</v>
      </c>
      <c r="N47" s="25" t="s">
        <v>650</v>
      </c>
      <c r="O47" s="64"/>
      <c r="P47" s="45" t="b">
        <f t="shared" si="4"/>
        <v>0</v>
      </c>
      <c r="Q47" s="45">
        <f t="shared" si="5"/>
        <v>3</v>
      </c>
      <c r="R47" s="45">
        <f t="shared" si="6"/>
        <v>0</v>
      </c>
      <c r="S47" s="24"/>
      <c r="T47" s="24"/>
      <c r="U47" s="24"/>
      <c r="V47" s="24"/>
      <c r="W47" s="24"/>
      <c r="X47" s="24"/>
      <c r="Y47" s="24"/>
      <c r="Z47" s="24"/>
      <c r="AA47" s="24"/>
      <c r="AB47" s="24"/>
    </row>
    <row r="48" spans="1:28" ht="130.44999999999999">
      <c r="A48" s="25" t="s">
        <v>244</v>
      </c>
      <c r="B48" s="26" t="s">
        <v>245</v>
      </c>
      <c r="C48" s="26" t="s">
        <v>246</v>
      </c>
      <c r="D48" s="26" t="s">
        <v>653</v>
      </c>
      <c r="E48" s="25" t="s">
        <v>654</v>
      </c>
      <c r="F48" s="25" t="s">
        <v>655</v>
      </c>
      <c r="G48" s="57" t="str">
        <f>HYPERLINK("https://www.acquisition.gov/content/16505-ordering#i1104008","FAR 16.505(b)(2)(ii)(D) Posting [exceptions to fair opportunity]")</f>
        <v>FAR 16.505(b)(2)(ii)(D) Posting [exceptions to fair opportunity]</v>
      </c>
      <c r="H48" s="57" t="str">
        <f t="shared" si="10"/>
        <v>GSAR 516.505</v>
      </c>
      <c r="I48" s="34" t="s">
        <v>322</v>
      </c>
      <c r="J48" s="37" t="s">
        <v>256</v>
      </c>
      <c r="K48" s="37" t="s">
        <v>660</v>
      </c>
      <c r="L48" s="78" t="s">
        <v>325</v>
      </c>
      <c r="M48" s="39" t="s">
        <v>327</v>
      </c>
      <c r="N48" s="41" t="s">
        <v>328</v>
      </c>
      <c r="O48" s="64"/>
      <c r="P48" s="45" t="b">
        <f t="shared" si="4"/>
        <v>0</v>
      </c>
      <c r="Q48" s="45">
        <f t="shared" si="5"/>
        <v>3</v>
      </c>
      <c r="R48" s="45">
        <f t="shared" si="6"/>
        <v>0</v>
      </c>
      <c r="S48" s="24"/>
      <c r="T48" s="24"/>
      <c r="U48" s="24"/>
      <c r="V48" s="24"/>
      <c r="W48" s="24"/>
      <c r="X48" s="24"/>
      <c r="Y48" s="24"/>
      <c r="Z48" s="24"/>
      <c r="AA48" s="24"/>
      <c r="AB48" s="24"/>
    </row>
    <row r="49" spans="1:28" ht="4.5999999999999996" customHeight="1">
      <c r="A49" s="55"/>
      <c r="B49" s="55"/>
      <c r="C49" s="56"/>
      <c r="D49" s="56"/>
      <c r="E49" s="55"/>
      <c r="F49" s="55"/>
      <c r="G49" s="72"/>
      <c r="H49" s="72"/>
      <c r="I49" s="72"/>
      <c r="J49" s="63"/>
      <c r="K49" s="63"/>
      <c r="L49" s="63"/>
      <c r="M49" s="63"/>
      <c r="N49" s="63"/>
      <c r="O49" s="64"/>
      <c r="P49" s="45"/>
      <c r="Q49" s="45"/>
      <c r="R49" s="45"/>
      <c r="S49" s="24"/>
      <c r="T49" s="24"/>
      <c r="U49" s="24"/>
      <c r="V49" s="24"/>
      <c r="W49" s="24"/>
      <c r="X49" s="24"/>
      <c r="Y49" s="24"/>
      <c r="Z49" s="24"/>
      <c r="AA49" s="24"/>
      <c r="AB49" s="24"/>
    </row>
    <row r="50" spans="1:28" ht="152.15">
      <c r="A50" s="25" t="s">
        <v>662</v>
      </c>
      <c r="B50" s="26" t="s">
        <v>663</v>
      </c>
      <c r="C50" s="26" t="s">
        <v>664</v>
      </c>
      <c r="D50" s="26" t="s">
        <v>665</v>
      </c>
      <c r="E50" s="25" t="s">
        <v>666</v>
      </c>
      <c r="F50" s="25" t="s">
        <v>667</v>
      </c>
      <c r="G50" s="57" t="str">
        <f>HYPERLINK("https://www.acquisition.gov/browse/index/far","FAR 10.002 Procedures [market research]. FAR 12.202 Market research and description of agency need [special requirements for the acquisition of commercial items].")</f>
        <v>FAR 10.002 Procedures [market research]. FAR 12.202 Market research and description of agency need [special requirements for the acquisition of commercial items].</v>
      </c>
      <c r="H50" s="57" t="str">
        <f>HYPERLINK("https://www.acquisition.gov/sites/default/files/current/gsam/html/Part510.html","GSAR 510.002")</f>
        <v>GSAR 510.002</v>
      </c>
      <c r="I50" s="34" t="s">
        <v>673</v>
      </c>
      <c r="J50" s="37" t="s">
        <v>256</v>
      </c>
      <c r="K50" s="37" t="s">
        <v>674</v>
      </c>
      <c r="L50" s="25" t="s">
        <v>675</v>
      </c>
      <c r="M50" s="25" t="s">
        <v>676</v>
      </c>
      <c r="N50" s="25" t="s">
        <v>677</v>
      </c>
      <c r="O50" s="64"/>
      <c r="P50" s="45" t="b">
        <f t="shared" ref="P50:P67" si="11">IF(AND(O50="Meet the requirements traceability “out of the box”"), 10, IF(AND(O50="Can meet the requirements traceability with configuration or through the use of another commercial product “out of the box” or other arrangement as part of the service offering quoted (i.e. at no additional cost)"), 8, IF(AND(O50="Can meet the requirements traceability with customization at additional cost"), 3, IF(AND(O50="Cannot meet the requirements traceability requirement"), 0))))</f>
        <v>0</v>
      </c>
      <c r="Q50" s="45">
        <f t="shared" ref="Q50:Q67" si="12">IF(J50="Unidentified",0,3)</f>
        <v>3</v>
      </c>
      <c r="R50" s="45">
        <f t="shared" ref="R50:R67" si="13">IF(P50=FALSE,0,IF(P50&gt;4,(P50+Q50),P50))</f>
        <v>0</v>
      </c>
      <c r="S50" s="24"/>
      <c r="T50" s="24"/>
      <c r="U50" s="24"/>
      <c r="V50" s="24"/>
      <c r="W50" s="24"/>
      <c r="X50" s="24"/>
      <c r="Y50" s="24"/>
      <c r="Z50" s="24"/>
      <c r="AA50" s="24"/>
      <c r="AB50" s="24"/>
    </row>
    <row r="51" spans="1:28" ht="152.15">
      <c r="A51" s="25" t="s">
        <v>662</v>
      </c>
      <c r="B51" s="26" t="s">
        <v>663</v>
      </c>
      <c r="C51" s="26" t="s">
        <v>664</v>
      </c>
      <c r="D51" s="26" t="s">
        <v>686</v>
      </c>
      <c r="E51" s="25" t="s">
        <v>687</v>
      </c>
      <c r="F51" s="25" t="s">
        <v>688</v>
      </c>
      <c r="G51" s="57" t="e">
        <f>HYPERLINK("https://www.acquisition.gov/browse/index/far","FAR 1.7 Determinations and Findings. FAR 6.303(d) Justifications. FAR 37.602 Performance work statement. FAR 37.602(c) Performance work statement. FAR 8.405-2(b) Ordering procedures for Federal Supply Schedules. [ordering procedures for services requiring"&amp;" a statement of work]. Code of Federal Regulations 41 CFR 101-29.208 Commercial Item Descriptions (CID)s. ")</f>
        <v>#VALUE!</v>
      </c>
      <c r="H51" s="57" t="str">
        <f t="shared" ref="H51:H52" si="14">HYPERLINK("https://www.acquisition.gov/sites/default/files/current/gsam/html/Part501.html#wp1859553","GSAR 501.707")</f>
        <v>GSAR 501.707</v>
      </c>
      <c r="I51" s="34" t="s">
        <v>693</v>
      </c>
      <c r="J51" s="37" t="s">
        <v>256</v>
      </c>
      <c r="K51" s="37" t="s">
        <v>694</v>
      </c>
      <c r="L51" s="25" t="s">
        <v>675</v>
      </c>
      <c r="M51" s="25" t="s">
        <v>695</v>
      </c>
      <c r="N51" s="25" t="s">
        <v>696</v>
      </c>
      <c r="O51" s="64"/>
      <c r="P51" s="45" t="b">
        <f t="shared" si="11"/>
        <v>0</v>
      </c>
      <c r="Q51" s="45">
        <f t="shared" si="12"/>
        <v>3</v>
      </c>
      <c r="R51" s="45">
        <f t="shared" si="13"/>
        <v>0</v>
      </c>
      <c r="S51" s="24"/>
      <c r="T51" s="24"/>
      <c r="U51" s="24"/>
      <c r="V51" s="24"/>
      <c r="W51" s="24"/>
      <c r="X51" s="24"/>
      <c r="Y51" s="24"/>
      <c r="Z51" s="24"/>
      <c r="AA51" s="24"/>
      <c r="AB51" s="24"/>
    </row>
    <row r="52" spans="1:28" ht="152.15">
      <c r="A52" s="25" t="s">
        <v>662</v>
      </c>
      <c r="B52" s="26" t="s">
        <v>663</v>
      </c>
      <c r="C52" s="26" t="s">
        <v>664</v>
      </c>
      <c r="D52" s="26" t="s">
        <v>699</v>
      </c>
      <c r="E52" s="25" t="s">
        <v>700</v>
      </c>
      <c r="F52" s="25" t="s">
        <v>701</v>
      </c>
      <c r="G52" s="57" t="str">
        <f>HYPERLINK("https://www.acquisition.gov/content/subpart-17-determinations-and-findings#i1126343","FAR 1.7 Determinations and findings. ")</f>
        <v xml:space="preserve">FAR 1.7 Determinations and findings. </v>
      </c>
      <c r="H52" s="57" t="str">
        <f t="shared" si="14"/>
        <v>GSAR 501.707</v>
      </c>
      <c r="I52" s="34" t="s">
        <v>693</v>
      </c>
      <c r="J52" s="37" t="s">
        <v>256</v>
      </c>
      <c r="K52" s="37" t="s">
        <v>705</v>
      </c>
      <c r="L52" s="25" t="s">
        <v>706</v>
      </c>
      <c r="M52" s="25" t="s">
        <v>707</v>
      </c>
      <c r="N52" s="25" t="s">
        <v>708</v>
      </c>
      <c r="O52" s="64"/>
      <c r="P52" s="45" t="b">
        <f t="shared" si="11"/>
        <v>0</v>
      </c>
      <c r="Q52" s="45">
        <f t="shared" si="12"/>
        <v>3</v>
      </c>
      <c r="R52" s="45">
        <f t="shared" si="13"/>
        <v>0</v>
      </c>
      <c r="S52" s="24"/>
      <c r="T52" s="24"/>
      <c r="U52" s="24"/>
      <c r="V52" s="24"/>
      <c r="W52" s="24"/>
      <c r="X52" s="24"/>
      <c r="Y52" s="24"/>
      <c r="Z52" s="24"/>
      <c r="AA52" s="24"/>
      <c r="AB52" s="24"/>
    </row>
    <row r="53" spans="1:28" ht="152.15">
      <c r="A53" s="25" t="s">
        <v>662</v>
      </c>
      <c r="B53" s="26" t="s">
        <v>663</v>
      </c>
      <c r="C53" s="26" t="s">
        <v>664</v>
      </c>
      <c r="D53" s="26" t="s">
        <v>712</v>
      </c>
      <c r="E53" s="25" t="s">
        <v>713</v>
      </c>
      <c r="F53" s="25" t="s">
        <v>701</v>
      </c>
      <c r="G53" s="57" t="str">
        <f>HYPERLINK("https://www.acquisition.gov/content/6303-1-requirements","FAR 6.303-1(e)")</f>
        <v>FAR 6.303-1(e)</v>
      </c>
      <c r="H53" s="57" t="str">
        <f>HYPERLINK("https://www.acquisition.gov/sites/default/files/current/gsam/html/Part506.html#wp1858096","GSAR 506.303")</f>
        <v>GSAR 506.303</v>
      </c>
      <c r="I53" s="34" t="s">
        <v>693</v>
      </c>
      <c r="J53" s="37" t="s">
        <v>256</v>
      </c>
      <c r="K53" s="37" t="s">
        <v>717</v>
      </c>
      <c r="L53" s="25" t="s">
        <v>718</v>
      </c>
      <c r="M53" s="25" t="s">
        <v>719</v>
      </c>
      <c r="N53" s="25" t="s">
        <v>720</v>
      </c>
      <c r="O53" s="64"/>
      <c r="P53" s="45" t="b">
        <f t="shared" si="11"/>
        <v>0</v>
      </c>
      <c r="Q53" s="45">
        <f t="shared" si="12"/>
        <v>3</v>
      </c>
      <c r="R53" s="45">
        <f t="shared" si="13"/>
        <v>0</v>
      </c>
      <c r="S53" s="24"/>
      <c r="T53" s="24"/>
      <c r="U53" s="24"/>
      <c r="V53" s="24"/>
      <c r="W53" s="24"/>
      <c r="X53" s="24"/>
      <c r="Y53" s="24"/>
      <c r="Z53" s="24"/>
      <c r="AA53" s="24"/>
      <c r="AB53" s="24"/>
    </row>
    <row r="54" spans="1:28" ht="152.15">
      <c r="A54" s="25" t="s">
        <v>662</v>
      </c>
      <c r="B54" s="26" t="s">
        <v>663</v>
      </c>
      <c r="C54" s="26" t="s">
        <v>664</v>
      </c>
      <c r="D54" s="26" t="s">
        <v>721</v>
      </c>
      <c r="E54" s="25" t="s">
        <v>722</v>
      </c>
      <c r="F54" s="25" t="s">
        <v>701</v>
      </c>
      <c r="G54" s="57" t="str">
        <f>HYPERLINK("https://www.acquisition.gov/content/2101-definitions#i1125359","FAR 2.101 Definitions. Code of Federal Regulations 41 CPR 101-29.208 Commercial Item Descriptions (CID)s. ")</f>
        <v xml:space="preserve">FAR 2.101 Definitions. Code of Federal Regulations 41 CPR 101-29.208 Commercial Item Descriptions (CID)s. </v>
      </c>
      <c r="H54" s="25"/>
      <c r="I54" s="34" t="s">
        <v>693</v>
      </c>
      <c r="J54" s="37" t="s">
        <v>256</v>
      </c>
      <c r="K54" s="37" t="s">
        <v>725</v>
      </c>
      <c r="L54" s="25" t="s">
        <v>726</v>
      </c>
      <c r="M54" s="25" t="s">
        <v>727</v>
      </c>
      <c r="N54" s="25" t="s">
        <v>728</v>
      </c>
      <c r="O54" s="64"/>
      <c r="P54" s="45" t="b">
        <f t="shared" si="11"/>
        <v>0</v>
      </c>
      <c r="Q54" s="45">
        <f t="shared" si="12"/>
        <v>3</v>
      </c>
      <c r="R54" s="45">
        <f t="shared" si="13"/>
        <v>0</v>
      </c>
      <c r="S54" s="24"/>
      <c r="T54" s="24"/>
      <c r="U54" s="24"/>
      <c r="V54" s="24"/>
      <c r="W54" s="24"/>
      <c r="X54" s="24"/>
      <c r="Y54" s="24"/>
      <c r="Z54" s="24"/>
      <c r="AA54" s="24"/>
      <c r="AB54" s="24"/>
    </row>
    <row r="55" spans="1:28" ht="152.15">
      <c r="A55" s="25" t="s">
        <v>662</v>
      </c>
      <c r="B55" s="26" t="s">
        <v>663</v>
      </c>
      <c r="C55" s="26" t="s">
        <v>664</v>
      </c>
      <c r="D55" s="26" t="s">
        <v>732</v>
      </c>
      <c r="E55" s="25" t="s">
        <v>733</v>
      </c>
      <c r="F55" s="25" t="s">
        <v>701</v>
      </c>
      <c r="G55" s="57" t="str">
        <f>HYPERLINK("https://www.acquisition.gov/content/37602-performance-work-statement","FAR 37.602 Performance work statement")</f>
        <v>FAR 37.602 Performance work statement</v>
      </c>
      <c r="H55" s="25"/>
      <c r="I55" s="34" t="s">
        <v>693</v>
      </c>
      <c r="J55" s="37" t="s">
        <v>256</v>
      </c>
      <c r="K55" s="37" t="s">
        <v>736</v>
      </c>
      <c r="L55" s="25" t="s">
        <v>726</v>
      </c>
      <c r="M55" s="25" t="s">
        <v>695</v>
      </c>
      <c r="N55" s="25" t="s">
        <v>728</v>
      </c>
      <c r="O55" s="64"/>
      <c r="P55" s="45" t="b">
        <f t="shared" si="11"/>
        <v>0</v>
      </c>
      <c r="Q55" s="45">
        <f t="shared" si="12"/>
        <v>3</v>
      </c>
      <c r="R55" s="45">
        <f t="shared" si="13"/>
        <v>0</v>
      </c>
      <c r="S55" s="24"/>
      <c r="T55" s="24"/>
      <c r="U55" s="24"/>
      <c r="V55" s="24"/>
      <c r="W55" s="24"/>
      <c r="X55" s="24"/>
      <c r="Y55" s="24"/>
      <c r="Z55" s="24"/>
      <c r="AA55" s="24"/>
      <c r="AB55" s="24"/>
    </row>
    <row r="56" spans="1:28" ht="152.15">
      <c r="A56" s="25" t="s">
        <v>662</v>
      </c>
      <c r="B56" s="26" t="s">
        <v>663</v>
      </c>
      <c r="C56" s="26" t="s">
        <v>664</v>
      </c>
      <c r="D56" s="26" t="s">
        <v>737</v>
      </c>
      <c r="E56" s="25" t="s">
        <v>738</v>
      </c>
      <c r="F56" s="25" t="s">
        <v>701</v>
      </c>
      <c r="G56" s="57" t="str">
        <f t="shared" ref="G56:G57" si="15">HYPERLINK("https://www.acquisition.gov/content/37602-performance-work-statement","FAR 37.602(c) Performance work statement. ")</f>
        <v xml:space="preserve">FAR 37.602(c) Performance work statement. </v>
      </c>
      <c r="H56" s="25"/>
      <c r="I56" s="34" t="s">
        <v>693</v>
      </c>
      <c r="J56" s="37" t="s">
        <v>256</v>
      </c>
      <c r="K56" s="75" t="s">
        <v>736</v>
      </c>
      <c r="L56" s="25" t="s">
        <v>726</v>
      </c>
      <c r="M56" s="25" t="s">
        <v>695</v>
      </c>
      <c r="N56" s="25" t="s">
        <v>728</v>
      </c>
      <c r="O56" s="64"/>
      <c r="P56" s="45" t="b">
        <f t="shared" si="11"/>
        <v>0</v>
      </c>
      <c r="Q56" s="45">
        <f t="shared" si="12"/>
        <v>3</v>
      </c>
      <c r="R56" s="45">
        <f t="shared" si="13"/>
        <v>0</v>
      </c>
      <c r="S56" s="24"/>
      <c r="T56" s="24"/>
      <c r="U56" s="24"/>
      <c r="V56" s="24"/>
      <c r="W56" s="24"/>
      <c r="X56" s="24"/>
      <c r="Y56" s="24"/>
      <c r="Z56" s="24"/>
      <c r="AA56" s="24"/>
      <c r="AB56" s="24"/>
    </row>
    <row r="57" spans="1:28" ht="152.15">
      <c r="A57" s="25" t="s">
        <v>662</v>
      </c>
      <c r="B57" s="26" t="s">
        <v>663</v>
      </c>
      <c r="C57" s="26" t="s">
        <v>664</v>
      </c>
      <c r="D57" s="26" t="s">
        <v>744</v>
      </c>
      <c r="E57" s="25" t="s">
        <v>745</v>
      </c>
      <c r="F57" s="25" t="s">
        <v>701</v>
      </c>
      <c r="G57" s="57" t="str">
        <f t="shared" si="15"/>
        <v xml:space="preserve">FAR 37.602(c) Performance work statement. </v>
      </c>
      <c r="H57" s="25"/>
      <c r="I57" s="34" t="s">
        <v>693</v>
      </c>
      <c r="J57" s="37" t="s">
        <v>256</v>
      </c>
      <c r="K57" s="37" t="s">
        <v>746</v>
      </c>
      <c r="L57" s="25" t="s">
        <v>747</v>
      </c>
      <c r="M57" s="25" t="s">
        <v>748</v>
      </c>
      <c r="N57" s="25" t="s">
        <v>728</v>
      </c>
      <c r="O57" s="64"/>
      <c r="P57" s="45" t="b">
        <f t="shared" si="11"/>
        <v>0</v>
      </c>
      <c r="Q57" s="45">
        <f t="shared" si="12"/>
        <v>3</v>
      </c>
      <c r="R57" s="45">
        <f t="shared" si="13"/>
        <v>0</v>
      </c>
      <c r="S57" s="24"/>
      <c r="T57" s="24"/>
      <c r="U57" s="24"/>
      <c r="V57" s="24"/>
      <c r="W57" s="24"/>
      <c r="X57" s="24"/>
      <c r="Y57" s="24"/>
      <c r="Z57" s="24"/>
      <c r="AA57" s="24"/>
      <c r="AB57" s="24"/>
    </row>
    <row r="58" spans="1:28" ht="152.15">
      <c r="A58" s="25" t="s">
        <v>662</v>
      </c>
      <c r="B58" s="26" t="s">
        <v>663</v>
      </c>
      <c r="C58" s="26" t="s">
        <v>664</v>
      </c>
      <c r="D58" s="26" t="s">
        <v>752</v>
      </c>
      <c r="E58" s="25" t="s">
        <v>753</v>
      </c>
      <c r="F58" s="25" t="s">
        <v>701</v>
      </c>
      <c r="G58" s="25" t="s">
        <v>427</v>
      </c>
      <c r="H58" s="25"/>
      <c r="I58" s="34" t="s">
        <v>693</v>
      </c>
      <c r="J58" s="37" t="s">
        <v>256</v>
      </c>
      <c r="K58" s="75" t="s">
        <v>756</v>
      </c>
      <c r="L58" s="25" t="s">
        <v>747</v>
      </c>
      <c r="M58" s="25" t="s">
        <v>695</v>
      </c>
      <c r="N58" s="25" t="s">
        <v>728</v>
      </c>
      <c r="O58" s="64"/>
      <c r="P58" s="45" t="b">
        <f t="shared" si="11"/>
        <v>0</v>
      </c>
      <c r="Q58" s="45">
        <f t="shared" si="12"/>
        <v>3</v>
      </c>
      <c r="R58" s="45">
        <f t="shared" si="13"/>
        <v>0</v>
      </c>
      <c r="S58" s="24"/>
      <c r="T58" s="24"/>
      <c r="U58" s="24"/>
      <c r="V58" s="24"/>
      <c r="W58" s="24"/>
      <c r="X58" s="24"/>
      <c r="Y58" s="24"/>
      <c r="Z58" s="24"/>
      <c r="AA58" s="24"/>
      <c r="AB58" s="24"/>
    </row>
    <row r="59" spans="1:28" ht="152.15">
      <c r="A59" s="25" t="s">
        <v>662</v>
      </c>
      <c r="B59" s="26" t="s">
        <v>663</v>
      </c>
      <c r="C59" s="26" t="s">
        <v>664</v>
      </c>
      <c r="D59" s="26" t="s">
        <v>757</v>
      </c>
      <c r="E59" s="25" t="s">
        <v>758</v>
      </c>
      <c r="F59" s="25" t="s">
        <v>701</v>
      </c>
      <c r="G59" s="25" t="s">
        <v>427</v>
      </c>
      <c r="H59" s="25"/>
      <c r="I59" s="34" t="s">
        <v>693</v>
      </c>
      <c r="J59" s="37" t="s">
        <v>256</v>
      </c>
      <c r="K59" s="75" t="s">
        <v>756</v>
      </c>
      <c r="L59" s="25" t="s">
        <v>747</v>
      </c>
      <c r="M59" s="25" t="s">
        <v>695</v>
      </c>
      <c r="N59" s="25" t="s">
        <v>728</v>
      </c>
      <c r="O59" s="64"/>
      <c r="P59" s="45" t="b">
        <f t="shared" si="11"/>
        <v>0</v>
      </c>
      <c r="Q59" s="45">
        <f t="shared" si="12"/>
        <v>3</v>
      </c>
      <c r="R59" s="45">
        <f t="shared" si="13"/>
        <v>0</v>
      </c>
      <c r="S59" s="24"/>
      <c r="T59" s="24"/>
      <c r="U59" s="24"/>
      <c r="V59" s="24"/>
      <c r="W59" s="24"/>
      <c r="X59" s="24"/>
      <c r="Y59" s="24"/>
      <c r="Z59" s="24"/>
      <c r="AA59" s="24"/>
      <c r="AB59" s="24"/>
    </row>
    <row r="60" spans="1:28" ht="152.15">
      <c r="A60" s="25" t="s">
        <v>662</v>
      </c>
      <c r="B60" s="26" t="s">
        <v>663</v>
      </c>
      <c r="C60" s="26" t="s">
        <v>664</v>
      </c>
      <c r="D60" s="26" t="s">
        <v>762</v>
      </c>
      <c r="E60" s="25" t="s">
        <v>763</v>
      </c>
      <c r="F60" s="25" t="s">
        <v>701</v>
      </c>
      <c r="G60" s="25" t="s">
        <v>427</v>
      </c>
      <c r="H60" s="25"/>
      <c r="I60" s="34" t="s">
        <v>693</v>
      </c>
      <c r="J60" s="37" t="s">
        <v>256</v>
      </c>
      <c r="K60" s="75" t="s">
        <v>756</v>
      </c>
      <c r="L60" s="25" t="s">
        <v>747</v>
      </c>
      <c r="M60" s="25" t="s">
        <v>695</v>
      </c>
      <c r="N60" s="25" t="s">
        <v>728</v>
      </c>
      <c r="O60" s="64"/>
      <c r="P60" s="45" t="b">
        <f t="shared" si="11"/>
        <v>0</v>
      </c>
      <c r="Q60" s="45">
        <f t="shared" si="12"/>
        <v>3</v>
      </c>
      <c r="R60" s="45">
        <f t="shared" si="13"/>
        <v>0</v>
      </c>
      <c r="S60" s="24"/>
      <c r="T60" s="24"/>
      <c r="U60" s="24"/>
      <c r="V60" s="24"/>
      <c r="W60" s="24"/>
      <c r="X60" s="24"/>
      <c r="Y60" s="24"/>
      <c r="Z60" s="24"/>
      <c r="AA60" s="24"/>
      <c r="AB60" s="24"/>
    </row>
    <row r="61" spans="1:28" ht="152.15">
      <c r="A61" s="25" t="s">
        <v>662</v>
      </c>
      <c r="B61" s="26" t="s">
        <v>663</v>
      </c>
      <c r="C61" s="26" t="s">
        <v>664</v>
      </c>
      <c r="D61" s="26" t="s">
        <v>766</v>
      </c>
      <c r="E61" s="25" t="s">
        <v>767</v>
      </c>
      <c r="F61" s="25" t="s">
        <v>701</v>
      </c>
      <c r="G61" s="25" t="s">
        <v>427</v>
      </c>
      <c r="H61" s="25"/>
      <c r="I61" s="34" t="s">
        <v>693</v>
      </c>
      <c r="J61" s="37" t="s">
        <v>256</v>
      </c>
      <c r="K61" s="75" t="s">
        <v>756</v>
      </c>
      <c r="L61" s="25" t="s">
        <v>747</v>
      </c>
      <c r="M61" s="25" t="s">
        <v>695</v>
      </c>
      <c r="N61" s="25" t="s">
        <v>728</v>
      </c>
      <c r="O61" s="64"/>
      <c r="P61" s="45" t="b">
        <f t="shared" si="11"/>
        <v>0</v>
      </c>
      <c r="Q61" s="45">
        <f t="shared" si="12"/>
        <v>3</v>
      </c>
      <c r="R61" s="45">
        <f t="shared" si="13"/>
        <v>0</v>
      </c>
      <c r="S61" s="24"/>
      <c r="T61" s="24"/>
      <c r="U61" s="24"/>
      <c r="V61" s="24"/>
      <c r="W61" s="24"/>
      <c r="X61" s="24"/>
      <c r="Y61" s="24"/>
      <c r="Z61" s="24"/>
      <c r="AA61" s="24"/>
      <c r="AB61" s="24"/>
    </row>
    <row r="62" spans="1:28" ht="152.15">
      <c r="A62" s="25" t="s">
        <v>662</v>
      </c>
      <c r="B62" s="26" t="s">
        <v>663</v>
      </c>
      <c r="C62" s="26" t="s">
        <v>664</v>
      </c>
      <c r="D62" s="26" t="s">
        <v>771</v>
      </c>
      <c r="E62" s="25" t="s">
        <v>772</v>
      </c>
      <c r="F62" s="25" t="s">
        <v>701</v>
      </c>
      <c r="G62" s="25" t="s">
        <v>427</v>
      </c>
      <c r="H62" s="25"/>
      <c r="I62" s="34" t="s">
        <v>693</v>
      </c>
      <c r="J62" s="37" t="s">
        <v>256</v>
      </c>
      <c r="K62" s="75" t="s">
        <v>756</v>
      </c>
      <c r="L62" s="25" t="s">
        <v>747</v>
      </c>
      <c r="M62" s="25" t="s">
        <v>695</v>
      </c>
      <c r="N62" s="25" t="s">
        <v>728</v>
      </c>
      <c r="O62" s="64"/>
      <c r="P62" s="45" t="b">
        <f t="shared" si="11"/>
        <v>0</v>
      </c>
      <c r="Q62" s="45">
        <f t="shared" si="12"/>
        <v>3</v>
      </c>
      <c r="R62" s="45">
        <f t="shared" si="13"/>
        <v>0</v>
      </c>
      <c r="S62" s="24"/>
      <c r="T62" s="24"/>
      <c r="U62" s="24"/>
      <c r="V62" s="24"/>
      <c r="W62" s="24"/>
      <c r="X62" s="24"/>
      <c r="Y62" s="24"/>
      <c r="Z62" s="24"/>
      <c r="AA62" s="24"/>
      <c r="AB62" s="24"/>
    </row>
    <row r="63" spans="1:28" ht="152.15">
      <c r="A63" s="25" t="s">
        <v>662</v>
      </c>
      <c r="B63" s="26" t="s">
        <v>663</v>
      </c>
      <c r="C63" s="26" t="s">
        <v>664</v>
      </c>
      <c r="D63" s="26" t="s">
        <v>776</v>
      </c>
      <c r="E63" s="25" t="s">
        <v>778</v>
      </c>
      <c r="F63" s="25" t="s">
        <v>701</v>
      </c>
      <c r="G63" s="25" t="s">
        <v>427</v>
      </c>
      <c r="H63" s="25"/>
      <c r="I63" s="34" t="s">
        <v>693</v>
      </c>
      <c r="J63" s="37" t="s">
        <v>256</v>
      </c>
      <c r="K63" s="75" t="s">
        <v>756</v>
      </c>
      <c r="L63" s="25" t="s">
        <v>747</v>
      </c>
      <c r="M63" s="25" t="s">
        <v>695</v>
      </c>
      <c r="N63" s="25" t="s">
        <v>728</v>
      </c>
      <c r="O63" s="64"/>
      <c r="P63" s="45" t="b">
        <f t="shared" si="11"/>
        <v>0</v>
      </c>
      <c r="Q63" s="45">
        <f t="shared" si="12"/>
        <v>3</v>
      </c>
      <c r="R63" s="45">
        <f t="shared" si="13"/>
        <v>0</v>
      </c>
      <c r="S63" s="24"/>
      <c r="T63" s="24"/>
      <c r="U63" s="24"/>
      <c r="V63" s="24"/>
      <c r="W63" s="24"/>
      <c r="X63" s="24"/>
      <c r="Y63" s="24"/>
      <c r="Z63" s="24"/>
      <c r="AA63" s="24"/>
      <c r="AB63" s="24"/>
    </row>
    <row r="64" spans="1:28" ht="163.05000000000001">
      <c r="A64" s="25" t="s">
        <v>662</v>
      </c>
      <c r="B64" s="26" t="s">
        <v>663</v>
      </c>
      <c r="C64" s="26" t="s">
        <v>664</v>
      </c>
      <c r="D64" s="26" t="s">
        <v>782</v>
      </c>
      <c r="E64" s="25" t="s">
        <v>783</v>
      </c>
      <c r="F64" s="25" t="s">
        <v>784</v>
      </c>
      <c r="G64" s="57" t="str">
        <f>HYPERLINK("https://www.acquisition.gov/content/11101-order-precedence-requirements-documents#i1114432","FAR 11.101 Order of precedence for requirements documents [describing agency needs]. ")</f>
        <v xml:space="preserve">FAR 11.101 Order of precedence for requirements documents [describing agency needs]. </v>
      </c>
      <c r="H64" s="25"/>
      <c r="I64" s="34" t="s">
        <v>693</v>
      </c>
      <c r="J64" s="37" t="s">
        <v>256</v>
      </c>
      <c r="K64" s="37" t="s">
        <v>789</v>
      </c>
      <c r="L64" s="25" t="s">
        <v>790</v>
      </c>
      <c r="M64" s="25" t="s">
        <v>791</v>
      </c>
      <c r="N64" s="25" t="s">
        <v>792</v>
      </c>
      <c r="O64" s="64"/>
      <c r="P64" s="45" t="b">
        <f t="shared" si="11"/>
        <v>0</v>
      </c>
      <c r="Q64" s="45">
        <f t="shared" si="12"/>
        <v>3</v>
      </c>
      <c r="R64" s="45">
        <f t="shared" si="13"/>
        <v>0</v>
      </c>
      <c r="S64" s="24"/>
      <c r="T64" s="24"/>
      <c r="U64" s="24"/>
      <c r="V64" s="24"/>
      <c r="W64" s="24"/>
      <c r="X64" s="24"/>
      <c r="Y64" s="24"/>
      <c r="Z64" s="24"/>
      <c r="AA64" s="24"/>
      <c r="AB64" s="24"/>
    </row>
    <row r="65" spans="1:28" ht="173.9">
      <c r="A65" s="25" t="s">
        <v>662</v>
      </c>
      <c r="B65" s="26" t="s">
        <v>663</v>
      </c>
      <c r="C65" s="26" t="s">
        <v>664</v>
      </c>
      <c r="D65" s="26" t="s">
        <v>795</v>
      </c>
      <c r="E65" s="25" t="s">
        <v>796</v>
      </c>
      <c r="F65" s="25" t="s">
        <v>797</v>
      </c>
      <c r="G65" s="57" t="str">
        <f>HYPERLINK("https://www.acquisition.gov/browse/index/far","FAR 7.105 Contents of written acquisition plans. FAR 11.002 Policy [describing agency needs]. FAR 12.202(b) Market research and description of agency need [special requirements for the acquisition of commercial items].")</f>
        <v>FAR 7.105 Contents of written acquisition plans. FAR 11.002 Policy [describing agency needs]. FAR 12.202(b) Market research and description of agency need [special requirements for the acquisition of commercial items].</v>
      </c>
      <c r="H65" s="57" t="str">
        <f>HYPERLINK("https://www.acquisition.gov/sites/default/files/current/gsam/html/Part507.html#wp1859407","GSAR 507.105")</f>
        <v>GSAR 507.105</v>
      </c>
      <c r="I65" s="34" t="s">
        <v>804</v>
      </c>
      <c r="J65" s="37" t="s">
        <v>112</v>
      </c>
      <c r="K65" s="37" t="s">
        <v>805</v>
      </c>
      <c r="L65" s="25" t="s">
        <v>806</v>
      </c>
      <c r="M65" s="39" t="s">
        <v>807</v>
      </c>
      <c r="N65" s="41" t="s">
        <v>808</v>
      </c>
      <c r="O65" s="64"/>
      <c r="P65" s="45" t="b">
        <f t="shared" si="11"/>
        <v>0</v>
      </c>
      <c r="Q65" s="45">
        <f t="shared" si="12"/>
        <v>3</v>
      </c>
      <c r="R65" s="45">
        <f t="shared" si="13"/>
        <v>0</v>
      </c>
      <c r="S65" s="24"/>
      <c r="T65" s="24"/>
      <c r="U65" s="24"/>
      <c r="V65" s="24"/>
      <c r="W65" s="24"/>
      <c r="X65" s="24"/>
      <c r="Y65" s="24"/>
      <c r="Z65" s="24"/>
      <c r="AA65" s="24"/>
      <c r="AB65" s="24"/>
    </row>
    <row r="66" spans="1:28" ht="173.9">
      <c r="A66" s="25" t="s">
        <v>662</v>
      </c>
      <c r="B66" s="26" t="s">
        <v>663</v>
      </c>
      <c r="C66" s="26" t="s">
        <v>664</v>
      </c>
      <c r="D66" s="26" t="s">
        <v>813</v>
      </c>
      <c r="E66" s="25" t="s">
        <v>814</v>
      </c>
      <c r="F66" s="25" t="s">
        <v>701</v>
      </c>
      <c r="G66" s="57" t="str">
        <f>HYPERLINK("https://www.acquisition.gov/browse/index/far","FAR 11.1 Describing agency needs [selecting and developing requirement documents]. FAR 37.6 Performance-based acquisition [service contracting]. ")</f>
        <v xml:space="preserve">FAR 11.1 Describing agency needs [selecting and developing requirement documents]. FAR 37.6 Performance-based acquisition [service contracting]. </v>
      </c>
      <c r="H66" s="57" t="str">
        <f>HYPERLINK("https://www.acquisition.gov/sites/default/files/current/gsam/html/GSAMTOC.html","GSAR 511.102; GSAR 537.6")</f>
        <v>GSAR 511.102; GSAR 537.6</v>
      </c>
      <c r="I66" s="34" t="s">
        <v>804</v>
      </c>
      <c r="J66" s="37" t="s">
        <v>112</v>
      </c>
      <c r="K66" s="75" t="s">
        <v>805</v>
      </c>
      <c r="L66" s="25" t="s">
        <v>806</v>
      </c>
      <c r="M66" s="39" t="s">
        <v>807</v>
      </c>
      <c r="N66" s="41" t="s">
        <v>808</v>
      </c>
      <c r="O66" s="64"/>
      <c r="P66" s="45" t="b">
        <f t="shared" si="11"/>
        <v>0</v>
      </c>
      <c r="Q66" s="45">
        <f t="shared" si="12"/>
        <v>3</v>
      </c>
      <c r="R66" s="45">
        <f t="shared" si="13"/>
        <v>0</v>
      </c>
      <c r="S66" s="24"/>
      <c r="T66" s="24"/>
      <c r="U66" s="24"/>
      <c r="V66" s="24"/>
      <c r="W66" s="24"/>
      <c r="X66" s="24"/>
      <c r="Y66" s="24"/>
      <c r="Z66" s="24"/>
      <c r="AA66" s="24"/>
      <c r="AB66" s="24"/>
    </row>
    <row r="67" spans="1:28" ht="152.15">
      <c r="A67" s="25" t="s">
        <v>662</v>
      </c>
      <c r="B67" s="26" t="s">
        <v>663</v>
      </c>
      <c r="C67" s="26" t="s">
        <v>664</v>
      </c>
      <c r="D67" s="26" t="s">
        <v>817</v>
      </c>
      <c r="E67" s="85" t="s">
        <v>818</v>
      </c>
      <c r="F67" s="85" t="s">
        <v>819</v>
      </c>
      <c r="G67" s="86" t="str">
        <f>HYPERLINK("https://www.acquisition.gov/content/8405-ordering-procedures-federal-supply-schedules#i1117528","FAR 8.405-2 Ordering procedures for services requiring a statement of work [ordering procedures for Federal Supply Schedules]. FAR 8.405-3 (b)(2)(i) Statements of work (SOWs) [for services requiring a statement of work—Establishing BPAs]. ")</f>
        <v xml:space="preserve">FAR 8.405-2 Ordering procedures for services requiring a statement of work [ordering procedures for Federal Supply Schedules]. FAR 8.405-3 (b)(2)(i) Statements of work (SOWs) [for services requiring a statement of work—Establishing BPAs]. </v>
      </c>
      <c r="H67" s="25"/>
      <c r="I67" s="34" t="s">
        <v>824</v>
      </c>
      <c r="J67" s="37" t="s">
        <v>190</v>
      </c>
      <c r="K67" s="37" t="s">
        <v>825</v>
      </c>
      <c r="L67" s="25" t="s">
        <v>826</v>
      </c>
      <c r="M67" s="25" t="s">
        <v>827</v>
      </c>
      <c r="N67" s="25" t="s">
        <v>828</v>
      </c>
      <c r="O67" s="64"/>
      <c r="P67" s="45" t="b">
        <f t="shared" si="11"/>
        <v>0</v>
      </c>
      <c r="Q67" s="45">
        <f t="shared" si="12"/>
        <v>3</v>
      </c>
      <c r="R67" s="45">
        <f t="shared" si="13"/>
        <v>0</v>
      </c>
      <c r="S67" s="24"/>
      <c r="T67" s="24"/>
      <c r="U67" s="24"/>
      <c r="V67" s="24"/>
      <c r="W67" s="24"/>
      <c r="X67" s="24"/>
      <c r="Y67" s="24"/>
      <c r="Z67" s="24"/>
      <c r="AA67" s="24"/>
      <c r="AB67" s="24"/>
    </row>
    <row r="68" spans="1:28" ht="4.5999999999999996" customHeight="1">
      <c r="A68" s="55"/>
      <c r="B68" s="55"/>
      <c r="C68" s="56"/>
      <c r="D68" s="56"/>
      <c r="E68" s="55"/>
      <c r="F68" s="55"/>
      <c r="G68" s="72"/>
      <c r="H68" s="72"/>
      <c r="I68" s="63"/>
      <c r="J68" s="63"/>
      <c r="K68" s="63"/>
      <c r="L68" s="63"/>
      <c r="M68" s="63"/>
      <c r="N68" s="63"/>
      <c r="O68" s="64"/>
      <c r="P68" s="45"/>
      <c r="Q68" s="45"/>
      <c r="R68" s="45"/>
      <c r="S68" s="24"/>
      <c r="T68" s="24"/>
      <c r="U68" s="24"/>
      <c r="V68" s="24"/>
      <c r="W68" s="24"/>
      <c r="X68" s="24"/>
      <c r="Y68" s="24"/>
      <c r="Z68" s="24"/>
      <c r="AA68" s="24"/>
      <c r="AB68" s="24"/>
    </row>
    <row r="69" spans="1:28" ht="293.45">
      <c r="A69" s="25" t="s">
        <v>831</v>
      </c>
      <c r="B69" s="26" t="s">
        <v>832</v>
      </c>
      <c r="C69" s="26" t="s">
        <v>833</v>
      </c>
      <c r="D69" s="26" t="s">
        <v>834</v>
      </c>
      <c r="E69" s="25" t="s">
        <v>835</v>
      </c>
      <c r="F69" s="25" t="s">
        <v>836</v>
      </c>
      <c r="G69" s="57" t="str">
        <f>HYPERLINK("https://www.acquisition.gov/browse/index/far","FAR 2.101 Source selection information defintions]. FAR 3.104 Procurement Integrity, FAR 7.105(b) Plan of action [contents of written acquisition plans].")</f>
        <v>FAR 2.101 Source selection information defintions]. FAR 3.104 Procurement Integrity, FAR 7.105(b) Plan of action [contents of written acquisition plans].</v>
      </c>
      <c r="H69" s="57" t="str">
        <f>HYPERLINK("https://www.acquisition.gov/sites/default/files/current/gsam/html/Part507.html#wp1859407","GSAR 507.105")</f>
        <v>GSAR 507.105</v>
      </c>
      <c r="I69" s="34" t="s">
        <v>843</v>
      </c>
      <c r="J69" s="37" t="s">
        <v>203</v>
      </c>
      <c r="K69" s="37" t="s">
        <v>844</v>
      </c>
      <c r="L69" s="25" t="s">
        <v>845</v>
      </c>
      <c r="M69" s="25" t="s">
        <v>846</v>
      </c>
      <c r="N69" s="25" t="s">
        <v>847</v>
      </c>
      <c r="O69" s="64"/>
      <c r="P69" s="45" t="b">
        <f t="shared" ref="P69:P73" si="16">IF(AND(O69="Meet the requirements traceability “out of the box”"), 10, IF(AND(O69="Can meet the requirements traceability with configuration or through the use of another commercial product “out of the box” or other arrangement as part of the service offering quoted (i.e. at no additional cost)"), 8, IF(AND(O69="Can meet the requirements traceability with customization at additional cost"), 3, IF(AND(O69="Cannot meet the requirements traceability requirement"), 0))))</f>
        <v>0</v>
      </c>
      <c r="Q69" s="45">
        <f t="shared" ref="Q69:Q73" si="17">IF(J69="Unidentified",0,3)</f>
        <v>3</v>
      </c>
      <c r="R69" s="45">
        <f t="shared" ref="R69:R73" si="18">IF(P69=FALSE,0,IF(P69&gt;4,(P69+Q69),P69))</f>
        <v>0</v>
      </c>
      <c r="S69" s="24"/>
      <c r="T69" s="24"/>
      <c r="U69" s="24"/>
      <c r="V69" s="24"/>
      <c r="W69" s="24"/>
      <c r="X69" s="24"/>
      <c r="Y69" s="24"/>
      <c r="Z69" s="24"/>
      <c r="AA69" s="24"/>
      <c r="AB69" s="24"/>
    </row>
    <row r="70" spans="1:28" ht="97.85">
      <c r="A70" s="25" t="s">
        <v>831</v>
      </c>
      <c r="B70" s="26" t="s">
        <v>832</v>
      </c>
      <c r="C70" s="26" t="s">
        <v>833</v>
      </c>
      <c r="D70" s="26" t="s">
        <v>859</v>
      </c>
      <c r="E70" s="25" t="s">
        <v>860</v>
      </c>
      <c r="F70" s="25" t="s">
        <v>836</v>
      </c>
      <c r="G70" s="57" t="str">
        <f>HYPERLINK("https://www.acquisition.gov/content/15101-best-value-continuum#id1617MD00VG4","FAR 15.101 Best value continuum. ")</f>
        <v xml:space="preserve">FAR 15.101 Best value continuum. </v>
      </c>
      <c r="H70" s="25"/>
      <c r="I70" s="34" t="s">
        <v>843</v>
      </c>
      <c r="J70" s="37" t="s">
        <v>203</v>
      </c>
      <c r="K70" s="37" t="s">
        <v>861</v>
      </c>
      <c r="L70" s="25" t="s">
        <v>862</v>
      </c>
      <c r="M70" s="25" t="s">
        <v>863</v>
      </c>
      <c r="N70" s="25" t="s">
        <v>864</v>
      </c>
      <c r="O70" s="64"/>
      <c r="P70" s="45" t="b">
        <f t="shared" si="16"/>
        <v>0</v>
      </c>
      <c r="Q70" s="45">
        <f t="shared" si="17"/>
        <v>3</v>
      </c>
      <c r="R70" s="45">
        <f t="shared" si="18"/>
        <v>0</v>
      </c>
      <c r="S70" s="24"/>
      <c r="T70" s="24"/>
      <c r="U70" s="24"/>
      <c r="V70" s="24"/>
      <c r="W70" s="24"/>
      <c r="X70" s="24"/>
      <c r="Y70" s="24"/>
      <c r="Z70" s="24"/>
      <c r="AA70" s="24"/>
      <c r="AB70" s="24"/>
    </row>
    <row r="71" spans="1:28" ht="119.55">
      <c r="A71" s="25" t="s">
        <v>831</v>
      </c>
      <c r="B71" s="26" t="s">
        <v>832</v>
      </c>
      <c r="C71" s="26" t="s">
        <v>833</v>
      </c>
      <c r="D71" s="26" t="s">
        <v>865</v>
      </c>
      <c r="E71" s="25" t="s">
        <v>866</v>
      </c>
      <c r="F71" s="25" t="s">
        <v>836</v>
      </c>
      <c r="G71" s="57" t="str">
        <f>HYPERLINK("https://www.acquisition.gov/content/15101-2-lowest-price-technically-acceptable-source-selection-process","FAR 15.101-2 Lowest price technically acceptable source selection process. FAR 15.304 Evaluation factors and significant subfactors [source selection]")</f>
        <v>FAR 15.101-2 Lowest price technically acceptable source selection process. FAR 15.304 Evaluation factors and significant subfactors [source selection]</v>
      </c>
      <c r="H71" s="25"/>
      <c r="I71" s="34" t="s">
        <v>843</v>
      </c>
      <c r="J71" s="37" t="s">
        <v>203</v>
      </c>
      <c r="K71" s="37" t="s">
        <v>870</v>
      </c>
      <c r="L71" s="25" t="s">
        <v>871</v>
      </c>
      <c r="M71" s="25" t="s">
        <v>872</v>
      </c>
      <c r="N71" s="25" t="s">
        <v>873</v>
      </c>
      <c r="O71" s="64"/>
      <c r="P71" s="45" t="b">
        <f t="shared" si="16"/>
        <v>0</v>
      </c>
      <c r="Q71" s="45">
        <f t="shared" si="17"/>
        <v>3</v>
      </c>
      <c r="R71" s="45">
        <f t="shared" si="18"/>
        <v>0</v>
      </c>
      <c r="S71" s="24"/>
      <c r="T71" s="24"/>
      <c r="U71" s="24"/>
      <c r="V71" s="24"/>
      <c r="W71" s="24"/>
      <c r="X71" s="24"/>
      <c r="Y71" s="24"/>
      <c r="Z71" s="24"/>
      <c r="AA71" s="24"/>
      <c r="AB71" s="24"/>
    </row>
    <row r="72" spans="1:28" ht="108.7">
      <c r="A72" s="25" t="s">
        <v>831</v>
      </c>
      <c r="B72" s="26" t="s">
        <v>832</v>
      </c>
      <c r="C72" s="26" t="s">
        <v>833</v>
      </c>
      <c r="D72" s="26" t="s">
        <v>876</v>
      </c>
      <c r="E72" s="25" t="s">
        <v>877</v>
      </c>
      <c r="F72" s="25" t="s">
        <v>836</v>
      </c>
      <c r="G72" s="57" t="str">
        <f>HYPERLINK("https://www.acquisition.gov/content/subpart-153-source-selection","FAR 15.304(d) Evaluation factors and subfactors [source selection]. FAR 15.305(a) Proposal evaluation [source selection]. ")</f>
        <v xml:space="preserve">FAR 15.304(d) Evaluation factors and subfactors [source selection]. FAR 15.305(a) Proposal evaluation [source selection]. </v>
      </c>
      <c r="H72" s="57" t="str">
        <f>HYPERLINK("https://www.acquisition.gov/sites/default/files/current/gsam/html/Part515.html#wp1871216","GSAR 515.305")</f>
        <v>GSAR 515.305</v>
      </c>
      <c r="I72" s="34" t="s">
        <v>843</v>
      </c>
      <c r="J72" s="37" t="s">
        <v>203</v>
      </c>
      <c r="K72" s="37" t="s">
        <v>883</v>
      </c>
      <c r="L72" s="25" t="s">
        <v>884</v>
      </c>
      <c r="M72" s="25" t="s">
        <v>885</v>
      </c>
      <c r="N72" s="25" t="s">
        <v>886</v>
      </c>
      <c r="O72" s="64"/>
      <c r="P72" s="45" t="b">
        <f t="shared" si="16"/>
        <v>0</v>
      </c>
      <c r="Q72" s="45">
        <f t="shared" si="17"/>
        <v>3</v>
      </c>
      <c r="R72" s="45">
        <f t="shared" si="18"/>
        <v>0</v>
      </c>
      <c r="S72" s="24"/>
      <c r="T72" s="24"/>
      <c r="U72" s="24"/>
      <c r="V72" s="24"/>
      <c r="W72" s="24"/>
      <c r="X72" s="24"/>
      <c r="Y72" s="24"/>
      <c r="Z72" s="24"/>
      <c r="AA72" s="24"/>
      <c r="AB72" s="24"/>
    </row>
    <row r="73" spans="1:28" ht="108.7">
      <c r="A73" s="25" t="s">
        <v>831</v>
      </c>
      <c r="B73" s="26" t="s">
        <v>832</v>
      </c>
      <c r="C73" s="26" t="s">
        <v>833</v>
      </c>
      <c r="D73" s="26" t="s">
        <v>891</v>
      </c>
      <c r="E73" s="25" t="s">
        <v>892</v>
      </c>
      <c r="F73" s="25" t="s">
        <v>836</v>
      </c>
      <c r="G73" s="57" t="str">
        <f>HYPERLINK("https://www.acquisition.gov/content/15304-evaluation-factors-and-significant-subfactors","FAR 15.304(e) Evaluation factors and significant subfactors [source selection]")</f>
        <v>FAR 15.304(e) Evaluation factors and significant subfactors [source selection]</v>
      </c>
      <c r="H73" s="25"/>
      <c r="I73" s="34" t="s">
        <v>843</v>
      </c>
      <c r="J73" s="37" t="s">
        <v>203</v>
      </c>
      <c r="K73" s="37" t="s">
        <v>895</v>
      </c>
      <c r="L73" s="25" t="s">
        <v>896</v>
      </c>
      <c r="M73" s="25" t="s">
        <v>897</v>
      </c>
      <c r="N73" s="25" t="s">
        <v>898</v>
      </c>
      <c r="O73" s="64"/>
      <c r="P73" s="45" t="b">
        <f t="shared" si="16"/>
        <v>0</v>
      </c>
      <c r="Q73" s="45">
        <f t="shared" si="17"/>
        <v>3</v>
      </c>
      <c r="R73" s="45">
        <f t="shared" si="18"/>
        <v>0</v>
      </c>
      <c r="S73" s="24"/>
      <c r="T73" s="24"/>
      <c r="U73" s="24"/>
      <c r="V73" s="24"/>
      <c r="W73" s="24"/>
      <c r="X73" s="24"/>
      <c r="Y73" s="24"/>
      <c r="Z73" s="24"/>
      <c r="AA73" s="24"/>
      <c r="AB73" s="24"/>
    </row>
    <row r="74" spans="1:28" ht="4.5999999999999996" customHeight="1">
      <c r="A74" s="55"/>
      <c r="B74" s="55"/>
      <c r="C74" s="56"/>
      <c r="D74" s="56"/>
      <c r="E74" s="55"/>
      <c r="F74" s="55"/>
      <c r="G74" s="72"/>
      <c r="H74" s="72"/>
      <c r="I74" s="63"/>
      <c r="J74" s="63"/>
      <c r="K74" s="63"/>
      <c r="L74" s="63"/>
      <c r="M74" s="63"/>
      <c r="N74" s="63"/>
      <c r="O74" s="64"/>
      <c r="P74" s="45"/>
      <c r="Q74" s="45"/>
      <c r="R74" s="45"/>
      <c r="S74" s="24"/>
      <c r="T74" s="24"/>
      <c r="U74" s="24"/>
      <c r="V74" s="24"/>
      <c r="W74" s="24"/>
      <c r="X74" s="24"/>
      <c r="Y74" s="24"/>
      <c r="Z74" s="24"/>
      <c r="AA74" s="24"/>
      <c r="AB74" s="24"/>
    </row>
    <row r="75" spans="1:28" ht="108.7">
      <c r="A75" s="25" t="s">
        <v>903</v>
      </c>
      <c r="B75" s="66" t="s">
        <v>904</v>
      </c>
      <c r="C75" s="66" t="s">
        <v>905</v>
      </c>
      <c r="D75" s="66" t="s">
        <v>906</v>
      </c>
      <c r="E75" s="25" t="s">
        <v>908</v>
      </c>
      <c r="F75" s="25" t="s">
        <v>836</v>
      </c>
      <c r="G75" s="57" t="str">
        <f>HYPERLINK("https://www.acquisition.gov/content/15303-responsibilities","FAR 15.303(b)(1) Responsibilities [source selection].")</f>
        <v>FAR 15.303(b)(1) Responsibilities [source selection].</v>
      </c>
      <c r="H75" s="57" t="str">
        <f>HYPERLINK("https://www.acquisition.gov/sites/default/files/current/gsam/html/Part515.html#wp1871259","GSAR 515.303")</f>
        <v>GSAR 515.303</v>
      </c>
      <c r="I75" s="34" t="s">
        <v>914</v>
      </c>
      <c r="J75" s="37" t="s">
        <v>919</v>
      </c>
      <c r="K75" s="37" t="s">
        <v>920</v>
      </c>
      <c r="L75" s="25" t="s">
        <v>921</v>
      </c>
      <c r="M75" s="25" t="s">
        <v>922</v>
      </c>
      <c r="N75" s="25" t="s">
        <v>923</v>
      </c>
      <c r="O75" s="64"/>
      <c r="P75" s="45" t="b">
        <f t="shared" ref="P75:P79" si="19">IF(AND(O75="Meet the requirements traceability “out of the box”"), 10, IF(AND(O75="Can meet the requirements traceability with configuration or through the use of another commercial product “out of the box” or other arrangement as part of the service offering quoted (i.e. at no additional cost)"), 8, IF(AND(O75="Can meet the requirements traceability with customization at additional cost"), 3, IF(AND(O75="Cannot meet the requirements traceability requirement"), 0))))</f>
        <v>0</v>
      </c>
      <c r="Q75" s="45">
        <f t="shared" ref="Q75:Q79" si="20">IF(J75="Unidentified",0,3)</f>
        <v>3</v>
      </c>
      <c r="R75" s="45">
        <f t="shared" ref="R75:R79" si="21">IF(P75=FALSE,0,IF(P75&gt;4,(P75+Q75),P75))</f>
        <v>0</v>
      </c>
      <c r="S75" s="24"/>
      <c r="T75" s="24"/>
      <c r="U75" s="24"/>
      <c r="V75" s="24"/>
      <c r="W75" s="24"/>
      <c r="X75" s="24"/>
      <c r="Y75" s="24"/>
      <c r="Z75" s="24"/>
      <c r="AA75" s="24"/>
      <c r="AB75" s="24"/>
    </row>
    <row r="76" spans="1:28" ht="119.55">
      <c r="A76" s="25" t="s">
        <v>903</v>
      </c>
      <c r="B76" s="66" t="s">
        <v>904</v>
      </c>
      <c r="C76" s="66" t="s">
        <v>905</v>
      </c>
      <c r="D76" s="66" t="s">
        <v>936</v>
      </c>
      <c r="E76" s="25" t="s">
        <v>938</v>
      </c>
      <c r="F76" s="25" t="s">
        <v>836</v>
      </c>
      <c r="G76" s="57" t="str">
        <f>HYPERLINK("https://www.acquisition.gov/content/15305-proposal-evaluation","FAR 15.305 Proposal evaluation [source selection]")</f>
        <v>FAR 15.305 Proposal evaluation [source selection]</v>
      </c>
      <c r="H76" s="57" t="str">
        <f>HYPERLINK("https://www.acquisition.gov/sites/default/files/current/gsam/html/Part515.html#wp1871216","GSAR 515.305")</f>
        <v>GSAR 515.305</v>
      </c>
      <c r="I76" s="34" t="s">
        <v>940</v>
      </c>
      <c r="J76" s="37" t="s">
        <v>919</v>
      </c>
      <c r="K76" s="37" t="s">
        <v>941</v>
      </c>
      <c r="L76" s="25" t="s">
        <v>942</v>
      </c>
      <c r="M76" s="25" t="s">
        <v>943</v>
      </c>
      <c r="N76" s="25" t="s">
        <v>944</v>
      </c>
      <c r="O76" s="64"/>
      <c r="P76" s="45" t="b">
        <f t="shared" si="19"/>
        <v>0</v>
      </c>
      <c r="Q76" s="45">
        <f t="shared" si="20"/>
        <v>3</v>
      </c>
      <c r="R76" s="45">
        <f t="shared" si="21"/>
        <v>0</v>
      </c>
      <c r="S76" s="24"/>
      <c r="T76" s="24"/>
      <c r="U76" s="24"/>
      <c r="V76" s="24"/>
      <c r="W76" s="24"/>
      <c r="X76" s="24"/>
      <c r="Y76" s="24"/>
      <c r="Z76" s="24"/>
      <c r="AA76" s="24"/>
      <c r="AB76" s="24"/>
    </row>
    <row r="77" spans="1:28" ht="97.85">
      <c r="A77" s="25" t="s">
        <v>903</v>
      </c>
      <c r="B77" s="66" t="s">
        <v>904</v>
      </c>
      <c r="C77" s="66" t="s">
        <v>905</v>
      </c>
      <c r="D77" s="66" t="s">
        <v>945</v>
      </c>
      <c r="E77" s="25" t="s">
        <v>946</v>
      </c>
      <c r="F77" s="25" t="s">
        <v>836</v>
      </c>
      <c r="G77" s="57" t="e">
        <f>HYPERLINK("https://www.acquisition.gov/browse/index/far","FAR 3.104 Procurement integrity [improper business practices and personal conflicts of interest]. FAR 15.303(c) Responsibilities [source selection]. FAR 15.304 Evaluation factors and significant factors [source selection]. FAR 15.306 Exchanges with offero"&amp;"rs after receipt of proposals [source selection]. ")</f>
        <v>#VALUE!</v>
      </c>
      <c r="H77" s="57" t="str">
        <f>HYPERLINK("https://www.acquisition.gov/sites/default/files/current/gsam/html/GSAMTOC.html","GSAR 503.104; GSAR 515.303; GSAR 515.306")</f>
        <v>GSAR 503.104; GSAR 515.303; GSAR 515.306</v>
      </c>
      <c r="I77" s="34" t="s">
        <v>951</v>
      </c>
      <c r="J77" s="37" t="s">
        <v>919</v>
      </c>
      <c r="K77" s="37" t="s">
        <v>953</v>
      </c>
      <c r="L77" s="25" t="s">
        <v>955</v>
      </c>
      <c r="M77" s="25" t="s">
        <v>958</v>
      </c>
      <c r="N77" s="25" t="s">
        <v>960</v>
      </c>
      <c r="O77" s="64"/>
      <c r="P77" s="45" t="b">
        <f t="shared" si="19"/>
        <v>0</v>
      </c>
      <c r="Q77" s="45">
        <f t="shared" si="20"/>
        <v>3</v>
      </c>
      <c r="R77" s="45">
        <f t="shared" si="21"/>
        <v>0</v>
      </c>
      <c r="S77" s="24"/>
      <c r="T77" s="24"/>
      <c r="U77" s="24"/>
      <c r="V77" s="24"/>
      <c r="W77" s="24"/>
      <c r="X77" s="24"/>
      <c r="Y77" s="24"/>
      <c r="Z77" s="24"/>
      <c r="AA77" s="24"/>
      <c r="AB77" s="24"/>
    </row>
    <row r="78" spans="1:28" ht="141.30000000000001">
      <c r="A78" s="25" t="s">
        <v>903</v>
      </c>
      <c r="B78" s="66" t="s">
        <v>904</v>
      </c>
      <c r="C78" s="66" t="s">
        <v>905</v>
      </c>
      <c r="D78" s="66" t="s">
        <v>963</v>
      </c>
      <c r="E78" s="25" t="s">
        <v>964</v>
      </c>
      <c r="F78" s="25" t="s">
        <v>836</v>
      </c>
      <c r="G78" s="93" t="str">
        <f>HYPERLINK("https://www.acquisition.gov/content/15304-evaluation-factors-and-significant-subfactors","FAR 15.304(c)(1)")</f>
        <v>FAR 15.304(c)(1)</v>
      </c>
      <c r="H78" s="57" t="str">
        <f>HYPERLINK("https://www.acquisition.gov/sites/default/files/current/gsam/html/Part515.html#wp1865734","GSAR 515.4")</f>
        <v>GSAR 515.4</v>
      </c>
      <c r="I78" s="34" t="s">
        <v>981</v>
      </c>
      <c r="J78" s="37" t="s">
        <v>203</v>
      </c>
      <c r="K78" s="37" t="s">
        <v>982</v>
      </c>
      <c r="L78" s="25" t="s">
        <v>983</v>
      </c>
      <c r="M78" s="25" t="s">
        <v>984</v>
      </c>
      <c r="N78" s="25" t="s">
        <v>985</v>
      </c>
      <c r="O78" s="64"/>
      <c r="P78" s="45" t="b">
        <f t="shared" si="19"/>
        <v>0</v>
      </c>
      <c r="Q78" s="45">
        <f t="shared" si="20"/>
        <v>3</v>
      </c>
      <c r="R78" s="45">
        <f t="shared" si="21"/>
        <v>0</v>
      </c>
      <c r="S78" s="24"/>
      <c r="T78" s="24"/>
      <c r="U78" s="24"/>
      <c r="V78" s="24"/>
      <c r="W78" s="24"/>
      <c r="X78" s="24"/>
      <c r="Y78" s="24"/>
      <c r="Z78" s="24"/>
      <c r="AA78" s="24"/>
      <c r="AB78" s="24"/>
    </row>
    <row r="79" spans="1:28" ht="130.44999999999999">
      <c r="A79" s="25" t="s">
        <v>903</v>
      </c>
      <c r="B79" s="66" t="s">
        <v>904</v>
      </c>
      <c r="C79" s="66" t="s">
        <v>905</v>
      </c>
      <c r="D79" s="66" t="s">
        <v>993</v>
      </c>
      <c r="E79" s="25" t="s">
        <v>994</v>
      </c>
      <c r="F79" s="25" t="s">
        <v>836</v>
      </c>
      <c r="G79" s="57" t="str">
        <f>HYPERLINK("https://www.acquisition.gov/content/15102-oral-presentations","FAR 15.102 Oral presentations [source selection processes and techniques].")</f>
        <v>FAR 15.102 Oral presentations [source selection processes and techniques].</v>
      </c>
      <c r="H79" s="54"/>
      <c r="I79" s="34" t="s">
        <v>981</v>
      </c>
      <c r="J79" s="37" t="s">
        <v>203</v>
      </c>
      <c r="K79" s="37" t="s">
        <v>1000</v>
      </c>
      <c r="L79" s="25" t="s">
        <v>1001</v>
      </c>
      <c r="M79" s="25" t="s">
        <v>1002</v>
      </c>
      <c r="N79" s="25" t="s">
        <v>1003</v>
      </c>
      <c r="O79" s="64"/>
      <c r="P79" s="45" t="b">
        <f t="shared" si="19"/>
        <v>0</v>
      </c>
      <c r="Q79" s="45">
        <f t="shared" si="20"/>
        <v>3</v>
      </c>
      <c r="R79" s="45">
        <f t="shared" si="21"/>
        <v>0</v>
      </c>
      <c r="S79" s="24"/>
      <c r="T79" s="24"/>
      <c r="U79" s="24"/>
      <c r="V79" s="24"/>
      <c r="W79" s="24"/>
      <c r="X79" s="24"/>
      <c r="Y79" s="24"/>
      <c r="Z79" s="24"/>
      <c r="AA79" s="24"/>
      <c r="AB79" s="24"/>
    </row>
    <row r="80" spans="1:28" ht="4.5999999999999996" customHeight="1">
      <c r="A80" s="95"/>
      <c r="B80" s="95"/>
      <c r="C80" s="97"/>
      <c r="D80" s="97"/>
      <c r="E80" s="95"/>
      <c r="F80" s="95"/>
      <c r="G80" s="99"/>
      <c r="H80" s="99"/>
      <c r="I80" s="100"/>
      <c r="J80" s="100"/>
      <c r="K80" s="100"/>
      <c r="L80" s="100"/>
      <c r="M80" s="100"/>
      <c r="N80" s="100"/>
      <c r="O80" s="64"/>
      <c r="P80" s="45"/>
      <c r="Q80" s="45"/>
      <c r="R80" s="45"/>
      <c r="S80" s="24"/>
      <c r="T80" s="24"/>
      <c r="U80" s="24"/>
      <c r="V80" s="24"/>
      <c r="W80" s="24"/>
      <c r="X80" s="24"/>
      <c r="Y80" s="24"/>
      <c r="Z80" s="24"/>
      <c r="AA80" s="24"/>
      <c r="AB80" s="24"/>
    </row>
    <row r="81" spans="1:28" ht="195.65">
      <c r="A81" s="66" t="s">
        <v>1031</v>
      </c>
      <c r="B81" s="66" t="s">
        <v>1032</v>
      </c>
      <c r="C81" s="66" t="s">
        <v>1033</v>
      </c>
      <c r="D81" s="66" t="s">
        <v>179</v>
      </c>
      <c r="E81" s="25" t="s">
        <v>1038</v>
      </c>
      <c r="F81" s="25" t="s">
        <v>1041</v>
      </c>
      <c r="G81" s="57" t="str">
        <f>HYPERLINK("https://www.acquisition.gov/browse/index/far","FAR 37.6 and 46.4")</f>
        <v>FAR 37.6 and 46.4</v>
      </c>
      <c r="H81" s="57" t="str">
        <f>HYPERLINK("https://www.acquisition.gov/sites/default/files/current/gsam/html/Part537.html#wp1858790","GSAR 537.6")</f>
        <v>GSAR 537.6</v>
      </c>
      <c r="I81" s="34" t="s">
        <v>1059</v>
      </c>
      <c r="J81" s="37" t="s">
        <v>190</v>
      </c>
      <c r="K81" s="37" t="s">
        <v>1061</v>
      </c>
      <c r="L81" s="25" t="s">
        <v>1063</v>
      </c>
      <c r="M81" s="25" t="s">
        <v>1065</v>
      </c>
      <c r="N81" s="25" t="s">
        <v>1066</v>
      </c>
      <c r="O81" s="64"/>
      <c r="P81" s="45" t="b">
        <f>IF(AND(O81="Meet the requirements traceability “out of the box”"), 10, IF(AND(O81="Can meet the requirements traceability with configuration or through the use of another commercial product “out of the box” or other arrangement as part of the service offering quoted (i.e. at no additional cost)"), 8, IF(AND(O81="Can meet the requirements traceability with customization at additional cost"), 3, IF(AND(O81="Cannot meet the requirements traceability requirement"), 0))))</f>
        <v>0</v>
      </c>
      <c r="Q81" s="45">
        <f>IF(J81="Unidentified",0,3)</f>
        <v>3</v>
      </c>
      <c r="R81" s="45">
        <f>IF(P81=FALSE,0,IF(P81&gt;4,(P81+Q81),P81))</f>
        <v>0</v>
      </c>
      <c r="S81" s="24"/>
      <c r="T81" s="24"/>
      <c r="U81" s="24"/>
      <c r="V81" s="24"/>
      <c r="W81" s="24"/>
      <c r="X81" s="24"/>
      <c r="Y81" s="24"/>
      <c r="Z81" s="24"/>
      <c r="AA81" s="24"/>
      <c r="AB81" s="24"/>
    </row>
    <row r="82" spans="1:28" ht="4.5999999999999996" customHeight="1">
      <c r="A82" s="55"/>
      <c r="B82" s="55"/>
      <c r="C82" s="56"/>
      <c r="D82" s="56"/>
      <c r="E82" s="55"/>
      <c r="F82" s="55"/>
      <c r="G82" s="72"/>
      <c r="H82" s="72"/>
      <c r="I82" s="63"/>
      <c r="J82" s="63"/>
      <c r="K82" s="63"/>
      <c r="L82" s="63"/>
      <c r="M82" s="63"/>
      <c r="N82" s="63"/>
      <c r="O82" s="64"/>
      <c r="P82" s="45"/>
      <c r="Q82" s="45"/>
      <c r="R82" s="45"/>
      <c r="S82" s="24"/>
      <c r="T82" s="24"/>
      <c r="U82" s="24"/>
      <c r="V82" s="24"/>
      <c r="W82" s="24"/>
      <c r="X82" s="24"/>
      <c r="Y82" s="24"/>
      <c r="Z82" s="24"/>
      <c r="AA82" s="24"/>
      <c r="AB82" s="24"/>
    </row>
    <row r="83" spans="1:28" ht="152.15">
      <c r="A83" s="66" t="s">
        <v>1085</v>
      </c>
      <c r="B83" s="66" t="s">
        <v>1086</v>
      </c>
      <c r="C83" s="66" t="s">
        <v>1087</v>
      </c>
      <c r="D83" s="66" t="s">
        <v>1088</v>
      </c>
      <c r="E83" s="25" t="s">
        <v>1089</v>
      </c>
      <c r="F83" s="25" t="s">
        <v>1090</v>
      </c>
      <c r="G83" s="25" t="s">
        <v>1091</v>
      </c>
      <c r="H83" s="54"/>
      <c r="I83" s="34" t="s">
        <v>1092</v>
      </c>
      <c r="J83" s="37" t="s">
        <v>112</v>
      </c>
      <c r="K83" s="37" t="s">
        <v>1093</v>
      </c>
      <c r="L83" s="25" t="s">
        <v>1094</v>
      </c>
      <c r="M83" s="25" t="s">
        <v>1095</v>
      </c>
      <c r="N83" s="25" t="s">
        <v>1097</v>
      </c>
      <c r="O83" s="64"/>
      <c r="P83" s="45" t="b">
        <f t="shared" ref="P83:P99" si="22">IF(AND(O83="Meet the requirements traceability “out of the box”"), 10, IF(AND(O83="Can meet the requirements traceability with configuration or through the use of another commercial product “out of the box” or other arrangement as part of the service offering quoted (i.e. at no additional cost)"), 8, IF(AND(O83="Can meet the requirements traceability with customization at additional cost"), 3, IF(AND(O83="Cannot meet the requirements traceability requirement"), 0))))</f>
        <v>0</v>
      </c>
      <c r="Q83" s="45">
        <f t="shared" ref="Q83:Q99" si="23">IF(J83="Unidentified",0,3)</f>
        <v>3</v>
      </c>
      <c r="R83" s="45">
        <f t="shared" ref="R83:R99" si="24">IF(P83=FALSE,0,IF(P83&gt;4,(P83+Q83),P83))</f>
        <v>0</v>
      </c>
      <c r="S83" s="24"/>
      <c r="T83" s="24"/>
      <c r="U83" s="24"/>
      <c r="V83" s="24"/>
      <c r="W83" s="24"/>
      <c r="X83" s="24"/>
      <c r="Y83" s="24"/>
      <c r="Z83" s="24"/>
      <c r="AA83" s="24"/>
      <c r="AB83" s="24"/>
    </row>
    <row r="84" spans="1:28" ht="130.44999999999999">
      <c r="A84" s="66" t="s">
        <v>1085</v>
      </c>
      <c r="B84" s="66" t="s">
        <v>1086</v>
      </c>
      <c r="C84" s="66" t="s">
        <v>1087</v>
      </c>
      <c r="D84" s="66" t="s">
        <v>1115</v>
      </c>
      <c r="E84" s="54" t="s">
        <v>1118</v>
      </c>
      <c r="F84" s="54" t="s">
        <v>1121</v>
      </c>
      <c r="G84" s="48" t="str">
        <f>HYPERLINK("https://www.acquisition.gov/browse/index/far","FAR 15.404-1 Proposal analysis techniques [contract pricing]. FAR 36.203 Government estimate of construction costs. FAR 36.605 Government cost estimate for architect-engineer work.")</f>
        <v>FAR 15.404-1 Proposal analysis techniques [contract pricing]. FAR 36.203 Government estimate of construction costs. FAR 36.605 Government cost estimate for architect-engineer work.</v>
      </c>
      <c r="H84" s="57" t="str">
        <f>HYPERLINK("https://www.acquisition.gov/sites/default/files/current/gsam/html/Part536.html#wp1858105","GSAR 536.203")</f>
        <v>GSAR 536.203</v>
      </c>
      <c r="I84" s="34" t="s">
        <v>1127</v>
      </c>
      <c r="J84" s="37" t="s">
        <v>112</v>
      </c>
      <c r="K84" s="37" t="s">
        <v>1129</v>
      </c>
      <c r="L84" s="25" t="s">
        <v>1131</v>
      </c>
      <c r="M84" s="25" t="s">
        <v>1133</v>
      </c>
      <c r="N84" s="25" t="s">
        <v>1135</v>
      </c>
      <c r="O84" s="64"/>
      <c r="P84" s="45" t="b">
        <f t="shared" si="22"/>
        <v>0</v>
      </c>
      <c r="Q84" s="45">
        <f t="shared" si="23"/>
        <v>3</v>
      </c>
      <c r="R84" s="45">
        <f t="shared" si="24"/>
        <v>0</v>
      </c>
      <c r="S84" s="24"/>
      <c r="T84" s="24"/>
      <c r="U84" s="24"/>
      <c r="V84" s="24"/>
      <c r="W84" s="24"/>
      <c r="X84" s="24"/>
      <c r="Y84" s="24"/>
      <c r="Z84" s="24"/>
      <c r="AA84" s="24"/>
      <c r="AB84" s="24"/>
    </row>
    <row r="85" spans="1:28" ht="130.44999999999999">
      <c r="A85" s="66" t="s">
        <v>1085</v>
      </c>
      <c r="B85" s="66" t="s">
        <v>1086</v>
      </c>
      <c r="C85" s="66" t="s">
        <v>1087</v>
      </c>
      <c r="D85" s="66" t="s">
        <v>1141</v>
      </c>
      <c r="E85" s="54" t="s">
        <v>1142</v>
      </c>
      <c r="F85" s="54" t="s">
        <v>1143</v>
      </c>
      <c r="G85" s="25" t="s">
        <v>1091</v>
      </c>
      <c r="H85" s="54"/>
      <c r="I85" s="34" t="s">
        <v>1092</v>
      </c>
      <c r="J85" s="37" t="s">
        <v>112</v>
      </c>
      <c r="K85" s="37" t="s">
        <v>1144</v>
      </c>
      <c r="L85" s="25" t="s">
        <v>1145</v>
      </c>
      <c r="M85" s="25" t="s">
        <v>1146</v>
      </c>
      <c r="N85" s="25" t="s">
        <v>1147</v>
      </c>
      <c r="O85" s="64"/>
      <c r="P85" s="45" t="b">
        <f t="shared" si="22"/>
        <v>0</v>
      </c>
      <c r="Q85" s="45">
        <f t="shared" si="23"/>
        <v>3</v>
      </c>
      <c r="R85" s="45">
        <f t="shared" si="24"/>
        <v>0</v>
      </c>
      <c r="S85" s="24"/>
      <c r="T85" s="24"/>
      <c r="U85" s="24"/>
      <c r="V85" s="24"/>
      <c r="W85" s="24"/>
      <c r="X85" s="24"/>
      <c r="Y85" s="24"/>
      <c r="Z85" s="24"/>
      <c r="AA85" s="24"/>
      <c r="AB85" s="24"/>
    </row>
    <row r="86" spans="1:28" ht="141.30000000000001">
      <c r="A86" s="66" t="s">
        <v>1085</v>
      </c>
      <c r="B86" s="66" t="s">
        <v>1086</v>
      </c>
      <c r="C86" s="66" t="s">
        <v>1087</v>
      </c>
      <c r="D86" s="66" t="s">
        <v>1154</v>
      </c>
      <c r="E86" s="79" t="s">
        <v>1156</v>
      </c>
      <c r="F86" s="25" t="s">
        <v>1157</v>
      </c>
      <c r="G86" s="25" t="s">
        <v>1091</v>
      </c>
      <c r="H86" s="54"/>
      <c r="I86" s="34" t="s">
        <v>1092</v>
      </c>
      <c r="J86" s="37" t="s">
        <v>112</v>
      </c>
      <c r="K86" s="37" t="s">
        <v>1158</v>
      </c>
      <c r="L86" s="25" t="s">
        <v>1159</v>
      </c>
      <c r="M86" s="25" t="s">
        <v>1160</v>
      </c>
      <c r="N86" s="25" t="s">
        <v>1161</v>
      </c>
      <c r="O86" s="64"/>
      <c r="P86" s="45" t="b">
        <f t="shared" si="22"/>
        <v>0</v>
      </c>
      <c r="Q86" s="45">
        <f t="shared" si="23"/>
        <v>3</v>
      </c>
      <c r="R86" s="45">
        <f t="shared" si="24"/>
        <v>0</v>
      </c>
      <c r="S86" s="24"/>
      <c r="T86" s="24"/>
      <c r="U86" s="24"/>
      <c r="V86" s="24"/>
      <c r="W86" s="24"/>
      <c r="X86" s="24"/>
      <c r="Y86" s="24"/>
      <c r="Z86" s="24"/>
      <c r="AA86" s="24"/>
      <c r="AB86" s="24"/>
    </row>
    <row r="87" spans="1:28" ht="108.7">
      <c r="A87" s="66" t="s">
        <v>1085</v>
      </c>
      <c r="B87" s="66" t="s">
        <v>1086</v>
      </c>
      <c r="C87" s="66" t="s">
        <v>1087</v>
      </c>
      <c r="D87" s="66" t="s">
        <v>1167</v>
      </c>
      <c r="E87" s="25" t="s">
        <v>1168</v>
      </c>
      <c r="F87" s="25" t="s">
        <v>1157</v>
      </c>
      <c r="G87" s="25" t="s">
        <v>1091</v>
      </c>
      <c r="H87" s="54"/>
      <c r="I87" s="34" t="s">
        <v>1092</v>
      </c>
      <c r="J87" s="37" t="s">
        <v>112</v>
      </c>
      <c r="K87" s="37" t="s">
        <v>1171</v>
      </c>
      <c r="L87" s="25" t="s">
        <v>1173</v>
      </c>
      <c r="M87" s="25" t="s">
        <v>1175</v>
      </c>
      <c r="N87" s="25" t="s">
        <v>1161</v>
      </c>
      <c r="O87" s="64"/>
      <c r="P87" s="45" t="b">
        <f t="shared" si="22"/>
        <v>0</v>
      </c>
      <c r="Q87" s="45">
        <f t="shared" si="23"/>
        <v>3</v>
      </c>
      <c r="R87" s="45">
        <f t="shared" si="24"/>
        <v>0</v>
      </c>
      <c r="S87" s="24"/>
      <c r="T87" s="24"/>
      <c r="U87" s="24"/>
      <c r="V87" s="24"/>
      <c r="W87" s="24"/>
      <c r="X87" s="24"/>
      <c r="Y87" s="24"/>
      <c r="Z87" s="24"/>
      <c r="AA87" s="24"/>
      <c r="AB87" s="24"/>
    </row>
    <row r="88" spans="1:28" ht="130.44999999999999">
      <c r="A88" s="66" t="s">
        <v>1085</v>
      </c>
      <c r="B88" s="66" t="s">
        <v>1086</v>
      </c>
      <c r="C88" s="66" t="s">
        <v>1087</v>
      </c>
      <c r="D88" s="66" t="s">
        <v>1180</v>
      </c>
      <c r="E88" s="25" t="s">
        <v>1181</v>
      </c>
      <c r="F88" s="25" t="s">
        <v>1157</v>
      </c>
      <c r="G88" s="25" t="s">
        <v>1091</v>
      </c>
      <c r="H88" s="54"/>
      <c r="I88" s="34" t="s">
        <v>1092</v>
      </c>
      <c r="J88" s="37" t="s">
        <v>112</v>
      </c>
      <c r="K88" s="37" t="s">
        <v>1184</v>
      </c>
      <c r="L88" s="25" t="s">
        <v>1185</v>
      </c>
      <c r="M88" s="25" t="s">
        <v>1186</v>
      </c>
      <c r="N88" s="25" t="s">
        <v>1161</v>
      </c>
      <c r="O88" s="64"/>
      <c r="P88" s="45" t="b">
        <f t="shared" si="22"/>
        <v>0</v>
      </c>
      <c r="Q88" s="45">
        <f t="shared" si="23"/>
        <v>3</v>
      </c>
      <c r="R88" s="45">
        <f t="shared" si="24"/>
        <v>0</v>
      </c>
      <c r="S88" s="24"/>
      <c r="T88" s="24"/>
      <c r="U88" s="24"/>
      <c r="V88" s="24"/>
      <c r="W88" s="24"/>
      <c r="X88" s="24"/>
      <c r="Y88" s="24"/>
      <c r="Z88" s="24"/>
      <c r="AA88" s="24"/>
      <c r="AB88" s="24"/>
    </row>
    <row r="89" spans="1:28" ht="130.44999999999999">
      <c r="A89" s="66" t="s">
        <v>1085</v>
      </c>
      <c r="B89" s="66" t="s">
        <v>1086</v>
      </c>
      <c r="C89" s="66" t="s">
        <v>1087</v>
      </c>
      <c r="D89" s="66" t="s">
        <v>1189</v>
      </c>
      <c r="E89" s="25" t="s">
        <v>1191</v>
      </c>
      <c r="F89" s="25" t="s">
        <v>1157</v>
      </c>
      <c r="G89" s="25" t="s">
        <v>1091</v>
      </c>
      <c r="H89" s="54"/>
      <c r="I89" s="34" t="s">
        <v>1092</v>
      </c>
      <c r="J89" s="37" t="s">
        <v>112</v>
      </c>
      <c r="K89" s="37" t="s">
        <v>1194</v>
      </c>
      <c r="L89" s="25" t="s">
        <v>1195</v>
      </c>
      <c r="M89" s="25" t="s">
        <v>1196</v>
      </c>
      <c r="N89" s="25" t="s">
        <v>1161</v>
      </c>
      <c r="O89" s="64"/>
      <c r="P89" s="45" t="b">
        <f t="shared" si="22"/>
        <v>0</v>
      </c>
      <c r="Q89" s="45">
        <f t="shared" si="23"/>
        <v>3</v>
      </c>
      <c r="R89" s="45">
        <f t="shared" si="24"/>
        <v>0</v>
      </c>
      <c r="S89" s="24"/>
      <c r="T89" s="24"/>
      <c r="U89" s="24"/>
      <c r="V89" s="24"/>
      <c r="W89" s="24"/>
      <c r="X89" s="24"/>
      <c r="Y89" s="24"/>
      <c r="Z89" s="24"/>
      <c r="AA89" s="24"/>
      <c r="AB89" s="24"/>
    </row>
    <row r="90" spans="1:28" ht="46.55" customHeight="1">
      <c r="A90" s="66" t="s">
        <v>1085</v>
      </c>
      <c r="B90" s="66" t="s">
        <v>1086</v>
      </c>
      <c r="C90" s="66" t="s">
        <v>1087</v>
      </c>
      <c r="D90" s="66" t="s">
        <v>1198</v>
      </c>
      <c r="E90" s="25" t="s">
        <v>1201</v>
      </c>
      <c r="F90" s="25" t="s">
        <v>1157</v>
      </c>
      <c r="G90" s="25" t="s">
        <v>1091</v>
      </c>
      <c r="H90" s="54"/>
      <c r="I90" s="34" t="s">
        <v>1092</v>
      </c>
      <c r="J90" s="37" t="s">
        <v>112</v>
      </c>
      <c r="K90" s="37" t="s">
        <v>1205</v>
      </c>
      <c r="L90" s="25" t="s">
        <v>1206</v>
      </c>
      <c r="M90" s="25" t="s">
        <v>1207</v>
      </c>
      <c r="N90" s="25" t="s">
        <v>1208</v>
      </c>
      <c r="O90" s="64"/>
      <c r="P90" s="45" t="b">
        <f t="shared" si="22"/>
        <v>0</v>
      </c>
      <c r="Q90" s="45">
        <f t="shared" si="23"/>
        <v>3</v>
      </c>
      <c r="R90" s="45">
        <f t="shared" si="24"/>
        <v>0</v>
      </c>
      <c r="S90" s="24"/>
      <c r="T90" s="24"/>
      <c r="U90" s="24"/>
      <c r="V90" s="24"/>
      <c r="W90" s="24"/>
      <c r="X90" s="24"/>
      <c r="Y90" s="24"/>
      <c r="Z90" s="24"/>
      <c r="AA90" s="24"/>
      <c r="AB90" s="24"/>
    </row>
    <row r="91" spans="1:28" ht="46.55" customHeight="1">
      <c r="A91" s="66" t="s">
        <v>1085</v>
      </c>
      <c r="B91" s="66" t="s">
        <v>1086</v>
      </c>
      <c r="C91" s="66" t="s">
        <v>1087</v>
      </c>
      <c r="D91" s="66" t="s">
        <v>1214</v>
      </c>
      <c r="E91" s="25" t="s">
        <v>1215</v>
      </c>
      <c r="F91" s="25" t="s">
        <v>1157</v>
      </c>
      <c r="G91" s="25" t="s">
        <v>1091</v>
      </c>
      <c r="H91" s="54"/>
      <c r="I91" s="34" t="s">
        <v>1092</v>
      </c>
      <c r="J91" s="37" t="s">
        <v>112</v>
      </c>
      <c r="K91" s="37" t="s">
        <v>1219</v>
      </c>
      <c r="L91" s="25" t="s">
        <v>1221</v>
      </c>
      <c r="M91" s="25" t="s">
        <v>1222</v>
      </c>
      <c r="N91" s="25" t="s">
        <v>1224</v>
      </c>
      <c r="O91" s="64"/>
      <c r="P91" s="45" t="b">
        <f t="shared" si="22"/>
        <v>0</v>
      </c>
      <c r="Q91" s="45">
        <f t="shared" si="23"/>
        <v>3</v>
      </c>
      <c r="R91" s="45">
        <f t="shared" si="24"/>
        <v>0</v>
      </c>
      <c r="S91" s="24"/>
      <c r="T91" s="24"/>
      <c r="U91" s="24"/>
      <c r="V91" s="24"/>
      <c r="W91" s="24"/>
      <c r="X91" s="24"/>
      <c r="Y91" s="24"/>
      <c r="Z91" s="24"/>
      <c r="AA91" s="24"/>
      <c r="AB91" s="24"/>
    </row>
    <row r="92" spans="1:28" ht="46.55" customHeight="1">
      <c r="A92" s="66" t="s">
        <v>1085</v>
      </c>
      <c r="B92" s="66" t="s">
        <v>1086</v>
      </c>
      <c r="C92" s="66" t="s">
        <v>1087</v>
      </c>
      <c r="D92" s="66" t="s">
        <v>1227</v>
      </c>
      <c r="E92" s="25" t="s">
        <v>1228</v>
      </c>
      <c r="F92" s="25" t="s">
        <v>1157</v>
      </c>
      <c r="G92" s="25" t="s">
        <v>1091</v>
      </c>
      <c r="H92" s="54"/>
      <c r="I92" s="34" t="s">
        <v>1092</v>
      </c>
      <c r="J92" s="37" t="s">
        <v>112</v>
      </c>
      <c r="K92" s="37" t="s">
        <v>1234</v>
      </c>
      <c r="L92" s="25" t="s">
        <v>1235</v>
      </c>
      <c r="M92" s="25" t="s">
        <v>1236</v>
      </c>
      <c r="N92" s="25" t="s">
        <v>1237</v>
      </c>
      <c r="O92" s="64"/>
      <c r="P92" s="45" t="b">
        <f t="shared" si="22"/>
        <v>0</v>
      </c>
      <c r="Q92" s="45">
        <f t="shared" si="23"/>
        <v>3</v>
      </c>
      <c r="R92" s="45">
        <f t="shared" si="24"/>
        <v>0</v>
      </c>
      <c r="S92" s="24"/>
      <c r="T92" s="24"/>
      <c r="U92" s="24"/>
      <c r="V92" s="24"/>
      <c r="W92" s="24"/>
      <c r="X92" s="24"/>
      <c r="Y92" s="24"/>
      <c r="Z92" s="24"/>
      <c r="AA92" s="24"/>
      <c r="AB92" s="24"/>
    </row>
    <row r="93" spans="1:28" ht="46.55" customHeight="1">
      <c r="A93" s="66" t="s">
        <v>1085</v>
      </c>
      <c r="B93" s="66" t="s">
        <v>1086</v>
      </c>
      <c r="C93" s="66" t="s">
        <v>1087</v>
      </c>
      <c r="D93" s="66" t="s">
        <v>1240</v>
      </c>
      <c r="E93" s="25" t="s">
        <v>1241</v>
      </c>
      <c r="F93" s="25" t="s">
        <v>1157</v>
      </c>
      <c r="G93" s="25" t="s">
        <v>1091</v>
      </c>
      <c r="H93" s="54"/>
      <c r="I93" s="34" t="s">
        <v>1092</v>
      </c>
      <c r="J93" s="37" t="s">
        <v>112</v>
      </c>
      <c r="K93" s="37" t="s">
        <v>1245</v>
      </c>
      <c r="L93" s="25" t="s">
        <v>1247</v>
      </c>
      <c r="M93" s="25" t="s">
        <v>1248</v>
      </c>
      <c r="N93" s="25" t="s">
        <v>1249</v>
      </c>
      <c r="O93" s="64"/>
      <c r="P93" s="45" t="b">
        <f t="shared" si="22"/>
        <v>0</v>
      </c>
      <c r="Q93" s="45">
        <f t="shared" si="23"/>
        <v>3</v>
      </c>
      <c r="R93" s="45">
        <f t="shared" si="24"/>
        <v>0</v>
      </c>
      <c r="S93" s="24"/>
      <c r="T93" s="24"/>
      <c r="U93" s="24"/>
      <c r="V93" s="24"/>
      <c r="W93" s="24"/>
      <c r="X93" s="24"/>
      <c r="Y93" s="24"/>
      <c r="Z93" s="24"/>
      <c r="AA93" s="24"/>
      <c r="AB93" s="24"/>
    </row>
    <row r="94" spans="1:28" ht="46.55" customHeight="1">
      <c r="A94" s="66" t="s">
        <v>1085</v>
      </c>
      <c r="B94" s="66" t="s">
        <v>1086</v>
      </c>
      <c r="C94" s="66" t="s">
        <v>1087</v>
      </c>
      <c r="D94" s="66" t="s">
        <v>1255</v>
      </c>
      <c r="E94" s="25" t="s">
        <v>1256</v>
      </c>
      <c r="F94" s="25" t="s">
        <v>1157</v>
      </c>
      <c r="G94" s="25" t="s">
        <v>1091</v>
      </c>
      <c r="H94" s="54"/>
      <c r="I94" s="34" t="s">
        <v>1092</v>
      </c>
      <c r="J94" s="37" t="s">
        <v>112</v>
      </c>
      <c r="K94" s="37" t="s">
        <v>1257</v>
      </c>
      <c r="L94" s="25" t="s">
        <v>1258</v>
      </c>
      <c r="M94" s="25" t="s">
        <v>1259</v>
      </c>
      <c r="N94" s="25" t="s">
        <v>1260</v>
      </c>
      <c r="O94" s="64"/>
      <c r="P94" s="45" t="b">
        <f t="shared" si="22"/>
        <v>0</v>
      </c>
      <c r="Q94" s="45">
        <f t="shared" si="23"/>
        <v>3</v>
      </c>
      <c r="R94" s="45">
        <f t="shared" si="24"/>
        <v>0</v>
      </c>
      <c r="S94" s="24"/>
      <c r="T94" s="24"/>
      <c r="U94" s="24"/>
      <c r="V94" s="24"/>
      <c r="W94" s="24"/>
      <c r="X94" s="24"/>
      <c r="Y94" s="24"/>
      <c r="Z94" s="24"/>
      <c r="AA94" s="24"/>
      <c r="AB94" s="24"/>
    </row>
    <row r="95" spans="1:28" ht="46.55" customHeight="1">
      <c r="A95" s="66" t="s">
        <v>1085</v>
      </c>
      <c r="B95" s="66" t="s">
        <v>1086</v>
      </c>
      <c r="C95" s="66" t="s">
        <v>1087</v>
      </c>
      <c r="D95" s="66" t="s">
        <v>1263</v>
      </c>
      <c r="E95" s="25" t="s">
        <v>1264</v>
      </c>
      <c r="F95" s="25" t="s">
        <v>1157</v>
      </c>
      <c r="G95" s="25" t="s">
        <v>1091</v>
      </c>
      <c r="H95" s="54"/>
      <c r="I95" s="34" t="s">
        <v>1092</v>
      </c>
      <c r="J95" s="37" t="s">
        <v>112</v>
      </c>
      <c r="K95" s="37" t="s">
        <v>1265</v>
      </c>
      <c r="L95" s="25" t="s">
        <v>1266</v>
      </c>
      <c r="M95" s="25" t="s">
        <v>1268</v>
      </c>
      <c r="N95" s="25" t="s">
        <v>1271</v>
      </c>
      <c r="O95" s="64"/>
      <c r="P95" s="45" t="b">
        <f t="shared" si="22"/>
        <v>0</v>
      </c>
      <c r="Q95" s="45">
        <f t="shared" si="23"/>
        <v>3</v>
      </c>
      <c r="R95" s="45">
        <f t="shared" si="24"/>
        <v>0</v>
      </c>
      <c r="S95" s="24"/>
      <c r="T95" s="24"/>
      <c r="U95" s="24"/>
      <c r="V95" s="24"/>
      <c r="W95" s="24"/>
      <c r="X95" s="24"/>
      <c r="Y95" s="24"/>
      <c r="Z95" s="24"/>
      <c r="AA95" s="24"/>
      <c r="AB95" s="24"/>
    </row>
    <row r="96" spans="1:28" ht="46.55" customHeight="1">
      <c r="A96" s="66" t="s">
        <v>1085</v>
      </c>
      <c r="B96" s="66" t="s">
        <v>1086</v>
      </c>
      <c r="C96" s="66" t="s">
        <v>1087</v>
      </c>
      <c r="D96" s="66" t="s">
        <v>1277</v>
      </c>
      <c r="E96" s="25" t="s">
        <v>1278</v>
      </c>
      <c r="F96" s="25" t="s">
        <v>1157</v>
      </c>
      <c r="G96" s="25" t="s">
        <v>1091</v>
      </c>
      <c r="H96" s="54"/>
      <c r="I96" s="34" t="s">
        <v>1092</v>
      </c>
      <c r="J96" s="37" t="s">
        <v>112</v>
      </c>
      <c r="K96" s="37" t="s">
        <v>1279</v>
      </c>
      <c r="L96" s="25" t="s">
        <v>1280</v>
      </c>
      <c r="M96" s="25" t="s">
        <v>1282</v>
      </c>
      <c r="N96" s="25" t="s">
        <v>1284</v>
      </c>
      <c r="O96" s="64"/>
      <c r="P96" s="45" t="b">
        <f t="shared" si="22"/>
        <v>0</v>
      </c>
      <c r="Q96" s="45">
        <f t="shared" si="23"/>
        <v>3</v>
      </c>
      <c r="R96" s="45">
        <f t="shared" si="24"/>
        <v>0</v>
      </c>
      <c r="S96" s="24"/>
      <c r="T96" s="24"/>
      <c r="U96" s="24"/>
      <c r="V96" s="24"/>
      <c r="W96" s="24"/>
      <c r="X96" s="24"/>
      <c r="Y96" s="24"/>
      <c r="Z96" s="24"/>
      <c r="AA96" s="24"/>
      <c r="AB96" s="24"/>
    </row>
    <row r="97" spans="1:28" ht="46.55" customHeight="1">
      <c r="A97" s="66" t="s">
        <v>1085</v>
      </c>
      <c r="B97" s="66" t="s">
        <v>1086</v>
      </c>
      <c r="C97" s="66" t="s">
        <v>1087</v>
      </c>
      <c r="D97" s="66" t="s">
        <v>1288</v>
      </c>
      <c r="E97" s="25" t="s">
        <v>1289</v>
      </c>
      <c r="F97" s="25" t="s">
        <v>1157</v>
      </c>
      <c r="G97" s="57" t="str">
        <f>HYPERLINK("https://www.acquisition.gov/content/15404-4-profit","FAR 15.404-4 Profit [proposal analysis].")</f>
        <v>FAR 15.404-4 Profit [proposal analysis].</v>
      </c>
      <c r="H97" s="57" t="str">
        <f>HYPERLINK("https://www.acquisition.gov/sites/default/files/current/gsam/html/Part515.html#wp1858386","GSAR 514.404-4")</f>
        <v>GSAR 514.404-4</v>
      </c>
      <c r="I97" s="34" t="s">
        <v>1092</v>
      </c>
      <c r="J97" s="37" t="s">
        <v>112</v>
      </c>
      <c r="K97" s="37" t="s">
        <v>1300</v>
      </c>
      <c r="L97" s="25" t="s">
        <v>1302</v>
      </c>
      <c r="M97" s="25" t="s">
        <v>1303</v>
      </c>
      <c r="N97" s="25" t="s">
        <v>1304</v>
      </c>
      <c r="O97" s="64"/>
      <c r="P97" s="45" t="b">
        <f t="shared" si="22"/>
        <v>0</v>
      </c>
      <c r="Q97" s="45">
        <f t="shared" si="23"/>
        <v>3</v>
      </c>
      <c r="R97" s="45">
        <f t="shared" si="24"/>
        <v>0</v>
      </c>
      <c r="S97" s="24"/>
      <c r="T97" s="24"/>
      <c r="U97" s="24"/>
      <c r="V97" s="24"/>
      <c r="W97" s="24"/>
      <c r="X97" s="24"/>
      <c r="Y97" s="24"/>
      <c r="Z97" s="24"/>
      <c r="AA97" s="24"/>
      <c r="AB97" s="24"/>
    </row>
    <row r="98" spans="1:28" ht="46.55" customHeight="1">
      <c r="A98" s="66" t="s">
        <v>1085</v>
      </c>
      <c r="B98" s="66" t="s">
        <v>1086</v>
      </c>
      <c r="C98" s="66" t="s">
        <v>1087</v>
      </c>
      <c r="D98" s="66" t="s">
        <v>1306</v>
      </c>
      <c r="E98" s="25" t="s">
        <v>1308</v>
      </c>
      <c r="F98" s="25" t="s">
        <v>1157</v>
      </c>
      <c r="G98" s="25" t="s">
        <v>1091</v>
      </c>
      <c r="H98" s="54"/>
      <c r="I98" s="34" t="s">
        <v>1092</v>
      </c>
      <c r="J98" s="37" t="s">
        <v>112</v>
      </c>
      <c r="K98" s="37" t="s">
        <v>1311</v>
      </c>
      <c r="L98" s="25" t="s">
        <v>1312</v>
      </c>
      <c r="M98" s="25" t="s">
        <v>1313</v>
      </c>
      <c r="N98" s="25" t="s">
        <v>1314</v>
      </c>
      <c r="O98" s="64"/>
      <c r="P98" s="45" t="b">
        <f t="shared" si="22"/>
        <v>0</v>
      </c>
      <c r="Q98" s="45">
        <f t="shared" si="23"/>
        <v>3</v>
      </c>
      <c r="R98" s="45">
        <f t="shared" si="24"/>
        <v>0</v>
      </c>
      <c r="S98" s="24"/>
      <c r="T98" s="24"/>
      <c r="U98" s="24"/>
      <c r="V98" s="24"/>
      <c r="W98" s="24"/>
      <c r="X98" s="24"/>
      <c r="Y98" s="24"/>
      <c r="Z98" s="24"/>
      <c r="AA98" s="24"/>
      <c r="AB98" s="24"/>
    </row>
    <row r="99" spans="1:28" ht="46.55" customHeight="1">
      <c r="A99" s="66" t="s">
        <v>1085</v>
      </c>
      <c r="B99" s="66" t="s">
        <v>1086</v>
      </c>
      <c r="C99" s="66" t="s">
        <v>1087</v>
      </c>
      <c r="D99" s="66" t="s">
        <v>1322</v>
      </c>
      <c r="E99" s="25" t="s">
        <v>1323</v>
      </c>
      <c r="F99" s="25" t="s">
        <v>1157</v>
      </c>
      <c r="G99" s="57" t="str">
        <f>HYPERLINK("https://www.acquisition.gov/content/15404-1-proposal-analysis-techniques","FAR 15.404-1 Proposal analysis techniques")</f>
        <v>FAR 15.404-1 Proposal analysis techniques</v>
      </c>
      <c r="H99" s="54"/>
      <c r="I99" s="34" t="s">
        <v>1092</v>
      </c>
      <c r="J99" s="37" t="s">
        <v>112</v>
      </c>
      <c r="K99" s="37" t="s">
        <v>1334</v>
      </c>
      <c r="L99" s="25" t="s">
        <v>1335</v>
      </c>
      <c r="M99" s="25" t="s">
        <v>1336</v>
      </c>
      <c r="N99" s="25" t="s">
        <v>1337</v>
      </c>
      <c r="O99" s="64"/>
      <c r="P99" s="45" t="b">
        <f t="shared" si="22"/>
        <v>0</v>
      </c>
      <c r="Q99" s="45">
        <f t="shared" si="23"/>
        <v>3</v>
      </c>
      <c r="R99" s="45">
        <f t="shared" si="24"/>
        <v>0</v>
      </c>
      <c r="S99" s="24"/>
      <c r="T99" s="24"/>
      <c r="U99" s="24"/>
      <c r="V99" s="24"/>
      <c r="W99" s="24"/>
      <c r="X99" s="24"/>
      <c r="Y99" s="24"/>
      <c r="Z99" s="24"/>
      <c r="AA99" s="24"/>
      <c r="AB99" s="24"/>
    </row>
    <row r="100" spans="1:28" ht="4.5999999999999996" customHeight="1">
      <c r="A100" s="55"/>
      <c r="B100" s="55"/>
      <c r="C100" s="56"/>
      <c r="D100" s="56"/>
      <c r="E100" s="55"/>
      <c r="F100" s="55"/>
      <c r="G100" s="72"/>
      <c r="H100" s="72"/>
      <c r="I100" s="63"/>
      <c r="J100" s="63"/>
      <c r="K100" s="63"/>
      <c r="L100" s="63"/>
      <c r="M100" s="63"/>
      <c r="N100" s="63"/>
      <c r="O100" s="64"/>
      <c r="P100" s="45"/>
      <c r="Q100" s="45"/>
      <c r="R100" s="45"/>
      <c r="S100" s="24"/>
      <c r="T100" s="24"/>
      <c r="U100" s="24"/>
      <c r="V100" s="24"/>
      <c r="W100" s="24"/>
      <c r="X100" s="24"/>
      <c r="Y100" s="24"/>
      <c r="Z100" s="24"/>
      <c r="AA100" s="24"/>
      <c r="AB100" s="24"/>
    </row>
    <row r="101" spans="1:28" ht="173.9">
      <c r="A101" s="66" t="s">
        <v>1351</v>
      </c>
      <c r="B101" s="66" t="s">
        <v>1352</v>
      </c>
      <c r="C101" s="66" t="s">
        <v>1353</v>
      </c>
      <c r="D101" s="66" t="s">
        <v>1357</v>
      </c>
      <c r="E101" s="25" t="s">
        <v>1358</v>
      </c>
      <c r="F101" s="25" t="s">
        <v>1359</v>
      </c>
      <c r="G101" s="57" t="e">
        <f>HYPERLINK("https://www.acquisition.gov/content/subpart-2210-service-contract-labor-standards#i1096345","FAR 22.1001 Wage determination [definition]. FAR 22.1002 Statutory requirements, [Service Contract Labor Standards]. FAR 22.1003 Applicability [Service Contract Labor Standards]. FAR 22.1007 Requirement to obtain wage determinations [Service Contract Labo"&amp;"r Standards]. FAR 22.1008 Procedures for obtaining wage determinations [Service Contract Labor Standards]. FAR 22.1002-5 Executive Order 13658 ")</f>
        <v>#VALUE!</v>
      </c>
      <c r="H101" s="25"/>
      <c r="I101" s="34"/>
      <c r="J101" s="37" t="s">
        <v>463</v>
      </c>
      <c r="K101" s="37" t="s">
        <v>1368</v>
      </c>
      <c r="L101" s="25" t="s">
        <v>1369</v>
      </c>
      <c r="M101" s="25" t="s">
        <v>1370</v>
      </c>
      <c r="N101" s="25" t="s">
        <v>1371</v>
      </c>
      <c r="O101" s="64"/>
      <c r="P101" s="45" t="b">
        <f t="shared" ref="P101:P154" si="25">IF(AND(O101="Meet the requirements traceability “out of the box”"), 10, IF(AND(O101="Can meet the requirements traceability with configuration or through the use of another commercial product “out of the box” or other arrangement as part of the service offering quoted (i.e. at no additional cost)"), 8, IF(AND(O101="Can meet the requirements traceability with customization at additional cost"), 3, IF(AND(O101="Cannot meet the requirements traceability requirement"), 0))))</f>
        <v>0</v>
      </c>
      <c r="Q101" s="45">
        <f t="shared" ref="Q101:Q154" si="26">IF(J101="Unidentified",0,3)</f>
        <v>0</v>
      </c>
      <c r="R101" s="45">
        <f t="shared" ref="R101:R154" si="27">IF(P101=FALSE,0,IF(P101&gt;4,(P101+Q101),P101))</f>
        <v>0</v>
      </c>
      <c r="S101" s="24"/>
      <c r="T101" s="24"/>
      <c r="U101" s="24"/>
      <c r="V101" s="24"/>
      <c r="W101" s="24"/>
      <c r="X101" s="24"/>
      <c r="Y101" s="24"/>
      <c r="Z101" s="24"/>
      <c r="AA101" s="24"/>
      <c r="AB101" s="24"/>
    </row>
    <row r="102" spans="1:28" ht="163.05000000000001">
      <c r="A102" s="66" t="s">
        <v>1351</v>
      </c>
      <c r="B102" s="66" t="s">
        <v>1352</v>
      </c>
      <c r="C102" s="66" t="s">
        <v>1353</v>
      </c>
      <c r="D102" s="66" t="s">
        <v>1389</v>
      </c>
      <c r="E102" s="25" t="s">
        <v>1390</v>
      </c>
      <c r="F102" s="25" t="s">
        <v>1391</v>
      </c>
      <c r="G102" s="57" t="e">
        <f>HYPERLINK("https://www.acquisition.gov/content/subpart-2210-service-contract-labor-standards#i1096345","FAR 22.1002-3 Wage determinations based on collective bargaining agreements [statutory requirements]. FAR 22.1002-2 Application of the Fair Labor Standards Act minimum wage [statutory requirements]. 22.1008-2 Successorship with incumbent contractor collec"&amp;"tive bargaining agreement [procedures for obtaining wage determinations].")</f>
        <v>#VALUE!</v>
      </c>
      <c r="H102" s="25"/>
      <c r="I102" s="34" t="s">
        <v>673</v>
      </c>
      <c r="J102" s="37" t="s">
        <v>256</v>
      </c>
      <c r="K102" s="37" t="s">
        <v>1398</v>
      </c>
      <c r="L102" s="25" t="s">
        <v>1400</v>
      </c>
      <c r="M102" s="25" t="s">
        <v>1402</v>
      </c>
      <c r="N102" s="25" t="s">
        <v>1403</v>
      </c>
      <c r="O102" s="64"/>
      <c r="P102" s="45" t="b">
        <f t="shared" si="25"/>
        <v>0</v>
      </c>
      <c r="Q102" s="45">
        <f t="shared" si="26"/>
        <v>3</v>
      </c>
      <c r="R102" s="45">
        <f t="shared" si="27"/>
        <v>0</v>
      </c>
      <c r="S102" s="24"/>
      <c r="T102" s="24"/>
      <c r="U102" s="24"/>
      <c r="V102" s="24"/>
      <c r="W102" s="24"/>
      <c r="X102" s="24"/>
      <c r="Y102" s="24"/>
      <c r="Z102" s="24"/>
      <c r="AA102" s="24"/>
      <c r="AB102" s="24"/>
    </row>
    <row r="103" spans="1:28" ht="184.75">
      <c r="A103" s="66" t="s">
        <v>1351</v>
      </c>
      <c r="B103" s="66" t="s">
        <v>1352</v>
      </c>
      <c r="C103" s="66" t="s">
        <v>1353</v>
      </c>
      <c r="D103" s="66" t="s">
        <v>1411</v>
      </c>
      <c r="E103" s="25" t="s">
        <v>1413</v>
      </c>
      <c r="F103" s="25" t="s">
        <v>1414</v>
      </c>
      <c r="G103" s="57" t="e">
        <f>HYPERLINK("https://www.acquisition.gov/content/subpart-2210-service-contract-labor-standards#i1096345","FAR 22.1002-2 Wage determinations based on prevailing rates [statutory requirements]. FAR 22.1002-4 Application of the Fair Labor Standards Act minimum wage [statutory requirements]. FAR 22.1008-1 Obtaining wage determinations [procedures for obtaining wa"&amp;"ge determinations] ")</f>
        <v>#VALUE!</v>
      </c>
      <c r="H103" s="25"/>
      <c r="I103" s="34"/>
      <c r="J103" s="37" t="s">
        <v>463</v>
      </c>
      <c r="K103" s="37" t="s">
        <v>1423</v>
      </c>
      <c r="L103" s="25" t="s">
        <v>1424</v>
      </c>
      <c r="M103" s="25" t="s">
        <v>1428</v>
      </c>
      <c r="N103" s="25" t="s">
        <v>1429</v>
      </c>
      <c r="O103" s="64"/>
      <c r="P103" s="45" t="b">
        <f t="shared" si="25"/>
        <v>0</v>
      </c>
      <c r="Q103" s="45">
        <f t="shared" si="26"/>
        <v>0</v>
      </c>
      <c r="R103" s="45">
        <f t="shared" si="27"/>
        <v>0</v>
      </c>
      <c r="S103" s="24"/>
      <c r="T103" s="24"/>
      <c r="U103" s="24"/>
      <c r="V103" s="24"/>
      <c r="W103" s="24"/>
      <c r="X103" s="24"/>
      <c r="Y103" s="24"/>
      <c r="Z103" s="24"/>
      <c r="AA103" s="24"/>
      <c r="AB103" s="24"/>
    </row>
    <row r="104" spans="1:28" ht="130.44999999999999">
      <c r="A104" s="66" t="s">
        <v>1351</v>
      </c>
      <c r="B104" s="66" t="s">
        <v>1352</v>
      </c>
      <c r="C104" s="66" t="s">
        <v>1353</v>
      </c>
      <c r="D104" s="66" t="s">
        <v>1433</v>
      </c>
      <c r="E104" s="25" t="s">
        <v>1434</v>
      </c>
      <c r="F104" s="25" t="s">
        <v>1435</v>
      </c>
      <c r="G104" s="57" t="str">
        <f>HYPERLINK("https://www.acquisition.gov/content/221008-procedures-obtaining-wage-determinations","FAR 22.1008-1 Obtaining wage determinations [procedures wage determinations].")</f>
        <v>FAR 22.1008-1 Obtaining wage determinations [procedures wage determinations].</v>
      </c>
      <c r="H104" s="25"/>
      <c r="I104" s="34"/>
      <c r="J104" s="37" t="s">
        <v>463</v>
      </c>
      <c r="K104" s="75" t="s">
        <v>1368</v>
      </c>
      <c r="L104" s="25" t="s">
        <v>1439</v>
      </c>
      <c r="M104" s="25" t="s">
        <v>1440</v>
      </c>
      <c r="N104" s="25" t="s">
        <v>1441</v>
      </c>
      <c r="O104" s="64"/>
      <c r="P104" s="45" t="b">
        <f t="shared" si="25"/>
        <v>0</v>
      </c>
      <c r="Q104" s="45">
        <f t="shared" si="26"/>
        <v>0</v>
      </c>
      <c r="R104" s="45">
        <f t="shared" si="27"/>
        <v>0</v>
      </c>
      <c r="S104" s="24"/>
      <c r="T104" s="24"/>
      <c r="U104" s="24"/>
      <c r="V104" s="24"/>
      <c r="W104" s="24"/>
      <c r="X104" s="24"/>
      <c r="Y104" s="24"/>
      <c r="Z104" s="24"/>
      <c r="AA104" s="24"/>
      <c r="AB104" s="24"/>
    </row>
    <row r="105" spans="1:28" ht="152.15">
      <c r="A105" s="66" t="s">
        <v>1351</v>
      </c>
      <c r="B105" s="66" t="s">
        <v>1352</v>
      </c>
      <c r="C105" s="66" t="s">
        <v>1353</v>
      </c>
      <c r="D105" s="66" t="s">
        <v>1446</v>
      </c>
      <c r="E105" s="25" t="s">
        <v>1447</v>
      </c>
      <c r="F105" s="25" t="s">
        <v>1448</v>
      </c>
      <c r="G105" s="57" t="str">
        <f>HYPERLINK("https://www.acquisition.gov/content/221006-solicitation-provisions-and-contract-clauses","FAR 22.1006 Solicitation provisions and contract clauses [Service Contract Labor Standards]")</f>
        <v>FAR 22.1006 Solicitation provisions and contract clauses [Service Contract Labor Standards]</v>
      </c>
      <c r="H105" s="25"/>
      <c r="I105" s="34"/>
      <c r="J105" s="37" t="s">
        <v>463</v>
      </c>
      <c r="K105" s="37" t="s">
        <v>1454</v>
      </c>
      <c r="L105" s="25" t="s">
        <v>1455</v>
      </c>
      <c r="M105" s="25" t="s">
        <v>1456</v>
      </c>
      <c r="N105" s="25" t="s">
        <v>1457</v>
      </c>
      <c r="O105" s="64"/>
      <c r="P105" s="45" t="b">
        <f t="shared" si="25"/>
        <v>0</v>
      </c>
      <c r="Q105" s="45">
        <f t="shared" si="26"/>
        <v>0</v>
      </c>
      <c r="R105" s="45">
        <f t="shared" si="27"/>
        <v>0</v>
      </c>
      <c r="S105" s="24"/>
      <c r="T105" s="24"/>
      <c r="U105" s="24"/>
      <c r="V105" s="24"/>
      <c r="W105" s="24"/>
      <c r="X105" s="24"/>
      <c r="Y105" s="24"/>
      <c r="Z105" s="24"/>
      <c r="AA105" s="24"/>
      <c r="AB105" s="24"/>
    </row>
    <row r="106" spans="1:28" ht="130.44999999999999">
      <c r="A106" s="66" t="s">
        <v>1351</v>
      </c>
      <c r="B106" s="66" t="s">
        <v>1352</v>
      </c>
      <c r="C106" s="66" t="s">
        <v>1353</v>
      </c>
      <c r="D106" s="66" t="s">
        <v>1461</v>
      </c>
      <c r="E106" s="25" t="s">
        <v>1462</v>
      </c>
      <c r="F106" s="25" t="s">
        <v>1414</v>
      </c>
      <c r="G106" s="57" t="e">
        <f>HYPERLINK("https://www.acquisition.gov/content/subpart-2210-service-contract-labor-standards#i1096345","FAR 22.1002-3 Wage determinations based on collective bargaining agreements [statutory requirements]. FAR 22.1002-2 Application of the Fair Labor Standards Act minimum wage [statutory requirements]. 22.1008-2 Successorship with incumbent contractor collec"&amp;"tive bargaining agreement [procedures for obtaining wage determinations].")</f>
        <v>#VALUE!</v>
      </c>
      <c r="H106" s="25"/>
      <c r="I106" s="34" t="s">
        <v>1471</v>
      </c>
      <c r="J106" s="37" t="s">
        <v>1473</v>
      </c>
      <c r="K106" s="37" t="s">
        <v>1475</v>
      </c>
      <c r="L106" s="25" t="s">
        <v>1476</v>
      </c>
      <c r="M106" s="25" t="s">
        <v>1477</v>
      </c>
      <c r="N106" s="25" t="s">
        <v>1478</v>
      </c>
      <c r="O106" s="64"/>
      <c r="P106" s="45" t="b">
        <f t="shared" si="25"/>
        <v>0</v>
      </c>
      <c r="Q106" s="45">
        <f t="shared" si="26"/>
        <v>3</v>
      </c>
      <c r="R106" s="45">
        <f t="shared" si="27"/>
        <v>0</v>
      </c>
      <c r="S106" s="24"/>
      <c r="T106" s="24"/>
      <c r="U106" s="24"/>
      <c r="V106" s="24"/>
      <c r="W106" s="24"/>
      <c r="X106" s="24"/>
      <c r="Y106" s="24"/>
      <c r="Z106" s="24"/>
      <c r="AA106" s="24"/>
      <c r="AB106" s="24"/>
    </row>
    <row r="107" spans="1:28" ht="119.55">
      <c r="A107" s="66" t="s">
        <v>1351</v>
      </c>
      <c r="B107" s="66" t="s">
        <v>1352</v>
      </c>
      <c r="C107" s="66" t="s">
        <v>1353</v>
      </c>
      <c r="D107" s="66" t="s">
        <v>1483</v>
      </c>
      <c r="E107" s="25" t="s">
        <v>1485</v>
      </c>
      <c r="F107" s="25" t="s">
        <v>1486</v>
      </c>
      <c r="G107" s="57" t="str">
        <f>HYPERLINK("https://www.acquisition.gov/content/221010-notification-interested-parties-under-collective-bargaining-agreements","FAR 22.1010 Notification to interested parties under collective bargaining agreements [Service Contract Labor Standards].")</f>
        <v>FAR 22.1010 Notification to interested parties under collective bargaining agreements [Service Contract Labor Standards].</v>
      </c>
      <c r="H107" s="25"/>
      <c r="I107" s="34"/>
      <c r="J107" s="37" t="s">
        <v>463</v>
      </c>
      <c r="K107" s="37" t="s">
        <v>1496</v>
      </c>
      <c r="L107" s="25" t="s">
        <v>1497</v>
      </c>
      <c r="M107" s="25" t="s">
        <v>1498</v>
      </c>
      <c r="N107" s="25" t="s">
        <v>1478</v>
      </c>
      <c r="O107" s="64"/>
      <c r="P107" s="45" t="b">
        <f t="shared" si="25"/>
        <v>0</v>
      </c>
      <c r="Q107" s="45">
        <f t="shared" si="26"/>
        <v>0</v>
      </c>
      <c r="R107" s="45">
        <f t="shared" si="27"/>
        <v>0</v>
      </c>
      <c r="S107" s="24"/>
      <c r="T107" s="24"/>
      <c r="U107" s="24"/>
      <c r="V107" s="24"/>
      <c r="W107" s="24"/>
      <c r="X107" s="24"/>
      <c r="Y107" s="24"/>
      <c r="Z107" s="24"/>
      <c r="AA107" s="24"/>
      <c r="AB107" s="24"/>
    </row>
    <row r="108" spans="1:28" ht="108.7">
      <c r="A108" s="66" t="s">
        <v>1351</v>
      </c>
      <c r="B108" s="66" t="s">
        <v>1352</v>
      </c>
      <c r="C108" s="66" t="s">
        <v>1353</v>
      </c>
      <c r="D108" s="66" t="s">
        <v>1506</v>
      </c>
      <c r="E108" s="25" t="s">
        <v>1508</v>
      </c>
      <c r="F108" s="25" t="s">
        <v>1510</v>
      </c>
      <c r="G108" s="57" t="str">
        <f>HYPERLINK("https://www.acquisition.gov/content/221008-2-successorship-incumbent-contractor-collective-bargaining-agreement","FAR 22.1008-2(d)(1) Successorship with incumbent contractor collective bargaining agreement [procedures for obtaining wage determinations].")</f>
        <v>FAR 22.1008-2(d)(1) Successorship with incumbent contractor collective bargaining agreement [procedures for obtaining wage determinations].</v>
      </c>
      <c r="H108" s="25"/>
      <c r="I108" s="34"/>
      <c r="J108" s="37" t="s">
        <v>463</v>
      </c>
      <c r="K108" s="37" t="s">
        <v>1518</v>
      </c>
      <c r="L108" s="25" t="s">
        <v>1519</v>
      </c>
      <c r="M108" s="25" t="s">
        <v>1520</v>
      </c>
      <c r="N108" s="25" t="s">
        <v>1521</v>
      </c>
      <c r="O108" s="64"/>
      <c r="P108" s="45" t="b">
        <f t="shared" si="25"/>
        <v>0</v>
      </c>
      <c r="Q108" s="45">
        <f t="shared" si="26"/>
        <v>0</v>
      </c>
      <c r="R108" s="45">
        <f t="shared" si="27"/>
        <v>0</v>
      </c>
      <c r="S108" s="24"/>
      <c r="T108" s="24"/>
      <c r="U108" s="24"/>
      <c r="V108" s="24"/>
      <c r="W108" s="24"/>
      <c r="X108" s="24"/>
      <c r="Y108" s="24"/>
      <c r="Z108" s="24"/>
      <c r="AA108" s="24"/>
      <c r="AB108" s="24"/>
    </row>
    <row r="109" spans="1:28" ht="141.30000000000001">
      <c r="A109" s="66" t="s">
        <v>1351</v>
      </c>
      <c r="B109" s="66" t="s">
        <v>1352</v>
      </c>
      <c r="C109" s="66" t="s">
        <v>1353</v>
      </c>
      <c r="D109" s="66" t="s">
        <v>1530</v>
      </c>
      <c r="E109" s="25" t="s">
        <v>1531</v>
      </c>
      <c r="F109" s="25" t="s">
        <v>1532</v>
      </c>
      <c r="G109" s="57" t="str">
        <f>HYPERLINK("https://www.acquisition.gov/content/221008-2-successorship-incumbent-contractor-collective-bargaining-agreement","FAR 22.1008-2(d)(2) Successorship with incumbent contractor collective bargaining agreement [procedures for obtaining wage determinations].")</f>
        <v>FAR 22.1008-2(d)(2) Successorship with incumbent contractor collective bargaining agreement [procedures for obtaining wage determinations].</v>
      </c>
      <c r="H109" s="25"/>
      <c r="I109" s="34"/>
      <c r="J109" s="37" t="s">
        <v>463</v>
      </c>
      <c r="K109" s="37" t="s">
        <v>1423</v>
      </c>
      <c r="L109" s="25" t="s">
        <v>1540</v>
      </c>
      <c r="M109" s="25" t="s">
        <v>1541</v>
      </c>
      <c r="N109" s="25" t="s">
        <v>1542</v>
      </c>
      <c r="O109" s="64"/>
      <c r="P109" s="45" t="b">
        <f t="shared" si="25"/>
        <v>0</v>
      </c>
      <c r="Q109" s="45">
        <f t="shared" si="26"/>
        <v>0</v>
      </c>
      <c r="R109" s="45">
        <f t="shared" si="27"/>
        <v>0</v>
      </c>
      <c r="S109" s="24"/>
      <c r="T109" s="24"/>
      <c r="U109" s="24"/>
      <c r="V109" s="24"/>
      <c r="W109" s="24"/>
      <c r="X109" s="24"/>
      <c r="Y109" s="24"/>
      <c r="Z109" s="24"/>
      <c r="AA109" s="24"/>
      <c r="AB109" s="24"/>
    </row>
    <row r="110" spans="1:28" ht="108.7">
      <c r="A110" s="66" t="s">
        <v>1351</v>
      </c>
      <c r="B110" s="66" t="s">
        <v>1352</v>
      </c>
      <c r="C110" s="66" t="s">
        <v>1353</v>
      </c>
      <c r="D110" s="66" t="s">
        <v>1543</v>
      </c>
      <c r="E110" s="25" t="s">
        <v>1545</v>
      </c>
      <c r="F110" s="25" t="s">
        <v>1448</v>
      </c>
      <c r="G110" s="57" t="str">
        <f>HYPERLINK("https://www.acquisition.gov/content/221008-2-successorship-incumbent-contractor-collective-bargaining-agreement","FAR 22.1008-2(d)(3) Successorship with incumbent contractor collective bargaining agreement [procedures for obtaining wage determinations].")</f>
        <v>FAR 22.1008-2(d)(3) Successorship with incumbent contractor collective bargaining agreement [procedures for obtaining wage determinations].</v>
      </c>
      <c r="H110" s="25"/>
      <c r="I110" s="34"/>
      <c r="J110" s="37" t="s">
        <v>463</v>
      </c>
      <c r="K110" s="75" t="s">
        <v>1368</v>
      </c>
      <c r="L110" s="25" t="s">
        <v>1555</v>
      </c>
      <c r="M110" s="25" t="s">
        <v>1440</v>
      </c>
      <c r="N110" s="25" t="s">
        <v>1558</v>
      </c>
      <c r="O110" s="64"/>
      <c r="P110" s="45" t="b">
        <f t="shared" si="25"/>
        <v>0</v>
      </c>
      <c r="Q110" s="45">
        <f t="shared" si="26"/>
        <v>0</v>
      </c>
      <c r="R110" s="45">
        <f t="shared" si="27"/>
        <v>0</v>
      </c>
      <c r="S110" s="24"/>
      <c r="T110" s="24"/>
      <c r="U110" s="24"/>
      <c r="V110" s="24"/>
      <c r="W110" s="24"/>
      <c r="X110" s="24"/>
      <c r="Y110" s="24"/>
      <c r="Z110" s="24"/>
      <c r="AA110" s="24"/>
      <c r="AB110" s="24"/>
    </row>
    <row r="111" spans="1:28" ht="97.85">
      <c r="A111" s="66" t="s">
        <v>1351</v>
      </c>
      <c r="B111" s="66" t="s">
        <v>1352</v>
      </c>
      <c r="C111" s="66" t="s">
        <v>1353</v>
      </c>
      <c r="D111" s="66" t="s">
        <v>1559</v>
      </c>
      <c r="E111" s="25" t="s">
        <v>1561</v>
      </c>
      <c r="F111" s="25" t="s">
        <v>1563</v>
      </c>
      <c r="G111" s="57" t="str">
        <f>HYPERLINK("https://www.acquisition.gov/content/221012-applicability-revisions-wage-determinations","FAR 22.1012 Applicability of revision to wage determinations [Service Contract Labor Standards].")</f>
        <v>FAR 22.1012 Applicability of revision to wage determinations [Service Contract Labor Standards].</v>
      </c>
      <c r="H111" s="25"/>
      <c r="I111" s="34" t="s">
        <v>1565</v>
      </c>
      <c r="J111" s="37" t="s">
        <v>1566</v>
      </c>
      <c r="K111" s="37" t="s">
        <v>1454</v>
      </c>
      <c r="L111" s="25" t="s">
        <v>1567</v>
      </c>
      <c r="M111" s="25" t="s">
        <v>1568</v>
      </c>
      <c r="N111" s="25" t="s">
        <v>1569</v>
      </c>
      <c r="O111" s="64"/>
      <c r="P111" s="45" t="b">
        <f t="shared" si="25"/>
        <v>0</v>
      </c>
      <c r="Q111" s="45">
        <f t="shared" si="26"/>
        <v>3</v>
      </c>
      <c r="R111" s="45">
        <f t="shared" si="27"/>
        <v>0</v>
      </c>
      <c r="S111" s="24"/>
      <c r="T111" s="24"/>
      <c r="U111" s="24"/>
      <c r="V111" s="24"/>
      <c r="W111" s="24"/>
      <c r="X111" s="24"/>
      <c r="Y111" s="24"/>
      <c r="Z111" s="24"/>
      <c r="AA111" s="24"/>
      <c r="AB111" s="24"/>
    </row>
    <row r="112" spans="1:28" ht="141.30000000000001">
      <c r="A112" s="66" t="s">
        <v>1351</v>
      </c>
      <c r="B112" s="66" t="s">
        <v>1352</v>
      </c>
      <c r="C112" s="66" t="s">
        <v>1353</v>
      </c>
      <c r="D112" s="66" t="s">
        <v>1573</v>
      </c>
      <c r="E112" s="25" t="s">
        <v>1574</v>
      </c>
      <c r="F112" s="25" t="s">
        <v>1575</v>
      </c>
      <c r="G112" s="57" t="str">
        <f>HYPERLINK("https://www.acquisition.gov/content/221014-delay-over-60-days-bid-opening-or-commencement-work","FAR 22.1014 Delay over 60 days in bid opening or commencement of work [Service Contract Labor Standards].")</f>
        <v>FAR 22.1014 Delay over 60 days in bid opening or commencement of work [Service Contract Labor Standards].</v>
      </c>
      <c r="H112" s="25"/>
      <c r="I112" s="34"/>
      <c r="J112" s="37" t="s">
        <v>463</v>
      </c>
      <c r="K112" s="75" t="s">
        <v>1368</v>
      </c>
      <c r="L112" s="25" t="s">
        <v>1580</v>
      </c>
      <c r="M112" s="25" t="s">
        <v>1440</v>
      </c>
      <c r="N112" s="25" t="s">
        <v>1583</v>
      </c>
      <c r="O112" s="64"/>
      <c r="P112" s="45" t="b">
        <f t="shared" si="25"/>
        <v>0</v>
      </c>
      <c r="Q112" s="45">
        <f t="shared" si="26"/>
        <v>0</v>
      </c>
      <c r="R112" s="45">
        <f t="shared" si="27"/>
        <v>0</v>
      </c>
      <c r="S112" s="24"/>
      <c r="T112" s="24"/>
      <c r="U112" s="24"/>
      <c r="V112" s="24"/>
      <c r="W112" s="24"/>
      <c r="X112" s="24"/>
      <c r="Y112" s="24"/>
      <c r="Z112" s="24"/>
      <c r="AA112" s="24"/>
      <c r="AB112" s="24"/>
    </row>
    <row r="113" spans="1:28" ht="184.75">
      <c r="A113" s="26" t="s">
        <v>1351</v>
      </c>
      <c r="B113" s="26" t="s">
        <v>1352</v>
      </c>
      <c r="C113" s="26" t="s">
        <v>1353</v>
      </c>
      <c r="D113" s="26" t="s">
        <v>1591</v>
      </c>
      <c r="E113" s="25" t="s">
        <v>1593</v>
      </c>
      <c r="F113" s="25" t="s">
        <v>1595</v>
      </c>
      <c r="G113" s="57" t="str">
        <f>HYPERLINK("https://www.acquisition.gov/content/8005-contract-clause#i1118251","FAR 8.005 Contract clause [required sources of supplies and services]. ")</f>
        <v xml:space="preserve">FAR 8.005 Contract clause [required sources of supplies and services]. </v>
      </c>
      <c r="H113" s="25"/>
      <c r="I113" s="34" t="s">
        <v>1603</v>
      </c>
      <c r="J113" s="37" t="s">
        <v>203</v>
      </c>
      <c r="K113" s="37" t="s">
        <v>1475</v>
      </c>
      <c r="L113" s="25" t="s">
        <v>1604</v>
      </c>
      <c r="M113" s="25" t="s">
        <v>1605</v>
      </c>
      <c r="N113" s="25" t="s">
        <v>1606</v>
      </c>
      <c r="O113" s="64"/>
      <c r="P113" s="45" t="b">
        <f t="shared" si="25"/>
        <v>0</v>
      </c>
      <c r="Q113" s="45">
        <f t="shared" si="26"/>
        <v>3</v>
      </c>
      <c r="R113" s="45">
        <f t="shared" si="27"/>
        <v>0</v>
      </c>
      <c r="S113" s="24"/>
      <c r="T113" s="24"/>
      <c r="U113" s="24"/>
      <c r="V113" s="24"/>
      <c r="W113" s="24"/>
      <c r="X113" s="24"/>
      <c r="Y113" s="24"/>
      <c r="Z113" s="24"/>
      <c r="AA113" s="24"/>
      <c r="AB113" s="24"/>
    </row>
    <row r="114" spans="1:28" ht="217.4">
      <c r="A114" s="26" t="s">
        <v>1351</v>
      </c>
      <c r="B114" s="26" t="s">
        <v>1352</v>
      </c>
      <c r="C114" s="26" t="s">
        <v>1353</v>
      </c>
      <c r="D114" s="66" t="s">
        <v>179</v>
      </c>
      <c r="E114" s="85" t="s">
        <v>1612</v>
      </c>
      <c r="F114" s="85" t="s">
        <v>1613</v>
      </c>
      <c r="G114" s="86" t="str">
        <f>HYPERLINK("https://www.acquisition.gov/content/part-24-protection-privacy-and-freedom-information#id1617MD070BQ","FAR 24.203 and Department of Justice website")</f>
        <v>FAR 24.203 and Department of Justice website</v>
      </c>
      <c r="H114" s="57" t="str">
        <f>HYPERLINK("https://www.acquisition.gov/content/part-524-protection-privacy-and-freedom-information#CKJXDNCH","GSAM 524.203")</f>
        <v>GSAM 524.203</v>
      </c>
      <c r="I114" s="34" t="s">
        <v>1622</v>
      </c>
      <c r="J114" s="37" t="s">
        <v>203</v>
      </c>
      <c r="K114" s="37"/>
      <c r="L114" s="25" t="s">
        <v>1624</v>
      </c>
      <c r="M114" s="25" t="s">
        <v>1625</v>
      </c>
      <c r="N114" s="25" t="s">
        <v>1626</v>
      </c>
      <c r="O114" s="64"/>
      <c r="P114" s="45" t="b">
        <f t="shared" si="25"/>
        <v>0</v>
      </c>
      <c r="Q114" s="45">
        <f t="shared" si="26"/>
        <v>3</v>
      </c>
      <c r="R114" s="45">
        <f t="shared" si="27"/>
        <v>0</v>
      </c>
      <c r="S114" s="24"/>
      <c r="T114" s="24"/>
      <c r="U114" s="24"/>
      <c r="V114" s="24"/>
      <c r="W114" s="24"/>
      <c r="X114" s="24"/>
      <c r="Y114" s="24"/>
      <c r="Z114" s="24"/>
      <c r="AA114" s="24"/>
      <c r="AB114" s="24"/>
    </row>
    <row r="115" spans="1:28" ht="163.05000000000001">
      <c r="A115" s="66" t="s">
        <v>1351</v>
      </c>
      <c r="B115" s="66" t="s">
        <v>1352</v>
      </c>
      <c r="C115" s="66" t="s">
        <v>1353</v>
      </c>
      <c r="D115" s="66" t="s">
        <v>1633</v>
      </c>
      <c r="E115" s="85" t="s">
        <v>1634</v>
      </c>
      <c r="F115" s="85" t="s">
        <v>1635</v>
      </c>
      <c r="G115" s="86" t="str">
        <f>HYPERLINK("https://www.acquisition.gov/content/subpart-167-agreements#i1103566","FAR 16.702(b) Application [basic agreements]. FAR 16.703(b) Application [basic ordering agreements].")</f>
        <v>FAR 16.702(b) Application [basic agreements]. FAR 16.703(b) Application [basic ordering agreements].</v>
      </c>
      <c r="H115" s="25"/>
      <c r="I115" s="34" t="s">
        <v>1471</v>
      </c>
      <c r="J115" s="37" t="s">
        <v>1473</v>
      </c>
      <c r="K115" s="37" t="s">
        <v>1496</v>
      </c>
      <c r="L115" s="25" t="s">
        <v>1643</v>
      </c>
      <c r="M115" s="25" t="s">
        <v>1644</v>
      </c>
      <c r="N115" s="25" t="s">
        <v>1645</v>
      </c>
      <c r="O115" s="64"/>
      <c r="P115" s="45" t="b">
        <f t="shared" si="25"/>
        <v>0</v>
      </c>
      <c r="Q115" s="45">
        <f t="shared" si="26"/>
        <v>3</v>
      </c>
      <c r="R115" s="45">
        <f t="shared" si="27"/>
        <v>0</v>
      </c>
      <c r="S115" s="24"/>
      <c r="T115" s="24"/>
      <c r="U115" s="24"/>
      <c r="V115" s="24"/>
      <c r="W115" s="24"/>
      <c r="X115" s="24"/>
      <c r="Y115" s="24"/>
      <c r="Z115" s="24"/>
      <c r="AA115" s="24"/>
      <c r="AB115" s="24"/>
    </row>
    <row r="116" spans="1:28" ht="119.55">
      <c r="A116" s="66" t="s">
        <v>1351</v>
      </c>
      <c r="B116" s="66" t="s">
        <v>1352</v>
      </c>
      <c r="C116" s="66" t="s">
        <v>1353</v>
      </c>
      <c r="D116" s="66" t="s">
        <v>1651</v>
      </c>
      <c r="E116" s="85" t="s">
        <v>1652</v>
      </c>
      <c r="F116" s="85" t="s">
        <v>1653</v>
      </c>
      <c r="G116" s="86" t="str">
        <f>HYPERLINK("https://www.acquisition.gov/content/subpart-167-agreements#i1103566","FAR 16.702(d) Contracts incorporating basic agreements [basic agreements].")</f>
        <v>FAR 16.702(d) Contracts incorporating basic agreements [basic agreements].</v>
      </c>
      <c r="H116" s="25"/>
      <c r="I116" s="34" t="s">
        <v>1471</v>
      </c>
      <c r="J116" s="37" t="s">
        <v>1473</v>
      </c>
      <c r="K116" s="37" t="s">
        <v>1518</v>
      </c>
      <c r="L116" s="25" t="s">
        <v>1655</v>
      </c>
      <c r="M116" s="25" t="s">
        <v>1656</v>
      </c>
      <c r="N116" s="25" t="s">
        <v>1657</v>
      </c>
      <c r="O116" s="64"/>
      <c r="P116" s="45" t="b">
        <f t="shared" si="25"/>
        <v>0</v>
      </c>
      <c r="Q116" s="45">
        <f t="shared" si="26"/>
        <v>3</v>
      </c>
      <c r="R116" s="45">
        <f t="shared" si="27"/>
        <v>0</v>
      </c>
      <c r="S116" s="24"/>
      <c r="T116" s="24"/>
      <c r="U116" s="24"/>
      <c r="V116" s="24"/>
      <c r="W116" s="24"/>
      <c r="X116" s="24"/>
      <c r="Y116" s="24"/>
      <c r="Z116" s="24"/>
      <c r="AA116" s="24"/>
      <c r="AB116" s="24"/>
    </row>
    <row r="117" spans="1:28" ht="173.9">
      <c r="A117" s="66" t="s">
        <v>1351</v>
      </c>
      <c r="B117" s="66" t="s">
        <v>1352</v>
      </c>
      <c r="C117" s="66" t="s">
        <v>1353</v>
      </c>
      <c r="D117" s="66" t="s">
        <v>1659</v>
      </c>
      <c r="E117" s="85" t="s">
        <v>1660</v>
      </c>
      <c r="F117" s="85" t="s">
        <v>1661</v>
      </c>
      <c r="G117" s="86" t="str">
        <f>HYPERLINK("https://www.acquisition.gov/browse/index/far","FAR 16.703(c) Limitations [basic ordering agreements]. FAR 13.303-3 Preparation of BPAs. FAR 13.303-4 Clauses [blanket purchase agreements (BPAs)].")</f>
        <v>FAR 16.703(c) Limitations [basic ordering agreements]. FAR 13.303-3 Preparation of BPAs. FAR 13.303-4 Clauses [blanket purchase agreements (BPAs)].</v>
      </c>
      <c r="H117" s="25"/>
      <c r="I117" s="109" t="s">
        <v>1471</v>
      </c>
      <c r="J117" s="37" t="s">
        <v>1473</v>
      </c>
      <c r="K117" s="37" t="s">
        <v>1671</v>
      </c>
      <c r="L117" s="25" t="s">
        <v>1672</v>
      </c>
      <c r="M117" s="25" t="s">
        <v>1673</v>
      </c>
      <c r="N117" s="25" t="s">
        <v>1674</v>
      </c>
      <c r="O117" s="64"/>
      <c r="P117" s="45" t="b">
        <f t="shared" si="25"/>
        <v>0</v>
      </c>
      <c r="Q117" s="45">
        <f t="shared" si="26"/>
        <v>3</v>
      </c>
      <c r="R117" s="45">
        <f t="shared" si="27"/>
        <v>0</v>
      </c>
      <c r="S117" s="24"/>
      <c r="T117" s="24"/>
      <c r="U117" s="24"/>
      <c r="V117" s="24"/>
      <c r="W117" s="24"/>
      <c r="X117" s="24"/>
      <c r="Y117" s="24"/>
      <c r="Z117" s="24"/>
      <c r="AA117" s="24"/>
      <c r="AB117" s="24"/>
    </row>
    <row r="118" spans="1:28" ht="119.55">
      <c r="A118" s="66" t="s">
        <v>1351</v>
      </c>
      <c r="B118" s="66" t="s">
        <v>1352</v>
      </c>
      <c r="C118" s="66" t="s">
        <v>1353</v>
      </c>
      <c r="D118" s="66" t="s">
        <v>1678</v>
      </c>
      <c r="E118" s="25" t="s">
        <v>1679</v>
      </c>
      <c r="F118" s="85" t="s">
        <v>932</v>
      </c>
      <c r="G118" s="86" t="str">
        <f>HYPERLINK("https://www.acquisition.gov/content/subpart-167-agreements#i1103566","FAR 16.702(b) Application [basic agreements]. FAR 16.703(b) Application [basic ordering agreements].")</f>
        <v>FAR 16.702(b) Application [basic agreements]. FAR 16.703(b) Application [basic ordering agreements].</v>
      </c>
      <c r="H118" s="103"/>
      <c r="I118" s="34"/>
      <c r="J118" s="37" t="s">
        <v>463</v>
      </c>
      <c r="K118" s="37" t="s">
        <v>1683</v>
      </c>
      <c r="L118" s="25" t="s">
        <v>1684</v>
      </c>
      <c r="M118" s="25" t="s">
        <v>1685</v>
      </c>
      <c r="N118" s="25" t="s">
        <v>1686</v>
      </c>
      <c r="O118" s="64"/>
      <c r="P118" s="45" t="b">
        <f t="shared" si="25"/>
        <v>0</v>
      </c>
      <c r="Q118" s="45">
        <f t="shared" si="26"/>
        <v>0</v>
      </c>
      <c r="R118" s="45">
        <f t="shared" si="27"/>
        <v>0</v>
      </c>
      <c r="S118" s="24"/>
      <c r="T118" s="24"/>
      <c r="U118" s="24"/>
      <c r="V118" s="24"/>
      <c r="W118" s="24"/>
      <c r="X118" s="24"/>
      <c r="Y118" s="24"/>
      <c r="Z118" s="24"/>
      <c r="AA118" s="24"/>
      <c r="AB118" s="24"/>
    </row>
    <row r="119" spans="1:28" ht="119.55">
      <c r="A119" s="66" t="s">
        <v>1351</v>
      </c>
      <c r="B119" s="66" t="s">
        <v>1352</v>
      </c>
      <c r="C119" s="66" t="s">
        <v>1353</v>
      </c>
      <c r="D119" s="66" t="s">
        <v>1692</v>
      </c>
      <c r="E119" s="85" t="s">
        <v>1693</v>
      </c>
      <c r="F119" s="85" t="s">
        <v>1694</v>
      </c>
      <c r="G119" s="86" t="str">
        <f>HYPERLINK("https://www.acquisition.gov/content/16703-basic-ordering-agreements","FAR 16.703(d)(1)(i) Orders [basic ordering agreements].")</f>
        <v>FAR 16.703(d)(1)(i) Orders [basic ordering agreements].</v>
      </c>
      <c r="H119" s="25"/>
      <c r="I119" s="34"/>
      <c r="J119" s="37" t="s">
        <v>463</v>
      </c>
      <c r="K119" s="37" t="s">
        <v>1698</v>
      </c>
      <c r="L119" s="25" t="s">
        <v>1699</v>
      </c>
      <c r="M119" s="25" t="s">
        <v>1701</v>
      </c>
      <c r="N119" s="25" t="s">
        <v>1703</v>
      </c>
      <c r="O119" s="64"/>
      <c r="P119" s="45" t="b">
        <f t="shared" si="25"/>
        <v>0</v>
      </c>
      <c r="Q119" s="45">
        <f t="shared" si="26"/>
        <v>0</v>
      </c>
      <c r="R119" s="45">
        <f t="shared" si="27"/>
        <v>0</v>
      </c>
      <c r="S119" s="24"/>
      <c r="T119" s="24"/>
      <c r="U119" s="24"/>
      <c r="V119" s="24"/>
      <c r="W119" s="24"/>
      <c r="X119" s="24"/>
      <c r="Y119" s="24"/>
      <c r="Z119" s="24"/>
      <c r="AA119" s="24"/>
      <c r="AB119" s="24"/>
    </row>
    <row r="120" spans="1:28" ht="108.7">
      <c r="A120" s="66" t="s">
        <v>1351</v>
      </c>
      <c r="B120" s="66" t="s">
        <v>1352</v>
      </c>
      <c r="C120" s="66" t="s">
        <v>1353</v>
      </c>
      <c r="D120" s="66" t="s">
        <v>1708</v>
      </c>
      <c r="E120" s="25" t="s">
        <v>1709</v>
      </c>
      <c r="F120" s="25" t="s">
        <v>1710</v>
      </c>
      <c r="G120" s="57" t="str">
        <f>HYPERLINK("https://www.acquisition.gov/content/19804-2-agency-offering#i1099900","FAR 19.804-2 Agency offering. ")</f>
        <v xml:space="preserve">FAR 19.804-2 Agency offering. </v>
      </c>
      <c r="H120" s="25"/>
      <c r="I120" s="34"/>
      <c r="J120" s="37" t="s">
        <v>463</v>
      </c>
      <c r="K120" s="37" t="s">
        <v>1716</v>
      </c>
      <c r="L120" s="25" t="s">
        <v>1717</v>
      </c>
      <c r="M120" s="25" t="s">
        <v>1718</v>
      </c>
      <c r="N120" s="25" t="s">
        <v>1719</v>
      </c>
      <c r="O120" s="64"/>
      <c r="P120" s="45" t="b">
        <f t="shared" si="25"/>
        <v>0</v>
      </c>
      <c r="Q120" s="45">
        <f t="shared" si="26"/>
        <v>0</v>
      </c>
      <c r="R120" s="45">
        <f t="shared" si="27"/>
        <v>0</v>
      </c>
      <c r="S120" s="24"/>
      <c r="T120" s="24"/>
      <c r="U120" s="24"/>
      <c r="V120" s="24"/>
      <c r="W120" s="24"/>
      <c r="X120" s="24"/>
      <c r="Y120" s="24"/>
      <c r="Z120" s="24"/>
      <c r="AA120" s="24"/>
      <c r="AB120" s="24"/>
    </row>
    <row r="121" spans="1:28" ht="97.85">
      <c r="A121" s="66" t="s">
        <v>1351</v>
      </c>
      <c r="B121" s="66" t="s">
        <v>1352</v>
      </c>
      <c r="C121" s="66" t="s">
        <v>1353</v>
      </c>
      <c r="D121" s="66" t="s">
        <v>1723</v>
      </c>
      <c r="E121" s="25" t="s">
        <v>1724</v>
      </c>
      <c r="F121" s="25" t="s">
        <v>1102</v>
      </c>
      <c r="G121" s="57" t="str">
        <f>HYPERLINK("https://www.acquisition.gov/content/19804-3-sba-acceptance","FAR 19.804-3 SBA acceptance [contracting with the Small Business Administration (the 8(a) Program)]. ")</f>
        <v xml:space="preserve">FAR 19.804-3 SBA acceptance [contracting with the Small Business Administration (the 8(a) Program)]. </v>
      </c>
      <c r="H121" s="25"/>
      <c r="I121" s="34"/>
      <c r="J121" s="37" t="s">
        <v>463</v>
      </c>
      <c r="K121" s="37" t="s">
        <v>1725</v>
      </c>
      <c r="L121" s="25" t="s">
        <v>1727</v>
      </c>
      <c r="M121" s="25" t="s">
        <v>1729</v>
      </c>
      <c r="N121" s="25" t="s">
        <v>1730</v>
      </c>
      <c r="O121" s="64"/>
      <c r="P121" s="45" t="b">
        <f t="shared" si="25"/>
        <v>0</v>
      </c>
      <c r="Q121" s="45">
        <f t="shared" si="26"/>
        <v>0</v>
      </c>
      <c r="R121" s="45">
        <f t="shared" si="27"/>
        <v>0</v>
      </c>
      <c r="S121" s="24"/>
      <c r="T121" s="24"/>
      <c r="U121" s="24"/>
      <c r="V121" s="24"/>
      <c r="W121" s="24"/>
      <c r="X121" s="24"/>
      <c r="Y121" s="24"/>
      <c r="Z121" s="24"/>
      <c r="AA121" s="24"/>
      <c r="AB121" s="24"/>
    </row>
    <row r="122" spans="1:28" ht="173.9">
      <c r="A122" s="66" t="s">
        <v>1351</v>
      </c>
      <c r="B122" s="66" t="s">
        <v>1352</v>
      </c>
      <c r="C122" s="66" t="s">
        <v>1353</v>
      </c>
      <c r="D122" s="66" t="s">
        <v>1733</v>
      </c>
      <c r="E122" s="85" t="s">
        <v>1734</v>
      </c>
      <c r="F122" s="85" t="s">
        <v>1736</v>
      </c>
      <c r="G122" s="86" t="e">
        <f>HYPERLINK("https://www.acquisition.gov/content/8405-ordering-procedures-federal-supply-schedules#i1117528","FAR 8.405-1(d) For proposed orders exceeding the simplified acquisition threshold [ordering procedures for supplies, and services not requiring a statement of work]. FAR 8.405-3 (b)(1)(ii) If the estimated value of the BPA exceeds the simplified acquisiti"&amp;"on threshold [for supplies, and for services not requiring a statement of work]. ")</f>
        <v>#VALUE!</v>
      </c>
      <c r="H122" s="25"/>
      <c r="I122" s="34" t="s">
        <v>1603</v>
      </c>
      <c r="J122" s="37" t="s">
        <v>203</v>
      </c>
      <c r="K122" s="75" t="s">
        <v>1475</v>
      </c>
      <c r="L122" s="25" t="s">
        <v>1739</v>
      </c>
      <c r="M122" s="25" t="s">
        <v>1741</v>
      </c>
      <c r="N122" s="25" t="s">
        <v>1606</v>
      </c>
      <c r="O122" s="64"/>
      <c r="P122" s="45" t="b">
        <f t="shared" si="25"/>
        <v>0</v>
      </c>
      <c r="Q122" s="45">
        <f t="shared" si="26"/>
        <v>3</v>
      </c>
      <c r="R122" s="45">
        <f t="shared" si="27"/>
        <v>0</v>
      </c>
      <c r="S122" s="24"/>
      <c r="T122" s="24"/>
      <c r="U122" s="24"/>
      <c r="V122" s="24"/>
      <c r="W122" s="24"/>
      <c r="X122" s="24"/>
      <c r="Y122" s="24"/>
      <c r="Z122" s="24"/>
      <c r="AA122" s="24"/>
      <c r="AB122" s="24"/>
    </row>
    <row r="123" spans="1:28" ht="206.5">
      <c r="A123" s="66" t="s">
        <v>1351</v>
      </c>
      <c r="B123" s="66" t="s">
        <v>1352</v>
      </c>
      <c r="C123" s="66" t="s">
        <v>1353</v>
      </c>
      <c r="D123" s="66" t="s">
        <v>1746</v>
      </c>
      <c r="E123" s="85" t="s">
        <v>1747</v>
      </c>
      <c r="F123" s="85" t="s">
        <v>1736</v>
      </c>
      <c r="G123" s="86" t="str">
        <f>HYPERLINK("https://www.acquisition.gov/content/8405-ordering-procedures-federal-supply-schedules#i1117528","FAR 8.405-2(c) Ordering procedures for services requiring a statement of work [request for quotation procedures]. FAR 8.405-3 (b)(2)(iii) Request for quotation procedures [for services requiring a statement of work— Establishing BPAs].")</f>
        <v>FAR 8.405-2(c) Ordering procedures for services requiring a statement of work [request for quotation procedures]. FAR 8.405-3 (b)(2)(iii) Request for quotation procedures [for services requiring a statement of work— Establishing BPAs].</v>
      </c>
      <c r="H123" s="25"/>
      <c r="I123" s="34" t="s">
        <v>1603</v>
      </c>
      <c r="J123" s="37" t="s">
        <v>203</v>
      </c>
      <c r="K123" s="75" t="s">
        <v>1475</v>
      </c>
      <c r="L123" s="25" t="s">
        <v>1739</v>
      </c>
      <c r="M123" s="25" t="s">
        <v>1741</v>
      </c>
      <c r="N123" s="25" t="s">
        <v>1606</v>
      </c>
      <c r="O123" s="64"/>
      <c r="P123" s="45" t="b">
        <f t="shared" si="25"/>
        <v>0</v>
      </c>
      <c r="Q123" s="45">
        <f t="shared" si="26"/>
        <v>3</v>
      </c>
      <c r="R123" s="45">
        <f t="shared" si="27"/>
        <v>0</v>
      </c>
      <c r="S123" s="24"/>
      <c r="T123" s="24"/>
      <c r="U123" s="24"/>
      <c r="V123" s="24"/>
      <c r="W123" s="24"/>
      <c r="X123" s="24"/>
      <c r="Y123" s="24"/>
      <c r="Z123" s="24"/>
      <c r="AA123" s="24"/>
      <c r="AB123" s="24"/>
    </row>
    <row r="124" spans="1:28" ht="130.44999999999999">
      <c r="A124" s="26" t="s">
        <v>1351</v>
      </c>
      <c r="B124" s="26" t="s">
        <v>1352</v>
      </c>
      <c r="C124" s="26" t="s">
        <v>1353</v>
      </c>
      <c r="D124" s="26" t="s">
        <v>1754</v>
      </c>
      <c r="E124" s="25" t="s">
        <v>1755</v>
      </c>
      <c r="F124" s="25" t="s">
        <v>1756</v>
      </c>
      <c r="G124" s="57" t="str">
        <f>HYPERLINK("https://www.acquisition.gov/browse/index/far","FAR 5.101 Methods of disseminating information. FAR 5.203 Publicizing and response times [synopses of proposed contract actions]. FAR 13.105 Synopsis and posting requirements [simplified acquisition procedures]. ")</f>
        <v xml:space="preserve">FAR 5.101 Methods of disseminating information. FAR 5.203 Publicizing and response times [synopses of proposed contract actions]. FAR 13.105 Synopsis and posting requirements [simplified acquisition procedures]. </v>
      </c>
      <c r="H124" s="57" t="str">
        <f>HYPERLINK("https://www.acquisition.gov/sites/default/files/current/gsam/html/Part505.html#wp1859057","GSAR 505.101; GSAR 505.203")</f>
        <v>GSAR 505.101; GSAR 505.203</v>
      </c>
      <c r="I124" s="34" t="s">
        <v>1763</v>
      </c>
      <c r="J124" s="37" t="s">
        <v>203</v>
      </c>
      <c r="K124" s="37" t="s">
        <v>1767</v>
      </c>
      <c r="L124" s="78" t="s">
        <v>1769</v>
      </c>
      <c r="M124" s="39" t="s">
        <v>1770</v>
      </c>
      <c r="N124" s="41" t="s">
        <v>1773</v>
      </c>
      <c r="O124" s="64"/>
      <c r="P124" s="45" t="b">
        <f t="shared" si="25"/>
        <v>0</v>
      </c>
      <c r="Q124" s="45">
        <f t="shared" si="26"/>
        <v>3</v>
      </c>
      <c r="R124" s="45">
        <f t="shared" si="27"/>
        <v>0</v>
      </c>
      <c r="S124" s="24"/>
      <c r="T124" s="24"/>
      <c r="U124" s="24"/>
      <c r="V124" s="24"/>
      <c r="W124" s="24"/>
      <c r="X124" s="24"/>
      <c r="Y124" s="24"/>
      <c r="Z124" s="24"/>
      <c r="AA124" s="24"/>
      <c r="AB124" s="24"/>
    </row>
    <row r="125" spans="1:28" ht="195.65">
      <c r="A125" s="66" t="s">
        <v>1351</v>
      </c>
      <c r="B125" s="66" t="s">
        <v>1352</v>
      </c>
      <c r="C125" s="66" t="s">
        <v>1353</v>
      </c>
      <c r="D125" s="66" t="s">
        <v>1776</v>
      </c>
      <c r="E125" s="25" t="s">
        <v>1778</v>
      </c>
      <c r="F125" s="25" t="s">
        <v>1779</v>
      </c>
      <c r="G125" s="57" t="str">
        <f>HYPERLINK("https://www.acquisition.gov/content/part-14-sealed-bidding","FAR 14.101(a) Preparation of invitation for bids [elements of sealed bidding]. FAR 14.201 Preparation of invitations for bids [solicitation of bids]. FAR 14.202-1 Bidding time [general rules for solicitation of bids]. ")</f>
        <v xml:space="preserve">FAR 14.101(a) Preparation of invitation for bids [elements of sealed bidding]. FAR 14.201 Preparation of invitations for bids [solicitation of bids]. FAR 14.202-1 Bidding time [general rules for solicitation of bids]. </v>
      </c>
      <c r="H125" s="25"/>
      <c r="I125" s="34" t="s">
        <v>1603</v>
      </c>
      <c r="J125" s="37" t="s">
        <v>203</v>
      </c>
      <c r="K125" s="37" t="s">
        <v>1781</v>
      </c>
      <c r="L125" s="25" t="s">
        <v>1784</v>
      </c>
      <c r="M125" s="25" t="s">
        <v>1786</v>
      </c>
      <c r="N125" s="25" t="s">
        <v>1788</v>
      </c>
      <c r="O125" s="64"/>
      <c r="P125" s="45" t="b">
        <f t="shared" si="25"/>
        <v>0</v>
      </c>
      <c r="Q125" s="45">
        <f t="shared" si="26"/>
        <v>3</v>
      </c>
      <c r="R125" s="45">
        <f t="shared" si="27"/>
        <v>0</v>
      </c>
      <c r="S125" s="24"/>
      <c r="T125" s="24"/>
      <c r="U125" s="24"/>
      <c r="V125" s="24"/>
      <c r="W125" s="24"/>
      <c r="X125" s="24"/>
      <c r="Y125" s="24"/>
      <c r="Z125" s="24"/>
      <c r="AA125" s="24"/>
      <c r="AB125" s="24"/>
    </row>
    <row r="126" spans="1:28" ht="119.55">
      <c r="A126" s="66" t="s">
        <v>1351</v>
      </c>
      <c r="B126" s="66" t="s">
        <v>1352</v>
      </c>
      <c r="C126" s="66" t="s">
        <v>1353</v>
      </c>
      <c r="D126" s="66" t="s">
        <v>1792</v>
      </c>
      <c r="E126" s="25" t="s">
        <v>1794</v>
      </c>
      <c r="F126" s="25" t="s">
        <v>1756</v>
      </c>
      <c r="G126" s="57" t="e">
        <f>HYPERLINK("https://www.acquisition.gov/browse/index/far","FAR 14.203-1 Transmittal to prospective bidders [methods of soliciting bids]. FAR 14.203-2 Dissemination of information concerning invitations for bids [methods of soliciting bids]. FAR 14.205 Presolicitation notices [solicitation of bids]. FAR 5.101 Meth"&amp;"ods of disseminating information. FAR 5.102 Availability of solicitations [dissemination of information]. FAR Subpart 5.2 Synopsis of proposed contract actions")</f>
        <v>#VALUE!</v>
      </c>
      <c r="H126" s="57" t="str">
        <f>HYPERLINK("https://www.acquisition.gov/sites/default/files/current/gsam/html/Part505.html#wp1859057","GSAR 505.101; GSAR 505.2")</f>
        <v>GSAR 505.101; GSAR 505.2</v>
      </c>
      <c r="I126" s="34" t="s">
        <v>1763</v>
      </c>
      <c r="J126" s="37" t="s">
        <v>203</v>
      </c>
      <c r="K126" s="75" t="s">
        <v>1767</v>
      </c>
      <c r="L126" s="78" t="s">
        <v>1805</v>
      </c>
      <c r="M126" s="39" t="s">
        <v>1770</v>
      </c>
      <c r="N126" s="41" t="s">
        <v>1773</v>
      </c>
      <c r="O126" s="64"/>
      <c r="P126" s="45" t="b">
        <f t="shared" si="25"/>
        <v>0</v>
      </c>
      <c r="Q126" s="45">
        <f t="shared" si="26"/>
        <v>3</v>
      </c>
      <c r="R126" s="45">
        <f t="shared" si="27"/>
        <v>0</v>
      </c>
      <c r="S126" s="24"/>
      <c r="T126" s="24"/>
      <c r="U126" s="24"/>
      <c r="V126" s="24"/>
      <c r="W126" s="24"/>
      <c r="X126" s="24"/>
      <c r="Y126" s="24"/>
      <c r="Z126" s="24"/>
      <c r="AA126" s="24"/>
      <c r="AB126" s="24"/>
    </row>
    <row r="127" spans="1:28" ht="108.7">
      <c r="A127" s="66" t="s">
        <v>1351</v>
      </c>
      <c r="B127" s="66" t="s">
        <v>1352</v>
      </c>
      <c r="C127" s="66" t="s">
        <v>1353</v>
      </c>
      <c r="D127" s="66" t="s">
        <v>1810</v>
      </c>
      <c r="E127" s="25" t="s">
        <v>1811</v>
      </c>
      <c r="F127" s="25" t="s">
        <v>1812</v>
      </c>
      <c r="G127" s="57" t="str">
        <f>HYPERLINK("https://www.acquisition.gov/content/14503-1-step-one#id1617MD00V3G","FAR 14.503-1 Step one [procedures]")</f>
        <v>FAR 14.503-1 Step one [procedures]</v>
      </c>
      <c r="H127" s="25"/>
      <c r="I127" s="34" t="s">
        <v>1816</v>
      </c>
      <c r="J127" s="37" t="s">
        <v>203</v>
      </c>
      <c r="K127" s="37" t="s">
        <v>1817</v>
      </c>
      <c r="L127" s="78" t="s">
        <v>1819</v>
      </c>
      <c r="M127" s="39" t="s">
        <v>1821</v>
      </c>
      <c r="N127" s="41" t="s">
        <v>1822</v>
      </c>
      <c r="O127" s="64"/>
      <c r="P127" s="45" t="b">
        <f t="shared" si="25"/>
        <v>0</v>
      </c>
      <c r="Q127" s="45">
        <f t="shared" si="26"/>
        <v>3</v>
      </c>
      <c r="R127" s="45">
        <f t="shared" si="27"/>
        <v>0</v>
      </c>
      <c r="S127" s="24"/>
      <c r="T127" s="24"/>
      <c r="U127" s="24"/>
      <c r="V127" s="24"/>
      <c r="W127" s="24"/>
      <c r="X127" s="24"/>
      <c r="Y127" s="24"/>
      <c r="Z127" s="24"/>
      <c r="AA127" s="24"/>
      <c r="AB127" s="24"/>
    </row>
    <row r="128" spans="1:28" ht="119.55">
      <c r="A128" s="66" t="s">
        <v>1351</v>
      </c>
      <c r="B128" s="66" t="s">
        <v>1352</v>
      </c>
      <c r="C128" s="66" t="s">
        <v>1353</v>
      </c>
      <c r="D128" s="66" t="s">
        <v>1828</v>
      </c>
      <c r="E128" s="25" t="s">
        <v>1830</v>
      </c>
      <c r="F128" s="108" t="s">
        <v>1756</v>
      </c>
      <c r="G128" s="57" t="str">
        <f>HYPERLINK("https://www.acquisition.gov/browse/index/far","FAR 5.201 General [synopses of proposed contract actions]. FAR 14.53-1 Step one [procedures]")</f>
        <v>FAR 5.201 General [synopses of proposed contract actions]. FAR 14.53-1 Step one [procedures]</v>
      </c>
      <c r="H128" s="25"/>
      <c r="I128" s="34" t="s">
        <v>1763</v>
      </c>
      <c r="J128" s="37" t="s">
        <v>203</v>
      </c>
      <c r="K128" s="75" t="s">
        <v>1767</v>
      </c>
      <c r="L128" s="78" t="s">
        <v>1805</v>
      </c>
      <c r="M128" s="39" t="s">
        <v>1770</v>
      </c>
      <c r="N128" s="41" t="s">
        <v>1773</v>
      </c>
      <c r="O128" s="64"/>
      <c r="P128" s="45" t="b">
        <f t="shared" si="25"/>
        <v>0</v>
      </c>
      <c r="Q128" s="45">
        <f t="shared" si="26"/>
        <v>3</v>
      </c>
      <c r="R128" s="45">
        <f t="shared" si="27"/>
        <v>0</v>
      </c>
      <c r="S128" s="24"/>
      <c r="T128" s="24"/>
      <c r="U128" s="24"/>
      <c r="V128" s="24"/>
      <c r="W128" s="24"/>
      <c r="X128" s="24"/>
      <c r="Y128" s="24"/>
      <c r="Z128" s="24"/>
      <c r="AA128" s="24"/>
      <c r="AB128" s="24"/>
    </row>
    <row r="129" spans="1:28" ht="97.85">
      <c r="A129" s="66" t="s">
        <v>1351</v>
      </c>
      <c r="B129" s="66" t="s">
        <v>1352</v>
      </c>
      <c r="C129" s="66" t="s">
        <v>1353</v>
      </c>
      <c r="D129" s="66" t="s">
        <v>1838</v>
      </c>
      <c r="E129" s="25" t="s">
        <v>1839</v>
      </c>
      <c r="F129" s="25" t="s">
        <v>1840</v>
      </c>
      <c r="G129" s="57" t="str">
        <f t="shared" ref="G129:G130" si="28">HYPERLINK("https://www.acquisition.gov/content/16504-indefinite-quantity-contracts#i1103941","FAR 16.504(a)(ii) Description [indefinite-quantity contracts]. ")</f>
        <v xml:space="preserve">FAR 16.504(a)(ii) Description [indefinite-quantity contracts]. </v>
      </c>
      <c r="H129" s="25"/>
      <c r="I129" s="34" t="s">
        <v>1841</v>
      </c>
      <c r="J129" s="37" t="s">
        <v>203</v>
      </c>
      <c r="K129" s="37" t="s">
        <v>1843</v>
      </c>
      <c r="L129" s="78" t="s">
        <v>1845</v>
      </c>
      <c r="M129" s="39" t="s">
        <v>1846</v>
      </c>
      <c r="N129" s="41" t="s">
        <v>1848</v>
      </c>
      <c r="O129" s="64"/>
      <c r="P129" s="45" t="b">
        <f t="shared" si="25"/>
        <v>0</v>
      </c>
      <c r="Q129" s="45">
        <f t="shared" si="26"/>
        <v>3</v>
      </c>
      <c r="R129" s="45">
        <f t="shared" si="27"/>
        <v>0</v>
      </c>
      <c r="S129" s="24"/>
      <c r="T129" s="24"/>
      <c r="U129" s="24"/>
      <c r="V129" s="24"/>
      <c r="W129" s="24"/>
      <c r="X129" s="24"/>
      <c r="Y129" s="24"/>
      <c r="Z129" s="24"/>
      <c r="AA129" s="24"/>
      <c r="AB129" s="24"/>
    </row>
    <row r="130" spans="1:28" ht="108.7">
      <c r="A130" s="66" t="s">
        <v>1351</v>
      </c>
      <c r="B130" s="66" t="s">
        <v>1352</v>
      </c>
      <c r="C130" s="66" t="s">
        <v>1353</v>
      </c>
      <c r="D130" s="66" t="s">
        <v>1851</v>
      </c>
      <c r="E130" s="25" t="s">
        <v>1852</v>
      </c>
      <c r="F130" s="25" t="s">
        <v>1853</v>
      </c>
      <c r="G130" s="57" t="str">
        <f t="shared" si="28"/>
        <v xml:space="preserve">FAR 16.504(a)(ii) Description [indefinite-quantity contracts]. </v>
      </c>
      <c r="H130" s="25"/>
      <c r="I130" s="34" t="s">
        <v>1841</v>
      </c>
      <c r="J130" s="37" t="s">
        <v>203</v>
      </c>
      <c r="K130" s="37" t="s">
        <v>1857</v>
      </c>
      <c r="L130" s="78" t="s">
        <v>1858</v>
      </c>
      <c r="M130" s="39" t="s">
        <v>1860</v>
      </c>
      <c r="N130" s="41" t="s">
        <v>1861</v>
      </c>
      <c r="O130" s="64"/>
      <c r="P130" s="45" t="b">
        <f t="shared" si="25"/>
        <v>0</v>
      </c>
      <c r="Q130" s="45">
        <f t="shared" si="26"/>
        <v>3</v>
      </c>
      <c r="R130" s="45">
        <f t="shared" si="27"/>
        <v>0</v>
      </c>
      <c r="S130" s="24"/>
      <c r="T130" s="24"/>
      <c r="U130" s="24"/>
      <c r="V130" s="24"/>
      <c r="W130" s="24"/>
      <c r="X130" s="24"/>
      <c r="Y130" s="24"/>
      <c r="Z130" s="24"/>
      <c r="AA130" s="24"/>
      <c r="AB130" s="24"/>
    </row>
    <row r="131" spans="1:28" ht="97.85">
      <c r="A131" s="66" t="s">
        <v>1351</v>
      </c>
      <c r="B131" s="66" t="s">
        <v>1352</v>
      </c>
      <c r="C131" s="66" t="s">
        <v>1353</v>
      </c>
      <c r="D131" s="66" t="s">
        <v>1863</v>
      </c>
      <c r="E131" s="25" t="s">
        <v>1864</v>
      </c>
      <c r="F131" s="25" t="s">
        <v>1865</v>
      </c>
      <c r="G131" s="57" t="str">
        <f>HYPERLINK("https://www.acquisition.gov/content/16504-indefinite-quantity-contracts#i1103941","FAR 16.504(a)(4)(i) Description [indefinite-quantity contracts]. ")</f>
        <v xml:space="preserve">FAR 16.504(a)(4)(i) Description [indefinite-quantity contracts]. </v>
      </c>
      <c r="H131" s="25"/>
      <c r="I131" s="34" t="s">
        <v>1875</v>
      </c>
      <c r="J131" s="37" t="s">
        <v>203</v>
      </c>
      <c r="K131" s="37" t="s">
        <v>1876</v>
      </c>
      <c r="L131" s="78" t="s">
        <v>1877</v>
      </c>
      <c r="M131" s="39" t="s">
        <v>1878</v>
      </c>
      <c r="N131" s="41" t="s">
        <v>1879</v>
      </c>
      <c r="O131" s="64"/>
      <c r="P131" s="45" t="b">
        <f t="shared" si="25"/>
        <v>0</v>
      </c>
      <c r="Q131" s="45">
        <f t="shared" si="26"/>
        <v>3</v>
      </c>
      <c r="R131" s="45">
        <f t="shared" si="27"/>
        <v>0</v>
      </c>
      <c r="S131" s="24"/>
      <c r="T131" s="24"/>
      <c r="U131" s="24"/>
      <c r="V131" s="24"/>
      <c r="W131" s="24"/>
      <c r="X131" s="24"/>
      <c r="Y131" s="24"/>
      <c r="Z131" s="24"/>
      <c r="AA131" s="24"/>
      <c r="AB131" s="24"/>
    </row>
    <row r="132" spans="1:28" ht="97.85">
      <c r="A132" s="66" t="s">
        <v>1351</v>
      </c>
      <c r="B132" s="66" t="s">
        <v>1352</v>
      </c>
      <c r="C132" s="66" t="s">
        <v>1353</v>
      </c>
      <c r="D132" s="66" t="s">
        <v>1880</v>
      </c>
      <c r="E132" s="25" t="s">
        <v>1881</v>
      </c>
      <c r="F132" s="25" t="s">
        <v>1882</v>
      </c>
      <c r="G132" s="57" t="str">
        <f>HYPERLINK("https://www.acquisition.gov/content/16504-indefinite-quantity-contracts#i1103941","FAR 16.504(a)(4)(iii) Description [indefinite-quantity contracts]. ")</f>
        <v xml:space="preserve">FAR 16.504(a)(4)(iii) Description [indefinite-quantity contracts]. </v>
      </c>
      <c r="H132" s="25"/>
      <c r="I132" s="34" t="s">
        <v>1875</v>
      </c>
      <c r="J132" s="37" t="s">
        <v>203</v>
      </c>
      <c r="K132" s="37" t="s">
        <v>1885</v>
      </c>
      <c r="L132" s="78" t="s">
        <v>1886</v>
      </c>
      <c r="M132" s="39" t="s">
        <v>1887</v>
      </c>
      <c r="N132" s="41" t="s">
        <v>1888</v>
      </c>
      <c r="O132" s="64"/>
      <c r="P132" s="45" t="b">
        <f t="shared" si="25"/>
        <v>0</v>
      </c>
      <c r="Q132" s="45">
        <f t="shared" si="26"/>
        <v>3</v>
      </c>
      <c r="R132" s="45">
        <f t="shared" si="27"/>
        <v>0</v>
      </c>
      <c r="S132" s="24"/>
      <c r="T132" s="24"/>
      <c r="U132" s="24"/>
      <c r="V132" s="24"/>
      <c r="W132" s="24"/>
      <c r="X132" s="24"/>
      <c r="Y132" s="24"/>
      <c r="Z132" s="24"/>
      <c r="AA132" s="24"/>
      <c r="AB132" s="24"/>
    </row>
    <row r="133" spans="1:28" ht="108.7">
      <c r="A133" s="66" t="s">
        <v>1351</v>
      </c>
      <c r="B133" s="66" t="s">
        <v>1352</v>
      </c>
      <c r="C133" s="66" t="s">
        <v>1353</v>
      </c>
      <c r="D133" s="66" t="s">
        <v>1890</v>
      </c>
      <c r="E133" s="25" t="s">
        <v>1891</v>
      </c>
      <c r="F133" s="25" t="s">
        <v>1892</v>
      </c>
      <c r="G133" s="57" t="str">
        <f>HYPERLINK("https://www.acquisition.gov/content/16504-indefinite-quantity-contracts#i1103941","FAR 16.504(a)(4)(iv) Description [indefinite-quantity contracts]. ")</f>
        <v xml:space="preserve">FAR 16.504(a)(4)(iv) Description [indefinite-quantity contracts]. </v>
      </c>
      <c r="H133" s="25"/>
      <c r="I133" s="34" t="s">
        <v>1875</v>
      </c>
      <c r="J133" s="37" t="s">
        <v>203</v>
      </c>
      <c r="K133" s="37" t="s">
        <v>1898</v>
      </c>
      <c r="L133" s="78" t="s">
        <v>1899</v>
      </c>
      <c r="M133" s="39" t="s">
        <v>1900</v>
      </c>
      <c r="N133" s="41" t="s">
        <v>1901</v>
      </c>
      <c r="O133" s="64"/>
      <c r="P133" s="45" t="b">
        <f t="shared" si="25"/>
        <v>0</v>
      </c>
      <c r="Q133" s="45">
        <f t="shared" si="26"/>
        <v>3</v>
      </c>
      <c r="R133" s="45">
        <f t="shared" si="27"/>
        <v>0</v>
      </c>
      <c r="S133" s="24"/>
      <c r="T133" s="24"/>
      <c r="U133" s="24"/>
      <c r="V133" s="24"/>
      <c r="W133" s="24"/>
      <c r="X133" s="24"/>
      <c r="Y133" s="24"/>
      <c r="Z133" s="24"/>
      <c r="AA133" s="24"/>
      <c r="AB133" s="24"/>
    </row>
    <row r="134" spans="1:28" ht="97.85">
      <c r="A134" s="66" t="s">
        <v>1351</v>
      </c>
      <c r="B134" s="66" t="s">
        <v>1352</v>
      </c>
      <c r="C134" s="66" t="s">
        <v>1353</v>
      </c>
      <c r="D134" s="66" t="s">
        <v>1904</v>
      </c>
      <c r="E134" s="25" t="s">
        <v>1905</v>
      </c>
      <c r="F134" s="25" t="s">
        <v>1906</v>
      </c>
      <c r="G134" s="57" t="str">
        <f>HYPERLINK("https://www.acquisition.gov/content/16504-indefinite-quantity-contracts#i1103941","FAR 16.504(a)(4)(vi) Description [indefinite-quantity contracts]. ")</f>
        <v xml:space="preserve">FAR 16.504(a)(4)(vi) Description [indefinite-quantity contracts]. </v>
      </c>
      <c r="H134" s="25"/>
      <c r="I134" s="34" t="s">
        <v>1875</v>
      </c>
      <c r="J134" s="37" t="s">
        <v>203</v>
      </c>
      <c r="K134" s="37" t="s">
        <v>1914</v>
      </c>
      <c r="L134" s="78" t="s">
        <v>1915</v>
      </c>
      <c r="M134" s="39" t="s">
        <v>1916</v>
      </c>
      <c r="N134" s="41" t="s">
        <v>1917</v>
      </c>
      <c r="O134" s="64"/>
      <c r="P134" s="45" t="b">
        <f t="shared" si="25"/>
        <v>0</v>
      </c>
      <c r="Q134" s="45">
        <f t="shared" si="26"/>
        <v>3</v>
      </c>
      <c r="R134" s="45">
        <f t="shared" si="27"/>
        <v>0</v>
      </c>
      <c r="S134" s="24"/>
      <c r="T134" s="24"/>
      <c r="U134" s="24"/>
      <c r="V134" s="24"/>
      <c r="W134" s="24"/>
      <c r="X134" s="24"/>
      <c r="Y134" s="24"/>
      <c r="Z134" s="24"/>
      <c r="AA134" s="24"/>
      <c r="AB134" s="24"/>
    </row>
    <row r="135" spans="1:28" ht="97.85">
      <c r="A135" s="66" t="s">
        <v>1351</v>
      </c>
      <c r="B135" s="66" t="s">
        <v>1352</v>
      </c>
      <c r="C135" s="66" t="s">
        <v>1353</v>
      </c>
      <c r="D135" s="66" t="s">
        <v>1921</v>
      </c>
      <c r="E135" s="25" t="s">
        <v>1922</v>
      </c>
      <c r="F135" s="25" t="s">
        <v>1923</v>
      </c>
      <c r="G135" s="57" t="str">
        <f>HYPERLINK("https://www.acquisition.gov/content/part-15-contracting-negotiation","FAR Part 15 Contracting by Negotiation")</f>
        <v>FAR Part 15 Contracting by Negotiation</v>
      </c>
      <c r="H135" s="57" t="str">
        <f>HYPERLINK("https://www.acquisition.gov/sites/default/files/current/gsam/html/Part515.html#wp1864766","GSAR 515")</f>
        <v>GSAR 515</v>
      </c>
      <c r="I135" s="34" t="s">
        <v>1934</v>
      </c>
      <c r="J135" s="37" t="s">
        <v>203</v>
      </c>
      <c r="K135" s="37" t="s">
        <v>1935</v>
      </c>
      <c r="L135" s="25" t="s">
        <v>1936</v>
      </c>
      <c r="M135" s="25" t="s">
        <v>1937</v>
      </c>
      <c r="N135" s="25" t="s">
        <v>1938</v>
      </c>
      <c r="O135" s="64"/>
      <c r="P135" s="45" t="b">
        <f t="shared" si="25"/>
        <v>0</v>
      </c>
      <c r="Q135" s="45">
        <f t="shared" si="26"/>
        <v>3</v>
      </c>
      <c r="R135" s="45">
        <f t="shared" si="27"/>
        <v>0</v>
      </c>
      <c r="S135" s="24"/>
      <c r="T135" s="24"/>
      <c r="U135" s="24"/>
      <c r="V135" s="24"/>
      <c r="W135" s="24"/>
      <c r="X135" s="24"/>
      <c r="Y135" s="24"/>
      <c r="Z135" s="24"/>
      <c r="AA135" s="24"/>
      <c r="AB135" s="24"/>
    </row>
    <row r="136" spans="1:28" ht="260.85000000000002">
      <c r="A136" s="66" t="s">
        <v>1351</v>
      </c>
      <c r="B136" s="66" t="s">
        <v>1352</v>
      </c>
      <c r="C136" s="66" t="s">
        <v>1353</v>
      </c>
      <c r="D136" s="66" t="s">
        <v>1944</v>
      </c>
      <c r="E136" s="25" t="s">
        <v>1945</v>
      </c>
      <c r="F136" s="25" t="s">
        <v>1946</v>
      </c>
      <c r="G136" s="57" t="str">
        <f>HYPERLINK("https://www.acquisition.gov/content/16505-ordering#i1104008","FAR 16.505(a)(2) General [ordering]")</f>
        <v>FAR 16.505(a)(2) General [ordering]</v>
      </c>
      <c r="H136" s="57" t="str">
        <f>HYPERLINK("https://www.acquisition.gov/sites/default/files/current/gsam/html/Part516.html#wp1859966","GSAR 516.505")</f>
        <v>GSAR 516.505</v>
      </c>
      <c r="I136" s="34" t="s">
        <v>1957</v>
      </c>
      <c r="J136" s="37" t="s">
        <v>919</v>
      </c>
      <c r="K136" s="37" t="s">
        <v>1958</v>
      </c>
      <c r="L136" s="25" t="s">
        <v>1959</v>
      </c>
      <c r="M136" s="39" t="s">
        <v>1962</v>
      </c>
      <c r="N136" s="41" t="s">
        <v>1963</v>
      </c>
      <c r="O136" s="64"/>
      <c r="P136" s="45" t="b">
        <f t="shared" si="25"/>
        <v>0</v>
      </c>
      <c r="Q136" s="45">
        <f t="shared" si="26"/>
        <v>3</v>
      </c>
      <c r="R136" s="45">
        <f t="shared" si="27"/>
        <v>0</v>
      </c>
      <c r="S136" s="24"/>
      <c r="T136" s="24"/>
      <c r="U136" s="24"/>
      <c r="V136" s="24"/>
      <c r="W136" s="24"/>
      <c r="X136" s="24"/>
      <c r="Y136" s="24"/>
      <c r="Z136" s="24"/>
      <c r="AA136" s="24"/>
      <c r="AB136" s="24"/>
    </row>
    <row r="137" spans="1:28" ht="119.55">
      <c r="A137" s="66" t="s">
        <v>1351</v>
      </c>
      <c r="B137" s="66" t="s">
        <v>1352</v>
      </c>
      <c r="C137" s="66" t="s">
        <v>1353</v>
      </c>
      <c r="D137" s="66" t="s">
        <v>1967</v>
      </c>
      <c r="E137" s="25" t="s">
        <v>1968</v>
      </c>
      <c r="F137" s="25" t="s">
        <v>1756</v>
      </c>
      <c r="G137" s="57" t="str">
        <f>HYPERLINK("https://www.acquisition.gov/browse/index/far","FAR 5.203 Publicizing and response time [synopses of proposed contract actions]. FAR 12.603 Streamlined solicitation for commercial items.")</f>
        <v>FAR 5.203 Publicizing and response time [synopses of proposed contract actions]. FAR 12.603 Streamlined solicitation for commercial items.</v>
      </c>
      <c r="H137" s="112" t="str">
        <f>HYPERLINK("https://www.acquisition.gov/sites/default/files/current/gsam/html/Part505.html#wp1859483","GSAR 505.203")</f>
        <v>GSAR 505.203</v>
      </c>
      <c r="I137" s="34" t="s">
        <v>1603</v>
      </c>
      <c r="J137" s="37" t="s">
        <v>203</v>
      </c>
      <c r="K137" s="75" t="s">
        <v>1767</v>
      </c>
      <c r="L137" s="78" t="s">
        <v>1991</v>
      </c>
      <c r="M137" s="39" t="s">
        <v>1770</v>
      </c>
      <c r="N137" s="41" t="s">
        <v>1773</v>
      </c>
      <c r="O137" s="64"/>
      <c r="P137" s="45" t="b">
        <f t="shared" si="25"/>
        <v>0</v>
      </c>
      <c r="Q137" s="45">
        <f t="shared" si="26"/>
        <v>3</v>
      </c>
      <c r="R137" s="45">
        <f t="shared" si="27"/>
        <v>0</v>
      </c>
    </row>
    <row r="138" spans="1:28" ht="86.95">
      <c r="A138" s="26" t="s">
        <v>1351</v>
      </c>
      <c r="B138" s="26" t="s">
        <v>1352</v>
      </c>
      <c r="C138" s="26" t="s">
        <v>1353</v>
      </c>
      <c r="D138" s="26" t="s">
        <v>1998</v>
      </c>
      <c r="E138" s="25" t="s">
        <v>1999</v>
      </c>
      <c r="F138" s="25" t="s">
        <v>2000</v>
      </c>
      <c r="G138" s="57" t="str">
        <f>HYPERLINK("https://www.acquisition.gov/content/15202-advisory-multi-step-process#id1617MD00VWR","FAR 15.202. Advisory multi-step process [solicitation and receipt of proposals and information]. ")</f>
        <v xml:space="preserve">FAR 15.202. Advisory multi-step process [solicitation and receipt of proposals and information]. </v>
      </c>
      <c r="H138" s="103"/>
      <c r="I138" s="109"/>
      <c r="J138" s="37" t="s">
        <v>463</v>
      </c>
      <c r="K138" s="37" t="s">
        <v>2006</v>
      </c>
      <c r="L138" s="25" t="s">
        <v>2007</v>
      </c>
      <c r="M138" s="25" t="s">
        <v>2009</v>
      </c>
      <c r="N138" s="92" t="s">
        <v>2011</v>
      </c>
      <c r="O138" s="64"/>
      <c r="P138" s="45" t="b">
        <f t="shared" si="25"/>
        <v>0</v>
      </c>
      <c r="Q138" s="45">
        <f t="shared" si="26"/>
        <v>0</v>
      </c>
      <c r="R138" s="45">
        <f t="shared" si="27"/>
        <v>0</v>
      </c>
    </row>
    <row r="139" spans="1:28" ht="86.95">
      <c r="A139" s="26" t="s">
        <v>1351</v>
      </c>
      <c r="B139" s="26" t="s">
        <v>1352</v>
      </c>
      <c r="C139" s="26" t="s">
        <v>1353</v>
      </c>
      <c r="D139" s="26" t="s">
        <v>2014</v>
      </c>
      <c r="E139" s="25" t="s">
        <v>2021</v>
      </c>
      <c r="F139" s="25" t="s">
        <v>2022</v>
      </c>
      <c r="G139" s="57" t="str">
        <f>HYPERLINK("https://www.acquisition.gov/content/15202-advisory-multi-step-process#id1617MD00VWR","FAR 15.202(a) Advisory multi-step process [solicitation and receipt of proposals].")</f>
        <v>FAR 15.202(a) Advisory multi-step process [solicitation and receipt of proposals].</v>
      </c>
      <c r="H139" s="103"/>
      <c r="I139" s="109" t="s">
        <v>2031</v>
      </c>
      <c r="J139" s="37" t="s">
        <v>203</v>
      </c>
      <c r="K139" s="37" t="s">
        <v>2032</v>
      </c>
      <c r="L139" s="25" t="s">
        <v>2033</v>
      </c>
      <c r="M139" s="25" t="s">
        <v>2034</v>
      </c>
      <c r="N139" s="92" t="s">
        <v>2035</v>
      </c>
      <c r="O139" s="64"/>
      <c r="P139" s="45" t="b">
        <f t="shared" si="25"/>
        <v>0</v>
      </c>
      <c r="Q139" s="45">
        <f t="shared" si="26"/>
        <v>3</v>
      </c>
      <c r="R139" s="45">
        <f t="shared" si="27"/>
        <v>0</v>
      </c>
    </row>
    <row r="140" spans="1:28" ht="86.95">
      <c r="A140" s="26" t="s">
        <v>1351</v>
      </c>
      <c r="B140" s="26" t="s">
        <v>1352</v>
      </c>
      <c r="C140" s="26" t="s">
        <v>1353</v>
      </c>
      <c r="D140" s="26" t="s">
        <v>2039</v>
      </c>
      <c r="E140" s="25" t="s">
        <v>2040</v>
      </c>
      <c r="F140" s="25" t="s">
        <v>1756</v>
      </c>
      <c r="G140" s="57" t="str">
        <f>HYPERLINK("https://www.acquisition.gov/browse/index/far","FAR 5.204 Pre-solicitation notices. FAR 15.202(a) Advisory multi-step process [solicitation and receipt of proposals]. ")</f>
        <v xml:space="preserve">FAR 5.204 Pre-solicitation notices. FAR 15.202(a) Advisory multi-step process [solicitation and receipt of proposals]. </v>
      </c>
      <c r="H140" s="103"/>
      <c r="I140" s="109" t="s">
        <v>2031</v>
      </c>
      <c r="J140" s="37" t="s">
        <v>203</v>
      </c>
      <c r="K140" s="37" t="s">
        <v>2044</v>
      </c>
      <c r="L140" s="25" t="s">
        <v>2045</v>
      </c>
      <c r="M140" s="25" t="s">
        <v>2046</v>
      </c>
      <c r="N140" s="92" t="s">
        <v>2047</v>
      </c>
      <c r="O140" s="64"/>
      <c r="P140" s="45" t="b">
        <f t="shared" si="25"/>
        <v>0</v>
      </c>
      <c r="Q140" s="45">
        <f t="shared" si="26"/>
        <v>3</v>
      </c>
      <c r="R140" s="45">
        <f t="shared" si="27"/>
        <v>0</v>
      </c>
    </row>
    <row r="141" spans="1:28" ht="141.30000000000001">
      <c r="A141" s="26" t="s">
        <v>1351</v>
      </c>
      <c r="B141" s="26" t="s">
        <v>1352</v>
      </c>
      <c r="C141" s="26" t="s">
        <v>1353</v>
      </c>
      <c r="D141" s="26" t="s">
        <v>2051</v>
      </c>
      <c r="E141" s="25" t="s">
        <v>2053</v>
      </c>
      <c r="F141" s="25" t="s">
        <v>1815</v>
      </c>
      <c r="G141" s="57" t="str">
        <f>HYPERLINK("https://www.acquisition.gov/content/15202-advisory-multi-step-process#id1617MD00VWR","FAR 15.202(b) Advisory multi-step process [solicitation and receipt of proposals].")</f>
        <v>FAR 15.202(b) Advisory multi-step process [solicitation and receipt of proposals].</v>
      </c>
      <c r="H141" s="103"/>
      <c r="I141" s="109"/>
      <c r="J141" s="37" t="s">
        <v>463</v>
      </c>
      <c r="K141" s="37" t="s">
        <v>2062</v>
      </c>
      <c r="L141" s="25" t="s">
        <v>2063</v>
      </c>
      <c r="M141" s="25" t="s">
        <v>2064</v>
      </c>
      <c r="N141" s="108" t="s">
        <v>2066</v>
      </c>
      <c r="O141" s="64"/>
      <c r="P141" s="45" t="b">
        <f t="shared" si="25"/>
        <v>0</v>
      </c>
      <c r="Q141" s="45">
        <f t="shared" si="26"/>
        <v>0</v>
      </c>
      <c r="R141" s="45">
        <f t="shared" si="27"/>
        <v>0</v>
      </c>
    </row>
    <row r="142" spans="1:28" ht="141.30000000000001">
      <c r="A142" s="26" t="s">
        <v>1351</v>
      </c>
      <c r="B142" s="26" t="s">
        <v>1352</v>
      </c>
      <c r="C142" s="26" t="s">
        <v>1353</v>
      </c>
      <c r="D142" s="26" t="s">
        <v>2072</v>
      </c>
      <c r="E142" s="25" t="s">
        <v>2073</v>
      </c>
      <c r="F142" s="25" t="s">
        <v>2074</v>
      </c>
      <c r="G142" s="57" t="str">
        <f>HYPERLINK("https://www.acquisition.gov/content/15202-advisory-multi-step-process#id1617MD00VWR","FAR 15.202(b) Advisory multi-step process [solicitation and receipt of proposals.")</f>
        <v>FAR 15.202(b) Advisory multi-step process [solicitation and receipt of proposals.</v>
      </c>
      <c r="H142" s="103"/>
      <c r="I142" s="34"/>
      <c r="J142" s="37" t="s">
        <v>463</v>
      </c>
      <c r="K142" s="75" t="s">
        <v>2062</v>
      </c>
      <c r="L142" s="25" t="s">
        <v>2082</v>
      </c>
      <c r="M142" s="25" t="s">
        <v>2064</v>
      </c>
      <c r="N142" s="113" t="s">
        <v>2066</v>
      </c>
      <c r="O142" s="64"/>
      <c r="P142" s="45" t="b">
        <f t="shared" si="25"/>
        <v>0</v>
      </c>
      <c r="Q142" s="45">
        <f t="shared" si="26"/>
        <v>0</v>
      </c>
      <c r="R142" s="45">
        <f t="shared" si="27"/>
        <v>0</v>
      </c>
    </row>
    <row r="143" spans="1:28" ht="228.25">
      <c r="A143" s="26" t="s">
        <v>1351</v>
      </c>
      <c r="B143" s="26" t="s">
        <v>1352</v>
      </c>
      <c r="C143" s="26" t="s">
        <v>1353</v>
      </c>
      <c r="D143" s="26" t="s">
        <v>2088</v>
      </c>
      <c r="E143" s="25" t="s">
        <v>2089</v>
      </c>
      <c r="F143" s="25" t="s">
        <v>1779</v>
      </c>
      <c r="G143" s="57" t="str">
        <f>HYPERLINK("https://www.acquisition.gov/browse/index/far","FAR 12.603(c) Streamlined solicitation for commercial items. FAR 15.203 Request for proposals. FAR 15.204 Contract format [solicitation and receipt of proposals and information].")</f>
        <v>FAR 12.603(c) Streamlined solicitation for commercial items. FAR 15.203 Request for proposals. FAR 15.204 Contract format [solicitation and receipt of proposals and information].</v>
      </c>
      <c r="H143" s="57" t="str">
        <f>HYPERLINK("https://www.acquisition.gov/sites/default/files/current/gsam/html/Part515.html#wp1864767","GSAR 515.204")</f>
        <v>GSAR 515.204</v>
      </c>
      <c r="I143" s="34" t="s">
        <v>1603</v>
      </c>
      <c r="J143" s="37" t="s">
        <v>203</v>
      </c>
      <c r="K143" s="75" t="s">
        <v>1475</v>
      </c>
      <c r="L143" s="25" t="s">
        <v>2096</v>
      </c>
      <c r="M143" s="25" t="s">
        <v>1741</v>
      </c>
      <c r="N143" s="25" t="s">
        <v>1606</v>
      </c>
      <c r="O143" s="64"/>
      <c r="P143" s="45" t="b">
        <f t="shared" si="25"/>
        <v>0</v>
      </c>
      <c r="Q143" s="45">
        <f t="shared" si="26"/>
        <v>3</v>
      </c>
      <c r="R143" s="45">
        <f t="shared" si="27"/>
        <v>0</v>
      </c>
    </row>
    <row r="144" spans="1:28" ht="141.30000000000001">
      <c r="A144" s="26" t="s">
        <v>1351</v>
      </c>
      <c r="B144" s="26" t="s">
        <v>1352</v>
      </c>
      <c r="C144" s="26" t="s">
        <v>1353</v>
      </c>
      <c r="D144" s="26" t="s">
        <v>2100</v>
      </c>
      <c r="E144" s="25" t="s">
        <v>2101</v>
      </c>
      <c r="F144" s="25" t="s">
        <v>2102</v>
      </c>
      <c r="G144" s="57" t="str">
        <f>HYPERLINK("https://www.acquisition.gov/browse/index/far","FAR 4.502(a) Policy [electronic commerce in contracting]. FAR 15.203 Request for proposals. FAR 15.209(a) Solicitation provisions and contract clauses [solicitation and receipt of proposals and information]")</f>
        <v>FAR 4.502(a) Policy [electronic commerce in contracting]. FAR 15.203 Request for proposals. FAR 15.209(a) Solicitation provisions and contract clauses [solicitation and receipt of proposals and information]</v>
      </c>
      <c r="H144" s="112" t="str">
        <f>HYPERLINK("https://www.acquisition.gov/sites/default/files/current/gsam/html/Part515.html#wp1864859","GSAR 515.209")</f>
        <v>GSAR 515.209</v>
      </c>
      <c r="I144" s="109" t="s">
        <v>225</v>
      </c>
      <c r="J144" s="37" t="s">
        <v>203</v>
      </c>
      <c r="K144" s="37" t="s">
        <v>2106</v>
      </c>
      <c r="L144" s="25" t="s">
        <v>2108</v>
      </c>
      <c r="M144" s="25" t="s">
        <v>2109</v>
      </c>
      <c r="N144" s="25" t="s">
        <v>2110</v>
      </c>
      <c r="O144" s="64"/>
      <c r="P144" s="45" t="b">
        <f t="shared" si="25"/>
        <v>0</v>
      </c>
      <c r="Q144" s="45">
        <f t="shared" si="26"/>
        <v>3</v>
      </c>
      <c r="R144" s="45">
        <f t="shared" si="27"/>
        <v>0</v>
      </c>
    </row>
    <row r="145" spans="1:28" ht="173.9">
      <c r="A145" s="26" t="s">
        <v>1351</v>
      </c>
      <c r="B145" s="26" t="s">
        <v>1352</v>
      </c>
      <c r="C145" s="26" t="s">
        <v>1353</v>
      </c>
      <c r="D145" s="25" t="s">
        <v>2111</v>
      </c>
      <c r="E145" s="25" t="s">
        <v>2112</v>
      </c>
      <c r="F145" s="25" t="s">
        <v>2113</v>
      </c>
      <c r="G145" s="57" t="e">
        <f>HYPERLINK("https://www.acquisition.gov/content/subpart-197-small-business-subcontracting-program#i1100205","FAR 19.702 Statutory requirements [the small business subcontracting program]. FAR 19.704 Subcontracting plan requirements [the small business subcontracting program]. FAR 19.705-2 Determining the need for a subcontracting plan [responsibilities of the co"&amp;"ntracting officer under the subcontracting assistance program]. ")</f>
        <v>#VALUE!</v>
      </c>
      <c r="H145" s="57" t="str">
        <f>HYPERLINK("https://www.acquisition.gov/sites/default/files/current/gsam/html/Part519.html#wp1858263","GSAR 519.705-5")</f>
        <v>GSAR 519.705-5</v>
      </c>
      <c r="I145" s="34" t="s">
        <v>1603</v>
      </c>
      <c r="J145" s="37" t="s">
        <v>203</v>
      </c>
      <c r="K145" s="75" t="s">
        <v>1475</v>
      </c>
      <c r="L145" s="25" t="s">
        <v>2122</v>
      </c>
      <c r="M145" s="25" t="s">
        <v>1741</v>
      </c>
      <c r="N145" s="25" t="s">
        <v>1606</v>
      </c>
      <c r="O145" s="64"/>
      <c r="P145" s="45" t="b">
        <f t="shared" si="25"/>
        <v>0</v>
      </c>
      <c r="Q145" s="45">
        <f t="shared" si="26"/>
        <v>3</v>
      </c>
      <c r="R145" s="45">
        <f t="shared" si="27"/>
        <v>0</v>
      </c>
      <c r="S145" s="24"/>
      <c r="T145" s="24"/>
      <c r="U145" s="24"/>
      <c r="V145" s="24"/>
      <c r="W145" s="24"/>
      <c r="X145" s="24"/>
      <c r="Y145" s="24"/>
      <c r="Z145" s="24"/>
      <c r="AA145" s="24"/>
      <c r="AB145" s="24"/>
    </row>
    <row r="146" spans="1:28" ht="173.9">
      <c r="A146" s="26" t="s">
        <v>1351</v>
      </c>
      <c r="B146" s="26" t="s">
        <v>1352</v>
      </c>
      <c r="C146" s="26" t="s">
        <v>1353</v>
      </c>
      <c r="D146" s="25" t="s">
        <v>2126</v>
      </c>
      <c r="E146" s="25" t="s">
        <v>2127</v>
      </c>
      <c r="F146" s="25" t="s">
        <v>2128</v>
      </c>
      <c r="G146" s="57" t="str">
        <f>HYPERLINK("https://www.acquisition.gov/content/subpart-261-indian-incentive-program#id1617MA080LS","FAR Subpart 26.1 Indian incentive program [other socioeconomic programs].")</f>
        <v>FAR Subpart 26.1 Indian incentive program [other socioeconomic programs].</v>
      </c>
      <c r="H146" s="25"/>
      <c r="I146" s="34" t="s">
        <v>1603</v>
      </c>
      <c r="J146" s="37" t="s">
        <v>203</v>
      </c>
      <c r="K146" s="75" t="s">
        <v>1475</v>
      </c>
      <c r="L146" s="25" t="s">
        <v>2122</v>
      </c>
      <c r="M146" s="25" t="s">
        <v>1741</v>
      </c>
      <c r="N146" s="25" t="s">
        <v>1606</v>
      </c>
      <c r="O146" s="64"/>
      <c r="P146" s="45" t="b">
        <f t="shared" si="25"/>
        <v>0</v>
      </c>
      <c r="Q146" s="45">
        <f t="shared" si="26"/>
        <v>3</v>
      </c>
      <c r="R146" s="45">
        <f t="shared" si="27"/>
        <v>0</v>
      </c>
      <c r="S146" s="24"/>
      <c r="T146" s="24"/>
      <c r="U146" s="24"/>
      <c r="V146" s="24"/>
      <c r="W146" s="24"/>
      <c r="X146" s="24"/>
      <c r="Y146" s="24"/>
      <c r="Z146" s="24"/>
      <c r="AA146" s="24"/>
      <c r="AB146" s="24"/>
    </row>
    <row r="147" spans="1:28" ht="173.9">
      <c r="A147" s="26" t="s">
        <v>1351</v>
      </c>
      <c r="B147" s="26" t="s">
        <v>1352</v>
      </c>
      <c r="C147" s="26" t="s">
        <v>1353</v>
      </c>
      <c r="D147" s="25" t="s">
        <v>2135</v>
      </c>
      <c r="E147" s="25" t="s">
        <v>2136</v>
      </c>
      <c r="F147" s="25" t="s">
        <v>2138</v>
      </c>
      <c r="G147" s="57" t="str">
        <f>HYPERLINK("https://www.acquisition.gov/browse/index/far","FAR 2.101 Make-or-buy program [definitions]. FAR 15.407-2 Make-or-buy programs [special cost or pricing areas].")</f>
        <v>FAR 2.101 Make-or-buy program [definitions]. FAR 15.407-2 Make-or-buy programs [special cost or pricing areas].</v>
      </c>
      <c r="H147" s="25"/>
      <c r="I147" s="34" t="s">
        <v>1603</v>
      </c>
      <c r="J147" s="37" t="s">
        <v>203</v>
      </c>
      <c r="K147" s="75" t="s">
        <v>1475</v>
      </c>
      <c r="L147" s="25" t="s">
        <v>2122</v>
      </c>
      <c r="M147" s="25" t="s">
        <v>1741</v>
      </c>
      <c r="N147" s="25" t="s">
        <v>1606</v>
      </c>
      <c r="O147" s="64"/>
      <c r="P147" s="45" t="b">
        <f t="shared" si="25"/>
        <v>0</v>
      </c>
      <c r="Q147" s="45">
        <f t="shared" si="26"/>
        <v>3</v>
      </c>
      <c r="R147" s="45">
        <f t="shared" si="27"/>
        <v>0</v>
      </c>
      <c r="S147" s="24"/>
      <c r="T147" s="24"/>
      <c r="U147" s="24"/>
      <c r="V147" s="24"/>
      <c r="W147" s="24"/>
      <c r="X147" s="24"/>
      <c r="Y147" s="24"/>
      <c r="Z147" s="24"/>
      <c r="AA147" s="24"/>
      <c r="AB147" s="24"/>
    </row>
    <row r="148" spans="1:28" ht="184.75">
      <c r="A148" s="26" t="s">
        <v>1351</v>
      </c>
      <c r="B148" s="26" t="s">
        <v>1352</v>
      </c>
      <c r="C148" s="26" t="s">
        <v>1353</v>
      </c>
      <c r="D148" s="25" t="s">
        <v>2146</v>
      </c>
      <c r="E148" s="25" t="s">
        <v>2147</v>
      </c>
      <c r="F148" s="25" t="s">
        <v>2148</v>
      </c>
      <c r="G148" s="57" t="str">
        <f>HYPERLINK("https://www.acquisition.gov/content/15407-2-make-or-buy-programs","FAR 15.407-2(d) Solicitation requirements [make-or-buy programs]. FAR 15.407-2(e) Program requirements [make-or-buy programs].")</f>
        <v>FAR 15.407-2(d) Solicitation requirements [make-or-buy programs]. FAR 15.407-2(e) Program requirements [make-or-buy programs].</v>
      </c>
      <c r="H148" s="25"/>
      <c r="I148" s="34" t="s">
        <v>1603</v>
      </c>
      <c r="J148" s="37" t="s">
        <v>203</v>
      </c>
      <c r="K148" s="75" t="s">
        <v>1475</v>
      </c>
      <c r="L148" s="25" t="s">
        <v>2150</v>
      </c>
      <c r="M148" s="25" t="s">
        <v>1741</v>
      </c>
      <c r="N148" s="25" t="s">
        <v>1606</v>
      </c>
      <c r="O148" s="64"/>
      <c r="P148" s="45" t="b">
        <f t="shared" si="25"/>
        <v>0</v>
      </c>
      <c r="Q148" s="45">
        <f t="shared" si="26"/>
        <v>3</v>
      </c>
      <c r="R148" s="45">
        <f t="shared" si="27"/>
        <v>0</v>
      </c>
      <c r="S148" s="24"/>
      <c r="T148" s="24"/>
      <c r="U148" s="24"/>
      <c r="V148" s="24"/>
      <c r="W148" s="24"/>
      <c r="X148" s="24"/>
      <c r="Y148" s="24"/>
      <c r="Z148" s="24"/>
      <c r="AA148" s="24"/>
      <c r="AB148" s="24"/>
    </row>
    <row r="149" spans="1:28" ht="97.85">
      <c r="A149" s="26" t="s">
        <v>1351</v>
      </c>
      <c r="B149" s="26" t="s">
        <v>1352</v>
      </c>
      <c r="C149" s="26" t="s">
        <v>1353</v>
      </c>
      <c r="D149" s="25" t="s">
        <v>2153</v>
      </c>
      <c r="E149" s="25" t="s">
        <v>2156</v>
      </c>
      <c r="F149" s="25" t="s">
        <v>2157</v>
      </c>
      <c r="G149" s="57" t="str">
        <f>HYPERLINK("https://www.acquisition.gov/content/19705-1-general#id1617MD0106V","FAR 19.705-1 General support of the program [responsibilities of the contracting officer under the subcontracting assistance program]. ")</f>
        <v xml:space="preserve">FAR 19.705-1 General support of the program [responsibilities of the contracting officer under the subcontracting assistance program]. </v>
      </c>
      <c r="H149" s="25"/>
      <c r="I149" s="34"/>
      <c r="J149" s="37" t="s">
        <v>463</v>
      </c>
      <c r="K149" s="37" t="s">
        <v>2161</v>
      </c>
      <c r="L149" s="25" t="s">
        <v>2162</v>
      </c>
      <c r="M149" s="25" t="s">
        <v>2163</v>
      </c>
      <c r="N149" s="25" t="s">
        <v>2164</v>
      </c>
      <c r="O149" s="64"/>
      <c r="P149" s="45" t="b">
        <f t="shared" si="25"/>
        <v>0</v>
      </c>
      <c r="Q149" s="45">
        <f t="shared" si="26"/>
        <v>0</v>
      </c>
      <c r="R149" s="45">
        <f t="shared" si="27"/>
        <v>0</v>
      </c>
      <c r="S149" s="24"/>
      <c r="T149" s="24"/>
      <c r="U149" s="24"/>
      <c r="V149" s="24"/>
      <c r="W149" s="24"/>
      <c r="X149" s="24"/>
      <c r="Y149" s="24"/>
      <c r="Z149" s="24"/>
      <c r="AA149" s="24"/>
      <c r="AB149" s="24"/>
    </row>
    <row r="150" spans="1:28" ht="97.85">
      <c r="A150" s="26" t="s">
        <v>1351</v>
      </c>
      <c r="B150" s="26" t="s">
        <v>1352</v>
      </c>
      <c r="C150" s="26" t="s">
        <v>1353</v>
      </c>
      <c r="D150" s="26" t="s">
        <v>2165</v>
      </c>
      <c r="E150" s="25" t="s">
        <v>2166</v>
      </c>
      <c r="F150" s="25" t="s">
        <v>2167</v>
      </c>
      <c r="G150" s="57" t="str">
        <f>HYPERLINK("https://www.acquisition.gov/browse/index/far","FAR 2.101 Definitions [organizational conflict of interest]. FAR 9.502 Applicability")</f>
        <v>FAR 2.101 Definitions [organizational conflict of interest]. FAR 9.502 Applicability</v>
      </c>
      <c r="H150" s="25"/>
      <c r="I150" s="34" t="s">
        <v>951</v>
      </c>
      <c r="J150" s="37" t="s">
        <v>919</v>
      </c>
      <c r="K150" s="37" t="s">
        <v>2168</v>
      </c>
      <c r="L150" s="25" t="s">
        <v>2169</v>
      </c>
      <c r="M150" s="25" t="s">
        <v>2170</v>
      </c>
      <c r="N150" s="25" t="s">
        <v>2171</v>
      </c>
      <c r="O150" s="64"/>
      <c r="P150" s="45" t="b">
        <f t="shared" si="25"/>
        <v>0</v>
      </c>
      <c r="Q150" s="45">
        <f t="shared" si="26"/>
        <v>3</v>
      </c>
      <c r="R150" s="45">
        <f t="shared" si="27"/>
        <v>0</v>
      </c>
      <c r="S150" s="24"/>
      <c r="T150" s="24"/>
      <c r="U150" s="24"/>
      <c r="V150" s="24"/>
      <c r="W150" s="24"/>
      <c r="X150" s="24"/>
      <c r="Y150" s="24"/>
      <c r="Z150" s="24"/>
      <c r="AA150" s="24"/>
      <c r="AB150" s="24"/>
    </row>
    <row r="151" spans="1:28" ht="152.15">
      <c r="A151" s="26" t="s">
        <v>1351</v>
      </c>
      <c r="B151" s="26" t="s">
        <v>1352</v>
      </c>
      <c r="C151" s="26" t="s">
        <v>1353</v>
      </c>
      <c r="D151" s="26" t="s">
        <v>2172</v>
      </c>
      <c r="E151" s="25" t="s">
        <v>2173</v>
      </c>
      <c r="F151" s="25" t="s">
        <v>2174</v>
      </c>
      <c r="G151" s="57" t="str">
        <f>HYPERLINK("https://www.acquisition.gov/content/9506-procedures#i1115044","FAR 9.506 Procedures.")</f>
        <v>FAR 9.506 Procedures.</v>
      </c>
      <c r="H151" s="25"/>
      <c r="I151" s="34" t="s">
        <v>951</v>
      </c>
      <c r="J151" s="37" t="s">
        <v>919</v>
      </c>
      <c r="K151" s="37" t="s">
        <v>2180</v>
      </c>
      <c r="L151" s="25" t="s">
        <v>2181</v>
      </c>
      <c r="M151" s="25" t="s">
        <v>2182</v>
      </c>
      <c r="N151" s="25" t="s">
        <v>2183</v>
      </c>
      <c r="O151" s="64"/>
      <c r="P151" s="45" t="b">
        <f t="shared" si="25"/>
        <v>0</v>
      </c>
      <c r="Q151" s="45">
        <f t="shared" si="26"/>
        <v>3</v>
      </c>
      <c r="R151" s="45">
        <f t="shared" si="27"/>
        <v>0</v>
      </c>
      <c r="S151" s="24"/>
      <c r="T151" s="24"/>
      <c r="U151" s="24"/>
      <c r="V151" s="24"/>
      <c r="W151" s="24"/>
      <c r="X151" s="24"/>
      <c r="Y151" s="24"/>
      <c r="Z151" s="24"/>
      <c r="AA151" s="24"/>
      <c r="AB151" s="24"/>
    </row>
    <row r="152" spans="1:28" ht="119.55">
      <c r="A152" s="26" t="s">
        <v>1351</v>
      </c>
      <c r="B152" s="26" t="s">
        <v>1352</v>
      </c>
      <c r="C152" s="26" t="s">
        <v>1353</v>
      </c>
      <c r="D152" s="26" t="s">
        <v>2187</v>
      </c>
      <c r="E152" s="25" t="s">
        <v>2188</v>
      </c>
      <c r="F152" s="25" t="s">
        <v>2189</v>
      </c>
      <c r="G152" s="57" t="str">
        <f>HYPERLINK("https://www.acquisition.gov/content/9506-procedures#i1115044","FAR 9.506(b) Procedures.")</f>
        <v>FAR 9.506(b) Procedures.</v>
      </c>
      <c r="H152" s="25"/>
      <c r="I152" s="34" t="s">
        <v>951</v>
      </c>
      <c r="J152" s="37" t="s">
        <v>919</v>
      </c>
      <c r="K152" s="37" t="s">
        <v>2193</v>
      </c>
      <c r="L152" s="25" t="s">
        <v>2194</v>
      </c>
      <c r="M152" s="25" t="s">
        <v>2195</v>
      </c>
      <c r="N152" s="25" t="s">
        <v>2196</v>
      </c>
      <c r="O152" s="64"/>
      <c r="P152" s="45" t="b">
        <f t="shared" si="25"/>
        <v>0</v>
      </c>
      <c r="Q152" s="45">
        <f t="shared" si="26"/>
        <v>3</v>
      </c>
      <c r="R152" s="45">
        <f t="shared" si="27"/>
        <v>0</v>
      </c>
      <c r="S152" s="24"/>
      <c r="T152" s="24"/>
      <c r="U152" s="24"/>
      <c r="V152" s="24"/>
      <c r="W152" s="24"/>
      <c r="X152" s="24"/>
      <c r="Y152" s="24"/>
      <c r="Z152" s="24"/>
      <c r="AA152" s="24"/>
      <c r="AB152" s="24"/>
    </row>
    <row r="153" spans="1:28" ht="97.85">
      <c r="A153" s="26" t="s">
        <v>1351</v>
      </c>
      <c r="B153" s="26" t="s">
        <v>1352</v>
      </c>
      <c r="C153" s="26" t="s">
        <v>1353</v>
      </c>
      <c r="D153" s="26" t="s">
        <v>2200</v>
      </c>
      <c r="E153" s="25" t="s">
        <v>2201</v>
      </c>
      <c r="F153" s="25" t="s">
        <v>2202</v>
      </c>
      <c r="G153" s="57" t="str">
        <f>HYPERLINK("https://www.acquisition.gov/content/9506-procedures#i1115044","FAR 9.506(b) Procedures")</f>
        <v>FAR 9.506(b) Procedures</v>
      </c>
      <c r="H153" s="25"/>
      <c r="I153" s="34" t="s">
        <v>2207</v>
      </c>
      <c r="J153" s="37" t="s">
        <v>919</v>
      </c>
      <c r="K153" s="37" t="s">
        <v>2208</v>
      </c>
      <c r="L153" s="25" t="s">
        <v>2209</v>
      </c>
      <c r="M153" s="25" t="s">
        <v>2210</v>
      </c>
      <c r="N153" s="25" t="s">
        <v>2211</v>
      </c>
      <c r="O153" s="64"/>
      <c r="P153" s="45" t="b">
        <f t="shared" si="25"/>
        <v>0</v>
      </c>
      <c r="Q153" s="45">
        <f t="shared" si="26"/>
        <v>3</v>
      </c>
      <c r="R153" s="45">
        <f t="shared" si="27"/>
        <v>0</v>
      </c>
      <c r="S153" s="24"/>
      <c r="T153" s="24"/>
      <c r="U153" s="24"/>
      <c r="V153" s="24"/>
      <c r="W153" s="24"/>
      <c r="X153" s="24"/>
      <c r="Y153" s="24"/>
      <c r="Z153" s="24"/>
      <c r="AA153" s="24"/>
      <c r="AB153" s="24"/>
    </row>
    <row r="154" spans="1:28" ht="108.7">
      <c r="A154" s="26" t="s">
        <v>1351</v>
      </c>
      <c r="B154" s="26" t="s">
        <v>1352</v>
      </c>
      <c r="C154" s="26" t="s">
        <v>1353</v>
      </c>
      <c r="D154" s="26" t="s">
        <v>2214</v>
      </c>
      <c r="E154" s="25" t="s">
        <v>2215</v>
      </c>
      <c r="F154" s="25" t="s">
        <v>2216</v>
      </c>
      <c r="G154" s="57" t="str">
        <f>HYPERLINK("https://www.acquisition.gov/content/subpart-95-organizational-and-consultant-conflicts-interest#i1114943","FAR 9.506(b) Procedures. FAR 9.507-1 Solicitation provisions. FAR 9.507-2 Contract clause.")</f>
        <v>FAR 9.506(b) Procedures. FAR 9.507-1 Solicitation provisions. FAR 9.507-2 Contract clause.</v>
      </c>
      <c r="H154" s="25"/>
      <c r="I154" s="34" t="s">
        <v>2217</v>
      </c>
      <c r="J154" s="37" t="s">
        <v>203</v>
      </c>
      <c r="K154" s="37" t="s">
        <v>2218</v>
      </c>
      <c r="L154" s="25" t="s">
        <v>2219</v>
      </c>
      <c r="M154" s="25" t="s">
        <v>2220</v>
      </c>
      <c r="N154" s="25" t="s">
        <v>2221</v>
      </c>
      <c r="O154" s="64"/>
      <c r="P154" s="45" t="b">
        <f t="shared" si="25"/>
        <v>0</v>
      </c>
      <c r="Q154" s="45">
        <f t="shared" si="26"/>
        <v>3</v>
      </c>
      <c r="R154" s="45">
        <f t="shared" si="27"/>
        <v>0</v>
      </c>
      <c r="S154" s="24"/>
      <c r="T154" s="24"/>
      <c r="U154" s="24"/>
      <c r="V154" s="24"/>
      <c r="W154" s="24"/>
      <c r="X154" s="24"/>
      <c r="Y154" s="24"/>
      <c r="Z154" s="24"/>
      <c r="AA154" s="24"/>
      <c r="AB154" s="24"/>
    </row>
    <row r="155" spans="1:28" ht="4.5999999999999996" customHeight="1">
      <c r="A155" s="55"/>
      <c r="B155" s="55"/>
      <c r="C155" s="56"/>
      <c r="D155" s="56"/>
      <c r="E155" s="55"/>
      <c r="F155" s="55"/>
      <c r="G155" s="72"/>
      <c r="H155" s="72"/>
      <c r="I155" s="63"/>
      <c r="J155" s="63"/>
      <c r="K155" s="63"/>
      <c r="L155" s="63"/>
      <c r="M155" s="63"/>
      <c r="N155" s="63"/>
      <c r="O155" s="64"/>
      <c r="P155" s="45"/>
      <c r="Q155" s="45"/>
      <c r="R155" s="45"/>
      <c r="S155" s="24"/>
      <c r="T155" s="24"/>
      <c r="U155" s="24"/>
      <c r="V155" s="24"/>
      <c r="W155" s="24"/>
      <c r="X155" s="24"/>
      <c r="Y155" s="24"/>
      <c r="Z155" s="24"/>
      <c r="AA155" s="24"/>
      <c r="AB155" s="24"/>
    </row>
    <row r="156" spans="1:28" ht="130.44999999999999">
      <c r="A156" s="26" t="s">
        <v>2226</v>
      </c>
      <c r="B156" s="26" t="s">
        <v>2227</v>
      </c>
      <c r="C156" s="26" t="s">
        <v>2228</v>
      </c>
      <c r="D156" s="26" t="s">
        <v>2229</v>
      </c>
      <c r="E156" s="25" t="s">
        <v>2230</v>
      </c>
      <c r="F156" s="25" t="s">
        <v>2231</v>
      </c>
      <c r="G156" s="57" t="str">
        <f>HYPERLINK("https://www.acquisition.gov/content/14207-pre-bid-conference#i1110848","FAR 14.207 Pre-bid conference [solicitation of bids].")</f>
        <v>FAR 14.207 Pre-bid conference [solicitation of bids].</v>
      </c>
      <c r="H156" s="25"/>
      <c r="I156" s="34" t="s">
        <v>2235</v>
      </c>
      <c r="J156" s="37" t="s">
        <v>203</v>
      </c>
      <c r="K156" s="37" t="s">
        <v>2236</v>
      </c>
      <c r="L156" s="25" t="s">
        <v>2237</v>
      </c>
      <c r="M156" s="25" t="s">
        <v>2238</v>
      </c>
      <c r="N156" s="41" t="s">
        <v>2239</v>
      </c>
      <c r="O156" s="64"/>
      <c r="P156" s="45" t="b">
        <f t="shared" ref="P156:P162" si="29">IF(AND(O156="Meet the requirements traceability “out of the box”"), 10, IF(AND(O156="Can meet the requirements traceability with configuration or through the use of another commercial product “out of the box” or other arrangement as part of the service offering quoted (i.e. at no additional cost)"), 8, IF(AND(O156="Can meet the requirements traceability with customization at additional cost"), 3, IF(AND(O156="Cannot meet the requirements traceability requirement"), 0))))</f>
        <v>0</v>
      </c>
      <c r="Q156" s="45">
        <f t="shared" ref="Q156:Q162" si="30">IF(J156="Unidentified",0,3)</f>
        <v>3</v>
      </c>
      <c r="R156" s="45">
        <f t="shared" ref="R156:R162" si="31">IF(P156=FALSE,0,IF(P156&gt;4,(P156+Q156),P156))</f>
        <v>0</v>
      </c>
      <c r="S156" s="24"/>
      <c r="T156" s="24"/>
      <c r="U156" s="24"/>
      <c r="V156" s="24"/>
      <c r="W156" s="24"/>
      <c r="X156" s="24"/>
      <c r="Y156" s="24"/>
      <c r="Z156" s="24"/>
      <c r="AA156" s="24"/>
      <c r="AB156" s="24"/>
    </row>
    <row r="157" spans="1:28" ht="95.95" customHeight="1">
      <c r="A157" s="26" t="s">
        <v>2226</v>
      </c>
      <c r="B157" s="26" t="s">
        <v>2227</v>
      </c>
      <c r="C157" s="26" t="s">
        <v>2228</v>
      </c>
      <c r="D157" s="26" t="s">
        <v>2247</v>
      </c>
      <c r="E157" s="25" t="s">
        <v>2248</v>
      </c>
      <c r="F157" s="25" t="s">
        <v>1058</v>
      </c>
      <c r="G157" s="57" t="str">
        <f>HYPERLINK("https://www.acquisition.gov/sites/default/files/current/far/html/Subpart%2015_1.html#wp1095853","FAR 15.101 Best value continuum [source selection processes and techniques]")</f>
        <v>FAR 15.101 Best value continuum [source selection processes and techniques]</v>
      </c>
      <c r="H157" s="25"/>
      <c r="I157" s="34" t="s">
        <v>2235</v>
      </c>
      <c r="J157" s="37" t="s">
        <v>203</v>
      </c>
      <c r="K157" s="37" t="s">
        <v>2253</v>
      </c>
      <c r="L157" s="25" t="s">
        <v>2254</v>
      </c>
      <c r="M157" s="25" t="s">
        <v>2255</v>
      </c>
      <c r="N157" s="25" t="s">
        <v>2256</v>
      </c>
      <c r="O157" s="64"/>
      <c r="P157" s="45" t="b">
        <f t="shared" si="29"/>
        <v>0</v>
      </c>
      <c r="Q157" s="45">
        <f t="shared" si="30"/>
        <v>3</v>
      </c>
      <c r="R157" s="45">
        <f t="shared" si="31"/>
        <v>0</v>
      </c>
      <c r="S157" s="24"/>
      <c r="T157" s="24"/>
      <c r="U157" s="24"/>
      <c r="V157" s="24"/>
      <c r="W157" s="24"/>
      <c r="X157" s="24"/>
      <c r="Y157" s="24"/>
      <c r="Z157" s="24"/>
      <c r="AA157" s="24"/>
      <c r="AB157" s="24"/>
    </row>
    <row r="158" spans="1:28" ht="206.5">
      <c r="A158" s="26" t="s">
        <v>2226</v>
      </c>
      <c r="B158" s="26" t="s">
        <v>2227</v>
      </c>
      <c r="C158" s="26" t="s">
        <v>2228</v>
      </c>
      <c r="D158" s="26" t="s">
        <v>2260</v>
      </c>
      <c r="E158" s="25" t="s">
        <v>2261</v>
      </c>
      <c r="F158" s="25" t="s">
        <v>2262</v>
      </c>
      <c r="G158" s="57" t="str">
        <f>HYPERLINK("https://www.acquisition.gov/content/subpart-54-release-information#id1617MA000IJ","FAR 5.4 Release of information [publicizing contract actions].")</f>
        <v>FAR 5.4 Release of information [publicizing contract actions].</v>
      </c>
      <c r="H158" s="57" t="str">
        <f>HYPERLINK("https://www.acquisition.gov/sites/default/files/current/gsam/html/Part505.html#wp1858255","GSAR 505.4")</f>
        <v>GSAR 505.4</v>
      </c>
      <c r="I158" s="34" t="s">
        <v>2269</v>
      </c>
      <c r="J158" s="37" t="s">
        <v>203</v>
      </c>
      <c r="K158" s="37" t="s">
        <v>2270</v>
      </c>
      <c r="L158" s="25" t="s">
        <v>2271</v>
      </c>
      <c r="M158" s="25" t="s">
        <v>2272</v>
      </c>
      <c r="N158" s="41" t="s">
        <v>2273</v>
      </c>
      <c r="O158" s="64"/>
      <c r="P158" s="45" t="b">
        <f t="shared" si="29"/>
        <v>0</v>
      </c>
      <c r="Q158" s="45">
        <f t="shared" si="30"/>
        <v>3</v>
      </c>
      <c r="R158" s="45">
        <f t="shared" si="31"/>
        <v>0</v>
      </c>
      <c r="S158" s="24"/>
      <c r="T158" s="24"/>
      <c r="U158" s="24"/>
      <c r="V158" s="24"/>
      <c r="W158" s="24"/>
      <c r="X158" s="24"/>
      <c r="Y158" s="24"/>
      <c r="Z158" s="24"/>
      <c r="AA158" s="24"/>
      <c r="AB158" s="24"/>
    </row>
    <row r="159" spans="1:28" ht="206.5">
      <c r="A159" s="26" t="s">
        <v>2226</v>
      </c>
      <c r="B159" s="26" t="s">
        <v>2227</v>
      </c>
      <c r="C159" s="26" t="s">
        <v>2228</v>
      </c>
      <c r="D159" s="26" t="s">
        <v>2274</v>
      </c>
      <c r="E159" s="25" t="s">
        <v>2276</v>
      </c>
      <c r="F159" s="25" t="s">
        <v>2262</v>
      </c>
      <c r="G159" s="86" t="e">
        <f>HYPERLINK("https://www.acquisition.gov/browse/index/far","FAR 3.104-4 Disclosure, protection, and marking of contractor bid or proposal information and source selection information [procurement integrity]. FAR 5.406 Public disclosure of justification documents for certain contract actions. FAR 9.105-3 Disclosure"&amp;" of preaward information [contractor qualifications]. FAR 14.211 Release of acquisition information [sealed bidding]. FAR 14.401 Receipt and safeguarding of bids [opening of bids and award of contract]. FAR 14.402-1 Unclassified bids [opening of bids]. FA"&amp;"R 14.402-2 Classified bids [opening of bids]. FAR 15.201 Exchanges with industry before receipt of proposals. FAR 15.207 Handling proposals and information. FAR 15.306 Exchanges with offerors after receipt of proposals. FAR 15.503 Notifications to unsucce"&amp;"ssful offerors. FAR 15.505 Preaward debriefing of offerors. ")</f>
        <v>#VALUE!</v>
      </c>
      <c r="H159" s="57" t="str">
        <f>HYPERLINK("https://www.acquisition.gov/sites/default/files/current/gsam/html/GSAMTOC.html","GSAR 503.104; GSAR 509.105; GSAR 514.211; GSAR 514.401; GSAR 514.402; GSAR 515.201; GSAR 515.306")</f>
        <v>GSAR 503.104; GSAR 509.105; GSAR 514.211; GSAR 514.401; GSAR 514.402; GSAR 515.201; GSAR 515.306</v>
      </c>
      <c r="I159" s="34" t="s">
        <v>2269</v>
      </c>
      <c r="J159" s="37" t="s">
        <v>203</v>
      </c>
      <c r="K159" s="75" t="s">
        <v>2270</v>
      </c>
      <c r="L159" s="25" t="s">
        <v>2285</v>
      </c>
      <c r="M159" s="25" t="s">
        <v>2272</v>
      </c>
      <c r="N159" s="41" t="s">
        <v>2273</v>
      </c>
      <c r="O159" s="64"/>
      <c r="P159" s="45" t="b">
        <f t="shared" si="29"/>
        <v>0</v>
      </c>
      <c r="Q159" s="45">
        <f t="shared" si="30"/>
        <v>3</v>
      </c>
      <c r="R159" s="45">
        <f t="shared" si="31"/>
        <v>0</v>
      </c>
      <c r="S159" s="24"/>
      <c r="T159" s="24"/>
      <c r="U159" s="24"/>
      <c r="V159" s="24"/>
      <c r="W159" s="24"/>
      <c r="X159" s="24"/>
      <c r="Y159" s="24"/>
      <c r="Z159" s="24"/>
      <c r="AA159" s="24"/>
      <c r="AB159" s="24"/>
    </row>
    <row r="160" spans="1:28" ht="206.5">
      <c r="A160" s="26" t="s">
        <v>2226</v>
      </c>
      <c r="B160" s="26" t="s">
        <v>2227</v>
      </c>
      <c r="C160" s="26" t="s">
        <v>2228</v>
      </c>
      <c r="D160" s="26" t="s">
        <v>2288</v>
      </c>
      <c r="E160" s="25" t="s">
        <v>2289</v>
      </c>
      <c r="F160" s="25" t="s">
        <v>2290</v>
      </c>
      <c r="G160" s="57" t="str">
        <f>HYPERLINK("https://www.acquisition.gov/content/3104-4-disclosure-protection-and-marking-contractor-bid-or-proposal-information-and-source#i1124830","FAR 3.104-4(c) Disclosure, protection, and marking of contractor bid or proposal information and source selection information [procurement integrity]. ")</f>
        <v xml:space="preserve">FAR 3.104-4(c) Disclosure, protection, and marking of contractor bid or proposal information and source selection information [procurement integrity]. </v>
      </c>
      <c r="H160" s="57" t="str">
        <f>HYPERLINK("https://www.acquisition.gov/sites/default/files/current/gsam/html/Part503.html#wp1859279","GSAR 503.104-4")</f>
        <v>GSAR 503.104-4</v>
      </c>
      <c r="I160" s="34" t="s">
        <v>2269</v>
      </c>
      <c r="J160" s="37" t="s">
        <v>203</v>
      </c>
      <c r="K160" s="75" t="s">
        <v>2270</v>
      </c>
      <c r="L160" s="25" t="s">
        <v>2285</v>
      </c>
      <c r="M160" s="25" t="s">
        <v>2272</v>
      </c>
      <c r="N160" s="41" t="s">
        <v>2273</v>
      </c>
      <c r="O160" s="64"/>
      <c r="P160" s="45" t="b">
        <f t="shared" si="29"/>
        <v>0</v>
      </c>
      <c r="Q160" s="45">
        <f t="shared" si="30"/>
        <v>3</v>
      </c>
      <c r="R160" s="45">
        <f t="shared" si="31"/>
        <v>0</v>
      </c>
      <c r="S160" s="24"/>
      <c r="T160" s="24"/>
      <c r="U160" s="24"/>
      <c r="V160" s="24"/>
      <c r="W160" s="24"/>
      <c r="X160" s="24"/>
      <c r="Y160" s="24"/>
      <c r="Z160" s="24"/>
      <c r="AA160" s="24"/>
      <c r="AB160" s="24"/>
    </row>
    <row r="161" spans="1:28" ht="108.7">
      <c r="A161" s="26" t="s">
        <v>2226</v>
      </c>
      <c r="B161" s="26" t="s">
        <v>2227</v>
      </c>
      <c r="C161" s="26" t="s">
        <v>2228</v>
      </c>
      <c r="D161" s="26" t="s">
        <v>2298</v>
      </c>
      <c r="E161" s="25" t="s">
        <v>2299</v>
      </c>
      <c r="F161" s="25" t="s">
        <v>2300</v>
      </c>
      <c r="G161" s="57" t="str">
        <f>HYPERLINK("https://www.acquisition.gov/sites/default/files/current/far/html/FARMTOC.html","FAR 14.208 Amendment of invitation for bids. FAR 14.209 Cancellation of invitations before opening. FAR 15.206 Amending the solicitation.")</f>
        <v>FAR 14.208 Amendment of invitation for bids. FAR 14.209 Cancellation of invitations before opening. FAR 15.206 Amending the solicitation.</v>
      </c>
      <c r="H161" s="25"/>
      <c r="I161" s="34" t="s">
        <v>2305</v>
      </c>
      <c r="J161" s="37" t="s">
        <v>203</v>
      </c>
      <c r="K161" s="37" t="s">
        <v>2306</v>
      </c>
      <c r="L161" s="25" t="s">
        <v>2307</v>
      </c>
      <c r="M161" s="25" t="s">
        <v>2308</v>
      </c>
      <c r="N161" s="41" t="s">
        <v>2309</v>
      </c>
      <c r="O161" s="64"/>
      <c r="P161" s="45" t="b">
        <f t="shared" si="29"/>
        <v>0</v>
      </c>
      <c r="Q161" s="45">
        <f t="shared" si="30"/>
        <v>3</v>
      </c>
      <c r="R161" s="45">
        <f t="shared" si="31"/>
        <v>0</v>
      </c>
      <c r="S161" s="24"/>
      <c r="T161" s="24"/>
      <c r="U161" s="24"/>
      <c r="V161" s="24"/>
      <c r="W161" s="24"/>
      <c r="X161" s="24"/>
      <c r="Y161" s="24"/>
      <c r="Z161" s="24"/>
      <c r="AA161" s="24"/>
      <c r="AB161" s="24"/>
    </row>
    <row r="162" spans="1:28" ht="130.44999999999999">
      <c r="A162" s="26" t="s">
        <v>2226</v>
      </c>
      <c r="B162" s="26" t="s">
        <v>2227</v>
      </c>
      <c r="C162" s="26" t="s">
        <v>2228</v>
      </c>
      <c r="D162" s="26" t="s">
        <v>2312</v>
      </c>
      <c r="E162" s="25" t="s">
        <v>2313</v>
      </c>
      <c r="F162" s="25" t="s">
        <v>2314</v>
      </c>
      <c r="G162" s="57" t="str">
        <f>HYPERLINK("https://www.acquisition.gov/content/15201-exchanges-industry-receipt-proposals#i1108766","FAR 15.201 Exchanges with industry before receipt of proposals.")</f>
        <v>FAR 15.201 Exchanges with industry before receipt of proposals.</v>
      </c>
      <c r="H162" s="57" t="str">
        <f>HYPERLINK("https://www.acquisition.gov/sites/default/files/current/gsam/html/Part515.html#wp1870225","GSAR 515.201")</f>
        <v>GSAR 515.201</v>
      </c>
      <c r="I162" s="34" t="s">
        <v>2323</v>
      </c>
      <c r="J162" s="37" t="s">
        <v>203</v>
      </c>
      <c r="K162" s="37" t="s">
        <v>2328</v>
      </c>
      <c r="L162" s="25" t="s">
        <v>2329</v>
      </c>
      <c r="M162" s="25" t="s">
        <v>2330</v>
      </c>
      <c r="N162" s="41" t="s">
        <v>2331</v>
      </c>
      <c r="O162" s="64"/>
      <c r="P162" s="45" t="b">
        <f t="shared" si="29"/>
        <v>0</v>
      </c>
      <c r="Q162" s="45">
        <f t="shared" si="30"/>
        <v>3</v>
      </c>
      <c r="R162" s="45">
        <f t="shared" si="31"/>
        <v>0</v>
      </c>
      <c r="S162" s="24"/>
      <c r="T162" s="24"/>
      <c r="U162" s="24"/>
      <c r="V162" s="24"/>
      <c r="W162" s="24"/>
      <c r="X162" s="24"/>
      <c r="Y162" s="24"/>
      <c r="Z162" s="24"/>
      <c r="AA162" s="24"/>
      <c r="AB162" s="24"/>
    </row>
    <row r="163" spans="1:28" ht="4.5999999999999996" customHeight="1">
      <c r="A163" s="55"/>
      <c r="B163" s="55"/>
      <c r="C163" s="56"/>
      <c r="D163" s="56"/>
      <c r="E163" s="55"/>
      <c r="F163" s="55"/>
      <c r="G163" s="72"/>
      <c r="H163" s="72"/>
      <c r="I163" s="63"/>
      <c r="J163" s="63"/>
      <c r="K163" s="63"/>
      <c r="L163" s="63"/>
      <c r="M163" s="63"/>
      <c r="N163" s="63"/>
      <c r="O163" s="64"/>
      <c r="P163" s="45"/>
      <c r="Q163" s="45"/>
      <c r="R163" s="45"/>
      <c r="S163" s="24"/>
      <c r="T163" s="24"/>
      <c r="U163" s="24"/>
      <c r="V163" s="24"/>
      <c r="W163" s="24"/>
      <c r="X163" s="24"/>
      <c r="Y163" s="24"/>
      <c r="Z163" s="24"/>
      <c r="AA163" s="24"/>
      <c r="AB163" s="24"/>
    </row>
    <row r="164" spans="1:28" ht="108.7">
      <c r="A164" s="26" t="s">
        <v>2335</v>
      </c>
      <c r="B164" s="26" t="s">
        <v>2336</v>
      </c>
      <c r="C164" s="26" t="s">
        <v>2337</v>
      </c>
      <c r="D164" s="26" t="s">
        <v>2338</v>
      </c>
      <c r="E164" s="25" t="s">
        <v>2339</v>
      </c>
      <c r="F164" s="25" t="s">
        <v>1779</v>
      </c>
      <c r="G164" s="57" t="str">
        <f>HYPERLINK("https://www.acquisition.gov/content/19805-2-procedures#i1099973","FAR 19.805-2 Procedures [competitive 8(a)]. ")</f>
        <v xml:space="preserve">FAR 19.805-2 Procedures [competitive 8(a)]. </v>
      </c>
      <c r="H164" s="103"/>
      <c r="I164" s="34" t="s">
        <v>2344</v>
      </c>
      <c r="J164" s="37" t="s">
        <v>203</v>
      </c>
      <c r="K164" s="37" t="s">
        <v>2346</v>
      </c>
      <c r="L164" s="25" t="s">
        <v>2347</v>
      </c>
      <c r="M164" s="25" t="s">
        <v>2348</v>
      </c>
      <c r="N164" s="41" t="s">
        <v>2349</v>
      </c>
      <c r="O164" s="64"/>
      <c r="P164" s="45" t="b">
        <f t="shared" ref="P164:P173" si="32">IF(AND(O164="Meet the requirements traceability “out of the box”"), 10, IF(AND(O164="Can meet the requirements traceability with configuration or through the use of another commercial product “out of the box” or other arrangement as part of the service offering quoted (i.e. at no additional cost)"), 8, IF(AND(O164="Can meet the requirements traceability with customization at additional cost"), 3, IF(AND(O164="Cannot meet the requirements traceability requirement"), 0))))</f>
        <v>0</v>
      </c>
      <c r="Q164" s="45">
        <f t="shared" ref="Q164:Q173" si="33">IF(J164="Unidentified",0,3)</f>
        <v>3</v>
      </c>
      <c r="R164" s="45">
        <f t="shared" ref="R164:R173" si="34">IF(P164=FALSE,0,IF(P164&gt;4,(P164+Q164),P164))</f>
        <v>0</v>
      </c>
      <c r="S164" s="24"/>
      <c r="T164" s="24"/>
      <c r="U164" s="24"/>
      <c r="V164" s="24"/>
      <c r="W164" s="24"/>
      <c r="X164" s="24"/>
      <c r="Y164" s="24"/>
      <c r="Z164" s="24"/>
      <c r="AA164" s="24"/>
      <c r="AB164" s="24"/>
    </row>
    <row r="165" spans="1:28" ht="108.7">
      <c r="A165" s="26" t="s">
        <v>2335</v>
      </c>
      <c r="B165" s="26" t="s">
        <v>2336</v>
      </c>
      <c r="C165" s="26" t="s">
        <v>2337</v>
      </c>
      <c r="D165" s="26" t="s">
        <v>2358</v>
      </c>
      <c r="E165" s="85" t="s">
        <v>2359</v>
      </c>
      <c r="F165" s="85" t="s">
        <v>1694</v>
      </c>
      <c r="G165" s="86" t="e">
        <f>HYPERLINK("https://www.acquisition.gov/content/8405-ordering-procedures-federal-supply-schedules#i1117528","FAR 8.405-1(d)(3) For proposed orders exceeding the simplified acquisition threshold [ordering procedures for supplies, and services not requiring a statement of work]. FAR 8.405-3(b)(1)(ii)(B) If the estimated value of the BPA exceeds the simplified acqu"&amp;"isition threshold [for supplies, and for services not requiring a statement of work]. ")</f>
        <v>#VALUE!</v>
      </c>
      <c r="H165" s="25"/>
      <c r="I165" s="34" t="s">
        <v>2367</v>
      </c>
      <c r="J165" s="37" t="s">
        <v>203</v>
      </c>
      <c r="K165" s="37" t="s">
        <v>2368</v>
      </c>
      <c r="L165" s="25" t="s">
        <v>2369</v>
      </c>
      <c r="M165" s="25" t="s">
        <v>2370</v>
      </c>
      <c r="N165" s="41" t="s">
        <v>2371</v>
      </c>
      <c r="O165" s="64"/>
      <c r="P165" s="45" t="b">
        <f t="shared" si="32"/>
        <v>0</v>
      </c>
      <c r="Q165" s="45">
        <f t="shared" si="33"/>
        <v>3</v>
      </c>
      <c r="R165" s="45">
        <f t="shared" si="34"/>
        <v>0</v>
      </c>
      <c r="S165" s="24"/>
      <c r="T165" s="24"/>
      <c r="U165" s="24"/>
      <c r="V165" s="24"/>
      <c r="W165" s="24"/>
      <c r="X165" s="24"/>
      <c r="Y165" s="24"/>
      <c r="Z165" s="24"/>
      <c r="AA165" s="24"/>
      <c r="AB165" s="24"/>
    </row>
    <row r="166" spans="1:28" ht="130.44999999999999">
      <c r="A166" s="26" t="s">
        <v>2335</v>
      </c>
      <c r="B166" s="26" t="s">
        <v>2336</v>
      </c>
      <c r="C166" s="26" t="s">
        <v>2337</v>
      </c>
      <c r="D166" s="26" t="s">
        <v>2372</v>
      </c>
      <c r="E166" s="85" t="s">
        <v>2373</v>
      </c>
      <c r="F166" s="85" t="s">
        <v>1694</v>
      </c>
      <c r="G166" s="57" t="e">
        <f>HYPERLINK("https://www.acquisition.gov/content/8405-ordering-procedures-federal-supply-schedules#i1117528","FAR 8.405-2(c)(2)(ii) For orders exceeding micro-purchase but not exceeding the simplified acquisition threshold [request for quotation procedures]. FAR 8.405-3 (b)(2)(iv) If the estimated value of the BPA does not exceed the simplified acquisition thresh"&amp;"old [for services requiring a statement of work]. ")</f>
        <v>#VALUE!</v>
      </c>
      <c r="H166" s="25"/>
      <c r="I166" s="34" t="s">
        <v>2367</v>
      </c>
      <c r="J166" s="37" t="s">
        <v>203</v>
      </c>
      <c r="K166" s="75" t="s">
        <v>2368</v>
      </c>
      <c r="L166" s="25" t="s">
        <v>2369</v>
      </c>
      <c r="M166" s="25" t="s">
        <v>2370</v>
      </c>
      <c r="N166" s="41" t="s">
        <v>2371</v>
      </c>
      <c r="O166" s="64"/>
      <c r="P166" s="45" t="b">
        <f t="shared" si="32"/>
        <v>0</v>
      </c>
      <c r="Q166" s="45">
        <f t="shared" si="33"/>
        <v>3</v>
      </c>
      <c r="R166" s="45">
        <f t="shared" si="34"/>
        <v>0</v>
      </c>
      <c r="S166" s="24"/>
      <c r="T166" s="24"/>
      <c r="U166" s="24"/>
      <c r="V166" s="24"/>
      <c r="W166" s="24"/>
      <c r="X166" s="24"/>
      <c r="Y166" s="24"/>
      <c r="Z166" s="24"/>
      <c r="AA166" s="24"/>
      <c r="AB166" s="24"/>
    </row>
    <row r="167" spans="1:28" ht="119.55">
      <c r="A167" s="26" t="s">
        <v>2335</v>
      </c>
      <c r="B167" s="26" t="s">
        <v>2336</v>
      </c>
      <c r="C167" s="26" t="s">
        <v>2337</v>
      </c>
      <c r="D167" s="26" t="s">
        <v>2380</v>
      </c>
      <c r="E167" s="85" t="s">
        <v>2381</v>
      </c>
      <c r="F167" s="85" t="s">
        <v>1694</v>
      </c>
      <c r="G167" s="86" t="e">
        <f>HYPERLINK("https://www.acquisition.gov/content/8405-ordering-procedures-federal-supply-schedules#i1117528","FAR 8.405-2(c)(3)(iii) For orders exceeding the simplified acquisition threshold [request for quotation procedures]. FAR 8.405-3 (b)(2)(v) If the estimated value of the BPA exceeds the simplified acquisition threshold [for services requiring a statement o"&amp;"f work]. ")</f>
        <v>#VALUE!</v>
      </c>
      <c r="H167" s="25"/>
      <c r="I167" s="34" t="s">
        <v>2367</v>
      </c>
      <c r="J167" s="37" t="s">
        <v>203</v>
      </c>
      <c r="K167" s="75" t="s">
        <v>2368</v>
      </c>
      <c r="L167" s="25" t="s">
        <v>2369</v>
      </c>
      <c r="M167" s="25" t="s">
        <v>2370</v>
      </c>
      <c r="N167" s="41" t="s">
        <v>2371</v>
      </c>
      <c r="O167" s="64"/>
      <c r="P167" s="45" t="b">
        <f t="shared" si="32"/>
        <v>0</v>
      </c>
      <c r="Q167" s="45">
        <f t="shared" si="33"/>
        <v>3</v>
      </c>
      <c r="R167" s="45">
        <f t="shared" si="34"/>
        <v>0</v>
      </c>
      <c r="S167" s="24"/>
      <c r="T167" s="24"/>
      <c r="U167" s="24"/>
      <c r="V167" s="24"/>
      <c r="W167" s="24"/>
      <c r="X167" s="24"/>
      <c r="Y167" s="24"/>
      <c r="Z167" s="24"/>
      <c r="AA167" s="24"/>
      <c r="AB167" s="24"/>
    </row>
    <row r="168" spans="1:28" ht="119.55">
      <c r="A168" s="26" t="s">
        <v>2335</v>
      </c>
      <c r="B168" s="26" t="s">
        <v>2336</v>
      </c>
      <c r="C168" s="26" t="s">
        <v>2337</v>
      </c>
      <c r="D168" s="26" t="s">
        <v>2386</v>
      </c>
      <c r="E168" s="85" t="s">
        <v>2387</v>
      </c>
      <c r="F168" s="85" t="s">
        <v>1736</v>
      </c>
      <c r="G168" s="86" t="str">
        <f>HYPERLINK("https://www.acquisition.gov/content/8405-3-blanket-purchase-agreements-bpas","FAR 8.405-3(c)(iii) Orders exceeding the simplified acquisition threshold [multiple-award BPAs]. ")</f>
        <v xml:space="preserve">FAR 8.405-3(c)(iii) Orders exceeding the simplified acquisition threshold [multiple-award BPAs]. </v>
      </c>
      <c r="H168" s="25"/>
      <c r="I168" s="34" t="s">
        <v>2388</v>
      </c>
      <c r="J168" s="37" t="s">
        <v>203</v>
      </c>
      <c r="K168" s="37" t="s">
        <v>2389</v>
      </c>
      <c r="L168" s="25" t="s">
        <v>2390</v>
      </c>
      <c r="M168" s="25" t="s">
        <v>2391</v>
      </c>
      <c r="N168" s="41" t="s">
        <v>2371</v>
      </c>
      <c r="O168" s="64"/>
      <c r="P168" s="45" t="b">
        <f t="shared" si="32"/>
        <v>0</v>
      </c>
      <c r="Q168" s="45">
        <f t="shared" si="33"/>
        <v>3</v>
      </c>
      <c r="R168" s="45">
        <f t="shared" si="34"/>
        <v>0</v>
      </c>
      <c r="S168" s="24"/>
      <c r="T168" s="24"/>
      <c r="U168" s="24"/>
      <c r="V168" s="24"/>
      <c r="W168" s="24"/>
      <c r="X168" s="24"/>
      <c r="Y168" s="24"/>
      <c r="Z168" s="24"/>
      <c r="AA168" s="24"/>
      <c r="AB168" s="24"/>
    </row>
    <row r="169" spans="1:28" ht="119.55">
      <c r="A169" s="26" t="s">
        <v>2335</v>
      </c>
      <c r="B169" s="26" t="s">
        <v>2336</v>
      </c>
      <c r="C169" s="26" t="s">
        <v>2337</v>
      </c>
      <c r="D169" s="26" t="s">
        <v>2395</v>
      </c>
      <c r="E169" s="85" t="s">
        <v>2396</v>
      </c>
      <c r="F169" s="85" t="s">
        <v>1736</v>
      </c>
      <c r="G169" s="86" t="str">
        <f>HYPERLINK("https://www.acquisition.gov/content/8405-3-blanket-purchase-agreements-bpas","FAR 8.405-3(c)(2)(ii) Orders exceeding the micro-purchase threshold but not exceeding the simplified acquisition threshold [multiple-award BPAs]. ")</f>
        <v xml:space="preserve">FAR 8.405-3(c)(2)(ii) Orders exceeding the micro-purchase threshold but not exceeding the simplified acquisition threshold [multiple-award BPAs]. </v>
      </c>
      <c r="H169" s="25"/>
      <c r="I169" s="34" t="s">
        <v>2367</v>
      </c>
      <c r="J169" s="37" t="s">
        <v>203</v>
      </c>
      <c r="K169" s="75" t="s">
        <v>2368</v>
      </c>
      <c r="L169" s="25" t="s">
        <v>2369</v>
      </c>
      <c r="M169" s="25" t="s">
        <v>2370</v>
      </c>
      <c r="N169" s="41" t="s">
        <v>2371</v>
      </c>
      <c r="O169" s="64"/>
      <c r="P169" s="45" t="b">
        <f t="shared" si="32"/>
        <v>0</v>
      </c>
      <c r="Q169" s="45">
        <f t="shared" si="33"/>
        <v>3</v>
      </c>
      <c r="R169" s="45">
        <f t="shared" si="34"/>
        <v>0</v>
      </c>
      <c r="S169" s="24"/>
      <c r="T169" s="24"/>
      <c r="U169" s="24"/>
      <c r="V169" s="24"/>
      <c r="W169" s="24"/>
      <c r="X169" s="24"/>
      <c r="Y169" s="24"/>
      <c r="Z169" s="24"/>
      <c r="AA169" s="24"/>
      <c r="AB169" s="24"/>
    </row>
    <row r="170" spans="1:28" ht="108.7">
      <c r="A170" s="26" t="s">
        <v>2335</v>
      </c>
      <c r="B170" s="26" t="s">
        <v>2336</v>
      </c>
      <c r="C170" s="26" t="s">
        <v>2337</v>
      </c>
      <c r="D170" s="26" t="s">
        <v>2405</v>
      </c>
      <c r="E170" s="85" t="s">
        <v>2387</v>
      </c>
      <c r="F170" s="85" t="s">
        <v>2406</v>
      </c>
      <c r="G170" s="86" t="str">
        <f>HYPERLINK("https://www.acquisition.gov/content/8405-3-blanket-purchase-agreements-bpas","FAR 8.405-3(c)(iii) Orders exceeding the simplified acquisition threshold [multiple-award BPAs]. ")</f>
        <v xml:space="preserve">FAR 8.405-3(c)(iii) Orders exceeding the simplified acquisition threshold [multiple-award BPAs]. </v>
      </c>
      <c r="H170" s="25"/>
      <c r="I170" s="34" t="s">
        <v>2367</v>
      </c>
      <c r="J170" s="37" t="s">
        <v>203</v>
      </c>
      <c r="K170" s="75" t="s">
        <v>2368</v>
      </c>
      <c r="L170" s="25" t="s">
        <v>2369</v>
      </c>
      <c r="M170" s="25" t="s">
        <v>2370</v>
      </c>
      <c r="N170" s="41" t="s">
        <v>2371</v>
      </c>
      <c r="O170" s="64"/>
      <c r="P170" s="45" t="b">
        <f t="shared" si="32"/>
        <v>0</v>
      </c>
      <c r="Q170" s="45">
        <f t="shared" si="33"/>
        <v>3</v>
      </c>
      <c r="R170" s="45">
        <f t="shared" si="34"/>
        <v>0</v>
      </c>
      <c r="S170" s="24"/>
      <c r="T170" s="24"/>
      <c r="U170" s="24"/>
      <c r="V170" s="24"/>
      <c r="W170" s="24"/>
      <c r="X170" s="24"/>
      <c r="Y170" s="24"/>
      <c r="Z170" s="24"/>
      <c r="AA170" s="24"/>
      <c r="AB170" s="24"/>
    </row>
    <row r="171" spans="1:28" ht="141.30000000000001">
      <c r="A171" s="66" t="s">
        <v>2335</v>
      </c>
      <c r="B171" s="26" t="s">
        <v>2336</v>
      </c>
      <c r="C171" s="26" t="s">
        <v>2337</v>
      </c>
      <c r="D171" s="26" t="s">
        <v>2407</v>
      </c>
      <c r="E171" s="25" t="s">
        <v>2408</v>
      </c>
      <c r="F171" s="25" t="s">
        <v>2409</v>
      </c>
      <c r="G171" s="57" t="str">
        <f>HYPERLINK("https://www.acquisition.gov/content/13106-1-soliciting-competition#i1112291","FAR 13.106-1 Soliciting competition [simplified acquisition procedures].")</f>
        <v>FAR 13.106-1 Soliciting competition [simplified acquisition procedures].</v>
      </c>
      <c r="H171" s="25"/>
      <c r="I171" s="34" t="s">
        <v>2388</v>
      </c>
      <c r="J171" s="37" t="s">
        <v>203</v>
      </c>
      <c r="K171" s="37" t="s">
        <v>2411</v>
      </c>
      <c r="L171" s="25" t="s">
        <v>2412</v>
      </c>
      <c r="M171" s="25" t="s">
        <v>2413</v>
      </c>
      <c r="N171" s="41" t="s">
        <v>2371</v>
      </c>
      <c r="O171" s="64"/>
      <c r="P171" s="45" t="b">
        <f t="shared" si="32"/>
        <v>0</v>
      </c>
      <c r="Q171" s="45">
        <f t="shared" si="33"/>
        <v>3</v>
      </c>
      <c r="R171" s="45">
        <f t="shared" si="34"/>
        <v>0</v>
      </c>
      <c r="S171" s="24"/>
      <c r="T171" s="24"/>
      <c r="U171" s="24"/>
      <c r="V171" s="24"/>
      <c r="W171" s="24"/>
      <c r="X171" s="24"/>
      <c r="Y171" s="24"/>
      <c r="Z171" s="24"/>
      <c r="AA171" s="24"/>
      <c r="AB171" s="24"/>
    </row>
    <row r="172" spans="1:28" ht="130.44999999999999">
      <c r="A172" s="66" t="s">
        <v>2335</v>
      </c>
      <c r="B172" s="26" t="s">
        <v>2336</v>
      </c>
      <c r="C172" s="26" t="s">
        <v>2337</v>
      </c>
      <c r="D172" s="26" t="s">
        <v>2418</v>
      </c>
      <c r="E172" s="25" t="s">
        <v>2419</v>
      </c>
      <c r="F172" s="25" t="s">
        <v>2420</v>
      </c>
      <c r="G172" s="57" t="str">
        <f>HYPERLINK("https://www.acquisition.gov/content/13303-3-preparation-bpas#id1617MD00TJM","FAR 13.303-3 Preparation of BPAs. ")</f>
        <v xml:space="preserve">FAR 13.303-3 Preparation of BPAs. </v>
      </c>
      <c r="H172" s="25"/>
      <c r="I172" s="34" t="s">
        <v>2388</v>
      </c>
      <c r="J172" s="37" t="s">
        <v>203</v>
      </c>
      <c r="K172" s="75" t="s">
        <v>2411</v>
      </c>
      <c r="L172" s="25" t="s">
        <v>2412</v>
      </c>
      <c r="M172" s="25" t="s">
        <v>2413</v>
      </c>
      <c r="N172" s="41" t="s">
        <v>2371</v>
      </c>
      <c r="O172" s="64"/>
      <c r="P172" s="45" t="b">
        <f t="shared" si="32"/>
        <v>0</v>
      </c>
      <c r="Q172" s="45">
        <f t="shared" si="33"/>
        <v>3</v>
      </c>
      <c r="R172" s="45">
        <f t="shared" si="34"/>
        <v>0</v>
      </c>
      <c r="S172" s="24"/>
      <c r="T172" s="24"/>
      <c r="U172" s="24"/>
      <c r="V172" s="24"/>
      <c r="W172" s="24"/>
      <c r="X172" s="24"/>
      <c r="Y172" s="24"/>
      <c r="Z172" s="24"/>
      <c r="AA172" s="24"/>
      <c r="AB172" s="24"/>
    </row>
    <row r="173" spans="1:28" ht="130.44999999999999">
      <c r="A173" s="66" t="s">
        <v>2335</v>
      </c>
      <c r="B173" s="26" t="s">
        <v>2336</v>
      </c>
      <c r="C173" s="26" t="s">
        <v>2337</v>
      </c>
      <c r="D173" s="26" t="s">
        <v>2428</v>
      </c>
      <c r="E173" s="25" t="s">
        <v>2429</v>
      </c>
      <c r="F173" s="25" t="s">
        <v>1694</v>
      </c>
      <c r="G173" s="57" t="str">
        <f>HYPERLINK("https://www.acquisition.gov/content/13303-5-purchases-under-bpas#i1111666","FAR 13.303-5 Purchases under BPAs. ")</f>
        <v xml:space="preserve">FAR 13.303-5 Purchases under BPAs. </v>
      </c>
      <c r="H173" s="25"/>
      <c r="I173" s="34" t="s">
        <v>2388</v>
      </c>
      <c r="J173" s="37" t="s">
        <v>203</v>
      </c>
      <c r="K173" s="75" t="s">
        <v>2411</v>
      </c>
      <c r="L173" s="25" t="s">
        <v>2412</v>
      </c>
      <c r="M173" s="25" t="s">
        <v>2413</v>
      </c>
      <c r="N173" s="41" t="s">
        <v>2371</v>
      </c>
      <c r="O173" s="64"/>
      <c r="P173" s="45" t="b">
        <f t="shared" si="32"/>
        <v>0</v>
      </c>
      <c r="Q173" s="45">
        <f t="shared" si="33"/>
        <v>3</v>
      </c>
      <c r="R173" s="45">
        <f t="shared" si="34"/>
        <v>0</v>
      </c>
      <c r="S173" s="24"/>
      <c r="T173" s="24"/>
      <c r="U173" s="24"/>
      <c r="V173" s="24"/>
      <c r="W173" s="24"/>
      <c r="X173" s="24"/>
      <c r="Y173" s="24"/>
      <c r="Z173" s="24"/>
      <c r="AA173" s="24"/>
      <c r="AB173" s="24"/>
    </row>
    <row r="174" spans="1:28" ht="4.5999999999999996" customHeight="1">
      <c r="A174" s="55"/>
      <c r="B174" s="55"/>
      <c r="C174" s="56"/>
      <c r="D174" s="56"/>
      <c r="E174" s="55"/>
      <c r="F174" s="55"/>
      <c r="G174" s="72"/>
      <c r="H174" s="72"/>
      <c r="I174" s="63"/>
      <c r="J174" s="63"/>
      <c r="K174" s="63"/>
      <c r="L174" s="63"/>
      <c r="M174" s="63"/>
      <c r="N174" s="63"/>
      <c r="O174" s="64"/>
      <c r="P174" s="45"/>
      <c r="Q174" s="45"/>
      <c r="R174" s="45"/>
      <c r="S174" s="24"/>
      <c r="T174" s="24"/>
      <c r="U174" s="24"/>
      <c r="V174" s="24"/>
      <c r="W174" s="24"/>
      <c r="X174" s="24"/>
      <c r="Y174" s="24"/>
      <c r="Z174" s="24"/>
      <c r="AA174" s="24"/>
      <c r="AB174" s="24"/>
    </row>
    <row r="175" spans="1:28" ht="173.9">
      <c r="A175" s="26" t="s">
        <v>2433</v>
      </c>
      <c r="B175" s="26" t="s">
        <v>2435</v>
      </c>
      <c r="C175" s="26" t="s">
        <v>2436</v>
      </c>
      <c r="D175" s="26" t="s">
        <v>2438</v>
      </c>
      <c r="E175" s="25" t="s">
        <v>2439</v>
      </c>
      <c r="F175" s="25" t="s">
        <v>2440</v>
      </c>
      <c r="G175" s="57" t="str">
        <f>HYPERLINK("https://www.acquisition.gov/content/15201-exchanges-industry-receipt-proposals#i1108766","FAR 15.201 Exchanges with industry before receipt of proposals.")</f>
        <v>FAR 15.201 Exchanges with industry before receipt of proposals.</v>
      </c>
      <c r="H175" s="57" t="str">
        <f>HYPERLINK("https://www.acquisition.gov/sites/default/files/current/gsam/html/Part515.html#wp1870225","GSAR 515.201")</f>
        <v>GSAR 515.201</v>
      </c>
      <c r="I175" s="34" t="s">
        <v>2269</v>
      </c>
      <c r="J175" s="37" t="s">
        <v>203</v>
      </c>
      <c r="K175" s="37" t="s">
        <v>2443</v>
      </c>
      <c r="L175" s="25" t="s">
        <v>2444</v>
      </c>
      <c r="M175" s="25" t="s">
        <v>2445</v>
      </c>
      <c r="N175" s="41" t="s">
        <v>2446</v>
      </c>
      <c r="O175" s="64"/>
      <c r="P175" s="45" t="b">
        <f>IF(AND(O175="Meet the requirements traceability “out of the box”"), 10, IF(AND(O175="Can meet the requirements traceability with configuration or through the use of another commercial product “out of the box” or other arrangement as part of the service offering quoted (i.e. at no additional cost)"), 8, IF(AND(O175="Can meet the requirements traceability with customization at additional cost"), 3, IF(AND(O175="Cannot meet the requirements traceability requirement"), 0))))</f>
        <v>0</v>
      </c>
      <c r="Q175" s="45">
        <f>IF(J175="Unidentified",0,3)</f>
        <v>3</v>
      </c>
      <c r="R175" s="45">
        <f>IF(P175=FALSE,0,IF(P175&gt;4,(P175+Q175),P175))</f>
        <v>0</v>
      </c>
      <c r="S175" s="24"/>
      <c r="T175" s="24"/>
      <c r="U175" s="24"/>
      <c r="V175" s="24"/>
      <c r="W175" s="24"/>
      <c r="X175" s="24"/>
      <c r="Y175" s="24"/>
      <c r="Z175" s="24"/>
      <c r="AA175" s="24"/>
      <c r="AB175" s="24"/>
    </row>
    <row r="176" spans="1:28" ht="4.5999999999999996" customHeight="1">
      <c r="A176" s="55"/>
      <c r="B176" s="55"/>
      <c r="C176" s="56"/>
      <c r="D176" s="56"/>
      <c r="E176" s="55"/>
      <c r="F176" s="55"/>
      <c r="G176" s="72"/>
      <c r="H176" s="72"/>
      <c r="I176" s="63"/>
      <c r="J176" s="63"/>
      <c r="K176" s="63"/>
      <c r="L176" s="63"/>
      <c r="M176" s="63"/>
      <c r="N176" s="63"/>
      <c r="O176" s="64"/>
      <c r="P176" s="45"/>
      <c r="Q176" s="45"/>
      <c r="R176" s="45"/>
      <c r="S176" s="24"/>
      <c r="T176" s="24"/>
      <c r="U176" s="24"/>
      <c r="V176" s="24"/>
      <c r="W176" s="24"/>
      <c r="X176" s="24"/>
      <c r="Y176" s="24"/>
      <c r="Z176" s="24"/>
      <c r="AA176" s="24"/>
      <c r="AB176" s="24"/>
    </row>
    <row r="177" spans="1:28" ht="119.55">
      <c r="A177" s="26" t="s">
        <v>2454</v>
      </c>
      <c r="B177" s="26" t="s">
        <v>2455</v>
      </c>
      <c r="C177" s="26" t="s">
        <v>2457</v>
      </c>
      <c r="D177" s="26" t="s">
        <v>2458</v>
      </c>
      <c r="E177" s="25" t="s">
        <v>2459</v>
      </c>
      <c r="F177" s="25" t="s">
        <v>2460</v>
      </c>
      <c r="G177" s="57" t="str">
        <f>HYPERLINK("https://www.acquisition.gov/content/15201-exchanges-industry-receipt-proposals#i1108766","FAR 15.201(d) [Exchanges with potential offerors].")</f>
        <v>FAR 15.201(d) [Exchanges with potential offerors].</v>
      </c>
      <c r="H177" s="57" t="str">
        <f>HYPERLINK("https://www.acquisition.gov/sites/default/files/current/gsam/html/Part515.html#wp1870225","GSAR 515.201")</f>
        <v>GSAR 515.201</v>
      </c>
      <c r="I177" s="34" t="s">
        <v>2461</v>
      </c>
      <c r="J177" s="37" t="s">
        <v>203</v>
      </c>
      <c r="K177" s="37" t="s">
        <v>2462</v>
      </c>
      <c r="L177" s="25" t="s">
        <v>2463</v>
      </c>
      <c r="M177" s="25" t="s">
        <v>2464</v>
      </c>
      <c r="N177" s="41" t="s">
        <v>2465</v>
      </c>
      <c r="O177" s="64"/>
      <c r="P177" s="45" t="b">
        <f>IF(AND(O177="Meet the requirements traceability “out of the box”"), 10, IF(AND(O177="Can meet the requirements traceability with configuration or through the use of another commercial product “out of the box” or other arrangement as part of the service offering quoted (i.e. at no additional cost)"), 8, IF(AND(O177="Can meet the requirements traceability with customization at additional cost"), 3, IF(AND(O177="Cannot meet the requirements traceability requirement"), 0))))</f>
        <v>0</v>
      </c>
      <c r="Q177" s="45">
        <f>IF(J177="Unidentified",0,3)</f>
        <v>3</v>
      </c>
      <c r="R177" s="45">
        <f>IF(P177=FALSE,0,IF(P177&gt;4,(P177+Q177),P177))</f>
        <v>0</v>
      </c>
      <c r="S177" s="24"/>
      <c r="T177" s="24"/>
      <c r="U177" s="24"/>
      <c r="V177" s="24"/>
      <c r="W177" s="24"/>
      <c r="X177" s="24"/>
      <c r="Y177" s="24"/>
      <c r="Z177" s="24"/>
      <c r="AA177" s="24"/>
      <c r="AB177" s="24"/>
    </row>
    <row r="178" spans="1:28" ht="4.5999999999999996" customHeight="1">
      <c r="A178" s="55"/>
      <c r="B178" s="55"/>
      <c r="C178" s="56"/>
      <c r="D178" s="56"/>
      <c r="E178" s="55"/>
      <c r="F178" s="55"/>
      <c r="G178" s="72"/>
      <c r="H178" s="72"/>
      <c r="I178" s="63"/>
      <c r="J178" s="63"/>
      <c r="K178" s="63"/>
      <c r="L178" s="63"/>
      <c r="M178" s="63"/>
      <c r="N178" s="63"/>
      <c r="O178" s="64"/>
      <c r="P178" s="45"/>
      <c r="Q178" s="45"/>
      <c r="R178" s="45"/>
      <c r="S178" s="24"/>
      <c r="T178" s="24"/>
      <c r="U178" s="24"/>
      <c r="V178" s="24"/>
      <c r="W178" s="24"/>
      <c r="X178" s="24"/>
      <c r="Y178" s="24"/>
      <c r="Z178" s="24"/>
      <c r="AA178" s="24"/>
      <c r="AB178" s="24"/>
    </row>
    <row r="179" spans="1:28" ht="86.95">
      <c r="A179" s="26" t="s">
        <v>2470</v>
      </c>
      <c r="B179" s="26" t="s">
        <v>2471</v>
      </c>
      <c r="C179" s="26" t="s">
        <v>2472</v>
      </c>
      <c r="D179" s="26" t="s">
        <v>2473</v>
      </c>
      <c r="E179" s="25" t="s">
        <v>2474</v>
      </c>
      <c r="F179" s="25" t="s">
        <v>1979</v>
      </c>
      <c r="G179" s="57" t="str">
        <f>HYPERLINK("https://www.acquisition.gov/content/14208-amendment-invitation-bids#i1110854","FAR 14.208 Amendment of invitation for bids [solicitation of bids]")</f>
        <v>FAR 14.208 Amendment of invitation for bids [solicitation of bids]</v>
      </c>
      <c r="H179" s="25"/>
      <c r="I179" s="34" t="s">
        <v>2475</v>
      </c>
      <c r="J179" s="37" t="s">
        <v>203</v>
      </c>
      <c r="K179" s="37" t="s">
        <v>2478</v>
      </c>
      <c r="L179" s="25" t="s">
        <v>2479</v>
      </c>
      <c r="M179" s="25" t="s">
        <v>2480</v>
      </c>
      <c r="N179" s="41" t="s">
        <v>2481</v>
      </c>
      <c r="O179" s="64"/>
      <c r="P179" s="45" t="b">
        <f t="shared" ref="P179:P184" si="35">IF(AND(O179="Meet the requirements traceability “out of the box”"), 10, IF(AND(O179="Can meet the requirements traceability with configuration or through the use of another commercial product “out of the box” or other arrangement as part of the service offering quoted (i.e. at no additional cost)"), 8, IF(AND(O179="Can meet the requirements traceability with customization at additional cost"), 3, IF(AND(O179="Cannot meet the requirements traceability requirement"), 0))))</f>
        <v>0</v>
      </c>
      <c r="Q179" s="45">
        <f t="shared" ref="Q179:Q184" si="36">IF(J179="Unidentified",0,3)</f>
        <v>3</v>
      </c>
      <c r="R179" s="45">
        <f t="shared" ref="R179:R184" si="37">IF(P179=FALSE,0,IF(P179&gt;4,(P179+Q179),P179))</f>
        <v>0</v>
      </c>
      <c r="S179" s="24"/>
      <c r="T179" s="24"/>
      <c r="U179" s="24"/>
      <c r="V179" s="24"/>
      <c r="W179" s="24"/>
      <c r="X179" s="24"/>
      <c r="Y179" s="24"/>
      <c r="Z179" s="24"/>
      <c r="AA179" s="24"/>
      <c r="AB179" s="24"/>
    </row>
    <row r="180" spans="1:28" ht="108.7">
      <c r="A180" s="26" t="s">
        <v>2470</v>
      </c>
      <c r="B180" s="26" t="s">
        <v>2471</v>
      </c>
      <c r="C180" s="26" t="s">
        <v>2472</v>
      </c>
      <c r="D180" s="26" t="s">
        <v>2485</v>
      </c>
      <c r="E180" s="25" t="s">
        <v>2486</v>
      </c>
      <c r="F180" s="25" t="s">
        <v>1979</v>
      </c>
      <c r="G180" s="57" t="str">
        <f>HYPERLINK("https://www.acquisition.gov/content/14402-3-postponement-openings#id1617MD00VOX","FAR 14.402-3 Postponement of openings [opening of bids and award of contract].")</f>
        <v>FAR 14.402-3 Postponement of openings [opening of bids and award of contract].</v>
      </c>
      <c r="H180" s="25"/>
      <c r="I180" s="34"/>
      <c r="J180" s="37" t="s">
        <v>463</v>
      </c>
      <c r="K180" s="37" t="s">
        <v>2487</v>
      </c>
      <c r="L180" s="25" t="s">
        <v>2488</v>
      </c>
      <c r="M180" s="25" t="s">
        <v>2489</v>
      </c>
      <c r="N180" s="41" t="s">
        <v>2490</v>
      </c>
      <c r="O180" s="64"/>
      <c r="P180" s="45" t="b">
        <f t="shared" si="35"/>
        <v>0</v>
      </c>
      <c r="Q180" s="45">
        <f t="shared" si="36"/>
        <v>0</v>
      </c>
      <c r="R180" s="45">
        <f t="shared" si="37"/>
        <v>0</v>
      </c>
      <c r="S180" s="24"/>
      <c r="T180" s="24"/>
      <c r="U180" s="24"/>
      <c r="V180" s="24"/>
      <c r="W180" s="24"/>
      <c r="X180" s="24"/>
      <c r="Y180" s="24"/>
      <c r="Z180" s="24"/>
      <c r="AA180" s="24"/>
      <c r="AB180" s="24"/>
    </row>
    <row r="181" spans="1:28" ht="97.85">
      <c r="A181" s="26" t="s">
        <v>2470</v>
      </c>
      <c r="B181" s="26" t="s">
        <v>2471</v>
      </c>
      <c r="C181" s="26" t="s">
        <v>2472</v>
      </c>
      <c r="D181" s="26" t="s">
        <v>2492</v>
      </c>
      <c r="E181" s="25" t="s">
        <v>2493</v>
      </c>
      <c r="F181" s="25" t="s">
        <v>2494</v>
      </c>
      <c r="G181" s="57" t="str">
        <f>HYPERLINK("https://www.acquisition.gov/content/14209-cancellation-invitations-opening#i1110862","FAR 14.209 Cancellation of invitations before opening [solicitation of bids]. ")</f>
        <v xml:space="preserve">FAR 14.209 Cancellation of invitations before opening [solicitation of bids]. </v>
      </c>
      <c r="H181" s="25"/>
      <c r="I181" s="109"/>
      <c r="J181" s="37" t="s">
        <v>463</v>
      </c>
      <c r="K181" s="37" t="s">
        <v>2499</v>
      </c>
      <c r="L181" s="25" t="s">
        <v>2500</v>
      </c>
      <c r="M181" s="25" t="s">
        <v>2501</v>
      </c>
      <c r="N181" s="123" t="s">
        <v>2502</v>
      </c>
      <c r="O181" s="64"/>
      <c r="P181" s="45" t="b">
        <f t="shared" si="35"/>
        <v>0</v>
      </c>
      <c r="Q181" s="45">
        <f t="shared" si="36"/>
        <v>0</v>
      </c>
      <c r="R181" s="45">
        <f t="shared" si="37"/>
        <v>0</v>
      </c>
      <c r="S181" s="24"/>
      <c r="T181" s="24"/>
      <c r="U181" s="24"/>
      <c r="V181" s="24"/>
      <c r="W181" s="24"/>
      <c r="X181" s="24"/>
      <c r="Y181" s="24"/>
      <c r="Z181" s="24"/>
      <c r="AA181" s="24"/>
      <c r="AB181" s="24"/>
    </row>
    <row r="182" spans="1:28" ht="86.95">
      <c r="A182" s="26" t="s">
        <v>2470</v>
      </c>
      <c r="B182" s="26" t="s">
        <v>2471</v>
      </c>
      <c r="C182" s="26" t="s">
        <v>2472</v>
      </c>
      <c r="D182" s="26" t="s">
        <v>2511</v>
      </c>
      <c r="E182" s="25" t="s">
        <v>2513</v>
      </c>
      <c r="F182" s="25" t="s">
        <v>1058</v>
      </c>
      <c r="G182" s="57" t="str">
        <f>HYPERLINK("https://www.acquisition.gov/content/15206-amending-solicitation#i15_206","FAR 15.206 Amending the solicitation [solicitation and receipt of proposals and information].")</f>
        <v>FAR 15.206 Amending the solicitation [solicitation and receipt of proposals and information].</v>
      </c>
      <c r="H182" s="25"/>
      <c r="I182" s="34" t="s">
        <v>2516</v>
      </c>
      <c r="J182" s="37" t="s">
        <v>203</v>
      </c>
      <c r="K182" s="37" t="s">
        <v>2519</v>
      </c>
      <c r="L182" s="25" t="s">
        <v>2521</v>
      </c>
      <c r="M182" s="25" t="s">
        <v>2522</v>
      </c>
      <c r="N182" s="41" t="s">
        <v>2524</v>
      </c>
      <c r="O182" s="64"/>
      <c r="P182" s="45" t="b">
        <f t="shared" si="35"/>
        <v>0</v>
      </c>
      <c r="Q182" s="45">
        <f t="shared" si="36"/>
        <v>3</v>
      </c>
      <c r="R182" s="45">
        <f t="shared" si="37"/>
        <v>0</v>
      </c>
      <c r="S182" s="24"/>
      <c r="T182" s="24"/>
      <c r="U182" s="24"/>
      <c r="V182" s="24"/>
      <c r="W182" s="24"/>
      <c r="X182" s="24"/>
      <c r="Y182" s="24"/>
      <c r="Z182" s="24"/>
      <c r="AA182" s="24"/>
      <c r="AB182" s="24"/>
    </row>
    <row r="183" spans="1:28" ht="119.55">
      <c r="A183" s="26" t="s">
        <v>2470</v>
      </c>
      <c r="B183" s="26" t="s">
        <v>2471</v>
      </c>
      <c r="C183" s="26" t="s">
        <v>2472</v>
      </c>
      <c r="D183" s="26" t="s">
        <v>2527</v>
      </c>
      <c r="E183" s="25" t="s">
        <v>2528</v>
      </c>
      <c r="F183" s="25" t="s">
        <v>1979</v>
      </c>
      <c r="G183" s="57" t="str">
        <f>HYPERLINK("https://www.acquisition.gov/content/15206-amending-solicitation#i15_206","FAR 15.206(c) Amending the solicitation [solicitation and receipt of proposals and information]")</f>
        <v>FAR 15.206(c) Amending the solicitation [solicitation and receipt of proposals and information]</v>
      </c>
      <c r="H183" s="25"/>
      <c r="I183" s="34" t="s">
        <v>2530</v>
      </c>
      <c r="J183" s="37" t="s">
        <v>203</v>
      </c>
      <c r="K183" s="37" t="s">
        <v>2531</v>
      </c>
      <c r="L183" s="25" t="s">
        <v>2532</v>
      </c>
      <c r="M183" s="25" t="s">
        <v>2533</v>
      </c>
      <c r="N183" s="41" t="s">
        <v>2534</v>
      </c>
      <c r="O183" s="64"/>
      <c r="P183" s="45" t="b">
        <f t="shared" si="35"/>
        <v>0</v>
      </c>
      <c r="Q183" s="45">
        <f t="shared" si="36"/>
        <v>3</v>
      </c>
      <c r="R183" s="45">
        <f t="shared" si="37"/>
        <v>0</v>
      </c>
      <c r="S183" s="24"/>
      <c r="T183" s="24"/>
      <c r="U183" s="24"/>
      <c r="V183" s="24"/>
      <c r="W183" s="24"/>
      <c r="X183" s="24"/>
      <c r="Y183" s="24"/>
      <c r="Z183" s="24"/>
      <c r="AA183" s="24"/>
      <c r="AB183" s="24"/>
    </row>
    <row r="184" spans="1:28" ht="119.55">
      <c r="A184" s="26" t="s">
        <v>2470</v>
      </c>
      <c r="B184" s="26" t="s">
        <v>2471</v>
      </c>
      <c r="C184" s="26" t="s">
        <v>2472</v>
      </c>
      <c r="D184" s="26" t="s">
        <v>2535</v>
      </c>
      <c r="E184" s="25" t="s">
        <v>2536</v>
      </c>
      <c r="F184" s="25" t="s">
        <v>2537</v>
      </c>
      <c r="G184" s="57" t="str">
        <f>HYPERLINK("https://www.acquisition.gov/content/15206-amending-solicitation#i15_206","FAR 15.206(e) Amending the solicitation [solicitation and receipt of proposals and information].")</f>
        <v>FAR 15.206(e) Amending the solicitation [solicitation and receipt of proposals and information].</v>
      </c>
      <c r="H184" s="25"/>
      <c r="I184" s="34" t="s">
        <v>2530</v>
      </c>
      <c r="J184" s="37" t="s">
        <v>203</v>
      </c>
      <c r="K184" s="75" t="s">
        <v>2531</v>
      </c>
      <c r="L184" s="25" t="s">
        <v>2540</v>
      </c>
      <c r="M184" s="25" t="s">
        <v>2533</v>
      </c>
      <c r="N184" s="41" t="s">
        <v>2534</v>
      </c>
      <c r="O184" s="64"/>
      <c r="P184" s="45" t="b">
        <f t="shared" si="35"/>
        <v>0</v>
      </c>
      <c r="Q184" s="45">
        <f t="shared" si="36"/>
        <v>3</v>
      </c>
      <c r="R184" s="45">
        <f t="shared" si="37"/>
        <v>0</v>
      </c>
      <c r="S184" s="24"/>
      <c r="T184" s="24"/>
      <c r="U184" s="24"/>
      <c r="V184" s="24"/>
      <c r="W184" s="24"/>
      <c r="X184" s="24"/>
      <c r="Y184" s="24"/>
      <c r="Z184" s="24"/>
      <c r="AA184" s="24"/>
      <c r="AB184" s="24"/>
    </row>
    <row r="185" spans="1:28" ht="12.9">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row>
    <row r="186" spans="1:28" ht="15.65">
      <c r="A186" s="24"/>
      <c r="B186" s="24"/>
      <c r="C186" s="24"/>
      <c r="D186" s="24"/>
      <c r="E186" s="24"/>
      <c r="F186" s="24"/>
      <c r="G186" s="24"/>
      <c r="H186" s="24"/>
      <c r="I186" s="24"/>
      <c r="J186" s="24"/>
      <c r="K186" s="24"/>
      <c r="L186" s="24"/>
      <c r="M186" s="24"/>
      <c r="N186" s="24"/>
      <c r="O186" s="24"/>
      <c r="Q186" s="125"/>
      <c r="R186" s="125">
        <f>SUM(R3:R184)</f>
        <v>0</v>
      </c>
      <c r="S186" s="24"/>
      <c r="T186" s="24"/>
      <c r="U186" s="24"/>
      <c r="V186" s="24"/>
      <c r="W186" s="24"/>
      <c r="X186" s="24"/>
      <c r="Y186" s="24"/>
      <c r="Z186" s="24"/>
      <c r="AA186" s="24"/>
      <c r="AB186" s="24"/>
    </row>
    <row r="187" spans="1:28" ht="12.9">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row>
    <row r="188" spans="1:28" ht="12.9">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row>
    <row r="189" spans="1:28" ht="12.9">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row>
    <row r="190" spans="1:28" ht="12.9">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row>
    <row r="191" spans="1:28" ht="12.9">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row>
    <row r="192" spans="1:28" ht="12.9">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row>
    <row r="193" spans="1:28" ht="12.9">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row>
    <row r="194" spans="1:28" ht="12.9">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row>
    <row r="195" spans="1:28" ht="12.9">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row>
    <row r="196" spans="1:28" ht="12.9">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row>
    <row r="197" spans="1:28" ht="12.9">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row>
    <row r="198" spans="1:28" ht="12.9">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row>
    <row r="199" spans="1:28" ht="12.9">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row>
    <row r="200" spans="1:28" ht="12.9">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row>
    <row r="201" spans="1:28" ht="12.9">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row>
    <row r="202" spans="1:28" ht="12.9">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row>
    <row r="203" spans="1:28" ht="12.9">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row>
    <row r="204" spans="1:28" ht="12.9">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row>
    <row r="205" spans="1:28" ht="12.9">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row>
    <row r="206" spans="1:28" ht="12.9">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row>
    <row r="207" spans="1:28" ht="12.9">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row>
    <row r="208" spans="1:28" ht="12.9">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row>
    <row r="209" spans="1:28" ht="12.9">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row>
    <row r="210" spans="1:28" ht="12.9">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row>
    <row r="211" spans="1:28" ht="12.9">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row>
    <row r="212" spans="1:28" ht="12.9">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row>
    <row r="213" spans="1:28" ht="12.9">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row>
    <row r="214" spans="1:28" ht="12.9">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row>
    <row r="215" spans="1:28" ht="12.9">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row>
    <row r="216" spans="1:28" ht="12.9">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row>
    <row r="217" spans="1:28" ht="12.9">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row>
    <row r="218" spans="1:28" ht="12.9">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row>
    <row r="219" spans="1:28" ht="12.9">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row>
    <row r="220" spans="1:28" ht="12.9">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row>
    <row r="221" spans="1:28" ht="12.9">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row>
    <row r="222" spans="1:28" ht="12.9">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row>
    <row r="223" spans="1:28" ht="12.9">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row>
    <row r="224" spans="1:28" ht="12.9">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row>
    <row r="225" spans="1:28" ht="12.9">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row>
    <row r="226" spans="1:28" ht="12.9">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row>
    <row r="227" spans="1:28" ht="12.9">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row>
    <row r="228" spans="1:28" ht="12.9">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row>
    <row r="229" spans="1:28" ht="12.9">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row>
    <row r="230" spans="1:28" ht="12.9">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row>
    <row r="231" spans="1:28" ht="12.9">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row>
    <row r="232" spans="1:28" ht="12.9">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row>
    <row r="233" spans="1:28" ht="12.9">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row>
    <row r="234" spans="1:28" ht="12.9">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row>
    <row r="235" spans="1:28" ht="12.9">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row>
    <row r="236" spans="1:28" ht="12.9">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row>
    <row r="237" spans="1:28" ht="12.9">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row>
    <row r="238" spans="1:28" ht="12.9">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row>
    <row r="239" spans="1:28" ht="12.9">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row>
    <row r="240" spans="1:28" ht="12.9">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row>
    <row r="241" spans="1:28" ht="12.9">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row>
    <row r="242" spans="1:28" ht="12.9">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row>
    <row r="243" spans="1:28" ht="12.9">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row>
    <row r="244" spans="1:28" ht="12.9">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row>
    <row r="245" spans="1:28" ht="12.9">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row>
    <row r="246" spans="1:28" ht="12.9">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row>
    <row r="247" spans="1:28" ht="12.9">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row>
    <row r="248" spans="1:28" ht="12.9">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row>
    <row r="249" spans="1:28" ht="12.9">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row>
    <row r="250" spans="1:28" ht="12.9">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row>
    <row r="251" spans="1:28" ht="12.9">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row>
    <row r="252" spans="1:28" ht="12.9">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row>
    <row r="253" spans="1:28" ht="12.9">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row>
    <row r="254" spans="1:28" ht="12.9">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row>
    <row r="255" spans="1:28" ht="12.9">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row>
    <row r="256" spans="1:28" ht="12.9">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row>
    <row r="257" spans="1:28" ht="12.9">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row>
    <row r="258" spans="1:28" ht="12.9">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row>
    <row r="259" spans="1:28" ht="12.9">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row>
    <row r="260" spans="1:28" ht="12.9">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row>
    <row r="261" spans="1:28" ht="12.9">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row>
    <row r="262" spans="1:28" ht="12.9">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row>
    <row r="263" spans="1:28" ht="12.9">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row>
    <row r="264" spans="1:28" ht="12.9">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row>
    <row r="265" spans="1:28" ht="12.9">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row>
    <row r="266" spans="1:28" ht="12.9">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row>
    <row r="267" spans="1:28" ht="12.9">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row>
    <row r="268" spans="1:28" ht="12.9">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row>
    <row r="269" spans="1:28" ht="12.9">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row>
    <row r="270" spans="1:28" ht="12.9">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row>
    <row r="271" spans="1:28" ht="12.9">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row>
    <row r="272" spans="1:28" ht="12.9">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row>
    <row r="273" spans="1:28" ht="12.9">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row>
    <row r="274" spans="1:28" ht="12.9">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row>
    <row r="275" spans="1:28" ht="12.9">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row>
    <row r="276" spans="1:28" ht="12.9">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row>
    <row r="277" spans="1:28" ht="12.9">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row>
    <row r="278" spans="1:28" ht="12.9">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row>
    <row r="279" spans="1:28" ht="12.9">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row>
    <row r="280" spans="1:28" ht="12.9">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row>
    <row r="281" spans="1:28" ht="12.9">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row>
    <row r="282" spans="1:28" ht="12.9">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row>
    <row r="283" spans="1:28" ht="12.9">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row>
    <row r="284" spans="1:28" ht="12.9">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row>
    <row r="285" spans="1:28" ht="12.9">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row>
    <row r="286" spans="1:28" ht="12.9">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row>
    <row r="287" spans="1:28" ht="12.9">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row>
    <row r="288" spans="1:28" ht="12.9">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row>
    <row r="289" spans="1:28" ht="12.9">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row>
    <row r="290" spans="1:28" ht="12.9">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row>
    <row r="291" spans="1:28" ht="12.9">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row>
    <row r="292" spans="1:28" ht="12.9">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row>
    <row r="293" spans="1:28" ht="12.9">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row>
    <row r="294" spans="1:28" ht="12.9">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row>
    <row r="295" spans="1:28" ht="12.9">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row>
    <row r="296" spans="1:28" ht="12.9">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row>
    <row r="297" spans="1:28" ht="12.9">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row>
    <row r="298" spans="1:28" ht="12.9">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row>
    <row r="299" spans="1:28" ht="12.9">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row>
    <row r="300" spans="1:28" ht="12.9">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row>
    <row r="301" spans="1:28" ht="12.9">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row>
    <row r="302" spans="1:28" ht="12.9">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row>
    <row r="303" spans="1:28" ht="12.9">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row>
    <row r="304" spans="1:28" ht="12.9">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row>
    <row r="305" spans="1:28" ht="12.9">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row>
    <row r="306" spans="1:28" ht="12.9">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row>
    <row r="307" spans="1:28" ht="12.9">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row>
    <row r="308" spans="1:28" ht="12.9">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row>
    <row r="309" spans="1:28" ht="12.9">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row>
    <row r="310" spans="1:28" ht="12.9">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row>
    <row r="311" spans="1:28" ht="12.9">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row>
    <row r="312" spans="1:28" ht="12.9">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row>
    <row r="313" spans="1:28" ht="12.9">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row>
    <row r="314" spans="1:28" ht="12.9">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row>
    <row r="315" spans="1:28" ht="12.9">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row>
    <row r="316" spans="1:28" ht="12.9">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row>
    <row r="317" spans="1:28" ht="12.9">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row>
    <row r="318" spans="1:28" ht="12.9">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row>
    <row r="319" spans="1:28" ht="12.9">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row>
    <row r="320" spans="1:28" ht="12.9">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row>
    <row r="321" spans="1:28" ht="12.9">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row>
    <row r="322" spans="1:28" ht="12.9">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row>
    <row r="323" spans="1:28" ht="12.9">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row>
    <row r="324" spans="1:28" ht="12.9">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row>
    <row r="325" spans="1:28" ht="12.9">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row>
    <row r="326" spans="1:28" ht="12.9">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row>
    <row r="327" spans="1:28" ht="12.9">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row>
    <row r="328" spans="1:28" ht="12.9">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row>
    <row r="329" spans="1:28" ht="12.9">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row>
    <row r="330" spans="1:28" ht="12.9">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row>
    <row r="331" spans="1:28" ht="12.9">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row>
    <row r="332" spans="1:28" ht="12.9">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row>
    <row r="333" spans="1:28" ht="12.9">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row>
    <row r="334" spans="1:28" ht="12.9">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row>
    <row r="335" spans="1:28" ht="12.9">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row>
    <row r="336" spans="1:28" ht="12.9">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row>
    <row r="337" spans="1:28" ht="12.9">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row>
    <row r="338" spans="1:28" ht="12.9">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row>
    <row r="339" spans="1:28" ht="12.9">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row>
    <row r="340" spans="1:28" ht="12.9">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row>
    <row r="341" spans="1:28" ht="12.9">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row>
    <row r="342" spans="1:28" ht="12.9">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row>
    <row r="343" spans="1:28" ht="12.9">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row>
    <row r="344" spans="1:28" ht="12.9">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row>
    <row r="345" spans="1:28" ht="12.9">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row>
    <row r="346" spans="1:28" ht="12.9">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row>
    <row r="347" spans="1:28" ht="12.9">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row>
    <row r="348" spans="1:28" ht="12.9">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row>
    <row r="349" spans="1:28" ht="12.9">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row>
    <row r="350" spans="1:28" ht="12.9">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row>
    <row r="351" spans="1:28" ht="12.9">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row>
    <row r="352" spans="1:28" ht="12.9">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row>
    <row r="353" spans="1:28" ht="12.9">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row>
    <row r="354" spans="1:28" ht="12.9">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row>
    <row r="355" spans="1:28" ht="12.9">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row>
    <row r="356" spans="1:28" ht="12.9">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row>
    <row r="357" spans="1:28" ht="12.9">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row>
    <row r="358" spans="1:28" ht="12.9">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row>
    <row r="359" spans="1:28" ht="12.9">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row>
    <row r="360" spans="1:28" ht="12.9">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row>
    <row r="361" spans="1:28" ht="12.9">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row>
    <row r="362" spans="1:28" ht="12.9">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row>
    <row r="363" spans="1:28" ht="12.9">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row>
    <row r="364" spans="1:28" ht="12.9">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row>
    <row r="365" spans="1:28" ht="12.9">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row>
    <row r="366" spans="1:28" ht="12.9">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row>
    <row r="367" spans="1:28" ht="12.9">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row>
    <row r="368" spans="1:28" ht="12.9">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row>
    <row r="369" spans="1:28" ht="12.9">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row>
    <row r="370" spans="1:28" ht="12.9">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row>
    <row r="371" spans="1:28" ht="12.9">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row>
    <row r="372" spans="1:28" ht="12.9">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row>
    <row r="373" spans="1:28" ht="12.9">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row>
    <row r="374" spans="1:28" ht="12.9">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row>
    <row r="375" spans="1:28" ht="12.9">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row>
    <row r="376" spans="1:28" ht="12.9">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row>
    <row r="377" spans="1:28" ht="12.9">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row>
    <row r="378" spans="1:28" ht="12.9">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row>
    <row r="379" spans="1:28" ht="12.9">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row>
    <row r="380" spans="1:28" ht="12.9">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row>
    <row r="381" spans="1:28" ht="12.9">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row>
    <row r="382" spans="1:28" ht="12.9">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row>
    <row r="383" spans="1:28" ht="12.9">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row>
    <row r="384" spans="1:28" ht="12.9">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row>
    <row r="385" spans="1:28" ht="12.9">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row>
    <row r="386" spans="1:28" ht="12.9">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row>
    <row r="387" spans="1:28" ht="12.9">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row>
    <row r="388" spans="1:28" ht="12.9">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row>
    <row r="389" spans="1:28" ht="12.9">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row>
    <row r="390" spans="1:28" ht="12.9">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row>
    <row r="391" spans="1:28" ht="12.9">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row>
    <row r="392" spans="1:28" ht="12.9">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row>
    <row r="393" spans="1:28" ht="12.9">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row>
    <row r="394" spans="1:28" ht="12.9">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row>
    <row r="395" spans="1:28" ht="12.9">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row>
    <row r="396" spans="1:28" ht="12.9">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row>
    <row r="397" spans="1:28" ht="12.9">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row>
    <row r="398" spans="1:28" ht="12.9">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row>
    <row r="399" spans="1:28" ht="12.9">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row>
    <row r="400" spans="1:28" ht="12.9">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row>
    <row r="401" spans="1:28" ht="12.9">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row>
    <row r="402" spans="1:28" ht="12.9">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row>
    <row r="403" spans="1:28" ht="12.9">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row>
    <row r="404" spans="1:28" ht="12.9">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row>
    <row r="405" spans="1:28" ht="12.9">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row>
    <row r="406" spans="1:28" ht="12.9">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row>
    <row r="407" spans="1:28" ht="12.9">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row>
    <row r="408" spans="1:28" ht="12.9">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row>
    <row r="409" spans="1:28" ht="12.9">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row>
    <row r="410" spans="1:28" ht="12.9">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row>
    <row r="411" spans="1:28" ht="12.9">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row>
    <row r="412" spans="1:28" ht="12.9">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row>
    <row r="413" spans="1:28" ht="12.9">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row>
    <row r="414" spans="1:28" ht="12.9">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row>
    <row r="415" spans="1:28" ht="12.9">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row>
    <row r="416" spans="1:28" ht="12.9">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row>
    <row r="417" spans="1:28" ht="12.9">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row>
    <row r="418" spans="1:28" ht="12.9">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row>
    <row r="419" spans="1:28" ht="12.9">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row>
    <row r="420" spans="1:28" ht="12.9">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row>
    <row r="421" spans="1:28" ht="12.9">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row>
    <row r="422" spans="1:28" ht="12.9">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row>
    <row r="423" spans="1:28" ht="12.9">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row>
    <row r="424" spans="1:28" ht="12.9">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row>
    <row r="425" spans="1:28" ht="12.9">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row>
    <row r="426" spans="1:28" ht="12.9">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row>
    <row r="427" spans="1:28" ht="12.9">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row>
    <row r="428" spans="1:28" ht="12.9">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row>
    <row r="429" spans="1:28" ht="12.9">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row>
    <row r="430" spans="1:28" ht="12.9">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row>
    <row r="431" spans="1:28" ht="12.9">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row>
    <row r="432" spans="1:28" ht="12.9">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row>
    <row r="433" spans="1:28" ht="12.9">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row>
    <row r="434" spans="1:28" ht="12.9">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row>
    <row r="435" spans="1:28" ht="12.9">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row>
    <row r="436" spans="1:28" ht="12.9">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row>
    <row r="437" spans="1:28" ht="12.9">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row>
    <row r="438" spans="1:28" ht="12.9">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row>
    <row r="439" spans="1:28" ht="12.9">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row>
    <row r="440" spans="1:28" ht="12.9">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row>
    <row r="441" spans="1:28" ht="12.9">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row>
    <row r="442" spans="1:28" ht="12.9">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row>
    <row r="443" spans="1:28" ht="12.9">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row>
    <row r="444" spans="1:28" ht="12.9">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row>
    <row r="445" spans="1:28" ht="12.9">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row>
    <row r="446" spans="1:28" ht="12.9">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row>
    <row r="447" spans="1:28" ht="12.9">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row>
    <row r="448" spans="1:28" ht="12.9">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row>
    <row r="449" spans="1:28" ht="12.9">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row>
    <row r="450" spans="1:28" ht="12.9">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row>
    <row r="451" spans="1:28" ht="12.9">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row>
    <row r="452" spans="1:28" ht="12.9">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row>
    <row r="453" spans="1:28" ht="12.9">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row>
    <row r="454" spans="1:28" ht="12.9">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row>
    <row r="455" spans="1:28" ht="12.9">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row>
    <row r="456" spans="1:28" ht="12.9">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row>
    <row r="457" spans="1:28" ht="12.9">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row>
    <row r="458" spans="1:28" ht="12.9">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row>
    <row r="459" spans="1:28" ht="12.9">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row>
    <row r="460" spans="1:28" ht="12.9">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row>
    <row r="461" spans="1:28" ht="12.9">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row>
    <row r="462" spans="1:28" ht="12.9">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row>
    <row r="463" spans="1:28" ht="12.9">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row>
    <row r="464" spans="1:28" ht="12.9">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row>
    <row r="465" spans="1:28" ht="12.9">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row>
    <row r="466" spans="1:28" ht="12.9">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row>
    <row r="467" spans="1:28" ht="12.9">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row>
    <row r="468" spans="1:28" ht="12.9">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row>
    <row r="469" spans="1:28" ht="12.9">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row>
    <row r="470" spans="1:28" ht="12.9">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row>
    <row r="471" spans="1:28" ht="12.9">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row>
    <row r="472" spans="1:28" ht="12.9">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row>
    <row r="473" spans="1:28" ht="12.9">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row>
    <row r="474" spans="1:28" ht="12.9">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row>
    <row r="475" spans="1:28" ht="12.9">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row>
    <row r="476" spans="1:28" ht="12.9">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row>
    <row r="477" spans="1:28" ht="12.9">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row>
    <row r="478" spans="1:28" ht="12.9">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row>
    <row r="479" spans="1:28" ht="12.9">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row>
    <row r="480" spans="1:28" ht="12.9">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row>
    <row r="481" spans="1:28" ht="12.9">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row>
    <row r="482" spans="1:28" ht="12.9">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row>
    <row r="483" spans="1:28" ht="12.9">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row>
    <row r="484" spans="1:28" ht="12.9">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row>
    <row r="485" spans="1:28" ht="12.9">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row>
    <row r="486" spans="1:28" ht="12.9">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row>
    <row r="487" spans="1:28" ht="12.9">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row>
    <row r="488" spans="1:28" ht="12.9">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row>
    <row r="489" spans="1:28" ht="12.9">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row>
    <row r="490" spans="1:28" ht="12.9">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row>
    <row r="491" spans="1:28" ht="12.9">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row>
    <row r="492" spans="1:28" ht="12.9">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row>
    <row r="493" spans="1:28" ht="12.9">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row>
    <row r="494" spans="1:28" ht="12.9">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row>
    <row r="495" spans="1:28" ht="12.9">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row>
    <row r="496" spans="1:28" ht="12.9">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row>
    <row r="497" spans="1:28" ht="12.9">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row>
    <row r="498" spans="1:28" ht="12.9">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row>
    <row r="499" spans="1:28" ht="12.9">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row>
    <row r="500" spans="1:28" ht="12.9">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row>
    <row r="501" spans="1:28" ht="12.9">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row>
    <row r="502" spans="1:28" ht="12.9">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row>
    <row r="503" spans="1:28" ht="12.9">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row>
    <row r="504" spans="1:28" ht="12.9">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row>
    <row r="505" spans="1:28" ht="12.9">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row>
    <row r="506" spans="1:28" ht="12.9">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row>
    <row r="507" spans="1:28" ht="12.9">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row>
    <row r="508" spans="1:28" ht="12.9">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row>
    <row r="509" spans="1:28" ht="12.9">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row>
    <row r="510" spans="1:28" ht="12.9">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row>
    <row r="511" spans="1:28" ht="12.9">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row>
    <row r="512" spans="1:28" ht="12.9">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row>
    <row r="513" spans="1:28" ht="12.9">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row>
    <row r="514" spans="1:28" ht="12.9">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row>
    <row r="515" spans="1:28" ht="12.9">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row>
    <row r="516" spans="1:28" ht="12.9">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row>
    <row r="517" spans="1:28" ht="12.9">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row>
    <row r="518" spans="1:28" ht="12.9">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row>
    <row r="519" spans="1:28" ht="12.9">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row>
    <row r="520" spans="1:28" ht="12.9">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row>
    <row r="521" spans="1:28" ht="12.9">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row>
    <row r="522" spans="1:28" ht="12.9">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row>
    <row r="523" spans="1:28" ht="12.9">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row>
    <row r="524" spans="1:28" ht="12.9">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row>
    <row r="525" spans="1:28" ht="12.9">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row>
    <row r="526" spans="1:28" ht="12.9">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row>
    <row r="527" spans="1:28" ht="12.9">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row>
    <row r="528" spans="1:28" ht="12.9">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row>
    <row r="529" spans="1:28" ht="12.9">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row>
    <row r="530" spans="1:28" ht="12.9">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row>
    <row r="531" spans="1:28" ht="12.9">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row>
    <row r="532" spans="1:28" ht="12.9">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row>
    <row r="533" spans="1:28" ht="12.9">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row>
    <row r="534" spans="1:28" ht="12.9">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row>
    <row r="535" spans="1:28" ht="12.9">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row>
    <row r="536" spans="1:28" ht="12.9">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row>
    <row r="537" spans="1:28" ht="12.9">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row>
    <row r="538" spans="1:28" ht="12.9">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row>
    <row r="539" spans="1:28" ht="12.9">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row>
    <row r="540" spans="1:28" ht="12.9">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row>
    <row r="541" spans="1:28" ht="12.9">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row>
    <row r="542" spans="1:28" ht="12.9">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row>
    <row r="543" spans="1:28" ht="12.9">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row>
    <row r="544" spans="1:28" ht="12.9">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row>
    <row r="545" spans="1:28" ht="12.9">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row>
    <row r="546" spans="1:28" ht="12.9">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row>
    <row r="547" spans="1:28" ht="12.9">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row>
    <row r="548" spans="1:28" ht="12.9">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row>
    <row r="549" spans="1:28" ht="12.9">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row>
    <row r="550" spans="1:28" ht="12.9">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row>
    <row r="551" spans="1:28" ht="12.9">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row>
    <row r="552" spans="1:28" ht="12.9">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row>
    <row r="553" spans="1:28" ht="12.9">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row>
    <row r="554" spans="1:28" ht="12.9">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row>
    <row r="555" spans="1:28" ht="12.9">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row>
    <row r="556" spans="1:28" ht="12.9">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row>
    <row r="557" spans="1:28" ht="12.9">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row>
    <row r="558" spans="1:28" ht="12.9">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row>
    <row r="559" spans="1:28" ht="12.9">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row>
    <row r="560" spans="1:28" ht="12.9">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row>
    <row r="561" spans="1:28" ht="12.9">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row>
    <row r="562" spans="1:28" ht="12.9">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row>
    <row r="563" spans="1:28" ht="12.9">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row>
    <row r="564" spans="1:28" ht="12.9">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row>
    <row r="565" spans="1:28" ht="12.9">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row>
    <row r="566" spans="1:28" ht="12.9">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row>
    <row r="567" spans="1:28" ht="12.9">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row>
    <row r="568" spans="1:28" ht="12.9">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row>
    <row r="569" spans="1:28" ht="12.9">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row>
    <row r="570" spans="1:28" ht="12.9">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row>
    <row r="571" spans="1:28" ht="12.9">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row>
    <row r="572" spans="1:28" ht="12.9">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row>
    <row r="573" spans="1:28" ht="12.9">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row>
    <row r="574" spans="1:28" ht="12.9">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row>
    <row r="575" spans="1:28" ht="12.9">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row>
    <row r="576" spans="1:28" ht="12.9">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row>
    <row r="577" spans="1:28" ht="12.9">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row>
    <row r="578" spans="1:28" ht="12.9">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row>
    <row r="579" spans="1:28" ht="12.9">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row>
    <row r="580" spans="1:28" ht="12.9">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row>
    <row r="581" spans="1:28" ht="12.9">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row>
    <row r="582" spans="1:28" ht="12.9">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row>
    <row r="583" spans="1:28" ht="12.9">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row>
    <row r="584" spans="1:28" ht="12.9">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row>
    <row r="585" spans="1:28" ht="12.9">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row>
    <row r="586" spans="1:28" ht="12.9">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row>
    <row r="587" spans="1:28" ht="12.9">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row>
    <row r="588" spans="1:28" ht="12.9">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row>
    <row r="589" spans="1:28" ht="12.9">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row>
    <row r="590" spans="1:28" ht="12.9">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row>
    <row r="591" spans="1:28" ht="12.9">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row>
    <row r="592" spans="1:28" ht="12.9">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row>
    <row r="593" spans="1:28" ht="12.9">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row>
    <row r="594" spans="1:28" ht="12.9">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row>
    <row r="595" spans="1:28" ht="12.9">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row>
    <row r="596" spans="1:28" ht="12.9">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row>
    <row r="597" spans="1:28" ht="12.9">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row>
    <row r="598" spans="1:28" ht="12.9">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row>
    <row r="599" spans="1:28" ht="12.9">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row>
    <row r="600" spans="1:28" ht="12.9">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row>
    <row r="601" spans="1:28" ht="12.9">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row>
    <row r="602" spans="1:28" ht="12.9">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row>
    <row r="603" spans="1:28" ht="12.9">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row>
    <row r="604" spans="1:28" ht="12.9">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row>
    <row r="605" spans="1:28" ht="12.9">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row>
    <row r="606" spans="1:28" ht="12.9">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row>
    <row r="607" spans="1:28" ht="12.9">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row>
    <row r="608" spans="1:28" ht="12.9">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row>
    <row r="609" spans="1:28" ht="12.9">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row>
    <row r="610" spans="1:28" ht="12.9">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row>
    <row r="611" spans="1:28" ht="12.9">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row>
    <row r="612" spans="1:28" ht="12.9">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row>
    <row r="613" spans="1:28" ht="12.9">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row>
    <row r="614" spans="1:28" ht="12.9">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row>
    <row r="615" spans="1:28" ht="12.9">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row>
    <row r="616" spans="1:28" ht="12.9">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row>
    <row r="617" spans="1:28" ht="12.9">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row>
    <row r="618" spans="1:28" ht="12.9">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row>
    <row r="619" spans="1:28" ht="12.9">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row>
    <row r="620" spans="1:28" ht="12.9">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row>
    <row r="621" spans="1:28" ht="12.9">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row>
    <row r="622" spans="1:28" ht="12.9">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row>
    <row r="623" spans="1:28" ht="12.9">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row>
    <row r="624" spans="1:28" ht="12.9">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row>
    <row r="625" spans="1:28" ht="12.9">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row>
    <row r="626" spans="1:28" ht="12.9">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row>
    <row r="627" spans="1:28" ht="12.9">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row>
    <row r="628" spans="1:28" ht="12.9">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row>
    <row r="629" spans="1:28" ht="12.9">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row>
    <row r="630" spans="1:28" ht="12.9">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row>
    <row r="631" spans="1:28" ht="12.9">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row>
    <row r="632" spans="1:28" ht="12.9">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row>
    <row r="633" spans="1:28" ht="12.9">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row>
    <row r="634" spans="1:28" ht="12.9">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row>
    <row r="635" spans="1:28" ht="12.9">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row>
    <row r="636" spans="1:28" ht="12.9">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row>
    <row r="637" spans="1:28" ht="12.9">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row>
    <row r="638" spans="1:28" ht="12.9">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row>
    <row r="639" spans="1:28" ht="12.9">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row>
    <row r="640" spans="1:28" ht="12.9">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row>
    <row r="641" spans="1:28" ht="12.9">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row>
    <row r="642" spans="1:28" ht="12.9">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row>
    <row r="643" spans="1:28" ht="12.9">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row>
    <row r="644" spans="1:28" ht="12.9">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row>
    <row r="645" spans="1:28" ht="12.9">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row>
    <row r="646" spans="1:28" ht="12.9">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row>
    <row r="647" spans="1:28" ht="12.9">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row>
    <row r="648" spans="1:28" ht="12.9">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row>
    <row r="649" spans="1:28" ht="12.9">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row>
    <row r="650" spans="1:28" ht="12.9">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row>
    <row r="651" spans="1:28" ht="12.9">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row>
    <row r="652" spans="1:28" ht="12.9">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row>
    <row r="653" spans="1:28" ht="12.9">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row>
    <row r="654" spans="1:28" ht="12.9">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row>
    <row r="655" spans="1:28" ht="12.9">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row>
    <row r="656" spans="1:28" ht="12.9">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row>
    <row r="657" spans="1:28" ht="12.9">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row>
    <row r="658" spans="1:28" ht="12.9">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row>
    <row r="659" spans="1:28" ht="12.9">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row>
    <row r="660" spans="1:28" ht="12.9">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row>
    <row r="661" spans="1:28" ht="12.9">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row>
    <row r="662" spans="1:28" ht="12.9">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row>
    <row r="663" spans="1:28" ht="12.9">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row>
    <row r="664" spans="1:28" ht="12.9">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row>
    <row r="665" spans="1:28" ht="12.9">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row>
    <row r="666" spans="1:28" ht="12.9">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row>
    <row r="667" spans="1:28" ht="12.9">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row>
    <row r="668" spans="1:28" ht="12.9">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row>
    <row r="669" spans="1:28" ht="12.9">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row>
    <row r="670" spans="1:28" ht="12.9">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row>
    <row r="671" spans="1:28" ht="12.9">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row>
    <row r="672" spans="1:28" ht="12.9">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row>
    <row r="673" spans="1:28" ht="12.9">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row>
    <row r="674" spans="1:28" ht="12.9">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row>
    <row r="675" spans="1:28" ht="12.9">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row>
    <row r="676" spans="1:28" ht="12.9">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row>
    <row r="677" spans="1:28" ht="12.9">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row>
    <row r="678" spans="1:28" ht="12.9">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row>
    <row r="679" spans="1:28" ht="12.9">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row>
    <row r="680" spans="1:28" ht="12.9">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row>
    <row r="681" spans="1:28" ht="12.9">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row>
    <row r="682" spans="1:28" ht="12.9">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row>
    <row r="683" spans="1:28" ht="12.9">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row>
    <row r="684" spans="1:28" ht="12.9">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row>
    <row r="685" spans="1:28" ht="12.9">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row>
    <row r="686" spans="1:28" ht="12.9">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row>
    <row r="687" spans="1:28" ht="12.9">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row>
    <row r="688" spans="1:28" ht="12.9">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row>
    <row r="689" spans="1:28" ht="12.9">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row>
    <row r="690" spans="1:28" ht="12.9">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row>
    <row r="691" spans="1:28" ht="12.9">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row>
    <row r="692" spans="1:28" ht="12.9">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row>
    <row r="693" spans="1:28" ht="12.9">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row>
    <row r="694" spans="1:28" ht="12.9">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row>
    <row r="695" spans="1:28" ht="12.9">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row>
    <row r="696" spans="1:28" ht="12.9">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row>
    <row r="697" spans="1:28" ht="12.9">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row>
    <row r="698" spans="1:28" ht="12.9">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row>
    <row r="699" spans="1:28" ht="12.9">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row>
    <row r="700" spans="1:28" ht="12.9">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row>
    <row r="701" spans="1:28" ht="12.9">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row>
    <row r="702" spans="1:28" ht="12.9">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row>
    <row r="703" spans="1:28" ht="12.9">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row>
    <row r="704" spans="1:28" ht="12.9">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row>
    <row r="705" spans="1:28" ht="12.9">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row>
    <row r="706" spans="1:28" ht="12.9">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row>
    <row r="707" spans="1:28" ht="12.9">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row>
    <row r="708" spans="1:28" ht="12.9">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row>
    <row r="709" spans="1:28" ht="12.9">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row>
    <row r="710" spans="1:28" ht="12.9">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row>
    <row r="711" spans="1:28" ht="12.9">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row>
    <row r="712" spans="1:28" ht="12.9">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row>
    <row r="713" spans="1:28" ht="12.9">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row>
    <row r="714" spans="1:28" ht="12.9">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row>
    <row r="715" spans="1:28" ht="12.9">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row>
    <row r="716" spans="1:28" ht="12.9">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row>
    <row r="717" spans="1:28" ht="12.9">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row>
    <row r="718" spans="1:28" ht="12.9">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row>
    <row r="719" spans="1:28" ht="12.9">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row>
    <row r="720" spans="1:28" ht="12.9">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row>
    <row r="721" spans="1:28" ht="12.9">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row>
    <row r="722" spans="1:28" ht="12.9">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row>
    <row r="723" spans="1:28" ht="12.9">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row>
    <row r="724" spans="1:28" ht="12.9">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row>
    <row r="725" spans="1:28" ht="12.9">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row>
    <row r="726" spans="1:28" ht="12.9">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row>
    <row r="727" spans="1:28" ht="12.9">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row>
    <row r="728" spans="1:28" ht="12.9">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row>
    <row r="729" spans="1:28" ht="12.9">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row>
    <row r="730" spans="1:28" ht="12.9">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row>
    <row r="731" spans="1:28" ht="12.9">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row>
    <row r="732" spans="1:28" ht="12.9">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row>
    <row r="733" spans="1:28" ht="12.9">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row>
    <row r="734" spans="1:28" ht="12.9">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row>
    <row r="735" spans="1:28" ht="12.9">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row>
    <row r="736" spans="1:28" ht="12.9">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row>
    <row r="737" spans="1:28" ht="12.9">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row>
    <row r="738" spans="1:28" ht="12.9">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row>
    <row r="739" spans="1:28" ht="12.9">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row>
    <row r="740" spans="1:28" ht="12.9">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row>
    <row r="741" spans="1:28" ht="12.9">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row>
    <row r="742" spans="1:28" ht="12.9">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row>
    <row r="743" spans="1:28" ht="12.9">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row>
    <row r="744" spans="1:28" ht="12.9">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row>
    <row r="745" spans="1:28" ht="12.9">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row>
    <row r="746" spans="1:28" ht="12.9">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row>
    <row r="747" spans="1:28" ht="12.9">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row>
    <row r="748" spans="1:28" ht="12.9">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row>
    <row r="749" spans="1:28" ht="12.9">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row>
    <row r="750" spans="1:28" ht="12.9">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row>
    <row r="751" spans="1:28" ht="12.9">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row>
    <row r="752" spans="1:28" ht="12.9">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row>
    <row r="753" spans="1:28" ht="12.9">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row>
    <row r="754" spans="1:28" ht="12.9">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row>
    <row r="755" spans="1:28" ht="12.9">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row>
    <row r="756" spans="1:28" ht="12.9">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row>
    <row r="757" spans="1:28" ht="12.9">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row>
    <row r="758" spans="1:28" ht="12.9">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row>
    <row r="759" spans="1:28" ht="12.9">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row>
    <row r="760" spans="1:28" ht="12.9">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row>
    <row r="761" spans="1:28" ht="12.9">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row>
    <row r="762" spans="1:28" ht="12.9">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row>
    <row r="763" spans="1:28" ht="12.9">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row>
    <row r="764" spans="1:28" ht="12.9">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row>
    <row r="765" spans="1:28" ht="12.9">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row>
    <row r="766" spans="1:28" ht="12.9">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row>
    <row r="767" spans="1:28" ht="12.9">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row>
    <row r="768" spans="1:28" ht="12.9">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row>
    <row r="769" spans="1:28" ht="12.9">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row>
    <row r="770" spans="1:28" ht="12.9">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row>
    <row r="771" spans="1:28" ht="12.9">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row>
    <row r="772" spans="1:28" ht="12.9">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row>
    <row r="773" spans="1:28" ht="12.9">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row>
    <row r="774" spans="1:28" ht="12.9">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row>
    <row r="775" spans="1:28" ht="12.9">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row>
    <row r="776" spans="1:28" ht="12.9">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row>
    <row r="777" spans="1:28" ht="12.9">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row>
    <row r="778" spans="1:28" ht="12.9">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row>
    <row r="779" spans="1:28" ht="12.9">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row>
    <row r="780" spans="1:28" ht="12.9">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row>
    <row r="781" spans="1:28" ht="12.9">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row>
    <row r="782" spans="1:28" ht="12.9">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row>
    <row r="783" spans="1:28" ht="12.9">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row>
    <row r="784" spans="1:28" ht="12.9">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row>
    <row r="785" spans="1:28" ht="12.9">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row>
    <row r="786" spans="1:28" ht="12.9">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row>
    <row r="787" spans="1:28" ht="12.9">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row>
    <row r="788" spans="1:28" ht="12.9">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row>
    <row r="789" spans="1:28" ht="12.9">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row>
    <row r="790" spans="1:28" ht="12.9">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row>
    <row r="791" spans="1:28" ht="12.9">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row>
    <row r="792" spans="1:28" ht="12.9">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row>
    <row r="793" spans="1:28" ht="12.9">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row>
    <row r="794" spans="1:28" ht="12.9">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row>
    <row r="795" spans="1:28" ht="12.9">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row>
    <row r="796" spans="1:28" ht="12.9">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row>
    <row r="797" spans="1:28" ht="12.9">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row>
    <row r="798" spans="1:28" ht="12.9">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row>
    <row r="799" spans="1:28" ht="12.9">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row>
    <row r="800" spans="1:28" ht="12.9">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row>
    <row r="801" spans="1:28" ht="12.9">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row>
    <row r="802" spans="1:28" ht="12.9">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row>
    <row r="803" spans="1:28" ht="12.9">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row>
    <row r="804" spans="1:28" ht="12.9">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row>
    <row r="805" spans="1:28" ht="12.9">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row>
    <row r="806" spans="1:28" ht="12.9">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row>
    <row r="807" spans="1:28" ht="12.9">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row>
    <row r="808" spans="1:28" ht="12.9">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row>
    <row r="809" spans="1:28" ht="12.9">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row>
    <row r="810" spans="1:28" ht="12.9">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row>
    <row r="811" spans="1:28" ht="12.9">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row>
    <row r="812" spans="1:28" ht="12.9">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row>
    <row r="813" spans="1:28" ht="12.9">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row>
    <row r="814" spans="1:28" ht="12.9">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row>
    <row r="815" spans="1:28" ht="12.9">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row>
    <row r="816" spans="1:28" ht="12.9">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row>
    <row r="817" spans="1:28" ht="12.9">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row>
    <row r="818" spans="1:28" ht="12.9">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row>
    <row r="819" spans="1:28" ht="12.9">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row>
    <row r="820" spans="1:28" ht="12.9">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row>
    <row r="821" spans="1:28" ht="12.9">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row>
    <row r="822" spans="1:28" ht="12.9">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row>
    <row r="823" spans="1:28" ht="12.9">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row>
    <row r="824" spans="1:28" ht="12.9">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row>
    <row r="825" spans="1:28" ht="12.9">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row>
    <row r="826" spans="1:28" ht="12.9">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row>
    <row r="827" spans="1:28" ht="12.9">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row>
    <row r="828" spans="1:28" ht="12.9">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row>
    <row r="829" spans="1:28" ht="12.9">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row>
    <row r="830" spans="1:28" ht="12.9">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row>
    <row r="831" spans="1:28" ht="12.9">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row>
    <row r="832" spans="1:28" ht="12.9">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row>
    <row r="833" spans="1:28" ht="12.9">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row>
    <row r="834" spans="1:28" ht="12.9">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row>
    <row r="835" spans="1:28" ht="12.9">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row>
    <row r="836" spans="1:28" ht="12.9">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row>
    <row r="837" spans="1:28" ht="12.9">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row>
    <row r="838" spans="1:28" ht="12.9">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row>
    <row r="839" spans="1:28" ht="12.9">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row>
    <row r="840" spans="1:28" ht="12.9">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row>
    <row r="841" spans="1:28" ht="12.9">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row>
    <row r="842" spans="1:28" ht="12.9">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row>
    <row r="843" spans="1:28" ht="12.9">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row>
    <row r="844" spans="1:28" ht="12.9">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row>
    <row r="845" spans="1:28" ht="12.9">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row>
    <row r="846" spans="1:28" ht="12.9">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row>
    <row r="847" spans="1:28" ht="12.9">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row>
    <row r="848" spans="1:28" ht="12.9">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row>
    <row r="849" spans="1:28" ht="12.9">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row>
    <row r="850" spans="1:28" ht="12.9">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row>
    <row r="851" spans="1:28" ht="12.9">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row>
    <row r="852" spans="1:28" ht="12.9">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row>
    <row r="853" spans="1:28" ht="12.9">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row>
    <row r="854" spans="1:28" ht="12.9">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row>
    <row r="855" spans="1:28" ht="12.9">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row>
    <row r="856" spans="1:28" ht="12.9">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row>
    <row r="857" spans="1:28" ht="12.9">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row>
    <row r="858" spans="1:28" ht="12.9">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row>
    <row r="859" spans="1:28" ht="12.9">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row>
    <row r="860" spans="1:28" ht="12.9">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row>
    <row r="861" spans="1:28" ht="12.9">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row>
    <row r="862" spans="1:28" ht="12.9">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row>
    <row r="863" spans="1:28" ht="12.9">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row>
    <row r="864" spans="1:28" ht="12.9">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row>
    <row r="865" spans="1:28" ht="12.9">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row>
    <row r="866" spans="1:28" ht="12.9">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row>
    <row r="867" spans="1:28" ht="12.9">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row>
    <row r="868" spans="1:28" ht="12.9">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row>
    <row r="869" spans="1:28" ht="12.9">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row>
    <row r="870" spans="1:28" ht="12.9">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row>
    <row r="871" spans="1:28" ht="12.9">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row>
    <row r="872" spans="1:28" ht="12.9">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row>
    <row r="873" spans="1:28" ht="12.9">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row>
    <row r="874" spans="1:28" ht="12.9">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row>
    <row r="875" spans="1:28" ht="12.9">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row>
    <row r="876" spans="1:28" ht="12.9">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row>
    <row r="877" spans="1:28" ht="12.9">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row>
    <row r="878" spans="1:28" ht="12.9">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row>
    <row r="879" spans="1:28" ht="12.9">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row>
    <row r="880" spans="1:28" ht="12.9">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row>
    <row r="881" spans="1:28" ht="12.9">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row>
    <row r="882" spans="1:28" ht="12.9">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row>
    <row r="883" spans="1:28" ht="12.9">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row>
    <row r="884" spans="1:28" ht="12.9">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row>
    <row r="885" spans="1:28" ht="12.9">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row>
    <row r="886" spans="1:28" ht="12.9">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row>
    <row r="887" spans="1:28" ht="12.9">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row>
    <row r="888" spans="1:28" ht="12.9">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row>
    <row r="889" spans="1:28" ht="12.9">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row>
    <row r="890" spans="1:28" ht="12.9">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row>
    <row r="891" spans="1:28" ht="12.9">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row>
    <row r="892" spans="1:28" ht="12.9">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row>
    <row r="893" spans="1:28" ht="12.9">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row>
    <row r="894" spans="1:28" ht="12.9">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row>
    <row r="895" spans="1:28" ht="12.9">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row>
    <row r="896" spans="1:28" ht="12.9">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row>
    <row r="897" spans="1:28" ht="12.9">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row>
    <row r="898" spans="1:28" ht="12.9">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row>
    <row r="899" spans="1:28" ht="12.9">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row>
    <row r="900" spans="1:28" ht="12.9">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row>
    <row r="901" spans="1:28" ht="12.9">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row>
    <row r="902" spans="1:28" ht="12.9">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row>
    <row r="903" spans="1:28" ht="12.9">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row>
    <row r="904" spans="1:28" ht="12.9">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row>
    <row r="905" spans="1:28" ht="12.9">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row>
    <row r="906" spans="1:28" ht="12.9">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row>
    <row r="907" spans="1:28" ht="12.9">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row>
    <row r="908" spans="1:28" ht="12.9">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row>
    <row r="909" spans="1:28" ht="12.9">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row>
    <row r="910" spans="1:28" ht="12.9">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row>
    <row r="911" spans="1:28" ht="12.9">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row>
    <row r="912" spans="1:28" ht="12.9">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row>
    <row r="913" spans="1:28" ht="12.9">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row>
    <row r="914" spans="1:28" ht="12.9">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row>
    <row r="915" spans="1:28" ht="12.9">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row>
    <row r="916" spans="1:28" ht="12.9">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row>
    <row r="917" spans="1:28" ht="12.9">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row>
    <row r="918" spans="1:28" ht="12.9">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row>
    <row r="919" spans="1:28" ht="12.9">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row>
    <row r="920" spans="1:28" ht="12.9">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row>
    <row r="921" spans="1:28" ht="12.9">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row>
    <row r="922" spans="1:28" ht="12.9">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row>
    <row r="923" spans="1:28" ht="12.9">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row>
    <row r="924" spans="1:28" ht="12.9">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row>
    <row r="925" spans="1:28" ht="12.9">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row>
    <row r="926" spans="1:28" ht="12.9">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row>
    <row r="927" spans="1:28" ht="12.9">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row>
    <row r="928" spans="1:28" ht="12.9">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row>
    <row r="929" spans="1:28" ht="12.9">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row>
    <row r="930" spans="1:28" ht="12.9">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row>
    <row r="931" spans="1:28" ht="12.9">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row>
    <row r="932" spans="1:28" ht="12.9">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row>
    <row r="933" spans="1:28" ht="12.9">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row>
    <row r="934" spans="1:28" ht="12.9">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row>
    <row r="935" spans="1:28" ht="12.9">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row>
    <row r="936" spans="1:28" ht="12.9">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row>
    <row r="937" spans="1:28" ht="12.9">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row>
    <row r="938" spans="1:28" ht="12.9">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row>
    <row r="939" spans="1:28" ht="12.9">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row>
    <row r="940" spans="1:28" ht="12.9">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row>
    <row r="941" spans="1:28" ht="12.9">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row>
    <row r="942" spans="1:28" ht="12.9">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row>
    <row r="943" spans="1:28" ht="12.9">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row>
    <row r="944" spans="1:28" ht="12.9">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row>
    <row r="945" spans="1:28" ht="12.9">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row>
    <row r="946" spans="1:28" ht="12.9">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row>
    <row r="947" spans="1:28" ht="12.9">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row>
    <row r="948" spans="1:28" ht="12.9">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row>
    <row r="949" spans="1:28" ht="12.9">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row>
    <row r="950" spans="1:28" ht="12.9">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row>
    <row r="951" spans="1:28" ht="12.9">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row>
    <row r="952" spans="1:28" ht="12.9">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row>
    <row r="953" spans="1:28" ht="12.9">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row>
    <row r="954" spans="1:28" ht="12.9">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row>
    <row r="955" spans="1:28" ht="12.9">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row>
    <row r="956" spans="1:28" ht="12.9">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row>
    <row r="957" spans="1:28" ht="12.9">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row>
    <row r="958" spans="1:28" ht="12.9">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row>
    <row r="959" spans="1:28" ht="12.9">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row>
    <row r="960" spans="1:28" ht="12.9">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row>
    <row r="961" spans="1:28" ht="12.9">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row>
    <row r="962" spans="1:28" ht="12.9">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row>
    <row r="963" spans="1:28" ht="12.9">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row>
    <row r="964" spans="1:28" ht="12.9">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row>
    <row r="965" spans="1:28" ht="12.9">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row>
    <row r="966" spans="1:28" ht="12.9">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row>
    <row r="967" spans="1:28" ht="12.9">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row>
    <row r="968" spans="1:28" ht="12.9">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row>
    <row r="969" spans="1:28" ht="12.9">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row>
    <row r="970" spans="1:28" ht="12.9">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row>
    <row r="971" spans="1:28" ht="12.9">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row>
    <row r="972" spans="1:28" ht="12.9">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row>
    <row r="973" spans="1:28" ht="12.9">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row>
    <row r="974" spans="1:28" ht="12.9">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row>
    <row r="975" spans="1:28" ht="12.9">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row>
    <row r="976" spans="1:28" ht="12.9">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row>
    <row r="977" spans="1:28" ht="12.9">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row>
    <row r="978" spans="1:28" ht="12.9">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row>
    <row r="979" spans="1:28" ht="12.9">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row>
    <row r="980" spans="1:28" ht="12.9">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row>
    <row r="981" spans="1:28" ht="12.9">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row>
    <row r="982" spans="1:28" ht="12.9">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row>
    <row r="983" spans="1:28" ht="12.9">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row>
    <row r="984" spans="1:28" ht="12.9">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row>
    <row r="985" spans="1:28" ht="12.9">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row>
    <row r="986" spans="1:28" ht="12.9">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row>
    <row r="987" spans="1:28" ht="12.9">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row>
    <row r="988" spans="1:28" ht="12.9">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row>
    <row r="989" spans="1:28" ht="12.9">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row>
    <row r="990" spans="1:28" ht="12.9">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row>
    <row r="991" spans="1:28" ht="12.9">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row>
    <row r="992" spans="1:28" ht="12.9">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c r="AB992" s="24"/>
    </row>
    <row r="993" spans="1:28" ht="12.9">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c r="AB993" s="24"/>
    </row>
    <row r="994" spans="1:28" ht="12.9">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c r="AB994" s="24"/>
    </row>
    <row r="995" spans="1:28" ht="12.9">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c r="AA995" s="24"/>
      <c r="AB995" s="24"/>
    </row>
    <row r="996" spans="1:28" ht="12.9">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row>
    <row r="997" spans="1:28" ht="12.9">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row>
    <row r="998" spans="1:28" ht="12.9">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row>
    <row r="999" spans="1:28" ht="12.9">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row>
    <row r="1000" spans="1:28" ht="12.9">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row>
    <row r="1001" spans="1:28" ht="12.9">
      <c r="A1001" s="24"/>
      <c r="B1001" s="24"/>
      <c r="C1001" s="24"/>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row>
    <row r="1002" spans="1:28" ht="12.9">
      <c r="A1002" s="24"/>
      <c r="B1002" s="24"/>
      <c r="C1002" s="24"/>
      <c r="D1002" s="24"/>
      <c r="E1002" s="24"/>
      <c r="F1002" s="24"/>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row>
    <row r="1003" spans="1:28" ht="12.9">
      <c r="A1003" s="24"/>
      <c r="B1003" s="24"/>
      <c r="C1003" s="24"/>
      <c r="D1003" s="24"/>
      <c r="E1003" s="24"/>
      <c r="F1003" s="24"/>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row>
    <row r="1004" spans="1:28" ht="12.9">
      <c r="A1004" s="24"/>
      <c r="B1004" s="24"/>
      <c r="C1004" s="24"/>
      <c r="D1004" s="24"/>
      <c r="E1004" s="24"/>
      <c r="F1004" s="24"/>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row>
    <row r="1005" spans="1:28" ht="12.9">
      <c r="A1005" s="24"/>
      <c r="B1005" s="24"/>
      <c r="C1005" s="24"/>
      <c r="D1005" s="24"/>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row>
    <row r="1006" spans="1:28" ht="12.9">
      <c r="A1006" s="24"/>
      <c r="B1006" s="24"/>
      <c r="C1006" s="24"/>
      <c r="D1006" s="24"/>
      <c r="E1006" s="24"/>
      <c r="F1006" s="24"/>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row>
    <row r="1007" spans="1:28" ht="12.9">
      <c r="A1007" s="24"/>
      <c r="B1007" s="24"/>
      <c r="C1007" s="24"/>
      <c r="D1007" s="24"/>
      <c r="E1007" s="24"/>
      <c r="F1007" s="24"/>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row>
    <row r="1008" spans="1:28" ht="12.9">
      <c r="A1008" s="24"/>
      <c r="B1008" s="24"/>
      <c r="C1008" s="24"/>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row>
    <row r="1009" spans="1:28" ht="12.9">
      <c r="A1009" s="24"/>
      <c r="B1009" s="24"/>
      <c r="C1009" s="24"/>
      <c r="D1009" s="24"/>
      <c r="E1009" s="24"/>
      <c r="F1009" s="24"/>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row>
    <row r="1010" spans="1:28" ht="12.9">
      <c r="A1010" s="24"/>
      <c r="B1010" s="24"/>
      <c r="C1010" s="24"/>
      <c r="D1010" s="24"/>
      <c r="E1010" s="24"/>
      <c r="F1010" s="24"/>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row>
    <row r="1011" spans="1:28" ht="12.9">
      <c r="A1011" s="24"/>
      <c r="B1011" s="24"/>
      <c r="C1011" s="24"/>
      <c r="D1011" s="24"/>
      <c r="E1011" s="24"/>
      <c r="F1011" s="24"/>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row>
    <row r="1012" spans="1:28" ht="12.9">
      <c r="A1012" s="24"/>
      <c r="B1012" s="24"/>
      <c r="C1012" s="24"/>
      <c r="D1012" s="24"/>
      <c r="E1012" s="24"/>
      <c r="F1012" s="24"/>
      <c r="G1012" s="24"/>
      <c r="H1012" s="24"/>
      <c r="I1012" s="24"/>
      <c r="J1012" s="24"/>
      <c r="K1012" s="24"/>
      <c r="L1012" s="24"/>
      <c r="M1012" s="24"/>
      <c r="N1012" s="24"/>
      <c r="O1012" s="24"/>
      <c r="P1012" s="24"/>
      <c r="Q1012" s="24"/>
      <c r="R1012" s="24"/>
      <c r="S1012" s="24"/>
      <c r="T1012" s="24"/>
      <c r="U1012" s="24"/>
      <c r="V1012" s="24"/>
      <c r="W1012" s="24"/>
      <c r="X1012" s="24"/>
      <c r="Y1012" s="24"/>
      <c r="Z1012" s="24"/>
      <c r="AA1012" s="24"/>
      <c r="AB1012" s="24"/>
    </row>
    <row r="1013" spans="1:28" ht="12.9">
      <c r="A1013" s="24"/>
      <c r="B1013" s="24"/>
      <c r="C1013" s="24"/>
      <c r="D1013" s="24"/>
      <c r="E1013" s="24"/>
      <c r="F1013" s="24"/>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row>
    <row r="1014" spans="1:28" ht="12.9">
      <c r="A1014" s="24"/>
      <c r="B1014" s="24"/>
      <c r="C1014" s="24"/>
      <c r="D1014" s="24"/>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row>
    <row r="1015" spans="1:28" ht="12.9">
      <c r="A1015" s="24"/>
      <c r="B1015" s="24"/>
      <c r="C1015" s="24"/>
      <c r="D1015" s="24"/>
      <c r="E1015" s="24"/>
      <c r="F1015" s="24"/>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row>
    <row r="1016" spans="1:28" ht="12.9">
      <c r="A1016" s="24"/>
      <c r="B1016" s="24"/>
      <c r="C1016" s="24"/>
      <c r="D1016" s="24"/>
      <c r="E1016" s="24"/>
      <c r="F1016" s="24"/>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row>
    <row r="1017" spans="1:28" ht="12.9">
      <c r="A1017" s="24"/>
      <c r="B1017" s="24"/>
      <c r="C1017" s="24"/>
      <c r="D1017" s="24"/>
      <c r="E1017" s="24"/>
      <c r="F1017" s="24"/>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row>
    <row r="1018" spans="1:28" ht="12.9">
      <c r="A1018" s="24"/>
      <c r="B1018" s="24"/>
      <c r="C1018" s="24"/>
      <c r="D1018" s="24"/>
      <c r="E1018" s="24"/>
      <c r="F1018" s="24"/>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24"/>
    </row>
    <row r="1019" spans="1:28" ht="12.9">
      <c r="A1019" s="24"/>
      <c r="B1019" s="24"/>
      <c r="C1019" s="24"/>
      <c r="D1019" s="24"/>
      <c r="E1019" s="24"/>
      <c r="F1019" s="24"/>
      <c r="G1019" s="24"/>
      <c r="H1019" s="24"/>
      <c r="I1019" s="24"/>
      <c r="J1019" s="24"/>
      <c r="K1019" s="24"/>
      <c r="L1019" s="24"/>
      <c r="M1019" s="24"/>
      <c r="N1019" s="24"/>
      <c r="O1019" s="24"/>
      <c r="P1019" s="24"/>
      <c r="Q1019" s="24"/>
      <c r="R1019" s="24"/>
      <c r="S1019" s="24"/>
      <c r="T1019" s="24"/>
      <c r="U1019" s="24"/>
      <c r="V1019" s="24"/>
      <c r="W1019" s="24"/>
      <c r="X1019" s="24"/>
      <c r="Y1019" s="24"/>
      <c r="Z1019" s="24"/>
      <c r="AA1019" s="24"/>
      <c r="AB1019" s="24"/>
    </row>
    <row r="1020" spans="1:28" ht="12.9">
      <c r="A1020" s="24"/>
      <c r="B1020" s="24"/>
      <c r="C1020" s="24"/>
      <c r="D1020" s="24"/>
      <c r="E1020" s="24"/>
      <c r="F1020" s="24"/>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
    </row>
    <row r="1021" spans="1:28" ht="12.9">
      <c r="A1021" s="24"/>
      <c r="B1021" s="24"/>
      <c r="C1021" s="24"/>
      <c r="D1021" s="24"/>
      <c r="E1021" s="24"/>
      <c r="F1021" s="24"/>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row>
    <row r="1022" spans="1:28" ht="12.9">
      <c r="A1022" s="24"/>
      <c r="B1022" s="24"/>
      <c r="C1022" s="24"/>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row>
    <row r="1023" spans="1:28" ht="12.9">
      <c r="A1023" s="24"/>
      <c r="B1023" s="24"/>
      <c r="C1023" s="24"/>
      <c r="D1023" s="24"/>
      <c r="E1023" s="24"/>
      <c r="F1023" s="24"/>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row>
    <row r="1024" spans="1:28" ht="12.9">
      <c r="A1024" s="24"/>
      <c r="B1024" s="24"/>
      <c r="C1024" s="24"/>
      <c r="D1024" s="24"/>
      <c r="E1024" s="24"/>
      <c r="F1024" s="24"/>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row>
    <row r="1025" spans="1:28" ht="12.9">
      <c r="A1025" s="24"/>
      <c r="B1025" s="24"/>
      <c r="C1025" s="24"/>
      <c r="D1025" s="24"/>
      <c r="E1025" s="24"/>
      <c r="F1025" s="24"/>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row>
    <row r="1026" spans="1:28" ht="12.9">
      <c r="A1026" s="24"/>
      <c r="B1026" s="24"/>
      <c r="C1026" s="24"/>
      <c r="D1026" s="24"/>
      <c r="E1026" s="24"/>
      <c r="F1026" s="24"/>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row>
    <row r="1027" spans="1:28" ht="12.9">
      <c r="A1027" s="24"/>
      <c r="B1027" s="24"/>
      <c r="C1027" s="24"/>
      <c r="D1027" s="24"/>
      <c r="E1027" s="24"/>
      <c r="F1027" s="24"/>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row>
    <row r="1028" spans="1:28" ht="12.9">
      <c r="A1028" s="24"/>
      <c r="B1028" s="24"/>
      <c r="C1028" s="24"/>
      <c r="D1028" s="24"/>
      <c r="E1028" s="24"/>
      <c r="F1028" s="24"/>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row>
    <row r="1029" spans="1:28" ht="12.9">
      <c r="A1029" s="24"/>
      <c r="B1029" s="24"/>
      <c r="C1029" s="24"/>
      <c r="D1029" s="24"/>
      <c r="E1029" s="24"/>
      <c r="F1029" s="24"/>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row>
    <row r="1030" spans="1:28" ht="12.9">
      <c r="A1030" s="24"/>
      <c r="B1030" s="24"/>
      <c r="C1030" s="24"/>
      <c r="D1030" s="24"/>
      <c r="E1030" s="24"/>
      <c r="F1030" s="24"/>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row>
    <row r="1031" spans="1:28" ht="12.9">
      <c r="A1031" s="24"/>
      <c r="B1031" s="24"/>
      <c r="C1031" s="24"/>
      <c r="D1031" s="24"/>
      <c r="E1031" s="24"/>
      <c r="F1031" s="24"/>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row>
    <row r="1032" spans="1:28" ht="12.9">
      <c r="A1032" s="24"/>
      <c r="B1032" s="24"/>
      <c r="C1032" s="24"/>
      <c r="D1032" s="24"/>
      <c r="E1032" s="24"/>
      <c r="F1032" s="24"/>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row>
    <row r="1033" spans="1:28" ht="12.9">
      <c r="A1033" s="24"/>
      <c r="B1033" s="24"/>
      <c r="C1033" s="24"/>
      <c r="D1033" s="24"/>
      <c r="E1033" s="24"/>
      <c r="F1033" s="24"/>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row>
    <row r="1034" spans="1:28" ht="12.9">
      <c r="A1034" s="24"/>
      <c r="B1034" s="24"/>
      <c r="C1034" s="24"/>
      <c r="D1034" s="24"/>
      <c r="E1034" s="24"/>
      <c r="F1034" s="24"/>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row>
    <row r="1035" spans="1:28" ht="12.9">
      <c r="A1035" s="24"/>
      <c r="B1035" s="24"/>
      <c r="C1035" s="24"/>
      <c r="D1035" s="24"/>
      <c r="E1035" s="24"/>
      <c r="F1035" s="24"/>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row>
    <row r="1036" spans="1:28" ht="12.9">
      <c r="A1036" s="24"/>
      <c r="B1036" s="24"/>
      <c r="C1036" s="24"/>
      <c r="D1036" s="24"/>
      <c r="E1036" s="24"/>
      <c r="F1036" s="24"/>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row>
    <row r="1037" spans="1:28" ht="12.9">
      <c r="A1037" s="24"/>
      <c r="B1037" s="24"/>
      <c r="C1037" s="24"/>
      <c r="D1037" s="24"/>
      <c r="E1037" s="24"/>
      <c r="F1037" s="24"/>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row>
    <row r="1038" spans="1:28" ht="12.9">
      <c r="A1038" s="24"/>
      <c r="B1038" s="24"/>
      <c r="C1038" s="24"/>
      <c r="D1038" s="24"/>
      <c r="E1038" s="24"/>
      <c r="F1038" s="24"/>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row>
    <row r="1039" spans="1:28" ht="12.9">
      <c r="A1039" s="24"/>
      <c r="B1039" s="24"/>
      <c r="C1039" s="24"/>
      <c r="D1039" s="24"/>
      <c r="E1039" s="24"/>
      <c r="F1039" s="24"/>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row>
    <row r="1040" spans="1:28" ht="12.9">
      <c r="A1040" s="24"/>
      <c r="B1040" s="24"/>
      <c r="C1040" s="24"/>
      <c r="D1040" s="24"/>
      <c r="E1040" s="24"/>
      <c r="F1040" s="24"/>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row>
    <row r="1041" spans="1:28" ht="12.9">
      <c r="A1041" s="24"/>
      <c r="B1041" s="24"/>
      <c r="C1041" s="24"/>
      <c r="D1041" s="24"/>
      <c r="E1041" s="24"/>
      <c r="F1041" s="24"/>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row>
    <row r="1042" spans="1:28" ht="12.9">
      <c r="A1042" s="24"/>
      <c r="B1042" s="24"/>
      <c r="C1042" s="24"/>
      <c r="D1042" s="24"/>
      <c r="E1042" s="24"/>
      <c r="F1042" s="24"/>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row>
    <row r="1043" spans="1:28" ht="12.9">
      <c r="A1043" s="24"/>
      <c r="B1043" s="24"/>
      <c r="C1043" s="24"/>
      <c r="D1043" s="24"/>
      <c r="E1043" s="24"/>
      <c r="F1043" s="24"/>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row>
    <row r="1044" spans="1:28" ht="12.9">
      <c r="A1044" s="24"/>
      <c r="B1044" s="24"/>
      <c r="C1044" s="24"/>
      <c r="D1044" s="24"/>
      <c r="E1044" s="24"/>
      <c r="F1044" s="24"/>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row>
    <row r="1045" spans="1:28" ht="12.9">
      <c r="A1045" s="24"/>
      <c r="B1045" s="24"/>
      <c r="C1045" s="24"/>
      <c r="D1045" s="24"/>
      <c r="E1045" s="24"/>
      <c r="F1045" s="24"/>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row>
    <row r="1046" spans="1:28" ht="12.9">
      <c r="A1046" s="24"/>
      <c r="B1046" s="24"/>
      <c r="C1046" s="24"/>
      <c r="D1046" s="24"/>
      <c r="E1046" s="24"/>
      <c r="F1046" s="24"/>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row>
    <row r="1047" spans="1:28" ht="12.9">
      <c r="A1047" s="24"/>
      <c r="B1047" s="24"/>
      <c r="C1047" s="24"/>
      <c r="D1047" s="24"/>
      <c r="E1047" s="24"/>
      <c r="F1047" s="24"/>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row>
    <row r="1048" spans="1:28" ht="12.9">
      <c r="A1048" s="24"/>
      <c r="B1048" s="24"/>
      <c r="C1048" s="24"/>
      <c r="D1048" s="24"/>
      <c r="E1048" s="24"/>
      <c r="F1048" s="24"/>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row>
    <row r="1049" spans="1:28" ht="12.9">
      <c r="A1049" s="24"/>
      <c r="B1049" s="24"/>
      <c r="C1049" s="24"/>
      <c r="D1049" s="24"/>
      <c r="E1049" s="24"/>
      <c r="F1049" s="24"/>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row>
    <row r="1050" spans="1:28" ht="12.9">
      <c r="A1050" s="24"/>
      <c r="B1050" s="24"/>
      <c r="C1050" s="24"/>
      <c r="D1050" s="24"/>
      <c r="E1050" s="24"/>
      <c r="F1050" s="24"/>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row>
    <row r="1051" spans="1:28" ht="12.9">
      <c r="A1051" s="24"/>
      <c r="B1051" s="24"/>
      <c r="C1051" s="24"/>
      <c r="D1051" s="24"/>
      <c r="E1051" s="24"/>
      <c r="F1051" s="24"/>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row>
    <row r="1052" spans="1:28" ht="12.9">
      <c r="A1052" s="24"/>
      <c r="B1052" s="24"/>
      <c r="C1052" s="24"/>
      <c r="D1052" s="24"/>
      <c r="E1052" s="24"/>
      <c r="F1052" s="24"/>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row>
    <row r="1053" spans="1:28" ht="12.9">
      <c r="A1053" s="24"/>
      <c r="B1053" s="24"/>
      <c r="C1053" s="24"/>
      <c r="D1053" s="24"/>
      <c r="E1053" s="24"/>
      <c r="F1053" s="24"/>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row>
    <row r="1054" spans="1:28" ht="12.9">
      <c r="A1054" s="24"/>
      <c r="B1054" s="24"/>
      <c r="C1054" s="24"/>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row>
    <row r="1055" spans="1:28" ht="12.9">
      <c r="A1055" s="24"/>
      <c r="B1055" s="24"/>
      <c r="C1055" s="24"/>
      <c r="D1055" s="24"/>
      <c r="E1055" s="24"/>
      <c r="F1055" s="24"/>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row>
    <row r="1056" spans="1:28" ht="12.9">
      <c r="A1056" s="24"/>
      <c r="B1056" s="24"/>
      <c r="C1056" s="24"/>
      <c r="D1056" s="24"/>
      <c r="E1056" s="24"/>
      <c r="F1056" s="24"/>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row>
    <row r="1057" spans="1:28" ht="12.9">
      <c r="A1057" s="24"/>
      <c r="B1057" s="24"/>
      <c r="C1057" s="24"/>
      <c r="D1057" s="24"/>
      <c r="E1057" s="24"/>
      <c r="F1057" s="24"/>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row>
    <row r="1058" spans="1:28" ht="12.9">
      <c r="A1058" s="24"/>
      <c r="B1058" s="24"/>
      <c r="C1058" s="24"/>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row>
    <row r="1059" spans="1:28" ht="12.9">
      <c r="A1059" s="24"/>
      <c r="B1059" s="24"/>
      <c r="C1059" s="24"/>
      <c r="D1059" s="24"/>
      <c r="E1059" s="24"/>
      <c r="F1059" s="24"/>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row>
    <row r="1060" spans="1:28" ht="12.9">
      <c r="A1060" s="24"/>
      <c r="B1060" s="24"/>
      <c r="C1060" s="24"/>
      <c r="D1060" s="24"/>
      <c r="E1060" s="24"/>
      <c r="F1060" s="24"/>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row>
    <row r="1061" spans="1:28" ht="12.9">
      <c r="A1061" s="24"/>
      <c r="B1061" s="24"/>
      <c r="C1061" s="24"/>
      <c r="D1061" s="24"/>
      <c r="E1061" s="24"/>
      <c r="F1061" s="24"/>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row>
    <row r="1062" spans="1:28" ht="12.9">
      <c r="A1062" s="24"/>
      <c r="B1062" s="24"/>
      <c r="C1062" s="24"/>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row>
    <row r="1063" spans="1:28" ht="12.9">
      <c r="A1063" s="24"/>
      <c r="B1063" s="24"/>
      <c r="C1063" s="24"/>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row>
    <row r="1064" spans="1:28" ht="12.9">
      <c r="A1064" s="24"/>
      <c r="B1064" s="24"/>
      <c r="C1064" s="24"/>
      <c r="D1064" s="24"/>
      <c r="E1064" s="24"/>
      <c r="F1064" s="24"/>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row>
    <row r="1065" spans="1:28" ht="12.9">
      <c r="A1065" s="24"/>
      <c r="B1065" s="24"/>
      <c r="C1065" s="24"/>
      <c r="D1065" s="24"/>
      <c r="E1065" s="24"/>
      <c r="F1065" s="24"/>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row>
    <row r="1066" spans="1:28" ht="12.9">
      <c r="A1066" s="24"/>
      <c r="B1066" s="24"/>
      <c r="C1066" s="24"/>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row>
    <row r="1067" spans="1:28" ht="12.9">
      <c r="A1067" s="24"/>
      <c r="B1067" s="24"/>
      <c r="C1067" s="24"/>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row>
    <row r="1068" spans="1:28" ht="12.9">
      <c r="A1068" s="24"/>
      <c r="B1068" s="24"/>
      <c r="C1068" s="24"/>
      <c r="D1068" s="24"/>
      <c r="E1068" s="24"/>
      <c r="F1068" s="24"/>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row>
    <row r="1069" spans="1:28" ht="12.9">
      <c r="A1069" s="24"/>
      <c r="B1069" s="24"/>
      <c r="C1069" s="24"/>
      <c r="D1069" s="24"/>
      <c r="E1069" s="24"/>
      <c r="F1069" s="24"/>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row>
    <row r="1070" spans="1:28" ht="12.9">
      <c r="A1070" s="24"/>
      <c r="B1070" s="24"/>
      <c r="C1070" s="24"/>
      <c r="D1070" s="24"/>
      <c r="E1070" s="24"/>
      <c r="F1070" s="24"/>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row>
    <row r="1071" spans="1:28" ht="12.9">
      <c r="A1071" s="24"/>
      <c r="B1071" s="24"/>
      <c r="C1071" s="24"/>
      <c r="D1071" s="24"/>
      <c r="E1071" s="24"/>
      <c r="F1071" s="24"/>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row>
    <row r="1072" spans="1:28" ht="12.9">
      <c r="A1072" s="24"/>
      <c r="B1072" s="24"/>
      <c r="C1072" s="24"/>
      <c r="D1072" s="24"/>
      <c r="E1072" s="24"/>
      <c r="F1072" s="24"/>
      <c r="G1072" s="24"/>
      <c r="H1072" s="24"/>
      <c r="I1072" s="24"/>
      <c r="J1072" s="24"/>
      <c r="K1072" s="24"/>
      <c r="L1072" s="24"/>
      <c r="M1072" s="24"/>
      <c r="N1072" s="24"/>
      <c r="O1072" s="24"/>
      <c r="P1072" s="24"/>
      <c r="Q1072" s="24"/>
      <c r="R1072" s="24"/>
      <c r="S1072" s="24"/>
      <c r="T1072" s="24"/>
      <c r="U1072" s="24"/>
      <c r="V1072" s="24"/>
      <c r="W1072" s="24"/>
      <c r="X1072" s="24"/>
      <c r="Y1072" s="24"/>
      <c r="Z1072" s="24"/>
      <c r="AA1072" s="24"/>
      <c r="AB1072" s="24"/>
    </row>
    <row r="1073" spans="1:28" ht="12.9">
      <c r="A1073" s="24"/>
      <c r="B1073" s="24"/>
      <c r="C1073" s="24"/>
      <c r="D1073" s="24"/>
      <c r="E1073" s="24"/>
      <c r="F1073" s="24"/>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row>
    <row r="1074" spans="1:28" ht="12.9">
      <c r="A1074" s="24"/>
      <c r="B1074" s="24"/>
      <c r="C1074" s="24"/>
      <c r="D1074" s="24"/>
      <c r="E1074" s="24"/>
      <c r="F1074" s="24"/>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row>
    <row r="1075" spans="1:28" ht="12.9">
      <c r="A1075" s="24"/>
      <c r="B1075" s="24"/>
      <c r="C1075" s="24"/>
      <c r="D1075" s="24"/>
      <c r="E1075" s="24"/>
      <c r="F1075" s="24"/>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row>
    <row r="1076" spans="1:28" ht="12.9">
      <c r="A1076" s="24"/>
      <c r="B1076" s="24"/>
      <c r="C1076" s="24"/>
      <c r="D1076" s="24"/>
      <c r="E1076" s="24"/>
      <c r="F1076" s="24"/>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row>
    <row r="1077" spans="1:28" ht="12.9">
      <c r="A1077" s="24"/>
      <c r="B1077" s="24"/>
      <c r="C1077" s="24"/>
      <c r="D1077" s="24"/>
      <c r="E1077" s="24"/>
      <c r="F1077" s="24"/>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row>
    <row r="1078" spans="1:28" ht="12.9">
      <c r="A1078" s="24"/>
      <c r="B1078" s="24"/>
      <c r="C1078" s="24"/>
      <c r="D1078" s="24"/>
      <c r="E1078" s="24"/>
      <c r="F1078" s="24"/>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row>
    <row r="1079" spans="1:28" ht="12.9">
      <c r="A1079" s="24"/>
      <c r="B1079" s="24"/>
      <c r="C1079" s="24"/>
      <c r="D1079" s="24"/>
      <c r="E1079" s="24"/>
      <c r="F1079" s="24"/>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row>
    <row r="1080" spans="1:28" ht="12.9">
      <c r="A1080" s="24"/>
      <c r="B1080" s="24"/>
      <c r="C1080" s="24"/>
      <c r="D1080" s="24"/>
      <c r="E1080" s="24"/>
      <c r="F1080" s="24"/>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row>
    <row r="1081" spans="1:28" ht="12.9">
      <c r="A1081" s="24"/>
      <c r="B1081" s="24"/>
      <c r="C1081" s="24"/>
      <c r="D1081" s="24"/>
      <c r="E1081" s="24"/>
      <c r="F1081" s="24"/>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row>
    <row r="1082" spans="1:28" ht="12.9">
      <c r="A1082" s="24"/>
      <c r="B1082" s="24"/>
      <c r="C1082" s="24"/>
      <c r="D1082" s="24"/>
      <c r="E1082" s="24"/>
      <c r="F1082" s="24"/>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row>
    <row r="1083" spans="1:28" ht="12.9">
      <c r="A1083" s="24"/>
      <c r="B1083" s="24"/>
      <c r="C1083" s="24"/>
      <c r="D1083" s="24"/>
      <c r="E1083" s="24"/>
      <c r="F1083" s="24"/>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row>
    <row r="1084" spans="1:28" ht="12.9">
      <c r="A1084" s="24"/>
      <c r="B1084" s="24"/>
      <c r="C1084" s="24"/>
      <c r="D1084" s="24"/>
      <c r="E1084" s="24"/>
      <c r="F1084" s="24"/>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row>
    <row r="1085" spans="1:28" ht="12.9">
      <c r="A1085" s="24"/>
      <c r="B1085" s="24"/>
      <c r="C1085" s="24"/>
      <c r="D1085" s="24"/>
      <c r="E1085" s="24"/>
      <c r="F1085" s="24"/>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row>
    <row r="1086" spans="1:28" ht="12.9">
      <c r="A1086" s="24"/>
      <c r="B1086" s="24"/>
      <c r="C1086" s="24"/>
      <c r="D1086" s="24"/>
      <c r="E1086" s="24"/>
      <c r="F1086" s="24"/>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row>
    <row r="1087" spans="1:28" ht="12.9">
      <c r="A1087" s="24"/>
      <c r="B1087" s="24"/>
      <c r="C1087" s="24"/>
      <c r="D1087" s="24"/>
      <c r="E1087" s="24"/>
      <c r="F1087" s="24"/>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row>
    <row r="1088" spans="1:28" ht="12.9">
      <c r="A1088" s="24"/>
      <c r="B1088" s="24"/>
      <c r="C1088" s="24"/>
      <c r="D1088" s="24"/>
      <c r="E1088" s="24"/>
      <c r="F1088" s="24"/>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row>
    <row r="1089" spans="1:28" ht="12.9">
      <c r="A1089" s="24"/>
      <c r="B1089" s="24"/>
      <c r="C1089" s="24"/>
      <c r="D1089" s="24"/>
      <c r="E1089" s="24"/>
      <c r="F1089" s="24"/>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row>
    <row r="1090" spans="1:28" ht="12.9">
      <c r="A1090" s="24"/>
      <c r="B1090" s="24"/>
      <c r="C1090" s="24"/>
      <c r="D1090" s="24"/>
      <c r="E1090" s="24"/>
      <c r="F1090" s="24"/>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row>
    <row r="1091" spans="1:28" ht="12.9">
      <c r="A1091" s="24"/>
      <c r="B1091" s="24"/>
      <c r="C1091" s="24"/>
      <c r="D1091" s="24"/>
      <c r="E1091" s="24"/>
      <c r="F1091" s="24"/>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row>
    <row r="1092" spans="1:28" ht="12.9">
      <c r="A1092" s="24"/>
      <c r="B1092" s="24"/>
      <c r="C1092" s="24"/>
      <c r="D1092" s="24"/>
      <c r="E1092" s="24"/>
      <c r="F1092" s="24"/>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row>
    <row r="1093" spans="1:28" ht="12.9">
      <c r="A1093" s="24"/>
      <c r="B1093" s="24"/>
      <c r="C1093" s="24"/>
      <c r="D1093" s="24"/>
      <c r="E1093" s="24"/>
      <c r="F1093" s="24"/>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row>
    <row r="1094" spans="1:28" ht="12.9">
      <c r="A1094" s="24"/>
      <c r="B1094" s="24"/>
      <c r="C1094" s="24"/>
      <c r="D1094" s="24"/>
      <c r="E1094" s="24"/>
      <c r="F1094" s="24"/>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row>
    <row r="1095" spans="1:28" ht="12.9">
      <c r="A1095" s="24"/>
      <c r="B1095" s="24"/>
      <c r="C1095" s="24"/>
      <c r="D1095" s="24"/>
      <c r="E1095" s="24"/>
      <c r="F1095" s="24"/>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row>
    <row r="1096" spans="1:28" ht="12.9">
      <c r="A1096" s="24"/>
      <c r="B1096" s="24"/>
      <c r="C1096" s="24"/>
      <c r="D1096" s="24"/>
      <c r="E1096" s="24"/>
      <c r="F1096" s="24"/>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row>
    <row r="1097" spans="1:28" ht="12.9">
      <c r="A1097" s="24"/>
      <c r="B1097" s="24"/>
      <c r="C1097" s="24"/>
      <c r="D1097" s="24"/>
      <c r="E1097" s="24"/>
      <c r="F1097" s="24"/>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row>
    <row r="1098" spans="1:28" ht="12.9">
      <c r="A1098" s="24"/>
      <c r="B1098" s="24"/>
      <c r="C1098" s="24"/>
      <c r="D1098" s="24"/>
      <c r="E1098" s="24"/>
      <c r="F1098" s="24"/>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row>
    <row r="1099" spans="1:28" ht="12.9">
      <c r="A1099" s="24"/>
      <c r="B1099" s="24"/>
      <c r="C1099" s="24"/>
      <c r="D1099" s="24"/>
      <c r="E1099" s="24"/>
      <c r="F1099" s="24"/>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row>
    <row r="1100" spans="1:28" ht="12.9">
      <c r="A1100" s="24"/>
      <c r="B1100" s="24"/>
      <c r="C1100" s="24"/>
      <c r="D1100" s="24"/>
      <c r="E1100" s="24"/>
      <c r="F1100" s="24"/>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row>
    <row r="1101" spans="1:28" ht="12.9">
      <c r="A1101" s="24"/>
      <c r="B1101" s="24"/>
      <c r="C1101" s="24"/>
      <c r="D1101" s="24"/>
      <c r="E1101" s="24"/>
      <c r="F1101" s="24"/>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row>
    <row r="1102" spans="1:28" ht="12.9">
      <c r="A1102" s="24"/>
      <c r="B1102" s="24"/>
      <c r="C1102" s="24"/>
      <c r="D1102" s="24"/>
      <c r="E1102" s="24"/>
      <c r="F1102" s="24"/>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row>
    <row r="1103" spans="1:28" ht="12.9">
      <c r="A1103" s="24"/>
      <c r="B1103" s="24"/>
      <c r="C1103" s="24"/>
      <c r="D1103" s="24"/>
      <c r="E1103" s="24"/>
      <c r="F1103" s="24"/>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row>
    <row r="1104" spans="1:28" ht="12.9">
      <c r="A1104" s="24"/>
      <c r="B1104" s="24"/>
      <c r="C1104" s="24"/>
      <c r="D1104" s="24"/>
      <c r="E1104" s="24"/>
      <c r="F1104" s="24"/>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row>
    <row r="1105" spans="1:28" ht="12.9">
      <c r="A1105" s="24"/>
      <c r="B1105" s="24"/>
      <c r="C1105" s="24"/>
      <c r="D1105" s="24"/>
      <c r="E1105" s="24"/>
      <c r="F1105" s="24"/>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row>
    <row r="1106" spans="1:28" ht="12.9">
      <c r="A1106" s="24"/>
      <c r="B1106" s="24"/>
      <c r="C1106" s="24"/>
      <c r="D1106" s="24"/>
      <c r="E1106" s="24"/>
      <c r="F1106" s="24"/>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row>
    <row r="1107" spans="1:28" ht="12.9">
      <c r="A1107" s="24"/>
      <c r="B1107" s="24"/>
      <c r="C1107" s="24"/>
      <c r="D1107" s="24"/>
      <c r="E1107" s="24"/>
      <c r="F1107" s="24"/>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row>
    <row r="1108" spans="1:28" ht="12.9">
      <c r="A1108" s="24"/>
      <c r="B1108" s="24"/>
      <c r="C1108" s="24"/>
      <c r="D1108" s="24"/>
      <c r="E1108" s="24"/>
      <c r="F1108" s="24"/>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row>
    <row r="1109" spans="1:28" ht="12.9">
      <c r="A1109" s="24"/>
      <c r="B1109" s="24"/>
      <c r="C1109" s="24"/>
      <c r="D1109" s="24"/>
      <c r="E1109" s="24"/>
      <c r="F1109" s="24"/>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row>
    <row r="1110" spans="1:28" ht="12.9">
      <c r="A1110" s="24"/>
      <c r="B1110" s="24"/>
      <c r="C1110" s="24"/>
      <c r="D1110" s="24"/>
      <c r="E1110" s="24"/>
      <c r="F1110" s="24"/>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row>
    <row r="1111" spans="1:28" ht="12.9">
      <c r="A1111" s="24"/>
      <c r="B1111" s="24"/>
      <c r="C1111" s="24"/>
      <c r="D1111" s="24"/>
      <c r="E1111" s="24"/>
      <c r="F1111" s="24"/>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row>
    <row r="1112" spans="1:28" ht="12.9">
      <c r="A1112" s="24"/>
      <c r="B1112" s="24"/>
      <c r="C1112" s="24"/>
      <c r="D1112" s="24"/>
      <c r="E1112" s="24"/>
      <c r="F1112" s="24"/>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row>
    <row r="1113" spans="1:28" ht="12.9">
      <c r="A1113" s="24"/>
      <c r="B1113" s="24"/>
      <c r="C1113" s="24"/>
      <c r="D1113" s="24"/>
      <c r="E1113" s="24"/>
      <c r="F1113" s="24"/>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row>
    <row r="1114" spans="1:28" ht="12.9">
      <c r="A1114" s="24"/>
      <c r="B1114" s="24"/>
      <c r="C1114" s="24"/>
      <c r="D1114" s="24"/>
      <c r="E1114" s="24"/>
      <c r="F1114" s="24"/>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row>
    <row r="1115" spans="1:28" ht="12.9">
      <c r="A1115" s="24"/>
      <c r="B1115" s="24"/>
      <c r="C1115" s="24"/>
      <c r="D1115" s="24"/>
      <c r="E1115" s="24"/>
      <c r="F1115" s="24"/>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row>
    <row r="1116" spans="1:28" ht="12.9">
      <c r="A1116" s="24"/>
      <c r="B1116" s="24"/>
      <c r="C1116" s="24"/>
      <c r="D1116" s="24"/>
      <c r="E1116" s="24"/>
      <c r="F1116" s="24"/>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row>
    <row r="1117" spans="1:28" ht="12.9">
      <c r="A1117" s="24"/>
      <c r="B1117" s="24"/>
      <c r="C1117" s="24"/>
      <c r="D1117" s="24"/>
      <c r="E1117" s="24"/>
      <c r="F1117" s="24"/>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row>
    <row r="1118" spans="1:28" ht="12.9">
      <c r="A1118" s="24"/>
      <c r="B1118" s="24"/>
      <c r="C1118" s="24"/>
      <c r="D1118" s="24"/>
      <c r="E1118" s="24"/>
      <c r="F1118" s="24"/>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row>
    <row r="1119" spans="1:28" ht="12.9">
      <c r="A1119" s="24"/>
      <c r="B1119" s="24"/>
      <c r="C1119" s="24"/>
      <c r="D1119" s="24"/>
      <c r="E1119" s="24"/>
      <c r="F1119" s="24"/>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row>
    <row r="1120" spans="1:28" ht="12.9">
      <c r="A1120" s="24"/>
      <c r="B1120" s="24"/>
      <c r="C1120" s="24"/>
      <c r="D1120" s="24"/>
      <c r="E1120" s="24"/>
      <c r="F1120" s="24"/>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row>
    <row r="1121" spans="1:28" ht="12.9">
      <c r="A1121" s="24"/>
      <c r="B1121" s="24"/>
      <c r="C1121" s="24"/>
      <c r="D1121" s="24"/>
      <c r="E1121" s="24"/>
      <c r="F1121" s="24"/>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row>
    <row r="1122" spans="1:28" ht="12.9">
      <c r="A1122" s="24"/>
      <c r="B1122" s="24"/>
      <c r="C1122" s="24"/>
      <c r="D1122" s="24"/>
      <c r="E1122" s="24"/>
      <c r="F1122" s="24"/>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row>
    <row r="1123" spans="1:28" ht="12.9">
      <c r="A1123" s="24"/>
      <c r="B1123" s="24"/>
      <c r="C1123" s="24"/>
      <c r="D1123" s="24"/>
      <c r="E1123" s="24"/>
      <c r="F1123" s="24"/>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row>
    <row r="1124" spans="1:28" ht="12.9">
      <c r="A1124" s="24"/>
      <c r="B1124" s="24"/>
      <c r="C1124" s="24"/>
      <c r="D1124" s="24"/>
      <c r="E1124" s="24"/>
      <c r="F1124" s="24"/>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row>
    <row r="1125" spans="1:28" ht="12.9">
      <c r="A1125" s="24"/>
      <c r="B1125" s="24"/>
      <c r="C1125" s="24"/>
      <c r="D1125" s="24"/>
      <c r="E1125" s="24"/>
      <c r="F1125" s="24"/>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row>
    <row r="1126" spans="1:28" ht="12.9">
      <c r="A1126" s="24"/>
      <c r="B1126" s="24"/>
      <c r="C1126" s="24"/>
      <c r="D1126" s="24"/>
      <c r="E1126" s="24"/>
      <c r="F1126" s="24"/>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row>
    <row r="1127" spans="1:28" ht="12.9">
      <c r="A1127" s="24"/>
      <c r="B1127" s="24"/>
      <c r="C1127" s="24"/>
      <c r="D1127" s="24"/>
      <c r="E1127" s="24"/>
      <c r="F1127" s="24"/>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row>
    <row r="1128" spans="1:28" ht="12.9">
      <c r="A1128" s="24"/>
      <c r="B1128" s="24"/>
      <c r="C1128" s="24"/>
      <c r="D1128" s="24"/>
      <c r="E1128" s="24"/>
      <c r="F1128" s="24"/>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row>
    <row r="1129" spans="1:28" ht="12.9">
      <c r="A1129" s="24"/>
      <c r="B1129" s="24"/>
      <c r="C1129" s="24"/>
      <c r="D1129" s="24"/>
      <c r="E1129" s="24"/>
      <c r="F1129" s="24"/>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row>
    <row r="1130" spans="1:28" ht="12.9">
      <c r="A1130" s="24"/>
      <c r="B1130" s="24"/>
      <c r="C1130" s="24"/>
      <c r="D1130" s="24"/>
      <c r="E1130" s="24"/>
      <c r="F1130" s="24"/>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row>
    <row r="1131" spans="1:28" ht="12.9">
      <c r="A1131" s="24"/>
      <c r="B1131" s="24"/>
      <c r="C1131" s="24"/>
      <c r="D1131" s="24"/>
      <c r="E1131" s="24"/>
      <c r="F1131" s="24"/>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row>
    <row r="1132" spans="1:28" ht="12.9">
      <c r="A1132" s="24"/>
      <c r="B1132" s="24"/>
      <c r="C1132" s="24"/>
      <c r="D1132" s="24"/>
      <c r="E1132" s="24"/>
      <c r="F1132" s="24"/>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row>
    <row r="1133" spans="1:28" ht="12.9">
      <c r="A1133" s="24"/>
      <c r="B1133" s="24"/>
      <c r="C1133" s="24"/>
      <c r="D1133" s="24"/>
      <c r="E1133" s="24"/>
      <c r="F1133" s="24"/>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row>
    <row r="1134" spans="1:28" ht="12.9">
      <c r="A1134" s="24"/>
      <c r="B1134" s="24"/>
      <c r="C1134" s="24"/>
      <c r="D1134" s="24"/>
      <c r="E1134" s="24"/>
      <c r="F1134" s="24"/>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row>
    <row r="1135" spans="1:28" ht="12.9">
      <c r="A1135" s="24"/>
      <c r="B1135" s="24"/>
      <c r="C1135" s="24"/>
      <c r="D1135" s="24"/>
      <c r="E1135" s="24"/>
      <c r="F1135" s="24"/>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row>
    <row r="1136" spans="1:28" ht="12.9">
      <c r="A1136" s="24"/>
      <c r="B1136" s="24"/>
      <c r="C1136" s="24"/>
      <c r="D1136" s="24"/>
      <c r="E1136" s="24"/>
      <c r="F1136" s="24"/>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row>
    <row r="1137" spans="1:28" ht="12.9">
      <c r="A1137" s="24"/>
      <c r="B1137" s="24"/>
      <c r="C1137" s="24"/>
      <c r="D1137" s="24"/>
      <c r="E1137" s="24"/>
      <c r="F1137" s="24"/>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row>
    <row r="1138" spans="1:28" ht="12.9">
      <c r="A1138" s="24"/>
      <c r="B1138" s="24"/>
      <c r="C1138" s="24"/>
      <c r="D1138" s="24"/>
      <c r="E1138" s="24"/>
      <c r="F1138" s="24"/>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row>
    <row r="1139" spans="1:28" ht="12.9">
      <c r="A1139" s="24"/>
      <c r="B1139" s="24"/>
      <c r="C1139" s="24"/>
      <c r="D1139" s="24"/>
      <c r="E1139" s="24"/>
      <c r="F1139" s="24"/>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row>
    <row r="1140" spans="1:28" ht="12.9">
      <c r="A1140" s="24"/>
      <c r="B1140" s="24"/>
      <c r="C1140" s="24"/>
      <c r="D1140" s="24"/>
      <c r="E1140" s="24"/>
      <c r="F1140" s="24"/>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row>
    <row r="1141" spans="1:28" ht="12.9">
      <c r="A1141" s="24"/>
      <c r="B1141" s="24"/>
      <c r="C1141" s="24"/>
      <c r="D1141" s="24"/>
      <c r="E1141" s="24"/>
      <c r="F1141" s="24"/>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row>
    <row r="1142" spans="1:28" ht="12.9">
      <c r="A1142" s="24"/>
      <c r="B1142" s="24"/>
      <c r="C1142" s="24"/>
      <c r="D1142" s="24"/>
      <c r="E1142" s="24"/>
      <c r="F1142" s="24"/>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row>
    <row r="1143" spans="1:28" ht="12.9">
      <c r="A1143" s="24"/>
      <c r="B1143" s="24"/>
      <c r="C1143" s="24"/>
      <c r="D1143" s="24"/>
      <c r="E1143" s="24"/>
      <c r="F1143" s="24"/>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row>
    <row r="1144" spans="1:28" ht="12.9">
      <c r="A1144" s="24"/>
      <c r="B1144" s="24"/>
      <c r="C1144" s="24"/>
      <c r="D1144" s="24"/>
      <c r="E1144" s="24"/>
      <c r="F1144" s="24"/>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row>
    <row r="1145" spans="1:28" ht="12.9">
      <c r="A1145" s="24"/>
      <c r="B1145" s="24"/>
      <c r="C1145" s="24"/>
      <c r="D1145" s="24"/>
      <c r="E1145" s="24"/>
      <c r="F1145" s="24"/>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row>
    <row r="1146" spans="1:28" ht="12.9">
      <c r="A1146" s="24"/>
      <c r="B1146" s="24"/>
      <c r="C1146" s="24"/>
      <c r="D1146" s="24"/>
      <c r="E1146" s="24"/>
      <c r="F1146" s="24"/>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row>
    <row r="1147" spans="1:28" ht="12.9">
      <c r="A1147" s="24"/>
      <c r="B1147" s="24"/>
      <c r="C1147" s="24"/>
      <c r="D1147" s="24"/>
      <c r="E1147" s="24"/>
      <c r="F1147" s="24"/>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row>
    <row r="1148" spans="1:28" ht="12.9">
      <c r="A1148" s="24"/>
      <c r="B1148" s="24"/>
      <c r="C1148" s="24"/>
      <c r="D1148" s="24"/>
      <c r="E1148" s="24"/>
      <c r="F1148" s="24"/>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row>
    <row r="1149" spans="1:28" ht="12.9">
      <c r="A1149" s="24"/>
      <c r="B1149" s="24"/>
      <c r="C1149" s="24"/>
      <c r="D1149" s="24"/>
      <c r="E1149" s="24"/>
      <c r="F1149" s="24"/>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row>
    <row r="1150" spans="1:28" ht="12.9">
      <c r="A1150" s="24"/>
      <c r="B1150" s="24"/>
      <c r="C1150" s="24"/>
      <c r="D1150" s="24"/>
      <c r="E1150" s="24"/>
      <c r="F1150" s="24"/>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row>
    <row r="1151" spans="1:28" ht="12.9">
      <c r="A1151" s="24"/>
      <c r="B1151" s="24"/>
      <c r="C1151" s="24"/>
      <c r="D1151" s="24"/>
      <c r="E1151" s="24"/>
      <c r="F1151" s="24"/>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row>
    <row r="1152" spans="1:28" ht="12.9">
      <c r="A1152" s="24"/>
      <c r="B1152" s="24"/>
      <c r="C1152" s="24"/>
      <c r="D1152" s="24"/>
      <c r="E1152" s="24"/>
      <c r="F1152" s="24"/>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row>
    <row r="1153" spans="1:28" ht="12.9">
      <c r="A1153" s="24"/>
      <c r="B1153" s="24"/>
      <c r="C1153" s="24"/>
      <c r="D1153" s="24"/>
      <c r="E1153" s="24"/>
      <c r="F1153" s="24"/>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row>
    <row r="1154" spans="1:28" ht="12.9">
      <c r="A1154" s="24"/>
      <c r="B1154" s="24"/>
      <c r="C1154" s="24"/>
      <c r="D1154" s="24"/>
      <c r="E1154" s="24"/>
      <c r="F1154" s="24"/>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row>
    <row r="1155" spans="1:28" ht="12.9">
      <c r="A1155" s="24"/>
      <c r="B1155" s="24"/>
      <c r="C1155" s="24"/>
      <c r="D1155" s="24"/>
      <c r="E1155" s="24"/>
      <c r="F1155" s="24"/>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row>
    <row r="1156" spans="1:28" ht="12.9">
      <c r="A1156" s="24"/>
      <c r="B1156" s="24"/>
      <c r="C1156" s="24"/>
      <c r="D1156" s="24"/>
      <c r="E1156" s="24"/>
      <c r="F1156" s="24"/>
      <c r="G1156" s="24"/>
      <c r="H1156" s="24"/>
      <c r="I1156" s="24"/>
      <c r="J1156" s="24"/>
      <c r="K1156" s="24"/>
      <c r="L1156" s="24"/>
      <c r="M1156" s="24"/>
      <c r="N1156" s="24"/>
      <c r="O1156" s="24"/>
      <c r="P1156" s="24"/>
      <c r="Q1156" s="24"/>
      <c r="R1156" s="24"/>
      <c r="S1156" s="24"/>
      <c r="T1156" s="24"/>
      <c r="U1156" s="24"/>
      <c r="V1156" s="24"/>
      <c r="W1156" s="24"/>
      <c r="X1156" s="24"/>
      <c r="Y1156" s="24"/>
      <c r="Z1156" s="24"/>
      <c r="AA1156" s="24"/>
      <c r="AB1156" s="24"/>
    </row>
    <row r="1157" spans="1:28" ht="12.9">
      <c r="A1157" s="24"/>
      <c r="B1157" s="24"/>
      <c r="C1157" s="24"/>
      <c r="D1157" s="24"/>
      <c r="E1157" s="24"/>
      <c r="F1157" s="24"/>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row>
    <row r="1158" spans="1:28" ht="12.9">
      <c r="A1158" s="24"/>
      <c r="B1158" s="24"/>
      <c r="C1158" s="24"/>
      <c r="D1158" s="24"/>
      <c r="E1158" s="24"/>
      <c r="F1158" s="24"/>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row>
    <row r="1159" spans="1:28" ht="12.9">
      <c r="A1159" s="24"/>
      <c r="B1159" s="24"/>
      <c r="C1159" s="24"/>
      <c r="D1159" s="24"/>
      <c r="E1159" s="24"/>
      <c r="F1159" s="24"/>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row>
    <row r="1160" spans="1:28" ht="12.9">
      <c r="A1160" s="24"/>
      <c r="B1160" s="24"/>
      <c r="C1160" s="24"/>
      <c r="D1160" s="24"/>
      <c r="E1160" s="24"/>
      <c r="F1160" s="24"/>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row>
    <row r="1161" spans="1:28" ht="12.9">
      <c r="A1161" s="24"/>
      <c r="B1161" s="24"/>
      <c r="C1161" s="24"/>
      <c r="D1161" s="24"/>
      <c r="E1161" s="24"/>
      <c r="F1161" s="24"/>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row>
    <row r="1162" spans="1:28" ht="12.9">
      <c r="A1162" s="24"/>
      <c r="B1162" s="24"/>
      <c r="C1162" s="24"/>
      <c r="D1162" s="24"/>
      <c r="E1162" s="24"/>
      <c r="F1162" s="24"/>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row>
    <row r="1163" spans="1:28" ht="12.9">
      <c r="A1163" s="24"/>
      <c r="B1163" s="24"/>
      <c r="C1163" s="24"/>
      <c r="D1163" s="24"/>
      <c r="E1163" s="24"/>
      <c r="F1163" s="24"/>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row>
    <row r="1164" spans="1:28" ht="12.9">
      <c r="A1164" s="24"/>
      <c r="B1164" s="24"/>
      <c r="C1164" s="24"/>
      <c r="D1164" s="24"/>
      <c r="E1164" s="24"/>
      <c r="F1164" s="24"/>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row>
    <row r="1165" spans="1:28" ht="12.9">
      <c r="A1165" s="24"/>
      <c r="B1165" s="24"/>
      <c r="C1165" s="24"/>
      <c r="D1165" s="24"/>
      <c r="E1165" s="24"/>
      <c r="F1165" s="24"/>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row>
    <row r="1166" spans="1:28" ht="12.9">
      <c r="A1166" s="24"/>
      <c r="B1166" s="24"/>
      <c r="C1166" s="24"/>
      <c r="D1166" s="24"/>
      <c r="E1166" s="24"/>
      <c r="F1166" s="24"/>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row>
    <row r="1167" spans="1:28" ht="12.9">
      <c r="A1167" s="24"/>
      <c r="B1167" s="24"/>
      <c r="C1167" s="24"/>
      <c r="D1167" s="24"/>
      <c r="E1167" s="24"/>
      <c r="F1167" s="24"/>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row>
    <row r="1168" spans="1:28" ht="12.9">
      <c r="A1168" s="24"/>
      <c r="B1168" s="24"/>
      <c r="C1168" s="24"/>
      <c r="D1168" s="24"/>
      <c r="E1168" s="24"/>
      <c r="F1168" s="24"/>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row>
  </sheetData>
  <mergeCells count="17">
    <mergeCell ref="E1:F1"/>
    <mergeCell ref="C1:C2"/>
    <mergeCell ref="D1:D2"/>
    <mergeCell ref="B1:B2"/>
    <mergeCell ref="A1:A2"/>
    <mergeCell ref="J1:J2"/>
    <mergeCell ref="K1:K2"/>
    <mergeCell ref="L1:L2"/>
    <mergeCell ref="G1:G2"/>
    <mergeCell ref="H1:H2"/>
    <mergeCell ref="I1:I2"/>
    <mergeCell ref="M1:M2"/>
    <mergeCell ref="N1:N2"/>
    <mergeCell ref="P1:P2"/>
    <mergeCell ref="Q1:Q2"/>
    <mergeCell ref="R1:R2"/>
    <mergeCell ref="O1:O2"/>
  </mergeCells>
  <conditionalFormatting sqref="J3:J10 J12:J48 J50:J67 J69:J73 J75:J79 J81 J83:J99 J101:J154 J156:J162 J164:J173 J175 J177 J179:J184">
    <cfRule type="containsText" dxfId="23" priority="1" operator="containsText" text="1.0">
      <formula>NOT(ISERROR(SEARCH(("1.0"),(J3))))</formula>
    </cfRule>
  </conditionalFormatting>
  <conditionalFormatting sqref="J3:J10 J12:J48 J50:J67 J69:J73 J75:J79 J81 J83:J99 J101:J154 J156:J162 J164:J173 J175 J177 J179:J184">
    <cfRule type="containsText" dxfId="22" priority="2" operator="containsText" text="2.0">
      <formula>NOT(ISERROR(SEARCH(("2.0"),(J3))))</formula>
    </cfRule>
  </conditionalFormatting>
  <conditionalFormatting sqref="J3:J10 J12:J48 J50:J67 J69:J73 J75:J79 J81 J83:J99 J101:J154 J156:J162 J164:J173 J175 J177 J179:J184">
    <cfRule type="containsText" dxfId="21" priority="3" operator="containsText" text="3.0">
      <formula>NOT(ISERROR(SEARCH(("3.0"),(J3))))</formula>
    </cfRule>
  </conditionalFormatting>
  <conditionalFormatting sqref="J3:J10 J12:J48 J50:J67 J69:J73 J75:J79 J81 J83:J99 J101:J154 J156:J162 J164:J173 J175 J177 J179:J184">
    <cfRule type="containsText" dxfId="20" priority="4" operator="containsText" text="4.0">
      <formula>NOT(ISERROR(SEARCH(("4.0"),(J3))))</formula>
    </cfRule>
  </conditionalFormatting>
  <conditionalFormatting sqref="J3:J10 J12:J48 J50:J67 J69:J73 J75:J79 J81 J83:J99 J101:J154 J156:J162 J164:J173 J175 J177 J179:J184">
    <cfRule type="containsText" dxfId="19" priority="5" operator="containsText" text="5.0">
      <formula>NOT(ISERROR(SEARCH(("5.0"),(J3))))</formula>
    </cfRule>
  </conditionalFormatting>
  <conditionalFormatting sqref="J3:J10 J12:J48 J50:J67 J69:J73 J75:J79 J81 J83:J99 J101:J154 J156:J162 J164:J173 J175 J177 J179:J184">
    <cfRule type="containsText" dxfId="18" priority="6" operator="containsText" text="6.0">
      <formula>NOT(ISERROR(SEARCH(("6.0"),(J3))))</formula>
    </cfRule>
  </conditionalFormatting>
  <conditionalFormatting sqref="J3:J10 J12:J48 J50:J67 J69:J73 J75:J79 J81 J83:J99 J101:J154 J156:J162 J164:J173 J175 J177 J179:J184">
    <cfRule type="containsText" dxfId="17" priority="7" operator="containsText" text="7.0">
      <formula>NOT(ISERROR(SEARCH(("7.0"),(J3))))</formula>
    </cfRule>
  </conditionalFormatting>
  <conditionalFormatting sqref="J3:J10 J12:J48 J50:J67 J69:J73 J75:J79 J81 J83:J99 J101:J154 J156:J162 J164:J173 J175 J177 J179:J184">
    <cfRule type="containsText" dxfId="16" priority="8" operator="containsText" text="Two or More">
      <formula>NOT(ISERROR(SEARCH(("Two or More"),(J3))))</formula>
    </cfRule>
  </conditionalFormatting>
  <dataValidations count="1">
    <dataValidation type="list" allowBlank="1" sqref="J3:J10 J12:J48 J50:J67 J69:J73 J75:J79 J81 J83:J99 J101:J154 J156:J162 J164:J173 J175 J177 J179:J184">
      <formula1>"1.0 - Requirements Definition,2.0 -  Acq. Planning &amp; Mkt. Research,3.0 - Synopsis &amp; Solicitation,4.0 - Source Selection,5.0 - Award,6.0 - Contract Admin,7.0 - Closeout,Two or more,Unidentified"</formula1>
    </dataValidation>
  </dataValidations>
  <printOptions horizontalCentered="1" gridLines="1"/>
  <pageMargins left="0.7" right="0.7" top="0.75" bottom="0.75" header="0" footer="0"/>
  <pageSetup paperSize="5" fitToHeight="0" pageOrder="overThenDown" orientation="landscape" cellComments="atEnd"/>
  <extLst>
    <ext xmlns:x14="http://schemas.microsoft.com/office/spreadsheetml/2009/9/main" uri="{CCE6A557-97BC-4b89-ADB6-D9C93CAAB3DF}">
      <x14:dataValidations xmlns:xm="http://schemas.microsoft.com/office/excel/2006/main" count="1">
        <x14:dataValidation type="list" allowBlank="1">
          <x14:formula1>
            <xm:f>'Self Assessment Total Score'!$C$18:$C$21</xm:f>
          </x14:formula1>
          <xm:sqref>O3:O184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E1220"/>
  <sheetViews>
    <sheetView topLeftCell="F1" workbookViewId="0">
      <selection activeCell="O5" sqref="O5"/>
    </sheetView>
  </sheetViews>
  <sheetFormatPr defaultColWidth="14.375" defaultRowHeight="15.8" customHeight="1"/>
  <cols>
    <col min="2" max="2" width="18.25" customWidth="1"/>
    <col min="3" max="3" width="30.125" customWidth="1"/>
    <col min="4" max="4" width="15.25" customWidth="1"/>
    <col min="5" max="5" width="22.75" customWidth="1"/>
    <col min="6" max="6" width="18.375" customWidth="1"/>
    <col min="7" max="7" width="27.625" customWidth="1"/>
    <col min="8" max="8" width="11" customWidth="1"/>
    <col min="9" max="9" width="10.75" customWidth="1"/>
    <col min="10" max="10" width="12" customWidth="1"/>
    <col min="11" max="11" width="9" customWidth="1"/>
    <col min="12" max="12" width="30.875" customWidth="1"/>
    <col min="13" max="13" width="38.875" customWidth="1"/>
    <col min="14" max="14" width="23.375" customWidth="1"/>
    <col min="15" max="15" width="40.875" customWidth="1"/>
    <col min="16" max="16" width="8.25" customWidth="1"/>
    <col min="17" max="17" width="14.375" hidden="1"/>
  </cols>
  <sheetData>
    <row r="1" spans="1:31" ht="12.9">
      <c r="A1" s="297" t="s">
        <v>2</v>
      </c>
      <c r="B1" s="297" t="s">
        <v>3</v>
      </c>
      <c r="C1" s="297" t="s">
        <v>5</v>
      </c>
      <c r="D1" s="297" t="s">
        <v>6</v>
      </c>
      <c r="E1" s="303" t="s">
        <v>7</v>
      </c>
      <c r="F1" s="304"/>
      <c r="G1" s="297" t="s">
        <v>890</v>
      </c>
      <c r="H1" s="297" t="s">
        <v>14</v>
      </c>
      <c r="I1" s="295" t="s">
        <v>19</v>
      </c>
      <c r="J1" s="295" t="s">
        <v>31</v>
      </c>
      <c r="K1" s="295" t="s">
        <v>33</v>
      </c>
      <c r="L1" s="297" t="s">
        <v>34</v>
      </c>
      <c r="M1" s="299" t="s">
        <v>36</v>
      </c>
      <c r="N1" s="299" t="s">
        <v>39</v>
      </c>
      <c r="O1" s="301" t="s">
        <v>44</v>
      </c>
      <c r="P1" s="300" t="s">
        <v>46</v>
      </c>
      <c r="Q1" s="300" t="s">
        <v>47</v>
      </c>
      <c r="R1" s="300" t="s">
        <v>48</v>
      </c>
      <c r="S1" s="21"/>
      <c r="T1" s="21"/>
      <c r="U1" s="21"/>
      <c r="V1" s="21"/>
      <c r="W1" s="21"/>
      <c r="X1" s="21"/>
      <c r="Y1" s="21"/>
      <c r="Z1" s="21"/>
      <c r="AA1" s="21"/>
      <c r="AB1" s="21"/>
      <c r="AC1" s="21"/>
      <c r="AD1" s="21"/>
      <c r="AE1" s="21"/>
    </row>
    <row r="2" spans="1:31" ht="21.1" customHeight="1">
      <c r="A2" s="298"/>
      <c r="B2" s="298"/>
      <c r="C2" s="298"/>
      <c r="D2" s="298"/>
      <c r="E2" s="23" t="s">
        <v>59</v>
      </c>
      <c r="F2" s="23" t="s">
        <v>68</v>
      </c>
      <c r="G2" s="298"/>
      <c r="H2" s="298"/>
      <c r="I2" s="296"/>
      <c r="J2" s="296"/>
      <c r="K2" s="296"/>
      <c r="L2" s="298"/>
      <c r="M2" s="298"/>
      <c r="N2" s="298"/>
      <c r="O2" s="298"/>
      <c r="P2" s="298"/>
      <c r="Q2" s="298"/>
      <c r="R2" s="298"/>
      <c r="S2" s="24"/>
      <c r="T2" s="24"/>
      <c r="U2" s="24"/>
      <c r="V2" s="24"/>
      <c r="W2" s="24"/>
      <c r="X2" s="24"/>
      <c r="Y2" s="24"/>
      <c r="Z2" s="24"/>
      <c r="AA2" s="24"/>
      <c r="AB2" s="24"/>
      <c r="AC2" s="24"/>
      <c r="AD2" s="24"/>
      <c r="AE2" s="21"/>
    </row>
    <row r="3" spans="1:31" ht="125.35" customHeight="1">
      <c r="A3" s="91" t="s">
        <v>916</v>
      </c>
      <c r="B3" s="26" t="s">
        <v>928</v>
      </c>
      <c r="C3" s="26" t="s">
        <v>929</v>
      </c>
      <c r="D3" s="26" t="s">
        <v>930</v>
      </c>
      <c r="E3" s="85" t="s">
        <v>931</v>
      </c>
      <c r="F3" s="85" t="s">
        <v>932</v>
      </c>
      <c r="G3" s="86" t="str">
        <f>HYPERLINK("https://www.acquisition.gov/content/part-16-types-contracts#i1103595","FAR 16.703(d)(1)(ii) Orders [basic ordering agreements].")</f>
        <v>FAR 16.703(d)(1)(ii) Orders [basic ordering agreements].</v>
      </c>
      <c r="H3" s="25"/>
      <c r="I3" s="34" t="s">
        <v>933</v>
      </c>
      <c r="J3" s="37" t="s">
        <v>919</v>
      </c>
      <c r="K3" s="37" t="s">
        <v>934</v>
      </c>
      <c r="L3" s="25" t="s">
        <v>935</v>
      </c>
      <c r="M3" s="39" t="s">
        <v>937</v>
      </c>
      <c r="N3" s="41" t="s">
        <v>939</v>
      </c>
      <c r="O3" s="64"/>
      <c r="P3" s="45" t="b">
        <f t="shared" ref="P3:P50" si="0">IF(AND(O3="Meet the requirements traceability “out of the box”"), 10, IF(AND(O3="Can meet the requirements traceability with configuration or through the use of another commercial product “out of the box” or other arrangement as part of the service offering quoted (i.e. at no additional cost)"), 8, IF(AND(O3="Can meet the requirements traceability with customization at additional cost"), 3, IF(AND(O3="Cannot meet the requirements traceability requirement"), 0))))</f>
        <v>0</v>
      </c>
      <c r="Q3" s="45">
        <f t="shared" ref="Q3:Q50" si="1">IF(J3="Unidentified",0,3)</f>
        <v>3</v>
      </c>
      <c r="R3" s="45">
        <f t="shared" ref="R3:R50" si="2">IF(P3=FALSE,0,IF(P3&gt;4,(P3+Q3),P3))</f>
        <v>0</v>
      </c>
      <c r="S3" s="24"/>
      <c r="T3" s="24"/>
      <c r="U3" s="24"/>
      <c r="V3" s="24"/>
      <c r="W3" s="24"/>
      <c r="X3" s="24"/>
      <c r="Y3" s="24"/>
      <c r="Z3" s="24"/>
      <c r="AA3" s="24"/>
      <c r="AB3" s="24"/>
      <c r="AC3" s="24"/>
      <c r="AD3" s="24"/>
      <c r="AE3" s="24"/>
    </row>
    <row r="4" spans="1:31" ht="97.85">
      <c r="A4" s="91" t="s">
        <v>916</v>
      </c>
      <c r="B4" s="26" t="s">
        <v>928</v>
      </c>
      <c r="C4" s="26" t="s">
        <v>947</v>
      </c>
      <c r="D4" s="26" t="s">
        <v>948</v>
      </c>
      <c r="E4" s="85" t="s">
        <v>949</v>
      </c>
      <c r="F4" s="85" t="s">
        <v>950</v>
      </c>
      <c r="G4" s="86" t="str">
        <f>HYPERLINK("https://www.acquisition.gov/content/part-16-types-contracts#i1103595","FAR 16.703(d)(3) Orders [basic ordering agreements].")</f>
        <v>FAR 16.703(d)(3) Orders [basic ordering agreements].</v>
      </c>
      <c r="H4" s="25"/>
      <c r="I4" s="34" t="s">
        <v>952</v>
      </c>
      <c r="J4" s="37" t="s">
        <v>919</v>
      </c>
      <c r="K4" s="37" t="s">
        <v>954</v>
      </c>
      <c r="L4" s="25" t="s">
        <v>956</v>
      </c>
      <c r="M4" s="39" t="s">
        <v>957</v>
      </c>
      <c r="N4" s="41" t="s">
        <v>959</v>
      </c>
      <c r="O4" s="64"/>
      <c r="P4" s="45" t="b">
        <f t="shared" si="0"/>
        <v>0</v>
      </c>
      <c r="Q4" s="45">
        <f t="shared" si="1"/>
        <v>3</v>
      </c>
      <c r="R4" s="45">
        <f t="shared" si="2"/>
        <v>0</v>
      </c>
      <c r="S4" s="24"/>
      <c r="T4" s="24"/>
      <c r="U4" s="24"/>
      <c r="V4" s="24"/>
      <c r="W4" s="24"/>
      <c r="X4" s="24"/>
      <c r="Y4" s="24"/>
      <c r="Z4" s="24"/>
      <c r="AA4" s="24"/>
      <c r="AB4" s="24"/>
      <c r="AC4" s="24"/>
      <c r="AD4" s="24"/>
      <c r="AE4" s="24"/>
    </row>
    <row r="5" spans="1:31" ht="130.44999999999999">
      <c r="A5" s="91" t="s">
        <v>916</v>
      </c>
      <c r="B5" s="26" t="s">
        <v>928</v>
      </c>
      <c r="C5" s="26" t="s">
        <v>947</v>
      </c>
      <c r="D5" s="26" t="s">
        <v>961</v>
      </c>
      <c r="E5" s="85" t="s">
        <v>962</v>
      </c>
      <c r="F5" s="85" t="s">
        <v>308</v>
      </c>
      <c r="G5" s="86" t="str">
        <f>HYPERLINK("https://www.acquisition.gov/content/part-16-types-contracts#i1103595","FAR 16.703(d)(1)(iii) Orders [basic ordering agreements].")</f>
        <v>FAR 16.703(d)(1)(iii) Orders [basic ordering agreements].</v>
      </c>
      <c r="H5" s="25"/>
      <c r="I5" s="34" t="s">
        <v>968</v>
      </c>
      <c r="J5" s="37" t="s">
        <v>268</v>
      </c>
      <c r="K5" s="37" t="s">
        <v>969</v>
      </c>
      <c r="L5" s="77" t="s">
        <v>970</v>
      </c>
      <c r="M5" s="25" t="s">
        <v>971</v>
      </c>
      <c r="N5" s="41" t="s">
        <v>972</v>
      </c>
      <c r="O5" s="64"/>
      <c r="P5" s="45" t="b">
        <f t="shared" si="0"/>
        <v>0</v>
      </c>
      <c r="Q5" s="45">
        <f t="shared" si="1"/>
        <v>3</v>
      </c>
      <c r="R5" s="45">
        <f t="shared" si="2"/>
        <v>0</v>
      </c>
      <c r="S5" s="24"/>
      <c r="T5" s="24"/>
      <c r="U5" s="24"/>
      <c r="V5" s="24"/>
      <c r="W5" s="24"/>
      <c r="X5" s="24"/>
      <c r="Y5" s="24"/>
      <c r="Z5" s="24"/>
      <c r="AA5" s="24"/>
      <c r="AB5" s="24"/>
      <c r="AC5" s="24"/>
      <c r="AD5" s="24"/>
      <c r="AE5" s="24"/>
    </row>
    <row r="6" spans="1:31" ht="195.65">
      <c r="A6" s="91" t="s">
        <v>916</v>
      </c>
      <c r="B6" s="26" t="s">
        <v>928</v>
      </c>
      <c r="C6" s="26" t="s">
        <v>947</v>
      </c>
      <c r="D6" s="26" t="s">
        <v>974</v>
      </c>
      <c r="E6" s="25" t="s">
        <v>975</v>
      </c>
      <c r="F6" s="25" t="s">
        <v>976</v>
      </c>
      <c r="G6" s="57" t="str">
        <f>HYPERLINK("https://www.acquisition.gov/content/part-19-small-business-programs#i1100917","FAR 19.506 Withdrawing or modifying small business set-asides. ")</f>
        <v xml:space="preserve">FAR 19.506 Withdrawing or modifying small business set-asides. </v>
      </c>
      <c r="H6" s="57" t="str">
        <f>HYPERLINK("https://www.acquisition.gov/sites/default/files/current/gsam/html/Part519.html#wp1858166","GSAR 519.506")</f>
        <v>GSAR 519.506</v>
      </c>
      <c r="I6" s="34" t="s">
        <v>989</v>
      </c>
      <c r="J6" s="37" t="s">
        <v>268</v>
      </c>
      <c r="K6" s="37" t="s">
        <v>990</v>
      </c>
      <c r="L6" s="25" t="s">
        <v>991</v>
      </c>
      <c r="M6" s="94" t="s">
        <v>992</v>
      </c>
      <c r="N6" s="41" t="s">
        <v>999</v>
      </c>
      <c r="O6" s="64"/>
      <c r="P6" s="45" t="b">
        <f t="shared" si="0"/>
        <v>0</v>
      </c>
      <c r="Q6" s="45">
        <f t="shared" si="1"/>
        <v>3</v>
      </c>
      <c r="R6" s="45">
        <f t="shared" si="2"/>
        <v>0</v>
      </c>
      <c r="S6" s="24"/>
      <c r="T6" s="24"/>
      <c r="U6" s="24"/>
      <c r="V6" s="24"/>
      <c r="W6" s="24"/>
      <c r="X6" s="24"/>
      <c r="Y6" s="24"/>
      <c r="Z6" s="24"/>
      <c r="AA6" s="24"/>
      <c r="AB6" s="24"/>
      <c r="AC6" s="24"/>
      <c r="AD6" s="24"/>
      <c r="AE6" s="24"/>
    </row>
    <row r="7" spans="1:31" ht="206.5">
      <c r="A7" s="91" t="s">
        <v>916</v>
      </c>
      <c r="B7" s="26" t="s">
        <v>928</v>
      </c>
      <c r="C7" s="26" t="s">
        <v>947</v>
      </c>
      <c r="D7" s="26" t="s">
        <v>1004</v>
      </c>
      <c r="E7" s="25" t="s">
        <v>1006</v>
      </c>
      <c r="F7" s="25" t="s">
        <v>1008</v>
      </c>
      <c r="G7" s="57" t="str">
        <f>HYPERLINK("https://www.acquisition.gov/content/part-13-simplified-acquisition-procedures#i1112336","FAR 13.106-2 Evaluation of quotations or offers. ")</f>
        <v xml:space="preserve">FAR 13.106-2 Evaluation of quotations or offers. </v>
      </c>
      <c r="H7" s="25"/>
      <c r="I7" s="98" t="s">
        <v>1010</v>
      </c>
      <c r="J7" s="37" t="s">
        <v>919</v>
      </c>
      <c r="K7" s="37" t="s">
        <v>1021</v>
      </c>
      <c r="L7" s="25" t="s">
        <v>1022</v>
      </c>
      <c r="M7" s="25" t="s">
        <v>1023</v>
      </c>
      <c r="N7" s="25" t="s">
        <v>1024</v>
      </c>
      <c r="O7" s="64"/>
      <c r="P7" s="45" t="b">
        <f t="shared" si="0"/>
        <v>0</v>
      </c>
      <c r="Q7" s="45">
        <f t="shared" si="1"/>
        <v>3</v>
      </c>
      <c r="R7" s="45">
        <f t="shared" si="2"/>
        <v>0</v>
      </c>
      <c r="S7" s="24"/>
      <c r="T7" s="24"/>
      <c r="U7" s="24"/>
      <c r="V7" s="24"/>
      <c r="W7" s="24"/>
      <c r="X7" s="24"/>
      <c r="Y7" s="24"/>
      <c r="Z7" s="24"/>
      <c r="AA7" s="24"/>
      <c r="AB7" s="24"/>
      <c r="AC7" s="24"/>
      <c r="AD7" s="24"/>
      <c r="AE7" s="24"/>
    </row>
    <row r="8" spans="1:31" ht="152.15">
      <c r="A8" s="91" t="s">
        <v>916</v>
      </c>
      <c r="B8" s="26" t="s">
        <v>928</v>
      </c>
      <c r="C8" s="26" t="s">
        <v>947</v>
      </c>
      <c r="D8" s="26" t="s">
        <v>1028</v>
      </c>
      <c r="E8" s="25" t="s">
        <v>1029</v>
      </c>
      <c r="F8" s="25" t="s">
        <v>1030</v>
      </c>
      <c r="G8" s="57" t="str">
        <f>HYPERLINK("https://www.acquisition.gov/content/part-19-small-business-programs#i1100615","FAR 19.602-1 Referral. ")</f>
        <v xml:space="preserve">FAR 19.602-1 Referral. </v>
      </c>
      <c r="H8" s="25"/>
      <c r="I8" s="34" t="s">
        <v>1034</v>
      </c>
      <c r="J8" s="37" t="s">
        <v>919</v>
      </c>
      <c r="K8" s="37" t="s">
        <v>1037</v>
      </c>
      <c r="L8" s="25" t="s">
        <v>1039</v>
      </c>
      <c r="M8" s="94" t="s">
        <v>1043</v>
      </c>
      <c r="N8" s="25" t="s">
        <v>1044</v>
      </c>
      <c r="O8" s="64"/>
      <c r="P8" s="45" t="b">
        <f t="shared" si="0"/>
        <v>0</v>
      </c>
      <c r="Q8" s="45">
        <f t="shared" si="1"/>
        <v>3</v>
      </c>
      <c r="R8" s="45">
        <f t="shared" si="2"/>
        <v>0</v>
      </c>
      <c r="S8" s="24"/>
      <c r="T8" s="24"/>
      <c r="U8" s="24"/>
      <c r="V8" s="24"/>
      <c r="W8" s="24"/>
      <c r="X8" s="24"/>
      <c r="Y8" s="24"/>
      <c r="Z8" s="24"/>
      <c r="AA8" s="24"/>
      <c r="AB8" s="24"/>
      <c r="AC8" s="24"/>
      <c r="AD8" s="24"/>
      <c r="AE8" s="24"/>
    </row>
    <row r="9" spans="1:31" ht="173.9">
      <c r="A9" s="91" t="s">
        <v>916</v>
      </c>
      <c r="B9" s="26" t="s">
        <v>928</v>
      </c>
      <c r="C9" s="26" t="s">
        <v>947</v>
      </c>
      <c r="D9" s="26" t="s">
        <v>1053</v>
      </c>
      <c r="E9" s="25" t="s">
        <v>1054</v>
      </c>
      <c r="F9" s="25" t="s">
        <v>1055</v>
      </c>
      <c r="G9" s="57" t="str">
        <f>HYPERLINK("https://www.acquisition.gov/content/part-19-small-business-programs#i1100615","FAR 19.602-1(a)(1) Referral. ")</f>
        <v xml:space="preserve">FAR 19.602-1(a)(1) Referral. </v>
      </c>
      <c r="H9" s="25"/>
      <c r="I9" s="34" t="s">
        <v>1034</v>
      </c>
      <c r="J9" s="37" t="s">
        <v>919</v>
      </c>
      <c r="K9" s="37" t="s">
        <v>1060</v>
      </c>
      <c r="L9" s="25" t="s">
        <v>1062</v>
      </c>
      <c r="M9" s="101" t="s">
        <v>1064</v>
      </c>
      <c r="N9" s="25" t="s">
        <v>1070</v>
      </c>
      <c r="O9" s="64"/>
      <c r="P9" s="45" t="b">
        <f t="shared" si="0"/>
        <v>0</v>
      </c>
      <c r="Q9" s="45">
        <f t="shared" si="1"/>
        <v>3</v>
      </c>
      <c r="R9" s="45">
        <f t="shared" si="2"/>
        <v>0</v>
      </c>
      <c r="S9" s="24"/>
      <c r="T9" s="24"/>
      <c r="U9" s="24"/>
      <c r="V9" s="24"/>
      <c r="W9" s="24"/>
      <c r="X9" s="24"/>
      <c r="Y9" s="24"/>
      <c r="Z9" s="24"/>
      <c r="AA9" s="24"/>
      <c r="AB9" s="24"/>
      <c r="AC9" s="24"/>
      <c r="AD9" s="24"/>
      <c r="AE9" s="24"/>
    </row>
    <row r="10" spans="1:31" ht="206.5">
      <c r="A10" s="91" t="s">
        <v>916</v>
      </c>
      <c r="B10" s="26" t="s">
        <v>928</v>
      </c>
      <c r="C10" s="26" t="s">
        <v>947</v>
      </c>
      <c r="D10" s="26" t="s">
        <v>1073</v>
      </c>
      <c r="E10" s="25" t="s">
        <v>1074</v>
      </c>
      <c r="F10" s="25" t="s">
        <v>1075</v>
      </c>
      <c r="G10" s="57" t="str">
        <f>HYPERLINK("https://www.acquisition.gov/content/part-19-small-business-programs#i1100615","FAR 19.602-1(a)(2) Referral. ")</f>
        <v xml:space="preserve">FAR 19.602-1(a)(2) Referral. </v>
      </c>
      <c r="H10" s="25"/>
      <c r="I10" s="34" t="s">
        <v>1034</v>
      </c>
      <c r="J10" s="37" t="s">
        <v>919</v>
      </c>
      <c r="K10" s="75" t="s">
        <v>1060</v>
      </c>
      <c r="L10" s="25" t="s">
        <v>1080</v>
      </c>
      <c r="M10" s="102" t="s">
        <v>1081</v>
      </c>
      <c r="N10" s="25" t="s">
        <v>1070</v>
      </c>
      <c r="O10" s="64"/>
      <c r="P10" s="45" t="b">
        <f t="shared" si="0"/>
        <v>0</v>
      </c>
      <c r="Q10" s="45">
        <f t="shared" si="1"/>
        <v>3</v>
      </c>
      <c r="R10" s="45">
        <f t="shared" si="2"/>
        <v>0</v>
      </c>
      <c r="S10" s="24"/>
      <c r="T10" s="24"/>
      <c r="U10" s="24"/>
      <c r="V10" s="24"/>
      <c r="W10" s="24"/>
      <c r="X10" s="24"/>
      <c r="Y10" s="24"/>
      <c r="Z10" s="24"/>
      <c r="AA10" s="24"/>
      <c r="AB10" s="24"/>
      <c r="AC10" s="24"/>
      <c r="AD10" s="24"/>
      <c r="AE10" s="24"/>
    </row>
    <row r="11" spans="1:31" ht="163.05000000000001">
      <c r="A11" s="91" t="s">
        <v>916</v>
      </c>
      <c r="B11" s="26" t="s">
        <v>928</v>
      </c>
      <c r="C11" s="26" t="s">
        <v>947</v>
      </c>
      <c r="D11" s="26" t="s">
        <v>1099</v>
      </c>
      <c r="E11" s="25" t="s">
        <v>1101</v>
      </c>
      <c r="F11" s="25" t="s">
        <v>1102</v>
      </c>
      <c r="G11" s="57" t="str">
        <f>HYPERLINK("https://www.acquisition.gov/content/part-19-small-business-programs#i1100669","FAR 19.602-3 Resolving differences between the agency and the Small Business Administration.")</f>
        <v>FAR 19.602-3 Resolving differences between the agency and the Small Business Administration.</v>
      </c>
      <c r="H11" s="57" t="str">
        <f>HYPERLINK("https://www.acquisition.gov/sites/default/files/current/gsam/html/Part519.html#wp1858176","GSAR 519.602-3")</f>
        <v>GSAR 519.602-3</v>
      </c>
      <c r="I11" s="34" t="s">
        <v>1034</v>
      </c>
      <c r="J11" s="37" t="s">
        <v>919</v>
      </c>
      <c r="K11" s="37" t="s">
        <v>1105</v>
      </c>
      <c r="L11" s="25" t="s">
        <v>1106</v>
      </c>
      <c r="M11" s="25" t="s">
        <v>1107</v>
      </c>
      <c r="N11" s="25" t="s">
        <v>1108</v>
      </c>
      <c r="O11" s="64"/>
      <c r="P11" s="45" t="b">
        <f t="shared" si="0"/>
        <v>0</v>
      </c>
      <c r="Q11" s="45">
        <f t="shared" si="1"/>
        <v>3</v>
      </c>
      <c r="R11" s="45">
        <f t="shared" si="2"/>
        <v>0</v>
      </c>
      <c r="S11" s="24"/>
      <c r="T11" s="24"/>
      <c r="U11" s="24"/>
      <c r="V11" s="24"/>
      <c r="W11" s="24"/>
      <c r="X11" s="24"/>
      <c r="Y11" s="24"/>
      <c r="Z11" s="24"/>
      <c r="AA11" s="24"/>
      <c r="AB11" s="24"/>
      <c r="AC11" s="24"/>
      <c r="AD11" s="24"/>
      <c r="AE11" s="24"/>
    </row>
    <row r="12" spans="1:31" ht="163.05000000000001">
      <c r="A12" s="91" t="s">
        <v>916</v>
      </c>
      <c r="B12" s="26" t="s">
        <v>928</v>
      </c>
      <c r="C12" s="26" t="s">
        <v>947</v>
      </c>
      <c r="D12" s="26" t="s">
        <v>1114</v>
      </c>
      <c r="E12" s="25" t="s">
        <v>1116</v>
      </c>
      <c r="F12" s="25" t="s">
        <v>1119</v>
      </c>
      <c r="G12" s="57" t="str">
        <f>HYPERLINK("https://www.acquisition.gov/content/part-19-small-business-programs#id1617MD010PA","FAR 19.602-4 Awarding the contract [certificates of competency and determinations of responsibility]. ")</f>
        <v xml:space="preserve">FAR 19.602-4 Awarding the contract [certificates of competency and determinations of responsibility]. </v>
      </c>
      <c r="H12" s="25"/>
      <c r="I12" s="34" t="s">
        <v>1122</v>
      </c>
      <c r="J12" s="37" t="s">
        <v>919</v>
      </c>
      <c r="K12" s="37" t="s">
        <v>1123</v>
      </c>
      <c r="L12" s="25" t="s">
        <v>1124</v>
      </c>
      <c r="M12" s="25" t="s">
        <v>1125</v>
      </c>
      <c r="N12" s="25" t="s">
        <v>1126</v>
      </c>
      <c r="O12" s="64"/>
      <c r="P12" s="45" t="b">
        <f t="shared" si="0"/>
        <v>0</v>
      </c>
      <c r="Q12" s="45">
        <f t="shared" si="1"/>
        <v>3</v>
      </c>
      <c r="R12" s="45">
        <f t="shared" si="2"/>
        <v>0</v>
      </c>
      <c r="S12" s="24"/>
      <c r="T12" s="24"/>
      <c r="U12" s="24"/>
      <c r="V12" s="24"/>
      <c r="W12" s="24"/>
      <c r="X12" s="24"/>
      <c r="Y12" s="24"/>
      <c r="Z12" s="24"/>
      <c r="AA12" s="24"/>
      <c r="AB12" s="24"/>
      <c r="AC12" s="24"/>
      <c r="AD12" s="24"/>
      <c r="AE12" s="24"/>
    </row>
    <row r="13" spans="1:31" ht="163.05000000000001">
      <c r="A13" s="91" t="s">
        <v>916</v>
      </c>
      <c r="B13" s="26" t="s">
        <v>928</v>
      </c>
      <c r="C13" s="26" t="s">
        <v>947</v>
      </c>
      <c r="D13" s="26" t="s">
        <v>1136</v>
      </c>
      <c r="E13" s="25" t="s">
        <v>1137</v>
      </c>
      <c r="F13" s="25" t="s">
        <v>1138</v>
      </c>
      <c r="G13" s="57" t="str">
        <f>HYPERLINK("https://www.acquisition.gov/content/part-19-small-business-programs#id1617MD010L4","FAR 19.602-2 Issuing or denying a Certificate of Competency (COC). FAR 19.602-3 Resolving differences between the agency and the Small Business Administration. FAR 19.602-4 Awarding the contract [certificates of competency and determinations]. ")</f>
        <v xml:space="preserve">FAR 19.602-2 Issuing or denying a Certificate of Competency (COC). FAR 19.602-3 Resolving differences between the agency and the Small Business Administration. FAR 19.602-4 Awarding the contract [certificates of competency and determinations]. </v>
      </c>
      <c r="H13" s="57" t="str">
        <f t="shared" ref="H13:H14" si="3">HYPERLINK("https://www.acquisition.gov/sites/default/files/current/gsam/html/Part519.html#wp1858176","GSAR 519.602-3")</f>
        <v>GSAR 519.602-3</v>
      </c>
      <c r="I13" s="34" t="s">
        <v>1122</v>
      </c>
      <c r="J13" s="37" t="s">
        <v>919</v>
      </c>
      <c r="K13" s="37" t="s">
        <v>1151</v>
      </c>
      <c r="L13" s="25" t="s">
        <v>1152</v>
      </c>
      <c r="M13" s="25" t="s">
        <v>1153</v>
      </c>
      <c r="N13" s="25" t="s">
        <v>1155</v>
      </c>
      <c r="O13" s="64"/>
      <c r="P13" s="45" t="b">
        <f t="shared" si="0"/>
        <v>0</v>
      </c>
      <c r="Q13" s="45">
        <f t="shared" si="1"/>
        <v>3</v>
      </c>
      <c r="R13" s="45">
        <f t="shared" si="2"/>
        <v>0</v>
      </c>
      <c r="S13" s="24"/>
      <c r="T13" s="24"/>
      <c r="U13" s="24"/>
      <c r="V13" s="24"/>
      <c r="W13" s="24"/>
      <c r="X13" s="24"/>
      <c r="Y13" s="24"/>
      <c r="Z13" s="24"/>
      <c r="AA13" s="24"/>
      <c r="AB13" s="24"/>
      <c r="AC13" s="24"/>
      <c r="AD13" s="24"/>
      <c r="AE13" s="24"/>
    </row>
    <row r="14" spans="1:31" ht="163.05000000000001">
      <c r="A14" s="91" t="s">
        <v>916</v>
      </c>
      <c r="B14" s="26" t="s">
        <v>928</v>
      </c>
      <c r="C14" s="26" t="s">
        <v>947</v>
      </c>
      <c r="D14" s="26" t="s">
        <v>1164</v>
      </c>
      <c r="E14" s="25" t="s">
        <v>1165</v>
      </c>
      <c r="F14" s="25" t="s">
        <v>1166</v>
      </c>
      <c r="G14" s="57" t="str">
        <f>HYPERLINK(" https://www.acquisition.gov/content/part-19-small-business-programs#i1100669","FAR 19.602-3 Resolving differences between the agency and the Small Business Administration. ")</f>
        <v xml:space="preserve">FAR 19.602-3 Resolving differences between the agency and the Small Business Administration. </v>
      </c>
      <c r="H14" s="57" t="str">
        <f t="shared" si="3"/>
        <v>GSAR 519.602-3</v>
      </c>
      <c r="I14" s="34" t="s">
        <v>1122</v>
      </c>
      <c r="J14" s="37" t="s">
        <v>919</v>
      </c>
      <c r="K14" s="37" t="s">
        <v>1176</v>
      </c>
      <c r="L14" s="25" t="s">
        <v>1177</v>
      </c>
      <c r="M14" s="25" t="s">
        <v>1178</v>
      </c>
      <c r="N14" s="25" t="s">
        <v>1179</v>
      </c>
      <c r="O14" s="64"/>
      <c r="P14" s="45" t="b">
        <f t="shared" si="0"/>
        <v>0</v>
      </c>
      <c r="Q14" s="45">
        <f t="shared" si="1"/>
        <v>3</v>
      </c>
      <c r="R14" s="45">
        <f t="shared" si="2"/>
        <v>0</v>
      </c>
      <c r="S14" s="24"/>
      <c r="T14" s="24"/>
      <c r="U14" s="24"/>
      <c r="V14" s="24"/>
      <c r="W14" s="24"/>
      <c r="X14" s="24"/>
      <c r="Y14" s="24"/>
      <c r="Z14" s="24"/>
      <c r="AA14" s="24"/>
      <c r="AB14" s="24"/>
      <c r="AC14" s="24"/>
      <c r="AD14" s="24"/>
      <c r="AE14" s="24"/>
    </row>
    <row r="15" spans="1:31" ht="152.15">
      <c r="A15" s="91" t="s">
        <v>916</v>
      </c>
      <c r="B15" s="26" t="s">
        <v>928</v>
      </c>
      <c r="C15" s="26" t="s">
        <v>947</v>
      </c>
      <c r="D15" s="26" t="s">
        <v>1187</v>
      </c>
      <c r="E15" s="25" t="s">
        <v>1188</v>
      </c>
      <c r="F15" s="25" t="s">
        <v>275</v>
      </c>
      <c r="G15" s="57" t="str">
        <f>HYPERLINK("https://www.acquisition.gov/content/part-4-administrative-matters#i1122313","FAR 4.8 Contents of contract files. ")</f>
        <v xml:space="preserve">FAR 4.8 Contents of contract files. </v>
      </c>
      <c r="H15" s="57" t="str">
        <f>HYPERLINK("https://www.acquisition.gov/sites/default/files/current/gsam/html/Part504.html#wp1863182","GSAR 504.8")</f>
        <v>GSAR 504.8</v>
      </c>
      <c r="I15" s="34" t="s">
        <v>1200</v>
      </c>
      <c r="J15" s="37" t="s">
        <v>919</v>
      </c>
      <c r="K15" s="37" t="s">
        <v>1202</v>
      </c>
      <c r="L15" s="25" t="s">
        <v>1203</v>
      </c>
      <c r="M15" s="25" t="s">
        <v>1204</v>
      </c>
      <c r="N15" s="25" t="s">
        <v>617</v>
      </c>
      <c r="O15" s="64"/>
      <c r="P15" s="45" t="b">
        <f t="shared" si="0"/>
        <v>0</v>
      </c>
      <c r="Q15" s="45">
        <f t="shared" si="1"/>
        <v>3</v>
      </c>
      <c r="R15" s="45">
        <f t="shared" si="2"/>
        <v>0</v>
      </c>
      <c r="S15" s="24"/>
      <c r="T15" s="24"/>
      <c r="U15" s="24"/>
      <c r="V15" s="24"/>
      <c r="W15" s="24"/>
      <c r="X15" s="24"/>
      <c r="Y15" s="24"/>
      <c r="Z15" s="24"/>
      <c r="AA15" s="24"/>
      <c r="AB15" s="24"/>
      <c r="AC15" s="24"/>
      <c r="AD15" s="24"/>
      <c r="AE15" s="24"/>
    </row>
    <row r="16" spans="1:31" ht="184.75">
      <c r="A16" s="91" t="s">
        <v>916</v>
      </c>
      <c r="B16" s="26" t="s">
        <v>928</v>
      </c>
      <c r="C16" s="26" t="s">
        <v>947</v>
      </c>
      <c r="D16" s="26" t="s">
        <v>1212</v>
      </c>
      <c r="E16" s="25" t="s">
        <v>1213</v>
      </c>
      <c r="F16" s="25" t="s">
        <v>1058</v>
      </c>
      <c r="G16" s="57" t="str">
        <f>HYPERLINK("https://www.acquisition.gov/content/part-9-contractor-qualifications#i1116322","FAR 9.106")</f>
        <v>FAR 9.106</v>
      </c>
      <c r="H16" s="25"/>
      <c r="I16" s="34" t="s">
        <v>1216</v>
      </c>
      <c r="J16" s="37" t="s">
        <v>919</v>
      </c>
      <c r="K16" s="37" t="s">
        <v>1220</v>
      </c>
      <c r="L16" s="25" t="s">
        <v>1223</v>
      </c>
      <c r="M16" s="25" t="s">
        <v>1225</v>
      </c>
      <c r="N16" s="25" t="s">
        <v>1226</v>
      </c>
      <c r="O16" s="64"/>
      <c r="P16" s="45" t="b">
        <f t="shared" si="0"/>
        <v>0</v>
      </c>
      <c r="Q16" s="45">
        <f t="shared" si="1"/>
        <v>3</v>
      </c>
      <c r="R16" s="45">
        <f t="shared" si="2"/>
        <v>0</v>
      </c>
      <c r="S16" s="24"/>
      <c r="T16" s="24"/>
      <c r="U16" s="24"/>
      <c r="V16" s="24"/>
      <c r="W16" s="24"/>
      <c r="X16" s="24"/>
      <c r="Y16" s="24"/>
      <c r="Z16" s="24"/>
      <c r="AA16" s="24"/>
      <c r="AB16" s="24"/>
      <c r="AC16" s="24"/>
      <c r="AD16" s="24"/>
      <c r="AE16" s="24"/>
    </row>
    <row r="17" spans="1:31" ht="86.95">
      <c r="A17" s="91" t="s">
        <v>916</v>
      </c>
      <c r="B17" s="26" t="s">
        <v>928</v>
      </c>
      <c r="C17" s="26" t="s">
        <v>947</v>
      </c>
      <c r="D17" s="26" t="s">
        <v>1230</v>
      </c>
      <c r="E17" s="25" t="s">
        <v>1232</v>
      </c>
      <c r="F17" s="25" t="s">
        <v>1075</v>
      </c>
      <c r="G17" s="57" t="str">
        <f>HYPERLINK("https://www.acquisition.gov/content/part-19-small-business-programs","FAR 19.602-1 Referral [certificates of competency and determinations of responsibility]. FAR 19.800 General [contracting with the Small Business Administration (The 8(a) Program). ")</f>
        <v xml:space="preserve">FAR 19.602-1 Referral [certificates of competency and determinations of responsibility]. FAR 19.800 General [contracting with the Small Business Administration (The 8(a) Program). </v>
      </c>
      <c r="H17" s="25"/>
      <c r="I17" s="34" t="s">
        <v>1122</v>
      </c>
      <c r="J17" s="37" t="s">
        <v>919</v>
      </c>
      <c r="K17" s="37" t="s">
        <v>1242</v>
      </c>
      <c r="L17" s="25" t="s">
        <v>1243</v>
      </c>
      <c r="M17" s="25" t="s">
        <v>1244</v>
      </c>
      <c r="N17" s="25" t="s">
        <v>1246</v>
      </c>
      <c r="O17" s="64"/>
      <c r="P17" s="45" t="b">
        <f t="shared" si="0"/>
        <v>0</v>
      </c>
      <c r="Q17" s="45">
        <f t="shared" si="1"/>
        <v>3</v>
      </c>
      <c r="R17" s="45">
        <f t="shared" si="2"/>
        <v>0</v>
      </c>
      <c r="S17" s="24"/>
      <c r="T17" s="24"/>
      <c r="U17" s="24"/>
      <c r="V17" s="24"/>
      <c r="W17" s="24"/>
      <c r="X17" s="24"/>
      <c r="Y17" s="24"/>
      <c r="Z17" s="24"/>
      <c r="AA17" s="24"/>
      <c r="AB17" s="24"/>
      <c r="AC17" s="24"/>
      <c r="AD17" s="24"/>
      <c r="AE17" s="24"/>
    </row>
    <row r="18" spans="1:31" ht="119.55">
      <c r="A18" s="91" t="s">
        <v>916</v>
      </c>
      <c r="B18" s="26" t="s">
        <v>928</v>
      </c>
      <c r="C18" s="26" t="s">
        <v>947</v>
      </c>
      <c r="D18" s="26" t="s">
        <v>1252</v>
      </c>
      <c r="E18" s="25" t="s">
        <v>1253</v>
      </c>
      <c r="F18" s="25" t="s">
        <v>1254</v>
      </c>
      <c r="G18" s="57" t="str">
        <f>HYPERLINK("https://www.acquisition.gov/content/part-19-small-business-programs#i1100649","FAR 19.602-2 Issuing or denying a Certificate of Competency (COC). FAR 19.602-3 Resolving differences between the agency and the Small Business Administration.")</f>
        <v>FAR 19.602-2 Issuing or denying a Certificate of Competency (COC). FAR 19.602-3 Resolving differences between the agency and the Small Business Administration.</v>
      </c>
      <c r="H18" s="57" t="str">
        <f>HYPERLINK("https://www.acquisition.gov/sites/default/files/current/gsam/html/Part519.html#wp1858176","GSAR 519.602-3")</f>
        <v>GSAR 519.602-3</v>
      </c>
      <c r="I18" s="34" t="s">
        <v>1122</v>
      </c>
      <c r="J18" s="37" t="s">
        <v>919</v>
      </c>
      <c r="K18" s="37" t="s">
        <v>1267</v>
      </c>
      <c r="L18" s="25" t="s">
        <v>1269</v>
      </c>
      <c r="M18" s="25" t="s">
        <v>1273</v>
      </c>
      <c r="N18" s="25" t="s">
        <v>1274</v>
      </c>
      <c r="O18" s="64"/>
      <c r="P18" s="45" t="b">
        <f t="shared" si="0"/>
        <v>0</v>
      </c>
      <c r="Q18" s="45">
        <f t="shared" si="1"/>
        <v>3</v>
      </c>
      <c r="R18" s="45">
        <f t="shared" si="2"/>
        <v>0</v>
      </c>
      <c r="S18" s="24"/>
      <c r="T18" s="24"/>
      <c r="U18" s="24"/>
      <c r="V18" s="24"/>
      <c r="W18" s="24"/>
      <c r="X18" s="24"/>
      <c r="Y18" s="24"/>
      <c r="Z18" s="24"/>
      <c r="AA18" s="24"/>
      <c r="AB18" s="24"/>
      <c r="AC18" s="24"/>
      <c r="AD18" s="24"/>
      <c r="AE18" s="24"/>
    </row>
    <row r="19" spans="1:31" ht="141.30000000000001">
      <c r="A19" s="91" t="s">
        <v>916</v>
      </c>
      <c r="B19" s="26" t="s">
        <v>928</v>
      </c>
      <c r="C19" s="26" t="s">
        <v>947</v>
      </c>
      <c r="D19" s="26" t="s">
        <v>1286</v>
      </c>
      <c r="E19" s="25" t="s">
        <v>1287</v>
      </c>
      <c r="F19" s="25" t="s">
        <v>1166</v>
      </c>
      <c r="G19" s="57" t="str">
        <f>HYPERLINK("https://www.acquisition.gov/content/part-19-small-business-programs#i1100026","FAR 19.810 SBA appeals [contracting with the Small Business Administration (the 8(a) Program)]. ")</f>
        <v xml:space="preserve">FAR 19.810 SBA appeals [contracting with the Small Business Administration (the 8(a) Program)]. </v>
      </c>
      <c r="H19" s="25"/>
      <c r="I19" s="34" t="s">
        <v>1122</v>
      </c>
      <c r="J19" s="37" t="s">
        <v>919</v>
      </c>
      <c r="K19" s="37" t="s">
        <v>1294</v>
      </c>
      <c r="L19" s="25" t="s">
        <v>1269</v>
      </c>
      <c r="M19" s="25" t="s">
        <v>1295</v>
      </c>
      <c r="N19" s="25" t="s">
        <v>1296</v>
      </c>
      <c r="O19" s="64"/>
      <c r="P19" s="45" t="b">
        <f t="shared" si="0"/>
        <v>0</v>
      </c>
      <c r="Q19" s="45">
        <f t="shared" si="1"/>
        <v>3</v>
      </c>
      <c r="R19" s="45">
        <f t="shared" si="2"/>
        <v>0</v>
      </c>
      <c r="S19" s="24"/>
      <c r="T19" s="24"/>
      <c r="U19" s="24"/>
      <c r="V19" s="24"/>
      <c r="W19" s="24"/>
      <c r="X19" s="24"/>
      <c r="Y19" s="24"/>
      <c r="Z19" s="24"/>
      <c r="AA19" s="24"/>
      <c r="AB19" s="24"/>
      <c r="AC19" s="24"/>
      <c r="AD19" s="24"/>
      <c r="AE19" s="24"/>
    </row>
    <row r="20" spans="1:31" ht="163.05000000000001">
      <c r="A20" s="91" t="s">
        <v>916</v>
      </c>
      <c r="B20" s="26" t="s">
        <v>928</v>
      </c>
      <c r="C20" s="26" t="s">
        <v>947</v>
      </c>
      <c r="D20" s="26" t="s">
        <v>1299</v>
      </c>
      <c r="E20" s="85" t="s">
        <v>1301</v>
      </c>
      <c r="F20" s="85" t="s">
        <v>1008</v>
      </c>
      <c r="G20" s="86" t="e">
        <f>HYPERLINK("https://www.acquisition.gov/content/part-8-required-sources-supplies-and-services","FAR 8.405-1(d)(4) For proposed orders exceeding the simplified acquisition threshold [ordering procedures for supplies, and services not requiring a statement of work]. FAR 8.405-3(b)(1)(ii)(C) If the estimated value of the BPA exceeds the simplified acqu"&amp;"isition threshold [for supplies, and for services not requiring a statement of work]. ")</f>
        <v>#VALUE!</v>
      </c>
      <c r="H20" s="25"/>
      <c r="I20" s="98" t="s">
        <v>1010</v>
      </c>
      <c r="J20" s="37" t="s">
        <v>919</v>
      </c>
      <c r="K20" s="37" t="s">
        <v>1318</v>
      </c>
      <c r="L20" s="25" t="s">
        <v>1319</v>
      </c>
      <c r="M20" s="25" t="s">
        <v>1320</v>
      </c>
      <c r="N20" s="25" t="s">
        <v>1321</v>
      </c>
      <c r="O20" s="64"/>
      <c r="P20" s="45" t="b">
        <f t="shared" si="0"/>
        <v>0</v>
      </c>
      <c r="Q20" s="45">
        <f t="shared" si="1"/>
        <v>3</v>
      </c>
      <c r="R20" s="45">
        <f t="shared" si="2"/>
        <v>0</v>
      </c>
      <c r="S20" s="24"/>
      <c r="T20" s="24"/>
      <c r="U20" s="24"/>
      <c r="V20" s="24"/>
      <c r="W20" s="24"/>
      <c r="X20" s="24"/>
      <c r="Y20" s="24"/>
      <c r="Z20" s="24"/>
      <c r="AA20" s="24"/>
      <c r="AB20" s="24"/>
      <c r="AC20" s="24"/>
      <c r="AD20" s="24"/>
      <c r="AE20" s="24"/>
    </row>
    <row r="21" spans="1:31" ht="108.7">
      <c r="A21" s="91" t="s">
        <v>916</v>
      </c>
      <c r="B21" s="26" t="s">
        <v>928</v>
      </c>
      <c r="C21" s="26" t="s">
        <v>947</v>
      </c>
      <c r="D21" s="26" t="s">
        <v>1329</v>
      </c>
      <c r="E21" s="85" t="s">
        <v>1330</v>
      </c>
      <c r="F21" s="85" t="s">
        <v>1331</v>
      </c>
      <c r="G21" s="86" t="str">
        <f>HYPERLINK("https://www.acquisition.gov/content/part-8-required-sources-supplies-and-services#i1117802","FAR 8.405-4 Price reductions [ordering procedures for Federal Supply Schedules]. ")</f>
        <v xml:space="preserve">FAR 8.405-4 Price reductions [ordering procedures for Federal Supply Schedules]. </v>
      </c>
      <c r="H21" s="25"/>
      <c r="I21" s="34" t="s">
        <v>1338</v>
      </c>
      <c r="J21" s="37" t="s">
        <v>919</v>
      </c>
      <c r="K21" s="37" t="s">
        <v>1339</v>
      </c>
      <c r="L21" s="58" t="s">
        <v>1340</v>
      </c>
      <c r="M21" s="25" t="s">
        <v>1341</v>
      </c>
      <c r="N21" s="25" t="s">
        <v>1342</v>
      </c>
      <c r="O21" s="64"/>
      <c r="P21" s="45" t="b">
        <f t="shared" si="0"/>
        <v>0</v>
      </c>
      <c r="Q21" s="45">
        <f t="shared" si="1"/>
        <v>3</v>
      </c>
      <c r="R21" s="45">
        <f t="shared" si="2"/>
        <v>0</v>
      </c>
      <c r="S21" s="24"/>
      <c r="T21" s="24"/>
      <c r="U21" s="24"/>
      <c r="V21" s="24"/>
      <c r="W21" s="24"/>
      <c r="X21" s="24"/>
      <c r="Y21" s="24"/>
      <c r="Z21" s="24"/>
      <c r="AA21" s="24"/>
      <c r="AB21" s="24"/>
      <c r="AC21" s="24"/>
      <c r="AD21" s="24"/>
      <c r="AE21" s="24"/>
    </row>
    <row r="22" spans="1:31" ht="152.15">
      <c r="A22" s="91" t="s">
        <v>916</v>
      </c>
      <c r="B22" s="26" t="s">
        <v>928</v>
      </c>
      <c r="C22" s="26" t="s">
        <v>947</v>
      </c>
      <c r="D22" s="26" t="s">
        <v>1348</v>
      </c>
      <c r="E22" s="85" t="s">
        <v>1349</v>
      </c>
      <c r="F22" s="85" t="s">
        <v>1350</v>
      </c>
      <c r="G22" s="86" t="str">
        <f>HYPERLINK("https://www.acquisition.gov/content/part-8-required-sources-supplies-and-services#i1117655","FAR 8.405-2(d) Evaluation [ordering procedures for services requiring a statement of work]. FAR 8.405-3(b)(2)(vi) Blanket purchase agreements [For services requiring a statement of work—Establishing BPAs]. ")</f>
        <v xml:space="preserve">FAR 8.405-2(d) Evaluation [ordering procedures for services requiring a statement of work]. FAR 8.405-3(b)(2)(vi) Blanket purchase agreements [For services requiring a statement of work—Establishing BPAs]. </v>
      </c>
      <c r="H22" s="25"/>
      <c r="I22" s="98" t="s">
        <v>1010</v>
      </c>
      <c r="J22" s="37" t="s">
        <v>919</v>
      </c>
      <c r="K22" s="37" t="s">
        <v>1361</v>
      </c>
      <c r="L22" s="25" t="s">
        <v>1319</v>
      </c>
      <c r="M22" s="25" t="s">
        <v>1365</v>
      </c>
      <c r="N22" s="25" t="s">
        <v>1321</v>
      </c>
      <c r="O22" s="64"/>
      <c r="P22" s="45" t="b">
        <f t="shared" si="0"/>
        <v>0</v>
      </c>
      <c r="Q22" s="45">
        <f t="shared" si="1"/>
        <v>3</v>
      </c>
      <c r="R22" s="45">
        <f t="shared" si="2"/>
        <v>0</v>
      </c>
      <c r="S22" s="24"/>
      <c r="T22" s="24"/>
      <c r="U22" s="24"/>
      <c r="V22" s="24"/>
      <c r="W22" s="24"/>
      <c r="X22" s="24"/>
      <c r="Y22" s="24"/>
      <c r="Z22" s="24"/>
      <c r="AA22" s="24"/>
      <c r="AB22" s="24"/>
      <c r="AC22" s="24"/>
      <c r="AD22" s="24"/>
      <c r="AE22" s="24"/>
    </row>
    <row r="23" spans="1:31" ht="119.55">
      <c r="A23" s="91" t="s">
        <v>916</v>
      </c>
      <c r="B23" s="26" t="s">
        <v>928</v>
      </c>
      <c r="C23" s="26" t="s">
        <v>947</v>
      </c>
      <c r="D23" s="26" t="s">
        <v>1366</v>
      </c>
      <c r="E23" s="85" t="s">
        <v>1367</v>
      </c>
      <c r="F23" s="85" t="s">
        <v>1331</v>
      </c>
      <c r="G23" s="86" t="str">
        <f>HYPERLINK("https://www.acquisition.gov/content/part-8-required-sources-supplies-and-services#i1117802","FAR 8.405-4 Price reductions [ordering procedures for Federal Supply Schedules]. ")</f>
        <v xml:space="preserve">FAR 8.405-4 Price reductions [ordering procedures for Federal Supply Schedules]. </v>
      </c>
      <c r="H23" s="25"/>
      <c r="I23" s="34" t="s">
        <v>1338</v>
      </c>
      <c r="J23" s="37" t="s">
        <v>919</v>
      </c>
      <c r="K23" s="75" t="s">
        <v>1339</v>
      </c>
      <c r="L23" s="58" t="s">
        <v>1340</v>
      </c>
      <c r="M23" s="25" t="s">
        <v>1341</v>
      </c>
      <c r="N23" s="25" t="s">
        <v>1342</v>
      </c>
      <c r="O23" s="64"/>
      <c r="P23" s="45" t="b">
        <f t="shared" si="0"/>
        <v>0</v>
      </c>
      <c r="Q23" s="45">
        <f t="shared" si="1"/>
        <v>3</v>
      </c>
      <c r="R23" s="45">
        <f t="shared" si="2"/>
        <v>0</v>
      </c>
      <c r="S23" s="24"/>
      <c r="T23" s="24"/>
      <c r="U23" s="24"/>
      <c r="V23" s="24"/>
      <c r="W23" s="24"/>
      <c r="X23" s="24"/>
      <c r="Y23" s="24"/>
      <c r="Z23" s="24"/>
      <c r="AA23" s="24"/>
      <c r="AB23" s="24"/>
      <c r="AC23" s="24"/>
      <c r="AD23" s="24"/>
      <c r="AE23" s="24"/>
    </row>
    <row r="24" spans="1:31" ht="152.15">
      <c r="A24" s="91" t="s">
        <v>916</v>
      </c>
      <c r="B24" s="26" t="s">
        <v>928</v>
      </c>
      <c r="C24" s="26" t="s">
        <v>947</v>
      </c>
      <c r="D24" s="26" t="s">
        <v>1375</v>
      </c>
      <c r="E24" s="25" t="s">
        <v>1376</v>
      </c>
      <c r="F24" s="25" t="s">
        <v>1350</v>
      </c>
      <c r="G24" s="57" t="str">
        <f>HYPERLINK("https://www.acquisition.gov/content/part-13-simplified-acquisition-procedures#i1112336","FAR 13.106-2 Evaluation of quotations or offers [simplified acquisition procedures]. ")</f>
        <v xml:space="preserve">FAR 13.106-2 Evaluation of quotations or offers [simplified acquisition procedures]. </v>
      </c>
      <c r="H24" s="103"/>
      <c r="I24" s="98" t="s">
        <v>1010</v>
      </c>
      <c r="J24" s="37" t="s">
        <v>919</v>
      </c>
      <c r="K24" s="75" t="s">
        <v>1361</v>
      </c>
      <c r="L24" s="25" t="s">
        <v>1319</v>
      </c>
      <c r="M24" s="25" t="s">
        <v>1365</v>
      </c>
      <c r="N24" s="25" t="s">
        <v>1321</v>
      </c>
      <c r="O24" s="64"/>
      <c r="P24" s="45" t="b">
        <f t="shared" si="0"/>
        <v>0</v>
      </c>
      <c r="Q24" s="45">
        <f t="shared" si="1"/>
        <v>3</v>
      </c>
      <c r="R24" s="45">
        <f t="shared" si="2"/>
        <v>0</v>
      </c>
      <c r="S24" s="24"/>
      <c r="T24" s="24"/>
      <c r="U24" s="24"/>
      <c r="V24" s="24"/>
      <c r="W24" s="24"/>
      <c r="X24" s="24"/>
      <c r="Y24" s="24"/>
      <c r="Z24" s="24"/>
      <c r="AA24" s="24"/>
      <c r="AB24" s="24"/>
      <c r="AC24" s="24"/>
      <c r="AD24" s="24"/>
      <c r="AE24" s="24"/>
    </row>
    <row r="25" spans="1:31" ht="228.25">
      <c r="A25" s="91" t="s">
        <v>916</v>
      </c>
      <c r="B25" s="26" t="s">
        <v>928</v>
      </c>
      <c r="C25" s="26" t="s">
        <v>947</v>
      </c>
      <c r="D25" s="26" t="s">
        <v>1394</v>
      </c>
      <c r="E25" s="25" t="s">
        <v>1395</v>
      </c>
      <c r="F25" s="25" t="s">
        <v>1396</v>
      </c>
      <c r="G25" s="57" t="str">
        <f>HYPERLINK("https://www.acquisition.gov/content/part-13-simplified-acquisition-procedures#i1112373","FAR 13.106-3 Award and documentation [simplified acquisition procedures]. ")</f>
        <v xml:space="preserve">FAR 13.106-3 Award and documentation [simplified acquisition procedures]. </v>
      </c>
      <c r="H25" s="57" t="str">
        <f>HYPERLINK("https://www.acquisition.gov/sites/default/files/current/gsam/html/Part513.html#wp1859369","GSAR 513.106-3")</f>
        <v>GSAR 513.106-3</v>
      </c>
      <c r="I25" s="34" t="s">
        <v>1397</v>
      </c>
      <c r="J25" s="37" t="s">
        <v>919</v>
      </c>
      <c r="K25" s="37" t="s">
        <v>1399</v>
      </c>
      <c r="L25" s="25" t="s">
        <v>1401</v>
      </c>
      <c r="M25" s="25" t="s">
        <v>1404</v>
      </c>
      <c r="N25" s="25" t="s">
        <v>1405</v>
      </c>
      <c r="O25" s="64"/>
      <c r="P25" s="45" t="b">
        <f t="shared" si="0"/>
        <v>0</v>
      </c>
      <c r="Q25" s="45">
        <f t="shared" si="1"/>
        <v>3</v>
      </c>
      <c r="R25" s="45">
        <f t="shared" si="2"/>
        <v>0</v>
      </c>
      <c r="S25" s="24"/>
      <c r="T25" s="24"/>
      <c r="U25" s="24"/>
      <c r="V25" s="24"/>
      <c r="W25" s="24"/>
      <c r="X25" s="24"/>
      <c r="Y25" s="24"/>
      <c r="Z25" s="24"/>
      <c r="AA25" s="24"/>
      <c r="AB25" s="24"/>
      <c r="AC25" s="24"/>
      <c r="AD25" s="24"/>
      <c r="AE25" s="24"/>
    </row>
    <row r="26" spans="1:31" ht="76.099999999999994">
      <c r="A26" s="91" t="s">
        <v>916</v>
      </c>
      <c r="B26" s="26" t="s">
        <v>928</v>
      </c>
      <c r="C26" s="26" t="s">
        <v>947</v>
      </c>
      <c r="D26" s="26" t="s">
        <v>1409</v>
      </c>
      <c r="E26" s="25" t="s">
        <v>1410</v>
      </c>
      <c r="F26" s="25" t="s">
        <v>1412</v>
      </c>
      <c r="G26" s="57" t="str">
        <f>HYPERLINK("https://www.acquisition.gov/content/part-14-sealed-bidding#i1109704","FAR 14.401 Receipt and safeguarding of bids [opening of bids and award of contract].")</f>
        <v>FAR 14.401 Receipt and safeguarding of bids [opening of bids and award of contract].</v>
      </c>
      <c r="H26" s="57" t="str">
        <f>HYPERLINK("https://www.acquisition.gov/sites/default/files/current/gsam/html/Part514.html#wp1858429","GSAR 514.401")</f>
        <v>GSAR 514.401</v>
      </c>
      <c r="I26" s="34" t="s">
        <v>1418</v>
      </c>
      <c r="J26" s="37" t="s">
        <v>919</v>
      </c>
      <c r="K26" s="37" t="s">
        <v>1419</v>
      </c>
      <c r="L26" s="25" t="s">
        <v>1420</v>
      </c>
      <c r="M26" s="25" t="s">
        <v>1421</v>
      </c>
      <c r="N26" s="25" t="s">
        <v>1422</v>
      </c>
      <c r="O26" s="64"/>
      <c r="P26" s="45" t="b">
        <f t="shared" si="0"/>
        <v>0</v>
      </c>
      <c r="Q26" s="45">
        <f t="shared" si="1"/>
        <v>3</v>
      </c>
      <c r="R26" s="45">
        <f t="shared" si="2"/>
        <v>0</v>
      </c>
      <c r="S26" s="24"/>
      <c r="T26" s="24"/>
      <c r="U26" s="24"/>
      <c r="V26" s="24"/>
      <c r="W26" s="24"/>
      <c r="X26" s="24"/>
      <c r="Y26" s="24"/>
      <c r="Z26" s="24"/>
      <c r="AA26" s="24"/>
      <c r="AB26" s="24"/>
      <c r="AC26" s="24"/>
      <c r="AD26" s="24"/>
      <c r="AE26" s="24"/>
    </row>
    <row r="27" spans="1:31" ht="108.7">
      <c r="A27" s="91" t="s">
        <v>916</v>
      </c>
      <c r="B27" s="26" t="s">
        <v>928</v>
      </c>
      <c r="C27" s="26" t="s">
        <v>947</v>
      </c>
      <c r="D27" s="26" t="s">
        <v>1425</v>
      </c>
      <c r="E27" s="25" t="s">
        <v>1426</v>
      </c>
      <c r="F27" s="25" t="s">
        <v>1427</v>
      </c>
      <c r="G27" s="105" t="str">
        <f>HYPERLINK("https://www.acquisition.gov/content/part-14-sealed-bidding#id1617MD00UX2","FAR 14.303 Modification or withdrawal of bids [submission of bids].")</f>
        <v>FAR 14.303 Modification or withdrawal of bids [submission of bids].</v>
      </c>
      <c r="H27" s="57" t="str">
        <f>HYPERLINK("https://www.acquisition.gov/sites/default/files/current/gsam/html/Part514.html#wp1861139","GSAR 514.403")</f>
        <v>GSAR 514.403</v>
      </c>
      <c r="I27" s="34"/>
      <c r="J27" s="37" t="s">
        <v>463</v>
      </c>
      <c r="K27" s="37" t="s">
        <v>1442</v>
      </c>
      <c r="L27" s="25" t="s">
        <v>1443</v>
      </c>
      <c r="M27" s="25" t="s">
        <v>1444</v>
      </c>
      <c r="N27" s="25" t="s">
        <v>1445</v>
      </c>
      <c r="O27" s="64"/>
      <c r="P27" s="45" t="b">
        <f t="shared" si="0"/>
        <v>0</v>
      </c>
      <c r="Q27" s="45">
        <f t="shared" si="1"/>
        <v>0</v>
      </c>
      <c r="R27" s="45">
        <f t="shared" si="2"/>
        <v>0</v>
      </c>
      <c r="S27" s="24"/>
      <c r="T27" s="24"/>
      <c r="U27" s="24"/>
      <c r="V27" s="24"/>
      <c r="W27" s="24"/>
      <c r="X27" s="24"/>
      <c r="Y27" s="24"/>
      <c r="Z27" s="24"/>
      <c r="AA27" s="24"/>
      <c r="AB27" s="24"/>
      <c r="AC27" s="24"/>
      <c r="AD27" s="24"/>
      <c r="AE27" s="24"/>
    </row>
    <row r="28" spans="1:31" ht="65.25">
      <c r="A28" s="91" t="s">
        <v>916</v>
      </c>
      <c r="B28" s="26" t="s">
        <v>928</v>
      </c>
      <c r="C28" s="26" t="s">
        <v>947</v>
      </c>
      <c r="D28" s="26" t="s">
        <v>1452</v>
      </c>
      <c r="E28" s="25" t="s">
        <v>1453</v>
      </c>
      <c r="F28" s="25" t="s">
        <v>1412</v>
      </c>
      <c r="G28" s="57" t="str">
        <f>HYPERLINK("https://www.acquisition.gov/content/part-14-sealed-bidding#id1617MD00VG0","FAR 14.402-1 Unclassified bids [opening of bids]. FAR 14.402-2 Classified bids [opening of bids].")</f>
        <v>FAR 14.402-1 Unclassified bids [opening of bids]. FAR 14.402-2 Classified bids [opening of bids].</v>
      </c>
      <c r="H28" s="57" t="str">
        <f>HYPERLINK("https://www.acquisition.gov/sites/default/files/current/gsam/html/Part514.html#wp1858444","GSAR 514.402-1")</f>
        <v>GSAR 514.402-1</v>
      </c>
      <c r="I28" s="34" t="s">
        <v>1463</v>
      </c>
      <c r="J28" s="37" t="s">
        <v>919</v>
      </c>
      <c r="K28" s="37" t="s">
        <v>1464</v>
      </c>
      <c r="L28" s="25" t="s">
        <v>1465</v>
      </c>
      <c r="M28" s="25" t="s">
        <v>1466</v>
      </c>
      <c r="N28" s="25" t="s">
        <v>1467</v>
      </c>
      <c r="O28" s="64"/>
      <c r="P28" s="45" t="b">
        <f t="shared" si="0"/>
        <v>0</v>
      </c>
      <c r="Q28" s="45">
        <f t="shared" si="1"/>
        <v>3</v>
      </c>
      <c r="R28" s="45">
        <f t="shared" si="2"/>
        <v>0</v>
      </c>
      <c r="S28" s="24"/>
      <c r="T28" s="24"/>
      <c r="U28" s="24"/>
      <c r="V28" s="24"/>
      <c r="W28" s="24"/>
      <c r="X28" s="24"/>
      <c r="Y28" s="24"/>
      <c r="Z28" s="24"/>
      <c r="AA28" s="24"/>
      <c r="AB28" s="24"/>
      <c r="AC28" s="24"/>
      <c r="AD28" s="24"/>
      <c r="AE28" s="24"/>
    </row>
    <row r="29" spans="1:31" ht="97.85">
      <c r="A29" s="91" t="s">
        <v>916</v>
      </c>
      <c r="B29" s="26" t="s">
        <v>928</v>
      </c>
      <c r="C29" s="26" t="s">
        <v>947</v>
      </c>
      <c r="D29" s="26" t="s">
        <v>1472</v>
      </c>
      <c r="E29" s="25" t="s">
        <v>1474</v>
      </c>
      <c r="F29" s="25" t="s">
        <v>1412</v>
      </c>
      <c r="G29" s="57" t="str">
        <f>HYPERLINK("https://www.acquisition.gov/content/part-14-sealed-bidding#i1109733","FAR 14.403 Recording of bids")</f>
        <v>FAR 14.403 Recording of bids</v>
      </c>
      <c r="H29" s="57" t="str">
        <f>HYPERLINK("https://www.acquisition.gov/sites/default/files/current/gsam/html/Part514.html#wp1861208","GSAR 514.403")</f>
        <v>GSAR 514.403</v>
      </c>
      <c r="I29" s="34" t="s">
        <v>1488</v>
      </c>
      <c r="J29" s="37" t="s">
        <v>919</v>
      </c>
      <c r="K29" s="37" t="s">
        <v>1489</v>
      </c>
      <c r="L29" s="25" t="s">
        <v>1490</v>
      </c>
      <c r="M29" s="25" t="s">
        <v>1492</v>
      </c>
      <c r="N29" s="25" t="s">
        <v>1494</v>
      </c>
      <c r="O29" s="64"/>
      <c r="P29" s="45" t="b">
        <f t="shared" si="0"/>
        <v>0</v>
      </c>
      <c r="Q29" s="45">
        <f t="shared" si="1"/>
        <v>3</v>
      </c>
      <c r="R29" s="45">
        <f t="shared" si="2"/>
        <v>0</v>
      </c>
      <c r="S29" s="24"/>
      <c r="T29" s="24"/>
      <c r="U29" s="24"/>
      <c r="V29" s="24"/>
      <c r="W29" s="24"/>
      <c r="X29" s="24"/>
      <c r="Y29" s="24"/>
      <c r="Z29" s="24"/>
      <c r="AA29" s="24"/>
      <c r="AB29" s="24"/>
      <c r="AC29" s="24"/>
      <c r="AD29" s="24"/>
      <c r="AE29" s="24"/>
    </row>
    <row r="30" spans="1:31" ht="86.95">
      <c r="A30" s="91" t="s">
        <v>916</v>
      </c>
      <c r="B30" s="26" t="s">
        <v>928</v>
      </c>
      <c r="C30" s="26" t="s">
        <v>947</v>
      </c>
      <c r="D30" s="26" t="s">
        <v>1501</v>
      </c>
      <c r="E30" s="25" t="s">
        <v>1503</v>
      </c>
      <c r="F30" s="25" t="s">
        <v>1504</v>
      </c>
      <c r="G30" s="57" t="str">
        <f>HYPERLINK("https://www.acquisition.gov/content/part-14-sealed-bidding#id1617MD00UBL","FAR 14.402 Opening of bids.")</f>
        <v>FAR 14.402 Opening of bids.</v>
      </c>
      <c r="H30" s="57" t="str">
        <f>HYPERLINK("https://www.acquisition.gov/sites/default/files/current/gsam/html/Part514.html#wp1858443","GSAR 514.402")</f>
        <v>GSAR 514.402</v>
      </c>
      <c r="I30" s="34" t="s">
        <v>1463</v>
      </c>
      <c r="J30" s="37" t="s">
        <v>919</v>
      </c>
      <c r="K30" s="37" t="s">
        <v>1514</v>
      </c>
      <c r="L30" s="25" t="s">
        <v>1515</v>
      </c>
      <c r="M30" s="25" t="s">
        <v>1516</v>
      </c>
      <c r="N30" s="25" t="s">
        <v>1517</v>
      </c>
      <c r="O30" s="64"/>
      <c r="P30" s="45" t="b">
        <f t="shared" si="0"/>
        <v>0</v>
      </c>
      <c r="Q30" s="45">
        <f t="shared" si="1"/>
        <v>3</v>
      </c>
      <c r="R30" s="45">
        <f t="shared" si="2"/>
        <v>0</v>
      </c>
      <c r="S30" s="24"/>
      <c r="T30" s="24"/>
      <c r="U30" s="24"/>
      <c r="V30" s="24"/>
      <c r="W30" s="24"/>
      <c r="X30" s="24"/>
      <c r="Y30" s="24"/>
      <c r="Z30" s="24"/>
      <c r="AA30" s="24"/>
      <c r="AB30" s="24"/>
      <c r="AC30" s="24"/>
      <c r="AD30" s="24"/>
      <c r="AE30" s="24"/>
    </row>
    <row r="31" spans="1:31" ht="86.95">
      <c r="A31" s="91" t="s">
        <v>916</v>
      </c>
      <c r="B31" s="26" t="s">
        <v>928</v>
      </c>
      <c r="C31" s="26" t="s">
        <v>947</v>
      </c>
      <c r="D31" s="26" t="s">
        <v>1525</v>
      </c>
      <c r="E31" s="25" t="s">
        <v>1526</v>
      </c>
      <c r="F31" s="25" t="s">
        <v>1058</v>
      </c>
      <c r="G31" s="57" t="str">
        <f>HYPERLINK("https://www.acquisition.gov/content/part-14-sealed-bidding#id1617MD00VFE","FAR 14.405 Minor informalities or irregularities in bids [rejection of bids]. ")</f>
        <v xml:space="preserve">FAR 14.405 Minor informalities or irregularities in bids [rejection of bids]. </v>
      </c>
      <c r="H31" s="27"/>
      <c r="I31" s="34" t="s">
        <v>1463</v>
      </c>
      <c r="J31" s="37" t="s">
        <v>919</v>
      </c>
      <c r="K31" s="37" t="s">
        <v>1533</v>
      </c>
      <c r="L31" s="25" t="s">
        <v>1534</v>
      </c>
      <c r="M31" s="25" t="s">
        <v>1535</v>
      </c>
      <c r="N31" s="25" t="s">
        <v>1536</v>
      </c>
      <c r="O31" s="64"/>
      <c r="P31" s="45" t="b">
        <f t="shared" si="0"/>
        <v>0</v>
      </c>
      <c r="Q31" s="45">
        <f t="shared" si="1"/>
        <v>3</v>
      </c>
      <c r="R31" s="45">
        <f t="shared" si="2"/>
        <v>0</v>
      </c>
      <c r="S31" s="24"/>
      <c r="T31" s="24"/>
      <c r="U31" s="24"/>
      <c r="V31" s="24"/>
      <c r="W31" s="24"/>
      <c r="X31" s="24"/>
      <c r="Y31" s="24"/>
      <c r="Z31" s="24"/>
      <c r="AA31" s="24"/>
      <c r="AB31" s="24"/>
      <c r="AC31" s="24"/>
      <c r="AD31" s="24"/>
      <c r="AE31" s="24"/>
    </row>
    <row r="32" spans="1:31" ht="86.95">
      <c r="A32" s="91" t="s">
        <v>916</v>
      </c>
      <c r="B32" s="26" t="s">
        <v>928</v>
      </c>
      <c r="C32" s="26" t="s">
        <v>947</v>
      </c>
      <c r="D32" s="26" t="s">
        <v>1548</v>
      </c>
      <c r="E32" s="25" t="s">
        <v>1549</v>
      </c>
      <c r="F32" s="25" t="s">
        <v>1550</v>
      </c>
      <c r="G32" s="57" t="str">
        <f>HYPERLINK("https://www.acquisition.gov/content/part-14-sealed-bidding#id1617MD00VGI","FAR 14.406 Receipt of an unreadable electronic bid [opening of bids and award of contract].")</f>
        <v>FAR 14.406 Receipt of an unreadable electronic bid [opening of bids and award of contract].</v>
      </c>
      <c r="H32" s="27"/>
      <c r="I32" s="34" t="s">
        <v>1463</v>
      </c>
      <c r="J32" s="37" t="s">
        <v>919</v>
      </c>
      <c r="K32" s="37" t="s">
        <v>1554</v>
      </c>
      <c r="L32" s="25" t="s">
        <v>1556</v>
      </c>
      <c r="M32" s="25" t="s">
        <v>1557</v>
      </c>
      <c r="N32" s="25" t="s">
        <v>1536</v>
      </c>
      <c r="O32" s="64"/>
      <c r="P32" s="45" t="b">
        <f t="shared" si="0"/>
        <v>0</v>
      </c>
      <c r="Q32" s="45">
        <f t="shared" si="1"/>
        <v>3</v>
      </c>
      <c r="R32" s="45">
        <f t="shared" si="2"/>
        <v>0</v>
      </c>
      <c r="S32" s="24"/>
      <c r="T32" s="24"/>
      <c r="U32" s="24"/>
      <c r="V32" s="24"/>
      <c r="W32" s="24"/>
      <c r="X32" s="24"/>
      <c r="Y32" s="24"/>
      <c r="Z32" s="24"/>
      <c r="AA32" s="24"/>
      <c r="AB32" s="24"/>
      <c r="AC32" s="24"/>
      <c r="AD32" s="24"/>
      <c r="AE32" s="24"/>
    </row>
    <row r="33" spans="1:31" ht="76.099999999999994">
      <c r="A33" s="91" t="s">
        <v>916</v>
      </c>
      <c r="B33" s="26" t="s">
        <v>928</v>
      </c>
      <c r="C33" s="26" t="s">
        <v>947</v>
      </c>
      <c r="D33" s="26" t="s">
        <v>1560</v>
      </c>
      <c r="E33" s="25" t="s">
        <v>1562</v>
      </c>
      <c r="F33" s="25" t="s">
        <v>1564</v>
      </c>
      <c r="G33" s="57" t="str">
        <f t="shared" ref="G33:G35" si="4">HYPERLINK("https://www.acquisition.gov/content/part-14-sealed-bidding#i1109872","FAR 14.407-3(g) Other mistakes disclosed before award.")</f>
        <v>FAR 14.407-3(g) Other mistakes disclosed before award.</v>
      </c>
      <c r="H33" s="57" t="str">
        <f t="shared" ref="H33:H35" si="5">HYPERLINK("https://www.acquisition.gov/sites/default/files/current/gsam/html/Part514.html#wp1860224","GSAR 14.407-3")</f>
        <v>GSAR 14.407-3</v>
      </c>
      <c r="I33" s="34" t="s">
        <v>1463</v>
      </c>
      <c r="J33" s="37" t="s">
        <v>919</v>
      </c>
      <c r="K33" s="37" t="s">
        <v>1570</v>
      </c>
      <c r="L33" s="25" t="s">
        <v>1571</v>
      </c>
      <c r="M33" s="25" t="s">
        <v>1572</v>
      </c>
      <c r="N33" s="25" t="s">
        <v>1536</v>
      </c>
      <c r="O33" s="64"/>
      <c r="P33" s="45" t="b">
        <f t="shared" si="0"/>
        <v>0</v>
      </c>
      <c r="Q33" s="45">
        <f t="shared" si="1"/>
        <v>3</v>
      </c>
      <c r="R33" s="45">
        <f t="shared" si="2"/>
        <v>0</v>
      </c>
      <c r="S33" s="24"/>
      <c r="T33" s="24"/>
      <c r="U33" s="24"/>
      <c r="V33" s="24"/>
      <c r="W33" s="24"/>
      <c r="X33" s="24"/>
      <c r="Y33" s="24"/>
      <c r="Z33" s="24"/>
      <c r="AA33" s="24"/>
      <c r="AB33" s="24"/>
      <c r="AC33" s="24"/>
      <c r="AD33" s="24"/>
      <c r="AE33" s="24"/>
    </row>
    <row r="34" spans="1:31" ht="76.099999999999994">
      <c r="A34" s="91" t="s">
        <v>916</v>
      </c>
      <c r="B34" s="26" t="s">
        <v>928</v>
      </c>
      <c r="C34" s="26" t="s">
        <v>947</v>
      </c>
      <c r="D34" s="26" t="s">
        <v>1576</v>
      </c>
      <c r="E34" s="25" t="s">
        <v>1577</v>
      </c>
      <c r="F34" s="25" t="s">
        <v>1578</v>
      </c>
      <c r="G34" s="57" t="str">
        <f t="shared" si="4"/>
        <v>FAR 14.407-3(g) Other mistakes disclosed before award.</v>
      </c>
      <c r="H34" s="57" t="str">
        <f t="shared" si="5"/>
        <v>GSAR 14.407-3</v>
      </c>
      <c r="I34" s="34" t="s">
        <v>1463</v>
      </c>
      <c r="J34" s="37" t="s">
        <v>919</v>
      </c>
      <c r="K34" s="37" t="s">
        <v>1584</v>
      </c>
      <c r="L34" s="25" t="s">
        <v>1585</v>
      </c>
      <c r="M34" s="25" t="s">
        <v>1586</v>
      </c>
      <c r="N34" s="25" t="s">
        <v>1587</v>
      </c>
      <c r="O34" s="64"/>
      <c r="P34" s="45" t="b">
        <f t="shared" si="0"/>
        <v>0</v>
      </c>
      <c r="Q34" s="45">
        <f t="shared" si="1"/>
        <v>3</v>
      </c>
      <c r="R34" s="45">
        <f t="shared" si="2"/>
        <v>0</v>
      </c>
      <c r="S34" s="24"/>
      <c r="T34" s="24"/>
      <c r="U34" s="24"/>
      <c r="V34" s="24"/>
      <c r="W34" s="24"/>
      <c r="X34" s="24"/>
      <c r="Y34" s="24"/>
      <c r="Z34" s="24"/>
      <c r="AA34" s="24"/>
      <c r="AB34" s="24"/>
      <c r="AC34" s="24"/>
      <c r="AD34" s="24"/>
      <c r="AE34" s="24"/>
    </row>
    <row r="35" spans="1:31" ht="97.85">
      <c r="A35" s="91" t="s">
        <v>916</v>
      </c>
      <c r="B35" s="26" t="s">
        <v>928</v>
      </c>
      <c r="C35" s="26" t="s">
        <v>947</v>
      </c>
      <c r="D35" s="26" t="s">
        <v>1592</v>
      </c>
      <c r="E35" s="25" t="s">
        <v>1594</v>
      </c>
      <c r="F35" s="25" t="s">
        <v>1596</v>
      </c>
      <c r="G35" s="57" t="str">
        <f t="shared" si="4"/>
        <v>FAR 14.407-3(g) Other mistakes disclosed before award.</v>
      </c>
      <c r="H35" s="57" t="str">
        <f t="shared" si="5"/>
        <v>GSAR 14.407-3</v>
      </c>
      <c r="I35" s="34" t="s">
        <v>1463</v>
      </c>
      <c r="J35" s="37" t="s">
        <v>919</v>
      </c>
      <c r="K35" s="37" t="s">
        <v>1597</v>
      </c>
      <c r="L35" s="25" t="s">
        <v>1598</v>
      </c>
      <c r="M35" s="25" t="s">
        <v>1599</v>
      </c>
      <c r="N35" s="25" t="s">
        <v>1536</v>
      </c>
      <c r="O35" s="64"/>
      <c r="P35" s="45" t="b">
        <f t="shared" si="0"/>
        <v>0</v>
      </c>
      <c r="Q35" s="45">
        <f t="shared" si="1"/>
        <v>3</v>
      </c>
      <c r="R35" s="45">
        <f t="shared" si="2"/>
        <v>0</v>
      </c>
      <c r="S35" s="24"/>
      <c r="T35" s="24"/>
      <c r="U35" s="24"/>
      <c r="V35" s="24"/>
      <c r="W35" s="24"/>
      <c r="X35" s="24"/>
      <c r="Y35" s="24"/>
      <c r="Z35" s="24"/>
      <c r="AA35" s="24"/>
      <c r="AB35" s="24"/>
      <c r="AC35" s="24"/>
      <c r="AD35" s="24"/>
      <c r="AE35" s="24"/>
    </row>
    <row r="36" spans="1:31" ht="97.85">
      <c r="A36" s="91" t="s">
        <v>916</v>
      </c>
      <c r="B36" s="26" t="s">
        <v>928</v>
      </c>
      <c r="C36" s="26" t="s">
        <v>947</v>
      </c>
      <c r="D36" s="26" t="s">
        <v>1607</v>
      </c>
      <c r="E36" s="25" t="s">
        <v>1608</v>
      </c>
      <c r="F36" s="25" t="s">
        <v>1058</v>
      </c>
      <c r="G36" s="57" t="str">
        <f>HYPERLINK("https://www.acquisition.gov/browse/index/far","FAR 14.404-2 Rejection of individual bids. FAR 14.404-4 Restrictions on disclosure of descriptive literature [rejection of bids]. FAR 28.101-4 Noncompliance with bid guarantee requirements [bonds and other financial protections]")</f>
        <v>FAR 14.404-2 Rejection of individual bids. FAR 14.404-4 Restrictions on disclosure of descriptive literature [rejection of bids]. FAR 28.101-4 Noncompliance with bid guarantee requirements [bonds and other financial protections]</v>
      </c>
      <c r="H36" s="57" t="str">
        <f>HYPERLINK("https://www.acquisition.gov/sites/default/files/current/gsam/html/Part514.html#wp1858471","GSAR 514.404-2")</f>
        <v>GSAR 514.404-2</v>
      </c>
      <c r="I36" s="34" t="s">
        <v>1463</v>
      </c>
      <c r="J36" s="37" t="s">
        <v>919</v>
      </c>
      <c r="K36" s="37" t="s">
        <v>1620</v>
      </c>
      <c r="L36" s="25" t="s">
        <v>1621</v>
      </c>
      <c r="M36" s="25" t="s">
        <v>1623</v>
      </c>
      <c r="N36" s="25" t="s">
        <v>1536</v>
      </c>
      <c r="O36" s="64"/>
      <c r="P36" s="45" t="b">
        <f t="shared" si="0"/>
        <v>0</v>
      </c>
      <c r="Q36" s="45">
        <f t="shared" si="1"/>
        <v>3</v>
      </c>
      <c r="R36" s="45">
        <f t="shared" si="2"/>
        <v>0</v>
      </c>
      <c r="S36" s="24"/>
      <c r="T36" s="24"/>
      <c r="U36" s="24"/>
      <c r="V36" s="24"/>
      <c r="W36" s="24"/>
      <c r="X36" s="24"/>
      <c r="Y36" s="24"/>
      <c r="Z36" s="24"/>
      <c r="AA36" s="24"/>
      <c r="AB36" s="24"/>
      <c r="AC36" s="24"/>
      <c r="AD36" s="24"/>
      <c r="AE36" s="24"/>
    </row>
    <row r="37" spans="1:31" ht="97.85">
      <c r="A37" s="91" t="s">
        <v>916</v>
      </c>
      <c r="B37" s="26" t="s">
        <v>928</v>
      </c>
      <c r="C37" s="26" t="s">
        <v>947</v>
      </c>
      <c r="D37" s="26" t="s">
        <v>1630</v>
      </c>
      <c r="E37" s="25" t="s">
        <v>1631</v>
      </c>
      <c r="F37" s="25" t="s">
        <v>1632</v>
      </c>
      <c r="G37" s="57" t="str">
        <f>HYPERLINK("https://www.acquisition.gov/content/part-14-sealed-bidding#i1110021","FAR 14.408-2 Responsible bidder— reasonableness of price")</f>
        <v>FAR 14.408-2 Responsible bidder— reasonableness of price</v>
      </c>
      <c r="H37" s="27"/>
      <c r="I37" s="34" t="s">
        <v>1639</v>
      </c>
      <c r="J37" s="37" t="s">
        <v>919</v>
      </c>
      <c r="K37" s="37" t="s">
        <v>1640</v>
      </c>
      <c r="L37" s="25" t="s">
        <v>1641</v>
      </c>
      <c r="M37" s="25" t="s">
        <v>1642</v>
      </c>
      <c r="N37" s="25" t="s">
        <v>1536</v>
      </c>
      <c r="O37" s="64"/>
      <c r="P37" s="45" t="b">
        <f t="shared" si="0"/>
        <v>0</v>
      </c>
      <c r="Q37" s="45">
        <f t="shared" si="1"/>
        <v>3</v>
      </c>
      <c r="R37" s="45">
        <f t="shared" si="2"/>
        <v>0</v>
      </c>
      <c r="S37" s="24"/>
      <c r="T37" s="24"/>
      <c r="U37" s="24"/>
      <c r="V37" s="24"/>
      <c r="W37" s="24"/>
      <c r="X37" s="24"/>
      <c r="Y37" s="24"/>
      <c r="Z37" s="24"/>
      <c r="AA37" s="24"/>
      <c r="AB37" s="24"/>
      <c r="AC37" s="24"/>
      <c r="AD37" s="24"/>
      <c r="AE37" s="24"/>
    </row>
    <row r="38" spans="1:31" ht="97.85">
      <c r="A38" s="91" t="s">
        <v>916</v>
      </c>
      <c r="B38" s="26" t="s">
        <v>928</v>
      </c>
      <c r="C38" s="26" t="s">
        <v>947</v>
      </c>
      <c r="D38" s="26" t="s">
        <v>1648</v>
      </c>
      <c r="E38" s="25" t="s">
        <v>1649</v>
      </c>
      <c r="F38" s="108" t="s">
        <v>1650</v>
      </c>
      <c r="G38" s="57" t="str">
        <f>HYPERLINK("https://www.acquisition.gov/content/part-14-sealed-bidding#id1617MD00V3G","FAR 14.503-1(c) Step one [procedures]")</f>
        <v>FAR 14.503-1(c) Step one [procedures]</v>
      </c>
      <c r="H38" s="25"/>
      <c r="I38" s="34"/>
      <c r="J38" s="37" t="s">
        <v>463</v>
      </c>
      <c r="K38" s="37" t="s">
        <v>1662</v>
      </c>
      <c r="L38" s="25" t="s">
        <v>1663</v>
      </c>
      <c r="M38" s="25" t="s">
        <v>1664</v>
      </c>
      <c r="N38" s="25" t="s">
        <v>1665</v>
      </c>
      <c r="O38" s="64"/>
      <c r="P38" s="45" t="b">
        <f t="shared" si="0"/>
        <v>0</v>
      </c>
      <c r="Q38" s="45">
        <f t="shared" si="1"/>
        <v>0</v>
      </c>
      <c r="R38" s="45">
        <f t="shared" si="2"/>
        <v>0</v>
      </c>
      <c r="S38" s="24"/>
      <c r="T38" s="24"/>
      <c r="U38" s="24"/>
      <c r="V38" s="24"/>
      <c r="W38" s="24"/>
      <c r="X38" s="24"/>
      <c r="Y38" s="24"/>
      <c r="Z38" s="24"/>
      <c r="AA38" s="24"/>
      <c r="AB38" s="24"/>
      <c r="AC38" s="24"/>
      <c r="AD38" s="24"/>
      <c r="AE38" s="24"/>
    </row>
    <row r="39" spans="1:31" ht="108.7">
      <c r="A39" s="91" t="s">
        <v>916</v>
      </c>
      <c r="B39" s="26" t="s">
        <v>928</v>
      </c>
      <c r="C39" s="26" t="s">
        <v>947</v>
      </c>
      <c r="D39" s="26" t="s">
        <v>1666</v>
      </c>
      <c r="E39" s="25" t="s">
        <v>1667</v>
      </c>
      <c r="F39" s="25" t="s">
        <v>1668</v>
      </c>
      <c r="G39" s="57" t="str">
        <f>HYPERLINK("https://www.acquisition.gov/content/part-14-sealed-bidding#id1617MD00V3G","FAR 14.503-1(e) Step one [procedures].")</f>
        <v>FAR 14.503-1(e) Step one [procedures].</v>
      </c>
      <c r="H39" s="25"/>
      <c r="I39" s="34" t="s">
        <v>1639</v>
      </c>
      <c r="J39" s="37" t="s">
        <v>919</v>
      </c>
      <c r="K39" s="75" t="s">
        <v>1640</v>
      </c>
      <c r="L39" s="25" t="s">
        <v>1670</v>
      </c>
      <c r="M39" s="25" t="s">
        <v>1642</v>
      </c>
      <c r="N39" s="25" t="s">
        <v>1536</v>
      </c>
      <c r="O39" s="64"/>
      <c r="P39" s="45" t="b">
        <f t="shared" si="0"/>
        <v>0</v>
      </c>
      <c r="Q39" s="45">
        <f t="shared" si="1"/>
        <v>3</v>
      </c>
      <c r="R39" s="45">
        <f t="shared" si="2"/>
        <v>0</v>
      </c>
      <c r="S39" s="24"/>
      <c r="T39" s="24"/>
      <c r="U39" s="24"/>
      <c r="V39" s="24"/>
      <c r="W39" s="24"/>
      <c r="X39" s="24"/>
      <c r="Y39" s="24"/>
      <c r="Z39" s="24"/>
      <c r="AA39" s="24"/>
      <c r="AB39" s="24"/>
      <c r="AC39" s="24"/>
      <c r="AD39" s="24"/>
      <c r="AE39" s="24"/>
    </row>
    <row r="40" spans="1:31" ht="97.85">
      <c r="A40" s="91" t="s">
        <v>916</v>
      </c>
      <c r="B40" s="26" t="s">
        <v>928</v>
      </c>
      <c r="C40" s="26" t="s">
        <v>947</v>
      </c>
      <c r="D40" s="26" t="s">
        <v>1675</v>
      </c>
      <c r="E40" s="25" t="s">
        <v>1676</v>
      </c>
      <c r="F40" s="25" t="s">
        <v>1058</v>
      </c>
      <c r="G40" s="57" t="str">
        <f>HYPERLINK("https://www.acquisition.gov/content/part-14-sealed-bidding#id1617MD00V3G","FAR 14.503-1(f) Step one [procedures]. ")</f>
        <v xml:space="preserve">FAR 14.503-1(f) Step one [procedures]. </v>
      </c>
      <c r="H40" s="25"/>
      <c r="I40" s="34"/>
      <c r="J40" s="37" t="s">
        <v>463</v>
      </c>
      <c r="K40" s="37" t="s">
        <v>1680</v>
      </c>
      <c r="L40" s="25" t="s">
        <v>1681</v>
      </c>
      <c r="M40" s="25" t="s">
        <v>1682</v>
      </c>
      <c r="N40" s="25" t="s">
        <v>1342</v>
      </c>
      <c r="O40" s="64"/>
      <c r="P40" s="45" t="b">
        <f t="shared" si="0"/>
        <v>0</v>
      </c>
      <c r="Q40" s="45">
        <f t="shared" si="1"/>
        <v>0</v>
      </c>
      <c r="R40" s="45">
        <f t="shared" si="2"/>
        <v>0</v>
      </c>
      <c r="S40" s="24"/>
      <c r="T40" s="24"/>
      <c r="U40" s="24"/>
      <c r="V40" s="24"/>
      <c r="W40" s="24"/>
      <c r="X40" s="24"/>
      <c r="Y40" s="24"/>
      <c r="Z40" s="24"/>
      <c r="AA40" s="24"/>
      <c r="AB40" s="24"/>
      <c r="AC40" s="24"/>
      <c r="AD40" s="24"/>
      <c r="AE40" s="24"/>
    </row>
    <row r="41" spans="1:31" ht="86.95">
      <c r="A41" s="91" t="s">
        <v>916</v>
      </c>
      <c r="B41" s="26" t="s">
        <v>928</v>
      </c>
      <c r="C41" s="26" t="s">
        <v>947</v>
      </c>
      <c r="D41" s="26" t="s">
        <v>1690</v>
      </c>
      <c r="E41" s="25" t="s">
        <v>1691</v>
      </c>
      <c r="F41" s="25" t="s">
        <v>1058</v>
      </c>
      <c r="G41" s="57" t="str">
        <f>HYPERLINK("https://www.acquisition.gov/content/part-14-sealed-bidding#id1617MD00V3G","FAR 14.503-1(f) Step one [procedures].")</f>
        <v>FAR 14.503-1(f) Step one [procedures].</v>
      </c>
      <c r="H41" s="25"/>
      <c r="I41" s="34"/>
      <c r="J41" s="37" t="s">
        <v>463</v>
      </c>
      <c r="K41" s="37" t="s">
        <v>1695</v>
      </c>
      <c r="L41" s="25" t="s">
        <v>1696</v>
      </c>
      <c r="M41" s="25" t="s">
        <v>1697</v>
      </c>
      <c r="N41" s="25" t="s">
        <v>1342</v>
      </c>
      <c r="O41" s="64"/>
      <c r="P41" s="45" t="b">
        <f t="shared" si="0"/>
        <v>0</v>
      </c>
      <c r="Q41" s="45">
        <f t="shared" si="1"/>
        <v>0</v>
      </c>
      <c r="R41" s="45">
        <f t="shared" si="2"/>
        <v>0</v>
      </c>
      <c r="S41" s="24"/>
      <c r="T41" s="24"/>
      <c r="U41" s="24"/>
      <c r="V41" s="24"/>
      <c r="W41" s="24"/>
      <c r="X41" s="24"/>
      <c r="Y41" s="24"/>
      <c r="Z41" s="24"/>
      <c r="AA41" s="24"/>
      <c r="AB41" s="24"/>
      <c r="AC41" s="24"/>
      <c r="AD41" s="24"/>
      <c r="AE41" s="24"/>
    </row>
    <row r="42" spans="1:31" ht="163.05000000000001">
      <c r="A42" s="91" t="s">
        <v>916</v>
      </c>
      <c r="B42" s="26" t="s">
        <v>928</v>
      </c>
      <c r="C42" s="26" t="s">
        <v>947</v>
      </c>
      <c r="D42" s="26" t="s">
        <v>1705</v>
      </c>
      <c r="E42" s="25" t="s">
        <v>1706</v>
      </c>
      <c r="F42" s="25" t="s">
        <v>1707</v>
      </c>
      <c r="G42" s="57" t="str">
        <f>HYPERLINK("https://www.acquisition.gov/content/part-14-sealed-bidding#id1617MD00V3G","FAR 14.503-1(f) Step one [procedures].  ")</f>
        <v xml:space="preserve">FAR 14.503-1(f) Step one [procedures].  </v>
      </c>
      <c r="H42" s="25"/>
      <c r="I42" s="34"/>
      <c r="J42" s="37" t="s">
        <v>463</v>
      </c>
      <c r="K42" s="37" t="s">
        <v>1711</v>
      </c>
      <c r="L42" s="25" t="s">
        <v>1712</v>
      </c>
      <c r="M42" s="25" t="s">
        <v>1713</v>
      </c>
      <c r="N42" s="25" t="s">
        <v>1714</v>
      </c>
      <c r="O42" s="64"/>
      <c r="P42" s="45" t="b">
        <f t="shared" si="0"/>
        <v>0</v>
      </c>
      <c r="Q42" s="45">
        <f t="shared" si="1"/>
        <v>0</v>
      </c>
      <c r="R42" s="45">
        <f t="shared" si="2"/>
        <v>0</v>
      </c>
      <c r="S42" s="24"/>
      <c r="T42" s="24"/>
      <c r="U42" s="24"/>
      <c r="V42" s="24"/>
      <c r="W42" s="24"/>
      <c r="X42" s="24"/>
      <c r="Y42" s="24"/>
      <c r="Z42" s="24"/>
      <c r="AA42" s="24"/>
      <c r="AB42" s="24"/>
      <c r="AC42" s="24"/>
      <c r="AD42" s="24"/>
      <c r="AE42" s="24"/>
    </row>
    <row r="43" spans="1:31" ht="163.05000000000001">
      <c r="A43" s="91" t="s">
        <v>916</v>
      </c>
      <c r="B43" s="26" t="s">
        <v>928</v>
      </c>
      <c r="C43" s="26" t="s">
        <v>947</v>
      </c>
      <c r="D43" s="26" t="s">
        <v>1720</v>
      </c>
      <c r="E43" s="25" t="s">
        <v>1721</v>
      </c>
      <c r="F43" s="25" t="s">
        <v>1722</v>
      </c>
      <c r="G43" s="57" t="str">
        <f t="shared" ref="G43:G44" si="6">HYPERLINK("https://www.acquisition.gov/content/part-14-sealed-bidding#id1617MD00V3G","FAR 14.503-1(f) Step one [procedures].")</f>
        <v>FAR 14.503-1(f) Step one [procedures].</v>
      </c>
      <c r="H43" s="25"/>
      <c r="I43" s="34"/>
      <c r="J43" s="37" t="s">
        <v>463</v>
      </c>
      <c r="K43" s="75" t="s">
        <v>1711</v>
      </c>
      <c r="L43" s="25" t="s">
        <v>1712</v>
      </c>
      <c r="M43" s="25" t="s">
        <v>1713</v>
      </c>
      <c r="N43" s="25" t="s">
        <v>1714</v>
      </c>
      <c r="O43" s="64"/>
      <c r="P43" s="45" t="b">
        <f t="shared" si="0"/>
        <v>0</v>
      </c>
      <c r="Q43" s="45">
        <f t="shared" si="1"/>
        <v>0</v>
      </c>
      <c r="R43" s="45">
        <f t="shared" si="2"/>
        <v>0</v>
      </c>
      <c r="S43" s="24"/>
      <c r="T43" s="24"/>
      <c r="U43" s="24"/>
      <c r="V43" s="24"/>
      <c r="W43" s="24"/>
      <c r="X43" s="24"/>
      <c r="Y43" s="24"/>
      <c r="Z43" s="24"/>
      <c r="AA43" s="24"/>
      <c r="AB43" s="24"/>
      <c r="AC43" s="24"/>
      <c r="AD43" s="24"/>
      <c r="AE43" s="24"/>
    </row>
    <row r="44" spans="1:31" ht="108.7">
      <c r="A44" s="91" t="s">
        <v>916</v>
      </c>
      <c r="B44" s="26" t="s">
        <v>928</v>
      </c>
      <c r="C44" s="26" t="s">
        <v>947</v>
      </c>
      <c r="D44" s="26" t="s">
        <v>1731</v>
      </c>
      <c r="E44" s="25" t="s">
        <v>1732</v>
      </c>
      <c r="F44" s="25" t="s">
        <v>1735</v>
      </c>
      <c r="G44" s="57" t="str">
        <f t="shared" si="6"/>
        <v>FAR 14.503-1(f) Step one [procedures].</v>
      </c>
      <c r="H44" s="25"/>
      <c r="I44" s="34"/>
      <c r="J44" s="37" t="s">
        <v>463</v>
      </c>
      <c r="K44" s="75" t="s">
        <v>1640</v>
      </c>
      <c r="L44" s="25" t="s">
        <v>1670</v>
      </c>
      <c r="M44" s="25" t="s">
        <v>1642</v>
      </c>
      <c r="N44" s="25" t="s">
        <v>1536</v>
      </c>
      <c r="O44" s="64"/>
      <c r="P44" s="45" t="b">
        <f t="shared" si="0"/>
        <v>0</v>
      </c>
      <c r="Q44" s="45">
        <f t="shared" si="1"/>
        <v>0</v>
      </c>
      <c r="R44" s="45">
        <f t="shared" si="2"/>
        <v>0</v>
      </c>
      <c r="S44" s="24"/>
      <c r="T44" s="24"/>
      <c r="U44" s="24"/>
      <c r="V44" s="24"/>
      <c r="W44" s="24"/>
      <c r="X44" s="24"/>
      <c r="Y44" s="24"/>
      <c r="Z44" s="24"/>
      <c r="AA44" s="24"/>
      <c r="AB44" s="24"/>
      <c r="AC44" s="24"/>
      <c r="AD44" s="24"/>
      <c r="AE44" s="24"/>
    </row>
    <row r="45" spans="1:31" ht="76.099999999999994">
      <c r="A45" s="91" t="s">
        <v>916</v>
      </c>
      <c r="B45" s="26" t="s">
        <v>928</v>
      </c>
      <c r="C45" s="26" t="s">
        <v>947</v>
      </c>
      <c r="D45" s="26" t="s">
        <v>1737</v>
      </c>
      <c r="E45" s="25" t="s">
        <v>1676</v>
      </c>
      <c r="F45" s="25" t="s">
        <v>1058</v>
      </c>
      <c r="G45" s="57" t="str">
        <f>HYPERLINK("https://www.acquisition.gov/content/part-14-sealed-bidding#id1617MD00V3G","FAR 14.503-1(f) Step one [procedures]")</f>
        <v>FAR 14.503-1(f) Step one [procedures]</v>
      </c>
      <c r="H45" s="25"/>
      <c r="I45" s="34"/>
      <c r="J45" s="37" t="s">
        <v>463</v>
      </c>
      <c r="K45" s="75" t="s">
        <v>1695</v>
      </c>
      <c r="L45" s="25" t="s">
        <v>1740</v>
      </c>
      <c r="M45" s="25" t="s">
        <v>1697</v>
      </c>
      <c r="N45" s="25" t="s">
        <v>1342</v>
      </c>
      <c r="O45" s="64"/>
      <c r="P45" s="45" t="b">
        <f t="shared" si="0"/>
        <v>0</v>
      </c>
      <c r="Q45" s="45">
        <f t="shared" si="1"/>
        <v>0</v>
      </c>
      <c r="R45" s="45">
        <f t="shared" si="2"/>
        <v>0</v>
      </c>
      <c r="S45" s="24"/>
      <c r="T45" s="24"/>
      <c r="U45" s="24"/>
      <c r="V45" s="24"/>
      <c r="W45" s="24"/>
      <c r="X45" s="24"/>
      <c r="Y45" s="24"/>
      <c r="Z45" s="24"/>
      <c r="AA45" s="24"/>
      <c r="AB45" s="24"/>
      <c r="AC45" s="24"/>
      <c r="AD45" s="24"/>
      <c r="AE45" s="24"/>
    </row>
    <row r="46" spans="1:31" ht="86.95">
      <c r="A46" s="91" t="s">
        <v>916</v>
      </c>
      <c r="B46" s="26" t="s">
        <v>928</v>
      </c>
      <c r="C46" s="26" t="s">
        <v>947</v>
      </c>
      <c r="D46" s="26" t="s">
        <v>1744</v>
      </c>
      <c r="E46" s="25" t="s">
        <v>1745</v>
      </c>
      <c r="F46" s="25" t="s">
        <v>1058</v>
      </c>
      <c r="G46" s="57" t="str">
        <f>HYPERLINK("https://www.acquisition.gov/content/part-14-sealed-bidding#id1617MD00V3G","FAR 14.503-1(f) Step one [procedures].")</f>
        <v>FAR 14.503-1(f) Step one [procedures].</v>
      </c>
      <c r="H46" s="25"/>
      <c r="I46" s="34"/>
      <c r="J46" s="37" t="s">
        <v>463</v>
      </c>
      <c r="K46" s="75" t="s">
        <v>1695</v>
      </c>
      <c r="L46" s="25" t="s">
        <v>1696</v>
      </c>
      <c r="M46" s="25" t="s">
        <v>1697</v>
      </c>
      <c r="N46" s="25" t="s">
        <v>1342</v>
      </c>
      <c r="O46" s="64"/>
      <c r="P46" s="45" t="b">
        <f t="shared" si="0"/>
        <v>0</v>
      </c>
      <c r="Q46" s="45">
        <f t="shared" si="1"/>
        <v>0</v>
      </c>
      <c r="R46" s="45">
        <f t="shared" si="2"/>
        <v>0</v>
      </c>
      <c r="S46" s="24"/>
      <c r="T46" s="24"/>
      <c r="U46" s="24"/>
      <c r="V46" s="24"/>
      <c r="W46" s="24"/>
      <c r="X46" s="24"/>
      <c r="Y46" s="24"/>
      <c r="Z46" s="24"/>
      <c r="AA46" s="24"/>
      <c r="AB46" s="24"/>
      <c r="AC46" s="24"/>
      <c r="AD46" s="24"/>
      <c r="AE46" s="24"/>
    </row>
    <row r="47" spans="1:31" ht="141.30000000000001">
      <c r="A47" s="91" t="s">
        <v>916</v>
      </c>
      <c r="B47" s="26" t="s">
        <v>928</v>
      </c>
      <c r="C47" s="26" t="s">
        <v>947</v>
      </c>
      <c r="D47" s="26" t="s">
        <v>1757</v>
      </c>
      <c r="E47" s="25" t="s">
        <v>1758</v>
      </c>
      <c r="F47" s="25" t="s">
        <v>1759</v>
      </c>
      <c r="G47" s="57" t="str">
        <f>HYPERLINK("https://www.acquisition.gov/sites/default/files/current/far/html/Subpart%2014_5.html#wp1074587","FAR 14.501(i) Step one [procedures]. ")</f>
        <v xml:space="preserve">FAR 14.501(i) Step one [procedures]. </v>
      </c>
      <c r="H47" s="25"/>
      <c r="I47" s="34"/>
      <c r="J47" s="37" t="s">
        <v>463</v>
      </c>
      <c r="K47" s="37" t="s">
        <v>1764</v>
      </c>
      <c r="L47" s="25" t="s">
        <v>1765</v>
      </c>
      <c r="M47" s="25" t="s">
        <v>1766</v>
      </c>
      <c r="N47" s="25" t="s">
        <v>1768</v>
      </c>
      <c r="O47" s="64"/>
      <c r="P47" s="45" t="b">
        <f t="shared" si="0"/>
        <v>0</v>
      </c>
      <c r="Q47" s="45">
        <f t="shared" si="1"/>
        <v>0</v>
      </c>
      <c r="R47" s="45">
        <f t="shared" si="2"/>
        <v>0</v>
      </c>
      <c r="S47" s="24"/>
      <c r="T47" s="24"/>
      <c r="U47" s="24"/>
      <c r="V47" s="24"/>
      <c r="W47" s="24"/>
      <c r="X47" s="24"/>
      <c r="Y47" s="24"/>
      <c r="Z47" s="24"/>
      <c r="AA47" s="24"/>
      <c r="AB47" s="24"/>
      <c r="AC47" s="24"/>
      <c r="AD47" s="24"/>
      <c r="AE47" s="24"/>
    </row>
    <row r="48" spans="1:31" ht="130.44999999999999">
      <c r="A48" s="91" t="s">
        <v>916</v>
      </c>
      <c r="B48" s="26" t="s">
        <v>928</v>
      </c>
      <c r="C48" s="26" t="s">
        <v>947</v>
      </c>
      <c r="D48" s="26" t="s">
        <v>1775</v>
      </c>
      <c r="E48" s="25" t="s">
        <v>1777</v>
      </c>
      <c r="F48" s="25" t="s">
        <v>1780</v>
      </c>
      <c r="G48" s="57" t="str">
        <f t="shared" ref="G48:G51" si="7">HYPERLINK("https://www.acquisition.gov/content/part-16-types-contracts#i1104008","FAR 16.505(b)(1) Fair opportunity [orders under multiple-award contracts]")</f>
        <v>FAR 16.505(b)(1) Fair opportunity [orders under multiple-award contracts]</v>
      </c>
      <c r="H48" s="57" t="str">
        <f t="shared" ref="H48:H51" si="8">HYPERLINK("https://www.acquisition.gov/sites/default/files/current/gsam/html/Part516.html#wp1859966","GSAR 516.505")</f>
        <v>GSAR 516.505</v>
      </c>
      <c r="I48" s="34" t="s">
        <v>1789</v>
      </c>
      <c r="J48" s="37" t="s">
        <v>268</v>
      </c>
      <c r="K48" s="37" t="s">
        <v>1790</v>
      </c>
      <c r="L48" s="25" t="s">
        <v>1791</v>
      </c>
      <c r="M48" s="25" t="s">
        <v>1793</v>
      </c>
      <c r="N48" s="25" t="s">
        <v>1795</v>
      </c>
      <c r="O48" s="64"/>
      <c r="P48" s="45" t="b">
        <f t="shared" si="0"/>
        <v>0</v>
      </c>
      <c r="Q48" s="45">
        <f t="shared" si="1"/>
        <v>3</v>
      </c>
      <c r="R48" s="45">
        <f t="shared" si="2"/>
        <v>0</v>
      </c>
      <c r="S48" s="24"/>
      <c r="T48" s="24"/>
      <c r="U48" s="24"/>
      <c r="V48" s="24"/>
      <c r="W48" s="24"/>
      <c r="X48" s="24"/>
      <c r="Y48" s="24"/>
      <c r="Z48" s="24"/>
      <c r="AA48" s="24"/>
      <c r="AB48" s="24"/>
      <c r="AC48" s="24"/>
      <c r="AD48" s="24"/>
      <c r="AE48" s="24"/>
    </row>
    <row r="49" spans="1:31" ht="228.25">
      <c r="A49" s="91" t="s">
        <v>916</v>
      </c>
      <c r="B49" s="26" t="s">
        <v>928</v>
      </c>
      <c r="C49" s="26" t="s">
        <v>947</v>
      </c>
      <c r="D49" s="26" t="s">
        <v>1799</v>
      </c>
      <c r="E49" s="25" t="s">
        <v>1800</v>
      </c>
      <c r="F49" s="25" t="s">
        <v>1801</v>
      </c>
      <c r="G49" s="57" t="str">
        <f t="shared" si="7"/>
        <v>FAR 16.505(b)(1) Fair opportunity [orders under multiple-award contracts]</v>
      </c>
      <c r="H49" s="57" t="str">
        <f t="shared" si="8"/>
        <v>GSAR 516.505</v>
      </c>
      <c r="I49" s="34" t="s">
        <v>1806</v>
      </c>
      <c r="J49" s="37" t="s">
        <v>919</v>
      </c>
      <c r="K49" s="37" t="s">
        <v>1807</v>
      </c>
      <c r="L49" s="25" t="s">
        <v>1401</v>
      </c>
      <c r="M49" s="25" t="s">
        <v>1404</v>
      </c>
      <c r="N49" s="25" t="s">
        <v>1405</v>
      </c>
      <c r="O49" s="64"/>
      <c r="P49" s="45" t="b">
        <f t="shared" si="0"/>
        <v>0</v>
      </c>
      <c r="Q49" s="45">
        <f t="shared" si="1"/>
        <v>3</v>
      </c>
      <c r="R49" s="45">
        <f t="shared" si="2"/>
        <v>0</v>
      </c>
      <c r="S49" s="24"/>
      <c r="T49" s="24"/>
      <c r="U49" s="24"/>
      <c r="V49" s="24"/>
      <c r="W49" s="24"/>
      <c r="X49" s="24"/>
      <c r="Y49" s="24"/>
      <c r="Z49" s="24"/>
      <c r="AA49" s="24"/>
      <c r="AB49" s="24"/>
      <c r="AC49" s="24"/>
      <c r="AD49" s="24"/>
      <c r="AE49" s="24"/>
    </row>
    <row r="50" spans="1:31" ht="141.30000000000001">
      <c r="A50" s="91" t="s">
        <v>916</v>
      </c>
      <c r="B50" s="26" t="s">
        <v>928</v>
      </c>
      <c r="C50" s="26" t="s">
        <v>947</v>
      </c>
      <c r="D50" s="26" t="s">
        <v>1813</v>
      </c>
      <c r="E50" s="25" t="s">
        <v>1814</v>
      </c>
      <c r="F50" s="25" t="s">
        <v>1815</v>
      </c>
      <c r="G50" s="57" t="str">
        <f t="shared" si="7"/>
        <v>FAR 16.505(b)(1) Fair opportunity [orders under multiple-award contracts]</v>
      </c>
      <c r="H50" s="57" t="str">
        <f t="shared" si="8"/>
        <v>GSAR 516.505</v>
      </c>
      <c r="I50" s="34" t="s">
        <v>1806</v>
      </c>
      <c r="J50" s="37" t="s">
        <v>919</v>
      </c>
      <c r="K50" s="37" t="s">
        <v>1824</v>
      </c>
      <c r="L50" s="25" t="s">
        <v>1825</v>
      </c>
      <c r="M50" s="25" t="s">
        <v>1826</v>
      </c>
      <c r="N50" s="25" t="s">
        <v>1827</v>
      </c>
      <c r="O50" s="64"/>
      <c r="P50" s="45" t="b">
        <f t="shared" si="0"/>
        <v>0</v>
      </c>
      <c r="Q50" s="45">
        <f t="shared" si="1"/>
        <v>3</v>
      </c>
      <c r="R50" s="45">
        <f t="shared" si="2"/>
        <v>0</v>
      </c>
      <c r="S50" s="24"/>
      <c r="T50" s="24"/>
      <c r="U50" s="24"/>
      <c r="V50" s="24"/>
      <c r="W50" s="24"/>
      <c r="X50" s="24"/>
      <c r="Y50" s="24"/>
      <c r="Z50" s="24"/>
      <c r="AA50" s="24"/>
      <c r="AB50" s="24"/>
      <c r="AC50" s="24"/>
      <c r="AD50" s="24"/>
      <c r="AE50" s="24"/>
    </row>
    <row r="51" spans="1:31" ht="97.85">
      <c r="A51" s="91" t="s">
        <v>916</v>
      </c>
      <c r="B51" s="26" t="s">
        <v>928</v>
      </c>
      <c r="C51" s="26" t="s">
        <v>947</v>
      </c>
      <c r="D51" s="26" t="s">
        <v>1813</v>
      </c>
      <c r="E51" s="25" t="s">
        <v>1814</v>
      </c>
      <c r="F51" s="25" t="s">
        <v>1815</v>
      </c>
      <c r="G51" s="57" t="str">
        <f t="shared" si="7"/>
        <v>FAR 16.505(b)(1) Fair opportunity [orders under multiple-award contracts]</v>
      </c>
      <c r="H51" s="57" t="str">
        <f t="shared" si="8"/>
        <v>GSAR 516.505</v>
      </c>
      <c r="I51" s="34" t="s">
        <v>1806</v>
      </c>
      <c r="J51" s="37" t="s">
        <v>919</v>
      </c>
      <c r="K51" s="37" t="s">
        <v>1824</v>
      </c>
      <c r="L51" s="111" t="s">
        <v>1835</v>
      </c>
      <c r="M51" s="25" t="s">
        <v>1849</v>
      </c>
      <c r="N51" s="25" t="s">
        <v>1850</v>
      </c>
      <c r="O51" s="64"/>
      <c r="P51" s="45"/>
      <c r="Q51" s="45"/>
      <c r="R51" s="45"/>
      <c r="S51" s="24"/>
      <c r="T51" s="24"/>
      <c r="U51" s="24"/>
      <c r="V51" s="24"/>
      <c r="W51" s="24"/>
      <c r="X51" s="24"/>
      <c r="Y51" s="24"/>
      <c r="Z51" s="24"/>
      <c r="AA51" s="24"/>
      <c r="AB51" s="24"/>
      <c r="AC51" s="24"/>
      <c r="AD51" s="24"/>
      <c r="AE51" s="24"/>
    </row>
    <row r="52" spans="1:31" ht="239.1">
      <c r="A52" s="91" t="s">
        <v>916</v>
      </c>
      <c r="B52" s="26" t="s">
        <v>928</v>
      </c>
      <c r="C52" s="26" t="s">
        <v>947</v>
      </c>
      <c r="D52" s="26" t="s">
        <v>1854</v>
      </c>
      <c r="E52" s="25" t="s">
        <v>1855</v>
      </c>
      <c r="F52" s="25" t="s">
        <v>1856</v>
      </c>
      <c r="G52" s="57" t="str">
        <f>HYPERLINK("https://www.acquisition.gov/browse/index/far","FAR 3.104 Procurement integrity [improper business practices and personal conflicts of interest]. FAR 15.207 Handling proposals and information [solicitation and receipt of proposals and information]. ")</f>
        <v xml:space="preserve">FAR 3.104 Procurement integrity [improper business practices and personal conflicts of interest]. FAR 15.207 Handling proposals and information [solicitation and receipt of proposals and information]. </v>
      </c>
      <c r="H52" s="57" t="str">
        <f>HYPERLINK("https://www.acquisition.gov/sites/default/files/current/gsam/html/Part503.html#wp1859291","GSAR 503.104")</f>
        <v>GSAR 503.104</v>
      </c>
      <c r="I52" s="109" t="s">
        <v>1867</v>
      </c>
      <c r="J52" s="37" t="s">
        <v>919</v>
      </c>
      <c r="K52" s="37" t="s">
        <v>1871</v>
      </c>
      <c r="L52" s="25" t="s">
        <v>1872</v>
      </c>
      <c r="M52" s="25" t="s">
        <v>1873</v>
      </c>
      <c r="N52" s="41" t="s">
        <v>1874</v>
      </c>
      <c r="O52" s="64"/>
      <c r="P52" s="45" t="b">
        <f t="shared" ref="P52:P173" si="9">IF(AND(O52="Meet the requirements traceability “out of the box”"), 10, IF(AND(O52="Can meet the requirements traceability with configuration or through the use of another commercial product “out of the box” or other arrangement as part of the service offering quoted (i.e. at no additional cost)"), 8, IF(AND(O52="Can meet the requirements traceability with customization at additional cost"), 3, IF(AND(O52="Cannot meet the requirements traceability requirement"), 0))))</f>
        <v>0</v>
      </c>
      <c r="Q52" s="45">
        <f t="shared" ref="Q52:Q173" si="10">IF(J52="Unidentified",0,3)</f>
        <v>3</v>
      </c>
      <c r="R52" s="45">
        <f t="shared" ref="R52:R173" si="11">IF(P52=FALSE,0,IF(P52&gt;4,(P52+Q52),P52))</f>
        <v>0</v>
      </c>
      <c r="S52" s="24"/>
      <c r="T52" s="24"/>
      <c r="U52" s="24"/>
      <c r="V52" s="24"/>
      <c r="W52" s="24"/>
      <c r="X52" s="24"/>
      <c r="Y52" s="24"/>
      <c r="Z52" s="24"/>
      <c r="AA52" s="24"/>
      <c r="AB52" s="24"/>
      <c r="AC52" s="24"/>
      <c r="AD52" s="24"/>
      <c r="AE52" s="24"/>
    </row>
    <row r="53" spans="1:31" ht="119.55">
      <c r="A53" s="91" t="s">
        <v>916</v>
      </c>
      <c r="B53" s="26" t="s">
        <v>928</v>
      </c>
      <c r="C53" s="26" t="s">
        <v>947</v>
      </c>
      <c r="D53" s="26" t="s">
        <v>1895</v>
      </c>
      <c r="E53" s="25" t="s">
        <v>1896</v>
      </c>
      <c r="F53" s="25" t="s">
        <v>1897</v>
      </c>
      <c r="G53" s="57" t="str">
        <f>HYPERLINK("https://www.acquisition.gov/content/part-15-contracting-negotiation#i1109089","FAR 15.208 Submission, modification, revision, and withdrawal of proposals [solicitation and receipt of proposals and information]. ")</f>
        <v xml:space="preserve">FAR 15.208 Submission, modification, revision, and withdrawal of proposals [solicitation and receipt of proposals and information]. </v>
      </c>
      <c r="H53" s="57" t="str">
        <f>HYPERLINK("https://www.acquisition.gov/sites/default/files/current/gsam/html/Part515.html#wp1870608","GSAR 515.208")</f>
        <v>GSAR 515.208</v>
      </c>
      <c r="I53" s="34" t="s">
        <v>1907</v>
      </c>
      <c r="J53" s="37" t="s">
        <v>919</v>
      </c>
      <c r="K53" s="37" t="s">
        <v>1908</v>
      </c>
      <c r="L53" s="25" t="s">
        <v>1909</v>
      </c>
      <c r="M53" s="25" t="s">
        <v>1910</v>
      </c>
      <c r="N53" s="25" t="s">
        <v>1911</v>
      </c>
      <c r="O53" s="64"/>
      <c r="P53" s="45" t="b">
        <f t="shared" si="9"/>
        <v>0</v>
      </c>
      <c r="Q53" s="45">
        <f t="shared" si="10"/>
        <v>3</v>
      </c>
      <c r="R53" s="45">
        <f t="shared" si="11"/>
        <v>0</v>
      </c>
      <c r="S53" s="24"/>
      <c r="T53" s="24"/>
      <c r="U53" s="24"/>
      <c r="V53" s="24"/>
      <c r="W53" s="24"/>
      <c r="X53" s="24"/>
      <c r="Y53" s="24"/>
      <c r="Z53" s="24"/>
      <c r="AA53" s="24"/>
      <c r="AB53" s="24"/>
      <c r="AC53" s="24"/>
      <c r="AD53" s="24"/>
      <c r="AE53" s="24"/>
    </row>
    <row r="54" spans="1:31" ht="97.85">
      <c r="A54" s="91" t="s">
        <v>916</v>
      </c>
      <c r="B54" s="26" t="s">
        <v>928</v>
      </c>
      <c r="C54" s="26" t="s">
        <v>947</v>
      </c>
      <c r="D54" s="26" t="s">
        <v>1918</v>
      </c>
      <c r="E54" s="25" t="s">
        <v>1919</v>
      </c>
      <c r="F54" s="25" t="s">
        <v>1920</v>
      </c>
      <c r="G54" s="57" t="str">
        <f>HYPERLINK("https://www.acquisition.gov/content/part-9-contractor-qualifications#i1115236","FAR 9.405(d) Effect of listing [debarment, suspension, and ineligibility]")</f>
        <v>FAR 9.405(d) Effect of listing [debarment, suspension, and ineligibility]</v>
      </c>
      <c r="H54" s="57" t="str">
        <f>HYPERLINK("https://www.acquisition.gov/sites/default/files/current/gsam/html/Part509.html#wp1859653","GSAR 509.405")</f>
        <v>GSAR 509.405</v>
      </c>
      <c r="I54" s="34" t="s">
        <v>1927</v>
      </c>
      <c r="J54" s="37" t="s">
        <v>919</v>
      </c>
      <c r="K54" s="37" t="s">
        <v>1928</v>
      </c>
      <c r="L54" s="25" t="s">
        <v>1929</v>
      </c>
      <c r="M54" s="25" t="s">
        <v>1930</v>
      </c>
      <c r="N54" s="25" t="s">
        <v>1932</v>
      </c>
      <c r="O54" s="64"/>
      <c r="P54" s="45" t="b">
        <f t="shared" si="9"/>
        <v>0</v>
      </c>
      <c r="Q54" s="45">
        <f t="shared" si="10"/>
        <v>3</v>
      </c>
      <c r="R54" s="45">
        <f t="shared" si="11"/>
        <v>0</v>
      </c>
      <c r="S54" s="24"/>
      <c r="T54" s="24"/>
      <c r="U54" s="24"/>
      <c r="V54" s="24"/>
      <c r="W54" s="24"/>
      <c r="X54" s="24"/>
      <c r="Y54" s="24"/>
      <c r="Z54" s="24"/>
      <c r="AA54" s="24"/>
      <c r="AB54" s="24"/>
      <c r="AC54" s="24"/>
      <c r="AD54" s="24"/>
      <c r="AE54" s="24"/>
    </row>
    <row r="55" spans="1:31" ht="119.55">
      <c r="A55" s="91" t="s">
        <v>916</v>
      </c>
      <c r="B55" s="26" t="s">
        <v>928</v>
      </c>
      <c r="C55" s="26" t="s">
        <v>947</v>
      </c>
      <c r="D55" s="26" t="s">
        <v>1939</v>
      </c>
      <c r="E55" s="25" t="s">
        <v>1940</v>
      </c>
      <c r="F55" s="25" t="s">
        <v>1942</v>
      </c>
      <c r="G55" s="57" t="str">
        <f>HYPERLINK("https://www.acquisition.gov/content/part-15-contracting-negotiation#i1109089","FAR 15.208 Submission, modification, revision, and withdrawal of proposals [solicitation and receipt of proposals and information]. ")</f>
        <v xml:space="preserve">FAR 15.208 Submission, modification, revision, and withdrawal of proposals [solicitation and receipt of proposals and information]. </v>
      </c>
      <c r="H55" s="57" t="str">
        <f>HYPERLINK("https://www.acquisition.gov/sites/default/files/current/gsam/html/Part515.html#wp1870608","GSAR 515.208")</f>
        <v>GSAR 515.208</v>
      </c>
      <c r="I55" s="34" t="s">
        <v>1949</v>
      </c>
      <c r="J55" s="37" t="s">
        <v>919</v>
      </c>
      <c r="K55" s="37" t="s">
        <v>1950</v>
      </c>
      <c r="L55" s="25" t="s">
        <v>1951</v>
      </c>
      <c r="M55" s="25" t="s">
        <v>1952</v>
      </c>
      <c r="N55" s="25" t="s">
        <v>1953</v>
      </c>
      <c r="O55" s="64"/>
      <c r="P55" s="45" t="b">
        <f t="shared" si="9"/>
        <v>0</v>
      </c>
      <c r="Q55" s="45">
        <f t="shared" si="10"/>
        <v>3</v>
      </c>
      <c r="R55" s="45">
        <f t="shared" si="11"/>
        <v>0</v>
      </c>
      <c r="S55" s="24"/>
      <c r="T55" s="24"/>
      <c r="U55" s="24"/>
      <c r="V55" s="24"/>
      <c r="W55" s="24"/>
      <c r="X55" s="24"/>
      <c r="Y55" s="24"/>
      <c r="Z55" s="24"/>
      <c r="AA55" s="24"/>
      <c r="AB55" s="24"/>
      <c r="AC55" s="24"/>
      <c r="AD55" s="24"/>
      <c r="AE55" s="24"/>
    </row>
    <row r="56" spans="1:31" ht="97.85">
      <c r="A56" s="91" t="s">
        <v>916</v>
      </c>
      <c r="B56" s="26" t="s">
        <v>928</v>
      </c>
      <c r="C56" s="26" t="s">
        <v>947</v>
      </c>
      <c r="D56" s="26" t="s">
        <v>1960</v>
      </c>
      <c r="E56" s="25" t="s">
        <v>1961</v>
      </c>
      <c r="F56" s="25" t="s">
        <v>1058</v>
      </c>
      <c r="G56" s="57" t="str">
        <f>HYPERLINK("https://www.acquisition.gov/content/part-15-contracting-negotiation#i15_206","FAR 15.206(a) Amending the solicitation [solicitation and receipt of proposals and information].")</f>
        <v>FAR 15.206(a) Amending the solicitation [solicitation and receipt of proposals and information].</v>
      </c>
      <c r="H56" s="25"/>
      <c r="I56" s="34" t="s">
        <v>1969</v>
      </c>
      <c r="J56" s="37" t="s">
        <v>203</v>
      </c>
      <c r="K56" s="37" t="s">
        <v>1970</v>
      </c>
      <c r="L56" s="25" t="s">
        <v>1971</v>
      </c>
      <c r="M56" s="25" t="s">
        <v>1972</v>
      </c>
      <c r="N56" s="25" t="s">
        <v>1973</v>
      </c>
      <c r="O56" s="64"/>
      <c r="P56" s="45" t="b">
        <f t="shared" si="9"/>
        <v>0</v>
      </c>
      <c r="Q56" s="45">
        <f t="shared" si="10"/>
        <v>3</v>
      </c>
      <c r="R56" s="45">
        <f t="shared" si="11"/>
        <v>0</v>
      </c>
      <c r="S56" s="24"/>
      <c r="T56" s="24"/>
      <c r="U56" s="24"/>
      <c r="V56" s="24"/>
      <c r="W56" s="24"/>
      <c r="X56" s="24"/>
      <c r="Y56" s="24"/>
      <c r="Z56" s="24"/>
      <c r="AA56" s="24"/>
      <c r="AB56" s="24"/>
      <c r="AC56" s="24"/>
      <c r="AD56" s="24"/>
      <c r="AE56" s="24"/>
    </row>
    <row r="57" spans="1:31" ht="119.55">
      <c r="A57" s="91" t="s">
        <v>916</v>
      </c>
      <c r="B57" s="26" t="s">
        <v>928</v>
      </c>
      <c r="C57" s="26" t="s">
        <v>947</v>
      </c>
      <c r="D57" s="26" t="s">
        <v>1977</v>
      </c>
      <c r="E57" s="25" t="s">
        <v>1978</v>
      </c>
      <c r="F57" s="25" t="s">
        <v>1979</v>
      </c>
      <c r="G57" s="57" t="str">
        <f>HYPERLINK("https://www.acquisition.gov/content/part-15-contracting-negotiation#i15_206","FAR 15.206(c) Amending the solicitation [solicitation and receipt of proposals and information].")</f>
        <v>FAR 15.206(c) Amending the solicitation [solicitation and receipt of proposals and information].</v>
      </c>
      <c r="H57" s="25"/>
      <c r="I57" s="34" t="s">
        <v>1983</v>
      </c>
      <c r="J57" s="37" t="s">
        <v>203</v>
      </c>
      <c r="K57" s="37" t="s">
        <v>1987</v>
      </c>
      <c r="L57" s="25" t="s">
        <v>1988</v>
      </c>
      <c r="M57" s="25" t="s">
        <v>1989</v>
      </c>
      <c r="N57" s="25" t="s">
        <v>1990</v>
      </c>
      <c r="O57" s="64"/>
      <c r="P57" s="45" t="b">
        <f t="shared" si="9"/>
        <v>0</v>
      </c>
      <c r="Q57" s="45">
        <f t="shared" si="10"/>
        <v>3</v>
      </c>
      <c r="R57" s="45">
        <f t="shared" si="11"/>
        <v>0</v>
      </c>
      <c r="S57" s="24"/>
      <c r="T57" s="24"/>
      <c r="U57" s="24"/>
      <c r="V57" s="24"/>
      <c r="W57" s="24"/>
      <c r="X57" s="24"/>
      <c r="Y57" s="24"/>
      <c r="Z57" s="24"/>
      <c r="AA57" s="24"/>
      <c r="AB57" s="24"/>
      <c r="AC57" s="24"/>
      <c r="AD57" s="24"/>
      <c r="AE57" s="24"/>
    </row>
    <row r="58" spans="1:31" ht="130.44999999999999">
      <c r="A58" s="91" t="s">
        <v>916</v>
      </c>
      <c r="B58" s="26" t="s">
        <v>928</v>
      </c>
      <c r="C58" s="26" t="s">
        <v>947</v>
      </c>
      <c r="D58" s="26" t="s">
        <v>1995</v>
      </c>
      <c r="E58" s="25" t="s">
        <v>1996</v>
      </c>
      <c r="F58" s="25" t="s">
        <v>1997</v>
      </c>
      <c r="G58" s="57" t="str">
        <f>HYPERLINK("https://www.acquisition.gov/content/part-15-contracting-negotiation#i15_206","FAR 15.206(e) Amending the solicitation [solicitation and receipt of proposals and information].")</f>
        <v>FAR 15.206(e) Amending the solicitation [solicitation and receipt of proposals and information].</v>
      </c>
      <c r="H58" s="25"/>
      <c r="I58" s="34" t="s">
        <v>1983</v>
      </c>
      <c r="J58" s="37" t="s">
        <v>203</v>
      </c>
      <c r="K58" s="37" t="s">
        <v>2004</v>
      </c>
      <c r="L58" s="25" t="s">
        <v>2005</v>
      </c>
      <c r="M58" s="25" t="s">
        <v>2008</v>
      </c>
      <c r="N58" s="25" t="s">
        <v>2010</v>
      </c>
      <c r="O58" s="64"/>
      <c r="P58" s="45" t="b">
        <f t="shared" si="9"/>
        <v>0</v>
      </c>
      <c r="Q58" s="45">
        <f t="shared" si="10"/>
        <v>3</v>
      </c>
      <c r="R58" s="45">
        <f t="shared" si="11"/>
        <v>0</v>
      </c>
      <c r="S58" s="24"/>
      <c r="T58" s="24"/>
      <c r="U58" s="24"/>
      <c r="V58" s="24"/>
      <c r="W58" s="24"/>
      <c r="X58" s="24"/>
      <c r="Y58" s="24"/>
      <c r="Z58" s="24"/>
      <c r="AA58" s="24"/>
      <c r="AB58" s="24"/>
      <c r="AC58" s="24"/>
      <c r="AD58" s="24"/>
      <c r="AE58" s="24"/>
    </row>
    <row r="59" spans="1:31" ht="152.15">
      <c r="A59" s="91" t="s">
        <v>916</v>
      </c>
      <c r="B59" s="26" t="s">
        <v>928</v>
      </c>
      <c r="C59" s="26" t="s">
        <v>947</v>
      </c>
      <c r="D59" s="26" t="s">
        <v>2015</v>
      </c>
      <c r="E59" s="25" t="s">
        <v>2016</v>
      </c>
      <c r="F59" s="25" t="s">
        <v>2017</v>
      </c>
      <c r="G59" s="57" t="str">
        <f>HYPERLINK("https://www.acquisition.gov/content/part-15-contracting-negotiation","FAR 15.305 Proposal evaluation [source selection]. FAR 15.306(a) Clarifications and award without discussions. FAR 15.404 Proposal analysis [contract pricing].")</f>
        <v>FAR 15.305 Proposal evaluation [source selection]. FAR 15.306(a) Clarifications and award without discussions. FAR 15.404 Proposal analysis [contract pricing].</v>
      </c>
      <c r="H59" s="25"/>
      <c r="I59" s="34" t="s">
        <v>2023</v>
      </c>
      <c r="J59" s="37" t="s">
        <v>919</v>
      </c>
      <c r="K59" s="37" t="s">
        <v>2024</v>
      </c>
      <c r="L59" s="25" t="s">
        <v>2025</v>
      </c>
      <c r="M59" s="25" t="s">
        <v>2026</v>
      </c>
      <c r="N59" s="25" t="s">
        <v>2028</v>
      </c>
      <c r="O59" s="64"/>
      <c r="P59" s="45" t="b">
        <f t="shared" si="9"/>
        <v>0</v>
      </c>
      <c r="Q59" s="45">
        <f t="shared" si="10"/>
        <v>3</v>
      </c>
      <c r="R59" s="45">
        <f t="shared" si="11"/>
        <v>0</v>
      </c>
      <c r="S59" s="24"/>
      <c r="T59" s="24"/>
      <c r="U59" s="24"/>
      <c r="V59" s="24"/>
      <c r="W59" s="24"/>
      <c r="X59" s="24"/>
      <c r="Y59" s="24"/>
      <c r="Z59" s="24"/>
      <c r="AA59" s="24"/>
      <c r="AB59" s="24"/>
      <c r="AC59" s="24"/>
      <c r="AD59" s="24"/>
      <c r="AE59" s="24"/>
    </row>
    <row r="60" spans="1:31" ht="163.05000000000001">
      <c r="A60" s="91" t="s">
        <v>916</v>
      </c>
      <c r="B60" s="26" t="s">
        <v>928</v>
      </c>
      <c r="C60" s="26" t="s">
        <v>947</v>
      </c>
      <c r="D60" s="26" t="s">
        <v>2036</v>
      </c>
      <c r="E60" s="25" t="s">
        <v>2037</v>
      </c>
      <c r="F60" s="25" t="s">
        <v>2038</v>
      </c>
      <c r="G60" s="57" t="str">
        <f>HYPERLINK("https://www.acquisition.gov/content/part-15-contracting-negotiation#id1617MD00VGZ","FAR 15.102 Oral presentations [source selection processes and techniques]. ")</f>
        <v xml:space="preserve">FAR 15.102 Oral presentations [source selection processes and techniques]. </v>
      </c>
      <c r="H60" s="25"/>
      <c r="I60" s="34" t="s">
        <v>2052</v>
      </c>
      <c r="J60" s="37" t="s">
        <v>919</v>
      </c>
      <c r="K60" s="37" t="s">
        <v>2054</v>
      </c>
      <c r="L60" s="25" t="s">
        <v>2055</v>
      </c>
      <c r="M60" s="25" t="s">
        <v>2056</v>
      </c>
      <c r="N60" s="25" t="s">
        <v>2057</v>
      </c>
      <c r="O60" s="64"/>
      <c r="P60" s="45" t="b">
        <f t="shared" si="9"/>
        <v>0</v>
      </c>
      <c r="Q60" s="45">
        <f t="shared" si="10"/>
        <v>3</v>
      </c>
      <c r="R60" s="45">
        <f t="shared" si="11"/>
        <v>0</v>
      </c>
      <c r="S60" s="24"/>
      <c r="T60" s="24"/>
      <c r="U60" s="24"/>
      <c r="V60" s="24"/>
      <c r="W60" s="24"/>
      <c r="X60" s="24"/>
      <c r="Y60" s="24"/>
      <c r="Z60" s="24"/>
      <c r="AA60" s="24"/>
      <c r="AB60" s="24"/>
      <c r="AC60" s="24"/>
      <c r="AD60" s="24"/>
      <c r="AE60" s="24"/>
    </row>
    <row r="61" spans="1:31" ht="141.30000000000001">
      <c r="A61" s="91" t="s">
        <v>916</v>
      </c>
      <c r="B61" s="26" t="s">
        <v>928</v>
      </c>
      <c r="C61" s="26" t="s">
        <v>947</v>
      </c>
      <c r="D61" s="26" t="s">
        <v>2065</v>
      </c>
      <c r="E61" s="25" t="s">
        <v>2067</v>
      </c>
      <c r="F61" s="25" t="s">
        <v>2068</v>
      </c>
      <c r="G61" s="57" t="str">
        <f>HYPERLINK("https://www.acquisition.gov/content/part-15-contracting-negotiation#id1617MD00VGZ","FAR 15.102(a) Oral presentations [source selection processes and techniques]. FAR 15.102(d) Oral presentations [source selection processes and techniques].")</f>
        <v>FAR 15.102(a) Oral presentations [source selection processes and techniques]. FAR 15.102(d) Oral presentations [source selection processes and techniques].</v>
      </c>
      <c r="H61" s="25"/>
      <c r="I61" s="34" t="s">
        <v>2052</v>
      </c>
      <c r="J61" s="37" t="s">
        <v>919</v>
      </c>
      <c r="K61" s="37" t="s">
        <v>2075</v>
      </c>
      <c r="L61" s="25" t="s">
        <v>2076</v>
      </c>
      <c r="M61" s="25" t="s">
        <v>2077</v>
      </c>
      <c r="N61" s="25" t="s">
        <v>2078</v>
      </c>
      <c r="O61" s="64"/>
      <c r="P61" s="45" t="b">
        <f t="shared" si="9"/>
        <v>0</v>
      </c>
      <c r="Q61" s="45">
        <f t="shared" si="10"/>
        <v>3</v>
      </c>
      <c r="R61" s="45">
        <f t="shared" si="11"/>
        <v>0</v>
      </c>
      <c r="S61" s="24"/>
      <c r="T61" s="24"/>
      <c r="U61" s="24"/>
      <c r="V61" s="24"/>
      <c r="W61" s="24"/>
      <c r="X61" s="24"/>
      <c r="Y61" s="24"/>
      <c r="Z61" s="24"/>
      <c r="AA61" s="24"/>
      <c r="AB61" s="24"/>
      <c r="AC61" s="24"/>
      <c r="AD61" s="24"/>
      <c r="AE61" s="24"/>
    </row>
    <row r="62" spans="1:31" ht="141.30000000000001">
      <c r="A62" s="91" t="s">
        <v>916</v>
      </c>
      <c r="B62" s="26" t="s">
        <v>928</v>
      </c>
      <c r="C62" s="26" t="s">
        <v>947</v>
      </c>
      <c r="D62" s="26" t="s">
        <v>2083</v>
      </c>
      <c r="E62" s="25" t="s">
        <v>2084</v>
      </c>
      <c r="F62" s="25" t="s">
        <v>2085</v>
      </c>
      <c r="G62" s="57" t="e">
        <f>HYPERLINK("https://www.acquisition.gov/browse/index/far","FAR 3.104 Disclosure, protection, and marking of contractor bid or proposal information and source selection information. FAR 15.102 Oral presentations [source selection processes and techniques]. FAR 15.306 Exchanges with offerors after receipt of propos"&amp;"als.")</f>
        <v>#VALUE!</v>
      </c>
      <c r="H62" s="57" t="str">
        <f>HYPERLINK("https://www.acquisition.gov/sites/default/files/current/gsam/html/Part503.html#wp1859291","GSAR 503.104")</f>
        <v>GSAR 503.104</v>
      </c>
      <c r="I62" s="34" t="s">
        <v>2091</v>
      </c>
      <c r="J62" s="37" t="s">
        <v>919</v>
      </c>
      <c r="K62" s="37" t="s">
        <v>2092</v>
      </c>
      <c r="L62" s="25" t="s">
        <v>2093</v>
      </c>
      <c r="M62" s="25" t="s">
        <v>2094</v>
      </c>
      <c r="N62" s="25" t="s">
        <v>2095</v>
      </c>
      <c r="O62" s="64"/>
      <c r="P62" s="45" t="b">
        <f t="shared" si="9"/>
        <v>0</v>
      </c>
      <c r="Q62" s="45">
        <f t="shared" si="10"/>
        <v>3</v>
      </c>
      <c r="R62" s="45">
        <f t="shared" si="11"/>
        <v>0</v>
      </c>
      <c r="S62" s="24"/>
      <c r="T62" s="24"/>
      <c r="U62" s="24"/>
      <c r="V62" s="24"/>
      <c r="W62" s="24"/>
      <c r="X62" s="24"/>
      <c r="Y62" s="24"/>
      <c r="Z62" s="24"/>
      <c r="AA62" s="24"/>
      <c r="AB62" s="24"/>
      <c r="AC62" s="24"/>
      <c r="AD62" s="24"/>
      <c r="AE62" s="24"/>
    </row>
    <row r="63" spans="1:31" ht="130.44999999999999">
      <c r="A63" s="91" t="s">
        <v>916</v>
      </c>
      <c r="B63" s="26" t="s">
        <v>928</v>
      </c>
      <c r="C63" s="26" t="s">
        <v>947</v>
      </c>
      <c r="D63" s="26" t="s">
        <v>2097</v>
      </c>
      <c r="E63" s="25" t="s">
        <v>2098</v>
      </c>
      <c r="F63" s="25" t="s">
        <v>2099</v>
      </c>
      <c r="G63" s="57" t="str">
        <f>HYPERLINK("https://www.acquisition.gov/content/part-15-contracting-negotiation#id1617MD00VGZ","FAR 15.102(e) Oral presentations [source selection processes and techniques]. FAR 15.102(f) Oral presentations [source selection processes and techniques].")</f>
        <v>FAR 15.102(e) Oral presentations [source selection processes and techniques]. FAR 15.102(f) Oral presentations [source selection processes and techniques].</v>
      </c>
      <c r="H63" s="25"/>
      <c r="I63" s="34" t="s">
        <v>2091</v>
      </c>
      <c r="J63" s="37" t="s">
        <v>919</v>
      </c>
      <c r="K63" s="37" t="s">
        <v>2103</v>
      </c>
      <c r="L63" s="25" t="s">
        <v>2104</v>
      </c>
      <c r="M63" s="25" t="s">
        <v>2105</v>
      </c>
      <c r="N63" s="25" t="s">
        <v>2107</v>
      </c>
      <c r="O63" s="64"/>
      <c r="P63" s="45" t="b">
        <f t="shared" si="9"/>
        <v>0</v>
      </c>
      <c r="Q63" s="45">
        <f t="shared" si="10"/>
        <v>3</v>
      </c>
      <c r="R63" s="45">
        <f t="shared" si="11"/>
        <v>0</v>
      </c>
      <c r="S63" s="24"/>
      <c r="T63" s="24"/>
      <c r="U63" s="24"/>
      <c r="V63" s="24"/>
      <c r="W63" s="24"/>
      <c r="X63" s="24"/>
      <c r="Y63" s="24"/>
      <c r="Z63" s="24"/>
      <c r="AA63" s="24"/>
      <c r="AB63" s="24"/>
      <c r="AC63" s="24"/>
      <c r="AD63" s="24"/>
      <c r="AE63" s="24"/>
    </row>
    <row r="64" spans="1:31" ht="141.30000000000001">
      <c r="A64" s="91" t="s">
        <v>916</v>
      </c>
      <c r="B64" s="26" t="s">
        <v>928</v>
      </c>
      <c r="C64" s="26" t="s">
        <v>947</v>
      </c>
      <c r="D64" s="26" t="s">
        <v>2114</v>
      </c>
      <c r="E64" s="25" t="s">
        <v>2115</v>
      </c>
      <c r="F64" s="25" t="s">
        <v>2116</v>
      </c>
      <c r="G64" s="57" t="str">
        <f>HYPERLINK("https://www.acquisition.gov/content/part-15-contracting-negotiation#id1617MD00VGZ","FAR 15.102(a) Oral presentations [source selection processes and techniques]. FAR 15.102(d) Oral presentations [source selection processes and techniques].")</f>
        <v>FAR 15.102(a) Oral presentations [source selection processes and techniques]. FAR 15.102(d) Oral presentations [source selection processes and techniques].</v>
      </c>
      <c r="H64" s="25"/>
      <c r="I64" s="34" t="s">
        <v>2117</v>
      </c>
      <c r="J64" s="37" t="s">
        <v>919</v>
      </c>
      <c r="K64" s="37" t="s">
        <v>2118</v>
      </c>
      <c r="L64" s="25" t="s">
        <v>2119</v>
      </c>
      <c r="M64" s="25" t="s">
        <v>2120</v>
      </c>
      <c r="N64" s="25" t="s">
        <v>2121</v>
      </c>
      <c r="O64" s="64"/>
      <c r="P64" s="45" t="b">
        <f t="shared" si="9"/>
        <v>0</v>
      </c>
      <c r="Q64" s="45">
        <f t="shared" si="10"/>
        <v>3</v>
      </c>
      <c r="R64" s="45">
        <f t="shared" si="11"/>
        <v>0</v>
      </c>
      <c r="S64" s="24"/>
      <c r="T64" s="24"/>
      <c r="U64" s="24"/>
      <c r="V64" s="24"/>
      <c r="W64" s="24"/>
      <c r="X64" s="24"/>
      <c r="Y64" s="24"/>
      <c r="Z64" s="24"/>
      <c r="AA64" s="24"/>
      <c r="AB64" s="24"/>
      <c r="AC64" s="24"/>
      <c r="AD64" s="24"/>
      <c r="AE64" s="24"/>
    </row>
    <row r="65" spans="1:31" ht="282.60000000000002">
      <c r="A65" s="91" t="s">
        <v>916</v>
      </c>
      <c r="B65" s="26" t="s">
        <v>928</v>
      </c>
      <c r="C65" s="26" t="s">
        <v>947</v>
      </c>
      <c r="D65" s="66" t="s">
        <v>2123</v>
      </c>
      <c r="E65" s="25" t="s">
        <v>2124</v>
      </c>
      <c r="F65" s="25" t="s">
        <v>2125</v>
      </c>
      <c r="G65" s="57" t="str">
        <f>HYPERLINK("https://www.acquisition.gov/content/part-15-contracting-negotiation#id1617MD00WM2","FAR 15.404 Proposal analysis.")</f>
        <v>FAR 15.404 Proposal analysis.</v>
      </c>
      <c r="H65" s="25"/>
      <c r="I65" s="34" t="s">
        <v>2129</v>
      </c>
      <c r="J65" s="37" t="s">
        <v>919</v>
      </c>
      <c r="K65" s="37" t="s">
        <v>2130</v>
      </c>
      <c r="L65" s="25" t="s">
        <v>2131</v>
      </c>
      <c r="M65" s="25" t="s">
        <v>1404</v>
      </c>
      <c r="N65" s="25" t="s">
        <v>2132</v>
      </c>
      <c r="O65" s="64"/>
      <c r="P65" s="45" t="b">
        <f t="shared" si="9"/>
        <v>0</v>
      </c>
      <c r="Q65" s="45">
        <f t="shared" si="10"/>
        <v>3</v>
      </c>
      <c r="R65" s="45">
        <f t="shared" si="11"/>
        <v>0</v>
      </c>
      <c r="S65" s="24"/>
      <c r="T65" s="24"/>
      <c r="U65" s="24"/>
      <c r="V65" s="24"/>
      <c r="W65" s="24"/>
      <c r="X65" s="24"/>
      <c r="Y65" s="24"/>
      <c r="Z65" s="24"/>
      <c r="AA65" s="24"/>
      <c r="AB65" s="24"/>
      <c r="AC65" s="24"/>
      <c r="AD65" s="24"/>
      <c r="AE65" s="24"/>
    </row>
    <row r="66" spans="1:31" ht="108.7">
      <c r="A66" s="91" t="s">
        <v>916</v>
      </c>
      <c r="B66" s="26" t="s">
        <v>928</v>
      </c>
      <c r="C66" s="26" t="s">
        <v>947</v>
      </c>
      <c r="D66" s="66" t="s">
        <v>2133</v>
      </c>
      <c r="E66" s="25" t="s">
        <v>2134</v>
      </c>
      <c r="F66" s="25" t="s">
        <v>2125</v>
      </c>
      <c r="G66" s="57" t="str">
        <f>HYPERLINK("https://www.acquisition.gov/content/part-15-contracting-negotiation#id1617MD00WM2","FAR 15.404-1(d) Proposal analysis techniques [cost realism analysis].")</f>
        <v>FAR 15.404-1(d) Proposal analysis techniques [cost realism analysis].</v>
      </c>
      <c r="H66" s="54"/>
      <c r="I66" s="34" t="s">
        <v>2137</v>
      </c>
      <c r="J66" s="37" t="s">
        <v>919</v>
      </c>
      <c r="K66" s="37" t="s">
        <v>2139</v>
      </c>
      <c r="L66" s="25" t="s">
        <v>2140</v>
      </c>
      <c r="M66" s="25" t="s">
        <v>2141</v>
      </c>
      <c r="N66" s="25" t="s">
        <v>2142</v>
      </c>
      <c r="O66" s="64"/>
      <c r="P66" s="45" t="b">
        <f t="shared" si="9"/>
        <v>0</v>
      </c>
      <c r="Q66" s="45">
        <f t="shared" si="10"/>
        <v>3</v>
      </c>
      <c r="R66" s="45">
        <f t="shared" si="11"/>
        <v>0</v>
      </c>
      <c r="S66" s="24"/>
      <c r="T66" s="24"/>
      <c r="U66" s="24"/>
      <c r="V66" s="24"/>
      <c r="W66" s="24"/>
      <c r="X66" s="24"/>
      <c r="Y66" s="24"/>
      <c r="Z66" s="24"/>
      <c r="AA66" s="24"/>
      <c r="AB66" s="24"/>
      <c r="AC66" s="24"/>
      <c r="AD66" s="24"/>
      <c r="AE66" s="24"/>
    </row>
    <row r="67" spans="1:31" ht="173.9">
      <c r="A67" s="91" t="s">
        <v>916</v>
      </c>
      <c r="B67" s="26" t="s">
        <v>928</v>
      </c>
      <c r="C67" s="26" t="s">
        <v>947</v>
      </c>
      <c r="D67" s="66" t="s">
        <v>2143</v>
      </c>
      <c r="E67" s="27" t="s">
        <v>2144</v>
      </c>
      <c r="F67" s="27" t="s">
        <v>2145</v>
      </c>
      <c r="G67" s="57" t="str">
        <f>HYPERLINK("https://www.acquisition.gov/content/part-9-contractor-qualifications#id1617MD00P37","FAR 9.103 Policy [responsible prospective contractors].")</f>
        <v>FAR 9.103 Policy [responsible prospective contractors].</v>
      </c>
      <c r="I67" s="120" t="s">
        <v>2149</v>
      </c>
      <c r="J67" s="37" t="s">
        <v>919</v>
      </c>
      <c r="K67" s="37" t="s">
        <v>2151</v>
      </c>
      <c r="L67" s="25" t="s">
        <v>2152</v>
      </c>
      <c r="M67" s="25" t="s">
        <v>2154</v>
      </c>
      <c r="N67" s="25" t="s">
        <v>2155</v>
      </c>
      <c r="O67" s="64"/>
      <c r="P67" s="45" t="b">
        <f t="shared" si="9"/>
        <v>0</v>
      </c>
      <c r="Q67" s="45">
        <f t="shared" si="10"/>
        <v>3</v>
      </c>
      <c r="R67" s="45">
        <f t="shared" si="11"/>
        <v>0</v>
      </c>
      <c r="S67" s="24"/>
      <c r="T67" s="24"/>
      <c r="U67" s="24"/>
      <c r="V67" s="24"/>
      <c r="W67" s="24"/>
      <c r="X67" s="24"/>
      <c r="Y67" s="24"/>
      <c r="Z67" s="24"/>
      <c r="AA67" s="24"/>
      <c r="AB67" s="24"/>
      <c r="AC67" s="24"/>
      <c r="AD67" s="24"/>
      <c r="AE67" s="24"/>
    </row>
    <row r="68" spans="1:31" ht="119.55">
      <c r="A68" s="91" t="s">
        <v>916</v>
      </c>
      <c r="B68" s="26" t="s">
        <v>928</v>
      </c>
      <c r="C68" s="26" t="s">
        <v>947</v>
      </c>
      <c r="D68" s="26" t="s">
        <v>2158</v>
      </c>
      <c r="E68" s="25" t="s">
        <v>2159</v>
      </c>
      <c r="F68" s="25" t="s">
        <v>2160</v>
      </c>
      <c r="G68" s="57" t="e">
        <f>HYPERLINK("https://www.acquisition.gov/content/part-15-contracting-negotiation#i1106066","FAR 2.101 Definitions [cost or pricing data; certified cost or pricing data]. FAR 15.403-1(b) Prohibition on obtaining certified cost or pricing data (10 U.S.C. 2306a and 41 U.S.C. chapter 35). FAR 15.403-4 Requiring certified cost or pricing data (10 U.S"&amp;".C. 2306a and 41 U.S.C. chapter 35).")</f>
        <v>#VALUE!</v>
      </c>
      <c r="H68" s="57" t="str">
        <f>HYPERLINK("https://www.acquisition.gov/sites/default/files/current/gsam/html/Part515.html#wp1858384","GSAR 515.403-4")</f>
        <v>GSAR 515.403-4</v>
      </c>
      <c r="I68" s="34" t="s">
        <v>2175</v>
      </c>
      <c r="J68" s="37" t="s">
        <v>919</v>
      </c>
      <c r="K68" s="37" t="s">
        <v>2176</v>
      </c>
      <c r="L68" s="25" t="s">
        <v>2177</v>
      </c>
      <c r="M68" s="25" t="s">
        <v>2178</v>
      </c>
      <c r="N68" s="25" t="s">
        <v>2179</v>
      </c>
      <c r="O68" s="64"/>
      <c r="P68" s="45" t="b">
        <f t="shared" si="9"/>
        <v>0</v>
      </c>
      <c r="Q68" s="45">
        <f t="shared" si="10"/>
        <v>3</v>
      </c>
      <c r="R68" s="45">
        <f t="shared" si="11"/>
        <v>0</v>
      </c>
      <c r="S68" s="24"/>
      <c r="T68" s="24"/>
      <c r="U68" s="24"/>
      <c r="V68" s="24"/>
      <c r="W68" s="24"/>
      <c r="X68" s="24"/>
      <c r="Y68" s="24"/>
      <c r="Z68" s="24"/>
      <c r="AA68" s="24"/>
      <c r="AB68" s="24"/>
      <c r="AC68" s="24"/>
      <c r="AD68" s="24"/>
      <c r="AE68" s="24"/>
    </row>
    <row r="69" spans="1:31" ht="97.85">
      <c r="A69" s="91" t="s">
        <v>916</v>
      </c>
      <c r="B69" s="26" t="s">
        <v>928</v>
      </c>
      <c r="C69" s="26" t="s">
        <v>947</v>
      </c>
      <c r="D69" s="26" t="s">
        <v>2184</v>
      </c>
      <c r="E69" s="25" t="s">
        <v>2185</v>
      </c>
      <c r="F69" s="25" t="s">
        <v>2186</v>
      </c>
      <c r="G69" s="57" t="str">
        <f>HYPERLINK("https://www.acquisition.gov/content/part-15-contracting-negotiation#i1106008","FAR 15.403-3 Requiring data other than certified cost or pricing data.")</f>
        <v>FAR 15.403-3 Requiring data other than certified cost or pricing data.</v>
      </c>
      <c r="H69" s="25"/>
      <c r="I69" s="34" t="s">
        <v>2129</v>
      </c>
      <c r="J69" s="37" t="s">
        <v>919</v>
      </c>
      <c r="K69" s="37" t="s">
        <v>2190</v>
      </c>
      <c r="L69" s="25" t="s">
        <v>2191</v>
      </c>
      <c r="M69" s="25" t="s">
        <v>2192</v>
      </c>
      <c r="N69" s="25" t="s">
        <v>1536</v>
      </c>
      <c r="O69" s="64"/>
      <c r="P69" s="45" t="b">
        <f t="shared" si="9"/>
        <v>0</v>
      </c>
      <c r="Q69" s="45">
        <f t="shared" si="10"/>
        <v>3</v>
      </c>
      <c r="R69" s="45">
        <f t="shared" si="11"/>
        <v>0</v>
      </c>
      <c r="S69" s="24"/>
      <c r="T69" s="24"/>
      <c r="U69" s="24"/>
      <c r="V69" s="24"/>
      <c r="W69" s="24"/>
      <c r="X69" s="24"/>
      <c r="Y69" s="24"/>
      <c r="Z69" s="24"/>
      <c r="AA69" s="24"/>
      <c r="AB69" s="24"/>
      <c r="AC69" s="24"/>
      <c r="AD69" s="24"/>
      <c r="AE69" s="24"/>
    </row>
    <row r="70" spans="1:31" ht="65.25">
      <c r="A70" s="91" t="s">
        <v>916</v>
      </c>
      <c r="B70" s="26" t="s">
        <v>928</v>
      </c>
      <c r="C70" s="26" t="s">
        <v>947</v>
      </c>
      <c r="D70" s="26" t="s">
        <v>2197</v>
      </c>
      <c r="E70" s="25" t="s">
        <v>2198</v>
      </c>
      <c r="F70" s="25" t="s">
        <v>2199</v>
      </c>
      <c r="G70" s="57" t="str">
        <f>HYPERLINK("https://www.acquisition.gov/content/part-15-contracting-negotiation#i1106008","FAR 15.403-3 Requiring data other than certified cost or pricing data")</f>
        <v>FAR 15.403-3 Requiring data other than certified cost or pricing data</v>
      </c>
      <c r="H70" s="25"/>
      <c r="I70" s="34" t="s">
        <v>2129</v>
      </c>
      <c r="J70" s="37" t="s">
        <v>919</v>
      </c>
      <c r="K70" s="37" t="s">
        <v>2203</v>
      </c>
      <c r="L70" s="25" t="s">
        <v>2204</v>
      </c>
      <c r="M70" s="25" t="s">
        <v>2205</v>
      </c>
      <c r="N70" s="25" t="s">
        <v>2206</v>
      </c>
      <c r="O70" s="64"/>
      <c r="P70" s="45" t="b">
        <f t="shared" si="9"/>
        <v>0</v>
      </c>
      <c r="Q70" s="45">
        <f t="shared" si="10"/>
        <v>3</v>
      </c>
      <c r="R70" s="45">
        <f t="shared" si="11"/>
        <v>0</v>
      </c>
      <c r="S70" s="24"/>
      <c r="T70" s="24"/>
      <c r="U70" s="24"/>
      <c r="V70" s="24"/>
      <c r="W70" s="24"/>
      <c r="X70" s="24"/>
      <c r="Y70" s="24"/>
      <c r="Z70" s="24"/>
      <c r="AA70" s="24"/>
      <c r="AB70" s="24"/>
      <c r="AC70" s="24"/>
      <c r="AD70" s="24"/>
      <c r="AE70" s="24"/>
    </row>
    <row r="71" spans="1:31" ht="76.099999999999994">
      <c r="A71" s="91" t="s">
        <v>916</v>
      </c>
      <c r="B71" s="26" t="s">
        <v>928</v>
      </c>
      <c r="C71" s="26" t="s">
        <v>947</v>
      </c>
      <c r="D71" s="26" t="s">
        <v>2212</v>
      </c>
      <c r="E71" s="25" t="s">
        <v>2213</v>
      </c>
      <c r="F71" s="25" t="s">
        <v>275</v>
      </c>
      <c r="G71" s="57" t="str">
        <f>HYPERLINK("https://www.acquisition.gov/content/part-15-contracting-negotiation#i1105936","FAR 15.403-1(c)(1) Prohibitions on obtaining certified cost or pricing data (10 U.S.C. 2306a and 41 U.S.C. chapter 35). FAR 15.403-3 Requiring data other than certified cost or pricing data")</f>
        <v>FAR 15.403-1(c)(1) Prohibitions on obtaining certified cost or pricing data (10 U.S.C. 2306a and 41 U.S.C. chapter 35). FAR 15.403-3 Requiring data other than certified cost or pricing data</v>
      </c>
      <c r="H71" s="25"/>
      <c r="I71" s="34" t="s">
        <v>2129</v>
      </c>
      <c r="J71" s="37" t="s">
        <v>919</v>
      </c>
      <c r="K71" s="37" t="s">
        <v>2222</v>
      </c>
      <c r="L71" s="25" t="s">
        <v>2223</v>
      </c>
      <c r="M71" s="25" t="s">
        <v>2224</v>
      </c>
      <c r="N71" s="25" t="s">
        <v>2225</v>
      </c>
      <c r="O71" s="64"/>
      <c r="P71" s="45" t="b">
        <f t="shared" si="9"/>
        <v>0</v>
      </c>
      <c r="Q71" s="45">
        <f t="shared" si="10"/>
        <v>3</v>
      </c>
      <c r="R71" s="45">
        <f t="shared" si="11"/>
        <v>0</v>
      </c>
      <c r="S71" s="24"/>
      <c r="T71" s="24"/>
      <c r="U71" s="24"/>
      <c r="V71" s="24"/>
      <c r="W71" s="24"/>
      <c r="X71" s="24"/>
      <c r="Y71" s="24"/>
      <c r="Z71" s="24"/>
      <c r="AA71" s="24"/>
      <c r="AB71" s="24"/>
      <c r="AC71" s="24"/>
      <c r="AD71" s="24"/>
      <c r="AE71" s="24"/>
    </row>
    <row r="72" spans="1:31" ht="76.099999999999994">
      <c r="A72" s="91" t="s">
        <v>916</v>
      </c>
      <c r="B72" s="26" t="s">
        <v>928</v>
      </c>
      <c r="C72" s="26" t="s">
        <v>947</v>
      </c>
      <c r="D72" s="26" t="s">
        <v>2232</v>
      </c>
      <c r="E72" s="25" t="s">
        <v>2233</v>
      </c>
      <c r="F72" s="25" t="s">
        <v>2234</v>
      </c>
      <c r="G72" s="57" t="str">
        <f>HYPERLINK("https://www.acquisition.gov/content/part-15-contracting-negotiation#i1106066","FAR 15.403-4(b) Requiring certified cost or pricing data (10 U.S.C. 2306a and 41 U.S.C. chapter 35).")</f>
        <v>FAR 15.403-4(b) Requiring certified cost or pricing data (10 U.S.C. 2306a and 41 U.S.C. chapter 35).</v>
      </c>
      <c r="H72" s="25"/>
      <c r="I72" s="34" t="s">
        <v>2129</v>
      </c>
      <c r="J72" s="37" t="s">
        <v>919</v>
      </c>
      <c r="K72" s="37" t="s">
        <v>2240</v>
      </c>
      <c r="L72" s="25" t="s">
        <v>2241</v>
      </c>
      <c r="M72" s="25" t="s">
        <v>2242</v>
      </c>
      <c r="N72" s="25" t="s">
        <v>2243</v>
      </c>
      <c r="O72" s="64"/>
      <c r="P72" s="45" t="b">
        <f t="shared" si="9"/>
        <v>0</v>
      </c>
      <c r="Q72" s="45">
        <f t="shared" si="10"/>
        <v>3</v>
      </c>
      <c r="R72" s="45">
        <f t="shared" si="11"/>
        <v>0</v>
      </c>
      <c r="S72" s="24"/>
      <c r="T72" s="24"/>
      <c r="U72" s="24"/>
      <c r="V72" s="24"/>
      <c r="W72" s="24"/>
      <c r="X72" s="24"/>
      <c r="Y72" s="24"/>
      <c r="Z72" s="24"/>
      <c r="AA72" s="24"/>
      <c r="AB72" s="24"/>
      <c r="AC72" s="24"/>
      <c r="AD72" s="24"/>
      <c r="AE72" s="24"/>
    </row>
    <row r="73" spans="1:31" ht="130.44999999999999">
      <c r="A73" s="91" t="s">
        <v>916</v>
      </c>
      <c r="B73" s="26" t="s">
        <v>928</v>
      </c>
      <c r="C73" s="26" t="s">
        <v>947</v>
      </c>
      <c r="D73" s="26" t="s">
        <v>2244</v>
      </c>
      <c r="E73" s="25" t="s">
        <v>2245</v>
      </c>
      <c r="F73" s="25" t="s">
        <v>2246</v>
      </c>
      <c r="G73" s="57" t="str">
        <f>HYPERLINK("https://www.acquisition.gov/content/part-15-contracting-negotiation#i1106066","FAR 15.403-4(a)(2) Requiring certified cost or pricing data (10 U.S.C. 2306a and 41 U.S.C. chapter 35)")</f>
        <v>FAR 15.403-4(a)(2) Requiring certified cost or pricing data (10 U.S.C. 2306a and 41 U.S.C. chapter 35)</v>
      </c>
      <c r="H73" s="25"/>
      <c r="I73" s="34" t="s">
        <v>2129</v>
      </c>
      <c r="J73" s="37" t="s">
        <v>919</v>
      </c>
      <c r="K73" s="37" t="s">
        <v>2249</v>
      </c>
      <c r="L73" s="25" t="s">
        <v>2250</v>
      </c>
      <c r="M73" s="25" t="s">
        <v>2251</v>
      </c>
      <c r="N73" s="25" t="s">
        <v>2252</v>
      </c>
      <c r="O73" s="64"/>
      <c r="P73" s="45" t="b">
        <f t="shared" si="9"/>
        <v>0</v>
      </c>
      <c r="Q73" s="45">
        <f t="shared" si="10"/>
        <v>3</v>
      </c>
      <c r="R73" s="45">
        <f t="shared" si="11"/>
        <v>0</v>
      </c>
      <c r="S73" s="24"/>
      <c r="T73" s="24"/>
      <c r="U73" s="24"/>
      <c r="V73" s="24"/>
      <c r="W73" s="24"/>
      <c r="X73" s="24"/>
      <c r="Y73" s="24"/>
      <c r="Z73" s="24"/>
      <c r="AA73" s="24"/>
      <c r="AB73" s="24"/>
      <c r="AC73" s="24"/>
      <c r="AD73" s="24"/>
      <c r="AE73" s="24"/>
    </row>
    <row r="74" spans="1:31" ht="141.30000000000001">
      <c r="A74" s="91" t="s">
        <v>916</v>
      </c>
      <c r="B74" s="26" t="s">
        <v>928</v>
      </c>
      <c r="C74" s="26" t="s">
        <v>947</v>
      </c>
      <c r="D74" s="26" t="s">
        <v>2257</v>
      </c>
      <c r="E74" s="25" t="s">
        <v>2258</v>
      </c>
      <c r="F74" s="25" t="s">
        <v>2259</v>
      </c>
      <c r="G74" s="57" t="str">
        <f>HYPERLINK("https://www.acquisition.gov/content/part-15-contracting-negotiation#i1106066","FAR 15.403-4(a)(2) Requiring certified cost or pricing data (10 U.S.C. 2306a and 41 U.S.C. chapter 35). ")</f>
        <v xml:space="preserve">FAR 15.403-4(a)(2) Requiring certified cost or pricing data (10 U.S.C. 2306a and 41 U.S.C. chapter 35). </v>
      </c>
      <c r="H74" s="25"/>
      <c r="I74" s="34" t="s">
        <v>2129</v>
      </c>
      <c r="J74" s="37" t="s">
        <v>919</v>
      </c>
      <c r="K74" s="37" t="s">
        <v>2263</v>
      </c>
      <c r="L74" s="25" t="s">
        <v>2264</v>
      </c>
      <c r="M74" s="25" t="s">
        <v>2265</v>
      </c>
      <c r="N74" s="25" t="s">
        <v>2266</v>
      </c>
      <c r="O74" s="64"/>
      <c r="P74" s="45" t="b">
        <f t="shared" si="9"/>
        <v>0</v>
      </c>
      <c r="Q74" s="45">
        <f t="shared" si="10"/>
        <v>3</v>
      </c>
      <c r="R74" s="45">
        <f t="shared" si="11"/>
        <v>0</v>
      </c>
      <c r="S74" s="24"/>
      <c r="T74" s="24"/>
      <c r="U74" s="24"/>
      <c r="V74" s="24"/>
      <c r="W74" s="24"/>
      <c r="X74" s="24"/>
      <c r="Y74" s="24"/>
      <c r="Z74" s="24"/>
      <c r="AA74" s="24"/>
      <c r="AB74" s="24"/>
      <c r="AC74" s="24"/>
      <c r="AD74" s="24"/>
      <c r="AE74" s="24"/>
    </row>
    <row r="75" spans="1:31" ht="130.44999999999999">
      <c r="A75" s="91" t="s">
        <v>916</v>
      </c>
      <c r="B75" s="26" t="s">
        <v>928</v>
      </c>
      <c r="C75" s="26" t="s">
        <v>947</v>
      </c>
      <c r="D75" s="26" t="s">
        <v>2267</v>
      </c>
      <c r="E75" s="25" t="s">
        <v>2268</v>
      </c>
      <c r="F75" s="25" t="s">
        <v>275</v>
      </c>
      <c r="G75" s="57" t="str">
        <f>HYPERLINK("https://www.acquisition.gov/content/part-15-contracting-negotiation#i1106066","FAR 15.403-4(a)(2) Requiring certified cost or pricing data (10 U.S.C. 2306a and 41 U.S.C. chapter 35)")</f>
        <v>FAR 15.403-4(a)(2) Requiring certified cost or pricing data (10 U.S.C. 2306a and 41 U.S.C. chapter 35)</v>
      </c>
      <c r="H75" s="25"/>
      <c r="I75" s="34" t="s">
        <v>2129</v>
      </c>
      <c r="J75" s="37" t="s">
        <v>919</v>
      </c>
      <c r="K75" s="37" t="s">
        <v>2275</v>
      </c>
      <c r="L75" s="25" t="s">
        <v>2277</v>
      </c>
      <c r="M75" s="25" t="s">
        <v>2278</v>
      </c>
      <c r="N75" s="25" t="s">
        <v>2279</v>
      </c>
      <c r="O75" s="64"/>
      <c r="P75" s="45" t="b">
        <f t="shared" si="9"/>
        <v>0</v>
      </c>
      <c r="Q75" s="45">
        <f t="shared" si="10"/>
        <v>3</v>
      </c>
      <c r="R75" s="45">
        <f t="shared" si="11"/>
        <v>0</v>
      </c>
      <c r="S75" s="24"/>
      <c r="T75" s="24"/>
      <c r="U75" s="24"/>
      <c r="V75" s="24"/>
      <c r="W75" s="24"/>
      <c r="X75" s="24"/>
      <c r="Y75" s="24"/>
      <c r="Z75" s="24"/>
      <c r="AA75" s="24"/>
      <c r="AB75" s="24"/>
      <c r="AC75" s="24"/>
      <c r="AD75" s="24"/>
      <c r="AE75" s="24"/>
    </row>
    <row r="76" spans="1:31" ht="97.85">
      <c r="A76" s="91" t="s">
        <v>916</v>
      </c>
      <c r="B76" s="26" t="s">
        <v>928</v>
      </c>
      <c r="C76" s="26" t="s">
        <v>947</v>
      </c>
      <c r="D76" s="26" t="s">
        <v>2280</v>
      </c>
      <c r="E76" s="25" t="s">
        <v>2281</v>
      </c>
      <c r="F76" s="25" t="s">
        <v>1058</v>
      </c>
      <c r="G76" s="57" t="str">
        <f>HYPERLINK("https://www.acquisition.gov/content/part-15-contracting-negotiation#i1106008","FAR 15.403-3 Requiring data other than certified cost or pricing data. ")</f>
        <v xml:space="preserve">FAR 15.403-3 Requiring data other than certified cost or pricing data. </v>
      </c>
      <c r="H76" s="25"/>
      <c r="I76" s="34" t="s">
        <v>2129</v>
      </c>
      <c r="J76" s="37" t="s">
        <v>919</v>
      </c>
      <c r="K76" s="37" t="s">
        <v>2282</v>
      </c>
      <c r="L76" s="25" t="s">
        <v>2283</v>
      </c>
      <c r="M76" s="25" t="s">
        <v>2284</v>
      </c>
      <c r="N76" s="25" t="s">
        <v>1536</v>
      </c>
      <c r="O76" s="64"/>
      <c r="P76" s="45" t="b">
        <f t="shared" si="9"/>
        <v>0</v>
      </c>
      <c r="Q76" s="45">
        <f t="shared" si="10"/>
        <v>3</v>
      </c>
      <c r="R76" s="45">
        <f t="shared" si="11"/>
        <v>0</v>
      </c>
      <c r="S76" s="24"/>
      <c r="T76" s="24"/>
      <c r="U76" s="24"/>
      <c r="V76" s="24"/>
      <c r="W76" s="24"/>
      <c r="X76" s="24"/>
      <c r="Y76" s="24"/>
      <c r="Z76" s="24"/>
      <c r="AA76" s="24"/>
      <c r="AB76" s="24"/>
      <c r="AC76" s="24"/>
      <c r="AD76" s="24"/>
      <c r="AE76" s="24"/>
    </row>
    <row r="77" spans="1:31" ht="141.30000000000001">
      <c r="A77" s="91" t="s">
        <v>916</v>
      </c>
      <c r="B77" s="26" t="s">
        <v>928</v>
      </c>
      <c r="C77" s="26" t="s">
        <v>947</v>
      </c>
      <c r="D77" s="26" t="s">
        <v>2286</v>
      </c>
      <c r="E77" s="25" t="s">
        <v>2287</v>
      </c>
      <c r="F77" s="25" t="s">
        <v>275</v>
      </c>
      <c r="G77" s="57" t="str">
        <f>HYPERLINK("https://www.acquisition.gov/content/part-15-contracting-negotiation#id1617MD00WZM","FAR 15.404-2(d) Deficient proposals")</f>
        <v>FAR 15.404-2(d) Deficient proposals</v>
      </c>
      <c r="H77" s="57" t="str">
        <f>HYPERLINK("https://www.acquisition.gov/sites/default/files/current/gsam/html/Part515.html#wp1858386","GSAR 515.404-2")</f>
        <v>GSAR 515.404-2</v>
      </c>
      <c r="I77" s="34"/>
      <c r="J77" s="37" t="s">
        <v>463</v>
      </c>
      <c r="K77" s="37" t="s">
        <v>2291</v>
      </c>
      <c r="L77" s="25" t="s">
        <v>2292</v>
      </c>
      <c r="M77" s="25" t="s">
        <v>2293</v>
      </c>
      <c r="N77" s="25" t="s">
        <v>2294</v>
      </c>
      <c r="O77" s="64"/>
      <c r="P77" s="45" t="b">
        <f t="shared" si="9"/>
        <v>0</v>
      </c>
      <c r="Q77" s="45">
        <f t="shared" si="10"/>
        <v>0</v>
      </c>
      <c r="R77" s="45">
        <f t="shared" si="11"/>
        <v>0</v>
      </c>
      <c r="S77" s="24"/>
      <c r="T77" s="24"/>
      <c r="U77" s="24"/>
      <c r="V77" s="24"/>
      <c r="W77" s="24"/>
      <c r="X77" s="24"/>
      <c r="Y77" s="24"/>
      <c r="Z77" s="24"/>
      <c r="AA77" s="24"/>
      <c r="AB77" s="24"/>
      <c r="AC77" s="24"/>
      <c r="AD77" s="24"/>
      <c r="AE77" s="24"/>
    </row>
    <row r="78" spans="1:31" ht="86.95">
      <c r="A78" s="91" t="s">
        <v>916</v>
      </c>
      <c r="B78" s="26" t="s">
        <v>928</v>
      </c>
      <c r="C78" s="26" t="s">
        <v>947</v>
      </c>
      <c r="D78" s="26" t="s">
        <v>2295</v>
      </c>
      <c r="E78" s="25" t="s">
        <v>2296</v>
      </c>
      <c r="F78" s="25" t="s">
        <v>2297</v>
      </c>
      <c r="G78" s="57" t="str">
        <f>HYPERLINK("https://www.acquisition.gov/content/part-15-contracting-negotiation#i1106411","FAR 15.406-3 Documenting the negotiation. FAR 15.407 Defective certified cost or pricing data.")</f>
        <v>FAR 15.406-3 Documenting the negotiation. FAR 15.407 Defective certified cost or pricing data.</v>
      </c>
      <c r="H78" s="25"/>
      <c r="I78" s="34"/>
      <c r="J78" s="37" t="s">
        <v>463</v>
      </c>
      <c r="K78" s="37" t="s">
        <v>2301</v>
      </c>
      <c r="L78" s="25" t="s">
        <v>2302</v>
      </c>
      <c r="M78" s="25" t="s">
        <v>2303</v>
      </c>
      <c r="N78" s="25" t="s">
        <v>2304</v>
      </c>
      <c r="O78" s="64"/>
      <c r="P78" s="45" t="b">
        <f t="shared" si="9"/>
        <v>0</v>
      </c>
      <c r="Q78" s="45">
        <f t="shared" si="10"/>
        <v>0</v>
      </c>
      <c r="R78" s="45">
        <f t="shared" si="11"/>
        <v>0</v>
      </c>
      <c r="S78" s="24"/>
      <c r="T78" s="24"/>
      <c r="U78" s="24"/>
      <c r="V78" s="24"/>
      <c r="W78" s="24"/>
      <c r="X78" s="24"/>
      <c r="Y78" s="24"/>
      <c r="Z78" s="24"/>
      <c r="AA78" s="24"/>
      <c r="AB78" s="24"/>
      <c r="AC78" s="24"/>
      <c r="AD78" s="24"/>
      <c r="AE78" s="24"/>
    </row>
    <row r="79" spans="1:31" ht="86.95">
      <c r="A79" s="91" t="s">
        <v>916</v>
      </c>
      <c r="B79" s="26" t="s">
        <v>928</v>
      </c>
      <c r="C79" s="26" t="s">
        <v>947</v>
      </c>
      <c r="D79" s="26" t="s">
        <v>2310</v>
      </c>
      <c r="E79" s="25" t="s">
        <v>2311</v>
      </c>
      <c r="F79" s="25" t="s">
        <v>1058</v>
      </c>
      <c r="G79" s="57" t="str">
        <f>HYPERLINK("https://www.acquisition.gov/content/part-15-contracting-negotiation#i1106384","FAR 15.406-2 Certificate of current cost or pricing data. ")</f>
        <v xml:space="preserve">FAR 15.406-2 Certificate of current cost or pricing data. </v>
      </c>
      <c r="H79" s="25"/>
      <c r="I79" s="34" t="s">
        <v>2315</v>
      </c>
      <c r="J79" s="37" t="s">
        <v>919</v>
      </c>
      <c r="K79" s="37" t="s">
        <v>2316</v>
      </c>
      <c r="L79" s="25" t="s">
        <v>2317</v>
      </c>
      <c r="M79" s="25" t="s">
        <v>2318</v>
      </c>
      <c r="N79" s="25" t="s">
        <v>2319</v>
      </c>
      <c r="O79" s="64"/>
      <c r="P79" s="45" t="b">
        <f t="shared" si="9"/>
        <v>0</v>
      </c>
      <c r="Q79" s="45">
        <f t="shared" si="10"/>
        <v>3</v>
      </c>
      <c r="R79" s="45">
        <f t="shared" si="11"/>
        <v>0</v>
      </c>
      <c r="S79" s="24"/>
      <c r="T79" s="24"/>
      <c r="U79" s="24"/>
      <c r="V79" s="24"/>
      <c r="W79" s="24"/>
      <c r="X79" s="24"/>
      <c r="Y79" s="24"/>
      <c r="Z79" s="24"/>
      <c r="AA79" s="24"/>
      <c r="AB79" s="24"/>
      <c r="AC79" s="24"/>
      <c r="AD79" s="24"/>
      <c r="AE79" s="24"/>
    </row>
    <row r="80" spans="1:31" ht="86.95">
      <c r="A80" s="91" t="s">
        <v>916</v>
      </c>
      <c r="B80" s="26" t="s">
        <v>928</v>
      </c>
      <c r="C80" s="26" t="s">
        <v>947</v>
      </c>
      <c r="D80" s="26" t="s">
        <v>2320</v>
      </c>
      <c r="E80" s="25" t="s">
        <v>2321</v>
      </c>
      <c r="F80" s="25" t="s">
        <v>2322</v>
      </c>
      <c r="G80" s="57" t="str">
        <f>HYPERLINK("https://www.acquisition.gov/content/part-15-contracting-negotiation#i1106384","FAR 15.406-2 Certificate of current cost or pricing data.")</f>
        <v>FAR 15.406-2 Certificate of current cost or pricing data.</v>
      </c>
      <c r="H80" s="25"/>
      <c r="I80" s="34" t="s">
        <v>2315</v>
      </c>
      <c r="J80" s="37" t="s">
        <v>919</v>
      </c>
      <c r="K80" s="37" t="s">
        <v>2324</v>
      </c>
      <c r="L80" s="25" t="s">
        <v>2325</v>
      </c>
      <c r="M80" s="25" t="s">
        <v>2326</v>
      </c>
      <c r="N80" s="25" t="s">
        <v>2327</v>
      </c>
      <c r="O80" s="64"/>
      <c r="P80" s="45" t="b">
        <f t="shared" si="9"/>
        <v>0</v>
      </c>
      <c r="Q80" s="45">
        <f t="shared" si="10"/>
        <v>3</v>
      </c>
      <c r="R80" s="45">
        <f t="shared" si="11"/>
        <v>0</v>
      </c>
      <c r="S80" s="24"/>
      <c r="T80" s="24"/>
      <c r="U80" s="24"/>
      <c r="V80" s="24"/>
      <c r="W80" s="24"/>
      <c r="X80" s="24"/>
      <c r="Y80" s="24"/>
      <c r="Z80" s="24"/>
      <c r="AA80" s="24"/>
      <c r="AB80" s="24"/>
      <c r="AC80" s="24"/>
      <c r="AD80" s="24"/>
      <c r="AE80" s="24"/>
    </row>
    <row r="81" spans="1:31" ht="163.05000000000001">
      <c r="A81" s="91" t="s">
        <v>916</v>
      </c>
      <c r="B81" s="26" t="s">
        <v>928</v>
      </c>
      <c r="C81" s="26" t="s">
        <v>947</v>
      </c>
      <c r="D81" s="26" t="s">
        <v>2332</v>
      </c>
      <c r="E81" s="25" t="s">
        <v>2333</v>
      </c>
      <c r="F81" s="25" t="s">
        <v>2334</v>
      </c>
      <c r="G81" s="57" t="str">
        <f>HYPERLINK("https://www.acquisition.gov/content/part-15-contracting-negotiation#i1108563","FAR 15.304(c)(1) Evaluation factors and significant subfactors [source selection]. FAR 15.305(a)(1) Cost or price evaluation [proposal evaluation]. ")</f>
        <v xml:space="preserve">FAR 15.304(c)(1) Evaluation factors and significant subfactors [source selection]. FAR 15.305(a)(1) Cost or price evaluation [proposal evaluation]. </v>
      </c>
      <c r="H81" s="25"/>
      <c r="I81" s="34" t="s">
        <v>2340</v>
      </c>
      <c r="J81" s="37" t="s">
        <v>919</v>
      </c>
      <c r="K81" s="37" t="s">
        <v>2341</v>
      </c>
      <c r="L81" s="25" t="s">
        <v>2342</v>
      </c>
      <c r="M81" s="25" t="s">
        <v>2343</v>
      </c>
      <c r="N81" s="25" t="s">
        <v>2345</v>
      </c>
      <c r="O81" s="64"/>
      <c r="P81" s="45" t="b">
        <f t="shared" si="9"/>
        <v>0</v>
      </c>
      <c r="Q81" s="45">
        <f t="shared" si="10"/>
        <v>3</v>
      </c>
      <c r="R81" s="45">
        <f t="shared" si="11"/>
        <v>0</v>
      </c>
      <c r="S81" s="24"/>
      <c r="T81" s="24"/>
      <c r="U81" s="24"/>
      <c r="V81" s="24"/>
      <c r="W81" s="24"/>
      <c r="X81" s="24"/>
      <c r="Y81" s="24"/>
      <c r="Z81" s="24"/>
      <c r="AA81" s="24"/>
      <c r="AB81" s="24"/>
      <c r="AC81" s="24"/>
      <c r="AD81" s="24"/>
      <c r="AE81" s="24"/>
    </row>
    <row r="82" spans="1:31" ht="141.30000000000001">
      <c r="A82" s="91" t="s">
        <v>916</v>
      </c>
      <c r="B82" s="26" t="s">
        <v>928</v>
      </c>
      <c r="C82" s="26" t="s">
        <v>947</v>
      </c>
      <c r="D82" s="26" t="s">
        <v>2350</v>
      </c>
      <c r="E82" s="25" t="s">
        <v>2351</v>
      </c>
      <c r="F82" s="25" t="s">
        <v>2352</v>
      </c>
      <c r="G82" s="57" t="str">
        <f>HYPERLINK("https://www.acquisition.gov/content/part-15-contracting-negotiation#i1108563","FAR 15.304(c)(1) Evaluation factors and significant subfactors.")</f>
        <v>FAR 15.304(c)(1) Evaluation factors and significant subfactors.</v>
      </c>
      <c r="H82" s="25"/>
      <c r="I82" s="34" t="s">
        <v>1397</v>
      </c>
      <c r="J82" s="37" t="s">
        <v>919</v>
      </c>
      <c r="K82" s="75" t="s">
        <v>1399</v>
      </c>
      <c r="L82" s="25" t="s">
        <v>2353</v>
      </c>
      <c r="M82" s="25" t="s">
        <v>2354</v>
      </c>
      <c r="N82" s="25" t="s">
        <v>2355</v>
      </c>
      <c r="O82" s="64"/>
      <c r="P82" s="45" t="b">
        <f t="shared" si="9"/>
        <v>0</v>
      </c>
      <c r="Q82" s="45">
        <f t="shared" si="10"/>
        <v>3</v>
      </c>
      <c r="R82" s="45">
        <f t="shared" si="11"/>
        <v>0</v>
      </c>
      <c r="S82" s="24"/>
      <c r="T82" s="24"/>
      <c r="U82" s="24"/>
      <c r="V82" s="24"/>
      <c r="W82" s="24"/>
      <c r="X82" s="24"/>
      <c r="Y82" s="24"/>
      <c r="Z82" s="24"/>
      <c r="AA82" s="24"/>
      <c r="AB82" s="24"/>
      <c r="AC82" s="24"/>
      <c r="AD82" s="24"/>
      <c r="AE82" s="24"/>
    </row>
    <row r="83" spans="1:31" ht="152.15">
      <c r="A83" s="91" t="s">
        <v>916</v>
      </c>
      <c r="B83" s="26" t="s">
        <v>928</v>
      </c>
      <c r="C83" s="26" t="s">
        <v>947</v>
      </c>
      <c r="D83" s="26" t="s">
        <v>2356</v>
      </c>
      <c r="E83" s="25" t="s">
        <v>2357</v>
      </c>
      <c r="F83" s="25" t="s">
        <v>1396</v>
      </c>
      <c r="G83" s="57" t="str">
        <f>HYPERLINK("https://www.acquisition.gov/content/part-15-contracting-negotiation#i1105907","FAR 15.402 Pricing policy [contract pricing]. FAR 15.404-1 Proposal analysis techniques [contract pricing].")</f>
        <v>FAR 15.402 Pricing policy [contract pricing]. FAR 15.404-1 Proposal analysis techniques [contract pricing].</v>
      </c>
      <c r="H83" s="25"/>
      <c r="I83" s="34" t="s">
        <v>2360</v>
      </c>
      <c r="J83" s="37" t="s">
        <v>919</v>
      </c>
      <c r="K83" s="37" t="s">
        <v>2361</v>
      </c>
      <c r="L83" s="25" t="s">
        <v>2362</v>
      </c>
      <c r="M83" s="25" t="s">
        <v>2363</v>
      </c>
      <c r="N83" s="25" t="s">
        <v>2364</v>
      </c>
      <c r="O83" s="64"/>
      <c r="P83" s="45" t="b">
        <f t="shared" si="9"/>
        <v>0</v>
      </c>
      <c r="Q83" s="45">
        <f t="shared" si="10"/>
        <v>3</v>
      </c>
      <c r="R83" s="45">
        <f t="shared" si="11"/>
        <v>0</v>
      </c>
      <c r="S83" s="24"/>
      <c r="T83" s="24"/>
      <c r="U83" s="24"/>
      <c r="V83" s="24"/>
      <c r="W83" s="24"/>
      <c r="X83" s="24"/>
      <c r="Y83" s="24"/>
      <c r="Z83" s="24"/>
      <c r="AA83" s="24"/>
      <c r="AB83" s="24"/>
      <c r="AC83" s="24"/>
      <c r="AD83" s="24"/>
      <c r="AE83" s="24"/>
    </row>
    <row r="84" spans="1:31" ht="141.30000000000001">
      <c r="A84" s="91" t="s">
        <v>916</v>
      </c>
      <c r="B84" s="26" t="s">
        <v>928</v>
      </c>
      <c r="C84" s="26" t="s">
        <v>947</v>
      </c>
      <c r="D84" s="26" t="s">
        <v>2365</v>
      </c>
      <c r="E84" s="25" t="s">
        <v>2366</v>
      </c>
      <c r="F84" s="25" t="s">
        <v>1396</v>
      </c>
      <c r="G84" s="57" t="str">
        <f>HYPERLINK("https://www.acquisition.gov/content/part-15-contracting-negotiation#i1106135","FAR 15.404-1 Proposal analysis techniques [contract pricing].")</f>
        <v>FAR 15.404-1 Proposal analysis techniques [contract pricing].</v>
      </c>
      <c r="H84" s="25"/>
      <c r="I84" s="34" t="s">
        <v>2360</v>
      </c>
      <c r="J84" s="37" t="s">
        <v>919</v>
      </c>
      <c r="K84" s="37" t="s">
        <v>2374</v>
      </c>
      <c r="L84" s="25" t="s">
        <v>2375</v>
      </c>
      <c r="M84" s="25" t="s">
        <v>2376</v>
      </c>
      <c r="N84" s="25" t="s">
        <v>2377</v>
      </c>
      <c r="O84" s="64"/>
      <c r="P84" s="45" t="b">
        <f t="shared" si="9"/>
        <v>0</v>
      </c>
      <c r="Q84" s="45">
        <f t="shared" si="10"/>
        <v>3</v>
      </c>
      <c r="R84" s="45">
        <f t="shared" si="11"/>
        <v>0</v>
      </c>
      <c r="S84" s="24"/>
      <c r="T84" s="24"/>
      <c r="U84" s="24"/>
      <c r="V84" s="24"/>
      <c r="W84" s="24"/>
      <c r="X84" s="24"/>
      <c r="Y84" s="24"/>
      <c r="Z84" s="24"/>
      <c r="AA84" s="24"/>
      <c r="AB84" s="24"/>
      <c r="AC84" s="24"/>
      <c r="AD84" s="24"/>
      <c r="AE84" s="24"/>
    </row>
    <row r="85" spans="1:31" ht="141.30000000000001">
      <c r="A85" s="91" t="s">
        <v>916</v>
      </c>
      <c r="B85" s="26" t="s">
        <v>928</v>
      </c>
      <c r="C85" s="26" t="s">
        <v>947</v>
      </c>
      <c r="D85" s="26" t="s">
        <v>2378</v>
      </c>
      <c r="E85" s="25" t="s">
        <v>2379</v>
      </c>
      <c r="F85" s="25" t="s">
        <v>1396</v>
      </c>
      <c r="G85" s="57" t="e">
        <f>HYPERLINK("https://www.acquisition.gov/content/part-15-contracting-negotiation#i1108639","FAR 15.306(a) Clarifications and award without discussions [exchanges with offerors after receipt of proposals]. FAR 15.306(b) Communications with offerors before establishment of the competitive range [exchanges with offerors after receipt of proposals]."&amp;" FAR 15.306(c) Competitive range [exchanges with offerors after receipt of proposals].")</f>
        <v>#VALUE!</v>
      </c>
      <c r="H85" s="57" t="str">
        <f>HYPERLINK("https://www.acquisition.gov/sites/default/files/current/gsam/html/Part515.html#wp1858380","GSAR 515.306")</f>
        <v>GSAR 515.306</v>
      </c>
      <c r="I85" s="34" t="s">
        <v>2360</v>
      </c>
      <c r="J85" s="37" t="s">
        <v>919</v>
      </c>
      <c r="K85" s="37" t="s">
        <v>2382</v>
      </c>
      <c r="L85" s="25" t="s">
        <v>2383</v>
      </c>
      <c r="M85" s="25" t="s">
        <v>2384</v>
      </c>
      <c r="N85" s="25" t="s">
        <v>2385</v>
      </c>
      <c r="O85" s="64"/>
      <c r="P85" s="45" t="b">
        <f t="shared" si="9"/>
        <v>0</v>
      </c>
      <c r="Q85" s="45">
        <f t="shared" si="10"/>
        <v>3</v>
      </c>
      <c r="R85" s="45">
        <f t="shared" si="11"/>
        <v>0</v>
      </c>
      <c r="S85" s="24"/>
      <c r="T85" s="24"/>
      <c r="U85" s="24"/>
      <c r="V85" s="24"/>
      <c r="W85" s="24"/>
      <c r="X85" s="24"/>
      <c r="Y85" s="24"/>
      <c r="Z85" s="24"/>
      <c r="AA85" s="24"/>
      <c r="AB85" s="24"/>
      <c r="AC85" s="24"/>
      <c r="AD85" s="24"/>
      <c r="AE85" s="24"/>
    </row>
    <row r="86" spans="1:31" ht="152.15">
      <c r="A86" s="91" t="s">
        <v>916</v>
      </c>
      <c r="B86" s="26" t="s">
        <v>928</v>
      </c>
      <c r="C86" s="26" t="s">
        <v>947</v>
      </c>
      <c r="D86" s="26" t="s">
        <v>2392</v>
      </c>
      <c r="E86" s="25" t="s">
        <v>2393</v>
      </c>
      <c r="F86" s="25" t="s">
        <v>2394</v>
      </c>
      <c r="G86" s="57" t="str">
        <f>HYPERLINK("https://www.acquisition.gov/content/part-15-contracting-negotiation#i1106379","FAR 15.406 Documentation [contract pricing].")</f>
        <v>FAR 15.406 Documentation [contract pricing].</v>
      </c>
      <c r="H86" s="25"/>
      <c r="I86" s="34" t="s">
        <v>2397</v>
      </c>
      <c r="J86" s="37" t="s">
        <v>919</v>
      </c>
      <c r="K86" s="37" t="s">
        <v>2398</v>
      </c>
      <c r="L86" s="25" t="s">
        <v>2399</v>
      </c>
      <c r="M86" s="25" t="s">
        <v>2400</v>
      </c>
      <c r="N86" s="25" t="s">
        <v>2401</v>
      </c>
      <c r="O86" s="64"/>
      <c r="P86" s="45" t="b">
        <f t="shared" si="9"/>
        <v>0</v>
      </c>
      <c r="Q86" s="45">
        <f t="shared" si="10"/>
        <v>3</v>
      </c>
      <c r="R86" s="45">
        <f t="shared" si="11"/>
        <v>0</v>
      </c>
      <c r="S86" s="24"/>
      <c r="T86" s="24"/>
      <c r="U86" s="24"/>
      <c r="V86" s="24"/>
      <c r="W86" s="24"/>
      <c r="X86" s="24"/>
      <c r="Y86" s="24"/>
      <c r="Z86" s="24"/>
      <c r="AA86" s="24"/>
      <c r="AB86" s="24"/>
      <c r="AC86" s="24"/>
      <c r="AD86" s="24"/>
      <c r="AE86" s="24"/>
    </row>
    <row r="87" spans="1:31" ht="141.30000000000001">
      <c r="A87" s="91" t="s">
        <v>916</v>
      </c>
      <c r="B87" s="26" t="s">
        <v>928</v>
      </c>
      <c r="C87" s="26" t="s">
        <v>947</v>
      </c>
      <c r="D87" s="26" t="s">
        <v>2402</v>
      </c>
      <c r="E87" s="25" t="s">
        <v>2403</v>
      </c>
      <c r="F87" s="25" t="s">
        <v>2404</v>
      </c>
      <c r="G87" s="57" t="str">
        <f>HYPERLINK("https://www.acquisition.gov/content/part-15-contracting-negotiation#i1106135","FAR 15.404-1(c) Cost analysis [proposal analysis techniques]. FAR Table 15-2—Instructions for submitting cost/price proposals when certified cost or pricing data are required.")</f>
        <v>FAR 15.404-1(c) Cost analysis [proposal analysis techniques]. FAR Table 15-2—Instructions for submitting cost/price proposals when certified cost or pricing data are required.</v>
      </c>
      <c r="H87" s="121"/>
      <c r="I87" s="34" t="s">
        <v>2410</v>
      </c>
      <c r="J87" s="37" t="s">
        <v>919</v>
      </c>
      <c r="K87" s="37" t="s">
        <v>2414</v>
      </c>
      <c r="L87" s="25" t="s">
        <v>2415</v>
      </c>
      <c r="M87" s="25" t="s">
        <v>2416</v>
      </c>
      <c r="N87" s="25" t="s">
        <v>2417</v>
      </c>
      <c r="O87" s="64"/>
      <c r="P87" s="45" t="b">
        <f t="shared" si="9"/>
        <v>0</v>
      </c>
      <c r="Q87" s="45">
        <f t="shared" si="10"/>
        <v>3</v>
      </c>
      <c r="R87" s="45">
        <f t="shared" si="11"/>
        <v>0</v>
      </c>
      <c r="S87" s="24"/>
      <c r="T87" s="24"/>
      <c r="U87" s="24"/>
      <c r="V87" s="24"/>
      <c r="W87" s="24"/>
      <c r="X87" s="24"/>
      <c r="Y87" s="24"/>
      <c r="Z87" s="24"/>
      <c r="AA87" s="24"/>
      <c r="AB87" s="24"/>
      <c r="AC87" s="24"/>
      <c r="AD87" s="24"/>
      <c r="AE87" s="24"/>
    </row>
    <row r="88" spans="1:31" ht="152.15">
      <c r="A88" s="91" t="s">
        <v>916</v>
      </c>
      <c r="B88" s="26" t="s">
        <v>928</v>
      </c>
      <c r="C88" s="26" t="s">
        <v>947</v>
      </c>
      <c r="D88" s="26" t="s">
        <v>2421</v>
      </c>
      <c r="E88" s="25" t="s">
        <v>2422</v>
      </c>
      <c r="F88" s="25" t="s">
        <v>2423</v>
      </c>
      <c r="G88" s="57" t="str">
        <f>HYPERLINK("https://www.acquisition.gov/content/part-15-contracting-negotiation#i1106135","FAR 15.404-1(c)(2)(iii) Cost analysis [proposal analysis techniques ")</f>
        <v xml:space="preserve">FAR 15.404-1(c)(2)(iii) Cost analysis [proposal analysis techniques </v>
      </c>
      <c r="H88" s="121"/>
      <c r="I88" s="34" t="s">
        <v>2410</v>
      </c>
      <c r="J88" s="37" t="s">
        <v>919</v>
      </c>
      <c r="K88" s="37" t="s">
        <v>2424</v>
      </c>
      <c r="L88" s="25" t="s">
        <v>2425</v>
      </c>
      <c r="M88" s="25" t="s">
        <v>2426</v>
      </c>
      <c r="N88" s="25" t="s">
        <v>2427</v>
      </c>
      <c r="O88" s="64"/>
      <c r="P88" s="45" t="b">
        <f t="shared" si="9"/>
        <v>0</v>
      </c>
      <c r="Q88" s="45">
        <f t="shared" si="10"/>
        <v>3</v>
      </c>
      <c r="R88" s="45">
        <f t="shared" si="11"/>
        <v>0</v>
      </c>
      <c r="S88" s="24"/>
      <c r="T88" s="24"/>
      <c r="U88" s="24"/>
      <c r="V88" s="24"/>
      <c r="W88" s="24"/>
      <c r="X88" s="24"/>
      <c r="Y88" s="24"/>
      <c r="Z88" s="24"/>
      <c r="AA88" s="24"/>
      <c r="AB88" s="24"/>
      <c r="AC88" s="24"/>
      <c r="AD88" s="24"/>
      <c r="AE88" s="24"/>
    </row>
    <row r="89" spans="1:31" ht="173.9">
      <c r="A89" s="91" t="s">
        <v>916</v>
      </c>
      <c r="B89" s="26" t="s">
        <v>928</v>
      </c>
      <c r="C89" s="26" t="s">
        <v>947</v>
      </c>
      <c r="D89" s="26" t="s">
        <v>2430</v>
      </c>
      <c r="E89" s="25" t="s">
        <v>2431</v>
      </c>
      <c r="F89" s="25" t="s">
        <v>2423</v>
      </c>
      <c r="G89" s="57" t="str">
        <f>HYPERLINK("https://www.acquisition.gov/content/part-15-contracting-negotiation#i1108601","FAR 15.305(a)(1) Cost or price evaluation [proposal evaluation]. FAR 15.404-1(c) Cost analysis [proposal analysis techniques].")</f>
        <v>FAR 15.305(a)(1) Cost or price evaluation [proposal evaluation]. FAR 15.404-1(c) Cost analysis [proposal analysis techniques].</v>
      </c>
      <c r="H89" s="86" t="str">
        <f>HYPERLINK("https://www.acquisition.gov/sites/default/files/current/gsam/html/Part515.html#wp1871216","GSAR 515.305")</f>
        <v>GSAR 515.305</v>
      </c>
      <c r="I89" s="34" t="s">
        <v>2410</v>
      </c>
      <c r="J89" s="37" t="s">
        <v>919</v>
      </c>
      <c r="K89" s="37" t="s">
        <v>2432</v>
      </c>
      <c r="L89" s="25" t="s">
        <v>2434</v>
      </c>
      <c r="M89" s="25" t="s">
        <v>2437</v>
      </c>
      <c r="N89" s="25" t="s">
        <v>2417</v>
      </c>
      <c r="O89" s="64"/>
      <c r="P89" s="45" t="b">
        <f t="shared" si="9"/>
        <v>0</v>
      </c>
      <c r="Q89" s="45">
        <f t="shared" si="10"/>
        <v>3</v>
      </c>
      <c r="R89" s="45">
        <f t="shared" si="11"/>
        <v>0</v>
      </c>
      <c r="S89" s="24"/>
      <c r="T89" s="24"/>
      <c r="U89" s="24"/>
      <c r="V89" s="24"/>
      <c r="W89" s="24"/>
      <c r="X89" s="24"/>
      <c r="Y89" s="24"/>
      <c r="Z89" s="24"/>
      <c r="AA89" s="24"/>
      <c r="AB89" s="24"/>
      <c r="AC89" s="24"/>
      <c r="AD89" s="24"/>
      <c r="AE89" s="24"/>
    </row>
    <row r="90" spans="1:31" ht="141.30000000000001">
      <c r="A90" s="91" t="s">
        <v>916</v>
      </c>
      <c r="B90" s="26" t="s">
        <v>928</v>
      </c>
      <c r="C90" s="26" t="s">
        <v>947</v>
      </c>
      <c r="D90" s="26" t="s">
        <v>2441</v>
      </c>
      <c r="E90" s="25" t="s">
        <v>2442</v>
      </c>
      <c r="F90" s="25" t="s">
        <v>2423</v>
      </c>
      <c r="G90" s="57" t="str">
        <f>HYPERLINK("https://www.acquisition.gov/content/part-15-contracting-negotiation#i1106135","FAR 15.404 Proposal analysis [contract pricing].")</f>
        <v>FAR 15.404 Proposal analysis [contract pricing].</v>
      </c>
      <c r="H90" s="86" t="str">
        <f>HYPERLINK("https://www.acquisition.gov/sites/default/files/current/gsam/html/Part515.html#wp1865734","GSAR 515.4")</f>
        <v>GSAR 515.4</v>
      </c>
      <c r="I90" s="34" t="s">
        <v>2410</v>
      </c>
      <c r="J90" s="37" t="s">
        <v>919</v>
      </c>
      <c r="K90" s="37" t="s">
        <v>2447</v>
      </c>
      <c r="L90" s="25" t="s">
        <v>2448</v>
      </c>
      <c r="M90" s="25" t="s">
        <v>2449</v>
      </c>
      <c r="N90" s="25" t="s">
        <v>2450</v>
      </c>
      <c r="O90" s="64"/>
      <c r="P90" s="45" t="b">
        <f t="shared" si="9"/>
        <v>0</v>
      </c>
      <c r="Q90" s="45">
        <f t="shared" si="10"/>
        <v>3</v>
      </c>
      <c r="R90" s="45">
        <f t="shared" si="11"/>
        <v>0</v>
      </c>
      <c r="S90" s="24"/>
      <c r="T90" s="24"/>
      <c r="U90" s="24"/>
      <c r="V90" s="24"/>
      <c r="W90" s="24"/>
      <c r="X90" s="24"/>
      <c r="Y90" s="24"/>
      <c r="Z90" s="24"/>
      <c r="AA90" s="24"/>
      <c r="AB90" s="24"/>
      <c r="AC90" s="24"/>
      <c r="AD90" s="24"/>
      <c r="AE90" s="24"/>
    </row>
    <row r="91" spans="1:31" ht="141.30000000000001">
      <c r="A91" s="91" t="s">
        <v>916</v>
      </c>
      <c r="B91" s="26" t="s">
        <v>928</v>
      </c>
      <c r="C91" s="26" t="s">
        <v>947</v>
      </c>
      <c r="D91" s="26" t="s">
        <v>2451</v>
      </c>
      <c r="E91" s="25" t="s">
        <v>2452</v>
      </c>
      <c r="F91" s="25" t="s">
        <v>2423</v>
      </c>
      <c r="G91" s="57" t="str">
        <f>HYPERLINK("https://www.acquisition.gov/content/part-15-contracting-negotiation#i1106593","FAR 15.408 Solicitation provisions and contract clauses [contract pricing]. FAR Table 15-2—Instructions for submitting cost/price proposals when certified cost or pricing data are required.")</f>
        <v>FAR 15.408 Solicitation provisions and contract clauses [contract pricing]. FAR Table 15-2—Instructions for submitting cost/price proposals when certified cost or pricing data are required.</v>
      </c>
      <c r="H91" s="86" t="str">
        <f t="shared" ref="H91:H95" si="12">HYPERLINK("https://www.acquisition.gov/sites/default/files/current/gsam/html/Part515.html#wp1865912","GSAR 515.408")</f>
        <v>GSAR 515.408</v>
      </c>
      <c r="I91" s="34" t="s">
        <v>2410</v>
      </c>
      <c r="J91" s="37" t="s">
        <v>919</v>
      </c>
      <c r="K91" s="75" t="s">
        <v>2447</v>
      </c>
      <c r="L91" s="25" t="s">
        <v>2448</v>
      </c>
      <c r="M91" s="25" t="s">
        <v>2449</v>
      </c>
      <c r="N91" s="25" t="s">
        <v>2450</v>
      </c>
      <c r="O91" s="64"/>
      <c r="P91" s="45" t="b">
        <f t="shared" si="9"/>
        <v>0</v>
      </c>
      <c r="Q91" s="45">
        <f t="shared" si="10"/>
        <v>3</v>
      </c>
      <c r="R91" s="45">
        <f t="shared" si="11"/>
        <v>0</v>
      </c>
      <c r="S91" s="24"/>
      <c r="T91" s="24"/>
      <c r="U91" s="24"/>
      <c r="V91" s="24"/>
      <c r="W91" s="24"/>
      <c r="X91" s="24"/>
      <c r="Y91" s="24"/>
      <c r="Z91" s="24"/>
      <c r="AA91" s="24"/>
      <c r="AB91" s="24"/>
      <c r="AC91" s="24"/>
      <c r="AD91" s="24"/>
      <c r="AE91" s="24"/>
    </row>
    <row r="92" spans="1:31" ht="141.30000000000001">
      <c r="A92" s="91" t="s">
        <v>916</v>
      </c>
      <c r="B92" s="26" t="s">
        <v>928</v>
      </c>
      <c r="C92" s="26" t="s">
        <v>947</v>
      </c>
      <c r="D92" s="26" t="s">
        <v>2453</v>
      </c>
      <c r="E92" s="25" t="s">
        <v>2456</v>
      </c>
      <c r="F92" s="25" t="s">
        <v>2423</v>
      </c>
      <c r="G92" s="57" t="str">
        <f>HYPERLINK("https://www.acquisition.gov/content/part-15-contracting-negotiation#i1106593","FAR 15.408 Solicitation provisions and contract clauses [contract pricing]. FAR Table 15-2—Instructions for submitting cost/price proposals when certified cost or pricing data are required. ")</f>
        <v xml:space="preserve">FAR 15.408 Solicitation provisions and contract clauses [contract pricing]. FAR Table 15-2—Instructions for submitting cost/price proposals when certified cost or pricing data are required. </v>
      </c>
      <c r="H92" s="86" t="str">
        <f t="shared" si="12"/>
        <v>GSAR 515.408</v>
      </c>
      <c r="I92" s="34" t="s">
        <v>2410</v>
      </c>
      <c r="J92" s="37" t="s">
        <v>919</v>
      </c>
      <c r="K92" s="75" t="s">
        <v>2447</v>
      </c>
      <c r="L92" s="25" t="s">
        <v>2448</v>
      </c>
      <c r="M92" s="25" t="s">
        <v>2449</v>
      </c>
      <c r="N92" s="25" t="s">
        <v>2450</v>
      </c>
      <c r="O92" s="64"/>
      <c r="P92" s="45" t="b">
        <f t="shared" si="9"/>
        <v>0</v>
      </c>
      <c r="Q92" s="45">
        <f t="shared" si="10"/>
        <v>3</v>
      </c>
      <c r="R92" s="45">
        <f t="shared" si="11"/>
        <v>0</v>
      </c>
      <c r="S92" s="24"/>
      <c r="T92" s="24"/>
      <c r="U92" s="24"/>
      <c r="V92" s="24"/>
      <c r="W92" s="24"/>
      <c r="X92" s="24"/>
      <c r="Y92" s="24"/>
      <c r="Z92" s="24"/>
      <c r="AA92" s="24"/>
      <c r="AB92" s="24"/>
      <c r="AC92" s="24"/>
      <c r="AD92" s="24"/>
      <c r="AE92" s="24"/>
    </row>
    <row r="93" spans="1:31" ht="141.30000000000001">
      <c r="A93" s="91" t="s">
        <v>916</v>
      </c>
      <c r="B93" s="26" t="s">
        <v>928</v>
      </c>
      <c r="C93" s="26" t="s">
        <v>947</v>
      </c>
      <c r="D93" s="26" t="s">
        <v>2466</v>
      </c>
      <c r="E93" s="25" t="s">
        <v>2467</v>
      </c>
      <c r="F93" s="25" t="s">
        <v>2423</v>
      </c>
      <c r="G93" s="57" t="str">
        <f t="shared" ref="G93:G94" si="13">HYPERLINK("https://www.acquisition.gov/content/part-15-contracting-negotiation#i1106593","FAR 15.408 Solicitation provisions and contract clauses [contract pricing]. FAR Table 15-2—Instructions for submitting cost/price proposals when certified cost or pricing data are required.")</f>
        <v>FAR 15.408 Solicitation provisions and contract clauses [contract pricing]. FAR Table 15-2—Instructions for submitting cost/price proposals when certified cost or pricing data are required.</v>
      </c>
      <c r="H93" s="86" t="str">
        <f t="shared" si="12"/>
        <v>GSAR 515.408</v>
      </c>
      <c r="I93" s="34" t="s">
        <v>2410</v>
      </c>
      <c r="J93" s="37" t="s">
        <v>919</v>
      </c>
      <c r="K93" s="75" t="s">
        <v>2447</v>
      </c>
      <c r="L93" s="25" t="s">
        <v>2448</v>
      </c>
      <c r="M93" s="25" t="s">
        <v>2449</v>
      </c>
      <c r="N93" s="25" t="s">
        <v>2450</v>
      </c>
      <c r="O93" s="64"/>
      <c r="P93" s="45" t="b">
        <f t="shared" si="9"/>
        <v>0</v>
      </c>
      <c r="Q93" s="45">
        <f t="shared" si="10"/>
        <v>3</v>
      </c>
      <c r="R93" s="45">
        <f t="shared" si="11"/>
        <v>0</v>
      </c>
      <c r="S93" s="24"/>
      <c r="T93" s="24"/>
      <c r="U93" s="24"/>
      <c r="V93" s="24"/>
      <c r="W93" s="24"/>
      <c r="X93" s="24"/>
      <c r="Y93" s="24"/>
      <c r="Z93" s="24"/>
      <c r="AA93" s="24"/>
      <c r="AB93" s="24"/>
      <c r="AC93" s="24"/>
      <c r="AD93" s="24"/>
      <c r="AE93" s="24"/>
    </row>
    <row r="94" spans="1:31" ht="141.30000000000001">
      <c r="A94" s="91" t="s">
        <v>916</v>
      </c>
      <c r="B94" s="26" t="s">
        <v>928</v>
      </c>
      <c r="C94" s="26" t="s">
        <v>947</v>
      </c>
      <c r="D94" s="26" t="s">
        <v>2468</v>
      </c>
      <c r="E94" s="25" t="s">
        <v>2469</v>
      </c>
      <c r="F94" s="25" t="s">
        <v>2423</v>
      </c>
      <c r="G94" s="57" t="str">
        <f t="shared" si="13"/>
        <v>FAR 15.408 Solicitation provisions and contract clauses [contract pricing]. FAR Table 15-2—Instructions for submitting cost/price proposals when certified cost or pricing data are required.</v>
      </c>
      <c r="H94" s="86" t="str">
        <f t="shared" si="12"/>
        <v>GSAR 515.408</v>
      </c>
      <c r="I94" s="34" t="s">
        <v>2410</v>
      </c>
      <c r="J94" s="37" t="s">
        <v>919</v>
      </c>
      <c r="K94" s="75" t="s">
        <v>2447</v>
      </c>
      <c r="L94" s="25" t="s">
        <v>2448</v>
      </c>
      <c r="M94" s="25" t="s">
        <v>2449</v>
      </c>
      <c r="N94" s="25" t="s">
        <v>2450</v>
      </c>
      <c r="O94" s="64"/>
      <c r="P94" s="45" t="b">
        <f t="shared" si="9"/>
        <v>0</v>
      </c>
      <c r="Q94" s="45">
        <f t="shared" si="10"/>
        <v>3</v>
      </c>
      <c r="R94" s="45">
        <f t="shared" si="11"/>
        <v>0</v>
      </c>
      <c r="S94" s="24"/>
      <c r="T94" s="24"/>
      <c r="U94" s="24"/>
      <c r="V94" s="24"/>
      <c r="W94" s="24"/>
      <c r="X94" s="24"/>
      <c r="Y94" s="24"/>
      <c r="Z94" s="24"/>
      <c r="AA94" s="24"/>
      <c r="AB94" s="24"/>
      <c r="AC94" s="24"/>
      <c r="AD94" s="24"/>
      <c r="AE94" s="24"/>
    </row>
    <row r="95" spans="1:31" ht="141.30000000000001">
      <c r="A95" s="91" t="s">
        <v>916</v>
      </c>
      <c r="B95" s="26" t="s">
        <v>928</v>
      </c>
      <c r="C95" s="26" t="s">
        <v>947</v>
      </c>
      <c r="D95" s="26" t="s">
        <v>2476</v>
      </c>
      <c r="E95" s="25" t="s">
        <v>2477</v>
      </c>
      <c r="F95" s="25" t="s">
        <v>2423</v>
      </c>
      <c r="G95" s="57" t="str">
        <f>HYPERLINK("https://www.acquisition.gov/content/part-15-contracting-negotiation#i1106593","FAR 15.408 Solicitation provisions and contract clauses [contract pricing]. FAR Table 15-2—Instructions for submitting cost/price proposals when certified cost or pricing data are required. ")</f>
        <v xml:space="preserve">FAR 15.408 Solicitation provisions and contract clauses [contract pricing]. FAR Table 15-2—Instructions for submitting cost/price proposals when certified cost or pricing data are required. </v>
      </c>
      <c r="H95" s="86" t="str">
        <f t="shared" si="12"/>
        <v>GSAR 515.408</v>
      </c>
      <c r="I95" s="34" t="s">
        <v>2410</v>
      </c>
      <c r="J95" s="37" t="s">
        <v>919</v>
      </c>
      <c r="K95" s="75" t="s">
        <v>2447</v>
      </c>
      <c r="L95" s="25" t="s">
        <v>2448</v>
      </c>
      <c r="M95" s="25" t="s">
        <v>2449</v>
      </c>
      <c r="N95" s="25" t="s">
        <v>2450</v>
      </c>
      <c r="O95" s="64"/>
      <c r="P95" s="45" t="b">
        <f t="shared" si="9"/>
        <v>0</v>
      </c>
      <c r="Q95" s="45">
        <f t="shared" si="10"/>
        <v>3</v>
      </c>
      <c r="R95" s="45">
        <f t="shared" si="11"/>
        <v>0</v>
      </c>
      <c r="S95" s="24"/>
      <c r="T95" s="24"/>
      <c r="U95" s="24"/>
      <c r="V95" s="24"/>
      <c r="W95" s="24"/>
      <c r="X95" s="24"/>
      <c r="Y95" s="24"/>
      <c r="Z95" s="24"/>
      <c r="AA95" s="24"/>
      <c r="AB95" s="24"/>
      <c r="AC95" s="24"/>
      <c r="AD95" s="24"/>
      <c r="AE95" s="24"/>
    </row>
    <row r="96" spans="1:31" ht="173.9">
      <c r="A96" s="91" t="s">
        <v>916</v>
      </c>
      <c r="B96" s="26" t="s">
        <v>928</v>
      </c>
      <c r="C96" s="26" t="s">
        <v>947</v>
      </c>
      <c r="D96" s="26" t="s">
        <v>2482</v>
      </c>
      <c r="E96" s="25" t="s">
        <v>2483</v>
      </c>
      <c r="F96" s="122" t="s">
        <v>2484</v>
      </c>
      <c r="G96" s="57" t="str">
        <f>HYPERLINK("https://www.acquisition.gov/content/part-15-contracting-negotiation#id1617MD00WV1","FAR 15.406-1 Prenegotiation objectives")</f>
        <v>FAR 15.406-1 Prenegotiation objectives</v>
      </c>
      <c r="H96" s="121"/>
      <c r="I96" s="34" t="s">
        <v>2491</v>
      </c>
      <c r="J96" s="37" t="s">
        <v>919</v>
      </c>
      <c r="K96" s="37" t="s">
        <v>2495</v>
      </c>
      <c r="L96" s="25" t="s">
        <v>2496</v>
      </c>
      <c r="M96" s="25" t="s">
        <v>2497</v>
      </c>
      <c r="N96" s="25" t="s">
        <v>2498</v>
      </c>
      <c r="O96" s="64"/>
      <c r="P96" s="45" t="b">
        <f t="shared" si="9"/>
        <v>0</v>
      </c>
      <c r="Q96" s="45">
        <f t="shared" si="10"/>
        <v>3</v>
      </c>
      <c r="R96" s="45">
        <f t="shared" si="11"/>
        <v>0</v>
      </c>
      <c r="S96" s="24"/>
      <c r="T96" s="24"/>
      <c r="U96" s="24"/>
      <c r="V96" s="24"/>
      <c r="W96" s="24"/>
      <c r="X96" s="24"/>
      <c r="Y96" s="24"/>
      <c r="Z96" s="24"/>
      <c r="AA96" s="24"/>
      <c r="AB96" s="24"/>
      <c r="AC96" s="24"/>
      <c r="AD96" s="24"/>
      <c r="AE96" s="24"/>
    </row>
    <row r="97" spans="1:31" ht="206.5">
      <c r="A97" s="91" t="s">
        <v>916</v>
      </c>
      <c r="B97" s="26" t="s">
        <v>928</v>
      </c>
      <c r="C97" s="26" t="s">
        <v>947</v>
      </c>
      <c r="D97" s="26" t="s">
        <v>2503</v>
      </c>
      <c r="E97" s="25" t="s">
        <v>2504</v>
      </c>
      <c r="F97" s="25" t="s">
        <v>2505</v>
      </c>
      <c r="G97" s="57" t="str">
        <f>HYPERLINK("https://www.acquisition.gov/content/part-9-contractor-qualifications#i1116177","FAR 9.104-6 Federal Awardee Performance and Integrity Information System [standards].")</f>
        <v>FAR 9.104-6 Federal Awardee Performance and Integrity Information System [standards].</v>
      </c>
      <c r="H97" s="25"/>
      <c r="I97" s="34" t="s">
        <v>2506</v>
      </c>
      <c r="J97" s="37" t="s">
        <v>919</v>
      </c>
      <c r="K97" s="37" t="s">
        <v>2507</v>
      </c>
      <c r="L97" s="25" t="s">
        <v>2508</v>
      </c>
      <c r="M97" s="25" t="s">
        <v>2509</v>
      </c>
      <c r="N97" s="25" t="s">
        <v>2510</v>
      </c>
      <c r="O97" s="64"/>
      <c r="P97" s="45" t="b">
        <f t="shared" si="9"/>
        <v>0</v>
      </c>
      <c r="Q97" s="45">
        <f t="shared" si="10"/>
        <v>3</v>
      </c>
      <c r="R97" s="45">
        <f t="shared" si="11"/>
        <v>0</v>
      </c>
      <c r="S97" s="24"/>
      <c r="T97" s="24"/>
      <c r="U97" s="24"/>
      <c r="V97" s="24"/>
      <c r="W97" s="24"/>
      <c r="X97" s="24"/>
      <c r="Y97" s="24"/>
      <c r="Z97" s="24"/>
      <c r="AA97" s="24"/>
      <c r="AB97" s="24"/>
      <c r="AC97" s="24"/>
      <c r="AD97" s="24"/>
      <c r="AE97" s="24"/>
    </row>
    <row r="98" spans="1:31" ht="195.65">
      <c r="A98" s="91" t="s">
        <v>916</v>
      </c>
      <c r="B98" s="26" t="s">
        <v>928</v>
      </c>
      <c r="C98" s="26" t="s">
        <v>947</v>
      </c>
      <c r="D98" s="26" t="s">
        <v>2512</v>
      </c>
      <c r="E98" s="25" t="s">
        <v>2514</v>
      </c>
      <c r="F98" s="25" t="s">
        <v>2515</v>
      </c>
      <c r="G98" s="57" t="str">
        <f>HYPERLINK("https://www.acquisition.gov/content/part-9-contractor-qualifications#i1116177","FAR 9.104-6(c) Federal Awardee Performance and Integrity Information System [standards].")</f>
        <v>FAR 9.104-6(c) Federal Awardee Performance and Integrity Information System [standards].</v>
      </c>
      <c r="H98" s="25"/>
      <c r="I98" s="34" t="s">
        <v>2506</v>
      </c>
      <c r="J98" s="37" t="s">
        <v>919</v>
      </c>
      <c r="K98" s="37" t="s">
        <v>2517</v>
      </c>
      <c r="L98" s="25" t="s">
        <v>2518</v>
      </c>
      <c r="M98" s="25" t="s">
        <v>2520</v>
      </c>
      <c r="N98" s="25" t="s">
        <v>2523</v>
      </c>
      <c r="O98" s="64"/>
      <c r="P98" s="45" t="b">
        <f t="shared" si="9"/>
        <v>0</v>
      </c>
      <c r="Q98" s="45">
        <f t="shared" si="10"/>
        <v>3</v>
      </c>
      <c r="R98" s="45">
        <f t="shared" si="11"/>
        <v>0</v>
      </c>
      <c r="S98" s="24"/>
      <c r="T98" s="24"/>
      <c r="U98" s="24"/>
      <c r="V98" s="24"/>
      <c r="W98" s="24"/>
      <c r="X98" s="24"/>
      <c r="Y98" s="24"/>
      <c r="Z98" s="24"/>
      <c r="AA98" s="24"/>
      <c r="AB98" s="24"/>
      <c r="AC98" s="24"/>
      <c r="AD98" s="24"/>
      <c r="AE98" s="24"/>
    </row>
    <row r="99" spans="1:31" ht="173.9">
      <c r="A99" s="91" t="s">
        <v>916</v>
      </c>
      <c r="B99" s="26" t="s">
        <v>928</v>
      </c>
      <c r="C99" s="26" t="s">
        <v>947</v>
      </c>
      <c r="D99" s="26" t="s">
        <v>2525</v>
      </c>
      <c r="E99" s="25" t="s">
        <v>2526</v>
      </c>
      <c r="F99" s="25" t="s">
        <v>275</v>
      </c>
      <c r="G99" s="57" t="str">
        <f>HYPERLINK("https://www.acquisition.gov/content/part-9-contractor-qualifications#i1116177","FAR 9.104-6(d) Federal Awardee Performance and Integrity Information System [standards].")</f>
        <v>FAR 9.104-6(d) Federal Awardee Performance and Integrity Information System [standards].</v>
      </c>
      <c r="H99" s="25"/>
      <c r="I99" s="124" t="s">
        <v>2529</v>
      </c>
      <c r="J99" s="37" t="s">
        <v>919</v>
      </c>
      <c r="K99" s="75" t="s">
        <v>2151</v>
      </c>
      <c r="L99" s="25" t="s">
        <v>2152</v>
      </c>
      <c r="M99" s="25" t="s">
        <v>2154</v>
      </c>
      <c r="N99" s="25" t="s">
        <v>2155</v>
      </c>
      <c r="O99" s="64"/>
      <c r="P99" s="45" t="b">
        <f t="shared" si="9"/>
        <v>0</v>
      </c>
      <c r="Q99" s="45">
        <f t="shared" si="10"/>
        <v>3</v>
      </c>
      <c r="R99" s="45">
        <f t="shared" si="11"/>
        <v>0</v>
      </c>
      <c r="S99" s="24"/>
      <c r="T99" s="24"/>
      <c r="U99" s="24"/>
      <c r="V99" s="24"/>
      <c r="W99" s="24"/>
      <c r="X99" s="24"/>
      <c r="Y99" s="24"/>
      <c r="Z99" s="24"/>
      <c r="AA99" s="24"/>
      <c r="AB99" s="24"/>
      <c r="AC99" s="24"/>
      <c r="AD99" s="24"/>
      <c r="AE99" s="24"/>
    </row>
    <row r="100" spans="1:31" ht="173.9">
      <c r="A100" s="91" t="s">
        <v>916</v>
      </c>
      <c r="B100" s="26" t="s">
        <v>928</v>
      </c>
      <c r="C100" s="26" t="s">
        <v>947</v>
      </c>
      <c r="D100" s="26" t="s">
        <v>2538</v>
      </c>
      <c r="E100" s="25" t="s">
        <v>2539</v>
      </c>
      <c r="F100" s="25" t="s">
        <v>2541</v>
      </c>
      <c r="G100" s="57" t="str">
        <f>HYPERLINK("https://www.acquisition.gov/content/part-9-contractor-qualifications#i1115236","FAR 9.405 Effect of listing.")</f>
        <v>FAR 9.405 Effect of listing.</v>
      </c>
      <c r="H100" s="57" t="str">
        <f t="shared" ref="H100:H101" si="14">HYPERLINK("https://www.acquisition.gov/sites/default/files/current/gsam/html/Part509.html#wp1859653","GSAR 509.405")</f>
        <v>GSAR 509.405</v>
      </c>
      <c r="I100" s="124" t="s">
        <v>2529</v>
      </c>
      <c r="J100" s="37" t="s">
        <v>919</v>
      </c>
      <c r="K100" s="75" t="s">
        <v>2151</v>
      </c>
      <c r="L100" s="25" t="s">
        <v>2152</v>
      </c>
      <c r="M100" s="25" t="s">
        <v>2154</v>
      </c>
      <c r="N100" s="25" t="s">
        <v>2155</v>
      </c>
      <c r="O100" s="64"/>
      <c r="P100" s="45" t="b">
        <f t="shared" si="9"/>
        <v>0</v>
      </c>
      <c r="Q100" s="45">
        <f t="shared" si="10"/>
        <v>3</v>
      </c>
      <c r="R100" s="45">
        <f t="shared" si="11"/>
        <v>0</v>
      </c>
      <c r="S100" s="24"/>
      <c r="T100" s="24"/>
      <c r="U100" s="24"/>
      <c r="V100" s="24"/>
      <c r="W100" s="24"/>
      <c r="X100" s="24"/>
      <c r="Y100" s="24"/>
      <c r="Z100" s="24"/>
      <c r="AA100" s="24"/>
      <c r="AB100" s="24"/>
      <c r="AC100" s="24"/>
      <c r="AD100" s="24"/>
      <c r="AE100" s="24"/>
    </row>
    <row r="101" spans="1:31" ht="173.9">
      <c r="A101" s="91" t="s">
        <v>916</v>
      </c>
      <c r="B101" s="26" t="s">
        <v>928</v>
      </c>
      <c r="C101" s="26" t="s">
        <v>947</v>
      </c>
      <c r="D101" s="26" t="s">
        <v>2542</v>
      </c>
      <c r="E101" s="25" t="s">
        <v>2543</v>
      </c>
      <c r="F101" s="25" t="s">
        <v>2541</v>
      </c>
      <c r="G101" s="57" t="str">
        <f>HYPERLINK("https://www.acquisition.gov/content/part-9-contractor-qualifications#i1115270","FAR 9.405-2 Restrictions on subcontracting [debarment, suspension, and ineligibility].")</f>
        <v>FAR 9.405-2 Restrictions on subcontracting [debarment, suspension, and ineligibility].</v>
      </c>
      <c r="H101" s="57" t="str">
        <f t="shared" si="14"/>
        <v>GSAR 509.405</v>
      </c>
      <c r="I101" s="124" t="s">
        <v>2529</v>
      </c>
      <c r="J101" s="37" t="s">
        <v>919</v>
      </c>
      <c r="K101" s="75" t="s">
        <v>2151</v>
      </c>
      <c r="L101" s="25" t="s">
        <v>2152</v>
      </c>
      <c r="M101" s="25" t="s">
        <v>2154</v>
      </c>
      <c r="N101" s="25" t="s">
        <v>2155</v>
      </c>
      <c r="O101" s="64"/>
      <c r="P101" s="45" t="b">
        <f t="shared" si="9"/>
        <v>0</v>
      </c>
      <c r="Q101" s="45">
        <f t="shared" si="10"/>
        <v>3</v>
      </c>
      <c r="R101" s="45">
        <f t="shared" si="11"/>
        <v>0</v>
      </c>
      <c r="S101" s="24"/>
      <c r="T101" s="24"/>
      <c r="U101" s="24"/>
      <c r="V101" s="24"/>
      <c r="W101" s="24"/>
      <c r="X101" s="24"/>
      <c r="Y101" s="24"/>
      <c r="Z101" s="24"/>
      <c r="AA101" s="24"/>
      <c r="AB101" s="24"/>
      <c r="AC101" s="24"/>
      <c r="AD101" s="24"/>
      <c r="AE101" s="24"/>
    </row>
    <row r="102" spans="1:31" ht="173.9">
      <c r="A102" s="91" t="s">
        <v>916</v>
      </c>
      <c r="B102" s="26" t="s">
        <v>928</v>
      </c>
      <c r="C102" s="26" t="s">
        <v>947</v>
      </c>
      <c r="D102" s="26" t="s">
        <v>2544</v>
      </c>
      <c r="E102" s="25" t="s">
        <v>2545</v>
      </c>
      <c r="F102" s="25" t="s">
        <v>2546</v>
      </c>
      <c r="G102" s="57" t="str">
        <f>HYPERLINK("https://www.acquisition.gov/content/part-9-contractor-qualifications#i1116081","FAR 9.104-1 General standards [responsible prospective contractors]. FAR 9.104-2 Special standards [responsible prospective contractors]. FAR 9.104-3 Application of standards [responsible prospective contractors].")</f>
        <v>FAR 9.104-1 General standards [responsible prospective contractors]. FAR 9.104-2 Special standards [responsible prospective contractors]. FAR 9.104-3 Application of standards [responsible prospective contractors].</v>
      </c>
      <c r="H102" s="25"/>
      <c r="I102" s="124" t="s">
        <v>2529</v>
      </c>
      <c r="J102" s="37" t="s">
        <v>919</v>
      </c>
      <c r="K102" s="75" t="s">
        <v>2151</v>
      </c>
      <c r="L102" s="25" t="s">
        <v>2152</v>
      </c>
      <c r="M102" s="25" t="s">
        <v>2154</v>
      </c>
      <c r="N102" s="25" t="s">
        <v>2155</v>
      </c>
      <c r="O102" s="64"/>
      <c r="P102" s="45" t="b">
        <f t="shared" si="9"/>
        <v>0</v>
      </c>
      <c r="Q102" s="45">
        <f t="shared" si="10"/>
        <v>3</v>
      </c>
      <c r="R102" s="45">
        <f t="shared" si="11"/>
        <v>0</v>
      </c>
      <c r="S102" s="24"/>
      <c r="T102" s="24"/>
      <c r="U102" s="24"/>
      <c r="V102" s="24"/>
      <c r="W102" s="24"/>
      <c r="X102" s="24"/>
      <c r="Y102" s="24"/>
      <c r="Z102" s="24"/>
      <c r="AA102" s="24"/>
      <c r="AB102" s="24"/>
      <c r="AC102" s="24"/>
      <c r="AD102" s="24"/>
      <c r="AE102" s="24"/>
    </row>
    <row r="103" spans="1:31" ht="173.9">
      <c r="A103" s="91" t="s">
        <v>916</v>
      </c>
      <c r="B103" s="26" t="s">
        <v>928</v>
      </c>
      <c r="C103" s="26" t="s">
        <v>947</v>
      </c>
      <c r="D103" s="26" t="s">
        <v>2547</v>
      </c>
      <c r="E103" s="25" t="s">
        <v>2548</v>
      </c>
      <c r="F103" s="25" t="s">
        <v>2546</v>
      </c>
      <c r="G103" s="57" t="str">
        <f>HYPERLINK("https://www.acquisition.gov/content/part-9-contractor-qualifications#i1116079","FAR 9.104 Standards [responsible prospective contractors].")</f>
        <v>FAR 9.104 Standards [responsible prospective contractors].</v>
      </c>
      <c r="H103" s="25"/>
      <c r="I103" s="124" t="s">
        <v>2529</v>
      </c>
      <c r="J103" s="37" t="s">
        <v>919</v>
      </c>
      <c r="K103" s="75" t="s">
        <v>2151</v>
      </c>
      <c r="L103" s="25" t="s">
        <v>2152</v>
      </c>
      <c r="M103" s="25" t="s">
        <v>2154</v>
      </c>
      <c r="N103" s="25" t="s">
        <v>2155</v>
      </c>
      <c r="O103" s="64"/>
      <c r="P103" s="45" t="b">
        <f t="shared" si="9"/>
        <v>0</v>
      </c>
      <c r="Q103" s="45">
        <f t="shared" si="10"/>
        <v>3</v>
      </c>
      <c r="R103" s="45">
        <f t="shared" si="11"/>
        <v>0</v>
      </c>
      <c r="S103" s="24"/>
      <c r="T103" s="24"/>
      <c r="U103" s="24"/>
      <c r="V103" s="24"/>
      <c r="W103" s="24"/>
      <c r="X103" s="24"/>
      <c r="Y103" s="24"/>
      <c r="Z103" s="24"/>
      <c r="AA103" s="24"/>
      <c r="AB103" s="24"/>
      <c r="AC103" s="24"/>
      <c r="AD103" s="24"/>
      <c r="AE103" s="24"/>
    </row>
    <row r="104" spans="1:31" ht="76.099999999999994">
      <c r="A104" s="91" t="s">
        <v>916</v>
      </c>
      <c r="B104" s="26" t="s">
        <v>928</v>
      </c>
      <c r="C104" s="26" t="s">
        <v>947</v>
      </c>
      <c r="D104" s="26" t="s">
        <v>2549</v>
      </c>
      <c r="E104" s="25" t="s">
        <v>2550</v>
      </c>
      <c r="F104" s="25" t="s">
        <v>2551</v>
      </c>
      <c r="G104" s="57" t="str">
        <f>HYPERLINK("https://www.acquisition.gov/content/part-9-contractor-qualifications#i1116324","FAR 9.106-1 Conditions for preaward surveys [responsible prospective contractors].")</f>
        <v>FAR 9.106-1 Conditions for preaward surveys [responsible prospective contractors].</v>
      </c>
      <c r="H104" s="25"/>
      <c r="I104" s="34"/>
      <c r="J104" s="37" t="s">
        <v>463</v>
      </c>
      <c r="K104" s="37" t="s">
        <v>2552</v>
      </c>
      <c r="L104" s="78" t="s">
        <v>2553</v>
      </c>
      <c r="M104" s="126" t="s">
        <v>2554</v>
      </c>
      <c r="N104" s="92" t="s">
        <v>1536</v>
      </c>
      <c r="O104" s="64"/>
      <c r="P104" s="45" t="b">
        <f t="shared" si="9"/>
        <v>0</v>
      </c>
      <c r="Q104" s="45">
        <f t="shared" si="10"/>
        <v>0</v>
      </c>
      <c r="R104" s="45">
        <f t="shared" si="11"/>
        <v>0</v>
      </c>
      <c r="S104" s="24"/>
      <c r="T104" s="24"/>
      <c r="U104" s="24"/>
      <c r="V104" s="24"/>
      <c r="W104" s="24"/>
      <c r="X104" s="24"/>
      <c r="Y104" s="24"/>
      <c r="Z104" s="24"/>
      <c r="AA104" s="24"/>
      <c r="AB104" s="24"/>
      <c r="AC104" s="24"/>
      <c r="AD104" s="24"/>
      <c r="AE104" s="24"/>
    </row>
    <row r="105" spans="1:31" ht="119.55">
      <c r="A105" s="91" t="s">
        <v>916</v>
      </c>
      <c r="B105" s="26" t="s">
        <v>928</v>
      </c>
      <c r="C105" s="26" t="s">
        <v>947</v>
      </c>
      <c r="D105" s="26" t="s">
        <v>2555</v>
      </c>
      <c r="E105" s="25" t="s">
        <v>2556</v>
      </c>
      <c r="F105" s="25" t="s">
        <v>2557</v>
      </c>
      <c r="G105" s="57" t="str">
        <f>HYPERLINK("https://www.acquisition.gov/content/part-9-contractor-qualifications#i1116335","FAR 9.106-2 Requests for preaward surveys [responsible prospective contractors].")</f>
        <v>FAR 9.106-2 Requests for preaward surveys [responsible prospective contractors].</v>
      </c>
      <c r="H105" s="25"/>
      <c r="I105" s="34"/>
      <c r="J105" s="37" t="s">
        <v>463</v>
      </c>
      <c r="K105" s="37" t="s">
        <v>2558</v>
      </c>
      <c r="L105" s="78" t="s">
        <v>2559</v>
      </c>
      <c r="M105" s="126" t="s">
        <v>2560</v>
      </c>
      <c r="N105" s="25" t="s">
        <v>2561</v>
      </c>
      <c r="O105" s="64"/>
      <c r="P105" s="45" t="b">
        <f t="shared" si="9"/>
        <v>0</v>
      </c>
      <c r="Q105" s="45">
        <f t="shared" si="10"/>
        <v>0</v>
      </c>
      <c r="R105" s="45">
        <f t="shared" si="11"/>
        <v>0</v>
      </c>
      <c r="S105" s="24"/>
      <c r="T105" s="24"/>
      <c r="U105" s="24"/>
      <c r="V105" s="24"/>
      <c r="W105" s="24"/>
      <c r="X105" s="24"/>
      <c r="Y105" s="24"/>
      <c r="Z105" s="24"/>
      <c r="AA105" s="24"/>
      <c r="AB105" s="24"/>
      <c r="AC105" s="24"/>
      <c r="AD105" s="24"/>
      <c r="AE105" s="24"/>
    </row>
    <row r="106" spans="1:31" ht="173.9">
      <c r="A106" s="91" t="s">
        <v>916</v>
      </c>
      <c r="B106" s="26" t="s">
        <v>928</v>
      </c>
      <c r="C106" s="26" t="s">
        <v>947</v>
      </c>
      <c r="D106" s="26" t="s">
        <v>2562</v>
      </c>
      <c r="E106" s="25" t="s">
        <v>2563</v>
      </c>
      <c r="F106" s="25" t="s">
        <v>2564</v>
      </c>
      <c r="G106" s="57" t="str">
        <f>HYPERLINK("https://www.acquisition.gov/content/part-9-contractor-qualifications#i1116277","FAR 9.105-2 Determinations and documentation [responsible prospective contractors].")</f>
        <v>FAR 9.105-2 Determinations and documentation [responsible prospective contractors].</v>
      </c>
      <c r="H106" s="57" t="str">
        <f>HYPERLINK("https://www.acquisition.gov/sites/default/files/current/gsam/html/Part509.html#wp1858895","GSAR 509.105-2")</f>
        <v>GSAR 509.105-2</v>
      </c>
      <c r="I106" s="124" t="s">
        <v>2529</v>
      </c>
      <c r="J106" s="37" t="s">
        <v>919</v>
      </c>
      <c r="K106" s="75" t="s">
        <v>2151</v>
      </c>
      <c r="L106" s="25" t="s">
        <v>2152</v>
      </c>
      <c r="M106" s="25" t="s">
        <v>2154</v>
      </c>
      <c r="N106" s="25" t="s">
        <v>2155</v>
      </c>
      <c r="O106" s="64"/>
      <c r="P106" s="45" t="b">
        <f t="shared" si="9"/>
        <v>0</v>
      </c>
      <c r="Q106" s="45">
        <f t="shared" si="10"/>
        <v>3</v>
      </c>
      <c r="R106" s="45">
        <f t="shared" si="11"/>
        <v>0</v>
      </c>
      <c r="S106" s="24"/>
      <c r="T106" s="24"/>
      <c r="U106" s="24"/>
      <c r="V106" s="24"/>
      <c r="W106" s="24"/>
      <c r="X106" s="24"/>
      <c r="Y106" s="24"/>
      <c r="Z106" s="24"/>
      <c r="AA106" s="24"/>
      <c r="AB106" s="24"/>
      <c r="AC106" s="24"/>
      <c r="AD106" s="24"/>
      <c r="AE106" s="24"/>
    </row>
    <row r="107" spans="1:31" ht="173.9">
      <c r="A107" s="91" t="s">
        <v>916</v>
      </c>
      <c r="B107" s="26" t="s">
        <v>928</v>
      </c>
      <c r="C107" s="26" t="s">
        <v>947</v>
      </c>
      <c r="D107" s="26" t="s">
        <v>2565</v>
      </c>
      <c r="E107" s="25" t="s">
        <v>2566</v>
      </c>
      <c r="F107" s="25" t="s">
        <v>2567</v>
      </c>
      <c r="G107" s="57" t="str">
        <f>HYPERLINK("https://www.acquisition.gov/content/part-22-application-labor-laws-government-acquisitions#id1617MD030RG","FAR 22.805 Procedures [equal employment opportunity].")</f>
        <v>FAR 22.805 Procedures [equal employment opportunity].</v>
      </c>
      <c r="H107" s="57" t="str">
        <f>HYPERLINK("https://www.acquisition.gov/sites/default/files/current/gsam/html/Part522.html#wp1859354","GSAR 522.805")</f>
        <v>GSAR 522.805</v>
      </c>
      <c r="I107" s="124" t="s">
        <v>2568</v>
      </c>
      <c r="J107" s="37" t="s">
        <v>919</v>
      </c>
      <c r="K107" s="75" t="s">
        <v>2151</v>
      </c>
      <c r="L107" s="25" t="s">
        <v>2152</v>
      </c>
      <c r="M107" s="25" t="s">
        <v>2154</v>
      </c>
      <c r="N107" s="25" t="s">
        <v>2155</v>
      </c>
      <c r="O107" s="64"/>
      <c r="P107" s="45" t="b">
        <f t="shared" si="9"/>
        <v>0</v>
      </c>
      <c r="Q107" s="45">
        <f t="shared" si="10"/>
        <v>3</v>
      </c>
      <c r="R107" s="45">
        <f t="shared" si="11"/>
        <v>0</v>
      </c>
      <c r="S107" s="24"/>
      <c r="T107" s="24"/>
      <c r="U107" s="24"/>
      <c r="V107" s="24"/>
      <c r="W107" s="24"/>
      <c r="X107" s="24"/>
      <c r="Y107" s="24"/>
      <c r="Z107" s="24"/>
      <c r="AA107" s="24"/>
      <c r="AB107" s="24"/>
      <c r="AC107" s="24"/>
      <c r="AD107" s="24"/>
      <c r="AE107" s="24"/>
    </row>
    <row r="108" spans="1:31" ht="86.95">
      <c r="A108" s="91" t="s">
        <v>916</v>
      </c>
      <c r="B108" s="26" t="s">
        <v>928</v>
      </c>
      <c r="C108" s="26" t="s">
        <v>947</v>
      </c>
      <c r="D108" s="26" t="s">
        <v>2569</v>
      </c>
      <c r="E108" s="25" t="s">
        <v>2570</v>
      </c>
      <c r="F108" s="25" t="s">
        <v>2571</v>
      </c>
      <c r="G108" s="57" t="str">
        <f>HYPERLINK("https://www.acquisition.gov/content/part-19-small-business-programs#i1100615","FAR 19.602-1 Referral.")</f>
        <v>FAR 19.602-1 Referral.</v>
      </c>
      <c r="H108" s="57" t="str">
        <f>HYPERLINK("https://www.acquisition.gov/sites/default/files/current/gsam/html/Part519.html#wp1858176","GSAR 519.602")</f>
        <v>GSAR 519.602</v>
      </c>
      <c r="I108" s="34" t="s">
        <v>2572</v>
      </c>
      <c r="J108" s="37" t="s">
        <v>919</v>
      </c>
      <c r="K108" s="37" t="s">
        <v>2573</v>
      </c>
      <c r="L108" s="25" t="s">
        <v>2574</v>
      </c>
      <c r="M108" s="25" t="s">
        <v>2575</v>
      </c>
      <c r="N108" s="25" t="s">
        <v>2576</v>
      </c>
      <c r="O108" s="64"/>
      <c r="P108" s="45" t="b">
        <f t="shared" si="9"/>
        <v>0</v>
      </c>
      <c r="Q108" s="45">
        <f t="shared" si="10"/>
        <v>3</v>
      </c>
      <c r="R108" s="45">
        <f t="shared" si="11"/>
        <v>0</v>
      </c>
      <c r="S108" s="24"/>
      <c r="T108" s="24"/>
      <c r="U108" s="24"/>
      <c r="V108" s="24"/>
      <c r="W108" s="24"/>
      <c r="X108" s="24"/>
      <c r="Y108" s="24"/>
      <c r="Z108" s="24"/>
      <c r="AA108" s="24"/>
      <c r="AB108" s="24"/>
      <c r="AC108" s="24"/>
      <c r="AD108" s="24"/>
      <c r="AE108" s="24"/>
    </row>
    <row r="109" spans="1:31" ht="336.9">
      <c r="A109" s="91" t="s">
        <v>916</v>
      </c>
      <c r="B109" s="26" t="s">
        <v>928</v>
      </c>
      <c r="C109" s="26" t="s">
        <v>947</v>
      </c>
      <c r="D109" s="26" t="s">
        <v>2577</v>
      </c>
      <c r="E109" s="25" t="s">
        <v>2578</v>
      </c>
      <c r="F109" s="25" t="s">
        <v>2579</v>
      </c>
      <c r="G109" s="25" t="s">
        <v>2580</v>
      </c>
      <c r="H109" s="25"/>
      <c r="I109" s="34" t="s">
        <v>2581</v>
      </c>
      <c r="J109" s="37" t="s">
        <v>1473</v>
      </c>
      <c r="K109" s="37" t="s">
        <v>2582</v>
      </c>
      <c r="L109" s="25" t="s">
        <v>2583</v>
      </c>
      <c r="M109" s="25" t="s">
        <v>2584</v>
      </c>
      <c r="N109" s="25" t="s">
        <v>2585</v>
      </c>
      <c r="O109" s="64"/>
      <c r="P109" s="45" t="b">
        <f t="shared" si="9"/>
        <v>0</v>
      </c>
      <c r="Q109" s="45">
        <f t="shared" si="10"/>
        <v>3</v>
      </c>
      <c r="R109" s="45">
        <f t="shared" si="11"/>
        <v>0</v>
      </c>
      <c r="S109" s="24"/>
      <c r="T109" s="24"/>
      <c r="U109" s="24"/>
      <c r="V109" s="24"/>
      <c r="W109" s="24"/>
      <c r="X109" s="24"/>
      <c r="Y109" s="24"/>
      <c r="Z109" s="24"/>
      <c r="AA109" s="24"/>
      <c r="AB109" s="24"/>
      <c r="AC109" s="24"/>
      <c r="AD109" s="24"/>
      <c r="AE109" s="24"/>
    </row>
    <row r="110" spans="1:31" ht="184.75">
      <c r="A110" s="91" t="s">
        <v>916</v>
      </c>
      <c r="B110" s="26" t="s">
        <v>928</v>
      </c>
      <c r="C110" s="26" t="s">
        <v>947</v>
      </c>
      <c r="D110" s="26" t="s">
        <v>2586</v>
      </c>
      <c r="E110" s="25" t="s">
        <v>2587</v>
      </c>
      <c r="F110" s="25" t="s">
        <v>2588</v>
      </c>
      <c r="G110" s="57" t="str">
        <f>HYPERLINK("https://www.acquisition.gov/content/part-19-small-business-programs#i1100615","FAR 19.602-1(a)(1) Referral.")</f>
        <v>FAR 19.602-1(a)(1) Referral.</v>
      </c>
      <c r="H110" s="57" t="str">
        <f t="shared" ref="H110:H112" si="15">HYPERLINK("https://www.acquisition.gov/sites/default/files/current/gsam/html/Part519.html#wp1858176","GSAR 519.602")</f>
        <v>GSAR 519.602</v>
      </c>
      <c r="I110" s="34" t="s">
        <v>2589</v>
      </c>
      <c r="J110" s="37" t="s">
        <v>919</v>
      </c>
      <c r="K110" s="37" t="s">
        <v>2590</v>
      </c>
      <c r="L110" s="25" t="s">
        <v>2591</v>
      </c>
      <c r="M110" s="25" t="s">
        <v>2592</v>
      </c>
      <c r="N110" s="25" t="s">
        <v>1070</v>
      </c>
      <c r="O110" s="64"/>
      <c r="P110" s="45" t="b">
        <f t="shared" si="9"/>
        <v>0</v>
      </c>
      <c r="Q110" s="45">
        <f t="shared" si="10"/>
        <v>3</v>
      </c>
      <c r="R110" s="45">
        <f t="shared" si="11"/>
        <v>0</v>
      </c>
      <c r="S110" s="24"/>
      <c r="T110" s="24"/>
      <c r="U110" s="24"/>
      <c r="V110" s="24"/>
      <c r="W110" s="24"/>
      <c r="X110" s="24"/>
      <c r="Y110" s="24"/>
      <c r="Z110" s="24"/>
      <c r="AA110" s="24"/>
      <c r="AB110" s="24"/>
      <c r="AC110" s="24"/>
      <c r="AD110" s="24"/>
      <c r="AE110" s="24"/>
    </row>
    <row r="111" spans="1:31" ht="86.95">
      <c r="A111" s="91" t="s">
        <v>916</v>
      </c>
      <c r="B111" s="26" t="s">
        <v>928</v>
      </c>
      <c r="C111" s="26" t="s">
        <v>947</v>
      </c>
      <c r="D111" s="26" t="s">
        <v>2593</v>
      </c>
      <c r="E111" s="25" t="s">
        <v>2594</v>
      </c>
      <c r="F111" s="25" t="s">
        <v>1075</v>
      </c>
      <c r="G111" s="57" t="str">
        <f>HYPERLINK("https://www.acquisition.gov/content/part-19-small-business-programs#i1100615","FAR 19.602-1(a)(2) Referral.")</f>
        <v>FAR 19.602-1(a)(2) Referral.</v>
      </c>
      <c r="H111" s="57" t="str">
        <f t="shared" si="15"/>
        <v>GSAR 519.602</v>
      </c>
      <c r="I111" s="34" t="s">
        <v>1122</v>
      </c>
      <c r="J111" s="37" t="s">
        <v>919</v>
      </c>
      <c r="K111" s="75" t="s">
        <v>1242</v>
      </c>
      <c r="L111" s="25" t="s">
        <v>1243</v>
      </c>
      <c r="M111" s="25" t="s">
        <v>1244</v>
      </c>
      <c r="N111" s="25" t="s">
        <v>1246</v>
      </c>
      <c r="O111" s="64"/>
      <c r="P111" s="45" t="b">
        <f t="shared" si="9"/>
        <v>0</v>
      </c>
      <c r="Q111" s="45">
        <f t="shared" si="10"/>
        <v>3</v>
      </c>
      <c r="R111" s="45">
        <f t="shared" si="11"/>
        <v>0</v>
      </c>
      <c r="S111" s="24"/>
      <c r="T111" s="24"/>
      <c r="U111" s="24"/>
      <c r="V111" s="24"/>
      <c r="W111" s="24"/>
      <c r="X111" s="24"/>
      <c r="Y111" s="24"/>
      <c r="Z111" s="24"/>
      <c r="AA111" s="24"/>
      <c r="AB111" s="24"/>
      <c r="AC111" s="24"/>
      <c r="AD111" s="24"/>
      <c r="AE111" s="24"/>
    </row>
    <row r="112" spans="1:31" ht="76.099999999999994">
      <c r="A112" s="91" t="s">
        <v>916</v>
      </c>
      <c r="B112" s="26" t="s">
        <v>928</v>
      </c>
      <c r="C112" s="26" t="s">
        <v>947</v>
      </c>
      <c r="D112" s="26" t="s">
        <v>2595</v>
      </c>
      <c r="E112" s="25" t="s">
        <v>2596</v>
      </c>
      <c r="F112" s="25" t="s">
        <v>2597</v>
      </c>
      <c r="G112" s="57" t="str">
        <f>HYPERLINK("https://www.acquisition.gov/content/part-19-small-business-programs#i1100669","FAR 19.602-3 Resolving differences between the agency and the Small Business Administration.")</f>
        <v>FAR 19.602-3 Resolving differences between the agency and the Small Business Administration.</v>
      </c>
      <c r="H112" s="57" t="str">
        <f t="shared" si="15"/>
        <v>GSAR 519.602</v>
      </c>
      <c r="I112" s="34" t="s">
        <v>2589</v>
      </c>
      <c r="J112" s="37" t="s">
        <v>919</v>
      </c>
      <c r="K112" s="37" t="s">
        <v>2598</v>
      </c>
      <c r="L112" s="25" t="s">
        <v>2599</v>
      </c>
      <c r="M112" s="25" t="s">
        <v>2600</v>
      </c>
      <c r="N112" s="25" t="s">
        <v>2225</v>
      </c>
      <c r="O112" s="64"/>
      <c r="P112" s="45" t="b">
        <f t="shared" si="9"/>
        <v>0</v>
      </c>
      <c r="Q112" s="45">
        <f t="shared" si="10"/>
        <v>3</v>
      </c>
      <c r="R112" s="45">
        <f t="shared" si="11"/>
        <v>0</v>
      </c>
      <c r="S112" s="24"/>
      <c r="T112" s="24"/>
      <c r="U112" s="24"/>
      <c r="V112" s="24"/>
      <c r="W112" s="24"/>
      <c r="X112" s="24"/>
      <c r="Y112" s="24"/>
      <c r="Z112" s="24"/>
      <c r="AA112" s="24"/>
      <c r="AB112" s="24"/>
      <c r="AC112" s="24"/>
      <c r="AD112" s="24"/>
      <c r="AE112" s="24"/>
    </row>
    <row r="113" spans="1:31" ht="86.95">
      <c r="A113" s="91" t="s">
        <v>916</v>
      </c>
      <c r="B113" s="26" t="s">
        <v>928</v>
      </c>
      <c r="C113" s="26" t="s">
        <v>947</v>
      </c>
      <c r="D113" s="26" t="s">
        <v>2601</v>
      </c>
      <c r="E113" s="25" t="s">
        <v>2602</v>
      </c>
      <c r="F113" s="25" t="s">
        <v>2603</v>
      </c>
      <c r="G113" s="57" t="str">
        <f>HYPERLINK("https://www.acquisition.gov/content/part-19-small-business-programs#id1617MD010PA","FAR 19.602-4 Awarding the contract [certificates of competency and determinations of responsibility].")</f>
        <v>FAR 19.602-4 Awarding the contract [certificates of competency and determinations of responsibility].</v>
      </c>
      <c r="H113" s="25"/>
      <c r="I113" s="34" t="s">
        <v>2589</v>
      </c>
      <c r="J113" s="37" t="s">
        <v>919</v>
      </c>
      <c r="K113" s="37" t="s">
        <v>2604</v>
      </c>
      <c r="L113" s="25" t="s">
        <v>2605</v>
      </c>
      <c r="M113" s="25" t="s">
        <v>2606</v>
      </c>
      <c r="N113" s="25" t="s">
        <v>2607</v>
      </c>
      <c r="O113" s="64"/>
      <c r="P113" s="45" t="b">
        <f t="shared" si="9"/>
        <v>0</v>
      </c>
      <c r="Q113" s="45">
        <f t="shared" si="10"/>
        <v>3</v>
      </c>
      <c r="R113" s="45">
        <f t="shared" si="11"/>
        <v>0</v>
      </c>
      <c r="S113" s="24"/>
      <c r="T113" s="24"/>
      <c r="U113" s="24"/>
      <c r="V113" s="24"/>
      <c r="W113" s="24"/>
      <c r="X113" s="24"/>
      <c r="Y113" s="24"/>
      <c r="Z113" s="24"/>
      <c r="AA113" s="24"/>
      <c r="AB113" s="24"/>
      <c r="AC113" s="24"/>
      <c r="AD113" s="24"/>
      <c r="AE113" s="24"/>
    </row>
    <row r="114" spans="1:31" ht="119.55">
      <c r="A114" s="91" t="s">
        <v>916</v>
      </c>
      <c r="B114" s="26" t="s">
        <v>928</v>
      </c>
      <c r="C114" s="26" t="s">
        <v>947</v>
      </c>
      <c r="D114" s="26" t="s">
        <v>2608</v>
      </c>
      <c r="E114" s="25" t="s">
        <v>2609</v>
      </c>
      <c r="F114" s="25" t="s">
        <v>2610</v>
      </c>
      <c r="G114" s="57" t="str">
        <f>HYPERLINK("https://www.acquisition.gov/content/part-19-small-business-programs#i1100649","FAR 19.602-2 Issuing or denying a Certificate of Competency (COC). FAR 19.602-3 Resolving differences between the agency and the Small Business Administration.")</f>
        <v>FAR 19.602-2 Issuing or denying a Certificate of Competency (COC). FAR 19.602-3 Resolving differences between the agency and the Small Business Administration.</v>
      </c>
      <c r="H114" s="25"/>
      <c r="I114" s="34" t="s">
        <v>1122</v>
      </c>
      <c r="J114" s="37" t="s">
        <v>919</v>
      </c>
      <c r="K114" s="75" t="s">
        <v>1151</v>
      </c>
      <c r="L114" s="25" t="s">
        <v>2611</v>
      </c>
      <c r="M114" s="25" t="s">
        <v>1153</v>
      </c>
      <c r="N114" s="25" t="s">
        <v>1155</v>
      </c>
      <c r="O114" s="64"/>
      <c r="P114" s="45" t="b">
        <f t="shared" si="9"/>
        <v>0</v>
      </c>
      <c r="Q114" s="45">
        <f t="shared" si="10"/>
        <v>3</v>
      </c>
      <c r="R114" s="45">
        <f t="shared" si="11"/>
        <v>0</v>
      </c>
      <c r="S114" s="24"/>
      <c r="T114" s="24"/>
      <c r="U114" s="24"/>
      <c r="V114" s="24"/>
      <c r="W114" s="24"/>
      <c r="X114" s="24"/>
      <c r="Y114" s="24"/>
      <c r="Z114" s="24"/>
      <c r="AA114" s="24"/>
      <c r="AB114" s="24"/>
      <c r="AC114" s="24"/>
      <c r="AD114" s="24"/>
      <c r="AE114" s="24"/>
    </row>
    <row r="115" spans="1:31" ht="152.15">
      <c r="A115" s="91" t="s">
        <v>916</v>
      </c>
      <c r="B115" s="26" t="s">
        <v>928</v>
      </c>
      <c r="C115" s="26" t="s">
        <v>947</v>
      </c>
      <c r="D115" s="26" t="s">
        <v>2612</v>
      </c>
      <c r="E115" s="25" t="s">
        <v>2613</v>
      </c>
      <c r="F115" s="25" t="s">
        <v>1166</v>
      </c>
      <c r="G115" s="57" t="str">
        <f>HYPERLINK("https://www.acquisition.gov/content/part-19-small-business-programs#i1100669","FAR 19.602-3 Resolving differences between the agency and the Small Business Administration.")</f>
        <v>FAR 19.602-3 Resolving differences between the agency and the Small Business Administration.</v>
      </c>
      <c r="H115" s="25"/>
      <c r="I115" s="34" t="s">
        <v>1122</v>
      </c>
      <c r="J115" s="37" t="s">
        <v>919</v>
      </c>
      <c r="K115" s="75" t="s">
        <v>1176</v>
      </c>
      <c r="L115" s="25" t="s">
        <v>2614</v>
      </c>
      <c r="M115" s="25" t="s">
        <v>1178</v>
      </c>
      <c r="N115" s="25" t="s">
        <v>1179</v>
      </c>
      <c r="O115" s="64"/>
      <c r="P115" s="45" t="b">
        <f t="shared" si="9"/>
        <v>0</v>
      </c>
      <c r="Q115" s="45">
        <f t="shared" si="10"/>
        <v>3</v>
      </c>
      <c r="R115" s="45">
        <f t="shared" si="11"/>
        <v>0</v>
      </c>
      <c r="S115" s="24"/>
      <c r="T115" s="24"/>
      <c r="U115" s="24"/>
      <c r="V115" s="24"/>
      <c r="W115" s="24"/>
      <c r="X115" s="24"/>
      <c r="Y115" s="24"/>
      <c r="Z115" s="24"/>
      <c r="AA115" s="24"/>
      <c r="AB115" s="24"/>
      <c r="AC115" s="24"/>
      <c r="AD115" s="24"/>
      <c r="AE115" s="24"/>
    </row>
    <row r="116" spans="1:31" ht="65.25">
      <c r="A116" s="91" t="s">
        <v>916</v>
      </c>
      <c r="B116" s="26" t="s">
        <v>928</v>
      </c>
      <c r="C116" s="26" t="s">
        <v>947</v>
      </c>
      <c r="D116" s="26" t="s">
        <v>2615</v>
      </c>
      <c r="E116" s="25" t="s">
        <v>2616</v>
      </c>
      <c r="F116" s="25" t="s">
        <v>275</v>
      </c>
      <c r="G116" s="57" t="str">
        <f>HYPERLINK("https://www.acquisition.gov/content/part-4-administrative-matters#id1617MA00ZFE","FAR 4.8 Contents of contract files. ")</f>
        <v xml:space="preserve">FAR 4.8 Contents of contract files. </v>
      </c>
      <c r="H116" s="57" t="str">
        <f>HYPERLINK("https://www.acquisition.gov/sites/default/files/current/gsam/html/Part504.html#wp1863182","GSAR 504.8")</f>
        <v>GSAR 504.8</v>
      </c>
      <c r="I116" s="34" t="s">
        <v>1200</v>
      </c>
      <c r="J116" s="37" t="s">
        <v>919</v>
      </c>
      <c r="K116" s="75" t="s">
        <v>1202</v>
      </c>
      <c r="L116" s="25" t="s">
        <v>2617</v>
      </c>
      <c r="M116" s="25" t="s">
        <v>1204</v>
      </c>
      <c r="N116" s="25" t="s">
        <v>617</v>
      </c>
      <c r="O116" s="64"/>
      <c r="P116" s="45" t="b">
        <f t="shared" si="9"/>
        <v>0</v>
      </c>
      <c r="Q116" s="45">
        <f t="shared" si="10"/>
        <v>3</v>
      </c>
      <c r="R116" s="45">
        <f t="shared" si="11"/>
        <v>0</v>
      </c>
      <c r="S116" s="24"/>
      <c r="T116" s="24"/>
      <c r="U116" s="24"/>
      <c r="V116" s="24"/>
      <c r="W116" s="24"/>
      <c r="X116" s="24"/>
      <c r="Y116" s="24"/>
      <c r="Z116" s="24"/>
      <c r="AA116" s="24"/>
      <c r="AB116" s="24"/>
      <c r="AC116" s="24"/>
      <c r="AD116" s="24"/>
      <c r="AE116" s="24"/>
    </row>
    <row r="117" spans="1:31" ht="119.55">
      <c r="A117" s="91" t="s">
        <v>916</v>
      </c>
      <c r="B117" s="26" t="s">
        <v>928</v>
      </c>
      <c r="C117" s="26" t="s">
        <v>947</v>
      </c>
      <c r="D117" s="26" t="s">
        <v>2618</v>
      </c>
      <c r="E117" s="25" t="s">
        <v>2619</v>
      </c>
      <c r="F117" s="25" t="s">
        <v>2620</v>
      </c>
      <c r="G117" s="57" t="str">
        <f>HYPERLINK("https://www.acquisition.gov/content/part-9-contractor-qualifications#i1115935","FAR 9.206-1(e)(3) General [acquisitions subject to qualification requirements].")</f>
        <v>FAR 9.206-1(e)(3) General [acquisitions subject to qualification requirements].</v>
      </c>
      <c r="H117" s="25"/>
      <c r="I117" s="34"/>
      <c r="J117" s="37" t="s">
        <v>463</v>
      </c>
      <c r="K117" s="37" t="s">
        <v>2621</v>
      </c>
      <c r="L117" s="25" t="s">
        <v>2622</v>
      </c>
      <c r="M117" s="25" t="s">
        <v>2623</v>
      </c>
      <c r="N117" s="25" t="s">
        <v>2624</v>
      </c>
      <c r="O117" s="64"/>
      <c r="P117" s="45" t="b">
        <f t="shared" si="9"/>
        <v>0</v>
      </c>
      <c r="Q117" s="45">
        <f t="shared" si="10"/>
        <v>0</v>
      </c>
      <c r="R117" s="45">
        <f t="shared" si="11"/>
        <v>0</v>
      </c>
      <c r="S117" s="24"/>
      <c r="T117" s="24"/>
      <c r="U117" s="24"/>
      <c r="V117" s="24"/>
      <c r="W117" s="24"/>
      <c r="X117" s="24"/>
      <c r="Y117" s="24"/>
      <c r="Z117" s="24"/>
      <c r="AA117" s="24"/>
      <c r="AB117" s="24"/>
      <c r="AC117" s="24"/>
      <c r="AD117" s="24"/>
      <c r="AE117" s="24"/>
    </row>
    <row r="118" spans="1:31" ht="119.55">
      <c r="A118" s="91" t="s">
        <v>916</v>
      </c>
      <c r="B118" s="26" t="s">
        <v>928</v>
      </c>
      <c r="C118" s="26" t="s">
        <v>947</v>
      </c>
      <c r="D118" s="26" t="s">
        <v>2625</v>
      </c>
      <c r="E118" s="25" t="s">
        <v>2626</v>
      </c>
      <c r="F118" s="25" t="s">
        <v>2627</v>
      </c>
      <c r="G118" s="57" t="str">
        <f>HYPERLINK("https://www.acquisition.gov/content/part-9-contractor-qualifications#i1115935","FAR 9.206-1(e)(1) General [acquisitions subject to qualification requirements].")</f>
        <v>FAR 9.206-1(e)(1) General [acquisitions subject to qualification requirements].</v>
      </c>
      <c r="H118" s="25"/>
      <c r="I118" s="34" t="s">
        <v>2628</v>
      </c>
      <c r="J118" s="37" t="s">
        <v>203</v>
      </c>
      <c r="K118" s="37" t="s">
        <v>2629</v>
      </c>
      <c r="L118" s="25" t="s">
        <v>2630</v>
      </c>
      <c r="M118" s="25" t="s">
        <v>2631</v>
      </c>
      <c r="N118" s="25" t="s">
        <v>2632</v>
      </c>
      <c r="O118" s="64"/>
      <c r="P118" s="45" t="b">
        <f t="shared" si="9"/>
        <v>0</v>
      </c>
      <c r="Q118" s="45">
        <f t="shared" si="10"/>
        <v>3</v>
      </c>
      <c r="R118" s="45">
        <f t="shared" si="11"/>
        <v>0</v>
      </c>
      <c r="S118" s="24"/>
      <c r="T118" s="24"/>
      <c r="U118" s="24"/>
      <c r="V118" s="24"/>
      <c r="W118" s="24"/>
      <c r="X118" s="24"/>
      <c r="Y118" s="24"/>
      <c r="Z118" s="24"/>
      <c r="AA118" s="24"/>
      <c r="AB118" s="24"/>
      <c r="AC118" s="24"/>
      <c r="AD118" s="24"/>
      <c r="AE118" s="24"/>
    </row>
    <row r="119" spans="1:31" ht="108.7">
      <c r="A119" s="91" t="s">
        <v>916</v>
      </c>
      <c r="B119" s="26" t="s">
        <v>928</v>
      </c>
      <c r="C119" s="26" t="s">
        <v>947</v>
      </c>
      <c r="D119" s="26" t="s">
        <v>2633</v>
      </c>
      <c r="E119" s="25" t="s">
        <v>2634</v>
      </c>
      <c r="F119" s="25" t="s">
        <v>1779</v>
      </c>
      <c r="G119" s="57" t="str">
        <f>HYPERLINK("https://www.acquisition.gov/content/part-9-contractor-qualifications#i1115935","FAR 9.206-1(e)(2) General [acquisitions subject to qualification requirements].")</f>
        <v>FAR 9.206-1(e)(2) General [acquisitions subject to qualification requirements].</v>
      </c>
      <c r="H119" s="25"/>
      <c r="I119" s="34" t="s">
        <v>2628</v>
      </c>
      <c r="J119" s="37" t="s">
        <v>203</v>
      </c>
      <c r="K119" s="37" t="s">
        <v>2635</v>
      </c>
      <c r="L119" s="25" t="s">
        <v>2636</v>
      </c>
      <c r="M119" s="25" t="s">
        <v>2637</v>
      </c>
      <c r="N119" s="25" t="s">
        <v>2638</v>
      </c>
      <c r="O119" s="64"/>
      <c r="P119" s="45" t="b">
        <f t="shared" si="9"/>
        <v>0</v>
      </c>
      <c r="Q119" s="45">
        <f t="shared" si="10"/>
        <v>3</v>
      </c>
      <c r="R119" s="45">
        <f t="shared" si="11"/>
        <v>0</v>
      </c>
      <c r="S119" s="24"/>
      <c r="T119" s="24"/>
      <c r="U119" s="24"/>
      <c r="V119" s="24"/>
      <c r="W119" s="24"/>
      <c r="X119" s="24"/>
      <c r="Y119" s="24"/>
      <c r="Z119" s="24"/>
      <c r="AA119" s="24"/>
      <c r="AB119" s="24"/>
      <c r="AC119" s="24"/>
      <c r="AD119" s="24"/>
      <c r="AE119" s="24"/>
    </row>
    <row r="120" spans="1:31" ht="130.44999999999999">
      <c r="A120" s="91" t="s">
        <v>916</v>
      </c>
      <c r="B120" s="26" t="s">
        <v>928</v>
      </c>
      <c r="C120" s="26" t="s">
        <v>947</v>
      </c>
      <c r="D120" s="26" t="s">
        <v>2639</v>
      </c>
      <c r="E120" s="25" t="s">
        <v>2640</v>
      </c>
      <c r="F120" s="25" t="s">
        <v>2641</v>
      </c>
      <c r="G120" s="57" t="str">
        <f>HYPERLINK("https://www.acquisition.gov/content/part-9-contractor-qualifications#i1115935","FAR 9.206-1(e)(4) General [acquisitions subject to qualification requirements]. FAR 9.206-1(e)(5) General [acquisitions subject to qualification requirements]. FAR 9.206-3 Competition [acquisitions subject to qualification requirements].")</f>
        <v>FAR 9.206-1(e)(4) General [acquisitions subject to qualification requirements]. FAR 9.206-1(e)(5) General [acquisitions subject to qualification requirements]. FAR 9.206-3 Competition [acquisitions subject to qualification requirements].</v>
      </c>
      <c r="H120" s="25"/>
      <c r="I120" s="34"/>
      <c r="J120" s="37" t="s">
        <v>463</v>
      </c>
      <c r="K120" s="37" t="s">
        <v>2642</v>
      </c>
      <c r="L120" s="25" t="s">
        <v>2643</v>
      </c>
      <c r="M120" s="25" t="s">
        <v>2644</v>
      </c>
      <c r="N120" s="25" t="s">
        <v>2645</v>
      </c>
      <c r="O120" s="64"/>
      <c r="P120" s="45" t="b">
        <f t="shared" si="9"/>
        <v>0</v>
      </c>
      <c r="Q120" s="45">
        <f t="shared" si="10"/>
        <v>0</v>
      </c>
      <c r="R120" s="45">
        <f t="shared" si="11"/>
        <v>0</v>
      </c>
      <c r="S120" s="24"/>
      <c r="T120" s="24"/>
      <c r="U120" s="24"/>
      <c r="V120" s="24"/>
      <c r="W120" s="24"/>
      <c r="X120" s="24"/>
      <c r="Y120" s="24"/>
      <c r="Z120" s="24"/>
      <c r="AA120" s="24"/>
      <c r="AB120" s="24"/>
      <c r="AC120" s="24"/>
      <c r="AD120" s="24"/>
      <c r="AE120" s="24"/>
    </row>
    <row r="121" spans="1:31" ht="173.9">
      <c r="A121" s="91" t="s">
        <v>916</v>
      </c>
      <c r="B121" s="26" t="s">
        <v>928</v>
      </c>
      <c r="C121" s="26" t="s">
        <v>947</v>
      </c>
      <c r="D121" s="26" t="s">
        <v>2646</v>
      </c>
      <c r="E121" s="25" t="s">
        <v>2647</v>
      </c>
      <c r="F121" s="25" t="s">
        <v>2648</v>
      </c>
      <c r="G121" s="57" t="str">
        <f>HYPERLINK("https://www.acquisition.gov/content/part-9-contractor-qualifications#id1617MD00QRR","FAR 9.207 Changes in status regarding qualification requirements.")</f>
        <v>FAR 9.207 Changes in status regarding qualification requirements.</v>
      </c>
      <c r="H121" s="25"/>
      <c r="I121" s="34"/>
      <c r="J121" s="37" t="s">
        <v>463</v>
      </c>
      <c r="K121" s="37" t="s">
        <v>2649</v>
      </c>
      <c r="L121" s="25" t="s">
        <v>2650</v>
      </c>
      <c r="M121" s="25" t="s">
        <v>2651</v>
      </c>
      <c r="N121" s="25" t="s">
        <v>2652</v>
      </c>
      <c r="O121" s="64"/>
      <c r="P121" s="45" t="b">
        <f t="shared" si="9"/>
        <v>0</v>
      </c>
      <c r="Q121" s="45">
        <f t="shared" si="10"/>
        <v>0</v>
      </c>
      <c r="R121" s="45">
        <f t="shared" si="11"/>
        <v>0</v>
      </c>
      <c r="S121" s="24"/>
      <c r="T121" s="24"/>
      <c r="U121" s="24"/>
      <c r="V121" s="24"/>
      <c r="W121" s="24"/>
      <c r="X121" s="24"/>
      <c r="Y121" s="24"/>
      <c r="Z121" s="24"/>
      <c r="AA121" s="24"/>
      <c r="AB121" s="24"/>
      <c r="AC121" s="24"/>
      <c r="AD121" s="24"/>
      <c r="AE121" s="24"/>
    </row>
    <row r="122" spans="1:31" ht="152.15">
      <c r="A122" s="91" t="s">
        <v>916</v>
      </c>
      <c r="B122" s="26" t="s">
        <v>928</v>
      </c>
      <c r="C122" s="26" t="s">
        <v>947</v>
      </c>
      <c r="D122" s="26" t="s">
        <v>2653</v>
      </c>
      <c r="E122" s="25" t="s">
        <v>2654</v>
      </c>
      <c r="F122" s="25" t="s">
        <v>297</v>
      </c>
      <c r="G122" s="57" t="str">
        <f>HYPERLINK("https://www.acquisition.gov/content/part-9-contractor-qualifications#i1115830","FAR 9.202 Policy [qualification requirements].")</f>
        <v>FAR 9.202 Policy [qualification requirements].</v>
      </c>
      <c r="H122" s="25"/>
      <c r="I122" s="34"/>
      <c r="J122" s="37" t="s">
        <v>463</v>
      </c>
      <c r="K122" s="37" t="s">
        <v>2655</v>
      </c>
      <c r="L122" s="25" t="s">
        <v>2656</v>
      </c>
      <c r="M122" s="25" t="s">
        <v>2657</v>
      </c>
      <c r="N122" s="25" t="s">
        <v>2658</v>
      </c>
      <c r="O122" s="64"/>
      <c r="P122" s="45" t="b">
        <f t="shared" si="9"/>
        <v>0</v>
      </c>
      <c r="Q122" s="45">
        <f t="shared" si="10"/>
        <v>0</v>
      </c>
      <c r="R122" s="45">
        <f t="shared" si="11"/>
        <v>0</v>
      </c>
      <c r="S122" s="24"/>
      <c r="T122" s="24"/>
      <c r="U122" s="24"/>
      <c r="V122" s="24"/>
      <c r="W122" s="24"/>
      <c r="X122" s="24"/>
      <c r="Y122" s="24"/>
      <c r="Z122" s="24"/>
      <c r="AA122" s="24"/>
      <c r="AB122" s="24"/>
      <c r="AC122" s="24"/>
      <c r="AD122" s="24"/>
      <c r="AE122" s="24"/>
    </row>
    <row r="123" spans="1:31" ht="97.85">
      <c r="A123" s="91" t="s">
        <v>916</v>
      </c>
      <c r="B123" s="26" t="s">
        <v>928</v>
      </c>
      <c r="C123" s="26" t="s">
        <v>947</v>
      </c>
      <c r="D123" s="25" t="s">
        <v>2659</v>
      </c>
      <c r="E123" s="25" t="s">
        <v>2660</v>
      </c>
      <c r="F123" s="25" t="s">
        <v>2661</v>
      </c>
      <c r="G123" s="57" t="e">
        <f>HYPERLINK("https://www.acquisition.gov/content/part-19-small-business-programs","FAR 19.702(a)(1) Statutory requirements [the small business subcontracting program]. FAR 19.702(a)(2) Statutory requirements [the small business subcontracting program]. FAR 19.704 Subcontracting plan requirements [the small business subcontracting progra"&amp;"m]. FAR 19.705-2(d) Determining the need for a subcontracting plan [responsibilities of the contracting officer under the subcontracting assistance program]. ")</f>
        <v>#VALUE!</v>
      </c>
      <c r="H123" s="25"/>
      <c r="I123" s="34" t="s">
        <v>2662</v>
      </c>
      <c r="J123" s="37" t="s">
        <v>919</v>
      </c>
      <c r="K123" s="37" t="s">
        <v>2663</v>
      </c>
      <c r="L123" s="25" t="s">
        <v>2664</v>
      </c>
      <c r="M123" s="25" t="s">
        <v>2665</v>
      </c>
      <c r="N123" s="25" t="s">
        <v>2666</v>
      </c>
      <c r="O123" s="64"/>
      <c r="P123" s="45" t="b">
        <f t="shared" si="9"/>
        <v>0</v>
      </c>
      <c r="Q123" s="45">
        <f t="shared" si="10"/>
        <v>3</v>
      </c>
      <c r="R123" s="45">
        <f t="shared" si="11"/>
        <v>0</v>
      </c>
      <c r="S123" s="24"/>
      <c r="T123" s="24"/>
      <c r="U123" s="24"/>
      <c r="V123" s="24"/>
      <c r="W123" s="24"/>
      <c r="X123" s="24"/>
      <c r="Y123" s="24"/>
      <c r="Z123" s="24"/>
      <c r="AA123" s="24"/>
      <c r="AB123" s="24"/>
      <c r="AC123" s="24"/>
      <c r="AD123" s="24"/>
      <c r="AE123" s="24"/>
    </row>
    <row r="124" spans="1:31" ht="130.44999999999999">
      <c r="A124" s="91" t="s">
        <v>916</v>
      </c>
      <c r="B124" s="26" t="s">
        <v>928</v>
      </c>
      <c r="C124" s="26" t="s">
        <v>947</v>
      </c>
      <c r="D124" s="25" t="s">
        <v>2667</v>
      </c>
      <c r="E124" s="25" t="s">
        <v>2668</v>
      </c>
      <c r="F124" s="25" t="s">
        <v>2669</v>
      </c>
      <c r="G124" s="57" t="e">
        <f>HYPERLINK("https://www.acquisition.gov/content/part-19-small-business-programs#id1617MD010SY","FAR 19.705-3 Preparing the solicitation [responsibilities of the contracting officer under the subcontracting assistance program]. FAR 19.705-5 Awards involving subcontracting plans [responsibilities of the contracting officer under the subcontracting ass"&amp;"istance program]. ")</f>
        <v>#VALUE!</v>
      </c>
      <c r="H124" s="57" t="str">
        <f>HYPERLINK("https://www.acquisition.gov/sites/default/files/current/gsam/html/Part519.html#wp1858209","GSAR 519.705-3 and GSAR 519.705-5")</f>
        <v>GSAR 519.705-3 and GSAR 519.705-5</v>
      </c>
      <c r="I124" s="34" t="s">
        <v>2670</v>
      </c>
      <c r="J124" s="37" t="s">
        <v>919</v>
      </c>
      <c r="K124" s="37" t="s">
        <v>2671</v>
      </c>
      <c r="L124" s="25" t="s">
        <v>2672</v>
      </c>
      <c r="M124" s="25" t="s">
        <v>2673</v>
      </c>
      <c r="N124" s="25" t="s">
        <v>2674</v>
      </c>
      <c r="O124" s="64"/>
      <c r="P124" s="45" t="b">
        <f t="shared" si="9"/>
        <v>0</v>
      </c>
      <c r="Q124" s="45">
        <f t="shared" si="10"/>
        <v>3</v>
      </c>
      <c r="R124" s="45">
        <f t="shared" si="11"/>
        <v>0</v>
      </c>
      <c r="S124" s="24"/>
      <c r="T124" s="24"/>
      <c r="U124" s="24"/>
      <c r="V124" s="24"/>
      <c r="W124" s="24"/>
      <c r="X124" s="24"/>
      <c r="Y124" s="24"/>
      <c r="Z124" s="24"/>
      <c r="AA124" s="24"/>
      <c r="AB124" s="24"/>
      <c r="AC124" s="24"/>
      <c r="AD124" s="24"/>
      <c r="AE124" s="24"/>
    </row>
    <row r="125" spans="1:31" ht="119.55">
      <c r="A125" s="91" t="s">
        <v>916</v>
      </c>
      <c r="B125" s="26" t="s">
        <v>928</v>
      </c>
      <c r="C125" s="26" t="s">
        <v>947</v>
      </c>
      <c r="D125" s="25" t="s">
        <v>2675</v>
      </c>
      <c r="E125" s="25" t="s">
        <v>2676</v>
      </c>
      <c r="F125" s="25" t="s">
        <v>2677</v>
      </c>
      <c r="G125" s="57" t="str">
        <f t="shared" ref="G125:G126" si="16">HYPERLINK("https://www.acquisition.gov/content/part-19-small-business-programs#id1617MD010NL","FAR 19.705-4 Reviewing the subcontracting plan [responsibilities of the contracting officer under the subcontracting assistance program]. ")</f>
        <v xml:space="preserve">FAR 19.705-4 Reviewing the subcontracting plan [responsibilities of the contracting officer under the subcontracting assistance program]. </v>
      </c>
      <c r="H125" s="57" t="str">
        <f t="shared" ref="H125:H128" si="17">HYPERLINK("https://www.acquisition.gov/sites/default/files/current/gsam/html/Part519.html#wp1858224","GSAR 519.705-4")</f>
        <v>GSAR 519.705-4</v>
      </c>
      <c r="I125" s="34" t="s">
        <v>2670</v>
      </c>
      <c r="J125" s="37" t="s">
        <v>919</v>
      </c>
      <c r="K125" s="37" t="s">
        <v>2678</v>
      </c>
      <c r="L125" s="25" t="s">
        <v>2679</v>
      </c>
      <c r="M125" s="25" t="s">
        <v>2680</v>
      </c>
      <c r="N125" s="25" t="s">
        <v>2681</v>
      </c>
      <c r="O125" s="64"/>
      <c r="P125" s="45" t="b">
        <f t="shared" si="9"/>
        <v>0</v>
      </c>
      <c r="Q125" s="45">
        <f t="shared" si="10"/>
        <v>3</v>
      </c>
      <c r="R125" s="45">
        <f t="shared" si="11"/>
        <v>0</v>
      </c>
      <c r="S125" s="24"/>
      <c r="T125" s="24"/>
      <c r="U125" s="24"/>
      <c r="V125" s="24"/>
      <c r="W125" s="24"/>
      <c r="X125" s="24"/>
      <c r="Y125" s="24"/>
      <c r="Z125" s="24"/>
      <c r="AA125" s="24"/>
      <c r="AB125" s="24"/>
      <c r="AC125" s="24"/>
      <c r="AD125" s="24"/>
      <c r="AE125" s="24"/>
    </row>
    <row r="126" spans="1:31" ht="141.30000000000001">
      <c r="A126" s="91" t="s">
        <v>916</v>
      </c>
      <c r="B126" s="26" t="s">
        <v>928</v>
      </c>
      <c r="C126" s="26" t="s">
        <v>947</v>
      </c>
      <c r="D126" s="25" t="s">
        <v>2682</v>
      </c>
      <c r="E126" s="25" t="s">
        <v>2683</v>
      </c>
      <c r="F126" s="25" t="s">
        <v>2677</v>
      </c>
      <c r="G126" s="57" t="str">
        <f t="shared" si="16"/>
        <v xml:space="preserve">FAR 19.705-4 Reviewing the subcontracting plan [responsibilities of the contracting officer under the subcontracting assistance program]. </v>
      </c>
      <c r="H126" s="57" t="str">
        <f t="shared" si="17"/>
        <v>GSAR 519.705-4</v>
      </c>
      <c r="I126" s="34" t="s">
        <v>2684</v>
      </c>
      <c r="J126" s="37" t="s">
        <v>919</v>
      </c>
      <c r="K126" s="37" t="s">
        <v>2685</v>
      </c>
      <c r="L126" s="25" t="s">
        <v>2679</v>
      </c>
      <c r="M126" s="25" t="s">
        <v>2686</v>
      </c>
      <c r="N126" s="25" t="s">
        <v>2681</v>
      </c>
      <c r="O126" s="64"/>
      <c r="P126" s="45" t="b">
        <f t="shared" si="9"/>
        <v>0</v>
      </c>
      <c r="Q126" s="45">
        <f t="shared" si="10"/>
        <v>3</v>
      </c>
      <c r="R126" s="45">
        <f t="shared" si="11"/>
        <v>0</v>
      </c>
      <c r="S126" s="24"/>
      <c r="T126" s="24"/>
      <c r="U126" s="24"/>
      <c r="V126" s="24"/>
      <c r="W126" s="24"/>
      <c r="X126" s="24"/>
      <c r="Y126" s="24"/>
      <c r="Z126" s="24"/>
      <c r="AA126" s="24"/>
      <c r="AB126" s="24"/>
      <c r="AC126" s="24"/>
      <c r="AD126" s="24"/>
      <c r="AE126" s="24"/>
    </row>
    <row r="127" spans="1:31" ht="119.55">
      <c r="A127" s="91" t="s">
        <v>916</v>
      </c>
      <c r="B127" s="26" t="s">
        <v>928</v>
      </c>
      <c r="C127" s="26" t="s">
        <v>947</v>
      </c>
      <c r="D127" s="25" t="s">
        <v>2687</v>
      </c>
      <c r="E127" s="25" t="s">
        <v>2688</v>
      </c>
      <c r="F127" s="25" t="s">
        <v>2689</v>
      </c>
      <c r="G127" s="57" t="e">
        <f>HYPERLINK("https://www.acquisition.gov/content/part-19-small-business-programs#id1617MD010NL","FAR 19.705-4(b) Reviewing the subcontracting plan [responsibilities of the contracting officer under the subcontracting assistance program]. FAR 19.705-4(c) Reviewing the subcontracting plan [responsibilities of the contracting officer under the subcontra"&amp;"cting assistance program].")</f>
        <v>#VALUE!</v>
      </c>
      <c r="H127" s="57" t="str">
        <f t="shared" si="17"/>
        <v>GSAR 519.705-4</v>
      </c>
      <c r="I127" s="34" t="s">
        <v>2690</v>
      </c>
      <c r="J127" s="37" t="s">
        <v>919</v>
      </c>
      <c r="K127" s="37" t="s">
        <v>2691</v>
      </c>
      <c r="L127" s="25" t="s">
        <v>2692</v>
      </c>
      <c r="M127" s="25" t="s">
        <v>2693</v>
      </c>
      <c r="N127" s="25" t="s">
        <v>2694</v>
      </c>
      <c r="O127" s="64"/>
      <c r="P127" s="45" t="b">
        <f t="shared" si="9"/>
        <v>0</v>
      </c>
      <c r="Q127" s="45">
        <f t="shared" si="10"/>
        <v>3</v>
      </c>
      <c r="R127" s="45">
        <f t="shared" si="11"/>
        <v>0</v>
      </c>
      <c r="S127" s="24"/>
      <c r="T127" s="24"/>
      <c r="U127" s="24"/>
      <c r="V127" s="24"/>
      <c r="W127" s="24"/>
      <c r="X127" s="24"/>
      <c r="Y127" s="24"/>
      <c r="Z127" s="24"/>
      <c r="AA127" s="24"/>
      <c r="AB127" s="24"/>
      <c r="AC127" s="24"/>
      <c r="AD127" s="24"/>
      <c r="AE127" s="24"/>
    </row>
    <row r="128" spans="1:31" ht="130.44999999999999">
      <c r="A128" s="91" t="s">
        <v>916</v>
      </c>
      <c r="B128" s="26" t="s">
        <v>928</v>
      </c>
      <c r="C128" s="26" t="s">
        <v>947</v>
      </c>
      <c r="D128" s="25" t="s">
        <v>2695</v>
      </c>
      <c r="E128" s="25" t="s">
        <v>2696</v>
      </c>
      <c r="F128" s="25" t="s">
        <v>2697</v>
      </c>
      <c r="G128" s="57" t="str">
        <f>HYPERLINK("https://www.acquisition.gov/content/part-19-small-business-programs#id1617MD010NL","FAR 19.705-4 Reviewing the subcontracting plans [responsibilities of the contracting officer under the subcontracting assistance program].")</f>
        <v>FAR 19.705-4 Reviewing the subcontracting plans [responsibilities of the contracting officer under the subcontracting assistance program].</v>
      </c>
      <c r="H128" s="57" t="str">
        <f t="shared" si="17"/>
        <v>GSAR 519.705-4</v>
      </c>
      <c r="I128" s="34" t="s">
        <v>2698</v>
      </c>
      <c r="J128" s="37" t="s">
        <v>919</v>
      </c>
      <c r="K128" s="37" t="s">
        <v>2699</v>
      </c>
      <c r="L128" s="127" t="s">
        <v>2700</v>
      </c>
      <c r="M128" s="25" t="s">
        <v>2701</v>
      </c>
      <c r="N128" s="25" t="s">
        <v>2702</v>
      </c>
      <c r="O128" s="64"/>
      <c r="P128" s="45" t="b">
        <f t="shared" si="9"/>
        <v>0</v>
      </c>
      <c r="Q128" s="45">
        <f t="shared" si="10"/>
        <v>3</v>
      </c>
      <c r="R128" s="45">
        <f t="shared" si="11"/>
        <v>0</v>
      </c>
      <c r="S128" s="24"/>
      <c r="T128" s="24"/>
      <c r="U128" s="24"/>
      <c r="V128" s="24"/>
      <c r="W128" s="24"/>
      <c r="X128" s="24"/>
      <c r="Y128" s="24"/>
      <c r="Z128" s="24"/>
      <c r="AA128" s="24"/>
      <c r="AB128" s="24"/>
      <c r="AC128" s="24"/>
      <c r="AD128" s="24"/>
      <c r="AE128" s="24"/>
    </row>
    <row r="129" spans="1:31" ht="86.95">
      <c r="A129" s="91" t="s">
        <v>916</v>
      </c>
      <c r="B129" s="26" t="s">
        <v>928</v>
      </c>
      <c r="C129" s="26" t="s">
        <v>947</v>
      </c>
      <c r="D129" s="25" t="s">
        <v>2703</v>
      </c>
      <c r="E129" s="25" t="s">
        <v>2704</v>
      </c>
      <c r="F129" s="25" t="s">
        <v>1710</v>
      </c>
      <c r="G129" s="57" t="str">
        <f>HYPERLINK("https://www.acquisition.gov/content/part-19-small-business-programs#id1617MD010BM","FAR 19.705-6 Postaward responsibilities of the contracting officer [responsibilities of the contracting officer under the subcontracting assistance program]. ")</f>
        <v xml:space="preserve">FAR 19.705-6 Postaward responsibilities of the contracting officer [responsibilities of the contracting officer under the subcontracting assistance program]. </v>
      </c>
      <c r="H129" s="57" t="str">
        <f>HYPERLINK("https://www.acquisition.gov/sites/default/files/current/gsam/html/Part519.html#wp1858356","GSAR 519.705-6")</f>
        <v>GSAR 519.705-6</v>
      </c>
      <c r="I129" s="34" t="s">
        <v>2705</v>
      </c>
      <c r="J129" s="37" t="s">
        <v>919</v>
      </c>
      <c r="K129" s="37" t="s">
        <v>2706</v>
      </c>
      <c r="L129" s="25" t="s">
        <v>2707</v>
      </c>
      <c r="M129" s="25" t="s">
        <v>2708</v>
      </c>
      <c r="N129" s="25" t="s">
        <v>2709</v>
      </c>
      <c r="O129" s="64"/>
      <c r="P129" s="45" t="b">
        <f t="shared" si="9"/>
        <v>0</v>
      </c>
      <c r="Q129" s="45">
        <f t="shared" si="10"/>
        <v>3</v>
      </c>
      <c r="R129" s="45">
        <f t="shared" si="11"/>
        <v>0</v>
      </c>
      <c r="S129" s="24"/>
      <c r="T129" s="24"/>
      <c r="U129" s="24"/>
      <c r="V129" s="24"/>
      <c r="W129" s="24"/>
      <c r="X129" s="24"/>
      <c r="Y129" s="24"/>
      <c r="Z129" s="24"/>
      <c r="AA129" s="24"/>
      <c r="AB129" s="24"/>
      <c r="AC129" s="24"/>
      <c r="AD129" s="24"/>
      <c r="AE129" s="24"/>
    </row>
    <row r="130" spans="1:31" ht="141.30000000000001">
      <c r="A130" s="91" t="s">
        <v>916</v>
      </c>
      <c r="B130" s="26" t="s">
        <v>928</v>
      </c>
      <c r="C130" s="26" t="s">
        <v>947</v>
      </c>
      <c r="D130" s="26" t="s">
        <v>2710</v>
      </c>
      <c r="E130" s="25" t="s">
        <v>2711</v>
      </c>
      <c r="F130" s="25" t="s">
        <v>2712</v>
      </c>
      <c r="G130" s="57" t="str">
        <f>HYPERLINK("https://www.acquisition.gov/content/part-31-contract-cost-principles-and-procedures#i1084587","FAR 31.201-6 Accounting for unallowable costs [contracts with commercial organizations].")</f>
        <v>FAR 31.201-6 Accounting for unallowable costs [contracts with commercial organizations].</v>
      </c>
      <c r="H130" s="25"/>
      <c r="I130" s="34"/>
      <c r="J130" s="37" t="s">
        <v>463</v>
      </c>
      <c r="K130" s="37" t="s">
        <v>2713</v>
      </c>
      <c r="L130" s="25" t="s">
        <v>2714</v>
      </c>
      <c r="M130" s="25" t="s">
        <v>2715</v>
      </c>
      <c r="N130" s="25" t="s">
        <v>2716</v>
      </c>
      <c r="O130" s="64"/>
      <c r="P130" s="45" t="b">
        <f t="shared" si="9"/>
        <v>0</v>
      </c>
      <c r="Q130" s="45">
        <f t="shared" si="10"/>
        <v>0</v>
      </c>
      <c r="R130" s="45">
        <f t="shared" si="11"/>
        <v>0</v>
      </c>
      <c r="S130" s="24"/>
      <c r="T130" s="24"/>
      <c r="U130" s="24"/>
      <c r="V130" s="24"/>
      <c r="W130" s="24"/>
      <c r="X130" s="24"/>
      <c r="Y130" s="24"/>
      <c r="Z130" s="24"/>
      <c r="AA130" s="24"/>
      <c r="AB130" s="24"/>
      <c r="AC130" s="24"/>
      <c r="AD130" s="24"/>
      <c r="AE130" s="24"/>
    </row>
    <row r="131" spans="1:31" ht="130.44999999999999">
      <c r="A131" s="91" t="s">
        <v>916</v>
      </c>
      <c r="B131" s="26" t="s">
        <v>928</v>
      </c>
      <c r="C131" s="26" t="s">
        <v>947</v>
      </c>
      <c r="D131" s="26" t="s">
        <v>2717</v>
      </c>
      <c r="E131" s="25" t="s">
        <v>2718</v>
      </c>
      <c r="F131" s="25" t="s">
        <v>2719</v>
      </c>
      <c r="G131" s="57" t="str">
        <f>HYPERLINK("https://www.acquisition.gov/content/part-9-contractor-qualifications#i1116357","FAR 9.106-4 Reports [preaward surveys]. ")</f>
        <v xml:space="preserve">FAR 9.106-4 Reports [preaward surveys]. </v>
      </c>
      <c r="H131" s="25"/>
      <c r="I131" s="34"/>
      <c r="J131" s="37" t="s">
        <v>463</v>
      </c>
      <c r="K131" s="37" t="s">
        <v>2720</v>
      </c>
      <c r="L131" s="25" t="s">
        <v>2721</v>
      </c>
      <c r="M131" s="25" t="s">
        <v>2722</v>
      </c>
      <c r="N131" s="25" t="s">
        <v>2723</v>
      </c>
      <c r="O131" s="64"/>
      <c r="P131" s="45" t="b">
        <f t="shared" si="9"/>
        <v>0</v>
      </c>
      <c r="Q131" s="45">
        <f t="shared" si="10"/>
        <v>0</v>
      </c>
      <c r="R131" s="45">
        <f t="shared" si="11"/>
        <v>0</v>
      </c>
      <c r="S131" s="24"/>
      <c r="T131" s="24"/>
      <c r="U131" s="24"/>
      <c r="V131" s="24"/>
      <c r="W131" s="24"/>
      <c r="X131" s="24"/>
      <c r="Y131" s="24"/>
      <c r="Z131" s="24"/>
      <c r="AA131" s="24"/>
      <c r="AB131" s="24"/>
      <c r="AC131" s="24"/>
      <c r="AD131" s="24"/>
      <c r="AE131" s="24"/>
    </row>
    <row r="132" spans="1:31" ht="130.44999999999999">
      <c r="A132" s="91" t="s">
        <v>916</v>
      </c>
      <c r="B132" s="26" t="s">
        <v>928</v>
      </c>
      <c r="C132" s="26" t="s">
        <v>947</v>
      </c>
      <c r="D132" s="26" t="s">
        <v>2724</v>
      </c>
      <c r="E132" s="25" t="s">
        <v>2725</v>
      </c>
      <c r="F132" s="25" t="s">
        <v>2726</v>
      </c>
      <c r="G132" s="128" t="e">
        <f>HYPERLINK("https://www.acquisition.gov/browse/index/far","FAR 9.105-1 Obtaining information [responsible prospective contractors]. FAR 15.404-2 Data to support proposal analysis. FAR 16.205-3(b) Limitations [fixed-price contracts with prospective price redetermination]. FAR 16.206-3(b) Limitations [fixedceiling-"&amp;"price contract with retroactive price redetermination]. FAR 16.301-3(a) Limitations [costreimbursement contracts]. FAR 16.403-1(c) Limitations [fixed-price incentive (firm target) contracts]. FAR 16.403-2(c) Limitations [fixed-price incentive (successive "&amp;"targets) contracts]. FAR 32.503-3 Initiation of progress payments and review of accounting system [postaward matters]. ")</f>
        <v>#VALUE!</v>
      </c>
      <c r="H132" s="57" t="str">
        <f>HYPERLINK("https://www.acquisition.gov/sites/default/files/current/gsam/html/GSAMTOC.html","GSAR 509.105-1, 515.404-2, 515.403-2")</f>
        <v>GSAR 509.105-1, 515.404-2, 515.403-2</v>
      </c>
      <c r="I132" s="34"/>
      <c r="J132" s="37" t="s">
        <v>463</v>
      </c>
      <c r="K132" s="37" t="s">
        <v>2727</v>
      </c>
      <c r="L132" s="25" t="s">
        <v>2728</v>
      </c>
      <c r="M132" s="25" t="s">
        <v>2729</v>
      </c>
      <c r="N132" s="25" t="s">
        <v>2716</v>
      </c>
      <c r="O132" s="64"/>
      <c r="P132" s="45" t="b">
        <f t="shared" si="9"/>
        <v>0</v>
      </c>
      <c r="Q132" s="45">
        <f t="shared" si="10"/>
        <v>0</v>
      </c>
      <c r="R132" s="45">
        <f t="shared" si="11"/>
        <v>0</v>
      </c>
      <c r="S132" s="24"/>
      <c r="T132" s="24"/>
      <c r="U132" s="24"/>
      <c r="V132" s="24"/>
      <c r="W132" s="24"/>
      <c r="X132" s="24"/>
      <c r="Y132" s="24"/>
      <c r="Z132" s="24"/>
      <c r="AA132" s="24"/>
      <c r="AB132" s="24"/>
      <c r="AC132" s="24"/>
      <c r="AD132" s="24"/>
      <c r="AE132" s="24"/>
    </row>
    <row r="133" spans="1:31" ht="141.30000000000001">
      <c r="A133" s="91" t="s">
        <v>916</v>
      </c>
      <c r="B133" s="26" t="s">
        <v>928</v>
      </c>
      <c r="C133" s="26" t="s">
        <v>947</v>
      </c>
      <c r="D133" s="26" t="s">
        <v>2730</v>
      </c>
      <c r="E133" s="25" t="s">
        <v>2731</v>
      </c>
      <c r="F133" s="25" t="s">
        <v>275</v>
      </c>
      <c r="G133" s="57" t="str">
        <f>HYPERLINK("https://www.acquisition.gov/content/part-31-contract-cost-principles-and-procedures#i1084587","FAR 31.201-6 Accounting for unallowable costs [contracts with commercial organizations].")</f>
        <v>FAR 31.201-6 Accounting for unallowable costs [contracts with commercial organizations].</v>
      </c>
      <c r="H133" s="25"/>
      <c r="I133" s="34"/>
      <c r="J133" s="37" t="s">
        <v>463</v>
      </c>
      <c r="K133" s="37" t="s">
        <v>2732</v>
      </c>
      <c r="L133" s="25" t="s">
        <v>2733</v>
      </c>
      <c r="M133" s="25" t="s">
        <v>2734</v>
      </c>
      <c r="N133" s="25" t="s">
        <v>2735</v>
      </c>
      <c r="O133" s="64"/>
      <c r="P133" s="45" t="b">
        <f t="shared" si="9"/>
        <v>0</v>
      </c>
      <c r="Q133" s="45">
        <f t="shared" si="10"/>
        <v>0</v>
      </c>
      <c r="R133" s="45">
        <f t="shared" si="11"/>
        <v>0</v>
      </c>
      <c r="S133" s="24"/>
      <c r="T133" s="24"/>
      <c r="U133" s="24"/>
      <c r="V133" s="24"/>
      <c r="W133" s="24"/>
      <c r="X133" s="24"/>
      <c r="Y133" s="24"/>
      <c r="Z133" s="24"/>
      <c r="AA133" s="24"/>
      <c r="AB133" s="24"/>
      <c r="AC133" s="24"/>
      <c r="AD133" s="24"/>
      <c r="AE133" s="24"/>
    </row>
    <row r="134" spans="1:31" ht="130.44999999999999">
      <c r="A134" s="91" t="s">
        <v>916</v>
      </c>
      <c r="B134" s="26" t="s">
        <v>928</v>
      </c>
      <c r="C134" s="26" t="s">
        <v>947</v>
      </c>
      <c r="D134" s="26" t="s">
        <v>2736</v>
      </c>
      <c r="E134" s="25" t="s">
        <v>2737</v>
      </c>
      <c r="F134" s="25" t="s">
        <v>2738</v>
      </c>
      <c r="G134" s="57" t="str">
        <f>HYPERLINK("https://www.acquisition.gov/content/part-30-cost-accounting-standards-administration#id1617MD0C0MV","FAR 30.202-6 Responsibilities [CAS program requirements]. FAR 30.202-7 Determinations [CAS program requirements]. ")</f>
        <v xml:space="preserve">FAR 30.202-6 Responsibilities [CAS program requirements]. FAR 30.202-7 Determinations [CAS program requirements]. </v>
      </c>
      <c r="H134" s="25"/>
      <c r="I134" s="34"/>
      <c r="J134" s="37" t="s">
        <v>463</v>
      </c>
      <c r="K134" s="37" t="s">
        <v>2739</v>
      </c>
      <c r="L134" s="25" t="s">
        <v>2740</v>
      </c>
      <c r="M134" s="25" t="s">
        <v>2741</v>
      </c>
      <c r="N134" s="25" t="s">
        <v>2735</v>
      </c>
      <c r="O134" s="64"/>
      <c r="P134" s="45" t="b">
        <f t="shared" si="9"/>
        <v>0</v>
      </c>
      <c r="Q134" s="45">
        <f t="shared" si="10"/>
        <v>0</v>
      </c>
      <c r="R134" s="45">
        <f t="shared" si="11"/>
        <v>0</v>
      </c>
      <c r="S134" s="24"/>
      <c r="T134" s="24"/>
      <c r="U134" s="24"/>
      <c r="V134" s="24"/>
      <c r="W134" s="24"/>
      <c r="X134" s="24"/>
      <c r="Y134" s="24"/>
      <c r="Z134" s="24"/>
      <c r="AA134" s="24"/>
      <c r="AB134" s="24"/>
      <c r="AC134" s="24"/>
      <c r="AD134" s="24"/>
      <c r="AE134" s="24"/>
    </row>
    <row r="135" spans="1:31" ht="130.44999999999999">
      <c r="A135" s="91" t="s">
        <v>916</v>
      </c>
      <c r="B135" s="26" t="s">
        <v>928</v>
      </c>
      <c r="C135" s="26" t="s">
        <v>947</v>
      </c>
      <c r="D135" s="26" t="s">
        <v>2742</v>
      </c>
      <c r="E135" s="25" t="s">
        <v>2743</v>
      </c>
      <c r="F135" s="25" t="s">
        <v>2744</v>
      </c>
      <c r="G135" s="57" t="str">
        <f>HYPERLINK("https://www.acquisition.gov/content/part-15-contracting-negotiation","FAR 15.303(c) Responsibilities [source selection]. FAR 15.404-2(a)(5) Field pricing assistance [data to support proposal analysis]. FAR 15.404-2(c)(1) Audit assistance for prime contracts or subcontracts [data to support proposal analysis].")</f>
        <v>FAR 15.303(c) Responsibilities [source selection]. FAR 15.404-2(a)(5) Field pricing assistance [data to support proposal analysis]. FAR 15.404-2(c)(1) Audit assistance for prime contracts or subcontracts [data to support proposal analysis].</v>
      </c>
      <c r="H135" s="57" t="str">
        <f t="shared" ref="H135:H137" si="18">HYPERLINK("https://www.acquisition.gov/sites/default/files/current/gsam/html/Part515.html#wp1858386","GSAR 515.404-2")</f>
        <v>GSAR 515.404-2</v>
      </c>
      <c r="I135" s="34"/>
      <c r="J135" s="37" t="s">
        <v>463</v>
      </c>
      <c r="K135" s="75" t="s">
        <v>2739</v>
      </c>
      <c r="L135" s="25" t="s">
        <v>2740</v>
      </c>
      <c r="M135" s="25" t="s">
        <v>2741</v>
      </c>
      <c r="N135" s="25" t="s">
        <v>2735</v>
      </c>
      <c r="O135" s="64"/>
      <c r="P135" s="45" t="b">
        <f t="shared" si="9"/>
        <v>0</v>
      </c>
      <c r="Q135" s="45">
        <f t="shared" si="10"/>
        <v>0</v>
      </c>
      <c r="R135" s="45">
        <f t="shared" si="11"/>
        <v>0</v>
      </c>
      <c r="S135" s="24"/>
      <c r="T135" s="24"/>
      <c r="U135" s="24"/>
      <c r="V135" s="24"/>
      <c r="W135" s="24"/>
      <c r="X135" s="24"/>
      <c r="Y135" s="24"/>
      <c r="Z135" s="24"/>
      <c r="AA135" s="24"/>
      <c r="AB135" s="24"/>
      <c r="AC135" s="24"/>
      <c r="AD135" s="24"/>
      <c r="AE135" s="24"/>
    </row>
    <row r="136" spans="1:31" ht="119.55">
      <c r="A136" s="91" t="s">
        <v>916</v>
      </c>
      <c r="B136" s="26" t="s">
        <v>928</v>
      </c>
      <c r="C136" s="26" t="s">
        <v>947</v>
      </c>
      <c r="D136" s="26" t="s">
        <v>2745</v>
      </c>
      <c r="E136" s="25" t="s">
        <v>2746</v>
      </c>
      <c r="F136" s="25" t="s">
        <v>275</v>
      </c>
      <c r="G136" s="57" t="str">
        <f>HYPERLINK("https://www.acquisition.gov/content/part-15-contracting-negotiation#id1617MD00WZM","FAR 15.404-2(c)(4) Audit assistance for prime contracts or subcontracts [data to support proposal analysis]. FAR 15.404-2(d) Deficient proposals [data to support proposal analysis].")</f>
        <v>FAR 15.404-2(c)(4) Audit assistance for prime contracts or subcontracts [data to support proposal analysis]. FAR 15.404-2(d) Deficient proposals [data to support proposal analysis].</v>
      </c>
      <c r="H136" s="57" t="str">
        <f t="shared" si="18"/>
        <v>GSAR 515.404-2</v>
      </c>
      <c r="I136" s="34"/>
      <c r="J136" s="37" t="s">
        <v>463</v>
      </c>
      <c r="K136" s="37" t="s">
        <v>2747</v>
      </c>
      <c r="L136" s="25" t="s">
        <v>2748</v>
      </c>
      <c r="M136" s="25" t="s">
        <v>2749</v>
      </c>
      <c r="N136" s="25" t="s">
        <v>2735</v>
      </c>
      <c r="O136" s="64"/>
      <c r="P136" s="45" t="b">
        <f t="shared" si="9"/>
        <v>0</v>
      </c>
      <c r="Q136" s="45">
        <f t="shared" si="10"/>
        <v>0</v>
      </c>
      <c r="R136" s="45">
        <f t="shared" si="11"/>
        <v>0</v>
      </c>
      <c r="S136" s="24"/>
      <c r="T136" s="24"/>
      <c r="U136" s="24"/>
      <c r="V136" s="24"/>
      <c r="W136" s="24"/>
      <c r="X136" s="24"/>
      <c r="Y136" s="24"/>
      <c r="Z136" s="24"/>
      <c r="AA136" s="24"/>
      <c r="AB136" s="24"/>
      <c r="AC136" s="24"/>
      <c r="AD136" s="24"/>
      <c r="AE136" s="24"/>
    </row>
    <row r="137" spans="1:31" ht="130.44999999999999">
      <c r="A137" s="91" t="s">
        <v>916</v>
      </c>
      <c r="B137" s="26" t="s">
        <v>928</v>
      </c>
      <c r="C137" s="26" t="s">
        <v>947</v>
      </c>
      <c r="D137" s="26" t="s">
        <v>2750</v>
      </c>
      <c r="E137" s="25" t="s">
        <v>2751</v>
      </c>
      <c r="F137" s="25" t="s">
        <v>2752</v>
      </c>
      <c r="G137" s="57" t="str">
        <f>HYPERLINK("https://www.acquisition.gov/content/part-15-contracting-negotiation#id1617MD00WZM","FAR 15.404-2(c)(1)(i) Audit assistance for rime contracts or subcontracts [data to support proposal analysis]. FAR 15.404-2(d) Deficient proposals [data to support proposal analysis].")</f>
        <v>FAR 15.404-2(c)(1)(i) Audit assistance for rime contracts or subcontracts [data to support proposal analysis]. FAR 15.404-2(d) Deficient proposals [data to support proposal analysis].</v>
      </c>
      <c r="H137" s="57" t="str">
        <f t="shared" si="18"/>
        <v>GSAR 515.404-2</v>
      </c>
      <c r="I137" s="34"/>
      <c r="J137" s="37" t="s">
        <v>463</v>
      </c>
      <c r="K137" s="37" t="s">
        <v>2753</v>
      </c>
      <c r="L137" s="25" t="s">
        <v>2754</v>
      </c>
      <c r="M137" s="25" t="s">
        <v>2755</v>
      </c>
      <c r="N137" s="25" t="s">
        <v>2735</v>
      </c>
      <c r="O137" s="64"/>
      <c r="P137" s="45" t="b">
        <f t="shared" si="9"/>
        <v>0</v>
      </c>
      <c r="Q137" s="45">
        <f t="shared" si="10"/>
        <v>0</v>
      </c>
      <c r="R137" s="45">
        <f t="shared" si="11"/>
        <v>0</v>
      </c>
      <c r="S137" s="24"/>
      <c r="T137" s="24"/>
      <c r="U137" s="24"/>
      <c r="V137" s="24"/>
      <c r="W137" s="24"/>
      <c r="X137" s="24"/>
      <c r="Y137" s="24"/>
      <c r="Z137" s="24"/>
      <c r="AA137" s="24"/>
      <c r="AB137" s="24"/>
      <c r="AC137" s="24"/>
      <c r="AD137" s="24"/>
      <c r="AE137" s="24"/>
    </row>
    <row r="138" spans="1:31" ht="141.30000000000001">
      <c r="A138" s="91" t="s">
        <v>916</v>
      </c>
      <c r="B138" s="26" t="s">
        <v>928</v>
      </c>
      <c r="C138" s="26" t="s">
        <v>947</v>
      </c>
      <c r="D138" s="26" t="s">
        <v>2756</v>
      </c>
      <c r="E138" s="25" t="s">
        <v>2757</v>
      </c>
      <c r="F138" s="25" t="s">
        <v>2758</v>
      </c>
      <c r="G138" s="25" t="s">
        <v>2759</v>
      </c>
      <c r="H138" s="25"/>
      <c r="I138" s="34"/>
      <c r="J138" s="37" t="s">
        <v>463</v>
      </c>
      <c r="K138" s="37" t="s">
        <v>2760</v>
      </c>
      <c r="L138" s="25" t="s">
        <v>2761</v>
      </c>
      <c r="M138" s="25" t="s">
        <v>2762</v>
      </c>
      <c r="N138" s="25" t="s">
        <v>2735</v>
      </c>
      <c r="O138" s="64"/>
      <c r="P138" s="45" t="b">
        <f t="shared" si="9"/>
        <v>0</v>
      </c>
      <c r="Q138" s="45">
        <f t="shared" si="10"/>
        <v>0</v>
      </c>
      <c r="R138" s="45">
        <f t="shared" si="11"/>
        <v>0</v>
      </c>
      <c r="S138" s="24"/>
      <c r="T138" s="24"/>
      <c r="U138" s="24"/>
      <c r="V138" s="24"/>
      <c r="W138" s="24"/>
      <c r="X138" s="24"/>
      <c r="Y138" s="24"/>
      <c r="Z138" s="24"/>
      <c r="AA138" s="24"/>
      <c r="AB138" s="24"/>
      <c r="AC138" s="24"/>
      <c r="AD138" s="24"/>
      <c r="AE138" s="24"/>
    </row>
    <row r="139" spans="1:31" ht="130.44999999999999">
      <c r="A139" s="91" t="s">
        <v>916</v>
      </c>
      <c r="B139" s="26" t="s">
        <v>928</v>
      </c>
      <c r="C139" s="26" t="s">
        <v>947</v>
      </c>
      <c r="D139" s="26" t="s">
        <v>2763</v>
      </c>
      <c r="E139" s="25" t="s">
        <v>2764</v>
      </c>
      <c r="F139" s="25" t="s">
        <v>2765</v>
      </c>
      <c r="G139" s="57" t="str">
        <f>HYPERLINK("https://www.acquisition.gov/content/part-15-contracting-negotiation#id1617MD00WZM","FAR 15.404-2(c)(1) Audit assistance for prime contracts or subcontracts [data to support proposal analysis. FAR 15.404-2(d) Deficient proposals [data to support proposal analysis].")</f>
        <v>FAR 15.404-2(c)(1) Audit assistance for prime contracts or subcontracts [data to support proposal analysis. FAR 15.404-2(d) Deficient proposals [data to support proposal analysis].</v>
      </c>
      <c r="H139" s="25"/>
      <c r="I139" s="34"/>
      <c r="J139" s="37" t="s">
        <v>463</v>
      </c>
      <c r="K139" s="37" t="s">
        <v>2766</v>
      </c>
      <c r="L139" s="25" t="s">
        <v>2767</v>
      </c>
      <c r="M139" s="25" t="s">
        <v>2768</v>
      </c>
      <c r="N139" s="25" t="s">
        <v>2735</v>
      </c>
      <c r="O139" s="64"/>
      <c r="P139" s="45" t="b">
        <f t="shared" si="9"/>
        <v>0</v>
      </c>
      <c r="Q139" s="45">
        <f t="shared" si="10"/>
        <v>0</v>
      </c>
      <c r="R139" s="45">
        <f t="shared" si="11"/>
        <v>0</v>
      </c>
      <c r="S139" s="24"/>
      <c r="T139" s="24"/>
      <c r="U139" s="24"/>
      <c r="V139" s="24"/>
      <c r="W139" s="24"/>
      <c r="X139" s="24"/>
      <c r="Y139" s="24"/>
      <c r="Z139" s="24"/>
      <c r="AA139" s="24"/>
      <c r="AB139" s="24"/>
      <c r="AC139" s="24"/>
      <c r="AD139" s="24"/>
      <c r="AE139" s="24"/>
    </row>
    <row r="140" spans="1:31" ht="130.44999999999999">
      <c r="A140" s="91" t="s">
        <v>916</v>
      </c>
      <c r="B140" s="26" t="s">
        <v>928</v>
      </c>
      <c r="C140" s="26" t="s">
        <v>947</v>
      </c>
      <c r="D140" s="26" t="s">
        <v>2769</v>
      </c>
      <c r="E140" s="25" t="s">
        <v>2770</v>
      </c>
      <c r="F140" s="25" t="s">
        <v>2771</v>
      </c>
      <c r="G140" s="57" t="str">
        <f>HYPERLINK("https://www.acquisition.gov/content/part-15-contracting-negotiation#id1617MD00WZM","FAR 15.404-2(d) Deficient proposals [data to support proposal analysis].")</f>
        <v>FAR 15.404-2(d) Deficient proposals [data to support proposal analysis].</v>
      </c>
      <c r="H140" s="25"/>
      <c r="I140" s="34"/>
      <c r="J140" s="37" t="s">
        <v>463</v>
      </c>
      <c r="K140" s="37" t="s">
        <v>2772</v>
      </c>
      <c r="L140" s="25" t="s">
        <v>2773</v>
      </c>
      <c r="M140" s="25" t="s">
        <v>2774</v>
      </c>
      <c r="N140" s="25" t="s">
        <v>2735</v>
      </c>
      <c r="O140" s="64"/>
      <c r="P140" s="45" t="b">
        <f t="shared" si="9"/>
        <v>0</v>
      </c>
      <c r="Q140" s="45">
        <f t="shared" si="10"/>
        <v>0</v>
      </c>
      <c r="R140" s="45">
        <f t="shared" si="11"/>
        <v>0</v>
      </c>
      <c r="S140" s="24"/>
      <c r="T140" s="24"/>
      <c r="U140" s="24"/>
      <c r="V140" s="24"/>
      <c r="W140" s="24"/>
      <c r="X140" s="24"/>
      <c r="Y140" s="24"/>
      <c r="Z140" s="24"/>
      <c r="AA140" s="24"/>
      <c r="AB140" s="24"/>
      <c r="AC140" s="24"/>
      <c r="AD140" s="24"/>
      <c r="AE140" s="24"/>
    </row>
    <row r="141" spans="1:31" ht="130.44999999999999">
      <c r="A141" s="91" t="s">
        <v>916</v>
      </c>
      <c r="B141" s="26" t="s">
        <v>928</v>
      </c>
      <c r="C141" s="26" t="s">
        <v>947</v>
      </c>
      <c r="D141" s="26" t="s">
        <v>2775</v>
      </c>
      <c r="E141" s="25" t="s">
        <v>2776</v>
      </c>
      <c r="F141" s="25" t="s">
        <v>2777</v>
      </c>
      <c r="G141" s="25" t="s">
        <v>2759</v>
      </c>
      <c r="H141" s="25"/>
      <c r="I141" s="34"/>
      <c r="J141" s="37" t="s">
        <v>463</v>
      </c>
      <c r="K141" s="37" t="s">
        <v>2778</v>
      </c>
      <c r="L141" s="25" t="s">
        <v>2779</v>
      </c>
      <c r="M141" s="25" t="s">
        <v>2780</v>
      </c>
      <c r="N141" s="25" t="s">
        <v>2735</v>
      </c>
      <c r="O141" s="64"/>
      <c r="P141" s="45" t="b">
        <f t="shared" si="9"/>
        <v>0</v>
      </c>
      <c r="Q141" s="45">
        <f t="shared" si="10"/>
        <v>0</v>
      </c>
      <c r="R141" s="45">
        <f t="shared" si="11"/>
        <v>0</v>
      </c>
      <c r="S141" s="24"/>
      <c r="T141" s="24"/>
      <c r="U141" s="24"/>
      <c r="V141" s="24"/>
      <c r="W141" s="24"/>
      <c r="X141" s="24"/>
      <c r="Y141" s="24"/>
      <c r="Z141" s="24"/>
      <c r="AA141" s="24"/>
      <c r="AB141" s="24"/>
      <c r="AC141" s="24"/>
      <c r="AD141" s="24"/>
      <c r="AE141" s="24"/>
    </row>
    <row r="142" spans="1:31" ht="130.44999999999999">
      <c r="A142" s="91" t="s">
        <v>916</v>
      </c>
      <c r="B142" s="26" t="s">
        <v>928</v>
      </c>
      <c r="C142" s="26" t="s">
        <v>947</v>
      </c>
      <c r="D142" s="26" t="s">
        <v>2781</v>
      </c>
      <c r="E142" s="25" t="s">
        <v>2782</v>
      </c>
      <c r="F142" s="25" t="s">
        <v>2783</v>
      </c>
      <c r="G142" s="57" t="str">
        <f t="shared" ref="G142:G145" si="19">HYPERLINK("https://www.acquisition.gov/content/part-15-contracting-negotiation#id1617MD00X5Z","FAR 15.407-5 Estimating systems [special cost or pricing areas].")</f>
        <v>FAR 15.407-5 Estimating systems [special cost or pricing areas].</v>
      </c>
      <c r="H142" s="25"/>
      <c r="I142" s="34"/>
      <c r="J142" s="37" t="s">
        <v>463</v>
      </c>
      <c r="K142" s="37" t="s">
        <v>2784</v>
      </c>
      <c r="L142" s="25" t="s">
        <v>2785</v>
      </c>
      <c r="M142" s="25" t="s">
        <v>2786</v>
      </c>
      <c r="N142" s="25" t="s">
        <v>2716</v>
      </c>
      <c r="O142" s="64"/>
      <c r="P142" s="45" t="b">
        <f t="shared" si="9"/>
        <v>0</v>
      </c>
      <c r="Q142" s="45">
        <f t="shared" si="10"/>
        <v>0</v>
      </c>
      <c r="R142" s="45">
        <f t="shared" si="11"/>
        <v>0</v>
      </c>
      <c r="S142" s="24"/>
      <c r="T142" s="24"/>
      <c r="U142" s="24"/>
      <c r="V142" s="24"/>
      <c r="W142" s="24"/>
      <c r="X142" s="24"/>
      <c r="Y142" s="24"/>
      <c r="Z142" s="24"/>
      <c r="AA142" s="24"/>
      <c r="AB142" s="24"/>
      <c r="AC142" s="24"/>
      <c r="AD142" s="24"/>
      <c r="AE142" s="24"/>
    </row>
    <row r="143" spans="1:31" ht="163.05000000000001">
      <c r="A143" s="91" t="s">
        <v>916</v>
      </c>
      <c r="B143" s="26" t="s">
        <v>928</v>
      </c>
      <c r="C143" s="26" t="s">
        <v>947</v>
      </c>
      <c r="D143" s="26" t="s">
        <v>2787</v>
      </c>
      <c r="E143" s="25" t="s">
        <v>2788</v>
      </c>
      <c r="F143" s="25" t="s">
        <v>2789</v>
      </c>
      <c r="G143" s="57" t="str">
        <f t="shared" si="19"/>
        <v>FAR 15.407-5 Estimating systems [special cost or pricing areas].</v>
      </c>
      <c r="H143" s="25"/>
      <c r="I143" s="34"/>
      <c r="J143" s="37" t="s">
        <v>463</v>
      </c>
      <c r="K143" s="37" t="s">
        <v>2790</v>
      </c>
      <c r="L143" s="25" t="s">
        <v>2791</v>
      </c>
      <c r="M143" s="25" t="s">
        <v>2792</v>
      </c>
      <c r="N143" s="25" t="s">
        <v>2723</v>
      </c>
      <c r="O143" s="64"/>
      <c r="P143" s="45" t="b">
        <f t="shared" si="9"/>
        <v>0</v>
      </c>
      <c r="Q143" s="45">
        <f t="shared" si="10"/>
        <v>0</v>
      </c>
      <c r="R143" s="45">
        <f t="shared" si="11"/>
        <v>0</v>
      </c>
      <c r="S143" s="24"/>
      <c r="T143" s="24"/>
      <c r="U143" s="24"/>
      <c r="V143" s="24"/>
      <c r="W143" s="24"/>
      <c r="X143" s="24"/>
      <c r="Y143" s="24"/>
      <c r="Z143" s="24"/>
      <c r="AA143" s="24"/>
      <c r="AB143" s="24"/>
      <c r="AC143" s="24"/>
      <c r="AD143" s="24"/>
      <c r="AE143" s="24"/>
    </row>
    <row r="144" spans="1:31" ht="163.05000000000001">
      <c r="A144" s="91" t="s">
        <v>916</v>
      </c>
      <c r="B144" s="26" t="s">
        <v>928</v>
      </c>
      <c r="C144" s="26" t="s">
        <v>947</v>
      </c>
      <c r="D144" s="26" t="s">
        <v>2793</v>
      </c>
      <c r="E144" s="25" t="s">
        <v>2794</v>
      </c>
      <c r="F144" s="25" t="s">
        <v>2795</v>
      </c>
      <c r="G144" s="57" t="str">
        <f t="shared" si="19"/>
        <v>FAR 15.407-5 Estimating systems [special cost or pricing areas].</v>
      </c>
      <c r="H144" s="25"/>
      <c r="I144" s="34"/>
      <c r="J144" s="37" t="s">
        <v>463</v>
      </c>
      <c r="K144" s="37" t="s">
        <v>2796</v>
      </c>
      <c r="L144" s="25" t="s">
        <v>2797</v>
      </c>
      <c r="M144" s="25" t="s">
        <v>2798</v>
      </c>
      <c r="N144" s="25" t="s">
        <v>2735</v>
      </c>
      <c r="O144" s="64"/>
      <c r="P144" s="45" t="b">
        <f t="shared" si="9"/>
        <v>0</v>
      </c>
      <c r="Q144" s="45">
        <f t="shared" si="10"/>
        <v>0</v>
      </c>
      <c r="R144" s="45">
        <f t="shared" si="11"/>
        <v>0</v>
      </c>
      <c r="S144" s="24"/>
      <c r="T144" s="24"/>
      <c r="U144" s="24"/>
      <c r="V144" s="24"/>
      <c r="W144" s="24"/>
      <c r="X144" s="24"/>
      <c r="Y144" s="24"/>
      <c r="Z144" s="24"/>
      <c r="AA144" s="24"/>
      <c r="AB144" s="24"/>
      <c r="AC144" s="24"/>
      <c r="AD144" s="24"/>
      <c r="AE144" s="24"/>
    </row>
    <row r="145" spans="1:31" ht="152.15">
      <c r="A145" s="91" t="s">
        <v>916</v>
      </c>
      <c r="B145" s="26" t="s">
        <v>928</v>
      </c>
      <c r="C145" s="26" t="s">
        <v>947</v>
      </c>
      <c r="D145" s="26" t="s">
        <v>2799</v>
      </c>
      <c r="E145" s="25" t="s">
        <v>2800</v>
      </c>
      <c r="F145" s="25" t="s">
        <v>2801</v>
      </c>
      <c r="G145" s="57" t="str">
        <f t="shared" si="19"/>
        <v>FAR 15.407-5 Estimating systems [special cost or pricing areas].</v>
      </c>
      <c r="H145" s="25"/>
      <c r="I145" s="34"/>
      <c r="J145" s="37" t="s">
        <v>463</v>
      </c>
      <c r="K145" s="37" t="s">
        <v>2802</v>
      </c>
      <c r="L145" s="25" t="s">
        <v>2803</v>
      </c>
      <c r="M145" s="25" t="s">
        <v>2804</v>
      </c>
      <c r="N145" s="25" t="s">
        <v>2735</v>
      </c>
      <c r="O145" s="64"/>
      <c r="P145" s="45" t="b">
        <f t="shared" si="9"/>
        <v>0</v>
      </c>
      <c r="Q145" s="45">
        <f t="shared" si="10"/>
        <v>0</v>
      </c>
      <c r="R145" s="45">
        <f t="shared" si="11"/>
        <v>0</v>
      </c>
      <c r="S145" s="24"/>
      <c r="T145" s="24"/>
      <c r="U145" s="24"/>
      <c r="V145" s="24"/>
      <c r="W145" s="24"/>
      <c r="X145" s="24"/>
      <c r="Y145" s="24"/>
      <c r="Z145" s="24"/>
      <c r="AA145" s="24"/>
      <c r="AB145" s="24"/>
      <c r="AC145" s="24"/>
      <c r="AD145" s="24"/>
      <c r="AE145" s="24"/>
    </row>
    <row r="146" spans="1:31" ht="130.44999999999999">
      <c r="A146" s="91" t="s">
        <v>916</v>
      </c>
      <c r="B146" s="26" t="s">
        <v>928</v>
      </c>
      <c r="C146" s="26" t="s">
        <v>947</v>
      </c>
      <c r="D146" s="26" t="s">
        <v>2805</v>
      </c>
      <c r="E146" s="25" t="s">
        <v>2806</v>
      </c>
      <c r="F146" s="25" t="s">
        <v>2807</v>
      </c>
      <c r="G146" s="93" t="str">
        <f>HYPERLINK("https://www.law.cornell.edu/cfr/text/48/252.215-7002","48 CFR 252.215-7002 - Cost estimating system requirements")</f>
        <v>48 CFR 252.215-7002 - Cost estimating system requirements</v>
      </c>
      <c r="H146" s="25"/>
      <c r="I146" s="34"/>
      <c r="J146" s="37" t="s">
        <v>463</v>
      </c>
      <c r="K146" s="37" t="s">
        <v>2808</v>
      </c>
      <c r="L146" s="25" t="s">
        <v>2809</v>
      </c>
      <c r="M146" s="25" t="s">
        <v>2810</v>
      </c>
      <c r="N146" s="25" t="s">
        <v>2735</v>
      </c>
      <c r="O146" s="64"/>
      <c r="P146" s="45" t="b">
        <f t="shared" si="9"/>
        <v>0</v>
      </c>
      <c r="Q146" s="45">
        <f t="shared" si="10"/>
        <v>0</v>
      </c>
      <c r="R146" s="45">
        <f t="shared" si="11"/>
        <v>0</v>
      </c>
      <c r="S146" s="24"/>
      <c r="T146" s="24"/>
      <c r="U146" s="24"/>
      <c r="V146" s="24"/>
      <c r="W146" s="24"/>
      <c r="X146" s="24"/>
      <c r="Y146" s="24"/>
      <c r="Z146" s="24"/>
      <c r="AA146" s="24"/>
      <c r="AB146" s="24"/>
      <c r="AC146" s="24"/>
      <c r="AD146" s="24"/>
      <c r="AE146" s="24"/>
    </row>
    <row r="147" spans="1:31" ht="152.15">
      <c r="A147" s="91" t="s">
        <v>916</v>
      </c>
      <c r="B147" s="26" t="s">
        <v>928</v>
      </c>
      <c r="C147" s="26" t="s">
        <v>947</v>
      </c>
      <c r="D147" s="26" t="s">
        <v>2811</v>
      </c>
      <c r="E147" s="25" t="s">
        <v>2812</v>
      </c>
      <c r="F147" s="25" t="s">
        <v>2813</v>
      </c>
      <c r="G147" s="93" t="str">
        <f t="shared" ref="G147:G152" si="20">HYPERLINK("https://www.govinfo.gov/content/pkg/CFR-2017-title48-vol3/xml/CFR-2017-title48-vol3-chap2.xml#seqnum252.215-7002","48 CFR 252.215-7002 - Cost estimating system requirements")</f>
        <v>48 CFR 252.215-7002 - Cost estimating system requirements</v>
      </c>
      <c r="H147" s="25"/>
      <c r="I147" s="34"/>
      <c r="J147" s="37" t="s">
        <v>463</v>
      </c>
      <c r="K147" s="37" t="s">
        <v>2814</v>
      </c>
      <c r="L147" s="25" t="s">
        <v>2815</v>
      </c>
      <c r="M147" s="25" t="s">
        <v>2816</v>
      </c>
      <c r="N147" s="25" t="s">
        <v>2817</v>
      </c>
      <c r="O147" s="64"/>
      <c r="P147" s="45" t="b">
        <f t="shared" si="9"/>
        <v>0</v>
      </c>
      <c r="Q147" s="45">
        <f t="shared" si="10"/>
        <v>0</v>
      </c>
      <c r="R147" s="45">
        <f t="shared" si="11"/>
        <v>0</v>
      </c>
      <c r="S147" s="24"/>
      <c r="T147" s="24"/>
      <c r="U147" s="24"/>
      <c r="V147" s="24"/>
      <c r="W147" s="24"/>
      <c r="X147" s="24"/>
      <c r="Y147" s="24"/>
      <c r="Z147" s="24"/>
      <c r="AA147" s="24"/>
      <c r="AB147" s="24"/>
      <c r="AC147" s="24"/>
      <c r="AD147" s="24"/>
      <c r="AE147" s="24"/>
    </row>
    <row r="148" spans="1:31" ht="130.44999999999999">
      <c r="A148" s="91" t="s">
        <v>916</v>
      </c>
      <c r="B148" s="26" t="s">
        <v>928</v>
      </c>
      <c r="C148" s="26" t="s">
        <v>947</v>
      </c>
      <c r="D148" s="26" t="s">
        <v>2818</v>
      </c>
      <c r="E148" s="25" t="s">
        <v>2819</v>
      </c>
      <c r="F148" s="25" t="s">
        <v>2125</v>
      </c>
      <c r="G148" s="93" t="str">
        <f t="shared" si="20"/>
        <v>48 CFR 252.215-7002 - Cost estimating system requirements</v>
      </c>
      <c r="H148" s="25"/>
      <c r="I148" s="34"/>
      <c r="J148" s="37" t="s">
        <v>463</v>
      </c>
      <c r="K148" s="37" t="s">
        <v>2820</v>
      </c>
      <c r="L148" s="25" t="s">
        <v>2821</v>
      </c>
      <c r="M148" s="25" t="s">
        <v>2822</v>
      </c>
      <c r="N148" s="25" t="s">
        <v>2823</v>
      </c>
      <c r="O148" s="64"/>
      <c r="P148" s="45" t="b">
        <f t="shared" si="9"/>
        <v>0</v>
      </c>
      <c r="Q148" s="45">
        <f t="shared" si="10"/>
        <v>0</v>
      </c>
      <c r="R148" s="45">
        <f t="shared" si="11"/>
        <v>0</v>
      </c>
      <c r="S148" s="24"/>
      <c r="T148" s="24"/>
      <c r="U148" s="24"/>
      <c r="V148" s="24"/>
      <c r="W148" s="24"/>
      <c r="X148" s="24"/>
      <c r="Y148" s="24"/>
      <c r="Z148" s="24"/>
      <c r="AA148" s="24"/>
      <c r="AB148" s="24"/>
      <c r="AC148" s="24"/>
      <c r="AD148" s="24"/>
      <c r="AE148" s="24"/>
    </row>
    <row r="149" spans="1:31" ht="130.44999999999999">
      <c r="A149" s="91" t="s">
        <v>916</v>
      </c>
      <c r="B149" s="26" t="s">
        <v>928</v>
      </c>
      <c r="C149" s="26" t="s">
        <v>947</v>
      </c>
      <c r="D149" s="26" t="s">
        <v>2824</v>
      </c>
      <c r="E149" s="25" t="s">
        <v>2825</v>
      </c>
      <c r="F149" s="25" t="s">
        <v>2807</v>
      </c>
      <c r="G149" s="93" t="str">
        <f t="shared" si="20"/>
        <v>48 CFR 252.215-7002 - Cost estimating system requirements</v>
      </c>
      <c r="H149" s="25"/>
      <c r="I149" s="34"/>
      <c r="J149" s="37" t="s">
        <v>463</v>
      </c>
      <c r="K149" s="37" t="s">
        <v>2826</v>
      </c>
      <c r="L149" s="25" t="s">
        <v>2827</v>
      </c>
      <c r="M149" s="25" t="s">
        <v>2828</v>
      </c>
      <c r="N149" s="25" t="s">
        <v>2735</v>
      </c>
      <c r="O149" s="64"/>
      <c r="P149" s="45" t="b">
        <f t="shared" si="9"/>
        <v>0</v>
      </c>
      <c r="Q149" s="45">
        <f t="shared" si="10"/>
        <v>0</v>
      </c>
      <c r="R149" s="45">
        <f t="shared" si="11"/>
        <v>0</v>
      </c>
      <c r="S149" s="24"/>
      <c r="T149" s="24"/>
      <c r="U149" s="24"/>
      <c r="V149" s="24"/>
      <c r="W149" s="24"/>
      <c r="X149" s="24"/>
      <c r="Y149" s="24"/>
      <c r="Z149" s="24"/>
      <c r="AA149" s="24"/>
      <c r="AB149" s="24"/>
      <c r="AC149" s="24"/>
      <c r="AD149" s="24"/>
      <c r="AE149" s="24"/>
    </row>
    <row r="150" spans="1:31" ht="152.15">
      <c r="A150" s="91" t="s">
        <v>916</v>
      </c>
      <c r="B150" s="26" t="s">
        <v>928</v>
      </c>
      <c r="C150" s="26" t="s">
        <v>947</v>
      </c>
      <c r="D150" s="26" t="s">
        <v>2829</v>
      </c>
      <c r="E150" s="25" t="s">
        <v>2830</v>
      </c>
      <c r="F150" s="25" t="s">
        <v>2831</v>
      </c>
      <c r="G150" s="93" t="str">
        <f t="shared" si="20"/>
        <v>48 CFR 252.215-7002 - Cost estimating system requirements</v>
      </c>
      <c r="H150" s="25"/>
      <c r="I150" s="34"/>
      <c r="J150" s="37" t="s">
        <v>463</v>
      </c>
      <c r="K150" s="37" t="s">
        <v>2832</v>
      </c>
      <c r="L150" s="25" t="s">
        <v>2833</v>
      </c>
      <c r="M150" s="25" t="s">
        <v>2834</v>
      </c>
      <c r="N150" s="25" t="s">
        <v>2835</v>
      </c>
      <c r="O150" s="64"/>
      <c r="P150" s="45" t="b">
        <f t="shared" si="9"/>
        <v>0</v>
      </c>
      <c r="Q150" s="45">
        <f t="shared" si="10"/>
        <v>0</v>
      </c>
      <c r="R150" s="45">
        <f t="shared" si="11"/>
        <v>0</v>
      </c>
      <c r="S150" s="24"/>
      <c r="T150" s="24"/>
      <c r="U150" s="24"/>
      <c r="V150" s="24"/>
      <c r="W150" s="24"/>
      <c r="X150" s="24"/>
      <c r="Y150" s="24"/>
      <c r="Z150" s="24"/>
      <c r="AA150" s="24"/>
      <c r="AB150" s="24"/>
      <c r="AC150" s="24"/>
      <c r="AD150" s="24"/>
      <c r="AE150" s="24"/>
    </row>
    <row r="151" spans="1:31" ht="141.30000000000001">
      <c r="A151" s="91" t="s">
        <v>916</v>
      </c>
      <c r="B151" s="26" t="s">
        <v>928</v>
      </c>
      <c r="C151" s="26" t="s">
        <v>947</v>
      </c>
      <c r="D151" s="26" t="s">
        <v>2836</v>
      </c>
      <c r="E151" s="25" t="s">
        <v>2837</v>
      </c>
      <c r="F151" s="25" t="s">
        <v>2758</v>
      </c>
      <c r="G151" s="93" t="str">
        <f t="shared" si="20"/>
        <v>48 CFR 252.215-7002 - Cost estimating system requirements</v>
      </c>
      <c r="H151" s="25"/>
      <c r="I151" s="34"/>
      <c r="J151" s="37" t="s">
        <v>463</v>
      </c>
      <c r="K151" s="37" t="s">
        <v>2838</v>
      </c>
      <c r="L151" s="25" t="s">
        <v>2839</v>
      </c>
      <c r="M151" s="25" t="s">
        <v>2840</v>
      </c>
      <c r="N151" s="25" t="s">
        <v>2735</v>
      </c>
      <c r="O151" s="64"/>
      <c r="P151" s="45" t="b">
        <f t="shared" si="9"/>
        <v>0</v>
      </c>
      <c r="Q151" s="45">
        <f t="shared" si="10"/>
        <v>0</v>
      </c>
      <c r="R151" s="45">
        <f t="shared" si="11"/>
        <v>0</v>
      </c>
      <c r="S151" s="24"/>
      <c r="T151" s="24"/>
      <c r="U151" s="24"/>
      <c r="V151" s="24"/>
      <c r="W151" s="24"/>
      <c r="X151" s="24"/>
      <c r="Y151" s="24"/>
      <c r="Z151" s="24"/>
      <c r="AA151" s="24"/>
      <c r="AB151" s="24"/>
      <c r="AC151" s="24"/>
      <c r="AD151" s="24"/>
      <c r="AE151" s="24"/>
    </row>
    <row r="152" spans="1:31" ht="130.44999999999999">
      <c r="A152" s="91" t="s">
        <v>916</v>
      </c>
      <c r="B152" s="26" t="s">
        <v>928</v>
      </c>
      <c r="C152" s="26" t="s">
        <v>947</v>
      </c>
      <c r="D152" s="26" t="s">
        <v>2841</v>
      </c>
      <c r="E152" s="25" t="s">
        <v>2842</v>
      </c>
      <c r="F152" s="25" t="s">
        <v>275</v>
      </c>
      <c r="G152" s="93" t="str">
        <f t="shared" si="20"/>
        <v>48 CFR 252.215-7002 - Cost estimating system requirements</v>
      </c>
      <c r="H152" s="25"/>
      <c r="I152" s="34"/>
      <c r="J152" s="37" t="s">
        <v>463</v>
      </c>
      <c r="K152" s="37" t="s">
        <v>2843</v>
      </c>
      <c r="L152" s="25" t="s">
        <v>2844</v>
      </c>
      <c r="M152" s="25" t="s">
        <v>2845</v>
      </c>
      <c r="N152" s="25" t="s">
        <v>2735</v>
      </c>
      <c r="O152" s="64"/>
      <c r="P152" s="45" t="b">
        <f t="shared" si="9"/>
        <v>0</v>
      </c>
      <c r="Q152" s="45">
        <f t="shared" si="10"/>
        <v>0</v>
      </c>
      <c r="R152" s="45">
        <f t="shared" si="11"/>
        <v>0</v>
      </c>
      <c r="S152" s="24"/>
      <c r="T152" s="24"/>
      <c r="U152" s="24"/>
      <c r="V152" s="24"/>
      <c r="W152" s="24"/>
      <c r="X152" s="24"/>
      <c r="Y152" s="24"/>
      <c r="Z152" s="24"/>
      <c r="AA152" s="24"/>
      <c r="AB152" s="24"/>
      <c r="AC152" s="24"/>
      <c r="AD152" s="24"/>
      <c r="AE152" s="24"/>
    </row>
    <row r="153" spans="1:31" ht="97.85">
      <c r="A153" s="91" t="s">
        <v>916</v>
      </c>
      <c r="B153" s="26" t="s">
        <v>928</v>
      </c>
      <c r="C153" s="26" t="s">
        <v>947</v>
      </c>
      <c r="D153" s="26" t="s">
        <v>2846</v>
      </c>
      <c r="E153" s="25" t="s">
        <v>2847</v>
      </c>
      <c r="F153" s="25" t="s">
        <v>2848</v>
      </c>
      <c r="G153" s="57" t="str">
        <f>HYPERLINK("https://www.law.cornell.edu/cfr/text/48/9903.201-1","FAR 30.201-1 CAS applicability [CAS program requirements]. 48 C.F.R. 9903.201-1 CAS applicability")</f>
        <v>FAR 30.201-1 CAS applicability [CAS program requirements]. 48 C.F.R. 9903.201-1 CAS applicability</v>
      </c>
      <c r="H153" s="25"/>
      <c r="I153" s="34"/>
      <c r="J153" s="37" t="s">
        <v>463</v>
      </c>
      <c r="K153" s="37" t="s">
        <v>2849</v>
      </c>
      <c r="L153" s="25" t="s">
        <v>2850</v>
      </c>
      <c r="M153" s="25" t="s">
        <v>2851</v>
      </c>
      <c r="N153" s="25" t="s">
        <v>1536</v>
      </c>
      <c r="O153" s="64"/>
      <c r="P153" s="45" t="b">
        <f t="shared" si="9"/>
        <v>0</v>
      </c>
      <c r="Q153" s="45">
        <f t="shared" si="10"/>
        <v>0</v>
      </c>
      <c r="R153" s="45">
        <f t="shared" si="11"/>
        <v>0</v>
      </c>
      <c r="S153" s="24"/>
      <c r="T153" s="24"/>
      <c r="U153" s="24"/>
      <c r="V153" s="24"/>
      <c r="W153" s="24"/>
      <c r="X153" s="24"/>
      <c r="Y153" s="24"/>
      <c r="Z153" s="24"/>
      <c r="AA153" s="24"/>
      <c r="AB153" s="24"/>
      <c r="AC153" s="24"/>
      <c r="AD153" s="24"/>
      <c r="AE153" s="24"/>
    </row>
    <row r="154" spans="1:31" ht="195.65">
      <c r="A154" s="91" t="s">
        <v>916</v>
      </c>
      <c r="B154" s="26" t="s">
        <v>928</v>
      </c>
      <c r="C154" s="26" t="s">
        <v>947</v>
      </c>
      <c r="D154" s="26" t="s">
        <v>2852</v>
      </c>
      <c r="E154" s="25" t="s">
        <v>2853</v>
      </c>
      <c r="F154" s="25" t="s">
        <v>2854</v>
      </c>
      <c r="G154" s="57" t="str">
        <f>HYPERLINK("https://www.acquisition.gov/content/part-52-solicitation-provisions-and-contract-clauses#i1051610","FAR 52.230-1 Cost accounting standards notices and certifications.")</f>
        <v>FAR 52.230-1 Cost accounting standards notices and certifications.</v>
      </c>
      <c r="H154" s="25"/>
      <c r="I154" s="34" t="s">
        <v>2855</v>
      </c>
      <c r="J154" s="37" t="s">
        <v>203</v>
      </c>
      <c r="K154" s="37" t="s">
        <v>2856</v>
      </c>
      <c r="L154" s="25" t="s">
        <v>2857</v>
      </c>
      <c r="M154" s="25" t="s">
        <v>2858</v>
      </c>
      <c r="N154" s="25" t="s">
        <v>1606</v>
      </c>
      <c r="O154" s="64"/>
      <c r="P154" s="45" t="b">
        <f t="shared" si="9"/>
        <v>0</v>
      </c>
      <c r="Q154" s="45">
        <f t="shared" si="10"/>
        <v>3</v>
      </c>
      <c r="R154" s="45">
        <f t="shared" si="11"/>
        <v>0</v>
      </c>
      <c r="S154" s="24"/>
      <c r="T154" s="24"/>
      <c r="U154" s="24"/>
      <c r="V154" s="24"/>
      <c r="W154" s="24"/>
      <c r="X154" s="24"/>
      <c r="Y154" s="24"/>
      <c r="Z154" s="24"/>
      <c r="AA154" s="24"/>
      <c r="AB154" s="24"/>
      <c r="AC154" s="24"/>
      <c r="AD154" s="24"/>
      <c r="AE154" s="24"/>
    </row>
    <row r="155" spans="1:31" ht="97.85">
      <c r="A155" s="91" t="s">
        <v>916</v>
      </c>
      <c r="B155" s="26" t="s">
        <v>928</v>
      </c>
      <c r="C155" s="26" t="s">
        <v>947</v>
      </c>
      <c r="D155" s="26" t="s">
        <v>2859</v>
      </c>
      <c r="E155" s="25" t="s">
        <v>2860</v>
      </c>
      <c r="F155" s="25" t="s">
        <v>2861</v>
      </c>
      <c r="G155" s="57" t="str">
        <f t="shared" ref="G155:G156" si="21">HYPERLINK("https://www.govinfo.gov/content/pkg/CFR-2001-title48-vol7/xml/CFR-2001-title48-vol7-sec9903-201-2.xml","48 C.F.R. 9903.201-2 Types of CAS coverage.")</f>
        <v>48 C.F.R. 9903.201-2 Types of CAS coverage.</v>
      </c>
      <c r="H155" s="25"/>
      <c r="I155" s="34"/>
      <c r="J155" s="37" t="s">
        <v>463</v>
      </c>
      <c r="K155" s="37" t="s">
        <v>2862</v>
      </c>
      <c r="L155" s="25" t="s">
        <v>2863</v>
      </c>
      <c r="M155" s="25" t="s">
        <v>2864</v>
      </c>
      <c r="N155" s="25" t="s">
        <v>1536</v>
      </c>
      <c r="O155" s="64"/>
      <c r="P155" s="45" t="b">
        <f t="shared" si="9"/>
        <v>0</v>
      </c>
      <c r="Q155" s="45">
        <f t="shared" si="10"/>
        <v>0</v>
      </c>
      <c r="R155" s="45">
        <f t="shared" si="11"/>
        <v>0</v>
      </c>
      <c r="S155" s="24"/>
      <c r="T155" s="24"/>
      <c r="U155" s="24"/>
      <c r="V155" s="24"/>
      <c r="W155" s="24"/>
      <c r="X155" s="24"/>
      <c r="Y155" s="24"/>
      <c r="Z155" s="24"/>
      <c r="AA155" s="24"/>
      <c r="AB155" s="24"/>
      <c r="AC155" s="24"/>
      <c r="AD155" s="24"/>
      <c r="AE155" s="24"/>
    </row>
    <row r="156" spans="1:31" ht="86.95">
      <c r="A156" s="91" t="s">
        <v>916</v>
      </c>
      <c r="B156" s="26" t="s">
        <v>928</v>
      </c>
      <c r="C156" s="26" t="s">
        <v>947</v>
      </c>
      <c r="D156" s="26" t="s">
        <v>2865</v>
      </c>
      <c r="E156" s="25" t="s">
        <v>2866</v>
      </c>
      <c r="F156" s="25" t="s">
        <v>2861</v>
      </c>
      <c r="G156" s="57" t="str">
        <f t="shared" si="21"/>
        <v>48 C.F.R. 9903.201-2 Types of CAS coverage.</v>
      </c>
      <c r="H156" s="25"/>
      <c r="I156" s="34"/>
      <c r="J156" s="37" t="s">
        <v>463</v>
      </c>
      <c r="K156" s="37" t="s">
        <v>2867</v>
      </c>
      <c r="L156" s="25" t="s">
        <v>2868</v>
      </c>
      <c r="M156" s="25" t="s">
        <v>2869</v>
      </c>
      <c r="N156" s="25" t="s">
        <v>1536</v>
      </c>
      <c r="O156" s="64"/>
      <c r="P156" s="45" t="b">
        <f t="shared" si="9"/>
        <v>0</v>
      </c>
      <c r="Q156" s="45">
        <f t="shared" si="10"/>
        <v>0</v>
      </c>
      <c r="R156" s="45">
        <f t="shared" si="11"/>
        <v>0</v>
      </c>
      <c r="S156" s="24"/>
      <c r="T156" s="24"/>
      <c r="U156" s="24"/>
      <c r="V156" s="24"/>
      <c r="W156" s="24"/>
      <c r="X156" s="24"/>
      <c r="Y156" s="24"/>
      <c r="Z156" s="24"/>
      <c r="AA156" s="24"/>
      <c r="AB156" s="24"/>
      <c r="AC156" s="24"/>
      <c r="AD156" s="24"/>
      <c r="AE156" s="24"/>
    </row>
    <row r="157" spans="1:31" ht="86.95">
      <c r="A157" s="91" t="s">
        <v>916</v>
      </c>
      <c r="B157" s="26" t="s">
        <v>928</v>
      </c>
      <c r="C157" s="26" t="s">
        <v>947</v>
      </c>
      <c r="D157" s="26" t="s">
        <v>2870</v>
      </c>
      <c r="E157" s="25" t="s">
        <v>2871</v>
      </c>
      <c r="F157" s="25" t="s">
        <v>2861</v>
      </c>
      <c r="G157" s="57" t="str">
        <f>HYPERLINK("https://www.govinfo.gov/content/pkg/CFR-2001-title48-vol7/xml/CFR-2001-title48-vol7-sec9903-201-2.xml","48 C.F.R. 9903.201-2 Types of CAS coverage. 48 CFR 9903.201-2(c) Types of coverage. [Coverage for educational institutions} 48 CFR 9903.202-2(e) Types of CAS coverage. [Foreign concerns.] ")</f>
        <v xml:space="preserve">48 C.F.R. 9903.201-2 Types of CAS coverage. 48 CFR 9903.201-2(c) Types of coverage. [Coverage for educational institutions} 48 CFR 9903.202-2(e) Types of CAS coverage. [Foreign concerns.] </v>
      </c>
      <c r="H157" s="25"/>
      <c r="I157" s="34"/>
      <c r="J157" s="37" t="s">
        <v>463</v>
      </c>
      <c r="K157" s="37" t="s">
        <v>2872</v>
      </c>
      <c r="L157" s="25" t="s">
        <v>2873</v>
      </c>
      <c r="M157" s="25" t="s">
        <v>2874</v>
      </c>
      <c r="N157" s="25" t="s">
        <v>1536</v>
      </c>
      <c r="O157" s="64"/>
      <c r="P157" s="45" t="b">
        <f t="shared" si="9"/>
        <v>0</v>
      </c>
      <c r="Q157" s="45">
        <f t="shared" si="10"/>
        <v>0</v>
      </c>
      <c r="R157" s="45">
        <f t="shared" si="11"/>
        <v>0</v>
      </c>
      <c r="S157" s="24"/>
      <c r="T157" s="24"/>
      <c r="U157" s="24"/>
      <c r="V157" s="24"/>
      <c r="W157" s="24"/>
      <c r="X157" s="24"/>
      <c r="Y157" s="24"/>
      <c r="Z157" s="24"/>
      <c r="AA157" s="24"/>
      <c r="AB157" s="24"/>
      <c r="AC157" s="24"/>
      <c r="AD157" s="24"/>
      <c r="AE157" s="24"/>
    </row>
    <row r="158" spans="1:31" ht="86.95">
      <c r="A158" s="91" t="s">
        <v>916</v>
      </c>
      <c r="B158" s="26" t="s">
        <v>928</v>
      </c>
      <c r="C158" s="26" t="s">
        <v>947</v>
      </c>
      <c r="D158" s="26" t="s">
        <v>2875</v>
      </c>
      <c r="E158" s="25" t="s">
        <v>2876</v>
      </c>
      <c r="F158" s="25" t="s">
        <v>2877</v>
      </c>
      <c r="G158" s="57" t="str">
        <f>HYPERLINK("https://www.acquisition.gov/content/part-30-cost-accounting-standards-administration#i1087182","FAR 30.201-5 Waiver 48 C.F.R. 9903.201-5 Waivers.")</f>
        <v>FAR 30.201-5 Waiver 48 C.F.R. 9903.201-5 Waivers.</v>
      </c>
      <c r="H158" s="25"/>
      <c r="I158" s="34"/>
      <c r="J158" s="37" t="s">
        <v>463</v>
      </c>
      <c r="K158" s="37" t="s">
        <v>2878</v>
      </c>
      <c r="L158" s="25" t="s">
        <v>2879</v>
      </c>
      <c r="M158" s="25" t="s">
        <v>2880</v>
      </c>
      <c r="N158" s="25" t="s">
        <v>1536</v>
      </c>
      <c r="O158" s="64"/>
      <c r="P158" s="45" t="b">
        <f t="shared" si="9"/>
        <v>0</v>
      </c>
      <c r="Q158" s="45">
        <f t="shared" si="10"/>
        <v>0</v>
      </c>
      <c r="R158" s="45">
        <f t="shared" si="11"/>
        <v>0</v>
      </c>
      <c r="S158" s="24"/>
      <c r="T158" s="24"/>
      <c r="U158" s="24"/>
      <c r="V158" s="24"/>
      <c r="W158" s="24"/>
      <c r="X158" s="24"/>
      <c r="Y158" s="24"/>
      <c r="Z158" s="24"/>
      <c r="AA158" s="24"/>
      <c r="AB158" s="24"/>
      <c r="AC158" s="24"/>
      <c r="AD158" s="24"/>
      <c r="AE158" s="24"/>
    </row>
    <row r="159" spans="1:31" ht="119.55">
      <c r="A159" s="91" t="s">
        <v>916</v>
      </c>
      <c r="B159" s="26" t="s">
        <v>928</v>
      </c>
      <c r="C159" s="26" t="s">
        <v>947</v>
      </c>
      <c r="D159" s="26" t="s">
        <v>2881</v>
      </c>
      <c r="E159" s="25" t="s">
        <v>2882</v>
      </c>
      <c r="F159" s="25" t="s">
        <v>2883</v>
      </c>
      <c r="G159" s="129" t="str">
        <f>HYPERLINK("https://www.acquisition.gov/content/part-30-cost-accounting-standards-administration#i1087182","FAR 30.201-5(c) Waiver")</f>
        <v>FAR 30.201-5(c) Waiver</v>
      </c>
      <c r="H159" s="25"/>
      <c r="I159" s="34"/>
      <c r="J159" s="37" t="s">
        <v>463</v>
      </c>
      <c r="K159" s="37" t="s">
        <v>2884</v>
      </c>
      <c r="L159" s="25" t="s">
        <v>2885</v>
      </c>
      <c r="M159" s="25" t="s">
        <v>2886</v>
      </c>
      <c r="N159" s="25" t="s">
        <v>2723</v>
      </c>
      <c r="O159" s="64"/>
      <c r="P159" s="45" t="b">
        <f t="shared" si="9"/>
        <v>0</v>
      </c>
      <c r="Q159" s="45">
        <f t="shared" si="10"/>
        <v>0</v>
      </c>
      <c r="R159" s="45">
        <f t="shared" si="11"/>
        <v>0</v>
      </c>
      <c r="S159" s="24"/>
      <c r="T159" s="24"/>
      <c r="U159" s="24"/>
      <c r="V159" s="24"/>
      <c r="W159" s="24"/>
      <c r="X159" s="24"/>
      <c r="Y159" s="24"/>
      <c r="Z159" s="24"/>
      <c r="AA159" s="24"/>
      <c r="AB159" s="24"/>
      <c r="AC159" s="24"/>
      <c r="AD159" s="24"/>
      <c r="AE159" s="24"/>
    </row>
    <row r="160" spans="1:31" ht="195.65">
      <c r="A160" s="91" t="s">
        <v>916</v>
      </c>
      <c r="B160" s="26" t="s">
        <v>928</v>
      </c>
      <c r="C160" s="26" t="s">
        <v>947</v>
      </c>
      <c r="D160" s="26" t="s">
        <v>2887</v>
      </c>
      <c r="E160" s="25" t="s">
        <v>2888</v>
      </c>
      <c r="F160" s="25" t="s">
        <v>2889</v>
      </c>
      <c r="G160" s="57" t="e">
        <f>HYPERLINK("https://www.acquisition.gov/content/part-30-cost-accounting-standards-administration#i1087135","FAR 30.201-4 Contract clauses [CAS program requirements]. FAR 52.230-1 Cost accounting standards notices and certifications. FAR 52.230-2 Cost accounting standards. FAR 52.230-3 Disclosure and consistency of cost accounting practices. FAR 52.230-4 Disclos"&amp;"ure and consistency of cost accounting practices-foreign concerns. FAR 52.230-5 Cost accounting standards-Educational Institution. FAR 52.230-6 Administration of cost accounting standards.")</f>
        <v>#VALUE!</v>
      </c>
      <c r="H160" s="25"/>
      <c r="I160" s="34" t="s">
        <v>2890</v>
      </c>
      <c r="J160" s="37" t="s">
        <v>203</v>
      </c>
      <c r="K160" s="75" t="s">
        <v>2856</v>
      </c>
      <c r="L160" s="25" t="s">
        <v>2857</v>
      </c>
      <c r="M160" s="25" t="s">
        <v>2858</v>
      </c>
      <c r="N160" s="25" t="s">
        <v>1606</v>
      </c>
      <c r="O160" s="64"/>
      <c r="P160" s="45" t="b">
        <f t="shared" si="9"/>
        <v>0</v>
      </c>
      <c r="Q160" s="45">
        <f t="shared" si="10"/>
        <v>3</v>
      </c>
      <c r="R160" s="45">
        <f t="shared" si="11"/>
        <v>0</v>
      </c>
      <c r="S160" s="24"/>
      <c r="T160" s="24"/>
      <c r="U160" s="24"/>
      <c r="V160" s="24"/>
      <c r="W160" s="24"/>
      <c r="X160" s="24"/>
      <c r="Y160" s="24"/>
      <c r="Z160" s="24"/>
      <c r="AA160" s="24"/>
      <c r="AB160" s="24"/>
      <c r="AC160" s="24"/>
      <c r="AD160" s="24"/>
      <c r="AE160" s="24"/>
    </row>
    <row r="161" spans="1:31" ht="130.44999999999999">
      <c r="A161" s="91" t="s">
        <v>916</v>
      </c>
      <c r="B161" s="26" t="s">
        <v>928</v>
      </c>
      <c r="C161" s="26" t="s">
        <v>947</v>
      </c>
      <c r="D161" s="26" t="s">
        <v>2891</v>
      </c>
      <c r="E161" s="25" t="s">
        <v>2892</v>
      </c>
      <c r="F161" s="25" t="s">
        <v>2893</v>
      </c>
      <c r="G161" s="57" t="str">
        <f>HYPERLINK("https://www.acquisition.gov/content/part-30-cost-accounting-standards-administration#id1617MD0C0MV","FAR 30.202-6 Responsibilities [disclosure requirements]. 48 C.F.R. 9903.202 Disclosure requirements.")</f>
        <v>FAR 30.202-6 Responsibilities [disclosure requirements]. 48 C.F.R. 9903.202 Disclosure requirements.</v>
      </c>
      <c r="H161" s="25"/>
      <c r="I161" s="34"/>
      <c r="J161" s="37" t="s">
        <v>463</v>
      </c>
      <c r="K161" s="37" t="s">
        <v>2894</v>
      </c>
      <c r="L161" s="25" t="s">
        <v>2895</v>
      </c>
      <c r="M161" s="25" t="s">
        <v>2896</v>
      </c>
      <c r="N161" s="25" t="s">
        <v>2716</v>
      </c>
      <c r="O161" s="64"/>
      <c r="P161" s="45" t="b">
        <f t="shared" si="9"/>
        <v>0</v>
      </c>
      <c r="Q161" s="45">
        <f t="shared" si="10"/>
        <v>0</v>
      </c>
      <c r="R161" s="45">
        <f t="shared" si="11"/>
        <v>0</v>
      </c>
      <c r="S161" s="24"/>
      <c r="T161" s="24"/>
      <c r="U161" s="24"/>
      <c r="V161" s="24"/>
      <c r="W161" s="24"/>
      <c r="X161" s="24"/>
      <c r="Y161" s="24"/>
      <c r="Z161" s="24"/>
      <c r="AA161" s="24"/>
      <c r="AB161" s="24"/>
      <c r="AC161" s="24"/>
      <c r="AD161" s="24"/>
      <c r="AE161" s="24"/>
    </row>
    <row r="162" spans="1:31" ht="97.85">
      <c r="A162" s="91" t="s">
        <v>916</v>
      </c>
      <c r="B162" s="26" t="s">
        <v>928</v>
      </c>
      <c r="C162" s="26" t="s">
        <v>947</v>
      </c>
      <c r="D162" s="26" t="s">
        <v>2897</v>
      </c>
      <c r="E162" s="25" t="s">
        <v>2898</v>
      </c>
      <c r="F162" s="25" t="s">
        <v>2899</v>
      </c>
      <c r="G162" s="57" t="str">
        <f>HYPERLINK("https://www.acquisition.gov/content/part-30-cost-accounting-standards-administration#id1617MD0C0MV","FAR 30.202-6(b) Responsibilities.")</f>
        <v>FAR 30.202-6(b) Responsibilities.</v>
      </c>
      <c r="H162" s="25"/>
      <c r="I162" s="34"/>
      <c r="J162" s="37" t="s">
        <v>463</v>
      </c>
      <c r="K162" s="37" t="s">
        <v>2900</v>
      </c>
      <c r="L162" s="25" t="s">
        <v>2901</v>
      </c>
      <c r="M162" s="25" t="s">
        <v>2902</v>
      </c>
      <c r="N162" s="25" t="s">
        <v>2903</v>
      </c>
      <c r="O162" s="64"/>
      <c r="P162" s="45" t="b">
        <f t="shared" si="9"/>
        <v>0</v>
      </c>
      <c r="Q162" s="45">
        <f t="shared" si="10"/>
        <v>0</v>
      </c>
      <c r="R162" s="45">
        <f t="shared" si="11"/>
        <v>0</v>
      </c>
      <c r="S162" s="24"/>
      <c r="T162" s="24"/>
      <c r="U162" s="24"/>
      <c r="V162" s="24"/>
      <c r="W162" s="24"/>
      <c r="X162" s="24"/>
      <c r="Y162" s="24"/>
      <c r="Z162" s="24"/>
      <c r="AA162" s="24"/>
      <c r="AB162" s="24"/>
      <c r="AC162" s="24"/>
      <c r="AD162" s="24"/>
      <c r="AE162" s="24"/>
    </row>
    <row r="163" spans="1:31" ht="130.44999999999999">
      <c r="A163" s="91" t="s">
        <v>916</v>
      </c>
      <c r="B163" s="26" t="s">
        <v>928</v>
      </c>
      <c r="C163" s="26" t="s">
        <v>947</v>
      </c>
      <c r="D163" s="26" t="s">
        <v>2904</v>
      </c>
      <c r="E163" s="85" t="s">
        <v>2905</v>
      </c>
      <c r="F163" s="85" t="s">
        <v>2906</v>
      </c>
      <c r="G163" s="86" t="str">
        <f>HYPERLINK("https://www.acquisition.gov/content/part-15-contracting-negotiation#id1617MD00WZM","FAR 15.404-2(c)(1) Audit assistance for prime contracts or subcontracts [data to support proposal analysis].")</f>
        <v>FAR 15.404-2(c)(1) Audit assistance for prime contracts or subcontracts [data to support proposal analysis].</v>
      </c>
      <c r="H163" s="57" t="str">
        <f t="shared" ref="H163:H167" si="22">HYPERLINK("https://www.acquisition.gov/sites/default/files/current/gsam/html/Part515.html#wp1858386","GSAR 515.404-2")</f>
        <v>GSAR 515.404-2</v>
      </c>
      <c r="I163" s="34" t="s">
        <v>2907</v>
      </c>
      <c r="J163" s="37" t="s">
        <v>919</v>
      </c>
      <c r="K163" s="37" t="s">
        <v>2908</v>
      </c>
      <c r="L163" s="25" t="s">
        <v>2909</v>
      </c>
      <c r="M163" s="25" t="s">
        <v>2910</v>
      </c>
      <c r="N163" s="25" t="s">
        <v>2723</v>
      </c>
      <c r="O163" s="64"/>
      <c r="P163" s="45" t="b">
        <f t="shared" si="9"/>
        <v>0</v>
      </c>
      <c r="Q163" s="45">
        <f t="shared" si="10"/>
        <v>3</v>
      </c>
      <c r="R163" s="45">
        <f t="shared" si="11"/>
        <v>0</v>
      </c>
      <c r="S163" s="24"/>
      <c r="T163" s="24"/>
      <c r="U163" s="24"/>
      <c r="V163" s="24"/>
      <c r="W163" s="24"/>
      <c r="X163" s="24"/>
      <c r="Y163" s="24"/>
      <c r="Z163" s="24"/>
      <c r="AA163" s="24"/>
      <c r="AB163" s="24"/>
      <c r="AC163" s="24"/>
      <c r="AD163" s="24"/>
      <c r="AE163" s="24"/>
    </row>
    <row r="164" spans="1:31" ht="86.95">
      <c r="A164" s="91" t="s">
        <v>916</v>
      </c>
      <c r="B164" s="26" t="s">
        <v>928</v>
      </c>
      <c r="C164" s="26" t="s">
        <v>947</v>
      </c>
      <c r="D164" s="26" t="s">
        <v>2911</v>
      </c>
      <c r="E164" s="85" t="s">
        <v>2912</v>
      </c>
      <c r="F164" s="85" t="s">
        <v>2913</v>
      </c>
      <c r="G164" s="86" t="str">
        <f>HYPERLINK("https://www.acquisition.gov/content/part-15-contracting-negotiation#id1617MD00WZM","FAR 15.404-2(c)(2) Audit assistance for prime contracts or subcontracts [data to support proposal analysis].")</f>
        <v>FAR 15.404-2(c)(2) Audit assistance for prime contracts or subcontracts [data to support proposal analysis].</v>
      </c>
      <c r="H164" s="57" t="str">
        <f t="shared" si="22"/>
        <v>GSAR 515.404-2</v>
      </c>
      <c r="I164" s="34" t="s">
        <v>2914</v>
      </c>
      <c r="J164" s="37" t="s">
        <v>919</v>
      </c>
      <c r="K164" s="37" t="s">
        <v>2915</v>
      </c>
      <c r="L164" s="25" t="s">
        <v>2916</v>
      </c>
      <c r="M164" s="25" t="s">
        <v>2917</v>
      </c>
      <c r="N164" s="25" t="s">
        <v>1342</v>
      </c>
      <c r="O164" s="64"/>
      <c r="P164" s="45" t="b">
        <f t="shared" si="9"/>
        <v>0</v>
      </c>
      <c r="Q164" s="45">
        <f t="shared" si="10"/>
        <v>3</v>
      </c>
      <c r="R164" s="45">
        <f t="shared" si="11"/>
        <v>0</v>
      </c>
      <c r="S164" s="24"/>
      <c r="T164" s="24"/>
      <c r="U164" s="24"/>
      <c r="V164" s="24"/>
      <c r="W164" s="24"/>
      <c r="X164" s="24"/>
      <c r="Y164" s="24"/>
      <c r="Z164" s="24"/>
      <c r="AA164" s="24"/>
      <c r="AB164" s="24"/>
      <c r="AC164" s="24"/>
      <c r="AD164" s="24"/>
      <c r="AE164" s="24"/>
    </row>
    <row r="165" spans="1:31" ht="86.95">
      <c r="A165" s="91" t="s">
        <v>916</v>
      </c>
      <c r="B165" s="26" t="s">
        <v>928</v>
      </c>
      <c r="C165" s="26" t="s">
        <v>947</v>
      </c>
      <c r="D165" s="26" t="s">
        <v>2918</v>
      </c>
      <c r="E165" s="85" t="s">
        <v>2919</v>
      </c>
      <c r="F165" s="85" t="s">
        <v>2920</v>
      </c>
      <c r="G165" s="86" t="str">
        <f>HYPERLINK("https://www.acquisition.gov/content/part-15-contracting-negotiation#id1617MD00WZM","FAR 15.404-2(c)(1) Audit assistance for prime contracts or subcontracts [data to support proposal analysis]. FAR 15.404-2(d) Deficient proposals [data to support proposal analysis].")</f>
        <v>FAR 15.404-2(c)(1) Audit assistance for prime contracts or subcontracts [data to support proposal analysis]. FAR 15.404-2(d) Deficient proposals [data to support proposal analysis].</v>
      </c>
      <c r="H165" s="57" t="str">
        <f t="shared" si="22"/>
        <v>GSAR 515.404-2</v>
      </c>
      <c r="I165" s="34" t="s">
        <v>2921</v>
      </c>
      <c r="J165" s="37" t="s">
        <v>919</v>
      </c>
      <c r="K165" s="37" t="s">
        <v>2922</v>
      </c>
      <c r="L165" s="25" t="s">
        <v>2923</v>
      </c>
      <c r="M165" s="25" t="s">
        <v>2924</v>
      </c>
      <c r="N165" s="25" t="s">
        <v>2925</v>
      </c>
      <c r="O165" s="64"/>
      <c r="P165" s="45" t="b">
        <f t="shared" si="9"/>
        <v>0</v>
      </c>
      <c r="Q165" s="45">
        <f t="shared" si="10"/>
        <v>3</v>
      </c>
      <c r="R165" s="45">
        <f t="shared" si="11"/>
        <v>0</v>
      </c>
      <c r="S165" s="24"/>
      <c r="T165" s="24"/>
      <c r="U165" s="24"/>
      <c r="V165" s="24"/>
      <c r="W165" s="24"/>
      <c r="X165" s="24"/>
      <c r="Y165" s="24"/>
      <c r="Z165" s="24"/>
      <c r="AA165" s="24"/>
      <c r="AB165" s="24"/>
      <c r="AC165" s="24"/>
      <c r="AD165" s="24"/>
      <c r="AE165" s="24"/>
    </row>
    <row r="166" spans="1:31" ht="152.15">
      <c r="A166" s="91" t="s">
        <v>916</v>
      </c>
      <c r="B166" s="26" t="s">
        <v>928</v>
      </c>
      <c r="C166" s="26" t="s">
        <v>947</v>
      </c>
      <c r="D166" s="26" t="s">
        <v>2926</v>
      </c>
      <c r="E166" s="85" t="s">
        <v>2927</v>
      </c>
      <c r="F166" s="85" t="s">
        <v>2928</v>
      </c>
      <c r="G166" s="86" t="str">
        <f>HYPERLINK("https://www.acquisition.gov/content/part-15-contracting-negotiation#id1617MD00WZM","FAR 15.404-2(b) Reporting field pricing information [data to support proposal analysis].")</f>
        <v>FAR 15.404-2(b) Reporting field pricing information [data to support proposal analysis].</v>
      </c>
      <c r="H166" s="57" t="str">
        <f t="shared" si="22"/>
        <v>GSAR 515.404-2</v>
      </c>
      <c r="I166" s="34" t="s">
        <v>2914</v>
      </c>
      <c r="J166" s="37" t="s">
        <v>919</v>
      </c>
      <c r="K166" s="37" t="s">
        <v>2929</v>
      </c>
      <c r="L166" s="25" t="s">
        <v>2930</v>
      </c>
      <c r="M166" s="25" t="s">
        <v>2931</v>
      </c>
      <c r="N166" s="25" t="s">
        <v>2932</v>
      </c>
      <c r="O166" s="64"/>
      <c r="P166" s="45" t="b">
        <f t="shared" si="9"/>
        <v>0</v>
      </c>
      <c r="Q166" s="45">
        <f t="shared" si="10"/>
        <v>3</v>
      </c>
      <c r="R166" s="45">
        <f t="shared" si="11"/>
        <v>0</v>
      </c>
      <c r="S166" s="24"/>
      <c r="T166" s="24"/>
      <c r="U166" s="24"/>
      <c r="V166" s="24"/>
      <c r="W166" s="24"/>
      <c r="X166" s="24"/>
      <c r="Y166" s="24"/>
      <c r="Z166" s="24"/>
      <c r="AA166" s="24"/>
      <c r="AB166" s="24"/>
      <c r="AC166" s="24"/>
      <c r="AD166" s="24"/>
      <c r="AE166" s="24"/>
    </row>
    <row r="167" spans="1:31" ht="76.099999999999994">
      <c r="A167" s="91" t="s">
        <v>916</v>
      </c>
      <c r="B167" s="26" t="s">
        <v>928</v>
      </c>
      <c r="C167" s="26" t="s">
        <v>947</v>
      </c>
      <c r="D167" s="26" t="s">
        <v>2933</v>
      </c>
      <c r="E167" s="85" t="s">
        <v>2934</v>
      </c>
      <c r="F167" s="85" t="s">
        <v>2935</v>
      </c>
      <c r="G167" s="57" t="str">
        <f>HYPERLINK("https://www.acquisition.gov/content/part-15-contracting-negotiation#id1617MD00WZM","FAR 15.404-2(d) Deficient proposals [data to support proposal analysis]. ")</f>
        <v xml:space="preserve">FAR 15.404-2(d) Deficient proposals [data to support proposal analysis]. </v>
      </c>
      <c r="H167" s="57" t="str">
        <f t="shared" si="22"/>
        <v>GSAR 515.404-2</v>
      </c>
      <c r="I167" s="34" t="s">
        <v>2914</v>
      </c>
      <c r="J167" s="37" t="s">
        <v>919</v>
      </c>
      <c r="K167" s="37" t="s">
        <v>2936</v>
      </c>
      <c r="L167" s="25" t="s">
        <v>2937</v>
      </c>
      <c r="M167" s="25" t="s">
        <v>2938</v>
      </c>
      <c r="N167" s="25" t="s">
        <v>2939</v>
      </c>
      <c r="O167" s="64"/>
      <c r="P167" s="45" t="b">
        <f t="shared" si="9"/>
        <v>0</v>
      </c>
      <c r="Q167" s="45">
        <f t="shared" si="10"/>
        <v>3</v>
      </c>
      <c r="R167" s="45">
        <f t="shared" si="11"/>
        <v>0</v>
      </c>
      <c r="S167" s="24"/>
      <c r="T167" s="24"/>
      <c r="U167" s="24"/>
      <c r="V167" s="24"/>
      <c r="W167" s="24"/>
      <c r="X167" s="24"/>
      <c r="Y167" s="24"/>
      <c r="Z167" s="24"/>
      <c r="AA167" s="24"/>
      <c r="AB167" s="24"/>
      <c r="AC167" s="24"/>
      <c r="AD167" s="24"/>
      <c r="AE167" s="24"/>
    </row>
    <row r="168" spans="1:31" ht="86.95">
      <c r="A168" s="91" t="s">
        <v>916</v>
      </c>
      <c r="B168" s="26" t="s">
        <v>928</v>
      </c>
      <c r="C168" s="26" t="s">
        <v>947</v>
      </c>
      <c r="D168" s="26" t="s">
        <v>2940</v>
      </c>
      <c r="E168" s="85" t="s">
        <v>2941</v>
      </c>
      <c r="F168" s="85" t="s">
        <v>275</v>
      </c>
      <c r="G168" s="86" t="str">
        <f>HYPERLINK("https://www.acquisition.gov/content/part-15-contracting-negotiation#id1617MD00WZM","FAR 4.803(a)(20) Contents of contract files. FAR 15.404-2(b)(2) Reporting field pricing information [data to support proposal analysis].")</f>
        <v>FAR 4.803(a)(20) Contents of contract files. FAR 15.404-2(b)(2) Reporting field pricing information [data to support proposal analysis].</v>
      </c>
      <c r="H168" s="57" t="str">
        <f>HYPERLINK("https://www.acquisition.gov/sites/default/files/current/gsam/html/GSAMTOC.html","GSAR 504.803, GSAR 515.404-2")</f>
        <v>GSAR 504.803, GSAR 515.404-2</v>
      </c>
      <c r="I168" s="34" t="s">
        <v>2942</v>
      </c>
      <c r="J168" s="37" t="s">
        <v>919</v>
      </c>
      <c r="K168" s="37" t="s">
        <v>2943</v>
      </c>
      <c r="L168" s="25" t="s">
        <v>2944</v>
      </c>
      <c r="M168" s="25" t="s">
        <v>2945</v>
      </c>
      <c r="N168" s="25" t="s">
        <v>2946</v>
      </c>
      <c r="O168" s="64"/>
      <c r="P168" s="45" t="b">
        <f t="shared" si="9"/>
        <v>0</v>
      </c>
      <c r="Q168" s="45">
        <f t="shared" si="10"/>
        <v>3</v>
      </c>
      <c r="R168" s="45">
        <f t="shared" si="11"/>
        <v>0</v>
      </c>
      <c r="S168" s="24"/>
      <c r="T168" s="24"/>
      <c r="U168" s="24"/>
      <c r="V168" s="24"/>
      <c r="W168" s="24"/>
      <c r="X168" s="24"/>
      <c r="Y168" s="24"/>
      <c r="Z168" s="24"/>
      <c r="AA168" s="24"/>
      <c r="AB168" s="24"/>
      <c r="AC168" s="24"/>
      <c r="AD168" s="24"/>
      <c r="AE168" s="24"/>
    </row>
    <row r="169" spans="1:31" ht="152.15">
      <c r="A169" s="91" t="s">
        <v>916</v>
      </c>
      <c r="B169" s="26" t="s">
        <v>928</v>
      </c>
      <c r="C169" s="26" t="s">
        <v>947</v>
      </c>
      <c r="D169" s="26" t="s">
        <v>2947</v>
      </c>
      <c r="E169" s="25" t="s">
        <v>2948</v>
      </c>
      <c r="F169" s="25" t="s">
        <v>2949</v>
      </c>
      <c r="G169" s="57" t="str">
        <f>HYPERLINK("https://www.acquisition.gov/content/part-9-contractor-qualifications#id1617MD00QB9","FAR 9.504 Contracting officer responsibilities. ")</f>
        <v xml:space="preserve">FAR 9.504 Contracting officer responsibilities. </v>
      </c>
      <c r="H169" s="25"/>
      <c r="I169" s="34" t="s">
        <v>2670</v>
      </c>
      <c r="J169" s="37" t="s">
        <v>919</v>
      </c>
      <c r="K169" s="37" t="s">
        <v>2950</v>
      </c>
      <c r="L169" s="25" t="s">
        <v>2951</v>
      </c>
      <c r="M169" s="25" t="s">
        <v>2952</v>
      </c>
      <c r="N169" s="25" t="s">
        <v>2953</v>
      </c>
      <c r="O169" s="64"/>
      <c r="P169" s="45" t="b">
        <f t="shared" si="9"/>
        <v>0</v>
      </c>
      <c r="Q169" s="45">
        <f t="shared" si="10"/>
        <v>3</v>
      </c>
      <c r="R169" s="45">
        <f t="shared" si="11"/>
        <v>0</v>
      </c>
      <c r="S169" s="24"/>
      <c r="T169" s="24"/>
      <c r="U169" s="24"/>
      <c r="V169" s="24"/>
      <c r="W169" s="24"/>
      <c r="X169" s="24"/>
      <c r="Y169" s="24"/>
      <c r="Z169" s="24"/>
      <c r="AA169" s="24"/>
      <c r="AB169" s="24"/>
      <c r="AC169" s="24"/>
      <c r="AD169" s="24"/>
      <c r="AE169" s="24"/>
    </row>
    <row r="170" spans="1:31" ht="141.30000000000001">
      <c r="A170" s="91" t="s">
        <v>916</v>
      </c>
      <c r="B170" s="26" t="s">
        <v>928</v>
      </c>
      <c r="C170" s="26" t="s">
        <v>947</v>
      </c>
      <c r="D170" s="26" t="s">
        <v>2954</v>
      </c>
      <c r="E170" s="25" t="s">
        <v>2955</v>
      </c>
      <c r="F170" s="25" t="s">
        <v>2956</v>
      </c>
      <c r="G170" s="57" t="str">
        <f>HYPERLINK("https://www.acquisition.gov/content/part-9-contractor-qualifications#id1617MD00QB9","FAR 9.504 Contracting officer responsibilities.")</f>
        <v>FAR 9.504 Contracting officer responsibilities.</v>
      </c>
      <c r="H170" s="25"/>
      <c r="I170" s="34" t="s">
        <v>2670</v>
      </c>
      <c r="J170" s="37" t="s">
        <v>919</v>
      </c>
      <c r="K170" s="37" t="s">
        <v>2957</v>
      </c>
      <c r="L170" s="25" t="s">
        <v>2958</v>
      </c>
      <c r="M170" s="25" t="s">
        <v>2959</v>
      </c>
      <c r="N170" s="25" t="s">
        <v>2960</v>
      </c>
      <c r="O170" s="64"/>
      <c r="P170" s="45" t="b">
        <f t="shared" si="9"/>
        <v>0</v>
      </c>
      <c r="Q170" s="45">
        <f t="shared" si="10"/>
        <v>3</v>
      </c>
      <c r="R170" s="45">
        <f t="shared" si="11"/>
        <v>0</v>
      </c>
      <c r="S170" s="24"/>
      <c r="T170" s="24"/>
      <c r="U170" s="24"/>
      <c r="V170" s="24"/>
      <c r="W170" s="24"/>
      <c r="X170" s="24"/>
      <c r="Y170" s="24"/>
      <c r="Z170" s="24"/>
      <c r="AA170" s="24"/>
      <c r="AB170" s="24"/>
      <c r="AC170" s="24"/>
      <c r="AD170" s="24"/>
      <c r="AE170" s="24"/>
    </row>
    <row r="171" spans="1:31" ht="119.55">
      <c r="A171" s="91" t="s">
        <v>916</v>
      </c>
      <c r="B171" s="26" t="s">
        <v>928</v>
      </c>
      <c r="C171" s="26" t="s">
        <v>947</v>
      </c>
      <c r="D171" s="26" t="s">
        <v>2961</v>
      </c>
      <c r="E171" s="25" t="s">
        <v>2962</v>
      </c>
      <c r="F171" s="25" t="s">
        <v>2963</v>
      </c>
      <c r="G171" s="57" t="str">
        <f>HYPERLINK("https://www.acquisition.gov/content/part-9-contractor-qualifications#i1114968","FAR 9.503 Waiver.")</f>
        <v>FAR 9.503 Waiver.</v>
      </c>
      <c r="H171" s="57" t="str">
        <f>HYPERLINK("https://www.acquisition.gov/sites/default/files/current/gsam/html/Part509.html#wp1858258","GSAR 509.503")</f>
        <v>GSAR 509.503</v>
      </c>
      <c r="I171" s="34" t="s">
        <v>2670</v>
      </c>
      <c r="J171" s="37" t="s">
        <v>919</v>
      </c>
      <c r="K171" s="37" t="s">
        <v>2964</v>
      </c>
      <c r="L171" s="25" t="s">
        <v>2965</v>
      </c>
      <c r="M171" s="25" t="s">
        <v>2966</v>
      </c>
      <c r="N171" s="25" t="s">
        <v>2967</v>
      </c>
      <c r="O171" s="64"/>
      <c r="P171" s="45" t="b">
        <f t="shared" si="9"/>
        <v>0</v>
      </c>
      <c r="Q171" s="45">
        <f t="shared" si="10"/>
        <v>3</v>
      </c>
      <c r="R171" s="45">
        <f t="shared" si="11"/>
        <v>0</v>
      </c>
      <c r="S171" s="24"/>
      <c r="T171" s="24"/>
      <c r="U171" s="24"/>
      <c r="V171" s="24"/>
      <c r="W171" s="24"/>
      <c r="X171" s="24"/>
      <c r="Y171" s="24"/>
      <c r="Z171" s="24"/>
      <c r="AA171" s="24"/>
      <c r="AB171" s="24"/>
      <c r="AC171" s="24"/>
      <c r="AD171" s="24"/>
      <c r="AE171" s="24"/>
    </row>
    <row r="172" spans="1:31" ht="76.099999999999994">
      <c r="A172" s="91" t="s">
        <v>916</v>
      </c>
      <c r="B172" s="26" t="s">
        <v>928</v>
      </c>
      <c r="C172" s="26" t="s">
        <v>947</v>
      </c>
      <c r="D172" s="26" t="s">
        <v>2968</v>
      </c>
      <c r="E172" s="25" t="s">
        <v>2969</v>
      </c>
      <c r="F172" s="25" t="s">
        <v>275</v>
      </c>
      <c r="G172" s="57" t="str">
        <f>HYPERLINK("https://www.acquisition.gov/content/part-9-contractor-qualifications#id1617MD00QB9","FAR 9.504 Contracting officer responsibilities")</f>
        <v>FAR 9.504 Contracting officer responsibilities</v>
      </c>
      <c r="H172" s="25"/>
      <c r="I172" s="34" t="s">
        <v>2670</v>
      </c>
      <c r="J172" s="37" t="s">
        <v>919</v>
      </c>
      <c r="K172" s="37" t="s">
        <v>2970</v>
      </c>
      <c r="L172" s="25" t="s">
        <v>2971</v>
      </c>
      <c r="M172" s="25" t="s">
        <v>2972</v>
      </c>
      <c r="N172" s="25" t="s">
        <v>2973</v>
      </c>
      <c r="O172" s="64"/>
      <c r="P172" s="45" t="b">
        <f t="shared" si="9"/>
        <v>0</v>
      </c>
      <c r="Q172" s="45">
        <f t="shared" si="10"/>
        <v>3</v>
      </c>
      <c r="R172" s="45">
        <f t="shared" si="11"/>
        <v>0</v>
      </c>
      <c r="S172" s="24"/>
      <c r="T172" s="24"/>
      <c r="U172" s="24"/>
      <c r="V172" s="24"/>
      <c r="W172" s="24"/>
      <c r="X172" s="24"/>
      <c r="Y172" s="24"/>
      <c r="Z172" s="24"/>
      <c r="AA172" s="24"/>
      <c r="AB172" s="24"/>
      <c r="AC172" s="24"/>
      <c r="AD172" s="24"/>
      <c r="AE172" s="24"/>
    </row>
    <row r="173" spans="1:31" ht="76.099999999999994">
      <c r="A173" s="91" t="s">
        <v>916</v>
      </c>
      <c r="B173" s="26" t="s">
        <v>928</v>
      </c>
      <c r="C173" s="26" t="s">
        <v>947</v>
      </c>
      <c r="D173" s="26" t="s">
        <v>2974</v>
      </c>
      <c r="E173" s="25" t="s">
        <v>2975</v>
      </c>
      <c r="F173" s="25" t="s">
        <v>2976</v>
      </c>
      <c r="G173" s="57" t="str">
        <f>HYPERLINK("https://www.acquisition.gov/content/part-9-contractor-qualifications#i1115044","FAR 9.506 Procedures [resolving potential conflicts].")</f>
        <v>FAR 9.506 Procedures [resolving potential conflicts].</v>
      </c>
      <c r="H173" s="25"/>
      <c r="I173" s="34" t="s">
        <v>2670</v>
      </c>
      <c r="J173" s="37" t="s">
        <v>919</v>
      </c>
      <c r="K173" s="37" t="s">
        <v>2977</v>
      </c>
      <c r="L173" s="25" t="s">
        <v>2978</v>
      </c>
      <c r="M173" s="25" t="s">
        <v>2979</v>
      </c>
      <c r="N173" s="25" t="s">
        <v>2980</v>
      </c>
      <c r="O173" s="64"/>
      <c r="P173" s="45" t="b">
        <f t="shared" si="9"/>
        <v>0</v>
      </c>
      <c r="Q173" s="45">
        <f t="shared" si="10"/>
        <v>3</v>
      </c>
      <c r="R173" s="45">
        <f t="shared" si="11"/>
        <v>0</v>
      </c>
      <c r="S173" s="24"/>
      <c r="T173" s="24"/>
      <c r="U173" s="24"/>
      <c r="V173" s="24"/>
      <c r="W173" s="24"/>
      <c r="X173" s="24"/>
      <c r="Y173" s="24"/>
      <c r="Z173" s="24"/>
      <c r="AA173" s="24"/>
      <c r="AB173" s="24"/>
      <c r="AC173" s="24"/>
      <c r="AD173" s="24"/>
      <c r="AE173" s="24"/>
    </row>
    <row r="174" spans="1:31" ht="4.5999999999999996" customHeight="1">
      <c r="A174" s="55"/>
      <c r="B174" s="55"/>
      <c r="C174" s="56"/>
      <c r="D174" s="56"/>
      <c r="E174" s="55"/>
      <c r="F174" s="55"/>
      <c r="G174" s="72"/>
      <c r="H174" s="72"/>
      <c r="I174" s="72"/>
      <c r="J174" s="72"/>
      <c r="K174" s="72"/>
      <c r="L174" s="63"/>
      <c r="M174" s="63"/>
      <c r="N174" s="63"/>
      <c r="O174" s="64"/>
      <c r="P174" s="45"/>
      <c r="Q174" s="45"/>
      <c r="R174" s="45"/>
      <c r="S174" s="24"/>
      <c r="T174" s="24"/>
      <c r="U174" s="24"/>
      <c r="V174" s="24"/>
      <c r="W174" s="24"/>
      <c r="X174" s="24"/>
      <c r="Y174" s="24"/>
      <c r="Z174" s="24"/>
      <c r="AA174" s="24"/>
      <c r="AB174" s="24"/>
      <c r="AC174" s="24"/>
      <c r="AD174" s="24"/>
      <c r="AE174" s="24"/>
    </row>
    <row r="175" spans="1:31" ht="97.85">
      <c r="A175" s="91" t="s">
        <v>2981</v>
      </c>
      <c r="B175" s="26" t="s">
        <v>2982</v>
      </c>
      <c r="C175" s="26" t="s">
        <v>2983</v>
      </c>
      <c r="D175" s="26" t="s">
        <v>2984</v>
      </c>
      <c r="E175" s="25" t="s">
        <v>2985</v>
      </c>
      <c r="F175" s="25" t="s">
        <v>2986</v>
      </c>
      <c r="G175" s="57" t="str">
        <f>HYPERLINK("https://www.acquisition.gov/content/part-52-solicitation-provisions-and-contract-clauses#i1059069","FAR 52.215-1 Instructions to Offerors—Competitive Acquisition.")</f>
        <v>FAR 52.215-1 Instructions to Offerors—Competitive Acquisition.</v>
      </c>
      <c r="H175" s="25"/>
      <c r="I175" s="34" t="s">
        <v>2987</v>
      </c>
      <c r="J175" s="37" t="s">
        <v>919</v>
      </c>
      <c r="K175" s="37" t="s">
        <v>2988</v>
      </c>
      <c r="L175" s="25" t="s">
        <v>2989</v>
      </c>
      <c r="M175" s="25" t="s">
        <v>2990</v>
      </c>
      <c r="N175" s="25" t="s">
        <v>2991</v>
      </c>
      <c r="O175" s="64"/>
      <c r="P175" s="45" t="b">
        <f t="shared" ref="P175:P177" si="23">IF(AND(O175="Meet the requirements traceability “out of the box”"), 10, IF(AND(O175="Can meet the requirements traceability with configuration or through the use of another commercial product “out of the box” or other arrangement as part of the service offering quoted (i.e. at no additional cost)"), 8, IF(AND(O175="Can meet the requirements traceability with customization at additional cost"), 3, IF(AND(O175="Cannot meet the requirements traceability requirement"), 0))))</f>
        <v>0</v>
      </c>
      <c r="Q175" s="45">
        <f t="shared" ref="Q175:Q177" si="24">IF(J175="Unidentified",0,3)</f>
        <v>3</v>
      </c>
      <c r="R175" s="45">
        <f t="shared" ref="R175:R177" si="25">IF(P175=FALSE,0,IF(P175&gt;4,(P175+Q175),P175))</f>
        <v>0</v>
      </c>
      <c r="S175" s="24"/>
      <c r="T175" s="24"/>
      <c r="U175" s="24"/>
      <c r="V175" s="24"/>
      <c r="W175" s="24"/>
      <c r="X175" s="24"/>
      <c r="Y175" s="24"/>
      <c r="Z175" s="24"/>
      <c r="AA175" s="24"/>
      <c r="AB175" s="24"/>
      <c r="AC175" s="24"/>
      <c r="AD175" s="24"/>
      <c r="AE175" s="24"/>
    </row>
    <row r="176" spans="1:31" ht="86.95">
      <c r="A176" s="91" t="s">
        <v>2981</v>
      </c>
      <c r="B176" s="26" t="s">
        <v>2982</v>
      </c>
      <c r="C176" s="26" t="s">
        <v>2983</v>
      </c>
      <c r="D176" s="26" t="s">
        <v>2992</v>
      </c>
      <c r="E176" s="25" t="s">
        <v>2993</v>
      </c>
      <c r="F176" s="25" t="s">
        <v>2994</v>
      </c>
      <c r="G176" s="57" t="str">
        <f>HYPERLINK("https://www.acquisition.gov/content/part-15-contracting-negotiation#i1108639","FAR 15.306(c)(1) Competitive range [exchanges with offerors after receipt of proposals].")</f>
        <v>FAR 15.306(c)(1) Competitive range [exchanges with offerors after receipt of proposals].</v>
      </c>
      <c r="H176" s="25"/>
      <c r="I176" s="34" t="s">
        <v>2995</v>
      </c>
      <c r="J176" s="37" t="s">
        <v>919</v>
      </c>
      <c r="K176" s="37" t="s">
        <v>2996</v>
      </c>
      <c r="L176" s="25" t="s">
        <v>2997</v>
      </c>
      <c r="M176" s="25" t="s">
        <v>2998</v>
      </c>
      <c r="N176" s="25" t="s">
        <v>2999</v>
      </c>
      <c r="O176" s="64"/>
      <c r="P176" s="45" t="b">
        <f t="shared" si="23"/>
        <v>0</v>
      </c>
      <c r="Q176" s="45">
        <f t="shared" si="24"/>
        <v>3</v>
      </c>
      <c r="R176" s="45">
        <f t="shared" si="25"/>
        <v>0</v>
      </c>
      <c r="S176" s="24"/>
      <c r="T176" s="24"/>
      <c r="U176" s="24"/>
      <c r="V176" s="24"/>
      <c r="W176" s="24"/>
      <c r="X176" s="24"/>
      <c r="Y176" s="24"/>
      <c r="Z176" s="24"/>
      <c r="AA176" s="24"/>
      <c r="AB176" s="24"/>
      <c r="AC176" s="24"/>
      <c r="AD176" s="24"/>
      <c r="AE176" s="24"/>
    </row>
    <row r="177" spans="1:31" ht="76.099999999999994">
      <c r="A177" s="91" t="s">
        <v>2981</v>
      </c>
      <c r="B177" s="26" t="s">
        <v>2982</v>
      </c>
      <c r="C177" s="26" t="s">
        <v>2983</v>
      </c>
      <c r="D177" s="26" t="s">
        <v>3000</v>
      </c>
      <c r="E177" s="25" t="s">
        <v>3001</v>
      </c>
      <c r="F177" s="25" t="s">
        <v>3002</v>
      </c>
      <c r="G177" s="57" t="str">
        <f>HYPERLINK("https://www.acquisition.gov/content/part-4-administrative-matters#i1122357","FAR 4.803 Contents of contract files")</f>
        <v>FAR 4.803 Contents of contract files</v>
      </c>
      <c r="H177" s="57" t="str">
        <f>HYPERLINK("https://www.acquisition.gov/sites/default/files/current/gsam/html/Part504.html#wp1863182","GSAR 504.8")</f>
        <v>GSAR 504.8</v>
      </c>
      <c r="I177" s="34" t="s">
        <v>3003</v>
      </c>
      <c r="J177" s="37" t="s">
        <v>919</v>
      </c>
      <c r="K177" s="37" t="s">
        <v>3004</v>
      </c>
      <c r="L177" s="25" t="s">
        <v>3005</v>
      </c>
      <c r="M177" s="25" t="s">
        <v>3006</v>
      </c>
      <c r="N177" s="25" t="s">
        <v>3007</v>
      </c>
      <c r="O177" s="64"/>
      <c r="P177" s="45" t="b">
        <f t="shared" si="23"/>
        <v>0</v>
      </c>
      <c r="Q177" s="45">
        <f t="shared" si="24"/>
        <v>3</v>
      </c>
      <c r="R177" s="45">
        <f t="shared" si="25"/>
        <v>0</v>
      </c>
      <c r="S177" s="24"/>
      <c r="T177" s="24"/>
      <c r="U177" s="24"/>
      <c r="V177" s="24"/>
      <c r="W177" s="24"/>
      <c r="X177" s="24"/>
      <c r="Y177" s="24"/>
      <c r="Z177" s="24"/>
      <c r="AA177" s="24"/>
      <c r="AB177" s="24"/>
      <c r="AC177" s="24"/>
      <c r="AD177" s="24"/>
      <c r="AE177" s="24"/>
    </row>
    <row r="178" spans="1:31" ht="4.5999999999999996" customHeight="1">
      <c r="A178" s="55"/>
      <c r="B178" s="55"/>
      <c r="C178" s="56"/>
      <c r="D178" s="56"/>
      <c r="E178" s="55"/>
      <c r="F178" s="55"/>
      <c r="G178" s="72"/>
      <c r="H178" s="72"/>
      <c r="I178" s="72"/>
      <c r="J178" s="72"/>
      <c r="K178" s="72"/>
      <c r="L178" s="63"/>
      <c r="M178" s="63"/>
      <c r="N178" s="63"/>
      <c r="O178" s="64"/>
      <c r="P178" s="45"/>
      <c r="Q178" s="45"/>
      <c r="R178" s="45"/>
      <c r="S178" s="24"/>
      <c r="T178" s="24"/>
      <c r="U178" s="24"/>
      <c r="V178" s="24"/>
      <c r="W178" s="24"/>
      <c r="X178" s="24"/>
      <c r="Y178" s="24"/>
      <c r="Z178" s="24"/>
      <c r="AA178" s="24"/>
      <c r="AB178" s="24"/>
      <c r="AC178" s="24"/>
      <c r="AD178" s="24"/>
      <c r="AE178" s="24"/>
    </row>
    <row r="179" spans="1:31" ht="141.30000000000001">
      <c r="A179" s="91" t="s">
        <v>3008</v>
      </c>
      <c r="B179" s="26" t="s">
        <v>3009</v>
      </c>
      <c r="C179" s="26" t="s">
        <v>3010</v>
      </c>
      <c r="D179" s="66" t="s">
        <v>3011</v>
      </c>
      <c r="E179" s="25" t="s">
        <v>3012</v>
      </c>
      <c r="F179" s="25" t="s">
        <v>3013</v>
      </c>
      <c r="G179" s="57" t="str">
        <f>HYPERLINK("https://www.acquisition.gov/content/part-15-contracting-negotiation#i1108639","FAR 15.306(d) Exchanges with offerors after establishment of the competitive range [exchanges with offerors after receipt of proposals]. FAR 15.307(b) Proposal revisions [source selection].")</f>
        <v>FAR 15.306(d) Exchanges with offerors after establishment of the competitive range [exchanges with offerors after receipt of proposals]. FAR 15.307(b) Proposal revisions [source selection].</v>
      </c>
      <c r="H179" s="25"/>
      <c r="I179" s="34" t="s">
        <v>3014</v>
      </c>
      <c r="J179" s="37" t="s">
        <v>919</v>
      </c>
      <c r="K179" s="37" t="s">
        <v>3015</v>
      </c>
      <c r="L179" s="25" t="s">
        <v>3016</v>
      </c>
      <c r="M179" s="25" t="s">
        <v>3017</v>
      </c>
      <c r="N179" s="25" t="s">
        <v>3018</v>
      </c>
      <c r="O179" s="64"/>
      <c r="P179" s="45" t="b">
        <f>IF(AND(O179="Meet the requirements traceability “out of the box”"), 10, IF(AND(O179="Can meet the requirements traceability with configuration or through the use of another commercial product “out of the box” or other arrangement as part of the service offering quoted (i.e. at no additional cost)"), 8, IF(AND(O179="Can meet the requirements traceability with customization at additional cost"), 3, IF(AND(O179="Cannot meet the requirements traceability requirement"), 0))))</f>
        <v>0</v>
      </c>
      <c r="Q179" s="45">
        <f>IF(J179="Unidentified",0,3)</f>
        <v>3</v>
      </c>
      <c r="R179" s="45">
        <f>IF(P179=FALSE,0,IF(P179&gt;4,(P179+Q179),P179))</f>
        <v>0</v>
      </c>
      <c r="S179" s="24"/>
      <c r="T179" s="24"/>
      <c r="U179" s="24"/>
      <c r="V179" s="24"/>
      <c r="W179" s="24"/>
      <c r="X179" s="24"/>
      <c r="Y179" s="24"/>
      <c r="Z179" s="24"/>
      <c r="AA179" s="24"/>
      <c r="AB179" s="24"/>
      <c r="AC179" s="24"/>
      <c r="AD179" s="24"/>
      <c r="AE179" s="24"/>
    </row>
    <row r="180" spans="1:31" ht="4.5999999999999996" customHeight="1">
      <c r="A180" s="55"/>
      <c r="B180" s="55"/>
      <c r="C180" s="56"/>
      <c r="D180" s="56"/>
      <c r="E180" s="55"/>
      <c r="F180" s="55"/>
      <c r="G180" s="72"/>
      <c r="H180" s="72"/>
      <c r="I180" s="72"/>
      <c r="J180" s="72"/>
      <c r="K180" s="72"/>
      <c r="L180" s="63"/>
      <c r="M180" s="63"/>
      <c r="N180" s="63"/>
      <c r="O180" s="64"/>
      <c r="P180" s="45"/>
      <c r="Q180" s="45"/>
      <c r="R180" s="45"/>
      <c r="S180" s="24"/>
      <c r="T180" s="24"/>
      <c r="U180" s="24"/>
      <c r="V180" s="24"/>
      <c r="W180" s="24"/>
      <c r="X180" s="24"/>
      <c r="Y180" s="24"/>
      <c r="Z180" s="24"/>
      <c r="AA180" s="24"/>
      <c r="AB180" s="24"/>
      <c r="AC180" s="24"/>
      <c r="AD180" s="24"/>
      <c r="AE180" s="24"/>
    </row>
    <row r="181" spans="1:31" ht="141.30000000000001">
      <c r="A181" s="91" t="s">
        <v>3019</v>
      </c>
      <c r="B181" s="26" t="s">
        <v>3020</v>
      </c>
      <c r="C181" s="26" t="s">
        <v>3021</v>
      </c>
      <c r="D181" s="26" t="s">
        <v>3022</v>
      </c>
      <c r="E181" s="25" t="s">
        <v>3023</v>
      </c>
      <c r="F181" s="25" t="s">
        <v>532</v>
      </c>
      <c r="G181" s="57" t="str">
        <f>HYPERLINK("https://www.acquisition.gov/content/part-19-small-business-programs#id1617MD010GZ","FAR 19.808-1 Sole source [contract negotiation]. FAR 19.808-2 Competitive [contract negotiation].")</f>
        <v>FAR 19.808-1 Sole source [contract negotiation]. FAR 19.808-2 Competitive [contract negotiation].</v>
      </c>
      <c r="H181" s="25"/>
      <c r="I181" s="34" t="s">
        <v>3014</v>
      </c>
      <c r="J181" s="37" t="s">
        <v>919</v>
      </c>
      <c r="K181" s="75" t="s">
        <v>3015</v>
      </c>
      <c r="L181" s="25" t="s">
        <v>3016</v>
      </c>
      <c r="M181" s="25" t="s">
        <v>3017</v>
      </c>
      <c r="N181" s="25" t="s">
        <v>3018</v>
      </c>
      <c r="O181" s="64"/>
      <c r="P181" s="45" t="b">
        <f t="shared" ref="P181:P191" si="26">IF(AND(O181="Meet the requirements traceability “out of the box”"), 10, IF(AND(O181="Can meet the requirements traceability with configuration or through the use of another commercial product “out of the box” or other arrangement as part of the service offering quoted (i.e. at no additional cost)"), 8, IF(AND(O181="Can meet the requirements traceability with customization at additional cost"), 3, IF(AND(O181="Cannot meet the requirements traceability requirement"), 0))))</f>
        <v>0</v>
      </c>
      <c r="Q181" s="45">
        <f t="shared" ref="Q181:Q191" si="27">IF(J181="Unidentified",0,3)</f>
        <v>3</v>
      </c>
      <c r="R181" s="45">
        <f t="shared" ref="R181:R191" si="28">IF(P181=FALSE,0,IF(P181&gt;4,(P181+Q181),P181))</f>
        <v>0</v>
      </c>
      <c r="S181" s="24"/>
      <c r="T181" s="24"/>
      <c r="U181" s="24"/>
      <c r="V181" s="24"/>
      <c r="W181" s="24"/>
      <c r="X181" s="24"/>
      <c r="Y181" s="24"/>
      <c r="Z181" s="24"/>
      <c r="AA181" s="24"/>
      <c r="AB181" s="24"/>
      <c r="AC181" s="24"/>
      <c r="AD181" s="24"/>
      <c r="AE181" s="24"/>
    </row>
    <row r="182" spans="1:31" ht="152.15">
      <c r="A182" s="91" t="s">
        <v>3019</v>
      </c>
      <c r="B182" s="26" t="s">
        <v>3020</v>
      </c>
      <c r="C182" s="26" t="s">
        <v>3021</v>
      </c>
      <c r="D182" s="26" t="s">
        <v>3024</v>
      </c>
      <c r="E182" s="25" t="s">
        <v>3025</v>
      </c>
      <c r="F182" s="25" t="s">
        <v>3026</v>
      </c>
      <c r="G182" s="57" t="str">
        <f>HYPERLINK("https://www.acquisition.gov/content/part-16-types-contracts#i1103941","FAR 16.504 Indefinite-quantity contracts.")</f>
        <v>FAR 16.504 Indefinite-quantity contracts.</v>
      </c>
      <c r="H182" s="25"/>
      <c r="I182" s="34" t="s">
        <v>3027</v>
      </c>
      <c r="J182" s="37" t="s">
        <v>919</v>
      </c>
      <c r="K182" s="37" t="s">
        <v>3028</v>
      </c>
      <c r="L182" s="25" t="s">
        <v>3029</v>
      </c>
      <c r="M182" s="25" t="s">
        <v>3030</v>
      </c>
      <c r="N182" s="25" t="s">
        <v>1342</v>
      </c>
      <c r="O182" s="64"/>
      <c r="P182" s="45" t="b">
        <f t="shared" si="26"/>
        <v>0</v>
      </c>
      <c r="Q182" s="45">
        <f t="shared" si="27"/>
        <v>3</v>
      </c>
      <c r="R182" s="45">
        <f t="shared" si="28"/>
        <v>0</v>
      </c>
      <c r="S182" s="24"/>
      <c r="T182" s="24"/>
      <c r="U182" s="24"/>
      <c r="V182" s="24"/>
      <c r="W182" s="24"/>
      <c r="X182" s="24"/>
      <c r="Y182" s="24"/>
      <c r="Z182" s="24"/>
      <c r="AA182" s="24"/>
      <c r="AB182" s="24"/>
      <c r="AC182" s="24"/>
      <c r="AD182" s="24"/>
      <c r="AE182" s="24"/>
    </row>
    <row r="183" spans="1:31" ht="97.85">
      <c r="A183" s="91" t="s">
        <v>3019</v>
      </c>
      <c r="B183" s="26" t="s">
        <v>3020</v>
      </c>
      <c r="C183" s="26" t="s">
        <v>3021</v>
      </c>
      <c r="D183" s="26" t="s">
        <v>3031</v>
      </c>
      <c r="E183" s="25" t="s">
        <v>3032</v>
      </c>
      <c r="F183" s="25" t="s">
        <v>532</v>
      </c>
      <c r="G183" s="57" t="str">
        <f>HYPERLINK("https://www.acquisition.gov/content/part-16-types-contracts#i1103941","FAR 16.504 Indefinite-quantity contracts. ")</f>
        <v xml:space="preserve">FAR 16.504 Indefinite-quantity contracts. </v>
      </c>
      <c r="H183" s="25"/>
      <c r="I183" s="34" t="s">
        <v>3014</v>
      </c>
      <c r="J183" s="37" t="s">
        <v>919</v>
      </c>
      <c r="K183" s="37" t="s">
        <v>3033</v>
      </c>
      <c r="L183" s="25" t="s">
        <v>3034</v>
      </c>
      <c r="M183" s="25" t="s">
        <v>3035</v>
      </c>
      <c r="N183" s="25" t="s">
        <v>3036</v>
      </c>
      <c r="O183" s="64"/>
      <c r="P183" s="45" t="b">
        <f t="shared" si="26"/>
        <v>0</v>
      </c>
      <c r="Q183" s="45">
        <f t="shared" si="27"/>
        <v>3</v>
      </c>
      <c r="R183" s="45">
        <f t="shared" si="28"/>
        <v>0</v>
      </c>
      <c r="S183" s="24"/>
      <c r="T183" s="24"/>
      <c r="U183" s="24"/>
      <c r="V183" s="24"/>
      <c r="W183" s="24"/>
      <c r="X183" s="24"/>
      <c r="Y183" s="24"/>
      <c r="Z183" s="24"/>
      <c r="AA183" s="24"/>
      <c r="AB183" s="24"/>
      <c r="AC183" s="24"/>
      <c r="AD183" s="24"/>
      <c r="AE183" s="24"/>
    </row>
    <row r="184" spans="1:31" ht="173.9">
      <c r="A184" s="91" t="s">
        <v>3019</v>
      </c>
      <c r="B184" s="26" t="s">
        <v>3020</v>
      </c>
      <c r="C184" s="26" t="s">
        <v>3021</v>
      </c>
      <c r="D184" s="26" t="s">
        <v>3037</v>
      </c>
      <c r="E184" s="25" t="s">
        <v>3038</v>
      </c>
      <c r="F184" s="25" t="s">
        <v>532</v>
      </c>
      <c r="G184" s="57" t="str">
        <f>HYPERLINK("https://www.acquisition.gov/content/part-16-types-contracts#i1104008","FAR 16.505(b)(3) Pricing orders [orders under multiple award contracts]")</f>
        <v>FAR 16.505(b)(3) Pricing orders [orders under multiple award contracts]</v>
      </c>
      <c r="H184" s="25"/>
      <c r="I184" s="34" t="s">
        <v>3014</v>
      </c>
      <c r="J184" s="37" t="s">
        <v>919</v>
      </c>
      <c r="K184" s="75" t="s">
        <v>3033</v>
      </c>
      <c r="L184" s="25" t="s">
        <v>3039</v>
      </c>
      <c r="M184" s="25" t="s">
        <v>3040</v>
      </c>
      <c r="N184" s="25" t="s">
        <v>3036</v>
      </c>
      <c r="O184" s="64"/>
      <c r="P184" s="45" t="b">
        <f t="shared" si="26"/>
        <v>0</v>
      </c>
      <c r="Q184" s="45">
        <f t="shared" si="27"/>
        <v>3</v>
      </c>
      <c r="R184" s="45">
        <f t="shared" si="28"/>
        <v>0</v>
      </c>
      <c r="S184" s="24"/>
      <c r="T184" s="24"/>
      <c r="U184" s="24"/>
      <c r="V184" s="24"/>
      <c r="W184" s="24"/>
      <c r="X184" s="24"/>
      <c r="Y184" s="24"/>
      <c r="Z184" s="24"/>
      <c r="AA184" s="24"/>
      <c r="AB184" s="24"/>
      <c r="AC184" s="24"/>
      <c r="AD184" s="24"/>
      <c r="AE184" s="24"/>
    </row>
    <row r="185" spans="1:31" ht="130.44999999999999">
      <c r="A185" s="91" t="s">
        <v>3019</v>
      </c>
      <c r="B185" s="26" t="s">
        <v>3020</v>
      </c>
      <c r="C185" s="26" t="s">
        <v>3021</v>
      </c>
      <c r="D185" s="66" t="s">
        <v>3041</v>
      </c>
      <c r="E185" s="25" t="s">
        <v>3042</v>
      </c>
      <c r="F185" s="25" t="s">
        <v>3043</v>
      </c>
      <c r="G185" s="57" t="str">
        <f>HYPERLINK("https://www.acquisition.gov/content/part-15-contracting-negotiation#i1108714","FAR 15.307(a) Proposal revisions [source selection]")</f>
        <v>FAR 15.307(a) Proposal revisions [source selection]</v>
      </c>
      <c r="H185" s="25"/>
      <c r="I185" s="34" t="s">
        <v>3044</v>
      </c>
      <c r="J185" s="37" t="s">
        <v>919</v>
      </c>
      <c r="K185" s="37" t="s">
        <v>3045</v>
      </c>
      <c r="L185" s="25" t="s">
        <v>3046</v>
      </c>
      <c r="M185" s="25" t="s">
        <v>3047</v>
      </c>
      <c r="N185" s="25" t="s">
        <v>3048</v>
      </c>
      <c r="O185" s="64"/>
      <c r="P185" s="45" t="b">
        <f t="shared" si="26"/>
        <v>0</v>
      </c>
      <c r="Q185" s="45">
        <f t="shared" si="27"/>
        <v>3</v>
      </c>
      <c r="R185" s="45">
        <f t="shared" si="28"/>
        <v>0</v>
      </c>
      <c r="S185" s="24"/>
      <c r="T185" s="24"/>
      <c r="U185" s="24"/>
      <c r="V185" s="24"/>
      <c r="W185" s="24"/>
      <c r="X185" s="24"/>
      <c r="Y185" s="24"/>
      <c r="Z185" s="24"/>
      <c r="AA185" s="24"/>
      <c r="AB185" s="24"/>
      <c r="AC185" s="24"/>
      <c r="AD185" s="24"/>
      <c r="AE185" s="24"/>
    </row>
    <row r="186" spans="1:31" ht="152.15">
      <c r="A186" s="91" t="s">
        <v>3019</v>
      </c>
      <c r="B186" s="26" t="s">
        <v>3020</v>
      </c>
      <c r="C186" s="26" t="s">
        <v>3021</v>
      </c>
      <c r="D186" s="26" t="s">
        <v>3049</v>
      </c>
      <c r="E186" s="25" t="s">
        <v>3050</v>
      </c>
      <c r="F186" s="25" t="s">
        <v>3051</v>
      </c>
      <c r="G186" s="57" t="str">
        <f>HYPERLINK("https://www.acquisition.gov/content/part-15-contracting-negotiation#id1617MD00WV1","FAR 15.406-1 Prenegotiation objectives")</f>
        <v>FAR 15.406-1 Prenegotiation objectives</v>
      </c>
      <c r="H186" s="25"/>
      <c r="I186" s="34" t="s">
        <v>3052</v>
      </c>
      <c r="J186" s="37" t="s">
        <v>919</v>
      </c>
      <c r="K186" s="37" t="s">
        <v>3053</v>
      </c>
      <c r="L186" s="25" t="s">
        <v>3054</v>
      </c>
      <c r="M186" s="25" t="s">
        <v>3055</v>
      </c>
      <c r="N186" s="25" t="s">
        <v>3056</v>
      </c>
      <c r="O186" s="64"/>
      <c r="P186" s="45" t="b">
        <f t="shared" si="26"/>
        <v>0</v>
      </c>
      <c r="Q186" s="45">
        <f t="shared" si="27"/>
        <v>3</v>
      </c>
      <c r="R186" s="45">
        <f t="shared" si="28"/>
        <v>0</v>
      </c>
      <c r="S186" s="24"/>
      <c r="T186" s="24"/>
      <c r="U186" s="24"/>
      <c r="V186" s="24"/>
      <c r="W186" s="24"/>
      <c r="X186" s="24"/>
      <c r="Y186" s="24"/>
      <c r="Z186" s="24"/>
      <c r="AA186" s="24"/>
      <c r="AB186" s="24"/>
      <c r="AC186" s="24"/>
      <c r="AD186" s="24"/>
      <c r="AE186" s="24"/>
    </row>
    <row r="187" spans="1:31" ht="76.099999999999994">
      <c r="A187" s="91" t="s">
        <v>3019</v>
      </c>
      <c r="B187" s="26" t="s">
        <v>3020</v>
      </c>
      <c r="C187" s="26" t="s">
        <v>3021</v>
      </c>
      <c r="D187" s="26" t="s">
        <v>3057</v>
      </c>
      <c r="E187" s="25" t="s">
        <v>3058</v>
      </c>
      <c r="F187" s="25" t="s">
        <v>3059</v>
      </c>
      <c r="G187" s="57" t="str">
        <f>HYPERLINK("https://www.acquisition.gov/sites/default/files/current/far/html/Subpart%2015_4.html#wp1208594","FAR 15.405 Price negotiation.")</f>
        <v>FAR 15.405 Price negotiation.</v>
      </c>
      <c r="H187" s="25"/>
      <c r="I187" s="34" t="s">
        <v>1338</v>
      </c>
      <c r="J187" s="37" t="s">
        <v>919</v>
      </c>
      <c r="K187" s="37" t="s">
        <v>3060</v>
      </c>
      <c r="L187" s="25" t="s">
        <v>3061</v>
      </c>
      <c r="M187" s="25" t="s">
        <v>3062</v>
      </c>
      <c r="N187" s="25" t="s">
        <v>3063</v>
      </c>
      <c r="O187" s="64"/>
      <c r="P187" s="45" t="b">
        <f t="shared" si="26"/>
        <v>0</v>
      </c>
      <c r="Q187" s="45">
        <f t="shared" si="27"/>
        <v>3</v>
      </c>
      <c r="R187" s="45">
        <f t="shared" si="28"/>
        <v>0</v>
      </c>
      <c r="S187" s="24"/>
      <c r="T187" s="24"/>
      <c r="U187" s="24"/>
      <c r="V187" s="24"/>
      <c r="W187" s="24"/>
      <c r="X187" s="24"/>
      <c r="Y187" s="24"/>
      <c r="Z187" s="24"/>
      <c r="AA187" s="24"/>
      <c r="AB187" s="24"/>
      <c r="AC187" s="24"/>
      <c r="AD187" s="24"/>
      <c r="AE187" s="24"/>
    </row>
    <row r="188" spans="1:31" ht="76.099999999999994">
      <c r="A188" s="91" t="s">
        <v>3019</v>
      </c>
      <c r="B188" s="26" t="s">
        <v>3020</v>
      </c>
      <c r="C188" s="26" t="s">
        <v>3021</v>
      </c>
      <c r="D188" s="26" t="s">
        <v>3064</v>
      </c>
      <c r="E188" s="25" t="s">
        <v>3065</v>
      </c>
      <c r="F188" s="25" t="s">
        <v>532</v>
      </c>
      <c r="G188" s="57" t="str">
        <f>HYPERLINK("https://www.acquisition.gov/content/part-15-contracting-negotiation#i1106379","FAR 15.406 Documentation [contract pricing]")</f>
        <v>FAR 15.406 Documentation [contract pricing]</v>
      </c>
      <c r="H188" s="25"/>
      <c r="I188" s="34" t="s">
        <v>1338</v>
      </c>
      <c r="J188" s="37" t="s">
        <v>919</v>
      </c>
      <c r="K188" s="37" t="s">
        <v>3066</v>
      </c>
      <c r="L188" s="25" t="s">
        <v>3067</v>
      </c>
      <c r="M188" s="25" t="s">
        <v>3068</v>
      </c>
      <c r="N188" s="25" t="s">
        <v>3063</v>
      </c>
      <c r="O188" s="64"/>
      <c r="P188" s="45" t="b">
        <f t="shared" si="26"/>
        <v>0</v>
      </c>
      <c r="Q188" s="45">
        <f t="shared" si="27"/>
        <v>3</v>
      </c>
      <c r="R188" s="45">
        <f t="shared" si="28"/>
        <v>0</v>
      </c>
      <c r="S188" s="24"/>
      <c r="T188" s="24"/>
      <c r="U188" s="24"/>
      <c r="V188" s="24"/>
      <c r="W188" s="24"/>
      <c r="X188" s="24"/>
      <c r="Y188" s="24"/>
      <c r="Z188" s="24"/>
      <c r="AA188" s="24"/>
      <c r="AB188" s="24"/>
      <c r="AC188" s="24"/>
      <c r="AD188" s="24"/>
      <c r="AE188" s="24"/>
    </row>
    <row r="189" spans="1:31" ht="163.05000000000001">
      <c r="A189" s="91" t="s">
        <v>3019</v>
      </c>
      <c r="B189" s="26" t="s">
        <v>3020</v>
      </c>
      <c r="C189" s="26" t="s">
        <v>3021</v>
      </c>
      <c r="D189" s="26" t="s">
        <v>3069</v>
      </c>
      <c r="E189" s="25" t="s">
        <v>3070</v>
      </c>
      <c r="F189" s="25" t="s">
        <v>3071</v>
      </c>
      <c r="G189" s="57" t="str">
        <f>HYPERLINK("https://www.acquisition.gov/content/part-15-contracting-negotiation#i1106492","FAR 15.407-2(f) Evaluation, negotiation, and agreement [make-orbuy programs]")</f>
        <v>FAR 15.407-2(f) Evaluation, negotiation, and agreement [make-orbuy programs]</v>
      </c>
      <c r="H189" s="25"/>
      <c r="I189" s="34" t="s">
        <v>3052</v>
      </c>
      <c r="J189" s="37" t="s">
        <v>919</v>
      </c>
      <c r="K189" s="37" t="s">
        <v>3072</v>
      </c>
      <c r="L189" s="25" t="s">
        <v>3073</v>
      </c>
      <c r="M189" s="25" t="s">
        <v>3074</v>
      </c>
      <c r="N189" s="25" t="s">
        <v>3075</v>
      </c>
      <c r="O189" s="64"/>
      <c r="P189" s="45" t="b">
        <f t="shared" si="26"/>
        <v>0</v>
      </c>
      <c r="Q189" s="45">
        <f t="shared" si="27"/>
        <v>3</v>
      </c>
      <c r="R189" s="45">
        <f t="shared" si="28"/>
        <v>0</v>
      </c>
      <c r="S189" s="24"/>
      <c r="T189" s="24"/>
      <c r="U189" s="24"/>
      <c r="V189" s="24"/>
      <c r="W189" s="24"/>
      <c r="X189" s="24"/>
      <c r="Y189" s="24"/>
      <c r="Z189" s="24"/>
      <c r="AA189" s="24"/>
      <c r="AB189" s="24"/>
      <c r="AC189" s="24"/>
      <c r="AD189" s="24"/>
      <c r="AE189" s="24"/>
    </row>
    <row r="190" spans="1:31" ht="76.099999999999994">
      <c r="A190" s="91" t="s">
        <v>3019</v>
      </c>
      <c r="B190" s="26" t="s">
        <v>3020</v>
      </c>
      <c r="C190" s="26" t="s">
        <v>3021</v>
      </c>
      <c r="D190" s="26" t="s">
        <v>3076</v>
      </c>
      <c r="E190" s="25" t="s">
        <v>3077</v>
      </c>
      <c r="F190" s="25" t="s">
        <v>3078</v>
      </c>
      <c r="G190" s="57" t="str">
        <f>HYPERLINK("https://www.acquisition.gov/content/part-15-contracting-negotiation#i1106492","FAR 15.407-2(f) Evaluation, negotiation, and agreement [make-orbuy programs]. ")</f>
        <v xml:space="preserve">FAR 15.407-2(f) Evaluation, negotiation, and agreement [make-orbuy programs]. </v>
      </c>
      <c r="H190" s="25"/>
      <c r="I190" s="34" t="s">
        <v>1338</v>
      </c>
      <c r="J190" s="37" t="s">
        <v>919</v>
      </c>
      <c r="K190" s="75" t="s">
        <v>3066</v>
      </c>
      <c r="L190" s="25" t="s">
        <v>3079</v>
      </c>
      <c r="M190" s="25" t="s">
        <v>3068</v>
      </c>
      <c r="N190" s="25" t="s">
        <v>3063</v>
      </c>
      <c r="O190" s="64"/>
      <c r="P190" s="45" t="b">
        <f t="shared" si="26"/>
        <v>0</v>
      </c>
      <c r="Q190" s="45">
        <f t="shared" si="27"/>
        <v>3</v>
      </c>
      <c r="R190" s="45">
        <f t="shared" si="28"/>
        <v>0</v>
      </c>
      <c r="S190" s="24"/>
      <c r="T190" s="24"/>
      <c r="U190" s="24"/>
      <c r="V190" s="24"/>
      <c r="W190" s="24"/>
      <c r="X190" s="24"/>
      <c r="Y190" s="24"/>
      <c r="Z190" s="24"/>
      <c r="AA190" s="24"/>
      <c r="AB190" s="24"/>
      <c r="AC190" s="24"/>
      <c r="AD190" s="24"/>
      <c r="AE190" s="24"/>
    </row>
    <row r="191" spans="1:31" ht="97.85">
      <c r="A191" s="91" t="s">
        <v>3019</v>
      </c>
      <c r="B191" s="26" t="s">
        <v>3020</v>
      </c>
      <c r="C191" s="26" t="s">
        <v>3021</v>
      </c>
      <c r="D191" s="26" t="s">
        <v>3080</v>
      </c>
      <c r="E191" s="25" t="s">
        <v>3081</v>
      </c>
      <c r="F191" s="25" t="s">
        <v>3082</v>
      </c>
      <c r="G191" s="57" t="str">
        <f>HYPERLINK("https://www.acquisition.gov/content/part-15-contracting-negotiation#i1106492","FAR 15.407-2(g) Incorporating make-orbuy programs in contracts [make-or-buy programs]. FAR 15.408 (a) Solicitations or Additions to Make-or-Buy Program {solicitation provisions and contract clauses].")</f>
        <v>FAR 15.407-2(g) Incorporating make-orbuy programs in contracts [make-or-buy programs]. FAR 15.408 (a) Solicitations or Additions to Make-or-Buy Program {solicitation provisions and contract clauses].</v>
      </c>
      <c r="H191" s="25"/>
      <c r="I191" s="109"/>
      <c r="J191" s="37" t="s">
        <v>463</v>
      </c>
      <c r="K191" s="37" t="s">
        <v>3083</v>
      </c>
      <c r="L191" s="25" t="s">
        <v>3084</v>
      </c>
      <c r="M191" s="25" t="s">
        <v>3085</v>
      </c>
      <c r="N191" s="25" t="s">
        <v>1342</v>
      </c>
      <c r="O191" s="64"/>
      <c r="P191" s="45" t="b">
        <f t="shared" si="26"/>
        <v>0</v>
      </c>
      <c r="Q191" s="45">
        <f t="shared" si="27"/>
        <v>0</v>
      </c>
      <c r="R191" s="45">
        <f t="shared" si="28"/>
        <v>0</v>
      </c>
      <c r="S191" s="24"/>
      <c r="T191" s="24"/>
      <c r="U191" s="24"/>
      <c r="V191" s="24"/>
      <c r="W191" s="24"/>
      <c r="X191" s="24"/>
      <c r="Y191" s="24"/>
      <c r="Z191" s="24"/>
      <c r="AA191" s="24"/>
      <c r="AB191" s="24"/>
      <c r="AC191" s="24"/>
      <c r="AD191" s="24"/>
      <c r="AE191" s="24"/>
    </row>
    <row r="192" spans="1:31" ht="4.5999999999999996" customHeight="1">
      <c r="A192" s="55"/>
      <c r="B192" s="55"/>
      <c r="C192" s="56"/>
      <c r="D192" s="56"/>
      <c r="E192" s="55"/>
      <c r="F192" s="55"/>
      <c r="G192" s="72"/>
      <c r="H192" s="72"/>
      <c r="I192" s="63"/>
      <c r="J192" s="63"/>
      <c r="K192" s="63"/>
      <c r="L192" s="63"/>
      <c r="M192" s="63"/>
      <c r="N192" s="63"/>
      <c r="O192" s="64"/>
      <c r="P192" s="45"/>
      <c r="Q192" s="45"/>
      <c r="R192" s="45"/>
      <c r="S192" s="24"/>
      <c r="T192" s="24"/>
      <c r="U192" s="24"/>
      <c r="V192" s="24"/>
      <c r="W192" s="24"/>
      <c r="X192" s="24"/>
      <c r="Y192" s="24"/>
      <c r="Z192" s="24"/>
      <c r="AA192" s="24"/>
      <c r="AB192" s="24"/>
      <c r="AC192" s="24"/>
      <c r="AD192" s="24"/>
      <c r="AE192" s="24"/>
    </row>
    <row r="193" spans="1:31" ht="336.9">
      <c r="A193" s="91" t="s">
        <v>3086</v>
      </c>
      <c r="B193" s="26" t="s">
        <v>3087</v>
      </c>
      <c r="C193" s="26" t="s">
        <v>3088</v>
      </c>
      <c r="D193" s="26" t="s">
        <v>3089</v>
      </c>
      <c r="E193" s="85" t="s">
        <v>3090</v>
      </c>
      <c r="F193" s="85" t="s">
        <v>1553</v>
      </c>
      <c r="G193" s="86" t="str">
        <f>HYPERLINK("https://www.acquisition.gov/content/part-16-types-contracts#i1103595","FAR 16.703(d)(2) Orders [basic ordering agreements].")</f>
        <v>FAR 16.703(d)(2) Orders [basic ordering agreements].</v>
      </c>
      <c r="H193" s="25"/>
      <c r="I193" s="34" t="s">
        <v>2581</v>
      </c>
      <c r="J193" s="37" t="s">
        <v>1473</v>
      </c>
      <c r="K193" s="75" t="s">
        <v>2582</v>
      </c>
      <c r="L193" s="25" t="s">
        <v>2583</v>
      </c>
      <c r="M193" s="25" t="s">
        <v>2584</v>
      </c>
      <c r="N193" s="25" t="s">
        <v>2585</v>
      </c>
      <c r="O193" s="64"/>
      <c r="P193" s="45" t="b">
        <f t="shared" ref="P193:P206" si="29">IF(AND(O193="Meet the requirements traceability “out of the box”"), 10, IF(AND(O193="Can meet the requirements traceability with configuration or through the use of another commercial product “out of the box” or other arrangement as part of the service offering quoted (i.e. at no additional cost)"), 8, IF(AND(O193="Can meet the requirements traceability with customization at additional cost"), 3, IF(AND(O193="Cannot meet the requirements traceability requirement"), 0))))</f>
        <v>0</v>
      </c>
      <c r="Q193" s="45">
        <f t="shared" ref="Q193:Q206" si="30">IF(J193="Unidentified",0,3)</f>
        <v>3</v>
      </c>
      <c r="R193" s="45">
        <f t="shared" ref="R193:R206" si="31">IF(P193=FALSE,0,IF(P193&gt;4,(P193+Q193),P193))</f>
        <v>0</v>
      </c>
      <c r="S193" s="24"/>
      <c r="T193" s="24"/>
      <c r="U193" s="24"/>
      <c r="V193" s="24"/>
      <c r="W193" s="24"/>
      <c r="X193" s="24"/>
      <c r="Y193" s="24"/>
      <c r="Z193" s="24"/>
      <c r="AA193" s="24"/>
      <c r="AB193" s="24"/>
      <c r="AC193" s="24"/>
      <c r="AD193" s="24"/>
      <c r="AE193" s="24"/>
    </row>
    <row r="194" spans="1:31" ht="86.95">
      <c r="A194" s="91" t="s">
        <v>3086</v>
      </c>
      <c r="B194" s="26" t="s">
        <v>3087</v>
      </c>
      <c r="C194" s="26" t="s">
        <v>3088</v>
      </c>
      <c r="D194" s="26" t="s">
        <v>3091</v>
      </c>
      <c r="E194" s="85" t="s">
        <v>3092</v>
      </c>
      <c r="F194" s="85" t="s">
        <v>3093</v>
      </c>
      <c r="G194" s="86" t="str">
        <f>HYPERLINK("https://www.acquisition.gov/content/part-16-types-contracts#i1103595","FAR 16.703(d)(2)(iv) Orders [basic ordering agreements.")</f>
        <v>FAR 16.703(d)(2)(iv) Orders [basic ordering agreements.</v>
      </c>
      <c r="H194" s="25"/>
      <c r="I194" s="34" t="s">
        <v>3094</v>
      </c>
      <c r="J194" s="37" t="s">
        <v>1473</v>
      </c>
      <c r="K194" s="37" t="s">
        <v>3095</v>
      </c>
      <c r="L194" s="25" t="s">
        <v>3096</v>
      </c>
      <c r="M194" s="25" t="s">
        <v>3097</v>
      </c>
      <c r="N194" s="25" t="s">
        <v>3098</v>
      </c>
      <c r="O194" s="64"/>
      <c r="P194" s="45" t="b">
        <f t="shared" si="29"/>
        <v>0</v>
      </c>
      <c r="Q194" s="45">
        <f t="shared" si="30"/>
        <v>3</v>
      </c>
      <c r="R194" s="45">
        <f t="shared" si="31"/>
        <v>0</v>
      </c>
      <c r="S194" s="24"/>
      <c r="T194" s="24"/>
      <c r="U194" s="24"/>
      <c r="V194" s="24"/>
      <c r="W194" s="24"/>
      <c r="X194" s="24"/>
      <c r="Y194" s="24"/>
      <c r="Z194" s="24"/>
      <c r="AA194" s="24"/>
      <c r="AB194" s="24"/>
      <c r="AC194" s="24"/>
      <c r="AD194" s="24"/>
      <c r="AE194" s="24"/>
    </row>
    <row r="195" spans="1:31" ht="336.9">
      <c r="A195" s="91" t="s">
        <v>3086</v>
      </c>
      <c r="B195" s="26" t="s">
        <v>3087</v>
      </c>
      <c r="C195" s="26" t="s">
        <v>3088</v>
      </c>
      <c r="D195" s="26" t="s">
        <v>3099</v>
      </c>
      <c r="E195" s="25" t="s">
        <v>3100</v>
      </c>
      <c r="F195" s="25" t="s">
        <v>2579</v>
      </c>
      <c r="G195" s="57" t="str">
        <f>HYPERLINK("https://www.acquisition.gov/content/part-19-small-business-programs#i1100762","FAR 19.502-2 Total small business setasides. ")</f>
        <v xml:space="preserve">FAR 19.502-2 Total small business setasides. </v>
      </c>
      <c r="H195" s="25"/>
      <c r="I195" s="34" t="s">
        <v>2581</v>
      </c>
      <c r="J195" s="37" t="s">
        <v>1473</v>
      </c>
      <c r="K195" s="75" t="s">
        <v>2582</v>
      </c>
      <c r="L195" s="25" t="s">
        <v>2583</v>
      </c>
      <c r="M195" s="25" t="s">
        <v>2584</v>
      </c>
      <c r="N195" s="25" t="s">
        <v>2585</v>
      </c>
      <c r="O195" s="64"/>
      <c r="P195" s="45" t="b">
        <f t="shared" si="29"/>
        <v>0</v>
      </c>
      <c r="Q195" s="45">
        <f t="shared" si="30"/>
        <v>3</v>
      </c>
      <c r="R195" s="45">
        <f t="shared" si="31"/>
        <v>0</v>
      </c>
      <c r="S195" s="24"/>
      <c r="T195" s="24"/>
      <c r="U195" s="24"/>
      <c r="V195" s="24"/>
      <c r="W195" s="24"/>
      <c r="X195" s="24"/>
      <c r="Y195" s="24"/>
      <c r="Z195" s="24"/>
      <c r="AA195" s="24"/>
      <c r="AB195" s="24"/>
      <c r="AC195" s="24"/>
      <c r="AD195" s="24"/>
      <c r="AE195" s="24"/>
    </row>
    <row r="196" spans="1:31" ht="184.75">
      <c r="A196" s="91" t="s">
        <v>3086</v>
      </c>
      <c r="B196" s="26" t="s">
        <v>3087</v>
      </c>
      <c r="C196" s="26" t="s">
        <v>3088</v>
      </c>
      <c r="D196" s="26" t="s">
        <v>3101</v>
      </c>
      <c r="E196" s="25" t="s">
        <v>3102</v>
      </c>
      <c r="F196" s="25" t="s">
        <v>3103</v>
      </c>
      <c r="G196" s="57" t="str">
        <f>HYPERLINK("https://www.acquisition.gov/content/part-5-publicizing-contract-actions#i1120663","FAR 5.201 General [proposed contract actions]. ")</f>
        <v xml:space="preserve">FAR 5.201 General [proposed contract actions]. </v>
      </c>
      <c r="H196" s="25"/>
      <c r="I196" s="34" t="s">
        <v>3094</v>
      </c>
      <c r="J196" s="37" t="s">
        <v>1473</v>
      </c>
      <c r="K196" s="75" t="s">
        <v>3095</v>
      </c>
      <c r="L196" s="25" t="s">
        <v>3096</v>
      </c>
      <c r="M196" s="25" t="s">
        <v>3097</v>
      </c>
      <c r="N196" s="25" t="s">
        <v>3098</v>
      </c>
      <c r="O196" s="64"/>
      <c r="P196" s="45" t="b">
        <f t="shared" si="29"/>
        <v>0</v>
      </c>
      <c r="Q196" s="45">
        <f t="shared" si="30"/>
        <v>3</v>
      </c>
      <c r="R196" s="45">
        <f t="shared" si="31"/>
        <v>0</v>
      </c>
      <c r="S196" s="24"/>
      <c r="T196" s="24"/>
      <c r="U196" s="24"/>
      <c r="V196" s="24"/>
      <c r="W196" s="24"/>
      <c r="X196" s="24"/>
      <c r="Y196" s="24"/>
      <c r="Z196" s="24"/>
      <c r="AA196" s="24"/>
      <c r="AB196" s="24"/>
      <c r="AC196" s="24"/>
      <c r="AD196" s="24"/>
      <c r="AE196" s="24"/>
    </row>
    <row r="197" spans="1:31" ht="336.9">
      <c r="A197" s="91" t="s">
        <v>3086</v>
      </c>
      <c r="B197" s="26" t="s">
        <v>3087</v>
      </c>
      <c r="C197" s="26" t="s">
        <v>3088</v>
      </c>
      <c r="D197" s="26" t="s">
        <v>3104</v>
      </c>
      <c r="E197" s="25" t="s">
        <v>3105</v>
      </c>
      <c r="F197" s="25" t="s">
        <v>2579</v>
      </c>
      <c r="G197" s="57" t="str">
        <f>HYPERLINK("https://www.acquisition.gov/content/part-19-small-business-programs#i1100796","FAR 19.502-3(c)(1) Partial set-asides. ")</f>
        <v xml:space="preserve">FAR 19.502-3(c)(1) Partial set-asides. </v>
      </c>
      <c r="H197" s="103"/>
      <c r="I197" s="34" t="s">
        <v>2581</v>
      </c>
      <c r="J197" s="37" t="s">
        <v>1473</v>
      </c>
      <c r="K197" s="75" t="s">
        <v>2582</v>
      </c>
      <c r="L197" s="25" t="s">
        <v>2583</v>
      </c>
      <c r="M197" s="25" t="s">
        <v>2584</v>
      </c>
      <c r="N197" s="25" t="s">
        <v>2585</v>
      </c>
      <c r="O197" s="64"/>
      <c r="P197" s="45" t="b">
        <f t="shared" si="29"/>
        <v>0</v>
      </c>
      <c r="Q197" s="45">
        <f t="shared" si="30"/>
        <v>3</v>
      </c>
      <c r="R197" s="45">
        <f t="shared" si="31"/>
        <v>0</v>
      </c>
      <c r="S197" s="24"/>
      <c r="T197" s="24"/>
      <c r="U197" s="24"/>
      <c r="V197" s="24"/>
      <c r="W197" s="24"/>
      <c r="X197" s="24"/>
      <c r="Y197" s="24"/>
      <c r="Z197" s="24"/>
      <c r="AA197" s="24"/>
      <c r="AB197" s="24"/>
      <c r="AC197" s="24"/>
      <c r="AD197" s="24"/>
      <c r="AE197" s="24"/>
    </row>
    <row r="198" spans="1:31" ht="409.6">
      <c r="A198" s="91" t="s">
        <v>3086</v>
      </c>
      <c r="B198" s="26" t="s">
        <v>3087</v>
      </c>
      <c r="C198" s="26" t="s">
        <v>3088</v>
      </c>
      <c r="D198" s="26" t="s">
        <v>3106</v>
      </c>
      <c r="E198" s="25" t="s">
        <v>3107</v>
      </c>
      <c r="F198" s="25" t="s">
        <v>2579</v>
      </c>
      <c r="G198" s="57" t="str">
        <f>HYPERLINK("https://www.acquisition.gov/content/part-19-small-business-programs#i1100796","FAR 19.502-3(c)(2) Partial set-asides. ")</f>
        <v xml:space="preserve">FAR 19.502-3(c)(2) Partial set-asides. </v>
      </c>
      <c r="H198" s="103"/>
      <c r="I198" s="109" t="s">
        <v>3108</v>
      </c>
      <c r="J198" s="37" t="s">
        <v>919</v>
      </c>
      <c r="K198" s="37" t="s">
        <v>3109</v>
      </c>
      <c r="L198" s="25" t="s">
        <v>3110</v>
      </c>
      <c r="M198" s="25" t="s">
        <v>3111</v>
      </c>
      <c r="N198" s="25" t="s">
        <v>3112</v>
      </c>
      <c r="O198" s="64"/>
      <c r="P198" s="45" t="b">
        <f t="shared" si="29"/>
        <v>0</v>
      </c>
      <c r="Q198" s="45">
        <f t="shared" si="30"/>
        <v>3</v>
      </c>
      <c r="R198" s="45">
        <f t="shared" si="31"/>
        <v>0</v>
      </c>
      <c r="S198" s="24"/>
      <c r="T198" s="24"/>
      <c r="U198" s="24"/>
      <c r="V198" s="24"/>
      <c r="W198" s="24"/>
      <c r="X198" s="24"/>
      <c r="Y198" s="24"/>
      <c r="Z198" s="24"/>
      <c r="AA198" s="24"/>
      <c r="AB198" s="24"/>
      <c r="AC198" s="24"/>
      <c r="AD198" s="24"/>
      <c r="AE198" s="24"/>
    </row>
    <row r="199" spans="1:31" ht="97.85">
      <c r="A199" s="91" t="s">
        <v>3086</v>
      </c>
      <c r="B199" s="26" t="s">
        <v>3087</v>
      </c>
      <c r="C199" s="26" t="s">
        <v>3088</v>
      </c>
      <c r="D199" s="26" t="s">
        <v>3113</v>
      </c>
      <c r="E199" s="25" t="s">
        <v>3114</v>
      </c>
      <c r="F199" s="25" t="s">
        <v>1102</v>
      </c>
      <c r="G199" s="57" t="str">
        <f>HYPERLINK("https://www.acquisition.gov/content/part-19-small-business-programs#i1099973","FAR 19.805-2 Procedures [competitive 8(a)].")</f>
        <v>FAR 19.805-2 Procedures [competitive 8(a)].</v>
      </c>
      <c r="H199" s="25"/>
      <c r="I199" s="109" t="s">
        <v>3115</v>
      </c>
      <c r="J199" s="37" t="s">
        <v>919</v>
      </c>
      <c r="K199" s="37" t="s">
        <v>3116</v>
      </c>
      <c r="L199" s="25" t="s">
        <v>3117</v>
      </c>
      <c r="M199" s="25" t="s">
        <v>3118</v>
      </c>
      <c r="N199" s="25" t="s">
        <v>3119</v>
      </c>
      <c r="O199" s="64"/>
      <c r="P199" s="45" t="b">
        <f t="shared" si="29"/>
        <v>0</v>
      </c>
      <c r="Q199" s="45">
        <f t="shared" si="30"/>
        <v>3</v>
      </c>
      <c r="R199" s="45">
        <f t="shared" si="31"/>
        <v>0</v>
      </c>
      <c r="S199" s="24"/>
      <c r="T199" s="24"/>
      <c r="U199" s="24"/>
      <c r="V199" s="24"/>
      <c r="W199" s="24"/>
      <c r="X199" s="24"/>
      <c r="Y199" s="24"/>
      <c r="Z199" s="24"/>
      <c r="AA199" s="24"/>
      <c r="AB199" s="24"/>
      <c r="AC199" s="24"/>
      <c r="AD199" s="24"/>
      <c r="AE199" s="24"/>
    </row>
    <row r="200" spans="1:31" ht="260.85000000000002">
      <c r="A200" s="91" t="s">
        <v>3086</v>
      </c>
      <c r="B200" s="26" t="s">
        <v>3087</v>
      </c>
      <c r="C200" s="26" t="s">
        <v>3088</v>
      </c>
      <c r="D200" s="26" t="s">
        <v>3120</v>
      </c>
      <c r="E200" s="25" t="s">
        <v>3121</v>
      </c>
      <c r="F200" s="25" t="s">
        <v>3122</v>
      </c>
      <c r="G200" s="57" t="str">
        <f>HYPERLINK("https://www.acquisition.gov/content/part-19-small-business-programs#i1099987","FAR 19.806 Pricing the 8(a) contract [contracting with the Small Business Administration (the 8(a) Program)].  FAR 19.807 Estimating fair market price [contracting with the Small Business Administration (the 8(a) Program)]. ")</f>
        <v xml:space="preserve">FAR 19.806 Pricing the 8(a) contract [contracting with the Small Business Administration (the 8(a) Program)].  FAR 19.807 Estimating fair market price [contracting with the Small Business Administration (the 8(a) Program)]. </v>
      </c>
      <c r="H200" s="25"/>
      <c r="I200" s="109" t="s">
        <v>3123</v>
      </c>
      <c r="J200" s="37" t="s">
        <v>919</v>
      </c>
      <c r="K200" s="37" t="s">
        <v>3124</v>
      </c>
      <c r="L200" s="25" t="s">
        <v>3125</v>
      </c>
      <c r="M200" s="25" t="s">
        <v>3126</v>
      </c>
      <c r="N200" s="25" t="s">
        <v>3127</v>
      </c>
      <c r="O200" s="64"/>
      <c r="P200" s="45" t="b">
        <f t="shared" si="29"/>
        <v>0</v>
      </c>
      <c r="Q200" s="45">
        <f t="shared" si="30"/>
        <v>3</v>
      </c>
      <c r="R200" s="45">
        <f t="shared" si="31"/>
        <v>0</v>
      </c>
      <c r="S200" s="24"/>
      <c r="T200" s="24"/>
      <c r="U200" s="24"/>
      <c r="V200" s="24"/>
      <c r="W200" s="24"/>
      <c r="X200" s="24"/>
      <c r="Y200" s="24"/>
      <c r="Z200" s="24"/>
      <c r="AA200" s="24"/>
      <c r="AB200" s="24"/>
      <c r="AC200" s="24"/>
      <c r="AD200" s="24"/>
      <c r="AE200" s="24"/>
    </row>
    <row r="201" spans="1:31" ht="163.05000000000001">
      <c r="A201" s="91" t="s">
        <v>3086</v>
      </c>
      <c r="B201" s="26" t="s">
        <v>3087</v>
      </c>
      <c r="C201" s="26" t="s">
        <v>3088</v>
      </c>
      <c r="D201" s="26" t="s">
        <v>3128</v>
      </c>
      <c r="E201" s="85" t="s">
        <v>3129</v>
      </c>
      <c r="F201" s="85" t="s">
        <v>3130</v>
      </c>
      <c r="G201" s="86" t="str">
        <f>HYPERLINK("https://www.acquisition.gov/content/part-8-required-sources-supplies-and-services#i1117534","FAR 8.405-1(g) Minimum documentation [ordering procedures for supplies, and services not requiring a statement of work]. FAR 8.405-3 (a)(7) Minimum documentation [establishment]. ")</f>
        <v xml:space="preserve">FAR 8.405-1(g) Minimum documentation [ordering procedures for supplies, and services not requiring a statement of work]. FAR 8.405-3 (a)(7) Minimum documentation [establishment]. </v>
      </c>
      <c r="H201" s="25"/>
      <c r="I201" s="109" t="s">
        <v>3123</v>
      </c>
      <c r="J201" s="37" t="s">
        <v>919</v>
      </c>
      <c r="K201" s="75" t="s">
        <v>3124</v>
      </c>
      <c r="L201" s="25" t="s">
        <v>3131</v>
      </c>
      <c r="M201" s="25" t="s">
        <v>3126</v>
      </c>
      <c r="N201" s="25" t="s">
        <v>3127</v>
      </c>
      <c r="O201" s="64"/>
      <c r="P201" s="45" t="b">
        <f t="shared" si="29"/>
        <v>0</v>
      </c>
      <c r="Q201" s="45">
        <f t="shared" si="30"/>
        <v>3</v>
      </c>
      <c r="R201" s="45">
        <f t="shared" si="31"/>
        <v>0</v>
      </c>
      <c r="S201" s="24"/>
      <c r="T201" s="24"/>
      <c r="U201" s="24"/>
      <c r="V201" s="24"/>
      <c r="W201" s="24"/>
      <c r="X201" s="24"/>
      <c r="Y201" s="24"/>
      <c r="Z201" s="24"/>
      <c r="AA201" s="24"/>
      <c r="AB201" s="24"/>
      <c r="AC201" s="24"/>
      <c r="AD201" s="24"/>
      <c r="AE201" s="24"/>
    </row>
    <row r="202" spans="1:31" ht="173.9">
      <c r="A202" s="91" t="s">
        <v>3132</v>
      </c>
      <c r="B202" s="26" t="s">
        <v>3133</v>
      </c>
      <c r="C202" s="26" t="s">
        <v>3134</v>
      </c>
      <c r="D202" s="26" t="s">
        <v>3135</v>
      </c>
      <c r="E202" s="25" t="s">
        <v>3136</v>
      </c>
      <c r="F202" s="25" t="s">
        <v>275</v>
      </c>
      <c r="G202" s="57" t="str">
        <f>HYPERLINK("https://www.acquisition.gov/content/part-13-simplified-acquisition-procedures#i1112373","FAR 13.106-3 Award and documentation [simplified acquisition procedures]. ")</f>
        <v xml:space="preserve">FAR 13.106-3 Award and documentation [simplified acquisition procedures]. </v>
      </c>
      <c r="H202" s="57" t="str">
        <f>HYPERLINK("https://www.acquisition.gov/sites/default/files/current/gsam/html/Part513.html#wp1859369","GSAR 513.106-3")</f>
        <v>GSAR 513.106-3</v>
      </c>
      <c r="I202" s="109" t="s">
        <v>3123</v>
      </c>
      <c r="J202" s="37" t="s">
        <v>919</v>
      </c>
      <c r="K202" s="37" t="s">
        <v>3137</v>
      </c>
      <c r="L202" s="25" t="s">
        <v>3138</v>
      </c>
      <c r="M202" s="25" t="s">
        <v>3139</v>
      </c>
      <c r="N202" s="25" t="s">
        <v>3140</v>
      </c>
      <c r="O202" s="64"/>
      <c r="P202" s="45" t="b">
        <f t="shared" si="29"/>
        <v>0</v>
      </c>
      <c r="Q202" s="45">
        <f t="shared" si="30"/>
        <v>3</v>
      </c>
      <c r="R202" s="45">
        <f t="shared" si="31"/>
        <v>0</v>
      </c>
      <c r="S202" s="24"/>
      <c r="T202" s="24"/>
      <c r="U202" s="24"/>
      <c r="V202" s="24"/>
      <c r="W202" s="24"/>
      <c r="X202" s="24"/>
      <c r="Y202" s="24"/>
      <c r="Z202" s="24"/>
      <c r="AA202" s="24"/>
      <c r="AB202" s="24"/>
      <c r="AC202" s="24"/>
      <c r="AD202" s="24"/>
      <c r="AE202" s="24"/>
    </row>
    <row r="203" spans="1:31" ht="108.7">
      <c r="A203" s="91" t="s">
        <v>3132</v>
      </c>
      <c r="B203" s="26" t="s">
        <v>3133</v>
      </c>
      <c r="C203" s="26" t="s">
        <v>3134</v>
      </c>
      <c r="D203" s="26" t="s">
        <v>3141</v>
      </c>
      <c r="E203" s="25" t="s">
        <v>3142</v>
      </c>
      <c r="F203" s="25" t="s">
        <v>3143</v>
      </c>
      <c r="G203" s="57" t="str">
        <f>HYPERLINK("https://www.acquisition.gov/content/part-14-sealed-bidding#i1109974","FAR 14.408-1(a) Award.")</f>
        <v>FAR 14.408-1(a) Award.</v>
      </c>
      <c r="H203" s="25"/>
      <c r="I203" s="109" t="s">
        <v>3144</v>
      </c>
      <c r="J203" s="37" t="s">
        <v>919</v>
      </c>
      <c r="K203" s="37" t="s">
        <v>3145</v>
      </c>
      <c r="L203" s="77" t="s">
        <v>3146</v>
      </c>
      <c r="M203" s="25" t="s">
        <v>3147</v>
      </c>
      <c r="N203" s="41" t="s">
        <v>3148</v>
      </c>
      <c r="O203" s="64"/>
      <c r="P203" s="45" t="b">
        <f t="shared" si="29"/>
        <v>0</v>
      </c>
      <c r="Q203" s="45">
        <f t="shared" si="30"/>
        <v>3</v>
      </c>
      <c r="R203" s="45">
        <f t="shared" si="31"/>
        <v>0</v>
      </c>
      <c r="S203" s="24"/>
      <c r="T203" s="24"/>
      <c r="U203" s="24"/>
      <c r="V203" s="24"/>
      <c r="W203" s="24"/>
      <c r="X203" s="24"/>
      <c r="Y203" s="24"/>
      <c r="Z203" s="24"/>
      <c r="AA203" s="24"/>
      <c r="AB203" s="24"/>
      <c r="AC203" s="24"/>
      <c r="AD203" s="24"/>
      <c r="AE203" s="24"/>
    </row>
    <row r="204" spans="1:31" ht="97.85">
      <c r="A204" s="91" t="s">
        <v>3132</v>
      </c>
      <c r="B204" s="26" t="s">
        <v>3133</v>
      </c>
      <c r="C204" s="26" t="s">
        <v>3134</v>
      </c>
      <c r="D204" s="26" t="s">
        <v>3149</v>
      </c>
      <c r="E204" s="25" t="s">
        <v>3150</v>
      </c>
      <c r="F204" s="25" t="s">
        <v>3151</v>
      </c>
      <c r="G204" s="57" t="str">
        <f>HYPERLINK("https://www.acquisition.gov/content/part-14-sealed-bidding#i1109974","FAR 14.408-1(c) General, and 53.214")</f>
        <v>FAR 14.408-1(c) General, and 53.214</v>
      </c>
      <c r="H204" s="57" t="str">
        <f>HYPERLINK("https://www.acquisition.gov/sites/default/files/current/gsam/html/Part514.html#wp1858487","514.408-70")</f>
        <v>514.408-70</v>
      </c>
      <c r="I204" s="109"/>
      <c r="J204" s="37" t="s">
        <v>463</v>
      </c>
      <c r="K204" s="37" t="s">
        <v>3152</v>
      </c>
      <c r="L204" s="25" t="s">
        <v>3153</v>
      </c>
      <c r="M204" s="25" t="s">
        <v>3154</v>
      </c>
      <c r="N204" s="25" t="s">
        <v>3155</v>
      </c>
      <c r="O204" s="64"/>
      <c r="P204" s="45" t="b">
        <f t="shared" si="29"/>
        <v>0</v>
      </c>
      <c r="Q204" s="45">
        <f t="shared" si="30"/>
        <v>0</v>
      </c>
      <c r="R204" s="45">
        <f t="shared" si="31"/>
        <v>0</v>
      </c>
      <c r="S204" s="24"/>
      <c r="T204" s="24"/>
      <c r="U204" s="24"/>
      <c r="V204" s="24"/>
      <c r="W204" s="24"/>
      <c r="X204" s="24"/>
      <c r="Y204" s="24"/>
      <c r="Z204" s="24"/>
      <c r="AA204" s="24"/>
      <c r="AB204" s="24"/>
      <c r="AC204" s="24"/>
      <c r="AD204" s="24"/>
      <c r="AE204" s="24"/>
    </row>
    <row r="205" spans="1:31" ht="141.30000000000001">
      <c r="A205" s="91" t="s">
        <v>3132</v>
      </c>
      <c r="B205" s="26" t="s">
        <v>3133</v>
      </c>
      <c r="C205" s="26" t="s">
        <v>3134</v>
      </c>
      <c r="D205" s="26" t="s">
        <v>2123</v>
      </c>
      <c r="E205" s="25" t="s">
        <v>3156</v>
      </c>
      <c r="F205" s="25" t="s">
        <v>3157</v>
      </c>
      <c r="G205" s="57" t="str">
        <f>HYPERLINK("https://www.acquisition.gov/content/part-15-contracting-negotiation#id1617MD00WUQ","FAR 15.303 Responsibilities [source selection].")</f>
        <v>FAR 15.303 Responsibilities [source selection].</v>
      </c>
      <c r="H205" s="25"/>
      <c r="I205" s="109" t="s">
        <v>3158</v>
      </c>
      <c r="J205" s="37" t="s">
        <v>190</v>
      </c>
      <c r="K205" s="37" t="s">
        <v>3159</v>
      </c>
      <c r="L205" s="25" t="s">
        <v>3160</v>
      </c>
      <c r="M205" s="25" t="s">
        <v>3161</v>
      </c>
      <c r="N205" s="25" t="s">
        <v>3162</v>
      </c>
      <c r="O205" s="64"/>
      <c r="P205" s="45" t="b">
        <f t="shared" si="29"/>
        <v>0</v>
      </c>
      <c r="Q205" s="45">
        <f t="shared" si="30"/>
        <v>3</v>
      </c>
      <c r="R205" s="45">
        <f t="shared" si="31"/>
        <v>0</v>
      </c>
      <c r="S205" s="24"/>
      <c r="T205" s="24"/>
      <c r="U205" s="24"/>
      <c r="V205" s="24"/>
      <c r="W205" s="24"/>
      <c r="X205" s="24"/>
      <c r="Y205" s="24"/>
      <c r="Z205" s="24"/>
      <c r="AA205" s="24"/>
      <c r="AB205" s="24"/>
      <c r="AC205" s="24"/>
      <c r="AD205" s="24"/>
      <c r="AE205" s="24"/>
    </row>
    <row r="206" spans="1:31" ht="108.7">
      <c r="A206" s="91" t="s">
        <v>3132</v>
      </c>
      <c r="B206" s="26" t="s">
        <v>3133</v>
      </c>
      <c r="C206" s="26" t="s">
        <v>3134</v>
      </c>
      <c r="D206" s="66" t="s">
        <v>3163</v>
      </c>
      <c r="E206" s="25" t="s">
        <v>3164</v>
      </c>
      <c r="F206" s="25" t="s">
        <v>3165</v>
      </c>
      <c r="G206" s="25" t="s">
        <v>1091</v>
      </c>
      <c r="H206" s="25"/>
      <c r="I206" s="109" t="s">
        <v>3144</v>
      </c>
      <c r="J206" s="37" t="s">
        <v>919</v>
      </c>
      <c r="K206" s="75" t="s">
        <v>3145</v>
      </c>
      <c r="L206" s="77" t="s">
        <v>3166</v>
      </c>
      <c r="M206" s="25" t="s">
        <v>3147</v>
      </c>
      <c r="N206" s="41" t="s">
        <v>3148</v>
      </c>
      <c r="O206" s="64"/>
      <c r="P206" s="45" t="b">
        <f t="shared" si="29"/>
        <v>0</v>
      </c>
      <c r="Q206" s="45">
        <f t="shared" si="30"/>
        <v>3</v>
      </c>
      <c r="R206" s="45">
        <f t="shared" si="31"/>
        <v>0</v>
      </c>
      <c r="S206" s="24"/>
      <c r="T206" s="24"/>
      <c r="U206" s="24"/>
      <c r="V206" s="24"/>
      <c r="W206" s="24"/>
      <c r="X206" s="24"/>
      <c r="Y206" s="24"/>
      <c r="Z206" s="24"/>
      <c r="AA206" s="24"/>
      <c r="AB206" s="24"/>
      <c r="AC206" s="24"/>
      <c r="AD206" s="24"/>
      <c r="AE206" s="24"/>
    </row>
    <row r="207" spans="1:31" ht="4.5999999999999996" customHeight="1">
      <c r="A207" s="55"/>
      <c r="B207" s="55"/>
      <c r="C207" s="56"/>
      <c r="D207" s="56"/>
      <c r="E207" s="55"/>
      <c r="F207" s="55"/>
      <c r="G207" s="72"/>
      <c r="H207" s="72"/>
      <c r="I207" s="63"/>
      <c r="J207" s="63"/>
      <c r="K207" s="63"/>
      <c r="L207" s="63"/>
      <c r="M207" s="63"/>
      <c r="N207" s="63"/>
      <c r="O207" s="64"/>
      <c r="P207" s="45"/>
      <c r="Q207" s="45"/>
      <c r="R207" s="45"/>
      <c r="S207" s="24"/>
      <c r="T207" s="24"/>
      <c r="U207" s="24"/>
      <c r="V207" s="24"/>
      <c r="W207" s="24"/>
      <c r="X207" s="24"/>
      <c r="Y207" s="24"/>
      <c r="Z207" s="24"/>
      <c r="AA207" s="24"/>
      <c r="AB207" s="24"/>
      <c r="AC207" s="24"/>
      <c r="AD207" s="24"/>
      <c r="AE207" s="24"/>
    </row>
    <row r="208" spans="1:31" ht="152.15">
      <c r="A208" s="91" t="s">
        <v>3167</v>
      </c>
      <c r="B208" s="26" t="s">
        <v>3168</v>
      </c>
      <c r="C208" s="26" t="s">
        <v>3169</v>
      </c>
      <c r="D208" s="26" t="s">
        <v>3170</v>
      </c>
      <c r="E208" s="25" t="s">
        <v>3171</v>
      </c>
      <c r="F208" s="25" t="s">
        <v>2579</v>
      </c>
      <c r="G208" s="57" t="str">
        <f>HYPERLINK("https://www.acquisition.gov/content/part-19-small-business-programs#id1617MD010UA","FAR 19.811 Preparing the contracts [contracting with the Small Business Administration (the 8(a) Program)].")</f>
        <v>FAR 19.811 Preparing the contracts [contracting with the Small Business Administration (the 8(a) Program)].</v>
      </c>
      <c r="H208" s="25"/>
      <c r="I208" s="109" t="s">
        <v>2581</v>
      </c>
      <c r="J208" s="37" t="s">
        <v>1473</v>
      </c>
      <c r="K208" s="37" t="s">
        <v>3172</v>
      </c>
      <c r="L208" s="25" t="s">
        <v>3173</v>
      </c>
      <c r="M208" s="25" t="s">
        <v>3174</v>
      </c>
      <c r="N208" s="25" t="s">
        <v>3175</v>
      </c>
      <c r="O208" s="64"/>
      <c r="P208" s="45" t="b">
        <f t="shared" ref="P208:P238" si="32">IF(AND(O208="Meet the requirements traceability “out of the box”"), 10, IF(AND(O208="Can meet the requirements traceability with configuration or through the use of another commercial product “out of the box” or other arrangement as part of the service offering quoted (i.e. at no additional cost)"), 8, IF(AND(O208="Can meet the requirements traceability with customization at additional cost"), 3, IF(AND(O208="Cannot meet the requirements traceability requirement"), 0))))</f>
        <v>0</v>
      </c>
      <c r="Q208" s="45">
        <f t="shared" ref="Q208:Q238" si="33">IF(J208="Unidentified",0,3)</f>
        <v>3</v>
      </c>
      <c r="R208" s="45">
        <f t="shared" ref="R208:R238" si="34">IF(P208=FALSE,0,IF(P208&gt;4,(P208+Q208),P208))</f>
        <v>0</v>
      </c>
      <c r="S208" s="24"/>
      <c r="T208" s="24"/>
      <c r="U208" s="24"/>
      <c r="V208" s="24"/>
      <c r="W208" s="24"/>
      <c r="X208" s="24"/>
      <c r="Y208" s="24"/>
      <c r="Z208" s="24"/>
      <c r="AA208" s="24"/>
      <c r="AB208" s="24"/>
      <c r="AC208" s="24"/>
      <c r="AD208" s="24"/>
      <c r="AE208" s="24"/>
    </row>
    <row r="209" spans="1:31" ht="119.55">
      <c r="A209" s="91" t="s">
        <v>3167</v>
      </c>
      <c r="B209" s="26" t="s">
        <v>3168</v>
      </c>
      <c r="C209" s="26" t="s">
        <v>3169</v>
      </c>
      <c r="D209" s="26" t="s">
        <v>3176</v>
      </c>
      <c r="E209" s="85" t="s">
        <v>3177</v>
      </c>
      <c r="F209" s="85" t="s">
        <v>1553</v>
      </c>
      <c r="G209" s="86" t="str">
        <f>HYPERLINK("https://www.acquisition.gov/content/part-8-required-sources-supplies-and-services#id1617MD00N46","FAR 8.403 Applicability [Federal Supply Schedules]. FAR 8.404 Use of Federal Supply Schedules. FAR 8.405 Ordering procedures for Federal Supply Schedules. ")</f>
        <v xml:space="preserve">FAR 8.403 Applicability [Federal Supply Schedules]. FAR 8.404 Use of Federal Supply Schedules. FAR 8.405 Ordering procedures for Federal Supply Schedules. </v>
      </c>
      <c r="H209" s="57" t="str">
        <f>HYPERLINK("https://www.acquisition.gov/sites/default/files/current/gsam/html/Part508.html#wp1859085","GSAR 508.404")</f>
        <v>GSAR 508.404</v>
      </c>
      <c r="I209" s="109" t="s">
        <v>2581</v>
      </c>
      <c r="J209" s="37" t="s">
        <v>1473</v>
      </c>
      <c r="K209" s="37" t="s">
        <v>3178</v>
      </c>
      <c r="L209" s="25" t="s">
        <v>3179</v>
      </c>
      <c r="M209" s="25" t="s">
        <v>3180</v>
      </c>
      <c r="N209" s="25" t="s">
        <v>3181</v>
      </c>
      <c r="O209" s="64"/>
      <c r="P209" s="45" t="b">
        <f t="shared" si="32"/>
        <v>0</v>
      </c>
      <c r="Q209" s="45">
        <f t="shared" si="33"/>
        <v>3</v>
      </c>
      <c r="R209" s="45">
        <f t="shared" si="34"/>
        <v>0</v>
      </c>
      <c r="S209" s="24"/>
      <c r="T209" s="24"/>
      <c r="U209" s="24"/>
      <c r="V209" s="24"/>
      <c r="W209" s="24"/>
      <c r="X209" s="24"/>
      <c r="Y209" s="24"/>
      <c r="Z209" s="24"/>
      <c r="AA209" s="24"/>
      <c r="AB209" s="24"/>
      <c r="AC209" s="24"/>
      <c r="AD209" s="24"/>
      <c r="AE209" s="24"/>
    </row>
    <row r="210" spans="1:31" ht="184.75">
      <c r="A210" s="91" t="s">
        <v>3167</v>
      </c>
      <c r="B210" s="26" t="s">
        <v>3168</v>
      </c>
      <c r="C210" s="26" t="s">
        <v>3169</v>
      </c>
      <c r="D210" s="26" t="s">
        <v>3182</v>
      </c>
      <c r="E210" s="85" t="s">
        <v>3183</v>
      </c>
      <c r="F210" s="85" t="s">
        <v>1553</v>
      </c>
      <c r="G210" s="86" t="str">
        <f>HYPERLINK("https://www.acquisition.gov/content/part-8-required-sources-supplies-and-services#i1117840","FAR 8.405-6 Limiting sources [ordering procedures for Federal Supply Schedules]. ")</f>
        <v xml:space="preserve">FAR 8.405-6 Limiting sources [ordering procedures for Federal Supply Schedules]. </v>
      </c>
      <c r="H210" s="25"/>
      <c r="I210" s="109" t="s">
        <v>3184</v>
      </c>
      <c r="J210" s="37" t="s">
        <v>1473</v>
      </c>
      <c r="K210" s="37" t="s">
        <v>3185</v>
      </c>
      <c r="L210" s="25" t="s">
        <v>3186</v>
      </c>
      <c r="M210" s="25" t="s">
        <v>3187</v>
      </c>
      <c r="N210" s="25" t="s">
        <v>3188</v>
      </c>
      <c r="O210" s="64"/>
      <c r="P210" s="45" t="b">
        <f t="shared" si="32"/>
        <v>0</v>
      </c>
      <c r="Q210" s="45">
        <f t="shared" si="33"/>
        <v>3</v>
      </c>
      <c r="R210" s="45">
        <f t="shared" si="34"/>
        <v>0</v>
      </c>
      <c r="S210" s="24"/>
      <c r="T210" s="24"/>
      <c r="U210" s="24"/>
      <c r="V210" s="24"/>
      <c r="W210" s="24"/>
      <c r="X210" s="24"/>
      <c r="Y210" s="24"/>
      <c r="Z210" s="24"/>
      <c r="AA210" s="24"/>
      <c r="AB210" s="24"/>
      <c r="AC210" s="24"/>
      <c r="AD210" s="24"/>
      <c r="AE210" s="24"/>
    </row>
    <row r="211" spans="1:31" ht="119.55">
      <c r="A211" s="91" t="s">
        <v>3167</v>
      </c>
      <c r="B211" s="26" t="s">
        <v>3168</v>
      </c>
      <c r="C211" s="26" t="s">
        <v>3169</v>
      </c>
      <c r="D211" s="26" t="s">
        <v>3189</v>
      </c>
      <c r="E211" s="85" t="s">
        <v>3190</v>
      </c>
      <c r="F211" s="85" t="s">
        <v>1553</v>
      </c>
      <c r="G211" s="57" t="str">
        <f>HYPERLINK("https://www.acquisition.gov/content/part-8-required-sources-supplies-and-services#i1117534","FAR 8.405-1(b) Orders at or below the micro-purchase threshold [ordering procedures for supplies, and services not requiring a statement of work]. FAR 8.406-1 Order placement [ordering activity responsibilities]. ")</f>
        <v xml:space="preserve">FAR 8.405-1(b) Orders at or below the micro-purchase threshold [ordering procedures for supplies, and services not requiring a statement of work]. FAR 8.406-1 Order placement [ordering activity responsibilities]. </v>
      </c>
      <c r="H211" s="25"/>
      <c r="I211" s="109" t="s">
        <v>2581</v>
      </c>
      <c r="J211" s="37" t="s">
        <v>1473</v>
      </c>
      <c r="K211" s="37" t="s">
        <v>3191</v>
      </c>
      <c r="L211" s="25" t="s">
        <v>3192</v>
      </c>
      <c r="M211" s="25" t="s">
        <v>3193</v>
      </c>
      <c r="N211" s="25" t="s">
        <v>3194</v>
      </c>
      <c r="O211" s="64"/>
      <c r="P211" s="45" t="b">
        <f t="shared" si="32"/>
        <v>0</v>
      </c>
      <c r="Q211" s="45">
        <f t="shared" si="33"/>
        <v>3</v>
      </c>
      <c r="R211" s="45">
        <f t="shared" si="34"/>
        <v>0</v>
      </c>
      <c r="S211" s="24"/>
      <c r="T211" s="24"/>
      <c r="U211" s="24"/>
      <c r="V211" s="24"/>
      <c r="W211" s="24"/>
      <c r="X211" s="24"/>
      <c r="Y211" s="24"/>
      <c r="Z211" s="24"/>
      <c r="AA211" s="24"/>
      <c r="AB211" s="24"/>
      <c r="AC211" s="24"/>
      <c r="AD211" s="24"/>
      <c r="AE211" s="24"/>
    </row>
    <row r="212" spans="1:31" ht="173.9">
      <c r="A212" s="130" t="s">
        <v>3167</v>
      </c>
      <c r="B212" s="66" t="s">
        <v>3168</v>
      </c>
      <c r="C212" s="66" t="s">
        <v>3169</v>
      </c>
      <c r="D212" s="66" t="s">
        <v>3195</v>
      </c>
      <c r="E212" s="85" t="s">
        <v>3196</v>
      </c>
      <c r="F212" s="85" t="s">
        <v>3197</v>
      </c>
      <c r="G212" s="86" t="e">
        <f>HYPERLINK("https://www.acquisition.gov/content/part-8-required-sources-supplies-and-services#i1117655","FAR 8.405-3(i)(B) If the estimated value of the BPA does not exceed the simplified acquisition threshold [for supplies, and for services not requiring a statement of work]. FAR 8.406-1 Order placement [ordering activity responsibilities]. FAR 8.405-3(a) B"&amp;"lanket purchase agreements [ordering from BPAs].")</f>
        <v>#VALUE!</v>
      </c>
      <c r="H212" s="25"/>
      <c r="I212" s="109" t="s">
        <v>2581</v>
      </c>
      <c r="J212" s="37" t="s">
        <v>1473</v>
      </c>
      <c r="K212" s="75" t="s">
        <v>3178</v>
      </c>
      <c r="L212" s="25" t="s">
        <v>3198</v>
      </c>
      <c r="M212" s="25" t="s">
        <v>3180</v>
      </c>
      <c r="N212" s="25" t="s">
        <v>3181</v>
      </c>
      <c r="O212" s="64"/>
      <c r="P212" s="45" t="b">
        <f t="shared" si="32"/>
        <v>0</v>
      </c>
      <c r="Q212" s="45">
        <f t="shared" si="33"/>
        <v>3</v>
      </c>
      <c r="R212" s="45">
        <f t="shared" si="34"/>
        <v>0</v>
      </c>
      <c r="S212" s="24"/>
      <c r="T212" s="24"/>
      <c r="U212" s="24"/>
      <c r="V212" s="24"/>
      <c r="W212" s="24"/>
      <c r="X212" s="24"/>
      <c r="Y212" s="24"/>
      <c r="Z212" s="24"/>
      <c r="AA212" s="24"/>
      <c r="AB212" s="24"/>
      <c r="AC212" s="24"/>
      <c r="AD212" s="24"/>
      <c r="AE212" s="24"/>
    </row>
    <row r="213" spans="1:31" ht="119.55">
      <c r="A213" s="91" t="s">
        <v>3167</v>
      </c>
      <c r="B213" s="26" t="s">
        <v>3168</v>
      </c>
      <c r="C213" s="26" t="s">
        <v>3169</v>
      </c>
      <c r="D213" s="26" t="s">
        <v>2386</v>
      </c>
      <c r="E213" s="85" t="s">
        <v>3199</v>
      </c>
      <c r="F213" s="85" t="s">
        <v>1553</v>
      </c>
      <c r="G213" s="86" t="e">
        <f>HYPERLINK("https://www.acquisition.gov/content/part-8-required-sources-supplies-and-services#i1117591","FAR 8.405-2(d) Evaluation [ordering procedures for services requiring a statement of work]. FAR 8.405-3 (b)(2)(vii) For services requiring a statement of work [competitive procedures for establishing a BPA]. FAR 8.405-3(b)(2)(viii) For services requiring "&amp;"a statement for work [competitive procedures for establishing a BPA]. ")</f>
        <v>#VALUE!</v>
      </c>
      <c r="H213" s="25"/>
      <c r="I213" s="109" t="s">
        <v>2581</v>
      </c>
      <c r="J213" s="37" t="s">
        <v>1473</v>
      </c>
      <c r="K213" s="75" t="s">
        <v>3178</v>
      </c>
      <c r="L213" s="25" t="s">
        <v>3192</v>
      </c>
      <c r="M213" s="25" t="s">
        <v>3180</v>
      </c>
      <c r="N213" s="25" t="s">
        <v>3181</v>
      </c>
      <c r="O213" s="64"/>
      <c r="P213" s="45" t="b">
        <f t="shared" si="32"/>
        <v>0</v>
      </c>
      <c r="Q213" s="45">
        <f t="shared" si="33"/>
        <v>3</v>
      </c>
      <c r="R213" s="45">
        <f t="shared" si="34"/>
        <v>0</v>
      </c>
      <c r="S213" s="24"/>
      <c r="T213" s="24"/>
      <c r="U213" s="24"/>
      <c r="V213" s="24"/>
      <c r="W213" s="24"/>
      <c r="X213" s="24"/>
      <c r="Y213" s="24"/>
      <c r="Z213" s="24"/>
      <c r="AA213" s="24"/>
      <c r="AB213" s="24"/>
      <c r="AC213" s="24"/>
      <c r="AD213" s="24"/>
      <c r="AE213" s="24"/>
    </row>
    <row r="214" spans="1:31" ht="119.55">
      <c r="A214" s="91" t="s">
        <v>3167</v>
      </c>
      <c r="B214" s="26" t="s">
        <v>3168</v>
      </c>
      <c r="C214" s="26" t="s">
        <v>3169</v>
      </c>
      <c r="D214" s="26" t="s">
        <v>3200</v>
      </c>
      <c r="E214" s="85" t="s">
        <v>3201</v>
      </c>
      <c r="F214" s="85" t="s">
        <v>275</v>
      </c>
      <c r="G214" s="86" t="str">
        <f>HYPERLINK("https://www.acquisition.gov/content/part-8-required-sources-supplies-and-services#i1117591","FAR 8.405-2(f) Minimum documentation [ordering procedures for services requiring a statement of work]. FAR 8.405-3(a)(7) Minimum documentation [establishment]. ")</f>
        <v xml:space="preserve">FAR 8.405-2(f) Minimum documentation [ordering procedures for services requiring a statement of work]. FAR 8.405-3(a)(7) Minimum documentation [establishment]. </v>
      </c>
      <c r="H214" s="25"/>
      <c r="I214" s="109" t="s">
        <v>3202</v>
      </c>
      <c r="J214" s="37" t="s">
        <v>1473</v>
      </c>
      <c r="K214" s="37" t="s">
        <v>3203</v>
      </c>
      <c r="L214" s="25" t="s">
        <v>3204</v>
      </c>
      <c r="M214" s="25" t="s">
        <v>3205</v>
      </c>
      <c r="N214" s="25" t="s">
        <v>617</v>
      </c>
      <c r="O214" s="64"/>
      <c r="P214" s="45" t="b">
        <f t="shared" si="32"/>
        <v>0</v>
      </c>
      <c r="Q214" s="45">
        <f t="shared" si="33"/>
        <v>3</v>
      </c>
      <c r="R214" s="45">
        <f t="shared" si="34"/>
        <v>0</v>
      </c>
      <c r="S214" s="24"/>
      <c r="T214" s="24"/>
      <c r="U214" s="24"/>
      <c r="V214" s="24"/>
      <c r="W214" s="24"/>
      <c r="X214" s="24"/>
      <c r="Y214" s="24"/>
      <c r="Z214" s="24"/>
      <c r="AA214" s="24"/>
      <c r="AB214" s="24"/>
      <c r="AC214" s="24"/>
      <c r="AD214" s="24"/>
      <c r="AE214" s="24"/>
    </row>
    <row r="215" spans="1:31" ht="108.7">
      <c r="A215" s="91" t="s">
        <v>3167</v>
      </c>
      <c r="B215" s="26" t="s">
        <v>3168</v>
      </c>
      <c r="C215" s="26" t="s">
        <v>3169</v>
      </c>
      <c r="D215" s="26" t="s">
        <v>3206</v>
      </c>
      <c r="E215" s="85" t="s">
        <v>3207</v>
      </c>
      <c r="F215" s="85" t="s">
        <v>1553</v>
      </c>
      <c r="G215" s="86" t="str">
        <f>HYPERLINK("https://www.acquisition.gov/content/part-8-required-sources-supplies-and-services#i1117655","FAR 8.405-3(c)(1) Single-award BPAs [ordering from BPAs].")</f>
        <v>FAR 8.405-3(c)(1) Single-award BPAs [ordering from BPAs].</v>
      </c>
      <c r="H215" s="25"/>
      <c r="I215" s="109" t="s">
        <v>2581</v>
      </c>
      <c r="J215" s="37" t="s">
        <v>1473</v>
      </c>
      <c r="K215" s="75" t="s">
        <v>3178</v>
      </c>
      <c r="L215" s="25" t="s">
        <v>3208</v>
      </c>
      <c r="M215" s="25" t="s">
        <v>3180</v>
      </c>
      <c r="N215" s="25" t="s">
        <v>3181</v>
      </c>
      <c r="O215" s="64"/>
      <c r="P215" s="45" t="b">
        <f t="shared" si="32"/>
        <v>0</v>
      </c>
      <c r="Q215" s="45">
        <f t="shared" si="33"/>
        <v>3</v>
      </c>
      <c r="R215" s="45">
        <f t="shared" si="34"/>
        <v>0</v>
      </c>
      <c r="S215" s="24"/>
      <c r="T215" s="24"/>
      <c r="U215" s="24"/>
      <c r="V215" s="24"/>
      <c r="W215" s="24"/>
      <c r="X215" s="24"/>
      <c r="Y215" s="24"/>
      <c r="Z215" s="24"/>
      <c r="AA215" s="24"/>
      <c r="AB215" s="24"/>
      <c r="AC215" s="24"/>
      <c r="AD215" s="24"/>
      <c r="AE215" s="24"/>
    </row>
    <row r="216" spans="1:31" ht="108.7">
      <c r="A216" s="91" t="s">
        <v>3167</v>
      </c>
      <c r="B216" s="26" t="s">
        <v>3168</v>
      </c>
      <c r="C216" s="26" t="s">
        <v>3169</v>
      </c>
      <c r="D216" s="26" t="s">
        <v>3209</v>
      </c>
      <c r="E216" s="85" t="s">
        <v>3210</v>
      </c>
      <c r="F216" s="85" t="s">
        <v>1553</v>
      </c>
      <c r="G216" s="57" t="str">
        <f>HYPERLINK("https://www.acquisition.gov/content/part-8-required-sources-supplies-and-services#i1117655","FAR 8.405-3(c)(2)(i) Orders at or below the micro-purchase threshold [multipleaward BPAs]. ")</f>
        <v xml:space="preserve">FAR 8.405-3(c)(2)(i) Orders at or below the micro-purchase threshold [multipleaward BPAs]. </v>
      </c>
      <c r="H216" s="25"/>
      <c r="I216" s="109" t="s">
        <v>2581</v>
      </c>
      <c r="J216" s="37" t="s">
        <v>1473</v>
      </c>
      <c r="K216" s="75" t="s">
        <v>3178</v>
      </c>
      <c r="L216" s="25" t="s">
        <v>3208</v>
      </c>
      <c r="M216" s="25" t="s">
        <v>3180</v>
      </c>
      <c r="N216" s="25" t="s">
        <v>3181</v>
      </c>
      <c r="O216" s="64"/>
      <c r="P216" s="45" t="b">
        <f t="shared" si="32"/>
        <v>0</v>
      </c>
      <c r="Q216" s="45">
        <f t="shared" si="33"/>
        <v>3</v>
      </c>
      <c r="R216" s="45">
        <f t="shared" si="34"/>
        <v>0</v>
      </c>
      <c r="S216" s="24"/>
      <c r="T216" s="24"/>
      <c r="U216" s="24"/>
      <c r="V216" s="24"/>
      <c r="W216" s="24"/>
      <c r="X216" s="24"/>
      <c r="Y216" s="24"/>
      <c r="Z216" s="24"/>
      <c r="AA216" s="24"/>
      <c r="AB216" s="24"/>
      <c r="AC216" s="24"/>
      <c r="AD216" s="24"/>
      <c r="AE216" s="24"/>
    </row>
    <row r="217" spans="1:31" ht="141.30000000000001">
      <c r="A217" s="91" t="s">
        <v>3167</v>
      </c>
      <c r="B217" s="26" t="s">
        <v>3168</v>
      </c>
      <c r="C217" s="26" t="s">
        <v>3169</v>
      </c>
      <c r="D217" s="26" t="s">
        <v>3211</v>
      </c>
      <c r="E217" s="25" t="s">
        <v>3212</v>
      </c>
      <c r="F217" s="25" t="s">
        <v>3213</v>
      </c>
      <c r="G217" s="57" t="str">
        <f>HYPERLINK("https://www.acquisition.gov/content/part-13-simplified-acquisition-procedures#i1111870","FAR 13.201(b) General [actions at or below the micro-purchase threshold]. FAR 13.201(h) General [actions at or below the micro-purchase threshold].  FAR 13.202 Unenforceability of unauthorized obligations in micropurchases.")</f>
        <v>FAR 13.201(b) General [actions at or below the micro-purchase threshold]. FAR 13.201(h) General [actions at or below the micro-purchase threshold].  FAR 13.202 Unenforceability of unauthorized obligations in micropurchases.</v>
      </c>
      <c r="H217" s="25"/>
      <c r="I217" s="109"/>
      <c r="J217" s="37" t="s">
        <v>463</v>
      </c>
      <c r="K217" s="37" t="s">
        <v>3214</v>
      </c>
      <c r="L217" s="25" t="s">
        <v>3215</v>
      </c>
      <c r="M217" s="25" t="s">
        <v>3216</v>
      </c>
      <c r="N217" s="25" t="s">
        <v>1331</v>
      </c>
      <c r="O217" s="64"/>
      <c r="P217" s="45" t="b">
        <f t="shared" si="32"/>
        <v>0</v>
      </c>
      <c r="Q217" s="45">
        <f t="shared" si="33"/>
        <v>0</v>
      </c>
      <c r="R217" s="45">
        <f t="shared" si="34"/>
        <v>0</v>
      </c>
      <c r="S217" s="24"/>
      <c r="T217" s="24"/>
      <c r="U217" s="24"/>
      <c r="V217" s="24"/>
      <c r="W217" s="24"/>
      <c r="X217" s="24"/>
      <c r="Y217" s="24"/>
      <c r="Z217" s="24"/>
      <c r="AA217" s="24"/>
      <c r="AB217" s="24"/>
      <c r="AC217" s="24"/>
      <c r="AD217" s="24"/>
      <c r="AE217" s="24"/>
    </row>
    <row r="218" spans="1:31" ht="76.099999999999994">
      <c r="A218" s="91" t="s">
        <v>3167</v>
      </c>
      <c r="B218" s="26" t="s">
        <v>3168</v>
      </c>
      <c r="C218" s="26" t="s">
        <v>3169</v>
      </c>
      <c r="D218" s="26" t="s">
        <v>3217</v>
      </c>
      <c r="E218" s="25" t="s">
        <v>3218</v>
      </c>
      <c r="F218" s="25" t="s">
        <v>3151</v>
      </c>
      <c r="G218" s="57" t="str">
        <f>HYPERLINK("https://www.acquisition.gov/content/part-5-publicizing-contract-actions#i1120562","FAR 5.301 General [synopses of contract awards]. ")</f>
        <v xml:space="preserve">FAR 5.301 General [synopses of contract awards]. </v>
      </c>
      <c r="H218" s="25"/>
      <c r="I218" s="109" t="s">
        <v>3184</v>
      </c>
      <c r="J218" s="37" t="s">
        <v>1473</v>
      </c>
      <c r="K218" s="37" t="s">
        <v>3219</v>
      </c>
      <c r="L218" s="25" t="s">
        <v>3220</v>
      </c>
      <c r="M218" s="25" t="s">
        <v>3221</v>
      </c>
      <c r="N218" s="25" t="s">
        <v>3222</v>
      </c>
      <c r="O218" s="64"/>
      <c r="P218" s="45" t="b">
        <f t="shared" si="32"/>
        <v>0</v>
      </c>
      <c r="Q218" s="45">
        <f t="shared" si="33"/>
        <v>3</v>
      </c>
      <c r="R218" s="45">
        <f t="shared" si="34"/>
        <v>0</v>
      </c>
      <c r="S218" s="24"/>
      <c r="T218" s="24"/>
      <c r="U218" s="24"/>
      <c r="V218" s="24"/>
      <c r="W218" s="24"/>
      <c r="X218" s="24"/>
      <c r="Y218" s="24"/>
      <c r="Z218" s="24"/>
      <c r="AA218" s="24"/>
      <c r="AB218" s="24"/>
      <c r="AC218" s="24"/>
      <c r="AD218" s="24"/>
      <c r="AE218" s="24"/>
    </row>
    <row r="219" spans="1:31" ht="336.9">
      <c r="A219" s="91" t="s">
        <v>3167</v>
      </c>
      <c r="B219" s="26" t="s">
        <v>3168</v>
      </c>
      <c r="C219" s="26" t="s">
        <v>3169</v>
      </c>
      <c r="D219" s="26" t="s">
        <v>3223</v>
      </c>
      <c r="E219" s="25" t="s">
        <v>3224</v>
      </c>
      <c r="F219" s="25" t="s">
        <v>2579</v>
      </c>
      <c r="G219" s="57" t="str">
        <f>HYPERLINK("https://www.acquisition.gov/content/part-13-simplified-acquisition-procedures#i1111753","FAR 13.306 SF 44, Purchase Order— Invoice—Voucher [simplified acquisition procedures]. FAR 13.307 Forms [simplified acquisition procedures]. FAR 53.213 Simplified acquisition procedures ")</f>
        <v xml:space="preserve">FAR 13.306 SF 44, Purchase Order— Invoice—Voucher [simplified acquisition procedures]. FAR 13.307 Forms [simplified acquisition procedures]. FAR 53.213 Simplified acquisition procedures </v>
      </c>
      <c r="H219" s="25"/>
      <c r="I219" s="34" t="s">
        <v>2581</v>
      </c>
      <c r="J219" s="37" t="s">
        <v>1473</v>
      </c>
      <c r="K219" s="75" t="s">
        <v>2582</v>
      </c>
      <c r="L219" s="25" t="s">
        <v>3225</v>
      </c>
      <c r="M219" s="25" t="s">
        <v>2584</v>
      </c>
      <c r="N219" s="25" t="s">
        <v>2585</v>
      </c>
      <c r="O219" s="64"/>
      <c r="P219" s="45" t="b">
        <f t="shared" si="32"/>
        <v>0</v>
      </c>
      <c r="Q219" s="45">
        <f t="shared" si="33"/>
        <v>3</v>
      </c>
      <c r="R219" s="45">
        <f t="shared" si="34"/>
        <v>0</v>
      </c>
      <c r="S219" s="24"/>
      <c r="T219" s="24"/>
      <c r="U219" s="24"/>
      <c r="V219" s="24"/>
      <c r="W219" s="24"/>
      <c r="X219" s="24"/>
      <c r="Y219" s="24"/>
      <c r="Z219" s="24"/>
      <c r="AA219" s="24"/>
      <c r="AB219" s="24"/>
      <c r="AC219" s="24"/>
      <c r="AD219" s="24"/>
      <c r="AE219" s="24"/>
    </row>
    <row r="220" spans="1:31" ht="336.9">
      <c r="A220" s="91" t="s">
        <v>3167</v>
      </c>
      <c r="B220" s="26" t="s">
        <v>3168</v>
      </c>
      <c r="C220" s="26" t="s">
        <v>3169</v>
      </c>
      <c r="D220" s="26" t="s">
        <v>3226</v>
      </c>
      <c r="E220" s="25" t="s">
        <v>3227</v>
      </c>
      <c r="F220" s="25" t="s">
        <v>3228</v>
      </c>
      <c r="G220" s="57" t="str">
        <f>HYPERLINK("https://www.acquisition.gov/content/part-13-simplified-acquisition-procedures#i1111666","FAR 13.303-5 Purchases under BPAs")</f>
        <v>FAR 13.303-5 Purchases under BPAs</v>
      </c>
      <c r="H220" s="57" t="str">
        <f t="shared" ref="H220:H221" si="35">HYPERLINK("https://www.acquisition.gov/sites/default/files/current/gsam/html/Part513.html#wp1859985","GSAR 513.303")</f>
        <v>GSAR 513.303</v>
      </c>
      <c r="I220" s="34" t="s">
        <v>2581</v>
      </c>
      <c r="J220" s="37" t="s">
        <v>1473</v>
      </c>
      <c r="K220" s="75" t="s">
        <v>2582</v>
      </c>
      <c r="L220" s="25" t="s">
        <v>3229</v>
      </c>
      <c r="M220" s="25" t="s">
        <v>2584</v>
      </c>
      <c r="N220" s="25" t="s">
        <v>2585</v>
      </c>
      <c r="O220" s="64"/>
      <c r="P220" s="45" t="b">
        <f t="shared" si="32"/>
        <v>0</v>
      </c>
      <c r="Q220" s="45">
        <f t="shared" si="33"/>
        <v>3</v>
      </c>
      <c r="R220" s="45">
        <f t="shared" si="34"/>
        <v>0</v>
      </c>
      <c r="S220" s="24"/>
      <c r="T220" s="24"/>
      <c r="U220" s="24"/>
      <c r="V220" s="24"/>
      <c r="W220" s="24"/>
      <c r="X220" s="24"/>
      <c r="Y220" s="24"/>
      <c r="Z220" s="24"/>
      <c r="AA220" s="24"/>
      <c r="AB220" s="24"/>
      <c r="AC220" s="24"/>
      <c r="AD220" s="24"/>
      <c r="AE220" s="24"/>
    </row>
    <row r="221" spans="1:31" ht="97.85">
      <c r="A221" s="91" t="s">
        <v>3167</v>
      </c>
      <c r="B221" s="26" t="s">
        <v>3168</v>
      </c>
      <c r="C221" s="26" t="s">
        <v>3169</v>
      </c>
      <c r="D221" s="26" t="s">
        <v>3230</v>
      </c>
      <c r="E221" s="25" t="s">
        <v>3231</v>
      </c>
      <c r="F221" s="25" t="s">
        <v>3228</v>
      </c>
      <c r="G221" s="57" t="str">
        <f>HYPERLINK("https://www.acquisition.gov/content/part-13-simplified-acquisition-procedures#i1111666","FAR 13.303-5 Purchases under BPAs. ")</f>
        <v xml:space="preserve">FAR 13.303-5 Purchases under BPAs. </v>
      </c>
      <c r="H221" s="57" t="str">
        <f t="shared" si="35"/>
        <v>GSAR 513.303</v>
      </c>
      <c r="I221" s="109"/>
      <c r="J221" s="37" t="s">
        <v>463</v>
      </c>
      <c r="K221" s="37" t="s">
        <v>3232</v>
      </c>
      <c r="L221" s="25" t="s">
        <v>3233</v>
      </c>
      <c r="M221" s="25" t="s">
        <v>3234</v>
      </c>
      <c r="N221" s="25" t="s">
        <v>3235</v>
      </c>
      <c r="O221" s="64"/>
      <c r="P221" s="45" t="b">
        <f t="shared" si="32"/>
        <v>0</v>
      </c>
      <c r="Q221" s="45">
        <f t="shared" si="33"/>
        <v>0</v>
      </c>
      <c r="R221" s="45">
        <f t="shared" si="34"/>
        <v>0</v>
      </c>
      <c r="S221" s="24"/>
      <c r="T221" s="24"/>
      <c r="U221" s="24"/>
      <c r="V221" s="24"/>
      <c r="W221" s="24"/>
      <c r="X221" s="24"/>
      <c r="Y221" s="24"/>
      <c r="Z221" s="24"/>
      <c r="AA221" s="24"/>
      <c r="AB221" s="24"/>
      <c r="AC221" s="24"/>
      <c r="AD221" s="24"/>
      <c r="AE221" s="24"/>
    </row>
    <row r="222" spans="1:31" ht="108.7">
      <c r="A222" s="91" t="s">
        <v>3167</v>
      </c>
      <c r="B222" s="26" t="s">
        <v>3168</v>
      </c>
      <c r="C222" s="26" t="s">
        <v>3169</v>
      </c>
      <c r="D222" s="26" t="s">
        <v>3236</v>
      </c>
      <c r="E222" s="25" t="s">
        <v>3237</v>
      </c>
      <c r="F222" s="25" t="s">
        <v>275</v>
      </c>
      <c r="G222" s="57" t="str">
        <f>HYPERLINK("https://www.acquisition.gov/content/part-13-simplified-acquisition-procedures#i1111666","FAR 13.303-5(e) Purchases under BPAs. ")</f>
        <v xml:space="preserve">FAR 13.303-5(e) Purchases under BPAs. </v>
      </c>
      <c r="H222" s="25"/>
      <c r="I222" s="109" t="s">
        <v>2581</v>
      </c>
      <c r="J222" s="37" t="s">
        <v>1473</v>
      </c>
      <c r="K222" s="37" t="s">
        <v>3244</v>
      </c>
      <c r="L222" s="25" t="s">
        <v>3245</v>
      </c>
      <c r="M222" s="25" t="s">
        <v>3246</v>
      </c>
      <c r="N222" s="25" t="s">
        <v>3247</v>
      </c>
      <c r="O222" s="64"/>
      <c r="P222" s="45" t="b">
        <f t="shared" si="32"/>
        <v>0</v>
      </c>
      <c r="Q222" s="45">
        <f t="shared" si="33"/>
        <v>3</v>
      </c>
      <c r="R222" s="45">
        <f t="shared" si="34"/>
        <v>0</v>
      </c>
      <c r="S222" s="24"/>
      <c r="T222" s="24"/>
      <c r="U222" s="24"/>
      <c r="V222" s="24"/>
      <c r="W222" s="24"/>
      <c r="X222" s="24"/>
      <c r="Y222" s="24"/>
      <c r="Z222" s="24"/>
      <c r="AA222" s="24"/>
      <c r="AB222" s="24"/>
      <c r="AC222" s="24"/>
      <c r="AD222" s="24"/>
      <c r="AE222" s="24"/>
    </row>
    <row r="223" spans="1:31" ht="336.9">
      <c r="A223" s="91" t="s">
        <v>3167</v>
      </c>
      <c r="B223" s="26" t="s">
        <v>3168</v>
      </c>
      <c r="C223" s="26" t="s">
        <v>3169</v>
      </c>
      <c r="D223" s="26" t="s">
        <v>3248</v>
      </c>
      <c r="E223" s="25" t="s">
        <v>3249</v>
      </c>
      <c r="F223" s="25" t="s">
        <v>3250</v>
      </c>
      <c r="G223" s="57" t="str">
        <f>HYPERLINK("https://www.acquisition.gov/content/part-14-sealed-bidding#i1109972","FAR 14.408 Award.")</f>
        <v>FAR 14.408 Award.</v>
      </c>
      <c r="H223" s="57" t="str">
        <f>HYPERLINK("https://www.acquisition.gov/sites/default/files/current/gsam/html/Part514.html#wp1858487","GSAR 514.408")</f>
        <v>GSAR 514.408</v>
      </c>
      <c r="I223" s="34" t="s">
        <v>2581</v>
      </c>
      <c r="J223" s="37" t="s">
        <v>1473</v>
      </c>
      <c r="K223" s="37" t="s">
        <v>3256</v>
      </c>
      <c r="L223" s="25" t="s">
        <v>2583</v>
      </c>
      <c r="M223" s="77" t="s">
        <v>3257</v>
      </c>
      <c r="N223" s="25" t="s">
        <v>3258</v>
      </c>
      <c r="O223" s="64"/>
      <c r="P223" s="45" t="b">
        <f t="shared" si="32"/>
        <v>0</v>
      </c>
      <c r="Q223" s="45">
        <f t="shared" si="33"/>
        <v>3</v>
      </c>
      <c r="R223" s="45">
        <f t="shared" si="34"/>
        <v>0</v>
      </c>
      <c r="S223" s="24"/>
      <c r="T223" s="24"/>
      <c r="U223" s="24"/>
      <c r="V223" s="24"/>
      <c r="W223" s="24"/>
      <c r="X223" s="24"/>
      <c r="Y223" s="24"/>
      <c r="Z223" s="24"/>
      <c r="AA223" s="24"/>
      <c r="AB223" s="24"/>
      <c r="AC223" s="24"/>
      <c r="AD223" s="24"/>
      <c r="AE223" s="24"/>
    </row>
    <row r="224" spans="1:31" ht="141.30000000000001">
      <c r="A224" s="91" t="s">
        <v>3167</v>
      </c>
      <c r="B224" s="26" t="s">
        <v>3168</v>
      </c>
      <c r="C224" s="26" t="s">
        <v>3169</v>
      </c>
      <c r="D224" s="26" t="s">
        <v>3259</v>
      </c>
      <c r="E224" s="25" t="s">
        <v>3260</v>
      </c>
      <c r="F224" s="25" t="s">
        <v>275</v>
      </c>
      <c r="G224" s="57" t="str">
        <f>HYPERLINK("https://www.acquisition.gov/content/part-14-sealed-bidding#id1617MD00V5J","FAR 14.408-7 Documentation of Award")</f>
        <v>FAR 14.408-7 Documentation of Award</v>
      </c>
      <c r="H224" s="131"/>
      <c r="I224" s="109" t="s">
        <v>3261</v>
      </c>
      <c r="J224" s="37" t="s">
        <v>919</v>
      </c>
      <c r="K224" s="37" t="s">
        <v>3262</v>
      </c>
      <c r="L224" s="25" t="s">
        <v>3263</v>
      </c>
      <c r="M224" s="25" t="s">
        <v>3264</v>
      </c>
      <c r="N224" s="25" t="s">
        <v>3266</v>
      </c>
      <c r="O224" s="64"/>
      <c r="P224" s="45" t="b">
        <f t="shared" si="32"/>
        <v>0</v>
      </c>
      <c r="Q224" s="45">
        <f t="shared" si="33"/>
        <v>3</v>
      </c>
      <c r="R224" s="45">
        <f t="shared" si="34"/>
        <v>0</v>
      </c>
      <c r="S224" s="24"/>
      <c r="T224" s="24"/>
      <c r="U224" s="24"/>
      <c r="V224" s="24"/>
      <c r="W224" s="24"/>
      <c r="X224" s="24"/>
      <c r="Y224" s="24"/>
      <c r="Z224" s="24"/>
      <c r="AA224" s="24"/>
      <c r="AB224" s="24"/>
      <c r="AC224" s="24"/>
      <c r="AD224" s="24"/>
      <c r="AE224" s="24"/>
    </row>
    <row r="225" spans="1:31" ht="86.95">
      <c r="A225" s="91" t="s">
        <v>3167</v>
      </c>
      <c r="B225" s="26" t="s">
        <v>3168</v>
      </c>
      <c r="C225" s="26" t="s">
        <v>3169</v>
      </c>
      <c r="D225" s="26" t="s">
        <v>3269</v>
      </c>
      <c r="E225" s="25" t="s">
        <v>3270</v>
      </c>
      <c r="F225" s="25" t="s">
        <v>1756</v>
      </c>
      <c r="G225" s="57" t="str">
        <f>HYPERLINK("https://www.acquisition.gov/content/part-5-publicizing-contract-actions#i1120562","FAR 5.301 General [synopses of contract awards]. ")</f>
        <v xml:space="preserve">FAR 5.301 General [synopses of contract awards]. </v>
      </c>
      <c r="H225" s="25"/>
      <c r="I225" s="109" t="s">
        <v>3271</v>
      </c>
      <c r="J225" s="37" t="s">
        <v>919</v>
      </c>
      <c r="K225" s="75" t="s">
        <v>3095</v>
      </c>
      <c r="L225" s="25" t="s">
        <v>3272</v>
      </c>
      <c r="M225" s="25" t="s">
        <v>3097</v>
      </c>
      <c r="N225" s="25" t="s">
        <v>3098</v>
      </c>
      <c r="O225" s="64"/>
      <c r="P225" s="45" t="b">
        <f t="shared" si="32"/>
        <v>0</v>
      </c>
      <c r="Q225" s="45">
        <f t="shared" si="33"/>
        <v>3</v>
      </c>
      <c r="R225" s="45">
        <f t="shared" si="34"/>
        <v>0</v>
      </c>
      <c r="S225" s="24"/>
      <c r="T225" s="24"/>
      <c r="U225" s="24"/>
      <c r="V225" s="24"/>
      <c r="W225" s="24"/>
      <c r="X225" s="24"/>
      <c r="Y225" s="24"/>
      <c r="Z225" s="24"/>
      <c r="AA225" s="24"/>
      <c r="AB225" s="24"/>
      <c r="AC225" s="24"/>
      <c r="AD225" s="24"/>
      <c r="AE225" s="24"/>
    </row>
    <row r="226" spans="1:31" ht="97.85">
      <c r="A226" s="91" t="s">
        <v>3167</v>
      </c>
      <c r="B226" s="26" t="s">
        <v>3168</v>
      </c>
      <c r="C226" s="26" t="s">
        <v>3169</v>
      </c>
      <c r="D226" s="26" t="s">
        <v>3273</v>
      </c>
      <c r="E226" s="25" t="s">
        <v>3274</v>
      </c>
      <c r="F226" s="25" t="s">
        <v>1427</v>
      </c>
      <c r="G226" s="57" t="str">
        <f>HYPERLINK("https://www.acquisition.gov/content/part-14-sealed-bidding#i1109974","FAR 14.408-1(b) Award [less than three bids]. ")</f>
        <v xml:space="preserve">FAR 14.408-1(b) Award [less than three bids]. </v>
      </c>
      <c r="H226" s="25"/>
      <c r="I226" s="109" t="s">
        <v>3279</v>
      </c>
      <c r="J226" s="37" t="s">
        <v>1473</v>
      </c>
      <c r="K226" s="37" t="s">
        <v>3280</v>
      </c>
      <c r="L226" s="25" t="s">
        <v>3281</v>
      </c>
      <c r="M226" s="25" t="s">
        <v>3282</v>
      </c>
      <c r="N226" s="25" t="s">
        <v>3284</v>
      </c>
      <c r="O226" s="64"/>
      <c r="P226" s="45" t="b">
        <f t="shared" si="32"/>
        <v>0</v>
      </c>
      <c r="Q226" s="45">
        <f t="shared" si="33"/>
        <v>3</v>
      </c>
      <c r="R226" s="45">
        <f t="shared" si="34"/>
        <v>0</v>
      </c>
      <c r="S226" s="24"/>
      <c r="T226" s="24"/>
      <c r="U226" s="24"/>
      <c r="V226" s="24"/>
      <c r="W226" s="24"/>
      <c r="X226" s="24"/>
      <c r="Y226" s="24"/>
      <c r="Z226" s="24"/>
      <c r="AA226" s="24"/>
      <c r="AB226" s="24"/>
      <c r="AC226" s="24"/>
      <c r="AD226" s="24"/>
      <c r="AE226" s="24"/>
    </row>
    <row r="227" spans="1:31" ht="141.30000000000001">
      <c r="A227" s="91" t="s">
        <v>3167</v>
      </c>
      <c r="B227" s="26" t="s">
        <v>3168</v>
      </c>
      <c r="C227" s="26" t="s">
        <v>3169</v>
      </c>
      <c r="D227" s="26" t="s">
        <v>3287</v>
      </c>
      <c r="E227" s="25" t="s">
        <v>3288</v>
      </c>
      <c r="F227" s="25" t="s">
        <v>3289</v>
      </c>
      <c r="G227" s="57" t="str">
        <f>HYPERLINK("https://www.acquisition.gov/content/part-14-sealed-bidding#i1109926","FAR 14.407-4(e)(1) Mistakes after award [mistakes in bids]. ")</f>
        <v xml:space="preserve">FAR 14.407-4(e)(1) Mistakes after award [mistakes in bids]. </v>
      </c>
      <c r="H227" s="25"/>
      <c r="I227" s="109"/>
      <c r="J227" s="37" t="s">
        <v>463</v>
      </c>
      <c r="K227" s="37" t="s">
        <v>3294</v>
      </c>
      <c r="L227" s="25" t="s">
        <v>3295</v>
      </c>
      <c r="M227" s="25" t="s">
        <v>3296</v>
      </c>
      <c r="N227" s="25" t="s">
        <v>3297</v>
      </c>
      <c r="O227" s="64"/>
      <c r="P227" s="45" t="b">
        <f t="shared" si="32"/>
        <v>0</v>
      </c>
      <c r="Q227" s="45">
        <f t="shared" si="33"/>
        <v>0</v>
      </c>
      <c r="R227" s="45">
        <f t="shared" si="34"/>
        <v>0</v>
      </c>
      <c r="S227" s="24"/>
      <c r="T227" s="24"/>
      <c r="U227" s="24"/>
      <c r="V227" s="24"/>
      <c r="W227" s="24"/>
      <c r="X227" s="24"/>
      <c r="Y227" s="24"/>
      <c r="Z227" s="24"/>
      <c r="AA227" s="24"/>
      <c r="AB227" s="24"/>
      <c r="AC227" s="24"/>
      <c r="AD227" s="24"/>
      <c r="AE227" s="24"/>
    </row>
    <row r="228" spans="1:31" ht="86.95">
      <c r="A228" s="91" t="s">
        <v>3167</v>
      </c>
      <c r="B228" s="26" t="s">
        <v>3168</v>
      </c>
      <c r="C228" s="26" t="s">
        <v>3169</v>
      </c>
      <c r="D228" s="26" t="s">
        <v>3301</v>
      </c>
      <c r="E228" s="25" t="s">
        <v>3302</v>
      </c>
      <c r="F228" s="25" t="s">
        <v>1058</v>
      </c>
      <c r="G228" s="57" t="str">
        <f>HYPERLINK("https://www.acquisition.gov/content/part-14-sealed-bidding#i1109926","FAR 14.407-4(c) Mistakes after award.")</f>
        <v>FAR 14.407-4(c) Mistakes after award.</v>
      </c>
      <c r="H228" s="25"/>
      <c r="I228" s="109"/>
      <c r="J228" s="37" t="s">
        <v>463</v>
      </c>
      <c r="K228" s="37" t="s">
        <v>3307</v>
      </c>
      <c r="L228" s="25" t="s">
        <v>3308</v>
      </c>
      <c r="M228" s="25" t="s">
        <v>3309</v>
      </c>
      <c r="N228" s="25" t="s">
        <v>3310</v>
      </c>
      <c r="O228" s="64"/>
      <c r="P228" s="45" t="b">
        <f t="shared" si="32"/>
        <v>0</v>
      </c>
      <c r="Q228" s="45">
        <f t="shared" si="33"/>
        <v>0</v>
      </c>
      <c r="R228" s="45">
        <f t="shared" si="34"/>
        <v>0</v>
      </c>
      <c r="S228" s="24"/>
      <c r="T228" s="24"/>
      <c r="U228" s="24"/>
      <c r="V228" s="24"/>
      <c r="W228" s="24"/>
      <c r="X228" s="24"/>
      <c r="Y228" s="24"/>
      <c r="Z228" s="24"/>
      <c r="AA228" s="24"/>
      <c r="AB228" s="24"/>
      <c r="AC228" s="24"/>
      <c r="AD228" s="24"/>
      <c r="AE228" s="24"/>
    </row>
    <row r="229" spans="1:31" ht="86.95">
      <c r="A229" s="91" t="s">
        <v>3167</v>
      </c>
      <c r="B229" s="26" t="s">
        <v>3168</v>
      </c>
      <c r="C229" s="26" t="s">
        <v>3169</v>
      </c>
      <c r="D229" s="26" t="s">
        <v>3313</v>
      </c>
      <c r="E229" s="25" t="s">
        <v>3314</v>
      </c>
      <c r="F229" s="25" t="s">
        <v>1058</v>
      </c>
      <c r="G229" s="57" t="str">
        <f>HYPERLINK("https://www.acquisition.gov/content/part-14-sealed-bidding#i1109926","FAR 14.407-4 Mistakes after award. ")</f>
        <v xml:space="preserve">FAR 14.407-4 Mistakes after award. </v>
      </c>
      <c r="H229" s="25"/>
      <c r="I229" s="109"/>
      <c r="J229" s="37" t="s">
        <v>463</v>
      </c>
      <c r="K229" s="37" t="s">
        <v>3315</v>
      </c>
      <c r="L229" s="25" t="s">
        <v>3316</v>
      </c>
      <c r="M229" s="25" t="s">
        <v>3317</v>
      </c>
      <c r="N229" s="25" t="s">
        <v>3318</v>
      </c>
      <c r="O229" s="64"/>
      <c r="P229" s="45" t="b">
        <f t="shared" si="32"/>
        <v>0</v>
      </c>
      <c r="Q229" s="45">
        <f t="shared" si="33"/>
        <v>0</v>
      </c>
      <c r="R229" s="45">
        <f t="shared" si="34"/>
        <v>0</v>
      </c>
      <c r="S229" s="24"/>
      <c r="T229" s="24"/>
      <c r="U229" s="24"/>
      <c r="V229" s="24"/>
      <c r="W229" s="24"/>
      <c r="X229" s="24"/>
      <c r="Y229" s="24"/>
      <c r="Z229" s="24"/>
      <c r="AA229" s="24"/>
      <c r="AB229" s="24"/>
      <c r="AC229" s="24"/>
      <c r="AD229" s="24"/>
      <c r="AE229" s="24"/>
    </row>
    <row r="230" spans="1:31" ht="130.44999999999999">
      <c r="A230" s="91" t="s">
        <v>3167</v>
      </c>
      <c r="B230" s="26" t="s">
        <v>3168</v>
      </c>
      <c r="C230" s="26" t="s">
        <v>3169</v>
      </c>
      <c r="D230" s="26" t="s">
        <v>3323</v>
      </c>
      <c r="E230" s="25" t="s">
        <v>3324</v>
      </c>
      <c r="F230" s="25" t="s">
        <v>3325</v>
      </c>
      <c r="G230" s="57" t="str">
        <f>HYPERLINK("https://www.acquisition.gov/content/part-14-sealed-bidding#i1109926","FAR 14.407-4(e) Mistakes after award.")</f>
        <v>FAR 14.407-4(e) Mistakes after award.</v>
      </c>
      <c r="H230" s="25"/>
      <c r="I230" s="109"/>
      <c r="J230" s="37" t="s">
        <v>463</v>
      </c>
      <c r="K230" s="37" t="s">
        <v>3332</v>
      </c>
      <c r="L230" s="25" t="s">
        <v>3333</v>
      </c>
      <c r="M230" s="25" t="s">
        <v>3334</v>
      </c>
      <c r="N230" s="25" t="s">
        <v>3335</v>
      </c>
      <c r="O230" s="64"/>
      <c r="P230" s="45" t="b">
        <f t="shared" si="32"/>
        <v>0</v>
      </c>
      <c r="Q230" s="45">
        <f t="shared" si="33"/>
        <v>0</v>
      </c>
      <c r="R230" s="45">
        <f t="shared" si="34"/>
        <v>0</v>
      </c>
      <c r="S230" s="24"/>
      <c r="T230" s="24"/>
      <c r="U230" s="24"/>
      <c r="V230" s="24"/>
      <c r="W230" s="24"/>
      <c r="X230" s="24"/>
      <c r="Y230" s="24"/>
      <c r="Z230" s="24"/>
      <c r="AA230" s="24"/>
      <c r="AB230" s="24"/>
      <c r="AC230" s="24"/>
      <c r="AD230" s="24"/>
      <c r="AE230" s="24"/>
    </row>
    <row r="231" spans="1:31" ht="206.5">
      <c r="A231" s="91" t="s">
        <v>3167</v>
      </c>
      <c r="B231" s="26" t="s">
        <v>3168</v>
      </c>
      <c r="C231" s="26" t="s">
        <v>3169</v>
      </c>
      <c r="D231" s="26" t="s">
        <v>3339</v>
      </c>
      <c r="E231" s="25" t="s">
        <v>3340</v>
      </c>
      <c r="F231" s="25" t="s">
        <v>3341</v>
      </c>
      <c r="G231" s="57" t="str">
        <f>HYPERLINK("https://www.acquisition.gov/content/part-16-types-contracts#i1104008","FAR 16.505(a)(7) General {ordering].")</f>
        <v>FAR 16.505(a)(7) General {ordering].</v>
      </c>
      <c r="H231" s="25"/>
      <c r="I231" s="109" t="s">
        <v>2581</v>
      </c>
      <c r="J231" s="37" t="s">
        <v>1473</v>
      </c>
      <c r="K231" s="37" t="s">
        <v>3361</v>
      </c>
      <c r="L231" s="25" t="s">
        <v>3362</v>
      </c>
      <c r="M231" s="25" t="s">
        <v>3366</v>
      </c>
      <c r="N231" s="25" t="s">
        <v>3367</v>
      </c>
      <c r="O231" s="64"/>
      <c r="P231" s="45" t="b">
        <f t="shared" si="32"/>
        <v>0</v>
      </c>
      <c r="Q231" s="45">
        <f t="shared" si="33"/>
        <v>3</v>
      </c>
      <c r="R231" s="45">
        <f t="shared" si="34"/>
        <v>0</v>
      </c>
      <c r="S231" s="24"/>
      <c r="T231" s="24"/>
      <c r="U231" s="24"/>
      <c r="V231" s="24"/>
      <c r="W231" s="24"/>
      <c r="X231" s="24"/>
      <c r="Y231" s="24"/>
      <c r="Z231" s="24"/>
      <c r="AA231" s="24"/>
      <c r="AB231" s="24"/>
      <c r="AC231" s="24"/>
      <c r="AD231" s="24"/>
      <c r="AE231" s="24"/>
    </row>
    <row r="232" spans="1:31" ht="97.85">
      <c r="A232" s="91" t="s">
        <v>3167</v>
      </c>
      <c r="B232" s="26" t="s">
        <v>3168</v>
      </c>
      <c r="C232" s="26" t="s">
        <v>3169</v>
      </c>
      <c r="D232" s="26" t="s">
        <v>3418</v>
      </c>
      <c r="E232" s="25" t="s">
        <v>3419</v>
      </c>
      <c r="F232" s="25" t="s">
        <v>3341</v>
      </c>
      <c r="G232" s="57" t="str">
        <f>HYPERLINK("https://www.acquisition.gov/content/part-16-types-contracts#i1104008","FAR 16.505(a)(6) General [ordering].")</f>
        <v>FAR 16.505(a)(6) General [ordering].</v>
      </c>
      <c r="H232" s="25"/>
      <c r="I232" s="109" t="s">
        <v>2581</v>
      </c>
      <c r="J232" s="37" t="s">
        <v>1473</v>
      </c>
      <c r="K232" s="37" t="s">
        <v>3420</v>
      </c>
      <c r="L232" s="25" t="s">
        <v>3421</v>
      </c>
      <c r="M232" s="25" t="s">
        <v>3422</v>
      </c>
      <c r="N232" s="25" t="s">
        <v>3423</v>
      </c>
      <c r="O232" s="64"/>
      <c r="P232" s="45" t="b">
        <f t="shared" si="32"/>
        <v>0</v>
      </c>
      <c r="Q232" s="45">
        <f t="shared" si="33"/>
        <v>3</v>
      </c>
      <c r="R232" s="45">
        <f t="shared" si="34"/>
        <v>0</v>
      </c>
      <c r="S232" s="24"/>
      <c r="T232" s="24"/>
      <c r="U232" s="24"/>
      <c r="V232" s="24"/>
      <c r="W232" s="24"/>
      <c r="X232" s="24"/>
      <c r="Y232" s="24"/>
      <c r="Z232" s="24"/>
      <c r="AA232" s="24"/>
      <c r="AB232" s="24"/>
      <c r="AC232" s="24"/>
      <c r="AD232" s="24"/>
      <c r="AE232" s="24"/>
    </row>
    <row r="233" spans="1:31" ht="206.5">
      <c r="A233" s="91" t="s">
        <v>3167</v>
      </c>
      <c r="B233" s="26" t="s">
        <v>3168</v>
      </c>
      <c r="C233" s="26" t="s">
        <v>3169</v>
      </c>
      <c r="D233" s="66" t="s">
        <v>3430</v>
      </c>
      <c r="E233" s="25" t="s">
        <v>3431</v>
      </c>
      <c r="F233" s="25" t="s">
        <v>3432</v>
      </c>
      <c r="G233" s="57" t="str">
        <f>HYPERLINK("https://www.acquisition.gov/browse/index/far","FAR 1.602-1 Authority [contracting officer]. FAR 15.305(b) Proposal evaluation [source selection]. FAR 15.308 Source selection decision. ")</f>
        <v xml:space="preserve">FAR 1.602-1 Authority [contracting officer]. FAR 15.305(b) Proposal evaluation [source selection]. FAR 15.308 Source selection decision. </v>
      </c>
      <c r="H233" s="57" t="str">
        <f>HYPERLINK("https://www.acquisition.gov/sites/default/files/current/gsam/html/Part515.html#wp1871216","GSAR 515.305")</f>
        <v>GSAR 515.305</v>
      </c>
      <c r="I233" s="109" t="s">
        <v>3438</v>
      </c>
      <c r="J233" s="37" t="s">
        <v>919</v>
      </c>
      <c r="K233" s="37" t="s">
        <v>3439</v>
      </c>
      <c r="L233" s="127" t="s">
        <v>3440</v>
      </c>
      <c r="M233" s="25" t="s">
        <v>3441</v>
      </c>
      <c r="N233" s="25" t="s">
        <v>2702</v>
      </c>
      <c r="O233" s="64"/>
      <c r="P233" s="45" t="b">
        <f t="shared" si="32"/>
        <v>0</v>
      </c>
      <c r="Q233" s="45">
        <f t="shared" si="33"/>
        <v>3</v>
      </c>
      <c r="R233" s="45">
        <f t="shared" si="34"/>
        <v>0</v>
      </c>
      <c r="S233" s="24"/>
      <c r="T233" s="24"/>
      <c r="U233" s="24"/>
      <c r="V233" s="24"/>
      <c r="W233" s="24"/>
      <c r="X233" s="24"/>
      <c r="Y233" s="24"/>
      <c r="Z233" s="24"/>
      <c r="AA233" s="24"/>
      <c r="AB233" s="24"/>
      <c r="AC233" s="24"/>
      <c r="AD233" s="24"/>
      <c r="AE233" s="24"/>
    </row>
    <row r="234" spans="1:31" ht="336.9">
      <c r="A234" s="134" t="s">
        <v>3167</v>
      </c>
      <c r="B234" s="26" t="s">
        <v>3168</v>
      </c>
      <c r="C234" s="26" t="s">
        <v>3169</v>
      </c>
      <c r="D234" s="66" t="s">
        <v>3447</v>
      </c>
      <c r="E234" s="25" t="s">
        <v>3448</v>
      </c>
      <c r="F234" s="25" t="s">
        <v>3449</v>
      </c>
      <c r="G234" s="57" t="str">
        <f>HYPERLINK("https://www.acquisition.gov/content/part-15-contracting-negotiation#i1105731","FAR 15.504 Award to successful offeror")</f>
        <v>FAR 15.504 Award to successful offeror</v>
      </c>
      <c r="I234" s="109" t="s">
        <v>2581</v>
      </c>
      <c r="J234" s="37" t="s">
        <v>1473</v>
      </c>
      <c r="K234" s="75" t="s">
        <v>2582</v>
      </c>
      <c r="L234" s="25" t="s">
        <v>2583</v>
      </c>
      <c r="M234" s="25" t="s">
        <v>2584</v>
      </c>
      <c r="N234" s="25" t="s">
        <v>2585</v>
      </c>
      <c r="O234" s="64"/>
      <c r="P234" s="45" t="b">
        <f t="shared" si="32"/>
        <v>0</v>
      </c>
      <c r="Q234" s="45">
        <f t="shared" si="33"/>
        <v>3</v>
      </c>
      <c r="R234" s="45">
        <f t="shared" si="34"/>
        <v>0</v>
      </c>
      <c r="S234" s="24"/>
      <c r="T234" s="24"/>
      <c r="U234" s="24"/>
      <c r="V234" s="24"/>
      <c r="W234" s="24"/>
      <c r="X234" s="24"/>
      <c r="Y234" s="24"/>
      <c r="Z234" s="24"/>
      <c r="AA234" s="24"/>
      <c r="AB234" s="24"/>
      <c r="AC234" s="24"/>
      <c r="AD234" s="24"/>
      <c r="AE234" s="24"/>
    </row>
    <row r="235" spans="1:31" ht="97.85">
      <c r="A235" s="91" t="s">
        <v>3167</v>
      </c>
      <c r="B235" s="26" t="s">
        <v>3168</v>
      </c>
      <c r="C235" s="26" t="s">
        <v>3169</v>
      </c>
      <c r="D235" s="66" t="s">
        <v>3465</v>
      </c>
      <c r="E235" s="25" t="s">
        <v>3466</v>
      </c>
      <c r="F235" s="25" t="s">
        <v>3468</v>
      </c>
      <c r="G235" s="57" t="str">
        <f>HYPERLINK("https://www.acquisition.gov/content/part-32-contract-financing#i1081624","FAR 32.7 Contract funding.")</f>
        <v>FAR 32.7 Contract funding.</v>
      </c>
      <c r="H235" s="57" t="str">
        <f>HYPERLINK("https://www.acquisition.gov/sites/default/files/current/gsam/html/Part532.html#wp1858172","GSAR 532.7")</f>
        <v>GSAR 532.7</v>
      </c>
      <c r="I235" s="109" t="s">
        <v>3476</v>
      </c>
      <c r="J235" s="37" t="s">
        <v>1473</v>
      </c>
      <c r="K235" s="37" t="s">
        <v>3477</v>
      </c>
      <c r="L235" s="25" t="s">
        <v>3478</v>
      </c>
      <c r="M235" s="25" t="s">
        <v>3479</v>
      </c>
      <c r="N235" s="25" t="s">
        <v>3480</v>
      </c>
      <c r="O235" s="64"/>
      <c r="P235" s="45" t="b">
        <f t="shared" si="32"/>
        <v>0</v>
      </c>
      <c r="Q235" s="45">
        <f t="shared" si="33"/>
        <v>3</v>
      </c>
      <c r="R235" s="45">
        <f t="shared" si="34"/>
        <v>0</v>
      </c>
      <c r="S235" s="24"/>
      <c r="T235" s="24"/>
      <c r="U235" s="24"/>
      <c r="V235" s="24"/>
      <c r="W235" s="24"/>
      <c r="X235" s="24"/>
      <c r="Y235" s="24"/>
      <c r="Z235" s="24"/>
      <c r="AA235" s="24"/>
      <c r="AB235" s="24"/>
      <c r="AC235" s="24"/>
      <c r="AD235" s="24"/>
      <c r="AE235" s="24"/>
    </row>
    <row r="236" spans="1:31" ht="336.9">
      <c r="A236" s="91" t="s">
        <v>3167</v>
      </c>
      <c r="B236" s="26" t="s">
        <v>3168</v>
      </c>
      <c r="C236" s="26" t="s">
        <v>3169</v>
      </c>
      <c r="D236" s="66" t="s">
        <v>3482</v>
      </c>
      <c r="E236" s="25" t="s">
        <v>3483</v>
      </c>
      <c r="F236" s="25" t="s">
        <v>3484</v>
      </c>
      <c r="G236" s="57" t="str">
        <f>HYPERLINK("https://www.acquisition.gov/content/part-15-contracting-negotiation#i1105731","FAR 15.504(c) Award to successful offeror. FAR 36.701(a) Standard Form 1442 [standard and optional forms for use in contracting for construction or dismantling, demolition, or removal of improvements.")</f>
        <v>FAR 15.504(c) Award to successful offeror. FAR 36.701(a) Standard Form 1442 [standard and optional forms for use in contracting for construction or dismantling, demolition, or removal of improvements.</v>
      </c>
      <c r="H236" s="25"/>
      <c r="I236" s="34" t="s">
        <v>2581</v>
      </c>
      <c r="J236" s="37" t="s">
        <v>1473</v>
      </c>
      <c r="K236" s="75" t="s">
        <v>2582</v>
      </c>
      <c r="L236" s="25" t="s">
        <v>2583</v>
      </c>
      <c r="M236" s="25" t="s">
        <v>2584</v>
      </c>
      <c r="N236" s="25" t="s">
        <v>2585</v>
      </c>
      <c r="O236" s="64"/>
      <c r="P236" s="45" t="b">
        <f t="shared" si="32"/>
        <v>0</v>
      </c>
      <c r="Q236" s="45">
        <f t="shared" si="33"/>
        <v>3</v>
      </c>
      <c r="R236" s="45">
        <f t="shared" si="34"/>
        <v>0</v>
      </c>
      <c r="S236" s="24"/>
      <c r="T236" s="24"/>
      <c r="U236" s="24"/>
      <c r="V236" s="24"/>
      <c r="W236" s="24"/>
      <c r="X236" s="24"/>
      <c r="Y236" s="24"/>
      <c r="Z236" s="24"/>
      <c r="AA236" s="24"/>
      <c r="AB236" s="24"/>
      <c r="AC236" s="24"/>
      <c r="AD236" s="24"/>
      <c r="AE236" s="24"/>
    </row>
    <row r="237" spans="1:31" ht="86.95">
      <c r="A237" s="91" t="s">
        <v>3167</v>
      </c>
      <c r="B237" s="26" t="s">
        <v>3168</v>
      </c>
      <c r="C237" s="26" t="s">
        <v>3169</v>
      </c>
      <c r="D237" s="66" t="s">
        <v>3501</v>
      </c>
      <c r="E237" s="25" t="s">
        <v>3502</v>
      </c>
      <c r="F237" s="25" t="s">
        <v>1756</v>
      </c>
      <c r="G237" s="57" t="str">
        <f>HYPERLINK("https://www.acquisition.gov/sites/default/files/current/far/html/Subpart%205_3.html#wp1083933","FAR 5.301 General [synopses of contract awards]. ")</f>
        <v xml:space="preserve">FAR 5.301 General [synopses of contract awards]. </v>
      </c>
      <c r="H237" s="25"/>
      <c r="I237" s="109" t="s">
        <v>3271</v>
      </c>
      <c r="J237" s="37" t="s">
        <v>919</v>
      </c>
      <c r="K237" s="75" t="s">
        <v>3095</v>
      </c>
      <c r="L237" s="25" t="s">
        <v>3272</v>
      </c>
      <c r="M237" s="25" t="s">
        <v>3097</v>
      </c>
      <c r="N237" s="25" t="s">
        <v>3098</v>
      </c>
      <c r="O237" s="64"/>
      <c r="P237" s="45" t="b">
        <f t="shared" si="32"/>
        <v>0</v>
      </c>
      <c r="Q237" s="45">
        <f t="shared" si="33"/>
        <v>3</v>
      </c>
      <c r="R237" s="45">
        <f t="shared" si="34"/>
        <v>0</v>
      </c>
      <c r="S237" s="24"/>
      <c r="T237" s="24"/>
      <c r="U237" s="24"/>
      <c r="V237" s="24"/>
      <c r="W237" s="24"/>
      <c r="X237" s="24"/>
      <c r="Y237" s="24"/>
      <c r="Z237" s="24"/>
      <c r="AA237" s="24"/>
      <c r="AB237" s="24"/>
      <c r="AC237" s="24"/>
      <c r="AD237" s="24"/>
      <c r="AE237" s="24"/>
    </row>
    <row r="238" spans="1:31" ht="97.85">
      <c r="A238" s="91" t="s">
        <v>3167</v>
      </c>
      <c r="B238" s="26" t="s">
        <v>3168</v>
      </c>
      <c r="C238" s="26" t="s">
        <v>3169</v>
      </c>
      <c r="D238" s="26" t="s">
        <v>3520</v>
      </c>
      <c r="E238" s="25" t="s">
        <v>3521</v>
      </c>
      <c r="F238" s="25" t="s">
        <v>1756</v>
      </c>
      <c r="G238" s="57" t="str">
        <f>HYPERLINK("https://www.acquisition.gov/sites/default/files/current/far/html/Subpart%205_2.html#wp1107981","FAR 5.201 General [proposed contract actions].")</f>
        <v>FAR 5.201 General [proposed contract actions].</v>
      </c>
      <c r="H238" s="25"/>
      <c r="I238" s="109" t="s">
        <v>3271</v>
      </c>
      <c r="J238" s="37" t="s">
        <v>919</v>
      </c>
      <c r="K238" s="75" t="s">
        <v>3095</v>
      </c>
      <c r="L238" s="25" t="s">
        <v>3272</v>
      </c>
      <c r="M238" s="25" t="s">
        <v>3097</v>
      </c>
      <c r="N238" s="25" t="s">
        <v>3098</v>
      </c>
      <c r="O238" s="64"/>
      <c r="P238" s="45" t="b">
        <f t="shared" si="32"/>
        <v>0</v>
      </c>
      <c r="Q238" s="45">
        <f t="shared" si="33"/>
        <v>3</v>
      </c>
      <c r="R238" s="45">
        <f t="shared" si="34"/>
        <v>0</v>
      </c>
      <c r="S238" s="24"/>
      <c r="T238" s="24"/>
      <c r="U238" s="24"/>
      <c r="V238" s="24"/>
      <c r="W238" s="24"/>
      <c r="X238" s="24"/>
      <c r="Y238" s="24"/>
      <c r="Z238" s="24"/>
      <c r="AA238" s="24"/>
      <c r="AB238" s="24"/>
      <c r="AC238" s="24"/>
      <c r="AD238" s="24"/>
      <c r="AE238" s="24"/>
    </row>
    <row r="239" spans="1:31" ht="4.5999999999999996" customHeight="1">
      <c r="A239" s="55"/>
      <c r="B239" s="55"/>
      <c r="C239" s="56"/>
      <c r="D239" s="56"/>
      <c r="E239" s="55"/>
      <c r="F239" s="55"/>
      <c r="G239" s="72"/>
      <c r="H239" s="72"/>
      <c r="I239" s="63"/>
      <c r="J239" s="63"/>
      <c r="K239" s="63"/>
      <c r="L239" s="63"/>
      <c r="M239" s="63"/>
      <c r="N239" s="63"/>
      <c r="O239" s="64"/>
      <c r="P239" s="45"/>
      <c r="Q239" s="45"/>
      <c r="R239" s="45"/>
      <c r="S239" s="24"/>
      <c r="T239" s="24"/>
      <c r="U239" s="24"/>
      <c r="V239" s="24"/>
      <c r="W239" s="24"/>
      <c r="X239" s="24"/>
      <c r="Y239" s="24"/>
      <c r="Z239" s="24"/>
      <c r="AA239" s="24"/>
      <c r="AB239" s="24"/>
      <c r="AC239" s="24"/>
      <c r="AD239" s="24"/>
      <c r="AE239" s="24"/>
    </row>
    <row r="240" spans="1:31" ht="141.30000000000001">
      <c r="A240" s="91" t="s">
        <v>3537</v>
      </c>
      <c r="B240" s="26" t="s">
        <v>3538</v>
      </c>
      <c r="C240" s="26" t="s">
        <v>3539</v>
      </c>
      <c r="D240" s="26" t="s">
        <v>3540</v>
      </c>
      <c r="E240" s="85" t="s">
        <v>3541</v>
      </c>
      <c r="F240" s="85" t="s">
        <v>3542</v>
      </c>
      <c r="G240" s="86" t="str">
        <f>HYPERLINK("https://www.acquisition.gov/content/part-33-protests-disputes-and-appeals#i1080399","FAR 8.404(e) [Protests]. ")</f>
        <v xml:space="preserve">FAR 8.404(e) [Protests]. </v>
      </c>
      <c r="H240" s="25"/>
      <c r="I240" s="109" t="s">
        <v>3551</v>
      </c>
      <c r="J240" s="37" t="s">
        <v>1473</v>
      </c>
      <c r="K240" s="37" t="s">
        <v>3552</v>
      </c>
      <c r="L240" s="25" t="s">
        <v>3553</v>
      </c>
      <c r="M240" s="25" t="s">
        <v>3555</v>
      </c>
      <c r="N240" s="25" t="s">
        <v>3557</v>
      </c>
      <c r="O240" s="64"/>
      <c r="P240" s="45" t="b">
        <f t="shared" ref="P240:P312" si="36">IF(AND(O240="Meet the requirements traceability “out of the box”"), 10, IF(AND(O240="Can meet the requirements traceability with configuration or through the use of another commercial product “out of the box” or other arrangement as part of the service offering quoted (i.e. at no additional cost)"), 8, IF(AND(O240="Can meet the requirements traceability with customization at additional cost"), 3, IF(AND(O240="Cannot meet the requirements traceability requirement"), 0))))</f>
        <v>0</v>
      </c>
      <c r="Q240" s="45">
        <f t="shared" ref="Q240:Q292" si="37">IF(J240="Unidentified",0,3)</f>
        <v>3</v>
      </c>
      <c r="R240" s="45">
        <f t="shared" ref="R240:R312" si="38">IF(P240=FALSE,0,IF(P240&gt;4,(P240+Q240),P240))</f>
        <v>0</v>
      </c>
      <c r="S240" s="24"/>
      <c r="T240" s="24"/>
      <c r="U240" s="24"/>
      <c r="V240" s="24"/>
      <c r="W240" s="24"/>
      <c r="X240" s="24"/>
      <c r="Y240" s="24"/>
      <c r="Z240" s="24"/>
      <c r="AA240" s="24"/>
      <c r="AB240" s="24"/>
      <c r="AC240" s="24"/>
      <c r="AD240" s="24"/>
      <c r="AE240" s="24"/>
    </row>
    <row r="241" spans="1:31" ht="152.15">
      <c r="A241" s="91" t="s">
        <v>3537</v>
      </c>
      <c r="B241" s="26" t="s">
        <v>3538</v>
      </c>
      <c r="C241" s="26" t="s">
        <v>3539</v>
      </c>
      <c r="D241" s="26" t="s">
        <v>3579</v>
      </c>
      <c r="E241" s="85" t="s">
        <v>3581</v>
      </c>
      <c r="F241" s="85" t="s">
        <v>1710</v>
      </c>
      <c r="G241" s="86" t="str">
        <f t="shared" ref="G241:G242" si="39">HYPERLINK("https://www.acquisition.gov/content/part-8-required-sources-supplies-and-services#i1117528","FAR 8.405-2(d) Evaluation [ordering procedures for services requiring a statement of work]. FAR 8.405-3(b)(3) Competitive procedures for establishing a BPA. ")</f>
        <v xml:space="preserve">FAR 8.405-2(d) Evaluation [ordering procedures for services requiring a statement of work]. FAR 8.405-3(b)(3) Competitive procedures for establishing a BPA. </v>
      </c>
      <c r="H241" s="25"/>
      <c r="I241" s="109" t="s">
        <v>3595</v>
      </c>
      <c r="J241" s="37" t="s">
        <v>1473</v>
      </c>
      <c r="K241" s="37" t="s">
        <v>3596</v>
      </c>
      <c r="L241" s="25" t="s">
        <v>3597</v>
      </c>
      <c r="M241" s="25" t="s">
        <v>3598</v>
      </c>
      <c r="N241" s="25" t="s">
        <v>3599</v>
      </c>
      <c r="O241" s="64"/>
      <c r="P241" s="45" t="b">
        <f t="shared" si="36"/>
        <v>0</v>
      </c>
      <c r="Q241" s="45">
        <f t="shared" si="37"/>
        <v>3</v>
      </c>
      <c r="R241" s="45">
        <f t="shared" si="38"/>
        <v>0</v>
      </c>
      <c r="S241" s="24"/>
      <c r="T241" s="24"/>
      <c r="U241" s="24"/>
      <c r="V241" s="24"/>
      <c r="W241" s="24"/>
      <c r="X241" s="24"/>
      <c r="Y241" s="24"/>
      <c r="Z241" s="24"/>
      <c r="AA241" s="24"/>
      <c r="AB241" s="24"/>
      <c r="AC241" s="24"/>
      <c r="AD241" s="24"/>
      <c r="AE241" s="24"/>
    </row>
    <row r="242" spans="1:31" ht="152.15">
      <c r="A242" s="91" t="s">
        <v>3537</v>
      </c>
      <c r="B242" s="26" t="s">
        <v>3538</v>
      </c>
      <c r="C242" s="26" t="s">
        <v>3539</v>
      </c>
      <c r="D242" s="26" t="s">
        <v>3604</v>
      </c>
      <c r="E242" s="85" t="s">
        <v>3605</v>
      </c>
      <c r="F242" s="85" t="s">
        <v>3606</v>
      </c>
      <c r="G242" s="86" t="str">
        <f t="shared" si="39"/>
        <v xml:space="preserve">FAR 8.405-2(d) Evaluation [ordering procedures for services requiring a statement of work]. FAR 8.405-3(b)(3) Competitive procedures for establishing a BPA. </v>
      </c>
      <c r="H242" s="25"/>
      <c r="I242" s="109" t="s">
        <v>3595</v>
      </c>
      <c r="J242" s="37" t="s">
        <v>1473</v>
      </c>
      <c r="K242" s="37" t="s">
        <v>3613</v>
      </c>
      <c r="L242" s="25" t="s">
        <v>3616</v>
      </c>
      <c r="M242" s="25" t="s">
        <v>3618</v>
      </c>
      <c r="N242" s="25" t="s">
        <v>3619</v>
      </c>
      <c r="O242" s="64"/>
      <c r="P242" s="45" t="b">
        <f t="shared" si="36"/>
        <v>0</v>
      </c>
      <c r="Q242" s="45">
        <f t="shared" si="37"/>
        <v>3</v>
      </c>
      <c r="R242" s="45">
        <f t="shared" si="38"/>
        <v>0</v>
      </c>
      <c r="S242" s="24"/>
      <c r="T242" s="24"/>
      <c r="U242" s="24"/>
      <c r="V242" s="24"/>
      <c r="W242" s="24"/>
      <c r="X242" s="24"/>
      <c r="Y242" s="24"/>
      <c r="Z242" s="24"/>
      <c r="AA242" s="24"/>
      <c r="AB242" s="24"/>
      <c r="AC242" s="24"/>
      <c r="AD242" s="24"/>
      <c r="AE242" s="24"/>
    </row>
    <row r="243" spans="1:31" ht="141.30000000000001">
      <c r="A243" s="91" t="s">
        <v>3537</v>
      </c>
      <c r="B243" s="26" t="s">
        <v>3538</v>
      </c>
      <c r="C243" s="26" t="s">
        <v>3539</v>
      </c>
      <c r="D243" s="26" t="s">
        <v>3620</v>
      </c>
      <c r="E243" s="85" t="s">
        <v>3621</v>
      </c>
      <c r="F243" s="85" t="s">
        <v>3542</v>
      </c>
      <c r="G243" s="86" t="str">
        <f>HYPERLINK("https://www.acquisition.gov/content/part-33-protests-disputes-and-appeals#i1080399","FAR 8.404(e) [Protests]. ")</f>
        <v xml:space="preserve">FAR 8.404(e) [Protests]. </v>
      </c>
      <c r="H243" s="25"/>
      <c r="I243" s="109" t="s">
        <v>3551</v>
      </c>
      <c r="J243" s="37" t="s">
        <v>1473</v>
      </c>
      <c r="K243" s="75" t="s">
        <v>3552</v>
      </c>
      <c r="L243" s="25" t="s">
        <v>3553</v>
      </c>
      <c r="M243" s="25" t="s">
        <v>3555</v>
      </c>
      <c r="N243" s="25" t="s">
        <v>3629</v>
      </c>
      <c r="O243" s="64"/>
      <c r="P243" s="45" t="b">
        <f t="shared" si="36"/>
        <v>0</v>
      </c>
      <c r="Q243" s="45">
        <f t="shared" si="37"/>
        <v>3</v>
      </c>
      <c r="R243" s="45">
        <f t="shared" si="38"/>
        <v>0</v>
      </c>
      <c r="S243" s="24"/>
      <c r="T243" s="24"/>
      <c r="U243" s="24"/>
      <c r="V243" s="24"/>
      <c r="W243" s="24"/>
      <c r="X243" s="24"/>
      <c r="Y243" s="24"/>
      <c r="Z243" s="24"/>
      <c r="AA243" s="24"/>
      <c r="AB243" s="24"/>
      <c r="AC243" s="24"/>
      <c r="AD243" s="24"/>
      <c r="AE243" s="24"/>
    </row>
    <row r="244" spans="1:31" ht="152.15">
      <c r="A244" s="91" t="s">
        <v>3537</v>
      </c>
      <c r="B244" s="26" t="s">
        <v>3538</v>
      </c>
      <c r="C244" s="26" t="s">
        <v>3539</v>
      </c>
      <c r="D244" s="26" t="s">
        <v>3633</v>
      </c>
      <c r="E244" s="25" t="s">
        <v>3634</v>
      </c>
      <c r="F244" s="25" t="s">
        <v>3635</v>
      </c>
      <c r="G244" s="57" t="str">
        <f>HYPERLINK("https://www.acquisition.gov/content/part-13-simplified-acquisition-procedures#i1112373","FAR 13.106-3(c) Notification [award and documentation]. ")</f>
        <v xml:space="preserve">FAR 13.106-3(c) Notification [award and documentation]. </v>
      </c>
      <c r="H244" s="57" t="str">
        <f>HYPERLINK("https://www.acquisition.gov/sites/default/files/current/gsam/html/Part513.html#wp1859369","GSAR 513.106-3")</f>
        <v>GSAR 513.106-3</v>
      </c>
      <c r="I244" s="109" t="s">
        <v>3595</v>
      </c>
      <c r="J244" s="37" t="s">
        <v>1473</v>
      </c>
      <c r="K244" s="75" t="s">
        <v>3596</v>
      </c>
      <c r="L244" s="25" t="s">
        <v>3597</v>
      </c>
      <c r="M244" s="25" t="s">
        <v>3598</v>
      </c>
      <c r="N244" s="25" t="s">
        <v>3599</v>
      </c>
      <c r="O244" s="64"/>
      <c r="P244" s="45" t="b">
        <f t="shared" si="36"/>
        <v>0</v>
      </c>
      <c r="Q244" s="45">
        <f t="shared" si="37"/>
        <v>3</v>
      </c>
      <c r="R244" s="45">
        <f t="shared" si="38"/>
        <v>0</v>
      </c>
      <c r="S244" s="24"/>
      <c r="T244" s="24"/>
      <c r="U244" s="24"/>
      <c r="V244" s="24"/>
      <c r="W244" s="24"/>
      <c r="X244" s="24"/>
      <c r="Y244" s="24"/>
      <c r="Z244" s="24"/>
      <c r="AA244" s="24"/>
      <c r="AB244" s="24"/>
      <c r="AC244" s="24"/>
      <c r="AD244" s="24"/>
      <c r="AE244" s="24"/>
    </row>
    <row r="245" spans="1:31" ht="152.15">
      <c r="A245" s="91" t="s">
        <v>3537</v>
      </c>
      <c r="B245" s="26" t="s">
        <v>3538</v>
      </c>
      <c r="C245" s="26" t="s">
        <v>3539</v>
      </c>
      <c r="D245" s="26" t="s">
        <v>3647</v>
      </c>
      <c r="E245" s="25" t="s">
        <v>3649</v>
      </c>
      <c r="F245" s="25" t="s">
        <v>3606</v>
      </c>
      <c r="G245" s="57" t="str">
        <f>HYPERLINK("https://www.acquisition.gov/content/part-13-simplified-acquisition-procedures#i1112373","FAR 13.106-3(d) Request for information [award and documentation]. ")</f>
        <v xml:space="preserve">FAR 13.106-3(d) Request for information [award and documentation]. </v>
      </c>
      <c r="H245" s="25"/>
      <c r="I245" s="109" t="s">
        <v>3595</v>
      </c>
      <c r="J245" s="37" t="s">
        <v>1473</v>
      </c>
      <c r="K245" s="75" t="s">
        <v>3613</v>
      </c>
      <c r="L245" s="25" t="s">
        <v>3616</v>
      </c>
      <c r="M245" s="25" t="s">
        <v>3618</v>
      </c>
      <c r="N245" s="25" t="s">
        <v>3619</v>
      </c>
      <c r="O245" s="64"/>
      <c r="P245" s="45" t="b">
        <f t="shared" si="36"/>
        <v>0</v>
      </c>
      <c r="Q245" s="45">
        <f t="shared" si="37"/>
        <v>3</v>
      </c>
      <c r="R245" s="45">
        <f t="shared" si="38"/>
        <v>0</v>
      </c>
      <c r="S245" s="24"/>
      <c r="T245" s="24"/>
      <c r="U245" s="24"/>
      <c r="V245" s="24"/>
      <c r="W245" s="24"/>
      <c r="X245" s="24"/>
      <c r="Y245" s="24"/>
      <c r="Z245" s="24"/>
      <c r="AA245" s="24"/>
      <c r="AB245" s="24"/>
      <c r="AC245" s="24"/>
      <c r="AD245" s="24"/>
      <c r="AE245" s="24"/>
    </row>
    <row r="246" spans="1:31" ht="152.15">
      <c r="A246" s="91" t="s">
        <v>3537</v>
      </c>
      <c r="B246" s="26" t="s">
        <v>3538</v>
      </c>
      <c r="C246" s="26" t="s">
        <v>3539</v>
      </c>
      <c r="D246" s="26" t="s">
        <v>3664</v>
      </c>
      <c r="E246" s="25" t="s">
        <v>3665</v>
      </c>
      <c r="F246" s="25" t="s">
        <v>3666</v>
      </c>
      <c r="G246" s="57" t="str">
        <f>HYPERLINK("https://www.acquisition.gov/content/part-14-sealed-bidding#i1110082","FAR 14.409-1 Award of unclassified contracts. ")</f>
        <v xml:space="preserve">FAR 14.409-1 Award of unclassified contracts. </v>
      </c>
      <c r="H246" s="25"/>
      <c r="I246" s="109" t="s">
        <v>3595</v>
      </c>
      <c r="J246" s="37" t="s">
        <v>1473</v>
      </c>
      <c r="K246" s="75" t="s">
        <v>3596</v>
      </c>
      <c r="L246" s="25" t="s">
        <v>3597</v>
      </c>
      <c r="M246" s="25" t="s">
        <v>3598</v>
      </c>
      <c r="N246" s="25" t="s">
        <v>3599</v>
      </c>
      <c r="O246" s="64"/>
      <c r="P246" s="45" t="b">
        <f t="shared" si="36"/>
        <v>0</v>
      </c>
      <c r="Q246" s="45">
        <f t="shared" si="37"/>
        <v>3</v>
      </c>
      <c r="R246" s="45">
        <f t="shared" si="38"/>
        <v>0</v>
      </c>
      <c r="S246" s="24"/>
      <c r="T246" s="24"/>
      <c r="U246" s="24"/>
      <c r="V246" s="24"/>
      <c r="W246" s="24"/>
      <c r="X246" s="24"/>
      <c r="Y246" s="24"/>
      <c r="Z246" s="24"/>
      <c r="AA246" s="24"/>
      <c r="AB246" s="24"/>
      <c r="AC246" s="24"/>
      <c r="AD246" s="24"/>
      <c r="AE246" s="24"/>
    </row>
    <row r="247" spans="1:31" ht="141.30000000000001">
      <c r="A247" s="91" t="s">
        <v>3537</v>
      </c>
      <c r="B247" s="26" t="s">
        <v>3538</v>
      </c>
      <c r="C247" s="26" t="s">
        <v>3539</v>
      </c>
      <c r="D247" s="26" t="s">
        <v>3678</v>
      </c>
      <c r="E247" s="25" t="s">
        <v>3679</v>
      </c>
      <c r="F247" s="25" t="s">
        <v>3542</v>
      </c>
      <c r="G247" s="57" t="str">
        <f>HYPERLINK("https://www.acquisition.gov/content/part-33-protests-disputes-and-appeals#i1080399","FAR Part 33 Protests.")</f>
        <v>FAR Part 33 Protests.</v>
      </c>
      <c r="H247" s="57" t="str">
        <f>HYPERLINK("https://www.acquisition.gov/sites/default/files/current/gsam/html/GSAMTOC533.html#wp434840","GSAR  Part 533")</f>
        <v>GSAR  Part 533</v>
      </c>
      <c r="I247" s="109" t="s">
        <v>3551</v>
      </c>
      <c r="J247" s="37" t="s">
        <v>1473</v>
      </c>
      <c r="K247" s="75" t="s">
        <v>3552</v>
      </c>
      <c r="L247" s="25" t="s">
        <v>3553</v>
      </c>
      <c r="M247" s="25" t="s">
        <v>3555</v>
      </c>
      <c r="N247" s="25" t="s">
        <v>3557</v>
      </c>
      <c r="O247" s="64"/>
      <c r="P247" s="45" t="b">
        <f t="shared" si="36"/>
        <v>0</v>
      </c>
      <c r="Q247" s="45">
        <f t="shared" si="37"/>
        <v>3</v>
      </c>
      <c r="R247" s="45">
        <f t="shared" si="38"/>
        <v>0</v>
      </c>
      <c r="S247" s="24"/>
      <c r="T247" s="24"/>
      <c r="U247" s="24"/>
      <c r="V247" s="24"/>
      <c r="W247" s="24"/>
      <c r="X247" s="24"/>
      <c r="Y247" s="24"/>
      <c r="Z247" s="24"/>
      <c r="AA247" s="24"/>
      <c r="AB247" s="24"/>
      <c r="AC247" s="24"/>
      <c r="AD247" s="24"/>
      <c r="AE247" s="24"/>
    </row>
    <row r="248" spans="1:31" ht="141.30000000000001">
      <c r="A248" s="91" t="s">
        <v>3537</v>
      </c>
      <c r="B248" s="26" t="s">
        <v>3538</v>
      </c>
      <c r="C248" s="26" t="s">
        <v>3539</v>
      </c>
      <c r="D248" s="26" t="s">
        <v>3700</v>
      </c>
      <c r="E248" s="25" t="s">
        <v>3701</v>
      </c>
      <c r="F248" s="25" t="s">
        <v>3542</v>
      </c>
      <c r="G248" s="57" t="str">
        <f>HYPERLINK("https://www.acquisition.gov/content/part-16-types-contracts#i1104008","FAR 16.505(a)(10) General [ordering].")</f>
        <v>FAR 16.505(a)(10) General [ordering].</v>
      </c>
      <c r="H248" s="112" t="str">
        <f>HYPERLINK("https://www.acquisition.gov/sites/default/files/current/gsam/html/Part516.html#wp1859966","GSAR 516.505")</f>
        <v>GSAR 516.505</v>
      </c>
      <c r="I248" s="109" t="s">
        <v>3551</v>
      </c>
      <c r="J248" s="37" t="s">
        <v>1473</v>
      </c>
      <c r="K248" s="75" t="s">
        <v>3552</v>
      </c>
      <c r="L248" s="25" t="s">
        <v>3553</v>
      </c>
      <c r="M248" s="25" t="s">
        <v>3555</v>
      </c>
      <c r="N248" s="25" t="s">
        <v>3557</v>
      </c>
      <c r="O248" s="64"/>
      <c r="P248" s="45" t="b">
        <f t="shared" si="36"/>
        <v>0</v>
      </c>
      <c r="Q248" s="45">
        <f t="shared" si="37"/>
        <v>3</v>
      </c>
      <c r="R248" s="45">
        <f t="shared" si="38"/>
        <v>0</v>
      </c>
    </row>
    <row r="249" spans="1:31" ht="152.15">
      <c r="A249" s="91" t="s">
        <v>3537</v>
      </c>
      <c r="B249" s="26" t="s">
        <v>3538</v>
      </c>
      <c r="C249" s="26" t="s">
        <v>3539</v>
      </c>
      <c r="D249" s="26" t="s">
        <v>3715</v>
      </c>
      <c r="E249" s="25" t="s">
        <v>3718</v>
      </c>
      <c r="F249" s="25" t="s">
        <v>3720</v>
      </c>
      <c r="G249" s="57" t="str">
        <f>HYPERLINK("https://www.acquisition.gov/content/part-15-contracting-negotiation#i1105650","FAR 15.306(c)(3) Competitive range [exchanges with offerors after receipt of proposals] FAR 15.503 Notifications to unsuccessful offerors.")</f>
        <v>FAR 15.306(c)(3) Competitive range [exchanges with offerors after receipt of proposals] FAR 15.503 Notifications to unsuccessful offerors.</v>
      </c>
      <c r="H249" s="57" t="str">
        <f>HYPERLINK("https://www.acquisition.gov/sites/default/files/current/gsam/html/GSAMTOC515.html#wp434208","GSAR 515.306 and GSAR 515.503")</f>
        <v>GSAR 515.306 and GSAR 515.503</v>
      </c>
      <c r="I249" s="109" t="s">
        <v>3733</v>
      </c>
      <c r="J249" s="37" t="s">
        <v>919</v>
      </c>
      <c r="K249" s="37" t="s">
        <v>3737</v>
      </c>
      <c r="L249" s="25" t="s">
        <v>3738</v>
      </c>
      <c r="M249" s="25" t="s">
        <v>3739</v>
      </c>
      <c r="N249" s="25" t="s">
        <v>3740</v>
      </c>
      <c r="O249" s="64"/>
      <c r="P249" s="45" t="b">
        <f t="shared" si="36"/>
        <v>0</v>
      </c>
      <c r="Q249" s="45">
        <f t="shared" si="37"/>
        <v>3</v>
      </c>
      <c r="R249" s="45">
        <f t="shared" si="38"/>
        <v>0</v>
      </c>
      <c r="S249" s="24"/>
      <c r="T249" s="24"/>
      <c r="U249" s="24"/>
      <c r="V249" s="24"/>
      <c r="W249" s="24"/>
      <c r="X249" s="24"/>
      <c r="Y249" s="24"/>
      <c r="Z249" s="24"/>
      <c r="AA249" s="24"/>
      <c r="AB249" s="24"/>
      <c r="AC249" s="24"/>
      <c r="AD249" s="24"/>
      <c r="AE249" s="24"/>
    </row>
    <row r="250" spans="1:31" ht="184.75">
      <c r="A250" s="91" t="s">
        <v>3537</v>
      </c>
      <c r="B250" s="26" t="s">
        <v>3538</v>
      </c>
      <c r="C250" s="26" t="s">
        <v>3539</v>
      </c>
      <c r="D250" s="26" t="s">
        <v>3747</v>
      </c>
      <c r="E250" s="25" t="s">
        <v>3748</v>
      </c>
      <c r="F250" s="25" t="s">
        <v>3749</v>
      </c>
      <c r="G250" s="57" t="str">
        <f>HYPERLINK("https://www.acquisition.gov/content/part-15-contracting-negotiation#i1105749","FAR 15.505(e) Preaward debriefing of offerors. FAR 15.505(f) Preaward debriefing of offerors.")</f>
        <v>FAR 15.505(e) Preaward debriefing of offerors. FAR 15.505(f) Preaward debriefing of offerors.</v>
      </c>
      <c r="H250" s="25"/>
      <c r="I250" s="109"/>
      <c r="J250" s="37" t="s">
        <v>463</v>
      </c>
      <c r="K250" s="37" t="s">
        <v>3757</v>
      </c>
      <c r="L250" s="25" t="s">
        <v>3759</v>
      </c>
      <c r="M250" s="25" t="s">
        <v>3762</v>
      </c>
      <c r="N250" s="25" t="s">
        <v>3763</v>
      </c>
      <c r="O250" s="64"/>
      <c r="P250" s="45" t="b">
        <f t="shared" si="36"/>
        <v>0</v>
      </c>
      <c r="Q250" s="45">
        <f t="shared" si="37"/>
        <v>0</v>
      </c>
      <c r="R250" s="45">
        <f t="shared" si="38"/>
        <v>0</v>
      </c>
      <c r="S250" s="24"/>
      <c r="T250" s="24"/>
      <c r="U250" s="24"/>
      <c r="V250" s="24"/>
      <c r="W250" s="24"/>
      <c r="X250" s="24"/>
      <c r="Y250" s="24"/>
      <c r="Z250" s="24"/>
      <c r="AA250" s="24"/>
      <c r="AB250" s="24"/>
      <c r="AC250" s="24"/>
      <c r="AD250" s="24"/>
      <c r="AE250" s="24"/>
    </row>
    <row r="251" spans="1:31" ht="152.15">
      <c r="A251" s="91" t="s">
        <v>3537</v>
      </c>
      <c r="B251" s="26" t="s">
        <v>3538</v>
      </c>
      <c r="C251" s="26" t="s">
        <v>3539</v>
      </c>
      <c r="D251" s="26" t="s">
        <v>3764</v>
      </c>
      <c r="E251" s="25" t="s">
        <v>3765</v>
      </c>
      <c r="F251" s="25" t="s">
        <v>3766</v>
      </c>
      <c r="G251" s="57" t="str">
        <f>HYPERLINK("https://www.acquisition.gov/content/part-15-contracting-negotiation#i1105684","FAR 15.503(a)(2) Preaward notices for small business programs ")</f>
        <v xml:space="preserve">FAR 15.503(a)(2) Preaward notices for small business programs </v>
      </c>
      <c r="H251" s="25"/>
      <c r="I251" s="109" t="s">
        <v>3772</v>
      </c>
      <c r="J251" s="37" t="s">
        <v>919</v>
      </c>
      <c r="K251" s="37" t="s">
        <v>3775</v>
      </c>
      <c r="L251" s="25" t="s">
        <v>3777</v>
      </c>
      <c r="M251" s="25" t="s">
        <v>3778</v>
      </c>
      <c r="N251" s="25" t="s">
        <v>3779</v>
      </c>
      <c r="O251" s="64"/>
      <c r="P251" s="45" t="b">
        <f t="shared" si="36"/>
        <v>0</v>
      </c>
      <c r="Q251" s="45">
        <f t="shared" si="37"/>
        <v>3</v>
      </c>
      <c r="R251" s="45">
        <f t="shared" si="38"/>
        <v>0</v>
      </c>
      <c r="S251" s="24"/>
      <c r="T251" s="24"/>
      <c r="U251" s="24"/>
      <c r="V251" s="24"/>
      <c r="W251" s="24"/>
      <c r="X251" s="24"/>
      <c r="Y251" s="24"/>
      <c r="Z251" s="24"/>
      <c r="AA251" s="24"/>
      <c r="AB251" s="24"/>
      <c r="AC251" s="24"/>
      <c r="AD251" s="24"/>
      <c r="AE251" s="24"/>
    </row>
    <row r="252" spans="1:31" ht="152.15">
      <c r="A252" s="91" t="s">
        <v>3537</v>
      </c>
      <c r="B252" s="26" t="s">
        <v>3538</v>
      </c>
      <c r="C252" s="26" t="s">
        <v>3539</v>
      </c>
      <c r="D252" s="66" t="s">
        <v>3782</v>
      </c>
      <c r="E252" s="25" t="s">
        <v>3783</v>
      </c>
      <c r="F252" s="25" t="s">
        <v>3784</v>
      </c>
      <c r="G252" s="57" t="str">
        <f>HYPERLINK("https://www.acquisition.gov/content/part-15-contracting-negotiation#i1105650","FAR 15.503(b) Postaward notices [notifications to unsuccessful offerors]. ")</f>
        <v xml:space="preserve">FAR 15.503(b) Postaward notices [notifications to unsuccessful offerors]. </v>
      </c>
      <c r="H252" s="25"/>
      <c r="I252" s="109" t="s">
        <v>3788</v>
      </c>
      <c r="J252" s="37" t="s">
        <v>1473</v>
      </c>
      <c r="K252" s="37" t="s">
        <v>3791</v>
      </c>
      <c r="L252" s="25" t="s">
        <v>3792</v>
      </c>
      <c r="M252" s="25" t="s">
        <v>3793</v>
      </c>
      <c r="N252" s="25" t="s">
        <v>3794</v>
      </c>
      <c r="O252" s="64"/>
      <c r="P252" s="45" t="b">
        <f t="shared" si="36"/>
        <v>0</v>
      </c>
      <c r="Q252" s="45">
        <f t="shared" si="37"/>
        <v>3</v>
      </c>
      <c r="R252" s="45">
        <f t="shared" si="38"/>
        <v>0</v>
      </c>
      <c r="S252" s="24"/>
      <c r="T252" s="24"/>
      <c r="U252" s="24"/>
      <c r="V252" s="24"/>
      <c r="W252" s="24"/>
      <c r="X252" s="24"/>
      <c r="Y252" s="24"/>
      <c r="Z252" s="24"/>
      <c r="AA252" s="24"/>
      <c r="AB252" s="24"/>
      <c r="AC252" s="24"/>
      <c r="AD252" s="24"/>
      <c r="AE252" s="24"/>
    </row>
    <row r="253" spans="1:31" ht="184.75">
      <c r="A253" s="91" t="s">
        <v>3537</v>
      </c>
      <c r="B253" s="26" t="s">
        <v>3538</v>
      </c>
      <c r="C253" s="26" t="s">
        <v>3539</v>
      </c>
      <c r="D253" s="66" t="s">
        <v>3802</v>
      </c>
      <c r="E253" s="25" t="s">
        <v>3803</v>
      </c>
      <c r="F253" s="25" t="s">
        <v>3804</v>
      </c>
      <c r="G253" s="57" t="str">
        <f>HYPERLINK("https://www.acquisition.gov/content/part-15-contracting-negotiation#i1105650","FAR 15.506(d) Postaward debriefing of offerors. FAR15.506(e) Postaward debriefing of offerors.")</f>
        <v>FAR 15.506(d) Postaward debriefing of offerors. FAR15.506(e) Postaward debriefing of offerors.</v>
      </c>
      <c r="H253" s="25"/>
      <c r="I253" s="109"/>
      <c r="J253" s="37" t="s">
        <v>463</v>
      </c>
      <c r="K253" s="75" t="s">
        <v>3757</v>
      </c>
      <c r="L253" s="25" t="s">
        <v>3816</v>
      </c>
      <c r="M253" s="25" t="s">
        <v>3762</v>
      </c>
      <c r="N253" s="25" t="s">
        <v>3763</v>
      </c>
      <c r="O253" s="64"/>
      <c r="P253" s="45" t="b">
        <f t="shared" si="36"/>
        <v>0</v>
      </c>
      <c r="Q253" s="45">
        <f t="shared" si="37"/>
        <v>0</v>
      </c>
      <c r="R253" s="45">
        <f t="shared" si="38"/>
        <v>0</v>
      </c>
      <c r="S253" s="24"/>
      <c r="T253" s="24"/>
      <c r="U253" s="24"/>
      <c r="V253" s="24"/>
      <c r="W253" s="24"/>
      <c r="X253" s="24"/>
      <c r="Y253" s="24"/>
      <c r="Z253" s="24"/>
      <c r="AA253" s="24"/>
      <c r="AB253" s="24"/>
      <c r="AC253" s="24"/>
      <c r="AD253" s="24"/>
      <c r="AE253" s="24"/>
    </row>
    <row r="254" spans="1:31" ht="152.15">
      <c r="A254" s="91" t="s">
        <v>3537</v>
      </c>
      <c r="B254" s="26" t="s">
        <v>3538</v>
      </c>
      <c r="C254" s="26" t="s">
        <v>3539</v>
      </c>
      <c r="D254" s="66" t="s">
        <v>3824</v>
      </c>
      <c r="E254" s="25" t="s">
        <v>3826</v>
      </c>
      <c r="F254" s="25" t="s">
        <v>3542</v>
      </c>
      <c r="G254" s="57" t="str">
        <f>HYPERLINK("https://www.acquisition.gov/content/part-33-protests-disputes-and-appeals#i1080399","FAR Part 33 Protests.")</f>
        <v>FAR Part 33 Protests.</v>
      </c>
      <c r="H254" s="57" t="str">
        <f>HYPERLINK("https://www.acquisition.gov/sites/default/files/current/gsam/html/GSAMTOC533.html#wp434840","GSAR  Part 533")</f>
        <v>GSAR  Part 533</v>
      </c>
      <c r="I254" s="109" t="s">
        <v>3833</v>
      </c>
      <c r="J254" s="37" t="s">
        <v>1473</v>
      </c>
      <c r="K254" s="37" t="s">
        <v>3834</v>
      </c>
      <c r="L254" s="25" t="s">
        <v>3553</v>
      </c>
      <c r="M254" s="25" t="s">
        <v>3835</v>
      </c>
      <c r="N254" s="25" t="s">
        <v>3557</v>
      </c>
      <c r="O254" s="64"/>
      <c r="P254" s="45" t="b">
        <f t="shared" si="36"/>
        <v>0</v>
      </c>
      <c r="Q254" s="45">
        <f t="shared" si="37"/>
        <v>3</v>
      </c>
      <c r="R254" s="45">
        <f t="shared" si="38"/>
        <v>0</v>
      </c>
      <c r="S254" s="24"/>
      <c r="T254" s="24"/>
      <c r="U254" s="24"/>
      <c r="V254" s="24"/>
      <c r="W254" s="24"/>
      <c r="X254" s="24"/>
      <c r="Y254" s="24"/>
      <c r="Z254" s="24"/>
      <c r="AA254" s="24"/>
      <c r="AB254" s="24"/>
      <c r="AC254" s="24"/>
      <c r="AD254" s="24"/>
      <c r="AE254" s="24"/>
    </row>
    <row r="255" spans="1:31" ht="141.30000000000001">
      <c r="A255" s="91" t="s">
        <v>3537</v>
      </c>
      <c r="B255" s="26" t="s">
        <v>3538</v>
      </c>
      <c r="C255" s="26" t="s">
        <v>3539</v>
      </c>
      <c r="D255" s="26" t="s">
        <v>3841</v>
      </c>
      <c r="E255" s="25" t="s">
        <v>3842</v>
      </c>
      <c r="F255" s="25" t="s">
        <v>3844</v>
      </c>
      <c r="G255" s="57" t="e">
        <f>HYPERLINK("https://www.acquisition.gov/content/part-19-small-business-programs#i1101116","FAR 19.302 (b) Protesting a small business representation or rerepresentation. FAR 19.305 Protesting a representation of disadvantaged business status. FAR 19.306 Protesting a firm’s status as a HUBZone small business concern. FAR 19.307 Protesting a firm"&amp;"’s status as a service-disabled veteran-owned small business concern. FAR 19.308 Protesting a firm’s status as an economically disadvantaged women-owned small business or women-owned small business concern. ")</f>
        <v>#VALUE!</v>
      </c>
      <c r="H255" s="57" t="str">
        <f t="shared" ref="H255:H262" si="40">HYPERLINK("https://www.acquisition.gov/sites/default/files/current/gsam/html/GSAMTOC519.html#wp434208","GSAR 519.302; GSAR 519.305; GSAR 519.306; GSAR 519.307; GSAR 519.308")</f>
        <v>GSAR 519.302; GSAR 519.305; GSAR 519.306; GSAR 519.307; GSAR 519.308</v>
      </c>
      <c r="I255" s="109" t="s">
        <v>3860</v>
      </c>
      <c r="J255" s="37" t="s">
        <v>1473</v>
      </c>
      <c r="K255" s="37" t="s">
        <v>3864</v>
      </c>
      <c r="L255" s="25" t="s">
        <v>3866</v>
      </c>
      <c r="M255" s="25" t="s">
        <v>3867</v>
      </c>
      <c r="N255" s="25" t="s">
        <v>3868</v>
      </c>
      <c r="O255" s="64"/>
      <c r="P255" s="45" t="b">
        <f t="shared" si="36"/>
        <v>0</v>
      </c>
      <c r="Q255" s="45">
        <f t="shared" si="37"/>
        <v>3</v>
      </c>
      <c r="R255" s="45">
        <f t="shared" si="38"/>
        <v>0</v>
      </c>
      <c r="S255" s="24"/>
      <c r="T255" s="24"/>
      <c r="U255" s="24"/>
      <c r="V255" s="24"/>
      <c r="W255" s="24"/>
      <c r="X255" s="24"/>
      <c r="Y255" s="24"/>
      <c r="Z255" s="24"/>
      <c r="AA255" s="24"/>
      <c r="AB255" s="24"/>
      <c r="AC255" s="24"/>
      <c r="AD255" s="24"/>
      <c r="AE255" s="24"/>
    </row>
    <row r="256" spans="1:31" ht="108.7">
      <c r="A256" s="91" t="s">
        <v>3537</v>
      </c>
      <c r="B256" s="26" t="s">
        <v>3538</v>
      </c>
      <c r="C256" s="26" t="s">
        <v>3539</v>
      </c>
      <c r="D256" s="26" t="s">
        <v>3875</v>
      </c>
      <c r="E256" s="25" t="s">
        <v>3876</v>
      </c>
      <c r="F256" s="25" t="s">
        <v>3877</v>
      </c>
      <c r="G256" s="57" t="e">
        <f>HYPERLINK("https://www.acquisition.gov/content/part-19-small-business-programs","FAR 19.302 (c)(1) Protesting a small business representation or rerepresentation. FAR 19.305 Protesting a representation of disadvantaged business status. FAR 19.306 Protesting a firm’s status as a HUBZone small business concern. FAR 19.307 Protesting a f"&amp;"irm’s status as a service-disabled veteran-owned small business concern. FAR 19.308 Protesting a firm’s status as an economically disadvantaged women-owned small business or women-owned small business concern. ")</f>
        <v>#VALUE!</v>
      </c>
      <c r="H256" s="57" t="str">
        <f t="shared" si="40"/>
        <v>GSAR 519.302; GSAR 519.305; GSAR 519.306; GSAR 519.307; GSAR 519.308</v>
      </c>
      <c r="I256" s="109" t="s">
        <v>3894</v>
      </c>
      <c r="J256" s="37" t="s">
        <v>1473</v>
      </c>
      <c r="K256" s="37" t="s">
        <v>3897</v>
      </c>
      <c r="L256" s="25" t="s">
        <v>3899</v>
      </c>
      <c r="M256" s="25" t="s">
        <v>3900</v>
      </c>
      <c r="N256" s="25" t="s">
        <v>3901</v>
      </c>
      <c r="O256" s="64"/>
      <c r="P256" s="45" t="b">
        <f t="shared" si="36"/>
        <v>0</v>
      </c>
      <c r="Q256" s="45">
        <f t="shared" si="37"/>
        <v>3</v>
      </c>
      <c r="R256" s="45">
        <f t="shared" si="38"/>
        <v>0</v>
      </c>
      <c r="S256" s="24"/>
      <c r="T256" s="24"/>
      <c r="U256" s="24"/>
      <c r="V256" s="24"/>
      <c r="W256" s="24"/>
      <c r="X256" s="24"/>
      <c r="Y256" s="24"/>
      <c r="Z256" s="24"/>
      <c r="AA256" s="24"/>
      <c r="AB256" s="24"/>
      <c r="AC256" s="24"/>
      <c r="AD256" s="24"/>
      <c r="AE256" s="24"/>
    </row>
    <row r="257" spans="1:31" ht="86.95">
      <c r="A257" s="91" t="s">
        <v>3537</v>
      </c>
      <c r="B257" s="26" t="s">
        <v>3538</v>
      </c>
      <c r="C257" s="26" t="s">
        <v>3539</v>
      </c>
      <c r="D257" s="26" t="s">
        <v>3906</v>
      </c>
      <c r="E257" s="25" t="s">
        <v>3907</v>
      </c>
      <c r="F257" s="25" t="s">
        <v>3877</v>
      </c>
      <c r="G257" s="57" t="e">
        <f>HYPERLINK("https://www.acquisition.gov/content/part-19-small-business-programs","FAR 19.302 Protesting a small business representation or rerepresentation. FAR 19.305 Protesting a representation of disadvantaged business status. FAR 19.306 Protesting a firm’s status as a HUBZone small business concern. FAR 19.307 Protesting a firm’s s"&amp;"tatus as a service-disabled veteran-owned small business concern. FAR 19.308 Protesting a firm’s status as an economically disadvantaged women-owned small business or women-owned small business concern. ")</f>
        <v>#VALUE!</v>
      </c>
      <c r="H257" s="57" t="str">
        <f t="shared" si="40"/>
        <v>GSAR 519.302; GSAR 519.305; GSAR 519.306; GSAR 519.307; GSAR 519.308</v>
      </c>
      <c r="I257" s="109" t="s">
        <v>3919</v>
      </c>
      <c r="J257" s="37" t="s">
        <v>1473</v>
      </c>
      <c r="K257" s="37" t="s">
        <v>3923</v>
      </c>
      <c r="L257" s="25" t="s">
        <v>3924</v>
      </c>
      <c r="M257" s="25" t="s">
        <v>3925</v>
      </c>
      <c r="N257" s="25" t="s">
        <v>3901</v>
      </c>
      <c r="O257" s="64"/>
      <c r="P257" s="45" t="b">
        <f t="shared" si="36"/>
        <v>0</v>
      </c>
      <c r="Q257" s="45">
        <f t="shared" si="37"/>
        <v>3</v>
      </c>
      <c r="R257" s="45">
        <f t="shared" si="38"/>
        <v>0</v>
      </c>
      <c r="S257" s="24"/>
      <c r="T257" s="24"/>
      <c r="U257" s="24"/>
      <c r="V257" s="24"/>
      <c r="W257" s="24"/>
      <c r="X257" s="24"/>
      <c r="Y257" s="24"/>
      <c r="Z257" s="24"/>
      <c r="AA257" s="24"/>
      <c r="AB257" s="24"/>
      <c r="AC257" s="24"/>
      <c r="AD257" s="24"/>
      <c r="AE257" s="24"/>
    </row>
    <row r="258" spans="1:31" ht="108.7">
      <c r="A258" s="91" t="s">
        <v>3537</v>
      </c>
      <c r="B258" s="26" t="s">
        <v>3538</v>
      </c>
      <c r="C258" s="26" t="s">
        <v>3539</v>
      </c>
      <c r="D258" s="26" t="s">
        <v>3926</v>
      </c>
      <c r="E258" s="25" t="s">
        <v>3927</v>
      </c>
      <c r="F258" s="25" t="s">
        <v>1058</v>
      </c>
      <c r="G258" s="57" t="e">
        <f>HYPERLINK("https://www.acquisition.gov/content/part-19-small-business-programs","FAR 19.302(h) Protesting a small business representation or rerepresentation. FAR 19.305 Protesting a representation of disadvantaged business status. FAR 19.306 Protesting a firm’s status as a HUBZone small business concern. FAR 19.307 Protesting a firm’"&amp;"s status as a service-disabled veteran-owned small business concern. FAR 19.308 Protesting a firm’s status as an economically disadvantaged women-owned small business or women-owned small business concern. ")</f>
        <v>#VALUE!</v>
      </c>
      <c r="H258" s="57" t="str">
        <f t="shared" si="40"/>
        <v>GSAR 519.302; GSAR 519.305; GSAR 519.306; GSAR 519.307; GSAR 519.308</v>
      </c>
      <c r="I258" s="109" t="s">
        <v>3932</v>
      </c>
      <c r="J258" s="37" t="s">
        <v>1473</v>
      </c>
      <c r="K258" s="37" t="s">
        <v>3933</v>
      </c>
      <c r="L258" s="25" t="s">
        <v>3934</v>
      </c>
      <c r="M258" s="25" t="s">
        <v>3935</v>
      </c>
      <c r="N258" s="25" t="s">
        <v>3936</v>
      </c>
      <c r="O258" s="64"/>
      <c r="P258" s="45" t="b">
        <f t="shared" si="36"/>
        <v>0</v>
      </c>
      <c r="Q258" s="45">
        <f t="shared" si="37"/>
        <v>3</v>
      </c>
      <c r="R258" s="45">
        <f t="shared" si="38"/>
        <v>0</v>
      </c>
      <c r="S258" s="24"/>
      <c r="T258" s="24"/>
      <c r="U258" s="24"/>
      <c r="V258" s="24"/>
      <c r="W258" s="24"/>
      <c r="X258" s="24"/>
      <c r="Y258" s="24"/>
      <c r="Z258" s="24"/>
      <c r="AA258" s="24"/>
      <c r="AB258" s="24"/>
      <c r="AC258" s="24"/>
      <c r="AD258" s="24"/>
      <c r="AE258" s="24"/>
    </row>
    <row r="259" spans="1:31" ht="97.85">
      <c r="A259" s="91" t="s">
        <v>3537</v>
      </c>
      <c r="B259" s="26" t="s">
        <v>3538</v>
      </c>
      <c r="C259" s="26" t="s">
        <v>3539</v>
      </c>
      <c r="D259" s="26" t="s">
        <v>3938</v>
      </c>
      <c r="E259" s="25" t="s">
        <v>3939</v>
      </c>
      <c r="F259" s="25" t="s">
        <v>1710</v>
      </c>
      <c r="G259" s="57" t="e">
        <f>HYPERLINK("https://www.acquisition.gov/content/part-19-small-business-programs","FAR 19.302(h)(3) Protesting a small business representation or rerepresentation. FAR 19.305 Protesting a representation of disadvantaged business status. FAR 19.306 Protesting a firm’s status as a HUBZone small business concern. FAR 19.307 Protesting a fi"&amp;"rm’s status as a service-disabled veteran-owned small business concern. FAR 19.308 Protesting a firm’s status as an economically disadvantaged women-owned small business or women-owned small business concern. ")</f>
        <v>#VALUE!</v>
      </c>
      <c r="H259" s="57" t="str">
        <f t="shared" si="40"/>
        <v>GSAR 519.302; GSAR 519.305; GSAR 519.306; GSAR 519.307; GSAR 519.308</v>
      </c>
      <c r="I259" s="109" t="s">
        <v>3945</v>
      </c>
      <c r="J259" s="37" t="s">
        <v>1473</v>
      </c>
      <c r="K259" s="37" t="s">
        <v>3947</v>
      </c>
      <c r="L259" s="25" t="s">
        <v>3948</v>
      </c>
      <c r="M259" s="25" t="s">
        <v>3949</v>
      </c>
      <c r="N259" s="25" t="s">
        <v>3950</v>
      </c>
      <c r="O259" s="64"/>
      <c r="P259" s="45" t="b">
        <f t="shared" si="36"/>
        <v>0</v>
      </c>
      <c r="Q259" s="45">
        <f t="shared" si="37"/>
        <v>3</v>
      </c>
      <c r="R259" s="45">
        <f t="shared" si="38"/>
        <v>0</v>
      </c>
      <c r="S259" s="24"/>
      <c r="T259" s="24"/>
      <c r="U259" s="24"/>
      <c r="V259" s="24"/>
      <c r="W259" s="24"/>
      <c r="X259" s="24"/>
      <c r="Y259" s="24"/>
      <c r="Z259" s="24"/>
      <c r="AA259" s="24"/>
      <c r="AB259" s="24"/>
      <c r="AC259" s="24"/>
      <c r="AD259" s="24"/>
      <c r="AE259" s="24"/>
    </row>
    <row r="260" spans="1:31" ht="108.7">
      <c r="A260" s="91" t="s">
        <v>3537</v>
      </c>
      <c r="B260" s="26" t="s">
        <v>3538</v>
      </c>
      <c r="C260" s="26" t="s">
        <v>3539</v>
      </c>
      <c r="D260" s="26" t="s">
        <v>3953</v>
      </c>
      <c r="E260" s="25" t="s">
        <v>3954</v>
      </c>
      <c r="F260" s="25" t="s">
        <v>1166</v>
      </c>
      <c r="G260" s="57" t="e">
        <f>HYPERLINK("https://www.acquisition.gov/content/part-19-small-business-programs","FAR 19.302(i) Protesting a small business representation or rerepresentation. FAR 19.305(i) Reviews and Protests of SDB Status. FAR 19.305(j) Reviews and Protests of SDB Status. FAR 19.306(i); Protesting a firm’s status as a HUBZone small business concern"&amp;". FAR 19.306(j) Protesting a firm’s status as a HUBZone small business concern. FAR 19.307(i) Protesting a Firm’s Status as a Service-disabled Veteranowned Small Business Concern. FAR 19.308(h) Protesting a Firm's Status as an Economically Disadvantaged W"&amp;"omen-owned Small Business Concern or Women-owned Small Business Concern Eligible Under the WOSB Program. ")</f>
        <v>#VALUE!</v>
      </c>
      <c r="H260" s="57" t="str">
        <f t="shared" si="40"/>
        <v>GSAR 519.302; GSAR 519.305; GSAR 519.306; GSAR 519.307; GSAR 519.308</v>
      </c>
      <c r="I260" s="109" t="s">
        <v>3958</v>
      </c>
      <c r="J260" s="37" t="s">
        <v>1473</v>
      </c>
      <c r="K260" s="37" t="s">
        <v>3959</v>
      </c>
      <c r="L260" s="25" t="s">
        <v>3960</v>
      </c>
      <c r="M260" s="25" t="s">
        <v>3961</v>
      </c>
      <c r="N260" s="25" t="s">
        <v>3962</v>
      </c>
      <c r="O260" s="64"/>
      <c r="P260" s="45" t="b">
        <f t="shared" si="36"/>
        <v>0</v>
      </c>
      <c r="Q260" s="45">
        <f t="shared" si="37"/>
        <v>3</v>
      </c>
      <c r="R260" s="45">
        <f t="shared" si="38"/>
        <v>0</v>
      </c>
      <c r="S260" s="24"/>
      <c r="T260" s="24"/>
      <c r="U260" s="24"/>
      <c r="V260" s="24"/>
      <c r="W260" s="24"/>
      <c r="X260" s="24"/>
      <c r="Y260" s="24"/>
      <c r="Z260" s="24"/>
      <c r="AA260" s="24"/>
      <c r="AB260" s="24"/>
      <c r="AC260" s="24"/>
      <c r="AD260" s="24"/>
      <c r="AE260" s="24"/>
    </row>
    <row r="261" spans="1:31" ht="86.95">
      <c r="A261" s="91" t="s">
        <v>3537</v>
      </c>
      <c r="B261" s="26" t="s">
        <v>3538</v>
      </c>
      <c r="C261" s="26" t="s">
        <v>3539</v>
      </c>
      <c r="D261" s="26" t="s">
        <v>3965</v>
      </c>
      <c r="E261" s="25" t="s">
        <v>3966</v>
      </c>
      <c r="F261" s="25" t="s">
        <v>3967</v>
      </c>
      <c r="G261" s="57" t="e">
        <f>HYPERLINK("https://www.acquisition.gov/content/part-19-small-business-programs","FAR 19.302(g) &amp; (h) Protesting a small business representation or rerepresentation. FAR 19.305 Protesting a representation of disadvantaged business status. FAR 19.306 Protesting a firm’s status as a HUBZone small business concern. FAR 19.307 Protesting a"&amp;" firm’s status as a service-disabled veteran-owned small business concern. FAR 19.308 Protesting a firm’s status as an economically disadvantaged women-owned small business or women-owned small business concern. ")</f>
        <v>#VALUE!</v>
      </c>
      <c r="H261" s="57" t="str">
        <f t="shared" si="40"/>
        <v>GSAR 519.302; GSAR 519.305; GSAR 519.306; GSAR 519.307; GSAR 519.308</v>
      </c>
      <c r="I261" s="109" t="s">
        <v>3972</v>
      </c>
      <c r="J261" s="37" t="s">
        <v>1473</v>
      </c>
      <c r="K261" s="37" t="s">
        <v>3973</v>
      </c>
      <c r="L261" s="25" t="s">
        <v>3974</v>
      </c>
      <c r="M261" s="25" t="s">
        <v>3975</v>
      </c>
      <c r="N261" s="25" t="s">
        <v>3976</v>
      </c>
      <c r="O261" s="64"/>
      <c r="P261" s="45" t="b">
        <f t="shared" si="36"/>
        <v>0</v>
      </c>
      <c r="Q261" s="45">
        <f t="shared" si="37"/>
        <v>3</v>
      </c>
      <c r="R261" s="45">
        <f t="shared" si="38"/>
        <v>0</v>
      </c>
      <c r="S261" s="24"/>
      <c r="T261" s="24"/>
      <c r="U261" s="24"/>
      <c r="V261" s="24"/>
      <c r="W261" s="24"/>
      <c r="X261" s="24"/>
      <c r="Y261" s="24"/>
      <c r="Z261" s="24"/>
      <c r="AA261" s="24"/>
      <c r="AB261" s="24"/>
      <c r="AC261" s="24"/>
      <c r="AD261" s="24"/>
      <c r="AE261" s="24"/>
    </row>
    <row r="262" spans="1:31" ht="97.85">
      <c r="A262" s="91" t="s">
        <v>3537</v>
      </c>
      <c r="B262" s="26" t="s">
        <v>3538</v>
      </c>
      <c r="C262" s="26" t="s">
        <v>3539</v>
      </c>
      <c r="D262" s="26" t="s">
        <v>3978</v>
      </c>
      <c r="E262" s="25" t="s">
        <v>3979</v>
      </c>
      <c r="F262" s="25" t="s">
        <v>275</v>
      </c>
      <c r="G262" s="57" t="e">
        <f>HYPERLINK("https://www.acquisition.gov/content/part-19-small-business-programs","19.301-1(d) Representations and rerepresentations. FAR 19.305 Protesting a representation of disadvantaged business status. FAR 19.306 Protesting a firm’s status as a HUBZone small business concern. FAR 19.307 Protesting a firm’s status as a service-disab"&amp;"led veteran-owned small business concern. FAR 19.308 Protesting a firm’s status as an economically disadvantaged women-owned small business or women-owned small business concern. ")</f>
        <v>#VALUE!</v>
      </c>
      <c r="H262" s="57" t="str">
        <f t="shared" si="40"/>
        <v>GSAR 519.302; GSAR 519.305; GSAR 519.306; GSAR 519.307; GSAR 519.308</v>
      </c>
      <c r="I262" s="109"/>
      <c r="J262" s="37" t="s">
        <v>463</v>
      </c>
      <c r="K262" s="37" t="s">
        <v>3986</v>
      </c>
      <c r="L262" s="25" t="s">
        <v>3987</v>
      </c>
      <c r="M262" s="25" t="s">
        <v>3988</v>
      </c>
      <c r="N262" s="25" t="s">
        <v>3989</v>
      </c>
      <c r="O262" s="64"/>
      <c r="P262" s="45" t="b">
        <f t="shared" si="36"/>
        <v>0</v>
      </c>
      <c r="Q262" s="45">
        <f t="shared" si="37"/>
        <v>0</v>
      </c>
      <c r="R262" s="45">
        <f t="shared" si="38"/>
        <v>0</v>
      </c>
      <c r="S262" s="24"/>
      <c r="T262" s="24"/>
      <c r="U262" s="24"/>
      <c r="V262" s="24"/>
      <c r="W262" s="24"/>
      <c r="X262" s="24"/>
      <c r="Y262" s="24"/>
      <c r="Z262" s="24"/>
      <c r="AA262" s="24"/>
      <c r="AB262" s="24"/>
      <c r="AC262" s="24"/>
      <c r="AD262" s="24"/>
      <c r="AE262" s="24"/>
    </row>
    <row r="263" spans="1:31" ht="97.85">
      <c r="A263" s="91" t="s">
        <v>3537</v>
      </c>
      <c r="B263" s="26" t="s">
        <v>3538</v>
      </c>
      <c r="C263" s="26" t="s">
        <v>3539</v>
      </c>
      <c r="D263" s="26" t="s">
        <v>3993</v>
      </c>
      <c r="E263" s="25" t="s">
        <v>3994</v>
      </c>
      <c r="F263" s="25" t="s">
        <v>3995</v>
      </c>
      <c r="G263" s="57" t="str">
        <f>HYPERLINK("https://www.acquisition.gov/content/part-33-protests-disputes-and-appeals#i1080465","FAR 33.103(b) Protests to the Agency")</f>
        <v>FAR 33.103(b) Protests to the Agency</v>
      </c>
      <c r="H263" s="57" t="str">
        <f t="shared" ref="H263:H269" si="41">HYPERLINK("https://www.acquisition.gov/sites/default/files/current/gsam/html/Part533.html#wp1860054","GSAR 533.103")</f>
        <v>GSAR 533.103</v>
      </c>
      <c r="I263" s="109" t="s">
        <v>4003</v>
      </c>
      <c r="J263" s="37" t="s">
        <v>1473</v>
      </c>
      <c r="K263" s="37" t="s">
        <v>4004</v>
      </c>
      <c r="L263" s="25" t="s">
        <v>4005</v>
      </c>
      <c r="M263" s="25" t="s">
        <v>4006</v>
      </c>
      <c r="N263" s="25" t="s">
        <v>4007</v>
      </c>
      <c r="O263" s="64"/>
      <c r="P263" s="45" t="b">
        <f t="shared" si="36"/>
        <v>0</v>
      </c>
      <c r="Q263" s="45">
        <f t="shared" si="37"/>
        <v>3</v>
      </c>
      <c r="R263" s="45">
        <f t="shared" si="38"/>
        <v>0</v>
      </c>
      <c r="S263" s="24"/>
      <c r="T263" s="24"/>
      <c r="U263" s="24"/>
      <c r="V263" s="24"/>
      <c r="W263" s="24"/>
      <c r="X263" s="24"/>
      <c r="Y263" s="24"/>
      <c r="Z263" s="24"/>
      <c r="AA263" s="24"/>
      <c r="AB263" s="24"/>
      <c r="AC263" s="24"/>
      <c r="AD263" s="24"/>
      <c r="AE263" s="24"/>
    </row>
    <row r="264" spans="1:31" ht="108.7">
      <c r="A264" s="91" t="s">
        <v>3537</v>
      </c>
      <c r="B264" s="26" t="s">
        <v>3538</v>
      </c>
      <c r="C264" s="26" t="s">
        <v>3539</v>
      </c>
      <c r="D264" s="26" t="s">
        <v>4008</v>
      </c>
      <c r="E264" s="25" t="s">
        <v>4009</v>
      </c>
      <c r="F264" s="25" t="s">
        <v>4010</v>
      </c>
      <c r="G264" s="57" t="str">
        <f>HYPERLINK("https://www.acquisition.gov/content/part-33-protests-disputes-and-appeals#i1080465","FAR 33.103(b) &amp; (c) Protests to the agency. ")</f>
        <v xml:space="preserve">FAR 33.103(b) &amp; (c) Protests to the agency. </v>
      </c>
      <c r="H264" s="57" t="str">
        <f t="shared" si="41"/>
        <v>GSAR 533.103</v>
      </c>
      <c r="I264" s="109" t="s">
        <v>4015</v>
      </c>
      <c r="J264" s="37" t="s">
        <v>1473</v>
      </c>
      <c r="K264" s="37" t="s">
        <v>4016</v>
      </c>
      <c r="L264" s="25" t="s">
        <v>4017</v>
      </c>
      <c r="M264" s="25" t="s">
        <v>4018</v>
      </c>
      <c r="N264" s="25" t="s">
        <v>4019</v>
      </c>
      <c r="O264" s="64"/>
      <c r="P264" s="45" t="b">
        <f t="shared" si="36"/>
        <v>0</v>
      </c>
      <c r="Q264" s="45">
        <f t="shared" si="37"/>
        <v>3</v>
      </c>
      <c r="R264" s="45">
        <f t="shared" si="38"/>
        <v>0</v>
      </c>
      <c r="S264" s="24"/>
      <c r="T264" s="24"/>
      <c r="U264" s="24"/>
      <c r="V264" s="24"/>
      <c r="W264" s="24"/>
      <c r="X264" s="24"/>
      <c r="Y264" s="24"/>
      <c r="Z264" s="24"/>
      <c r="AA264" s="24"/>
      <c r="AB264" s="24"/>
      <c r="AC264" s="24"/>
      <c r="AD264" s="24"/>
      <c r="AE264" s="24"/>
    </row>
    <row r="265" spans="1:31" ht="76.099999999999994">
      <c r="A265" s="91" t="s">
        <v>3537</v>
      </c>
      <c r="B265" s="26" t="s">
        <v>3538</v>
      </c>
      <c r="C265" s="26" t="s">
        <v>3539</v>
      </c>
      <c r="D265" s="26" t="s">
        <v>4020</v>
      </c>
      <c r="E265" s="25" t="s">
        <v>4022</v>
      </c>
      <c r="F265" s="25" t="s">
        <v>4024</v>
      </c>
      <c r="G265" s="57" t="str">
        <f t="shared" ref="G265:G266" si="42">HYPERLINK("https://www.acquisition.gov/content/part-33-protests-disputes-and-appeals#i1080465","FAR 33.103(f)(1) Protests to the agency. ")</f>
        <v xml:space="preserve">FAR 33.103(f)(1) Protests to the agency. </v>
      </c>
      <c r="H265" s="57" t="str">
        <f t="shared" si="41"/>
        <v>GSAR 533.103</v>
      </c>
      <c r="I265" s="109" t="s">
        <v>4026</v>
      </c>
      <c r="J265" s="37" t="s">
        <v>1473</v>
      </c>
      <c r="K265" s="37" t="s">
        <v>4027</v>
      </c>
      <c r="L265" s="25" t="s">
        <v>4028</v>
      </c>
      <c r="M265" s="25" t="s">
        <v>4029</v>
      </c>
      <c r="N265" s="25" t="s">
        <v>1536</v>
      </c>
      <c r="O265" s="64"/>
      <c r="P265" s="45" t="b">
        <f t="shared" si="36"/>
        <v>0</v>
      </c>
      <c r="Q265" s="45">
        <f t="shared" si="37"/>
        <v>3</v>
      </c>
      <c r="R265" s="45">
        <f t="shared" si="38"/>
        <v>0</v>
      </c>
      <c r="S265" s="24"/>
      <c r="T265" s="24"/>
      <c r="U265" s="24"/>
      <c r="V265" s="24"/>
      <c r="W265" s="24"/>
      <c r="X265" s="24"/>
      <c r="Y265" s="24"/>
      <c r="Z265" s="24"/>
      <c r="AA265" s="24"/>
      <c r="AB265" s="24"/>
      <c r="AC265" s="24"/>
      <c r="AD265" s="24"/>
      <c r="AE265" s="24"/>
    </row>
    <row r="266" spans="1:31" ht="130.44999999999999">
      <c r="A266" s="91" t="s">
        <v>3537</v>
      </c>
      <c r="B266" s="26" t="s">
        <v>3538</v>
      </c>
      <c r="C266" s="26" t="s">
        <v>3539</v>
      </c>
      <c r="D266" s="26" t="s">
        <v>4034</v>
      </c>
      <c r="E266" s="25" t="s">
        <v>4035</v>
      </c>
      <c r="F266" s="25" t="s">
        <v>308</v>
      </c>
      <c r="G266" s="57" t="str">
        <f t="shared" si="42"/>
        <v xml:space="preserve">FAR 33.103(f)(1) Protests to the agency. </v>
      </c>
      <c r="H266" s="57" t="str">
        <f t="shared" si="41"/>
        <v>GSAR 533.103</v>
      </c>
      <c r="I266" s="109" t="s">
        <v>4026</v>
      </c>
      <c r="J266" s="37" t="s">
        <v>1473</v>
      </c>
      <c r="K266" s="37" t="s">
        <v>4036</v>
      </c>
      <c r="L266" s="25" t="s">
        <v>4037</v>
      </c>
      <c r="M266" s="25" t="s">
        <v>4038</v>
      </c>
      <c r="N266" s="25" t="s">
        <v>4040</v>
      </c>
      <c r="O266" s="64"/>
      <c r="P266" s="45" t="b">
        <f t="shared" si="36"/>
        <v>0</v>
      </c>
      <c r="Q266" s="45">
        <f t="shared" si="37"/>
        <v>3</v>
      </c>
      <c r="R266" s="45">
        <f t="shared" si="38"/>
        <v>0</v>
      </c>
      <c r="S266" s="24"/>
      <c r="T266" s="24"/>
      <c r="U266" s="24"/>
      <c r="V266" s="24"/>
      <c r="W266" s="24"/>
      <c r="X266" s="24"/>
      <c r="Y266" s="24"/>
      <c r="Z266" s="24"/>
      <c r="AA266" s="24"/>
      <c r="AB266" s="24"/>
      <c r="AC266" s="24"/>
      <c r="AD266" s="24"/>
      <c r="AE266" s="24"/>
    </row>
    <row r="267" spans="1:31" ht="163.05000000000001">
      <c r="A267" s="91" t="s">
        <v>3537</v>
      </c>
      <c r="B267" s="26" t="s">
        <v>3538</v>
      </c>
      <c r="C267" s="26" t="s">
        <v>3539</v>
      </c>
      <c r="D267" s="26" t="s">
        <v>4043</v>
      </c>
      <c r="E267" s="25" t="s">
        <v>4044</v>
      </c>
      <c r="F267" s="25" t="s">
        <v>1710</v>
      </c>
      <c r="G267" s="57" t="str">
        <f>HYPERLINK("https://www.acquisition.gov/content/part-33-protests-disputes-and-appeals#i1080465","FAR 33.103(f)(2) Protests to the agency.")</f>
        <v>FAR 33.103(f)(2) Protests to the agency.</v>
      </c>
      <c r="H267" s="57" t="str">
        <f t="shared" si="41"/>
        <v>GSAR 533.103</v>
      </c>
      <c r="I267" s="109" t="s">
        <v>4003</v>
      </c>
      <c r="J267" s="37" t="s">
        <v>1473</v>
      </c>
      <c r="K267" s="37" t="s">
        <v>4045</v>
      </c>
      <c r="L267" s="25" t="s">
        <v>4046</v>
      </c>
      <c r="M267" s="25" t="s">
        <v>4047</v>
      </c>
      <c r="N267" s="25" t="s">
        <v>4048</v>
      </c>
      <c r="O267" s="64"/>
      <c r="P267" s="45" t="b">
        <f t="shared" si="36"/>
        <v>0</v>
      </c>
      <c r="Q267" s="45">
        <f t="shared" si="37"/>
        <v>3</v>
      </c>
      <c r="R267" s="45">
        <f t="shared" si="38"/>
        <v>0</v>
      </c>
      <c r="S267" s="24"/>
      <c r="T267" s="24"/>
      <c r="U267" s="24"/>
      <c r="V267" s="24"/>
      <c r="W267" s="24"/>
      <c r="X267" s="24"/>
      <c r="Y267" s="24"/>
      <c r="Z267" s="24"/>
      <c r="AA267" s="24"/>
      <c r="AB267" s="24"/>
      <c r="AC267" s="24"/>
      <c r="AD267" s="24"/>
      <c r="AE267" s="24"/>
    </row>
    <row r="268" spans="1:31" ht="108.7">
      <c r="A268" s="91" t="s">
        <v>3537</v>
      </c>
      <c r="B268" s="26" t="s">
        <v>3538</v>
      </c>
      <c r="C268" s="26" t="s">
        <v>3539</v>
      </c>
      <c r="D268" s="26" t="s">
        <v>4049</v>
      </c>
      <c r="E268" s="25" t="s">
        <v>4050</v>
      </c>
      <c r="F268" s="25" t="s">
        <v>4051</v>
      </c>
      <c r="G268" s="57" t="str">
        <f t="shared" ref="G268:G269" si="43">HYPERLINK("https://www.acquisition.gov/content/part-33-protests-disputes-and-appeals#i1080465","FAR 33.103(f)(3) Protests to the agency. ")</f>
        <v xml:space="preserve">FAR 33.103(f)(3) Protests to the agency. </v>
      </c>
      <c r="H268" s="57" t="str">
        <f t="shared" si="41"/>
        <v>GSAR 533.103</v>
      </c>
      <c r="I268" s="109" t="s">
        <v>4015</v>
      </c>
      <c r="J268" s="37" t="s">
        <v>1473</v>
      </c>
      <c r="K268" s="75" t="s">
        <v>4016</v>
      </c>
      <c r="L268" s="25" t="s">
        <v>4028</v>
      </c>
      <c r="M268" s="25" t="s">
        <v>4018</v>
      </c>
      <c r="N268" s="25" t="s">
        <v>4019</v>
      </c>
      <c r="O268" s="64"/>
      <c r="P268" s="45" t="b">
        <f t="shared" si="36"/>
        <v>0</v>
      </c>
      <c r="Q268" s="45">
        <f t="shared" si="37"/>
        <v>3</v>
      </c>
      <c r="R268" s="45">
        <f t="shared" si="38"/>
        <v>0</v>
      </c>
      <c r="S268" s="24"/>
      <c r="T268" s="24"/>
      <c r="U268" s="24"/>
      <c r="V268" s="24"/>
      <c r="W268" s="24"/>
      <c r="X268" s="24"/>
      <c r="Y268" s="24"/>
      <c r="Z268" s="24"/>
      <c r="AA268" s="24"/>
      <c r="AB268" s="24"/>
      <c r="AC268" s="24"/>
      <c r="AD268" s="24"/>
      <c r="AE268" s="24"/>
    </row>
    <row r="269" spans="1:31" ht="130.44999999999999">
      <c r="A269" s="91" t="s">
        <v>3537</v>
      </c>
      <c r="B269" s="26" t="s">
        <v>3538</v>
      </c>
      <c r="C269" s="26" t="s">
        <v>3539</v>
      </c>
      <c r="D269" s="26" t="s">
        <v>4059</v>
      </c>
      <c r="E269" s="25" t="s">
        <v>4035</v>
      </c>
      <c r="F269" s="25" t="s">
        <v>308</v>
      </c>
      <c r="G269" s="57" t="str">
        <f t="shared" si="43"/>
        <v xml:space="preserve">FAR 33.103(f)(3) Protests to the agency. </v>
      </c>
      <c r="H269" s="57" t="str">
        <f t="shared" si="41"/>
        <v>GSAR 533.103</v>
      </c>
      <c r="I269" s="109" t="s">
        <v>4026</v>
      </c>
      <c r="J269" s="37" t="s">
        <v>1473</v>
      </c>
      <c r="K269" s="75" t="s">
        <v>4036</v>
      </c>
      <c r="L269" s="25" t="s">
        <v>4061</v>
      </c>
      <c r="M269" s="25" t="s">
        <v>4038</v>
      </c>
      <c r="N269" s="25" t="s">
        <v>4040</v>
      </c>
      <c r="O269" s="64"/>
      <c r="P269" s="45" t="b">
        <f t="shared" si="36"/>
        <v>0</v>
      </c>
      <c r="Q269" s="45">
        <f t="shared" si="37"/>
        <v>3</v>
      </c>
      <c r="R269" s="45">
        <f t="shared" si="38"/>
        <v>0</v>
      </c>
      <c r="S269" s="24"/>
      <c r="T269" s="24"/>
      <c r="U269" s="24"/>
      <c r="V269" s="24"/>
      <c r="W269" s="24"/>
      <c r="X269" s="24"/>
      <c r="Y269" s="24"/>
      <c r="Z269" s="24"/>
      <c r="AA269" s="24"/>
      <c r="AB269" s="24"/>
      <c r="AC269" s="24"/>
      <c r="AD269" s="24"/>
      <c r="AE269" s="24"/>
    </row>
    <row r="270" spans="1:31" ht="130.44999999999999">
      <c r="A270" s="91" t="s">
        <v>3537</v>
      </c>
      <c r="B270" s="26" t="s">
        <v>3538</v>
      </c>
      <c r="C270" s="26" t="s">
        <v>3539</v>
      </c>
      <c r="D270" s="26" t="s">
        <v>4065</v>
      </c>
      <c r="E270" s="25" t="s">
        <v>4066</v>
      </c>
      <c r="F270" s="25" t="s">
        <v>1058</v>
      </c>
      <c r="G270" s="57" t="str">
        <f>HYPERLINK("https://www.acquisition.gov/content/part-33-protests-disputes-and-appeals#i1080465","FAR 33.102 General, Protests. FAR 33.103 Protests to the agency. ")</f>
        <v xml:space="preserve">FAR 33.102 General, Protests. FAR 33.103 Protests to the agency. </v>
      </c>
      <c r="H270" s="57" t="str">
        <f t="shared" ref="H270:H271" si="44">HYPERLINK("https://www.acquisition.gov/sites/default/files/current/gsam/html/Part533.html#wp1859537","GSAR 533.102")</f>
        <v>GSAR 533.102</v>
      </c>
      <c r="I270" s="109" t="s">
        <v>4026</v>
      </c>
      <c r="J270" s="37" t="s">
        <v>1473</v>
      </c>
      <c r="K270" s="37" t="s">
        <v>4070</v>
      </c>
      <c r="L270" s="25" t="s">
        <v>4072</v>
      </c>
      <c r="M270" s="25" t="s">
        <v>4074</v>
      </c>
      <c r="N270" s="25" t="s">
        <v>4040</v>
      </c>
      <c r="O270" s="64"/>
      <c r="P270" s="45" t="b">
        <f t="shared" si="36"/>
        <v>0</v>
      </c>
      <c r="Q270" s="45">
        <f t="shared" si="37"/>
        <v>3</v>
      </c>
      <c r="R270" s="45">
        <f t="shared" si="38"/>
        <v>0</v>
      </c>
      <c r="S270" s="24"/>
      <c r="T270" s="24"/>
      <c r="U270" s="24"/>
      <c r="V270" s="24"/>
      <c r="W270" s="24"/>
      <c r="X270" s="24"/>
      <c r="Y270" s="24"/>
      <c r="Z270" s="24"/>
      <c r="AA270" s="24"/>
      <c r="AB270" s="24"/>
      <c r="AC270" s="24"/>
      <c r="AD270" s="24"/>
      <c r="AE270" s="24"/>
    </row>
    <row r="271" spans="1:31" ht="141.30000000000001">
      <c r="A271" s="91" t="s">
        <v>3537</v>
      </c>
      <c r="B271" s="26" t="s">
        <v>3538</v>
      </c>
      <c r="C271" s="26" t="s">
        <v>3539</v>
      </c>
      <c r="D271" s="26" t="s">
        <v>4077</v>
      </c>
      <c r="E271" s="25" t="s">
        <v>4078</v>
      </c>
      <c r="F271" s="25" t="s">
        <v>3995</v>
      </c>
      <c r="G271" s="57" t="str">
        <f>HYPERLINK("https://www.acquisition.gov/content/part-33-protests-disputes-and-appeals#i1080417","FAR 33.102 General, Protests. ")</f>
        <v xml:space="preserve">FAR 33.102 General, Protests. </v>
      </c>
      <c r="H271" s="57" t="str">
        <f t="shared" si="44"/>
        <v>GSAR 533.102</v>
      </c>
      <c r="I271" s="109" t="s">
        <v>4082</v>
      </c>
      <c r="J271" s="37" t="s">
        <v>1473</v>
      </c>
      <c r="K271" s="37" t="s">
        <v>4083</v>
      </c>
      <c r="L271" s="25" t="s">
        <v>4084</v>
      </c>
      <c r="M271" s="25" t="s">
        <v>4085</v>
      </c>
      <c r="N271" s="25" t="s">
        <v>4086</v>
      </c>
      <c r="O271" s="64"/>
      <c r="P271" s="45" t="b">
        <f t="shared" si="36"/>
        <v>0</v>
      </c>
      <c r="Q271" s="45">
        <f t="shared" si="37"/>
        <v>3</v>
      </c>
      <c r="R271" s="45">
        <f t="shared" si="38"/>
        <v>0</v>
      </c>
      <c r="S271" s="24"/>
      <c r="T271" s="24"/>
      <c r="U271" s="24"/>
      <c r="V271" s="24"/>
      <c r="W271" s="24"/>
      <c r="X271" s="24"/>
      <c r="Y271" s="24"/>
      <c r="Z271" s="24"/>
      <c r="AA271" s="24"/>
      <c r="AB271" s="24"/>
      <c r="AC271" s="24"/>
      <c r="AD271" s="24"/>
      <c r="AE271" s="24"/>
    </row>
    <row r="272" spans="1:31" ht="130.44999999999999">
      <c r="A272" s="91" t="s">
        <v>3537</v>
      </c>
      <c r="B272" s="26" t="s">
        <v>3538</v>
      </c>
      <c r="C272" s="26" t="s">
        <v>3539</v>
      </c>
      <c r="D272" s="26" t="s">
        <v>4087</v>
      </c>
      <c r="E272" s="25" t="s">
        <v>4088</v>
      </c>
      <c r="F272" s="25" t="s">
        <v>4089</v>
      </c>
      <c r="G272" s="57" t="str">
        <f>HYPERLINK("https://www.acquisition.gov/content/part-33-protests-disputes-and-appeals#i1080465","FAR 33.103(h) Protests to the agency. ")</f>
        <v xml:space="preserve">FAR 33.103(h) Protests to the agency. </v>
      </c>
      <c r="H272" s="57" t="str">
        <f t="shared" ref="H272:H273" si="45">HYPERLINK("https://www.acquisition.gov/sites/default/files/current/gsam/html/Part533.html#wp1860054","GSAR 533.103")</f>
        <v>GSAR 533.103</v>
      </c>
      <c r="I272" s="109" t="s">
        <v>4082</v>
      </c>
      <c r="J272" s="37" t="s">
        <v>1473</v>
      </c>
      <c r="K272" s="37" t="s">
        <v>4094</v>
      </c>
      <c r="L272" s="25" t="s">
        <v>4095</v>
      </c>
      <c r="M272" s="25" t="s">
        <v>4097</v>
      </c>
      <c r="N272" s="25" t="s">
        <v>4086</v>
      </c>
      <c r="O272" s="64"/>
      <c r="P272" s="45" t="b">
        <f t="shared" si="36"/>
        <v>0</v>
      </c>
      <c r="Q272" s="45">
        <f t="shared" si="37"/>
        <v>3</v>
      </c>
      <c r="R272" s="45">
        <f t="shared" si="38"/>
        <v>0</v>
      </c>
      <c r="S272" s="24"/>
      <c r="T272" s="24"/>
      <c r="U272" s="24"/>
      <c r="V272" s="24"/>
      <c r="W272" s="24"/>
      <c r="X272" s="24"/>
      <c r="Y272" s="24"/>
      <c r="Z272" s="24"/>
      <c r="AA272" s="24"/>
      <c r="AB272" s="24"/>
      <c r="AC272" s="24"/>
      <c r="AD272" s="24"/>
      <c r="AE272" s="24"/>
    </row>
    <row r="273" spans="1:31" ht="152.15">
      <c r="A273" s="91" t="s">
        <v>3537</v>
      </c>
      <c r="B273" s="26" t="s">
        <v>3538</v>
      </c>
      <c r="C273" s="26" t="s">
        <v>3539</v>
      </c>
      <c r="D273" s="26" t="s">
        <v>4100</v>
      </c>
      <c r="E273" s="25" t="s">
        <v>4101</v>
      </c>
      <c r="F273" s="25" t="s">
        <v>275</v>
      </c>
      <c r="G273" s="57" t="str">
        <f>HYPERLINK("https://www.acquisition.gov/content/part-33-protests-disputes-and-appeals#i1080465","FAR 33.103(d)(4) Protests to the agency. ")</f>
        <v xml:space="preserve">FAR 33.103(d)(4) Protests to the agency. </v>
      </c>
      <c r="H273" s="57" t="str">
        <f t="shared" si="45"/>
        <v>GSAR 533.103</v>
      </c>
      <c r="I273" s="109" t="s">
        <v>4106</v>
      </c>
      <c r="J273" s="37" t="s">
        <v>1473</v>
      </c>
      <c r="K273" s="37" t="s">
        <v>4107</v>
      </c>
      <c r="L273" s="25" t="s">
        <v>4108</v>
      </c>
      <c r="M273" s="25" t="s">
        <v>4109</v>
      </c>
      <c r="N273" s="25" t="s">
        <v>4110</v>
      </c>
      <c r="O273" s="64"/>
      <c r="P273" s="45" t="b">
        <f t="shared" si="36"/>
        <v>0</v>
      </c>
      <c r="Q273" s="45">
        <f t="shared" si="37"/>
        <v>3</v>
      </c>
      <c r="R273" s="45">
        <f t="shared" si="38"/>
        <v>0</v>
      </c>
      <c r="S273" s="24"/>
      <c r="T273" s="24"/>
      <c r="U273" s="24"/>
      <c r="V273" s="24"/>
      <c r="W273" s="24"/>
      <c r="X273" s="24"/>
      <c r="Y273" s="24"/>
      <c r="Z273" s="24"/>
      <c r="AA273" s="24"/>
      <c r="AB273" s="24"/>
      <c r="AC273" s="24"/>
      <c r="AD273" s="24"/>
      <c r="AE273" s="24"/>
    </row>
    <row r="274" spans="1:31" ht="250">
      <c r="A274" s="91" t="s">
        <v>3537</v>
      </c>
      <c r="B274" s="26" t="s">
        <v>3538</v>
      </c>
      <c r="C274" s="26" t="s">
        <v>3539</v>
      </c>
      <c r="D274" s="26" t="s">
        <v>4114</v>
      </c>
      <c r="E274" s="25" t="s">
        <v>4115</v>
      </c>
      <c r="F274" s="25" t="s">
        <v>2074</v>
      </c>
      <c r="G274" s="57" t="str">
        <f>HYPERLINK("https://www.acquisition.gov/content/part-33-protests-disputes-and-appeals#i1080497","FAR 33.104(a) Protests to GAO. 4 C.F.R 21.3(a) Notice of protest, submission of agency report, and time for filing of comments on report. ")</f>
        <v xml:space="preserve">FAR 33.104(a) Protests to GAO. 4 C.F.R 21.3(a) Notice of protest, submission of agency report, and time for filing of comments on report. </v>
      </c>
      <c r="H274" s="57" t="str">
        <f t="shared" ref="H274:H275" si="46">HYPERLINK("https://www.acquisition.gov/sites/default/files/current/gsam/html/Part533.html#wp1858155","GSAR 533.104")</f>
        <v>GSAR 533.104</v>
      </c>
      <c r="I274" s="109" t="s">
        <v>4106</v>
      </c>
      <c r="J274" s="37" t="s">
        <v>1473</v>
      </c>
      <c r="K274" s="37" t="s">
        <v>4118</v>
      </c>
      <c r="L274" s="25" t="s">
        <v>4119</v>
      </c>
      <c r="M274" s="25" t="s">
        <v>4120</v>
      </c>
      <c r="N274" s="25" t="s">
        <v>4121</v>
      </c>
      <c r="O274" s="64"/>
      <c r="P274" s="45" t="b">
        <f t="shared" si="36"/>
        <v>0</v>
      </c>
      <c r="Q274" s="45">
        <f t="shared" si="37"/>
        <v>3</v>
      </c>
      <c r="R274" s="45">
        <f t="shared" si="38"/>
        <v>0</v>
      </c>
      <c r="S274" s="24"/>
      <c r="T274" s="24"/>
      <c r="U274" s="24"/>
      <c r="V274" s="24"/>
      <c r="W274" s="24"/>
      <c r="X274" s="24"/>
      <c r="Y274" s="24"/>
      <c r="Z274" s="24"/>
      <c r="AA274" s="24"/>
      <c r="AB274" s="24"/>
      <c r="AC274" s="24"/>
      <c r="AD274" s="24"/>
      <c r="AE274" s="24"/>
    </row>
    <row r="275" spans="1:31" ht="217.4">
      <c r="A275" s="91" t="s">
        <v>3537</v>
      </c>
      <c r="B275" s="26" t="s">
        <v>3538</v>
      </c>
      <c r="C275" s="26" t="s">
        <v>3539</v>
      </c>
      <c r="D275" s="26" t="s">
        <v>4125</v>
      </c>
      <c r="E275" s="25" t="s">
        <v>4126</v>
      </c>
      <c r="F275" s="25" t="s">
        <v>1058</v>
      </c>
      <c r="G275" s="57" t="str">
        <f>HYPERLINK("https://www.acquisition.gov/content/part-33-protests-disputes-and-appeals#i1080497","FAR 33.104(b) and (c)")</f>
        <v>FAR 33.104(b) and (c)</v>
      </c>
      <c r="H275" s="57" t="str">
        <f t="shared" si="46"/>
        <v>GSAR 533.104</v>
      </c>
      <c r="I275" s="109" t="s">
        <v>4127</v>
      </c>
      <c r="J275" s="37" t="s">
        <v>1473</v>
      </c>
      <c r="K275" s="37" t="s">
        <v>4128</v>
      </c>
      <c r="L275" s="25" t="s">
        <v>4129</v>
      </c>
      <c r="M275" s="25" t="s">
        <v>4130</v>
      </c>
      <c r="N275" s="25" t="s">
        <v>4131</v>
      </c>
      <c r="O275" s="64"/>
      <c r="P275" s="45" t="b">
        <f t="shared" si="36"/>
        <v>0</v>
      </c>
      <c r="Q275" s="45">
        <f t="shared" si="37"/>
        <v>3</v>
      </c>
      <c r="R275" s="45">
        <f t="shared" si="38"/>
        <v>0</v>
      </c>
      <c r="S275" s="24"/>
      <c r="T275" s="24"/>
      <c r="U275" s="24"/>
      <c r="V275" s="24"/>
      <c r="W275" s="24"/>
      <c r="X275" s="24"/>
      <c r="Y275" s="24"/>
      <c r="Z275" s="24"/>
      <c r="AA275" s="24"/>
      <c r="AB275" s="24"/>
      <c r="AC275" s="24"/>
      <c r="AD275" s="24"/>
      <c r="AE275" s="24"/>
    </row>
    <row r="276" spans="1:31" ht="141.30000000000001">
      <c r="A276" s="91" t="s">
        <v>3537</v>
      </c>
      <c r="B276" s="26" t="s">
        <v>3538</v>
      </c>
      <c r="C276" s="26" t="s">
        <v>3539</v>
      </c>
      <c r="D276" s="26" t="s">
        <v>4136</v>
      </c>
      <c r="E276" s="25" t="s">
        <v>4137</v>
      </c>
      <c r="F276" s="25" t="s">
        <v>4138</v>
      </c>
      <c r="G276" s="93" t="str">
        <f>HYPERLINK("https://www.law.cornell.edu/cfr/text/4/21.3","4 C.F.R. 21.3(c) Submission of agency report")</f>
        <v>4 C.F.R. 21.3(c) Submission of agency report</v>
      </c>
      <c r="H276" s="25"/>
      <c r="I276" s="109" t="s">
        <v>4142</v>
      </c>
      <c r="J276" s="37" t="s">
        <v>1473</v>
      </c>
      <c r="K276" s="37" t="s">
        <v>4143</v>
      </c>
      <c r="L276" s="25" t="s">
        <v>4144</v>
      </c>
      <c r="M276" s="25" t="s">
        <v>4145</v>
      </c>
      <c r="N276" s="25" t="s">
        <v>4146</v>
      </c>
      <c r="O276" s="64"/>
      <c r="P276" s="45" t="b">
        <f t="shared" si="36"/>
        <v>0</v>
      </c>
      <c r="Q276" s="45">
        <f t="shared" si="37"/>
        <v>3</v>
      </c>
      <c r="R276" s="45">
        <f t="shared" si="38"/>
        <v>0</v>
      </c>
      <c r="S276" s="24"/>
      <c r="T276" s="24"/>
      <c r="U276" s="24"/>
      <c r="V276" s="24"/>
      <c r="W276" s="24"/>
      <c r="X276" s="24"/>
      <c r="Y276" s="24"/>
      <c r="Z276" s="24"/>
      <c r="AA276" s="24"/>
      <c r="AB276" s="24"/>
      <c r="AC276" s="24"/>
      <c r="AD276" s="24"/>
      <c r="AE276" s="24"/>
    </row>
    <row r="277" spans="1:31" ht="141.30000000000001">
      <c r="A277" s="91" t="s">
        <v>3537</v>
      </c>
      <c r="B277" s="26" t="s">
        <v>3538</v>
      </c>
      <c r="C277" s="26" t="s">
        <v>3539</v>
      </c>
      <c r="D277" s="26" t="s">
        <v>4151</v>
      </c>
      <c r="E277" s="25" t="s">
        <v>4152</v>
      </c>
      <c r="F277" s="25" t="s">
        <v>4153</v>
      </c>
      <c r="G277" s="57" t="str">
        <f>HYPERLINK("https://www.acquisition.gov/content/part-33-protests-disputes-and-appeals#i1080417","FAR 33.102 General, Protests. ")</f>
        <v xml:space="preserve">FAR 33.102 General, Protests. </v>
      </c>
      <c r="H277" s="25"/>
      <c r="I277" s="109" t="s">
        <v>4082</v>
      </c>
      <c r="J277" s="37" t="s">
        <v>1473</v>
      </c>
      <c r="K277" s="75" t="s">
        <v>4083</v>
      </c>
      <c r="L277" s="25" t="s">
        <v>4157</v>
      </c>
      <c r="M277" s="25" t="s">
        <v>4158</v>
      </c>
      <c r="N277" s="25" t="s">
        <v>4159</v>
      </c>
      <c r="O277" s="64"/>
      <c r="P277" s="45" t="b">
        <f t="shared" si="36"/>
        <v>0</v>
      </c>
      <c r="Q277" s="45">
        <f t="shared" si="37"/>
        <v>3</v>
      </c>
      <c r="R277" s="45">
        <f t="shared" si="38"/>
        <v>0</v>
      </c>
      <c r="S277" s="24"/>
      <c r="T277" s="24"/>
      <c r="U277" s="24"/>
      <c r="V277" s="24"/>
      <c r="W277" s="24"/>
      <c r="X277" s="24"/>
      <c r="Y277" s="24"/>
      <c r="Z277" s="24"/>
      <c r="AA277" s="24"/>
      <c r="AB277" s="24"/>
      <c r="AC277" s="24"/>
      <c r="AD277" s="24"/>
      <c r="AE277" s="24"/>
    </row>
    <row r="278" spans="1:31" ht="141.30000000000001">
      <c r="A278" s="91" t="s">
        <v>3537</v>
      </c>
      <c r="B278" s="26" t="s">
        <v>3538</v>
      </c>
      <c r="C278" s="26" t="s">
        <v>3539</v>
      </c>
      <c r="D278" s="26" t="s">
        <v>4160</v>
      </c>
      <c r="E278" s="25" t="s">
        <v>4162</v>
      </c>
      <c r="F278" s="25" t="s">
        <v>4164</v>
      </c>
      <c r="G278" s="57" t="str">
        <f t="shared" ref="G278:G279" si="47">HYPERLINK("https://www.acquisition.gov/content/part-33-protests-disputes-and-appeals#i1080497","4 C.F.R. 21.3 Submission of agency report. FAR 33.104 (a)(3) Protests to GAO. ")</f>
        <v xml:space="preserve">4 C.F.R. 21.3 Submission of agency report. FAR 33.104 (a)(3) Protests to GAO. </v>
      </c>
      <c r="H278" s="25"/>
      <c r="I278" s="109" t="s">
        <v>4170</v>
      </c>
      <c r="J278" s="37" t="s">
        <v>1473</v>
      </c>
      <c r="K278" s="75" t="s">
        <v>3552</v>
      </c>
      <c r="L278" s="25" t="s">
        <v>4171</v>
      </c>
      <c r="M278" s="25" t="s">
        <v>3555</v>
      </c>
      <c r="N278" s="25" t="s">
        <v>3629</v>
      </c>
      <c r="O278" s="64"/>
      <c r="P278" s="45" t="b">
        <f t="shared" si="36"/>
        <v>0</v>
      </c>
      <c r="Q278" s="45">
        <f t="shared" si="37"/>
        <v>3</v>
      </c>
      <c r="R278" s="45">
        <f t="shared" si="38"/>
        <v>0</v>
      </c>
      <c r="S278" s="24"/>
      <c r="T278" s="24"/>
      <c r="U278" s="24"/>
      <c r="V278" s="24"/>
      <c r="W278" s="24"/>
      <c r="X278" s="24"/>
      <c r="Y278" s="24"/>
      <c r="Z278" s="24"/>
      <c r="AA278" s="24"/>
      <c r="AB278" s="24"/>
      <c r="AC278" s="24"/>
      <c r="AD278" s="24"/>
      <c r="AE278" s="24"/>
    </row>
    <row r="279" spans="1:31" ht="97.85">
      <c r="A279" s="91" t="s">
        <v>3537</v>
      </c>
      <c r="B279" s="26" t="s">
        <v>3538</v>
      </c>
      <c r="C279" s="26" t="s">
        <v>3539</v>
      </c>
      <c r="D279" s="26" t="s">
        <v>4175</v>
      </c>
      <c r="E279" s="25" t="s">
        <v>4177</v>
      </c>
      <c r="F279" s="25" t="s">
        <v>4178</v>
      </c>
      <c r="G279" s="57" t="str">
        <f t="shared" si="47"/>
        <v xml:space="preserve">4 C.F.R. 21.3 Submission of agency report. FAR 33.104 (a)(3) Protests to GAO. </v>
      </c>
      <c r="H279" s="25"/>
      <c r="I279" s="109" t="s">
        <v>4179</v>
      </c>
      <c r="J279" s="37" t="s">
        <v>1473</v>
      </c>
      <c r="K279" s="37" t="s">
        <v>4181</v>
      </c>
      <c r="L279" s="25" t="s">
        <v>4184</v>
      </c>
      <c r="M279" s="25" t="s">
        <v>4185</v>
      </c>
      <c r="N279" s="25" t="s">
        <v>4186</v>
      </c>
      <c r="O279" s="64"/>
      <c r="P279" s="45" t="b">
        <f t="shared" si="36"/>
        <v>0</v>
      </c>
      <c r="Q279" s="45">
        <f t="shared" si="37"/>
        <v>3</v>
      </c>
      <c r="R279" s="45">
        <f t="shared" si="38"/>
        <v>0</v>
      </c>
      <c r="S279" s="24"/>
      <c r="T279" s="24"/>
      <c r="U279" s="24"/>
      <c r="V279" s="24"/>
      <c r="W279" s="24"/>
      <c r="X279" s="24"/>
      <c r="Y279" s="24"/>
      <c r="Z279" s="24"/>
      <c r="AA279" s="24"/>
      <c r="AB279" s="24"/>
      <c r="AC279" s="24"/>
      <c r="AD279" s="24"/>
      <c r="AE279" s="24"/>
    </row>
    <row r="280" spans="1:31" ht="141.30000000000001">
      <c r="A280" s="91" t="s">
        <v>3537</v>
      </c>
      <c r="B280" s="26" t="s">
        <v>3538</v>
      </c>
      <c r="C280" s="26" t="s">
        <v>3539</v>
      </c>
      <c r="D280" s="26" t="s">
        <v>4191</v>
      </c>
      <c r="E280" s="25" t="s">
        <v>4192</v>
      </c>
      <c r="F280" s="25" t="s">
        <v>4193</v>
      </c>
      <c r="G280" s="57" t="str">
        <f>HYPERLINK("https://www.law.cornell.edu/cfr/text/4/21.3","4 C.F.R. 21.3(g) Submission of agency report. ")</f>
        <v xml:space="preserve">4 C.F.R. 21.3(g) Submission of agency report. </v>
      </c>
      <c r="H280" s="25"/>
      <c r="I280" s="109" t="s">
        <v>4142</v>
      </c>
      <c r="J280" s="37" t="s">
        <v>1473</v>
      </c>
      <c r="K280" s="75" t="s">
        <v>4143</v>
      </c>
      <c r="L280" s="25" t="s">
        <v>4197</v>
      </c>
      <c r="M280" s="25" t="s">
        <v>4145</v>
      </c>
      <c r="N280" s="25" t="s">
        <v>4146</v>
      </c>
      <c r="O280" s="64"/>
      <c r="P280" s="45" t="b">
        <f t="shared" si="36"/>
        <v>0</v>
      </c>
      <c r="Q280" s="45">
        <f t="shared" si="37"/>
        <v>3</v>
      </c>
      <c r="R280" s="45">
        <f t="shared" si="38"/>
        <v>0</v>
      </c>
      <c r="S280" s="24"/>
      <c r="T280" s="24"/>
      <c r="U280" s="24"/>
      <c r="V280" s="24"/>
      <c r="W280" s="24"/>
      <c r="X280" s="24"/>
      <c r="Y280" s="24"/>
      <c r="Z280" s="24"/>
      <c r="AA280" s="24"/>
      <c r="AB280" s="24"/>
      <c r="AC280" s="24"/>
      <c r="AD280" s="24"/>
      <c r="AE280" s="24"/>
    </row>
    <row r="281" spans="1:31" ht="119.55">
      <c r="A281" s="91" t="s">
        <v>3537</v>
      </c>
      <c r="B281" s="26" t="s">
        <v>3538</v>
      </c>
      <c r="C281" s="26" t="s">
        <v>3539</v>
      </c>
      <c r="D281" s="26" t="s">
        <v>4202</v>
      </c>
      <c r="E281" s="25" t="s">
        <v>4203</v>
      </c>
      <c r="F281" s="25" t="s">
        <v>4204</v>
      </c>
      <c r="G281" s="57" t="str">
        <f>HYPERLINK("https://www.acquisition.gov/content/part-33-protests-disputes-and-appeals#i1080497","FAR 33.104(e) Hearings.  4 C.F.R. 21.7(a) Hearings. ")</f>
        <v xml:space="preserve">FAR 33.104(e) Hearings.  4 C.F.R. 21.7(a) Hearings. </v>
      </c>
      <c r="H281" s="25"/>
      <c r="I281" s="109" t="s">
        <v>4205</v>
      </c>
      <c r="J281" s="37" t="s">
        <v>1473</v>
      </c>
      <c r="K281" s="37" t="s">
        <v>4208</v>
      </c>
      <c r="L281" s="25" t="s">
        <v>4210</v>
      </c>
      <c r="M281" s="25" t="s">
        <v>4211</v>
      </c>
      <c r="N281" s="25" t="s">
        <v>4212</v>
      </c>
      <c r="O281" s="64"/>
      <c r="P281" s="45" t="b">
        <f t="shared" si="36"/>
        <v>0</v>
      </c>
      <c r="Q281" s="45">
        <f t="shared" si="37"/>
        <v>3</v>
      </c>
      <c r="R281" s="45">
        <f t="shared" si="38"/>
        <v>0</v>
      </c>
      <c r="S281" s="24"/>
      <c r="T281" s="24"/>
      <c r="U281" s="24"/>
      <c r="V281" s="24"/>
      <c r="W281" s="24"/>
      <c r="X281" s="24"/>
      <c r="Y281" s="24"/>
      <c r="Z281" s="24"/>
      <c r="AA281" s="24"/>
      <c r="AB281" s="24"/>
      <c r="AC281" s="24"/>
      <c r="AD281" s="24"/>
      <c r="AE281" s="24"/>
    </row>
    <row r="282" spans="1:31" ht="119.55">
      <c r="A282" s="91" t="s">
        <v>3537</v>
      </c>
      <c r="B282" s="26" t="s">
        <v>3538</v>
      </c>
      <c r="C282" s="26" t="s">
        <v>3539</v>
      </c>
      <c r="D282" s="26" t="s">
        <v>4214</v>
      </c>
      <c r="E282" s="25" t="s">
        <v>4215</v>
      </c>
      <c r="F282" s="25" t="s">
        <v>4216</v>
      </c>
      <c r="G282" s="57" t="str">
        <f>HYPERLINK("https://www.acquisition.gov/content/part-33-protests-disputes-and-appeals#i1080497","FAR 33.104(e) Hearings.  4 C.F.R. 21.7 Hearings. ")</f>
        <v xml:space="preserve">FAR 33.104(e) Hearings.  4 C.F.R. 21.7 Hearings. </v>
      </c>
      <c r="H282" s="25"/>
      <c r="I282" s="109" t="s">
        <v>4205</v>
      </c>
      <c r="J282" s="37" t="s">
        <v>1473</v>
      </c>
      <c r="K282" s="75" t="s">
        <v>4208</v>
      </c>
      <c r="L282" s="25" t="s">
        <v>4221</v>
      </c>
      <c r="M282" s="25" t="s">
        <v>4211</v>
      </c>
      <c r="N282" s="25" t="s">
        <v>4212</v>
      </c>
      <c r="O282" s="64"/>
      <c r="P282" s="45" t="b">
        <f t="shared" si="36"/>
        <v>0</v>
      </c>
      <c r="Q282" s="45">
        <f t="shared" si="37"/>
        <v>3</v>
      </c>
      <c r="R282" s="45">
        <f t="shared" si="38"/>
        <v>0</v>
      </c>
      <c r="S282" s="24"/>
      <c r="T282" s="24"/>
      <c r="U282" s="24"/>
      <c r="V282" s="24"/>
      <c r="W282" s="24"/>
      <c r="X282" s="24"/>
      <c r="Y282" s="24"/>
      <c r="Z282" s="24"/>
      <c r="AA282" s="24"/>
      <c r="AB282" s="24"/>
      <c r="AC282" s="24"/>
      <c r="AD282" s="24"/>
      <c r="AE282" s="24"/>
    </row>
    <row r="283" spans="1:31" ht="184.75">
      <c r="A283" s="91" t="s">
        <v>3537</v>
      </c>
      <c r="B283" s="26" t="s">
        <v>3538</v>
      </c>
      <c r="C283" s="26" t="s">
        <v>3539</v>
      </c>
      <c r="D283" s="26" t="s">
        <v>4225</v>
      </c>
      <c r="E283" s="25" t="s">
        <v>4226</v>
      </c>
      <c r="F283" s="25" t="s">
        <v>4227</v>
      </c>
      <c r="G283" s="57" t="str">
        <f>HYPERLINK("https://www.law.cornell.edu/cfr/text/4/21.14","4 C.F.R. 21.14 Request for reconsideration.")</f>
        <v>4 C.F.R. 21.14 Request for reconsideration.</v>
      </c>
      <c r="H283" s="25"/>
      <c r="I283" s="109" t="s">
        <v>3958</v>
      </c>
      <c r="J283" s="37" t="s">
        <v>1473</v>
      </c>
      <c r="K283" s="37" t="s">
        <v>4232</v>
      </c>
      <c r="L283" s="25" t="s">
        <v>4233</v>
      </c>
      <c r="M283" s="25" t="s">
        <v>4234</v>
      </c>
      <c r="N283" s="25" t="s">
        <v>4235</v>
      </c>
      <c r="O283" s="64"/>
      <c r="P283" s="45" t="b">
        <f t="shared" si="36"/>
        <v>0</v>
      </c>
      <c r="Q283" s="45">
        <f t="shared" si="37"/>
        <v>3</v>
      </c>
      <c r="R283" s="45">
        <f t="shared" si="38"/>
        <v>0</v>
      </c>
      <c r="S283" s="24"/>
      <c r="T283" s="24"/>
      <c r="U283" s="24"/>
      <c r="V283" s="24"/>
      <c r="W283" s="24"/>
      <c r="X283" s="24"/>
      <c r="Y283" s="24"/>
      <c r="Z283" s="24"/>
      <c r="AA283" s="24"/>
      <c r="AB283" s="24"/>
      <c r="AC283" s="24"/>
      <c r="AD283" s="24"/>
      <c r="AE283" s="24"/>
    </row>
    <row r="284" spans="1:31" ht="163.05000000000001">
      <c r="A284" s="91" t="s">
        <v>3537</v>
      </c>
      <c r="B284" s="26" t="s">
        <v>3538</v>
      </c>
      <c r="C284" s="26" t="s">
        <v>3539</v>
      </c>
      <c r="D284" s="26" t="s">
        <v>4240</v>
      </c>
      <c r="E284" s="25" t="s">
        <v>4244</v>
      </c>
      <c r="F284" s="25" t="s">
        <v>4245</v>
      </c>
      <c r="G284" s="57" t="str">
        <f>HYPERLINK("https://www.acquisition.gov/content/part-33-protests-disputes-and-appeals#i1080497","FAR 33.104(g) Notice to GAO. ")</f>
        <v xml:space="preserve">FAR 33.104(g) Notice to GAO. </v>
      </c>
      <c r="H284" s="25"/>
      <c r="I284" s="109" t="s">
        <v>4246</v>
      </c>
      <c r="J284" s="37" t="s">
        <v>1473</v>
      </c>
      <c r="K284" s="37" t="s">
        <v>4247</v>
      </c>
      <c r="L284" s="25" t="s">
        <v>4248</v>
      </c>
      <c r="M284" s="25" t="s">
        <v>4250</v>
      </c>
      <c r="N284" s="25" t="s">
        <v>4252</v>
      </c>
      <c r="O284" s="64"/>
      <c r="P284" s="45" t="b">
        <f t="shared" si="36"/>
        <v>0</v>
      </c>
      <c r="Q284" s="45">
        <f t="shared" si="37"/>
        <v>3</v>
      </c>
      <c r="R284" s="45">
        <f t="shared" si="38"/>
        <v>0</v>
      </c>
      <c r="S284" s="24"/>
      <c r="T284" s="24"/>
      <c r="U284" s="24"/>
      <c r="V284" s="24"/>
      <c r="W284" s="24"/>
      <c r="X284" s="24"/>
      <c r="Y284" s="24"/>
      <c r="Z284" s="24"/>
      <c r="AA284" s="24"/>
      <c r="AB284" s="24"/>
      <c r="AC284" s="24"/>
      <c r="AD284" s="24"/>
      <c r="AE284" s="24"/>
    </row>
    <row r="285" spans="1:31" ht="141.30000000000001">
      <c r="A285" s="91" t="s">
        <v>3537</v>
      </c>
      <c r="B285" s="26" t="s">
        <v>3538</v>
      </c>
      <c r="C285" s="26" t="s">
        <v>3539</v>
      </c>
      <c r="D285" s="26" t="s">
        <v>4253</v>
      </c>
      <c r="E285" s="25" t="s">
        <v>4254</v>
      </c>
      <c r="F285" s="25" t="s">
        <v>4255</v>
      </c>
      <c r="G285" s="57" t="str">
        <f>HYPERLINK("https://www.acquisition.gov/content/part-33-protests-disputes-and-appeals#i1080497","FAR 33.104(c)(4) Protests after award. ")</f>
        <v xml:space="preserve">FAR 33.104(c)(4) Protests after award. </v>
      </c>
      <c r="H285" s="25"/>
      <c r="I285" s="109" t="s">
        <v>4260</v>
      </c>
      <c r="J285" s="37" t="s">
        <v>1473</v>
      </c>
      <c r="K285" s="37" t="s">
        <v>4261</v>
      </c>
      <c r="L285" s="25" t="s">
        <v>4262</v>
      </c>
      <c r="M285" s="25" t="s">
        <v>4263</v>
      </c>
      <c r="N285" s="25" t="s">
        <v>4264</v>
      </c>
      <c r="O285" s="64"/>
      <c r="P285" s="45" t="b">
        <f t="shared" si="36"/>
        <v>0</v>
      </c>
      <c r="Q285" s="45">
        <f t="shared" si="37"/>
        <v>3</v>
      </c>
      <c r="R285" s="45">
        <f t="shared" si="38"/>
        <v>0</v>
      </c>
      <c r="S285" s="24"/>
      <c r="T285" s="24"/>
      <c r="U285" s="24"/>
      <c r="V285" s="24"/>
      <c r="W285" s="24"/>
      <c r="X285" s="24"/>
      <c r="Y285" s="24"/>
      <c r="Z285" s="24"/>
      <c r="AA285" s="24"/>
      <c r="AB285" s="24"/>
      <c r="AC285" s="24"/>
      <c r="AD285" s="24"/>
      <c r="AE285" s="24"/>
    </row>
    <row r="286" spans="1:31" ht="141.30000000000001">
      <c r="A286" s="91" t="s">
        <v>3537</v>
      </c>
      <c r="B286" s="26" t="s">
        <v>3538</v>
      </c>
      <c r="C286" s="26" t="s">
        <v>3539</v>
      </c>
      <c r="D286" s="26" t="s">
        <v>4268</v>
      </c>
      <c r="E286" s="25" t="s">
        <v>4269</v>
      </c>
      <c r="F286" s="25" t="s">
        <v>4270</v>
      </c>
      <c r="G286" s="57" t="str">
        <f>HYPERLINK("https://www.acquisition.gov/content/part-33-protests-disputes-and-appeals#i1080497","FAR 33.104(h) Award of costs. ")</f>
        <v xml:space="preserve">FAR 33.104(h) Award of costs. </v>
      </c>
      <c r="H286" s="25"/>
      <c r="I286" s="109" t="s">
        <v>4260</v>
      </c>
      <c r="J286" s="37" t="s">
        <v>1473</v>
      </c>
      <c r="K286" s="37" t="s">
        <v>4275</v>
      </c>
      <c r="L286" s="25" t="s">
        <v>4276</v>
      </c>
      <c r="M286" s="25" t="s">
        <v>4277</v>
      </c>
      <c r="N286" s="25" t="s">
        <v>4278</v>
      </c>
      <c r="O286" s="64"/>
      <c r="P286" s="45" t="b">
        <f t="shared" si="36"/>
        <v>0</v>
      </c>
      <c r="Q286" s="45">
        <f t="shared" si="37"/>
        <v>3</v>
      </c>
      <c r="R286" s="45">
        <f t="shared" si="38"/>
        <v>0</v>
      </c>
      <c r="S286" s="24"/>
      <c r="T286" s="24"/>
      <c r="U286" s="24"/>
      <c r="V286" s="24"/>
      <c r="W286" s="24"/>
      <c r="X286" s="24"/>
      <c r="Y286" s="24"/>
      <c r="Z286" s="24"/>
      <c r="AA286" s="24"/>
      <c r="AB286" s="24"/>
      <c r="AC286" s="24"/>
      <c r="AD286" s="24"/>
      <c r="AE286" s="24"/>
    </row>
    <row r="287" spans="1:31" ht="282.60000000000002">
      <c r="A287" s="91" t="s">
        <v>3537</v>
      </c>
      <c r="B287" s="26" t="s">
        <v>3538</v>
      </c>
      <c r="C287" s="26" t="s">
        <v>3539</v>
      </c>
      <c r="D287" s="26" t="s">
        <v>4281</v>
      </c>
      <c r="E287" s="25" t="s">
        <v>4282</v>
      </c>
      <c r="F287" s="25" t="s">
        <v>4283</v>
      </c>
      <c r="G287" s="57" t="str">
        <f>HYPERLINK("https://www.acquisition.gov/content/part-33-protests-disputes-and-appeals#i1080417","FAR 33.102 General, Protests. ")</f>
        <v xml:space="preserve">FAR 33.102 General, Protests. </v>
      </c>
      <c r="H287" s="25"/>
      <c r="I287" s="109" t="s">
        <v>4260</v>
      </c>
      <c r="J287" s="37" t="s">
        <v>1473</v>
      </c>
      <c r="K287" s="37" t="s">
        <v>4284</v>
      </c>
      <c r="L287" s="25" t="s">
        <v>4285</v>
      </c>
      <c r="M287" s="25" t="s">
        <v>4286</v>
      </c>
      <c r="N287" s="25" t="s">
        <v>4287</v>
      </c>
      <c r="O287" s="64"/>
      <c r="P287" s="45" t="b">
        <f t="shared" si="36"/>
        <v>0</v>
      </c>
      <c r="Q287" s="45">
        <f t="shared" si="37"/>
        <v>3</v>
      </c>
      <c r="R287" s="45">
        <f t="shared" si="38"/>
        <v>0</v>
      </c>
      <c r="S287" s="24"/>
      <c r="T287" s="24"/>
      <c r="U287" s="24"/>
      <c r="V287" s="24"/>
      <c r="W287" s="24"/>
      <c r="X287" s="24"/>
      <c r="Y287" s="24"/>
      <c r="Z287" s="24"/>
      <c r="AA287" s="24"/>
      <c r="AB287" s="24"/>
      <c r="AC287" s="24"/>
      <c r="AD287" s="24"/>
      <c r="AE287" s="24"/>
    </row>
    <row r="288" spans="1:31" ht="141.30000000000001">
      <c r="A288" s="91" t="s">
        <v>3537</v>
      </c>
      <c r="B288" s="26" t="s">
        <v>3538</v>
      </c>
      <c r="C288" s="26" t="s">
        <v>3539</v>
      </c>
      <c r="D288" s="26" t="s">
        <v>4288</v>
      </c>
      <c r="E288" s="25" t="s">
        <v>4289</v>
      </c>
      <c r="F288" s="25" t="s">
        <v>3542</v>
      </c>
      <c r="G288" s="93" t="str">
        <f>HYPERLINK("http://www.cofc.uscourts.gov/sites/default/files/Appendix%20C.pdf","RCFC App C Procedure in Procurement Protest Cases, Provision 21.")</f>
        <v>RCFC App C Procedure in Procurement Protest Cases, Provision 21.</v>
      </c>
      <c r="H288" s="25"/>
      <c r="I288" s="109" t="s">
        <v>4290</v>
      </c>
      <c r="J288" s="37" t="s">
        <v>1473</v>
      </c>
      <c r="K288" s="37" t="s">
        <v>4292</v>
      </c>
      <c r="L288" s="25" t="s">
        <v>4293</v>
      </c>
      <c r="M288" s="25" t="s">
        <v>4295</v>
      </c>
      <c r="N288" s="25" t="s">
        <v>4297</v>
      </c>
      <c r="O288" s="64"/>
      <c r="P288" s="45" t="b">
        <f t="shared" si="36"/>
        <v>0</v>
      </c>
      <c r="Q288" s="45">
        <f t="shared" si="37"/>
        <v>3</v>
      </c>
      <c r="R288" s="45">
        <f t="shared" si="38"/>
        <v>0</v>
      </c>
      <c r="S288" s="24"/>
      <c r="T288" s="24"/>
      <c r="U288" s="24"/>
      <c r="V288" s="24"/>
      <c r="W288" s="24"/>
      <c r="X288" s="24"/>
      <c r="Y288" s="24"/>
      <c r="Z288" s="24"/>
      <c r="AA288" s="24"/>
      <c r="AB288" s="24"/>
      <c r="AC288" s="24"/>
      <c r="AD288" s="24"/>
      <c r="AE288" s="24"/>
    </row>
    <row r="289" spans="1:31" ht="152.15">
      <c r="A289" s="91" t="s">
        <v>3537</v>
      </c>
      <c r="B289" s="26" t="s">
        <v>3538</v>
      </c>
      <c r="C289" s="26" t="s">
        <v>3539</v>
      </c>
      <c r="D289" s="26" t="s">
        <v>4299</v>
      </c>
      <c r="E289" s="25" t="s">
        <v>4300</v>
      </c>
      <c r="F289" s="25" t="s">
        <v>3542</v>
      </c>
      <c r="G289" s="93" t="str">
        <f>HYPERLINK("https://www.federalrulesofcivilprocedure.org/frcp/title-v-disclosures-and-discovery/","RCFC Title V Disclosures and Discovery. ")</f>
        <v xml:space="preserve">RCFC Title V Disclosures and Discovery. </v>
      </c>
      <c r="H289" s="51"/>
      <c r="I289" s="109" t="s">
        <v>4301</v>
      </c>
      <c r="J289" s="37" t="s">
        <v>1473</v>
      </c>
      <c r="K289" s="37" t="s">
        <v>4302</v>
      </c>
      <c r="L289" s="25" t="s">
        <v>4303</v>
      </c>
      <c r="M289" s="25" t="s">
        <v>4304</v>
      </c>
      <c r="N289" s="25" t="s">
        <v>4307</v>
      </c>
      <c r="O289" s="64"/>
      <c r="P289" s="45" t="b">
        <f t="shared" si="36"/>
        <v>0</v>
      </c>
      <c r="Q289" s="45">
        <f t="shared" si="37"/>
        <v>3</v>
      </c>
      <c r="R289" s="45">
        <f t="shared" si="38"/>
        <v>0</v>
      </c>
      <c r="S289" s="24"/>
      <c r="T289" s="24"/>
      <c r="U289" s="24"/>
      <c r="V289" s="24"/>
      <c r="W289" s="24"/>
      <c r="X289" s="24"/>
      <c r="Y289" s="24"/>
      <c r="Z289" s="24"/>
      <c r="AA289" s="24"/>
      <c r="AB289" s="24"/>
      <c r="AC289" s="24"/>
      <c r="AD289" s="24"/>
      <c r="AE289" s="24"/>
    </row>
    <row r="290" spans="1:31" ht="119.55">
      <c r="A290" s="91" t="s">
        <v>3537</v>
      </c>
      <c r="B290" s="26" t="s">
        <v>3538</v>
      </c>
      <c r="C290" s="26" t="s">
        <v>3539</v>
      </c>
      <c r="D290" s="26" t="s">
        <v>4312</v>
      </c>
      <c r="E290" s="25" t="s">
        <v>4313</v>
      </c>
      <c r="F290" s="25" t="s">
        <v>3542</v>
      </c>
      <c r="G290" s="93" t="str">
        <f>HYPERLINK("https://www.uscfc.uscourts.gov/sites/default/files/CFC%20RULES%20FINAL%20071018.pdf","RCFC 30 Depositions by Oral Examination. RCFC 31 Depositions by Written Questions. ")</f>
        <v xml:space="preserve">RCFC 30 Depositions by Oral Examination. RCFC 31 Depositions by Written Questions. </v>
      </c>
      <c r="H290" s="25"/>
      <c r="I290" s="109" t="s">
        <v>4301</v>
      </c>
      <c r="J290" s="37" t="s">
        <v>1473</v>
      </c>
      <c r="K290" s="37" t="s">
        <v>4316</v>
      </c>
      <c r="L290" s="25" t="s">
        <v>4317</v>
      </c>
      <c r="M290" s="25" t="s">
        <v>4318</v>
      </c>
      <c r="N290" s="25" t="s">
        <v>4319</v>
      </c>
      <c r="O290" s="64"/>
      <c r="P290" s="45" t="b">
        <f t="shared" si="36"/>
        <v>0</v>
      </c>
      <c r="Q290" s="45">
        <f t="shared" si="37"/>
        <v>3</v>
      </c>
      <c r="R290" s="45">
        <f t="shared" si="38"/>
        <v>0</v>
      </c>
      <c r="S290" s="24"/>
      <c r="T290" s="24"/>
      <c r="U290" s="24"/>
      <c r="V290" s="24"/>
      <c r="W290" s="24"/>
      <c r="X290" s="24"/>
      <c r="Y290" s="24"/>
      <c r="Z290" s="24"/>
      <c r="AA290" s="24"/>
      <c r="AB290" s="24"/>
      <c r="AC290" s="24"/>
      <c r="AD290" s="24"/>
      <c r="AE290" s="24"/>
    </row>
    <row r="291" spans="1:31" ht="119.55">
      <c r="A291" s="91" t="s">
        <v>3537</v>
      </c>
      <c r="B291" s="26" t="s">
        <v>3538</v>
      </c>
      <c r="C291" s="26" t="s">
        <v>3539</v>
      </c>
      <c r="D291" s="26" t="s">
        <v>4320</v>
      </c>
      <c r="E291" s="25" t="s">
        <v>4321</v>
      </c>
      <c r="F291" s="25" t="s">
        <v>3542</v>
      </c>
      <c r="G291" s="57" t="str">
        <f>HYPERLINK("http://uscfc.uscourts.gov/sites/default/files/court_info/20130813_rules/13.08.30%20Final%20Version%20of%20Rules.pdf","RCFC 43 Taking Testimony. ")</f>
        <v xml:space="preserve">RCFC 43 Taking Testimony. </v>
      </c>
      <c r="H291" s="25"/>
      <c r="I291" s="109" t="s">
        <v>4301</v>
      </c>
      <c r="J291" s="37" t="s">
        <v>1473</v>
      </c>
      <c r="K291" s="37" t="s">
        <v>4325</v>
      </c>
      <c r="L291" s="25" t="s">
        <v>4327</v>
      </c>
      <c r="M291" s="25" t="s">
        <v>4328</v>
      </c>
      <c r="N291" s="25" t="s">
        <v>4329</v>
      </c>
      <c r="O291" s="64"/>
      <c r="P291" s="45" t="b">
        <f t="shared" si="36"/>
        <v>0</v>
      </c>
      <c r="Q291" s="45">
        <f t="shared" si="37"/>
        <v>3</v>
      </c>
      <c r="R291" s="45">
        <f t="shared" si="38"/>
        <v>0</v>
      </c>
      <c r="S291" s="24"/>
      <c r="T291" s="24"/>
      <c r="U291" s="24"/>
      <c r="V291" s="24"/>
      <c r="W291" s="24"/>
      <c r="X291" s="24"/>
      <c r="Y291" s="24"/>
      <c r="Z291" s="24"/>
      <c r="AA291" s="24"/>
      <c r="AB291" s="24"/>
      <c r="AC291" s="24"/>
      <c r="AD291" s="24"/>
      <c r="AE291" s="24"/>
    </row>
    <row r="292" spans="1:31" ht="97.85">
      <c r="A292" s="147" t="s">
        <v>3537</v>
      </c>
      <c r="B292" s="148" t="s">
        <v>3538</v>
      </c>
      <c r="C292" s="148" t="s">
        <v>3539</v>
      </c>
      <c r="D292" s="148" t="s">
        <v>4334</v>
      </c>
      <c r="E292" s="149" t="s">
        <v>4335</v>
      </c>
      <c r="F292" s="149" t="s">
        <v>4339</v>
      </c>
      <c r="G292" s="150" t="str">
        <f>HYPERLINK("http://uscfc.uscourts.gov/sites/default/files/court_info/20130813_rules/13.08.30%20Final%20Version%20of%20Rules.pdf","RCFC Title VII, Judgment. ")</f>
        <v xml:space="preserve">RCFC Title VII, Judgment. </v>
      </c>
      <c r="H292" s="149"/>
      <c r="I292" s="109" t="s">
        <v>4346</v>
      </c>
      <c r="J292" s="37" t="s">
        <v>1473</v>
      </c>
      <c r="K292" s="37" t="s">
        <v>4350</v>
      </c>
      <c r="L292" s="25" t="s">
        <v>4351</v>
      </c>
      <c r="M292" s="25" t="s">
        <v>4352</v>
      </c>
      <c r="N292" s="25" t="s">
        <v>4353</v>
      </c>
      <c r="O292" s="64"/>
      <c r="P292" s="45" t="b">
        <f t="shared" si="36"/>
        <v>0</v>
      </c>
      <c r="Q292" s="45">
        <f t="shared" si="37"/>
        <v>3</v>
      </c>
      <c r="R292" s="45">
        <f t="shared" si="38"/>
        <v>0</v>
      </c>
      <c r="S292" s="24"/>
      <c r="T292" s="24"/>
      <c r="U292" s="24"/>
      <c r="V292" s="24"/>
      <c r="W292" s="24"/>
      <c r="X292" s="24"/>
      <c r="Y292" s="24"/>
      <c r="Z292" s="24"/>
      <c r="AA292" s="24"/>
      <c r="AB292" s="24"/>
      <c r="AC292" s="24"/>
      <c r="AD292" s="24"/>
      <c r="AE292" s="24"/>
    </row>
    <row r="293" spans="1:31" ht="43.5">
      <c r="A293" s="54"/>
      <c r="B293" s="54"/>
      <c r="C293" s="103"/>
      <c r="D293" s="25"/>
      <c r="E293" s="54"/>
      <c r="F293" s="54"/>
      <c r="G293" s="54"/>
      <c r="H293" s="54"/>
      <c r="I293" s="54"/>
      <c r="J293" s="151" t="s">
        <v>4357</v>
      </c>
      <c r="K293" s="151" t="s">
        <v>4365</v>
      </c>
      <c r="L293" s="152" t="s">
        <v>4366</v>
      </c>
      <c r="M293" s="151" t="s">
        <v>4367</v>
      </c>
      <c r="N293" s="151" t="s">
        <v>4368</v>
      </c>
      <c r="O293" s="64"/>
      <c r="P293" s="45" t="b">
        <f t="shared" si="36"/>
        <v>0</v>
      </c>
      <c r="Q293" s="45" t="e">
        <f t="shared" ref="Q293:Q312" si="48">IF(#REF!="Unidentified",0,3)</f>
        <v>#REF!</v>
      </c>
      <c r="R293" s="45">
        <f t="shared" si="38"/>
        <v>0</v>
      </c>
      <c r="S293" s="24"/>
      <c r="T293" s="24"/>
      <c r="U293" s="24"/>
      <c r="V293" s="24"/>
      <c r="W293" s="24"/>
      <c r="X293" s="24"/>
      <c r="Y293" s="24"/>
      <c r="Z293" s="24"/>
      <c r="AA293" s="24"/>
      <c r="AB293" s="24"/>
      <c r="AC293" s="24"/>
      <c r="AD293" s="24"/>
      <c r="AE293" s="24"/>
    </row>
    <row r="294" spans="1:31" ht="54.35">
      <c r="A294" s="54"/>
      <c r="B294" s="54"/>
      <c r="C294" s="103"/>
      <c r="D294" s="25"/>
      <c r="E294" s="54"/>
      <c r="F294" s="54"/>
      <c r="G294" s="54"/>
      <c r="H294" s="54"/>
      <c r="I294" s="54"/>
      <c r="J294" s="151" t="s">
        <v>4373</v>
      </c>
      <c r="K294" s="151" t="s">
        <v>4374</v>
      </c>
      <c r="L294" s="152" t="s">
        <v>4375</v>
      </c>
      <c r="M294" s="151" t="s">
        <v>4376</v>
      </c>
      <c r="N294" s="151" t="s">
        <v>4377</v>
      </c>
      <c r="O294" s="64"/>
      <c r="P294" s="45" t="b">
        <f t="shared" si="36"/>
        <v>0</v>
      </c>
      <c r="Q294" s="45" t="e">
        <f t="shared" si="48"/>
        <v>#REF!</v>
      </c>
      <c r="R294" s="45">
        <f t="shared" si="38"/>
        <v>0</v>
      </c>
      <c r="S294" s="24"/>
      <c r="T294" s="24"/>
      <c r="U294" s="24"/>
      <c r="V294" s="24"/>
      <c r="W294" s="24"/>
      <c r="X294" s="24"/>
      <c r="Y294" s="24"/>
      <c r="Z294" s="24"/>
      <c r="AA294" s="24"/>
      <c r="AB294" s="24"/>
      <c r="AC294" s="24"/>
      <c r="AD294" s="24"/>
      <c r="AE294" s="24"/>
    </row>
    <row r="295" spans="1:31" ht="65.25">
      <c r="A295" s="54"/>
      <c r="B295" s="54"/>
      <c r="C295" s="54"/>
      <c r="D295" s="54"/>
      <c r="E295" s="54"/>
      <c r="F295" s="54"/>
      <c r="G295" s="54"/>
      <c r="H295" s="54"/>
      <c r="I295" s="54"/>
      <c r="J295" s="151" t="s">
        <v>4357</v>
      </c>
      <c r="K295" s="151" t="s">
        <v>4381</v>
      </c>
      <c r="L295" s="154" t="s">
        <v>4382</v>
      </c>
      <c r="M295" s="155" t="s">
        <v>4390</v>
      </c>
      <c r="N295" s="151" t="s">
        <v>4395</v>
      </c>
      <c r="O295" s="64"/>
      <c r="P295" s="45" t="b">
        <f t="shared" si="36"/>
        <v>0</v>
      </c>
      <c r="Q295" s="45" t="e">
        <f t="shared" si="48"/>
        <v>#REF!</v>
      </c>
      <c r="R295" s="45">
        <f t="shared" si="38"/>
        <v>0</v>
      </c>
      <c r="S295" s="24"/>
      <c r="T295" s="24"/>
      <c r="U295" s="24"/>
      <c r="V295" s="24"/>
      <c r="W295" s="24"/>
      <c r="X295" s="24"/>
      <c r="Y295" s="24"/>
      <c r="Z295" s="24"/>
      <c r="AA295" s="24"/>
      <c r="AB295" s="24"/>
      <c r="AC295" s="24"/>
      <c r="AD295" s="24"/>
      <c r="AE295" s="24"/>
    </row>
    <row r="296" spans="1:31" ht="65.25">
      <c r="A296" s="54"/>
      <c r="B296" s="54"/>
      <c r="C296" s="54"/>
      <c r="D296" s="54"/>
      <c r="E296" s="54"/>
      <c r="F296" s="54"/>
      <c r="G296" s="54"/>
      <c r="H296" s="54"/>
      <c r="I296" s="54"/>
      <c r="J296" s="151" t="s">
        <v>4357</v>
      </c>
      <c r="K296" s="151" t="s">
        <v>4399</v>
      </c>
      <c r="L296" s="154" t="s">
        <v>4400</v>
      </c>
      <c r="M296" s="155" t="s">
        <v>4401</v>
      </c>
      <c r="N296" s="151" t="s">
        <v>4402</v>
      </c>
      <c r="O296" s="64"/>
      <c r="P296" s="45" t="b">
        <f t="shared" si="36"/>
        <v>0</v>
      </c>
      <c r="Q296" s="45" t="e">
        <f t="shared" si="48"/>
        <v>#REF!</v>
      </c>
      <c r="R296" s="45">
        <f t="shared" si="38"/>
        <v>0</v>
      </c>
      <c r="S296" s="24"/>
      <c r="T296" s="24"/>
      <c r="U296" s="24"/>
      <c r="V296" s="24"/>
      <c r="W296" s="24"/>
      <c r="X296" s="24"/>
      <c r="Y296" s="24"/>
      <c r="Z296" s="24"/>
      <c r="AA296" s="24"/>
      <c r="AB296" s="24"/>
      <c r="AC296" s="24"/>
      <c r="AD296" s="24"/>
      <c r="AE296" s="24"/>
    </row>
    <row r="297" spans="1:31" ht="65.25">
      <c r="A297" s="54"/>
      <c r="B297" s="54"/>
      <c r="C297" s="54"/>
      <c r="D297" s="54"/>
      <c r="E297" s="54"/>
      <c r="F297" s="54"/>
      <c r="G297" s="54"/>
      <c r="H297" s="54"/>
      <c r="I297" s="54"/>
      <c r="J297" s="151" t="s">
        <v>4357</v>
      </c>
      <c r="K297" s="151" t="s">
        <v>4407</v>
      </c>
      <c r="L297" s="154" t="s">
        <v>4408</v>
      </c>
      <c r="M297" s="155" t="s">
        <v>4409</v>
      </c>
      <c r="N297" s="151" t="s">
        <v>4410</v>
      </c>
      <c r="O297" s="64"/>
      <c r="P297" s="45" t="b">
        <f t="shared" si="36"/>
        <v>0</v>
      </c>
      <c r="Q297" s="45" t="e">
        <f t="shared" si="48"/>
        <v>#REF!</v>
      </c>
      <c r="R297" s="45">
        <f t="shared" si="38"/>
        <v>0</v>
      </c>
      <c r="S297" s="24"/>
      <c r="T297" s="24"/>
      <c r="U297" s="24"/>
      <c r="V297" s="24"/>
      <c r="W297" s="24"/>
      <c r="X297" s="24"/>
      <c r="Y297" s="24"/>
      <c r="Z297" s="24"/>
      <c r="AA297" s="24"/>
      <c r="AB297" s="24"/>
      <c r="AC297" s="24"/>
      <c r="AD297" s="24"/>
      <c r="AE297" s="24"/>
    </row>
    <row r="298" spans="1:31" ht="50.3" customHeight="1">
      <c r="A298" s="54"/>
      <c r="B298" s="54"/>
      <c r="C298" s="54"/>
      <c r="D298" s="54"/>
      <c r="E298" s="54"/>
      <c r="F298" s="54"/>
      <c r="G298" s="54"/>
      <c r="H298" s="54"/>
      <c r="I298" s="54"/>
      <c r="J298" s="151" t="s">
        <v>4357</v>
      </c>
      <c r="K298" s="151" t="s">
        <v>4414</v>
      </c>
      <c r="L298" s="154" t="s">
        <v>4415</v>
      </c>
      <c r="M298" s="155" t="s">
        <v>4416</v>
      </c>
      <c r="N298" s="151" t="s">
        <v>4402</v>
      </c>
      <c r="O298" s="64"/>
      <c r="P298" s="45" t="b">
        <f t="shared" si="36"/>
        <v>0</v>
      </c>
      <c r="Q298" s="45" t="e">
        <f t="shared" si="48"/>
        <v>#REF!</v>
      </c>
      <c r="R298" s="45">
        <f t="shared" si="38"/>
        <v>0</v>
      </c>
      <c r="S298" s="24"/>
      <c r="T298" s="24"/>
      <c r="U298" s="24"/>
      <c r="V298" s="24"/>
      <c r="W298" s="24"/>
      <c r="X298" s="24"/>
      <c r="Y298" s="24"/>
      <c r="Z298" s="24"/>
      <c r="AA298" s="24"/>
      <c r="AB298" s="24"/>
      <c r="AC298" s="24"/>
      <c r="AD298" s="24"/>
      <c r="AE298" s="24"/>
    </row>
    <row r="299" spans="1:31" ht="76.099999999999994">
      <c r="A299" s="54"/>
      <c r="B299" s="54"/>
      <c r="C299" s="54"/>
      <c r="D299" s="54"/>
      <c r="E299" s="54"/>
      <c r="F299" s="54"/>
      <c r="G299" s="54"/>
      <c r="H299" s="54"/>
      <c r="I299" s="54"/>
      <c r="J299" s="151" t="s">
        <v>4357</v>
      </c>
      <c r="K299" s="151" t="s">
        <v>4421</v>
      </c>
      <c r="L299" s="156" t="s">
        <v>4424</v>
      </c>
      <c r="M299" s="155" t="s">
        <v>4426</v>
      </c>
      <c r="N299" s="151" t="s">
        <v>4429</v>
      </c>
      <c r="O299" s="64"/>
      <c r="P299" s="45" t="b">
        <f t="shared" si="36"/>
        <v>0</v>
      </c>
      <c r="Q299" s="45" t="e">
        <f t="shared" si="48"/>
        <v>#REF!</v>
      </c>
      <c r="R299" s="45">
        <f t="shared" si="38"/>
        <v>0</v>
      </c>
      <c r="S299" s="24"/>
      <c r="T299" s="24"/>
      <c r="U299" s="24"/>
      <c r="V299" s="24"/>
      <c r="W299" s="24"/>
      <c r="X299" s="24"/>
      <c r="Y299" s="24"/>
      <c r="Z299" s="24"/>
      <c r="AA299" s="24"/>
      <c r="AB299" s="24"/>
      <c r="AC299" s="24"/>
      <c r="AD299" s="24"/>
      <c r="AE299" s="24"/>
    </row>
    <row r="300" spans="1:31" ht="76.099999999999994">
      <c r="A300" s="54"/>
      <c r="B300" s="54"/>
      <c r="C300" s="54"/>
      <c r="D300" s="54"/>
      <c r="E300" s="54"/>
      <c r="F300" s="54"/>
      <c r="G300" s="54"/>
      <c r="H300" s="54"/>
      <c r="I300" s="54"/>
      <c r="J300" s="151" t="s">
        <v>4357</v>
      </c>
      <c r="K300" s="151" t="s">
        <v>4431</v>
      </c>
      <c r="L300" s="156" t="s">
        <v>4432</v>
      </c>
      <c r="M300" s="155" t="s">
        <v>4433</v>
      </c>
      <c r="N300" s="151" t="s">
        <v>4434</v>
      </c>
      <c r="O300" s="64"/>
      <c r="P300" s="45" t="b">
        <f t="shared" si="36"/>
        <v>0</v>
      </c>
      <c r="Q300" s="45" t="e">
        <f t="shared" si="48"/>
        <v>#REF!</v>
      </c>
      <c r="R300" s="45">
        <f t="shared" si="38"/>
        <v>0</v>
      </c>
      <c r="S300" s="24"/>
      <c r="T300" s="24"/>
      <c r="U300" s="24"/>
      <c r="V300" s="24"/>
      <c r="W300" s="24"/>
      <c r="X300" s="24"/>
      <c r="Y300" s="24"/>
      <c r="Z300" s="24"/>
      <c r="AA300" s="24"/>
      <c r="AB300" s="24"/>
      <c r="AC300" s="24"/>
      <c r="AD300" s="24"/>
      <c r="AE300" s="24"/>
    </row>
    <row r="301" spans="1:31" ht="43.5">
      <c r="A301" s="54"/>
      <c r="B301" s="54"/>
      <c r="C301" s="54"/>
      <c r="D301" s="54"/>
      <c r="E301" s="54"/>
      <c r="F301" s="54"/>
      <c r="G301" s="54"/>
      <c r="H301" s="54"/>
      <c r="I301" s="54"/>
      <c r="J301" s="151" t="s">
        <v>4438</v>
      </c>
      <c r="K301" s="151" t="s">
        <v>4439</v>
      </c>
      <c r="L301" s="152" t="s">
        <v>4440</v>
      </c>
      <c r="M301" s="155" t="s">
        <v>4441</v>
      </c>
      <c r="N301" s="151" t="s">
        <v>4442</v>
      </c>
      <c r="O301" s="64"/>
      <c r="P301" s="45" t="b">
        <f t="shared" si="36"/>
        <v>0</v>
      </c>
      <c r="Q301" s="45" t="e">
        <f t="shared" si="48"/>
        <v>#REF!</v>
      </c>
      <c r="R301" s="45">
        <f t="shared" si="38"/>
        <v>0</v>
      </c>
      <c r="S301" s="24"/>
      <c r="T301" s="24"/>
      <c r="U301" s="24"/>
      <c r="V301" s="24"/>
      <c r="W301" s="24"/>
      <c r="X301" s="24"/>
      <c r="Y301" s="24"/>
      <c r="Z301" s="24"/>
      <c r="AA301" s="24"/>
      <c r="AB301" s="24"/>
      <c r="AC301" s="24"/>
      <c r="AD301" s="24"/>
      <c r="AE301" s="24"/>
    </row>
    <row r="302" spans="1:31" ht="54.35">
      <c r="A302" s="54"/>
      <c r="B302" s="54"/>
      <c r="C302" s="54"/>
      <c r="D302" s="54"/>
      <c r="E302" s="54"/>
      <c r="F302" s="54"/>
      <c r="G302" s="54"/>
      <c r="H302" s="54"/>
      <c r="I302" s="54"/>
      <c r="J302" s="151" t="s">
        <v>4438</v>
      </c>
      <c r="K302" s="151" t="s">
        <v>4445</v>
      </c>
      <c r="L302" s="156" t="s">
        <v>4447</v>
      </c>
      <c r="M302" s="155" t="s">
        <v>4449</v>
      </c>
      <c r="N302" s="151" t="s">
        <v>4450</v>
      </c>
      <c r="O302" s="64"/>
      <c r="P302" s="45" t="b">
        <f t="shared" si="36"/>
        <v>0</v>
      </c>
      <c r="Q302" s="45" t="e">
        <f t="shared" si="48"/>
        <v>#REF!</v>
      </c>
      <c r="R302" s="45">
        <f t="shared" si="38"/>
        <v>0</v>
      </c>
      <c r="S302" s="24"/>
      <c r="T302" s="24"/>
      <c r="U302" s="24"/>
      <c r="V302" s="24"/>
      <c r="W302" s="24"/>
      <c r="X302" s="24"/>
      <c r="Y302" s="24"/>
      <c r="Z302" s="24"/>
      <c r="AA302" s="24"/>
      <c r="AB302" s="24"/>
      <c r="AC302" s="24"/>
      <c r="AD302" s="24"/>
      <c r="AE302" s="24"/>
    </row>
    <row r="303" spans="1:31" ht="43.5">
      <c r="A303" s="54"/>
      <c r="B303" s="54"/>
      <c r="C303" s="54"/>
      <c r="D303" s="54"/>
      <c r="E303" s="54"/>
      <c r="F303" s="54"/>
      <c r="G303" s="54"/>
      <c r="H303" s="54"/>
      <c r="I303" s="54"/>
      <c r="J303" s="151" t="s">
        <v>4357</v>
      </c>
      <c r="K303" s="151" t="s">
        <v>4451</v>
      </c>
      <c r="L303" s="156" t="s">
        <v>4452</v>
      </c>
      <c r="M303" s="155" t="s">
        <v>4453</v>
      </c>
      <c r="N303" s="151" t="s">
        <v>4454</v>
      </c>
      <c r="O303" s="64"/>
      <c r="P303" s="45" t="b">
        <f t="shared" si="36"/>
        <v>0</v>
      </c>
      <c r="Q303" s="45" t="e">
        <f t="shared" si="48"/>
        <v>#REF!</v>
      </c>
      <c r="R303" s="45">
        <f t="shared" si="38"/>
        <v>0</v>
      </c>
      <c r="S303" s="24"/>
      <c r="T303" s="24"/>
      <c r="U303" s="24"/>
      <c r="V303" s="24"/>
      <c r="W303" s="24"/>
      <c r="X303" s="24"/>
      <c r="Y303" s="24"/>
      <c r="Z303" s="24"/>
      <c r="AA303" s="24"/>
      <c r="AB303" s="24"/>
      <c r="AC303" s="24"/>
      <c r="AD303" s="24"/>
      <c r="AE303" s="24"/>
    </row>
    <row r="304" spans="1:31" ht="54.35">
      <c r="A304" s="54"/>
      <c r="B304" s="54"/>
      <c r="C304" s="54"/>
      <c r="D304" s="54"/>
      <c r="E304" s="54"/>
      <c r="F304" s="54"/>
      <c r="G304" s="54"/>
      <c r="H304" s="54"/>
      <c r="I304" s="54"/>
      <c r="J304" s="151" t="s">
        <v>4357</v>
      </c>
      <c r="K304" s="151" t="s">
        <v>4457</v>
      </c>
      <c r="L304" s="152" t="s">
        <v>4458</v>
      </c>
      <c r="M304" s="157" t="s">
        <v>4460</v>
      </c>
      <c r="N304" s="151" t="s">
        <v>4468</v>
      </c>
      <c r="O304" s="64"/>
      <c r="P304" s="45" t="b">
        <f t="shared" si="36"/>
        <v>0</v>
      </c>
      <c r="Q304" s="45" t="e">
        <f t="shared" si="48"/>
        <v>#REF!</v>
      </c>
      <c r="R304" s="45">
        <f t="shared" si="38"/>
        <v>0</v>
      </c>
      <c r="S304" s="24"/>
      <c r="T304" s="24"/>
      <c r="U304" s="24"/>
      <c r="V304" s="24"/>
      <c r="W304" s="24"/>
      <c r="X304" s="24"/>
      <c r="Y304" s="24"/>
      <c r="Z304" s="24"/>
      <c r="AA304" s="24"/>
      <c r="AB304" s="24"/>
      <c r="AC304" s="24"/>
      <c r="AD304" s="24"/>
      <c r="AE304" s="24"/>
    </row>
    <row r="305" spans="1:31" ht="54.35">
      <c r="A305" s="54"/>
      <c r="B305" s="54"/>
      <c r="C305" s="54"/>
      <c r="D305" s="54"/>
      <c r="E305" s="54"/>
      <c r="F305" s="54"/>
      <c r="G305" s="54"/>
      <c r="H305" s="54"/>
      <c r="I305" s="54"/>
      <c r="J305" s="151" t="s">
        <v>4357</v>
      </c>
      <c r="K305" s="151" t="s">
        <v>4473</v>
      </c>
      <c r="L305" s="156" t="s">
        <v>4474</v>
      </c>
      <c r="M305" s="155" t="s">
        <v>4475</v>
      </c>
      <c r="N305" s="151" t="s">
        <v>4476</v>
      </c>
      <c r="O305" s="64"/>
      <c r="P305" s="45" t="b">
        <f t="shared" si="36"/>
        <v>0</v>
      </c>
      <c r="Q305" s="45" t="e">
        <f t="shared" si="48"/>
        <v>#REF!</v>
      </c>
      <c r="R305" s="45">
        <f t="shared" si="38"/>
        <v>0</v>
      </c>
      <c r="S305" s="24"/>
      <c r="T305" s="24"/>
      <c r="U305" s="24"/>
      <c r="V305" s="24"/>
      <c r="W305" s="24"/>
      <c r="X305" s="24"/>
      <c r="Y305" s="24"/>
      <c r="Z305" s="24"/>
      <c r="AA305" s="24"/>
      <c r="AB305" s="24"/>
      <c r="AC305" s="24"/>
      <c r="AD305" s="24"/>
      <c r="AE305" s="24"/>
    </row>
    <row r="306" spans="1:31" ht="54.35">
      <c r="A306" s="54"/>
      <c r="B306" s="54"/>
      <c r="C306" s="54"/>
      <c r="D306" s="54"/>
      <c r="E306" s="54"/>
      <c r="F306" s="54"/>
      <c r="G306" s="54"/>
      <c r="H306" s="54"/>
      <c r="I306" s="54"/>
      <c r="J306" s="151" t="s">
        <v>4357</v>
      </c>
      <c r="K306" s="151" t="s">
        <v>4480</v>
      </c>
      <c r="L306" s="156" t="s">
        <v>4481</v>
      </c>
      <c r="M306" s="155" t="s">
        <v>4482</v>
      </c>
      <c r="N306" s="151" t="s">
        <v>4483</v>
      </c>
      <c r="O306" s="64"/>
      <c r="P306" s="45" t="b">
        <f t="shared" si="36"/>
        <v>0</v>
      </c>
      <c r="Q306" s="45" t="e">
        <f t="shared" si="48"/>
        <v>#REF!</v>
      </c>
      <c r="R306" s="45">
        <f t="shared" si="38"/>
        <v>0</v>
      </c>
      <c r="S306" s="24"/>
      <c r="T306" s="24"/>
      <c r="U306" s="24"/>
      <c r="V306" s="24"/>
      <c r="W306" s="24"/>
      <c r="X306" s="24"/>
      <c r="Y306" s="24"/>
      <c r="Z306" s="24"/>
      <c r="AA306" s="24"/>
      <c r="AB306" s="24"/>
      <c r="AC306" s="24"/>
      <c r="AD306" s="24"/>
      <c r="AE306" s="24"/>
    </row>
    <row r="307" spans="1:31" ht="54.35">
      <c r="A307" s="54"/>
      <c r="B307" s="54"/>
      <c r="C307" s="54"/>
      <c r="D307" s="54"/>
      <c r="E307" s="54"/>
      <c r="F307" s="54"/>
      <c r="G307" s="54"/>
      <c r="H307" s="54"/>
      <c r="I307" s="54"/>
      <c r="J307" s="151" t="s">
        <v>4357</v>
      </c>
      <c r="K307" s="151" t="s">
        <v>4491</v>
      </c>
      <c r="L307" s="158" t="s">
        <v>4492</v>
      </c>
      <c r="M307" s="155" t="s">
        <v>4493</v>
      </c>
      <c r="N307" s="151" t="s">
        <v>4494</v>
      </c>
      <c r="O307" s="64"/>
      <c r="P307" s="45" t="b">
        <f t="shared" si="36"/>
        <v>0</v>
      </c>
      <c r="Q307" s="45" t="e">
        <f t="shared" si="48"/>
        <v>#REF!</v>
      </c>
      <c r="R307" s="45">
        <f t="shared" si="38"/>
        <v>0</v>
      </c>
      <c r="S307" s="24"/>
      <c r="T307" s="24"/>
      <c r="U307" s="24"/>
      <c r="V307" s="24"/>
      <c r="W307" s="24"/>
      <c r="X307" s="24"/>
      <c r="Y307" s="24"/>
      <c r="Z307" s="24"/>
      <c r="AA307" s="24"/>
      <c r="AB307" s="24"/>
      <c r="AC307" s="24"/>
      <c r="AD307" s="24"/>
      <c r="AE307" s="24"/>
    </row>
    <row r="308" spans="1:31" ht="43.5">
      <c r="A308" s="54"/>
      <c r="B308" s="54"/>
      <c r="C308" s="54"/>
      <c r="D308" s="54"/>
      <c r="E308" s="54"/>
      <c r="F308" s="54"/>
      <c r="G308" s="54"/>
      <c r="H308" s="54"/>
      <c r="I308" s="54"/>
      <c r="J308" s="151" t="s">
        <v>4357</v>
      </c>
      <c r="K308" s="151" t="s">
        <v>4499</v>
      </c>
      <c r="L308" s="158" t="s">
        <v>4500</v>
      </c>
      <c r="M308" s="155" t="s">
        <v>4501</v>
      </c>
      <c r="N308" s="151" t="s">
        <v>4502</v>
      </c>
      <c r="O308" s="64"/>
      <c r="P308" s="45" t="b">
        <f t="shared" si="36"/>
        <v>0</v>
      </c>
      <c r="Q308" s="45" t="e">
        <f t="shared" si="48"/>
        <v>#REF!</v>
      </c>
      <c r="R308" s="45">
        <f t="shared" si="38"/>
        <v>0</v>
      </c>
      <c r="S308" s="24"/>
      <c r="T308" s="24"/>
      <c r="U308" s="24"/>
      <c r="V308" s="24"/>
      <c r="W308" s="24"/>
      <c r="X308" s="24"/>
      <c r="Y308" s="24"/>
      <c r="Z308" s="24"/>
      <c r="AA308" s="24"/>
      <c r="AB308" s="24"/>
      <c r="AC308" s="24"/>
      <c r="AD308" s="24"/>
      <c r="AE308" s="24"/>
    </row>
    <row r="309" spans="1:31" ht="43.5">
      <c r="A309" s="54"/>
      <c r="B309" s="54"/>
      <c r="C309" s="54"/>
      <c r="D309" s="54"/>
      <c r="E309" s="54"/>
      <c r="F309" s="54"/>
      <c r="G309" s="54"/>
      <c r="H309" s="54"/>
      <c r="I309" s="54"/>
      <c r="J309" s="151" t="s">
        <v>4357</v>
      </c>
      <c r="K309" s="151" t="s">
        <v>4506</v>
      </c>
      <c r="L309" s="158" t="s">
        <v>4507</v>
      </c>
      <c r="M309" s="155" t="s">
        <v>4508</v>
      </c>
      <c r="N309" s="151" t="s">
        <v>4509</v>
      </c>
      <c r="O309" s="64"/>
      <c r="P309" s="45" t="b">
        <f t="shared" si="36"/>
        <v>0</v>
      </c>
      <c r="Q309" s="45" t="e">
        <f t="shared" si="48"/>
        <v>#REF!</v>
      </c>
      <c r="R309" s="45">
        <f t="shared" si="38"/>
        <v>0</v>
      </c>
      <c r="S309" s="24"/>
      <c r="T309" s="24"/>
      <c r="U309" s="24"/>
      <c r="V309" s="24"/>
      <c r="W309" s="24"/>
      <c r="X309" s="24"/>
      <c r="Y309" s="24"/>
      <c r="Z309" s="24"/>
      <c r="AA309" s="24"/>
      <c r="AB309" s="24"/>
      <c r="AC309" s="24"/>
      <c r="AD309" s="24"/>
      <c r="AE309" s="24"/>
    </row>
    <row r="310" spans="1:31" ht="32.6">
      <c r="A310" s="54"/>
      <c r="B310" s="54"/>
      <c r="C310" s="54"/>
      <c r="D310" s="54"/>
      <c r="E310" s="54"/>
      <c r="F310" s="54"/>
      <c r="G310" s="54"/>
      <c r="H310" s="54"/>
      <c r="I310" s="54"/>
      <c r="J310" s="151" t="s">
        <v>4357</v>
      </c>
      <c r="K310" s="151" t="s">
        <v>4511</v>
      </c>
      <c r="L310" s="158" t="s">
        <v>4513</v>
      </c>
      <c r="M310" s="155" t="s">
        <v>4514</v>
      </c>
      <c r="N310" s="151" t="s">
        <v>4516</v>
      </c>
      <c r="O310" s="64"/>
      <c r="P310" s="45" t="b">
        <f t="shared" si="36"/>
        <v>0</v>
      </c>
      <c r="Q310" s="45" t="e">
        <f t="shared" si="48"/>
        <v>#REF!</v>
      </c>
      <c r="R310" s="45">
        <f t="shared" si="38"/>
        <v>0</v>
      </c>
      <c r="S310" s="24"/>
      <c r="T310" s="24"/>
      <c r="U310" s="24"/>
      <c r="V310" s="24"/>
      <c r="W310" s="24"/>
      <c r="X310" s="24"/>
      <c r="Y310" s="24"/>
      <c r="Z310" s="24"/>
      <c r="AA310" s="24"/>
      <c r="AB310" s="24"/>
      <c r="AC310" s="24"/>
      <c r="AD310" s="24"/>
      <c r="AE310" s="24"/>
    </row>
    <row r="311" spans="1:31" ht="32.6">
      <c r="A311" s="54"/>
      <c r="B311" s="54"/>
      <c r="C311" s="54"/>
      <c r="D311" s="54"/>
      <c r="E311" s="54"/>
      <c r="F311" s="54"/>
      <c r="G311" s="54"/>
      <c r="H311" s="54"/>
      <c r="I311" s="54"/>
      <c r="J311" s="151" t="s">
        <v>4357</v>
      </c>
      <c r="K311" s="151" t="s">
        <v>4519</v>
      </c>
      <c r="L311" s="156" t="s">
        <v>4521</v>
      </c>
      <c r="M311" s="157" t="s">
        <v>4523</v>
      </c>
      <c r="N311" s="151" t="s">
        <v>4524</v>
      </c>
      <c r="O311" s="64"/>
      <c r="P311" s="45" t="b">
        <f t="shared" si="36"/>
        <v>0</v>
      </c>
      <c r="Q311" s="45" t="e">
        <f t="shared" si="48"/>
        <v>#REF!</v>
      </c>
      <c r="R311" s="45">
        <f t="shared" si="38"/>
        <v>0</v>
      </c>
      <c r="S311" s="24"/>
      <c r="T311" s="24"/>
      <c r="U311" s="24"/>
      <c r="V311" s="24"/>
      <c r="W311" s="24"/>
      <c r="X311" s="24"/>
      <c r="Y311" s="24"/>
      <c r="Z311" s="24"/>
      <c r="AA311" s="24"/>
      <c r="AB311" s="24"/>
      <c r="AC311" s="24"/>
      <c r="AD311" s="24"/>
      <c r="AE311" s="24"/>
    </row>
    <row r="312" spans="1:31" ht="43.5">
      <c r="A312" s="54"/>
      <c r="B312" s="54"/>
      <c r="C312" s="54"/>
      <c r="D312" s="54"/>
      <c r="E312" s="54"/>
      <c r="F312" s="54"/>
      <c r="G312" s="54"/>
      <c r="H312" s="54"/>
      <c r="I312" s="54"/>
      <c r="J312" s="151" t="s">
        <v>4357</v>
      </c>
      <c r="K312" s="151" t="s">
        <v>4527</v>
      </c>
      <c r="L312" s="156" t="s">
        <v>4528</v>
      </c>
      <c r="M312" s="155" t="s">
        <v>4530</v>
      </c>
      <c r="N312" s="151" t="s">
        <v>4532</v>
      </c>
      <c r="O312" s="64"/>
      <c r="P312" s="45" t="b">
        <f t="shared" si="36"/>
        <v>0</v>
      </c>
      <c r="Q312" s="45" t="e">
        <f t="shared" si="48"/>
        <v>#REF!</v>
      </c>
      <c r="R312" s="45">
        <f t="shared" si="38"/>
        <v>0</v>
      </c>
      <c r="S312" s="24"/>
      <c r="T312" s="24"/>
      <c r="U312" s="24"/>
      <c r="V312" s="24"/>
      <c r="W312" s="24"/>
      <c r="X312" s="24"/>
      <c r="Y312" s="24"/>
      <c r="Z312" s="24"/>
      <c r="AA312" s="24"/>
      <c r="AB312" s="24"/>
      <c r="AC312" s="24"/>
      <c r="AD312" s="24"/>
      <c r="AE312" s="24"/>
    </row>
    <row r="313" spans="1:31" ht="12.9">
      <c r="A313" s="24"/>
      <c r="B313" s="24"/>
      <c r="C313" s="24"/>
      <c r="D313" s="24"/>
      <c r="E313" s="24"/>
      <c r="F313" s="24"/>
      <c r="G313" s="24"/>
      <c r="H313" s="24"/>
      <c r="I313" s="24"/>
      <c r="J313" s="305" t="s">
        <v>4536</v>
      </c>
      <c r="K313" s="306"/>
      <c r="L313" s="306"/>
      <c r="M313" s="306"/>
      <c r="N313" s="306"/>
      <c r="O313" s="24"/>
      <c r="P313" s="24"/>
      <c r="Q313" s="24"/>
      <c r="R313" s="24"/>
      <c r="S313" s="24"/>
      <c r="T313" s="24"/>
      <c r="U313" s="24"/>
      <c r="V313" s="24"/>
      <c r="W313" s="24"/>
      <c r="X313" s="24"/>
      <c r="Y313" s="24"/>
      <c r="Z313" s="24"/>
      <c r="AA313" s="24"/>
      <c r="AB313" s="24"/>
      <c r="AC313" s="24"/>
      <c r="AD313" s="24"/>
      <c r="AE313" s="24"/>
    </row>
    <row r="314" spans="1:31" ht="15.65">
      <c r="A314" s="24"/>
      <c r="B314" s="24"/>
      <c r="C314" s="24"/>
      <c r="D314" s="24"/>
      <c r="E314" s="24"/>
      <c r="F314" s="24"/>
      <c r="G314" s="24"/>
      <c r="H314" s="24"/>
      <c r="I314" s="24"/>
      <c r="J314" s="24"/>
      <c r="K314" s="24"/>
      <c r="L314" s="24"/>
      <c r="M314" s="24"/>
      <c r="N314" s="24"/>
      <c r="O314" s="24"/>
      <c r="Q314" s="24"/>
      <c r="R314" s="125">
        <f>SUM(R3:R312)</f>
        <v>0</v>
      </c>
      <c r="S314" s="24"/>
      <c r="T314" s="24"/>
      <c r="U314" s="24"/>
      <c r="V314" s="24"/>
      <c r="W314" s="24"/>
      <c r="X314" s="24"/>
      <c r="Y314" s="24"/>
      <c r="Z314" s="24"/>
      <c r="AA314" s="24"/>
      <c r="AB314" s="24"/>
      <c r="AC314" s="24"/>
      <c r="AD314" s="24"/>
      <c r="AE314" s="24"/>
    </row>
    <row r="315" spans="1:31" ht="12.9">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row>
    <row r="316" spans="1:31" ht="12.9">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row>
    <row r="317" spans="1:31" ht="12.9">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row>
    <row r="318" spans="1:31" ht="12.9">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row>
    <row r="319" spans="1:31" ht="12.9">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row>
    <row r="320" spans="1:31" ht="12.9">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row>
    <row r="321" spans="1:31" ht="12.9">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row>
    <row r="322" spans="1:31" ht="12.9">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row>
    <row r="323" spans="1:31" ht="12.9">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row>
    <row r="324" spans="1:31" ht="12.9">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row>
    <row r="325" spans="1:31" ht="12.9">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row>
    <row r="326" spans="1:31" ht="12.9">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row>
    <row r="327" spans="1:31" ht="12.9">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row>
    <row r="328" spans="1:31" ht="12.9">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row>
    <row r="329" spans="1:31" ht="12.9">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row>
    <row r="330" spans="1:31" ht="12.9">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row>
    <row r="331" spans="1:31" ht="12.9">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row>
    <row r="332" spans="1:31" ht="12.9">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row>
    <row r="333" spans="1:31" ht="12.9">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row>
    <row r="334" spans="1:31" ht="12.9">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row>
    <row r="335" spans="1:31" ht="12.9">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row>
    <row r="336" spans="1:31" ht="12.9">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row>
    <row r="337" spans="1:31" ht="12.9">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row>
    <row r="338" spans="1:31" ht="12.9">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row>
    <row r="339" spans="1:31" ht="12.9">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row>
    <row r="340" spans="1:31" ht="12.9">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row>
    <row r="341" spans="1:31" ht="12.9">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row>
    <row r="342" spans="1:31" ht="12.9">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row>
    <row r="343" spans="1:31" ht="12.9">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row>
    <row r="344" spans="1:31" ht="12.9">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row>
    <row r="345" spans="1:31" ht="12.9">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row>
    <row r="346" spans="1:31" ht="12.9">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row>
    <row r="347" spans="1:31" ht="12.9">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row>
    <row r="348" spans="1:31" ht="12.9">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row>
    <row r="349" spans="1:31" ht="12.9">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row>
    <row r="350" spans="1:31" ht="12.9">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row>
    <row r="351" spans="1:31" ht="12.9">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row>
    <row r="352" spans="1:31" ht="12.9">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row>
    <row r="353" spans="1:31" ht="12.9">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row>
    <row r="354" spans="1:31" ht="12.9">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row>
    <row r="355" spans="1:31" ht="12.9">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row>
    <row r="356" spans="1:31" ht="12.9">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row>
    <row r="357" spans="1:31" ht="12.9">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row>
    <row r="358" spans="1:31" ht="12.9">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row>
    <row r="359" spans="1:31" ht="12.9">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row>
    <row r="360" spans="1:31" ht="12.9">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row>
    <row r="361" spans="1:31" ht="12.9">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row>
    <row r="362" spans="1:31" ht="12.9">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row>
    <row r="363" spans="1:31" ht="12.9">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row>
    <row r="364" spans="1:31" ht="12.9">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row>
    <row r="365" spans="1:31" ht="12.9">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row>
    <row r="366" spans="1:31" ht="12.9">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row>
    <row r="367" spans="1:31" ht="12.9">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row>
    <row r="368" spans="1:31" ht="12.9">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row>
    <row r="369" spans="1:31" ht="12.9">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row>
    <row r="370" spans="1:31" ht="12.9">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row>
    <row r="371" spans="1:31" ht="12.9">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row>
    <row r="372" spans="1:31" ht="12.9">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row>
    <row r="373" spans="1:31" ht="12.9">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row>
    <row r="374" spans="1:31" ht="12.9">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row>
    <row r="375" spans="1:31" ht="12.9">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row>
    <row r="376" spans="1:31" ht="12.9">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row>
    <row r="377" spans="1:31" ht="12.9">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row>
    <row r="378" spans="1:31" ht="12.9">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row>
    <row r="379" spans="1:31" ht="12.9">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row>
    <row r="380" spans="1:31" ht="12.9">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row>
    <row r="381" spans="1:31" ht="12.9">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row>
    <row r="382" spans="1:31" ht="12.9">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row>
    <row r="383" spans="1:31" ht="12.9">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row>
    <row r="384" spans="1:31" ht="12.9">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row>
    <row r="385" spans="1:31" ht="12.9">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row>
    <row r="386" spans="1:31" ht="12.9">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row>
    <row r="387" spans="1:31" ht="12.9">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row>
    <row r="388" spans="1:31" ht="12.9">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row>
    <row r="389" spans="1:31" ht="12.9">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row>
    <row r="390" spans="1:31" ht="12.9">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row>
    <row r="391" spans="1:31" ht="12.9">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row>
    <row r="392" spans="1:31" ht="12.9">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row>
    <row r="393" spans="1:31" ht="12.9">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row>
    <row r="394" spans="1:31" ht="12.9">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row>
    <row r="395" spans="1:31" ht="12.9">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row>
    <row r="396" spans="1:31" ht="12.9">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row>
    <row r="397" spans="1:31" ht="12.9">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row>
    <row r="398" spans="1:31" ht="12.9">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row>
    <row r="399" spans="1:31" ht="12.9">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row>
    <row r="400" spans="1:31" ht="12.9">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row>
    <row r="401" spans="1:31" ht="12.9">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row>
    <row r="402" spans="1:31" ht="12.9">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row>
    <row r="403" spans="1:31" ht="12.9">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row>
    <row r="404" spans="1:31" ht="12.9">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row>
    <row r="405" spans="1:31" ht="12.9">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row>
    <row r="406" spans="1:31" ht="12.9">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row>
    <row r="407" spans="1:31" ht="12.9">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row>
    <row r="408" spans="1:31" ht="12.9">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row>
    <row r="409" spans="1:31" ht="12.9">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row>
    <row r="410" spans="1:31" ht="12.9">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row>
    <row r="411" spans="1:31" ht="12.9">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row>
    <row r="412" spans="1:31" ht="12.9">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row>
    <row r="413" spans="1:31" ht="12.9">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row>
    <row r="414" spans="1:31" ht="12.9">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row>
    <row r="415" spans="1:31" ht="12.9">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row>
    <row r="416" spans="1:31" ht="12.9">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row>
    <row r="417" spans="1:31" ht="12.9">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row>
    <row r="418" spans="1:31" ht="12.9">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row>
    <row r="419" spans="1:31" ht="12.9">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row>
    <row r="420" spans="1:31" ht="12.9">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row>
    <row r="421" spans="1:31" ht="12.9">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row>
    <row r="422" spans="1:31" ht="12.9">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row>
    <row r="423" spans="1:31" ht="12.9">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row>
    <row r="424" spans="1:31" ht="12.9">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row>
    <row r="425" spans="1:31" ht="12.9">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row>
    <row r="426" spans="1:31" ht="12.9">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row>
    <row r="427" spans="1:31" ht="12.9">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row>
    <row r="428" spans="1:31" ht="12.9">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row>
    <row r="429" spans="1:31" ht="12.9">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row>
    <row r="430" spans="1:31" ht="12.9">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row>
    <row r="431" spans="1:31" ht="12.9">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row>
    <row r="432" spans="1:31" ht="12.9">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row>
    <row r="433" spans="1:31" ht="12.9">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row>
    <row r="434" spans="1:31" ht="12.9">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row>
    <row r="435" spans="1:31" ht="12.9">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row>
    <row r="436" spans="1:31" ht="12.9">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row>
    <row r="437" spans="1:31" ht="12.9">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row>
    <row r="438" spans="1:31" ht="12.9">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row>
    <row r="439" spans="1:31" ht="12.9">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row>
    <row r="440" spans="1:31" ht="12.9">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row>
    <row r="441" spans="1:31" ht="12.9">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row>
    <row r="442" spans="1:31" ht="12.9">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row>
    <row r="443" spans="1:31" ht="12.9">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row>
    <row r="444" spans="1:31" ht="12.9">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row>
    <row r="445" spans="1:31" ht="12.9">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row>
    <row r="446" spans="1:31" ht="12.9">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row>
    <row r="447" spans="1:31" ht="12.9">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row>
    <row r="448" spans="1:31" ht="12.9">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row>
    <row r="449" spans="1:31" ht="12.9">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row>
    <row r="450" spans="1:31" ht="12.9">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row>
    <row r="451" spans="1:31" ht="12.9">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row>
    <row r="452" spans="1:31" ht="12.9">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row>
    <row r="453" spans="1:31" ht="12.9">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row>
    <row r="454" spans="1:31" ht="12.9">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row>
    <row r="455" spans="1:31" ht="12.9">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row>
    <row r="456" spans="1:31" ht="12.9">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row>
    <row r="457" spans="1:31" ht="12.9">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row>
    <row r="458" spans="1:31" ht="12.9">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row>
    <row r="459" spans="1:31" ht="12.9">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row>
    <row r="460" spans="1:31" ht="12.9">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row>
    <row r="461" spans="1:31" ht="12.9">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row>
    <row r="462" spans="1:31" ht="12.9">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row>
    <row r="463" spans="1:31" ht="12.9">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row>
    <row r="464" spans="1:31" ht="12.9">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row>
    <row r="465" spans="1:31" ht="12.9">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row>
    <row r="466" spans="1:31" ht="12.9">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row>
    <row r="467" spans="1:31" ht="12.9">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row>
    <row r="468" spans="1:31" ht="12.9">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row>
    <row r="469" spans="1:31" ht="12.9">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row>
    <row r="470" spans="1:31" ht="12.9">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row>
    <row r="471" spans="1:31" ht="12.9">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row>
    <row r="472" spans="1:31" ht="12.9">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row>
    <row r="473" spans="1:31" ht="12.9">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row>
    <row r="474" spans="1:31" ht="12.9">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row>
    <row r="475" spans="1:31" ht="12.9">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row>
    <row r="476" spans="1:31" ht="12.9">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row>
    <row r="477" spans="1:31" ht="12.9">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row>
    <row r="478" spans="1:31" ht="12.9">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row>
    <row r="479" spans="1:31" ht="12.9">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row>
    <row r="480" spans="1:31" ht="12.9">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row>
    <row r="481" spans="1:31" ht="12.9">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row>
    <row r="482" spans="1:31" ht="12.9">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row>
    <row r="483" spans="1:31" ht="12.9">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row>
    <row r="484" spans="1:31" ht="12.9">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row>
    <row r="485" spans="1:31" ht="12.9">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row>
    <row r="486" spans="1:31" ht="12.9">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row>
    <row r="487" spans="1:31" ht="12.9">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row>
    <row r="488" spans="1:31" ht="12.9">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row>
    <row r="489" spans="1:31" ht="12.9">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row>
    <row r="490" spans="1:31" ht="12.9">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row>
    <row r="491" spans="1:31" ht="12.9">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row>
    <row r="492" spans="1:31" ht="12.9">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row>
    <row r="493" spans="1:31" ht="12.9">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row>
    <row r="494" spans="1:31" ht="12.9">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row>
    <row r="495" spans="1:31" ht="12.9">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row>
    <row r="496" spans="1:31" ht="12.9">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row>
    <row r="497" spans="1:31" ht="12.9">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row>
    <row r="498" spans="1:31" ht="12.9">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row>
    <row r="499" spans="1:31" ht="12.9">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row>
    <row r="500" spans="1:31" ht="12.9">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row>
    <row r="501" spans="1:31" ht="12.9">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row>
    <row r="502" spans="1:31" ht="12.9">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row>
    <row r="503" spans="1:31" ht="12.9">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row>
    <row r="504" spans="1:31" ht="12.9">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row>
    <row r="505" spans="1:31" ht="12.9">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row>
    <row r="506" spans="1:31" ht="12.9">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row>
    <row r="507" spans="1:31" ht="12.9">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row>
    <row r="508" spans="1:31" ht="12.9">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row>
    <row r="509" spans="1:31" ht="12.9">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row>
    <row r="510" spans="1:31" ht="12.9">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row>
    <row r="511" spans="1:31" ht="12.9">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row>
    <row r="512" spans="1:31" ht="12.9">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row>
    <row r="513" spans="1:31" ht="12.9">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row>
    <row r="514" spans="1:31" ht="12.9">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row>
    <row r="515" spans="1:31" ht="12.9">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row>
    <row r="516" spans="1:31" ht="12.9">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row>
    <row r="517" spans="1:31" ht="12.9">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row>
    <row r="518" spans="1:31" ht="12.9">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row>
    <row r="519" spans="1:31" ht="12.9">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row>
    <row r="520" spans="1:31" ht="12.9">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row>
    <row r="521" spans="1:31" ht="12.9">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row>
    <row r="522" spans="1:31" ht="12.9">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row>
    <row r="523" spans="1:31" ht="12.9">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row>
    <row r="524" spans="1:31" ht="12.9">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row>
    <row r="525" spans="1:31" ht="12.9">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row>
    <row r="526" spans="1:31" ht="12.9">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row>
    <row r="527" spans="1:31" ht="12.9">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row>
    <row r="528" spans="1:31" ht="12.9">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row>
    <row r="529" spans="1:31" ht="12.9">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row>
    <row r="530" spans="1:31" ht="12.9">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row>
    <row r="531" spans="1:31" ht="12.9">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row>
    <row r="532" spans="1:31" ht="12.9">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row>
    <row r="533" spans="1:31" ht="12.9">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row>
    <row r="534" spans="1:31" ht="12.9">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row>
    <row r="535" spans="1:31" ht="12.9">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row>
    <row r="536" spans="1:31" ht="12.9">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row>
    <row r="537" spans="1:31" ht="12.9">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row>
    <row r="538" spans="1:31" ht="12.9">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row>
    <row r="539" spans="1:31" ht="12.9">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row>
    <row r="540" spans="1:31" ht="12.9">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row>
    <row r="541" spans="1:31" ht="12.9">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row>
    <row r="542" spans="1:31" ht="12.9">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row>
    <row r="543" spans="1:31" ht="12.9">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row>
    <row r="544" spans="1:31" ht="12.9">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row>
    <row r="545" spans="1:31" ht="12.9">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row>
    <row r="546" spans="1:31" ht="12.9">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row>
    <row r="547" spans="1:31" ht="12.9">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row>
    <row r="548" spans="1:31" ht="12.9">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row>
    <row r="549" spans="1:31" ht="12.9">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row>
    <row r="550" spans="1:31" ht="12.9">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row>
    <row r="551" spans="1:31" ht="12.9">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row>
    <row r="552" spans="1:31" ht="12.9">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row>
    <row r="553" spans="1:31" ht="12.9">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row>
    <row r="554" spans="1:31" ht="12.9">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row>
    <row r="555" spans="1:31" ht="12.9">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row>
    <row r="556" spans="1:31" ht="12.9">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row>
    <row r="557" spans="1:31" ht="12.9">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row>
    <row r="558" spans="1:31" ht="12.9">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row>
    <row r="559" spans="1:31" ht="12.9">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row>
    <row r="560" spans="1:31" ht="12.9">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row>
    <row r="561" spans="1:31" ht="12.9">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row>
    <row r="562" spans="1:31" ht="12.9">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row>
    <row r="563" spans="1:31" ht="12.9">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row>
    <row r="564" spans="1:31" ht="12.9">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row>
    <row r="565" spans="1:31" ht="12.9">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row>
    <row r="566" spans="1:31" ht="12.9">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row>
    <row r="567" spans="1:31" ht="12.9">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row>
    <row r="568" spans="1:31" ht="12.9">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row>
    <row r="569" spans="1:31" ht="12.9">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row>
    <row r="570" spans="1:31" ht="12.9">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row>
    <row r="571" spans="1:31" ht="12.9">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row>
    <row r="572" spans="1:31" ht="12.9">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row>
    <row r="573" spans="1:31" ht="12.9">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row>
    <row r="574" spans="1:31" ht="12.9">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row>
    <row r="575" spans="1:31" ht="12.9">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row>
    <row r="576" spans="1:31" ht="12.9">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row>
    <row r="577" spans="1:31" ht="12.9">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row>
    <row r="578" spans="1:31" ht="12.9">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row>
    <row r="579" spans="1:31" ht="12.9">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row>
    <row r="580" spans="1:31" ht="12.9">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row>
    <row r="581" spans="1:31" ht="12.9">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row>
    <row r="582" spans="1:31" ht="12.9">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row>
    <row r="583" spans="1:31" ht="12.9">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row>
    <row r="584" spans="1:31" ht="12.9">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row>
    <row r="585" spans="1:31" ht="12.9">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row>
    <row r="586" spans="1:31" ht="12.9">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row>
    <row r="587" spans="1:31" ht="12.9">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row>
    <row r="588" spans="1:31" ht="12.9">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row>
    <row r="589" spans="1:31" ht="12.9">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row>
    <row r="590" spans="1:31" ht="12.9">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row>
    <row r="591" spans="1:31" ht="12.9">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row>
    <row r="592" spans="1:31" ht="12.9">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row>
    <row r="593" spans="1:31" ht="12.9">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row>
    <row r="594" spans="1:31" ht="12.9">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row>
    <row r="595" spans="1:31" ht="12.9">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row>
    <row r="596" spans="1:31" ht="12.9">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row>
    <row r="597" spans="1:31" ht="12.9">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row>
    <row r="598" spans="1:31" ht="12.9">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row>
    <row r="599" spans="1:31" ht="12.9">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row>
    <row r="600" spans="1:31" ht="12.9">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row>
    <row r="601" spans="1:31" ht="12.9">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row>
    <row r="602" spans="1:31" ht="12.9">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row>
    <row r="603" spans="1:31" ht="12.9">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row>
    <row r="604" spans="1:31" ht="12.9">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row>
    <row r="605" spans="1:31" ht="12.9">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row>
    <row r="606" spans="1:31" ht="12.9">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row>
    <row r="607" spans="1:31" ht="12.9">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row>
    <row r="608" spans="1:31" ht="12.9">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row>
    <row r="609" spans="1:31" ht="12.9">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row>
    <row r="610" spans="1:31" ht="12.9">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row>
    <row r="611" spans="1:31" ht="12.9">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row>
    <row r="612" spans="1:31" ht="12.9">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row>
    <row r="613" spans="1:31" ht="12.9">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row>
    <row r="614" spans="1:31" ht="12.9">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row>
    <row r="615" spans="1:31" ht="12.9">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row>
    <row r="616" spans="1:31" ht="12.9">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row>
    <row r="617" spans="1:31" ht="12.9">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row>
    <row r="618" spans="1:31" ht="12.9">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row>
    <row r="619" spans="1:31" ht="12.9">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row>
    <row r="620" spans="1:31" ht="12.9">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row>
    <row r="621" spans="1:31" ht="12.9">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row>
    <row r="622" spans="1:31" ht="12.9">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row>
    <row r="623" spans="1:31" ht="12.9">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row>
    <row r="624" spans="1:31" ht="12.9">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row>
    <row r="625" spans="1:31" ht="12.9">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row>
    <row r="626" spans="1:31" ht="12.9">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row>
    <row r="627" spans="1:31" ht="12.9">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row>
    <row r="628" spans="1:31" ht="12.9">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row>
    <row r="629" spans="1:31" ht="12.9">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row>
    <row r="630" spans="1:31" ht="12.9">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row>
    <row r="631" spans="1:31" ht="12.9">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row>
    <row r="632" spans="1:31" ht="12.9">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row>
    <row r="633" spans="1:31" ht="12.9">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row>
    <row r="634" spans="1:31" ht="12.9">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row>
    <row r="635" spans="1:31" ht="12.9">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row>
    <row r="636" spans="1:31" ht="12.9">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row>
    <row r="637" spans="1:31" ht="12.9">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row>
    <row r="638" spans="1:31" ht="12.9">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row>
    <row r="639" spans="1:31" ht="12.9">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row>
    <row r="640" spans="1:31" ht="12.9">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row>
    <row r="641" spans="1:31" ht="12.9">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row>
    <row r="642" spans="1:31" ht="12.9">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row>
    <row r="643" spans="1:31" ht="12.9">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row>
    <row r="644" spans="1:31" ht="12.9">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row>
    <row r="645" spans="1:31" ht="12.9">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row>
    <row r="646" spans="1:31" ht="12.9">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row>
    <row r="647" spans="1:31" ht="12.9">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row>
    <row r="648" spans="1:31" ht="12.9">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row>
    <row r="649" spans="1:31" ht="12.9">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row>
    <row r="650" spans="1:31" ht="12.9">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row>
    <row r="651" spans="1:31" ht="12.9">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row>
    <row r="652" spans="1:31" ht="12.9">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row>
    <row r="653" spans="1:31" ht="12.9">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row>
    <row r="654" spans="1:31" ht="12.9">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row>
    <row r="655" spans="1:31" ht="12.9">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row>
    <row r="656" spans="1:31" ht="12.9">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row>
    <row r="657" spans="1:31" ht="12.9">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row>
    <row r="658" spans="1:31" ht="12.9">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row>
    <row r="659" spans="1:31" ht="12.9">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row>
    <row r="660" spans="1:31" ht="12.9">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row>
    <row r="661" spans="1:31" ht="12.9">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row>
    <row r="662" spans="1:31" ht="12.9">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row>
    <row r="663" spans="1:31" ht="12.9">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row>
    <row r="664" spans="1:31" ht="12.9">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row>
    <row r="665" spans="1:31" ht="12.9">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row>
    <row r="666" spans="1:31" ht="12.9">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row>
    <row r="667" spans="1:31" ht="12.9">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row>
    <row r="668" spans="1:31" ht="12.9">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row>
    <row r="669" spans="1:31" ht="12.9">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row>
    <row r="670" spans="1:31" ht="12.9">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row>
    <row r="671" spans="1:31" ht="12.9">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row>
    <row r="672" spans="1:31" ht="12.9">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row>
    <row r="673" spans="1:31" ht="12.9">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row>
    <row r="674" spans="1:31" ht="12.9">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row>
    <row r="675" spans="1:31" ht="12.9">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row>
    <row r="676" spans="1:31" ht="12.9">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row>
    <row r="677" spans="1:31" ht="12.9">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row>
    <row r="678" spans="1:31" ht="12.9">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row>
    <row r="679" spans="1:31" ht="12.9">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row>
    <row r="680" spans="1:31" ht="12.9">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row>
    <row r="681" spans="1:31" ht="12.9">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row>
    <row r="682" spans="1:31" ht="12.9">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row>
    <row r="683" spans="1:31" ht="12.9">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row>
    <row r="684" spans="1:31" ht="12.9">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row>
    <row r="685" spans="1:31" ht="12.9">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row>
    <row r="686" spans="1:31" ht="12.9">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row>
    <row r="687" spans="1:31" ht="12.9">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row>
    <row r="688" spans="1:31" ht="12.9">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row>
    <row r="689" spans="1:31" ht="12.9">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row>
    <row r="690" spans="1:31" ht="12.9">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row>
    <row r="691" spans="1:31" ht="12.9">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row>
    <row r="692" spans="1:31" ht="12.9">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row>
    <row r="693" spans="1:31" ht="12.9">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row>
    <row r="694" spans="1:31" ht="12.9">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row>
    <row r="695" spans="1:31" ht="12.9">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row>
    <row r="696" spans="1:31" ht="12.9">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row>
    <row r="697" spans="1:31" ht="12.9">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row>
    <row r="698" spans="1:31" ht="12.9">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row>
    <row r="699" spans="1:31" ht="12.9">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row>
    <row r="700" spans="1:31" ht="12.9">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row>
    <row r="701" spans="1:31" ht="12.9">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row>
    <row r="702" spans="1:31" ht="12.9">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row>
    <row r="703" spans="1:31" ht="12.9">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row>
    <row r="704" spans="1:31" ht="12.9">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row>
    <row r="705" spans="1:31" ht="12.9">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row>
    <row r="706" spans="1:31" ht="12.9">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row>
    <row r="707" spans="1:31" ht="12.9">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row>
    <row r="708" spans="1:31" ht="12.9">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row>
    <row r="709" spans="1:31" ht="12.9">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row>
    <row r="710" spans="1:31" ht="12.9">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row>
    <row r="711" spans="1:31" ht="12.9">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row>
    <row r="712" spans="1:31" ht="12.9">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row>
    <row r="713" spans="1:31" ht="12.9">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row>
    <row r="714" spans="1:31" ht="12.9">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row>
    <row r="715" spans="1:31" ht="12.9">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row>
    <row r="716" spans="1:31" ht="12.9">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row>
    <row r="717" spans="1:31" ht="12.9">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row>
    <row r="718" spans="1:31" ht="12.9">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row>
    <row r="719" spans="1:31" ht="12.9">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row>
    <row r="720" spans="1:31" ht="12.9">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row>
    <row r="721" spans="1:31" ht="12.9">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row>
    <row r="722" spans="1:31" ht="12.9">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row>
    <row r="723" spans="1:31" ht="12.9">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row>
    <row r="724" spans="1:31" ht="12.9">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row>
    <row r="725" spans="1:31" ht="12.9">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row>
    <row r="726" spans="1:31" ht="12.9">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row>
    <row r="727" spans="1:31" ht="12.9">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row>
    <row r="728" spans="1:31" ht="12.9">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row>
    <row r="729" spans="1:31" ht="12.9">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row>
    <row r="730" spans="1:31" ht="12.9">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row>
    <row r="731" spans="1:31" ht="12.9">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row>
    <row r="732" spans="1:31" ht="12.9">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row>
    <row r="733" spans="1:31" ht="12.9">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row>
    <row r="734" spans="1:31" ht="12.9">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row>
    <row r="735" spans="1:31" ht="12.9">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row>
    <row r="736" spans="1:31" ht="12.9">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row>
    <row r="737" spans="1:31" ht="12.9">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row>
    <row r="738" spans="1:31" ht="12.9">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row>
    <row r="739" spans="1:31" ht="12.9">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row>
    <row r="740" spans="1:31" ht="12.9">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row>
    <row r="741" spans="1:31" ht="12.9">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row>
    <row r="742" spans="1:31" ht="12.9">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row>
    <row r="743" spans="1:31" ht="12.9">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row>
    <row r="744" spans="1:31" ht="12.9">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row>
    <row r="745" spans="1:31" ht="12.9">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row>
    <row r="746" spans="1:31" ht="12.9">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row>
    <row r="747" spans="1:31" ht="12.9">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row>
    <row r="748" spans="1:31" ht="12.9">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row>
    <row r="749" spans="1:31" ht="12.9">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row>
    <row r="750" spans="1:31" ht="12.9">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row>
    <row r="751" spans="1:31" ht="12.9">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row>
    <row r="752" spans="1:31" ht="12.9">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row>
    <row r="753" spans="1:31" ht="12.9">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row>
    <row r="754" spans="1:31" ht="12.9">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row>
    <row r="755" spans="1:31" ht="12.9">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row>
    <row r="756" spans="1:31" ht="12.9">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row>
    <row r="757" spans="1:31" ht="12.9">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row>
    <row r="758" spans="1:31" ht="12.9">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row>
    <row r="759" spans="1:31" ht="12.9">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row>
    <row r="760" spans="1:31" ht="12.9">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row>
    <row r="761" spans="1:31" ht="12.9">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row>
    <row r="762" spans="1:31" ht="12.9">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row>
    <row r="763" spans="1:31" ht="12.9">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row>
    <row r="764" spans="1:31" ht="12.9">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row>
    <row r="765" spans="1:31" ht="12.9">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row>
    <row r="766" spans="1:31" ht="12.9">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row>
    <row r="767" spans="1:31" ht="12.9">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row>
    <row r="768" spans="1:31" ht="12.9">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row>
    <row r="769" spans="1:31" ht="12.9">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row>
    <row r="770" spans="1:31" ht="12.9">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row>
    <row r="771" spans="1:31" ht="12.9">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row>
    <row r="772" spans="1:31" ht="12.9">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row>
    <row r="773" spans="1:31" ht="12.9">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row>
    <row r="774" spans="1:31" ht="12.9">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row>
    <row r="775" spans="1:31" ht="12.9">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row>
    <row r="776" spans="1:31" ht="12.9">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row>
    <row r="777" spans="1:31" ht="12.9">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row>
    <row r="778" spans="1:31" ht="12.9">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row>
    <row r="779" spans="1:31" ht="12.9">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row>
    <row r="780" spans="1:31" ht="12.9">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row>
    <row r="781" spans="1:31" ht="12.9">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row>
    <row r="782" spans="1:31" ht="12.9">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row>
    <row r="783" spans="1:31" ht="12.9">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row>
    <row r="784" spans="1:31" ht="12.9">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row>
    <row r="785" spans="1:31" ht="12.9">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row>
    <row r="786" spans="1:31" ht="12.9">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row>
    <row r="787" spans="1:31" ht="12.9">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row>
    <row r="788" spans="1:31" ht="12.9">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row>
    <row r="789" spans="1:31" ht="12.9">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row>
    <row r="790" spans="1:31" ht="12.9">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row>
    <row r="791" spans="1:31" ht="12.9">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row>
    <row r="792" spans="1:31" ht="12.9">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row>
    <row r="793" spans="1:31" ht="12.9">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row>
    <row r="794" spans="1:31" ht="12.9">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row>
    <row r="795" spans="1:31" ht="12.9">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row>
    <row r="796" spans="1:31" ht="12.9">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row>
    <row r="797" spans="1:31" ht="12.9">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row>
    <row r="798" spans="1:31" ht="12.9">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row>
    <row r="799" spans="1:31" ht="12.9">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row>
    <row r="800" spans="1:31" ht="12.9">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row>
    <row r="801" spans="1:31" ht="12.9">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row>
    <row r="802" spans="1:31" ht="12.9">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row>
    <row r="803" spans="1:31" ht="12.9">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row>
    <row r="804" spans="1:31" ht="12.9">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row>
    <row r="805" spans="1:31" ht="12.9">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row>
    <row r="806" spans="1:31" ht="12.9">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row>
    <row r="807" spans="1:31" ht="12.9">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row>
    <row r="808" spans="1:31" ht="12.9">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row>
    <row r="809" spans="1:31" ht="12.9">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row>
    <row r="810" spans="1:31" ht="12.9">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row>
    <row r="811" spans="1:31" ht="12.9">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row>
    <row r="812" spans="1:31" ht="12.9">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row>
    <row r="813" spans="1:31" ht="12.9">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row>
    <row r="814" spans="1:31" ht="12.9">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row>
    <row r="815" spans="1:31" ht="12.9">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row>
    <row r="816" spans="1:31" ht="12.9">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row>
    <row r="817" spans="1:31" ht="12.9">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row>
    <row r="818" spans="1:31" ht="12.9">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row>
    <row r="819" spans="1:31" ht="12.9">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row>
    <row r="820" spans="1:31" ht="12.9">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row>
    <row r="821" spans="1:31" ht="12.9">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row>
    <row r="822" spans="1:31" ht="12.9">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row>
    <row r="823" spans="1:31" ht="12.9">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row>
    <row r="824" spans="1:31" ht="12.9">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row>
    <row r="825" spans="1:31" ht="12.9">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row>
    <row r="826" spans="1:31" ht="12.9">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row>
    <row r="827" spans="1:31" ht="12.9">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row>
    <row r="828" spans="1:31" ht="12.9">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row>
    <row r="829" spans="1:31" ht="12.9">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row>
    <row r="830" spans="1:31" ht="12.9">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row>
    <row r="831" spans="1:31" ht="12.9">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row>
    <row r="832" spans="1:31" ht="12.9">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row>
    <row r="833" spans="1:31" ht="12.9">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row>
    <row r="834" spans="1:31" ht="12.9">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row>
    <row r="835" spans="1:31" ht="12.9">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row>
    <row r="836" spans="1:31" ht="12.9">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row>
    <row r="837" spans="1:31" ht="12.9">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row>
    <row r="838" spans="1:31" ht="12.9">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row>
    <row r="839" spans="1:31" ht="12.9">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row>
    <row r="840" spans="1:31" ht="12.9">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row>
    <row r="841" spans="1:31" ht="12.9">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row>
    <row r="842" spans="1:31" ht="12.9">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row>
    <row r="843" spans="1:31" ht="12.9">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row>
    <row r="844" spans="1:31" ht="12.9">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row>
    <row r="845" spans="1:31" ht="12.9">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row>
    <row r="846" spans="1:31" ht="12.9">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row>
    <row r="847" spans="1:31" ht="12.9">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row>
    <row r="848" spans="1:31" ht="12.9">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row>
    <row r="849" spans="1:31" ht="12.9">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row>
    <row r="850" spans="1:31" ht="12.9">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row>
    <row r="851" spans="1:31" ht="12.9">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row>
    <row r="852" spans="1:31" ht="12.9">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row>
    <row r="853" spans="1:31" ht="12.9">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row>
    <row r="854" spans="1:31" ht="12.9">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row>
    <row r="855" spans="1:31" ht="12.9">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row>
    <row r="856" spans="1:31" ht="12.9">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row>
    <row r="857" spans="1:31" ht="12.9">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row>
    <row r="858" spans="1:31" ht="12.9">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row>
    <row r="859" spans="1:31" ht="12.9">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row>
    <row r="860" spans="1:31" ht="12.9">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row>
    <row r="861" spans="1:31" ht="12.9">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row>
    <row r="862" spans="1:31" ht="12.9">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row>
    <row r="863" spans="1:31" ht="12.9">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row>
    <row r="864" spans="1:31" ht="12.9">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row>
    <row r="865" spans="1:31" ht="12.9">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row>
    <row r="866" spans="1:31" ht="12.9">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row>
    <row r="867" spans="1:31" ht="12.9">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row>
    <row r="868" spans="1:31" ht="12.9">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row>
    <row r="869" spans="1:31" ht="12.9">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row>
    <row r="870" spans="1:31" ht="12.9">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row>
    <row r="871" spans="1:31" ht="12.9">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row>
    <row r="872" spans="1:31" ht="12.9">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row>
    <row r="873" spans="1:31" ht="12.9">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row>
    <row r="874" spans="1:31" ht="12.9">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row>
    <row r="875" spans="1:31" ht="12.9">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row>
    <row r="876" spans="1:31" ht="12.9">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row>
    <row r="877" spans="1:31" ht="12.9">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row>
    <row r="878" spans="1:31" ht="12.9">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row>
    <row r="879" spans="1:31" ht="12.9">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row>
    <row r="880" spans="1:31" ht="12.9">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row>
    <row r="881" spans="1:31" ht="12.9">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row>
    <row r="882" spans="1:31" ht="12.9">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row>
    <row r="883" spans="1:31" ht="12.9">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row>
    <row r="884" spans="1:31" ht="12.9">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row>
    <row r="885" spans="1:31" ht="12.9">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row>
    <row r="886" spans="1:31" ht="12.9">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row>
    <row r="887" spans="1:31" ht="12.9">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row>
    <row r="888" spans="1:31" ht="12.9">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row>
    <row r="889" spans="1:31" ht="12.9">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row>
    <row r="890" spans="1:31" ht="12.9">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row>
    <row r="891" spans="1:31" ht="12.9">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row>
    <row r="892" spans="1:31" ht="12.9">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row>
    <row r="893" spans="1:31" ht="12.9">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row>
    <row r="894" spans="1:31" ht="12.9">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row>
    <row r="895" spans="1:31" ht="12.9">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row>
    <row r="896" spans="1:31" ht="12.9">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row>
    <row r="897" spans="1:31" ht="12.9">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row>
    <row r="898" spans="1:31" ht="12.9">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row>
    <row r="899" spans="1:31" ht="12.9">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row>
    <row r="900" spans="1:31" ht="12.9">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row>
    <row r="901" spans="1:31" ht="12.9">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row>
    <row r="902" spans="1:31" ht="12.9">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row>
    <row r="903" spans="1:31" ht="12.9">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row>
    <row r="904" spans="1:31" ht="12.9">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row>
    <row r="905" spans="1:31" ht="12.9">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row>
    <row r="906" spans="1:31" ht="12.9">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row>
    <row r="907" spans="1:31" ht="12.9">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row>
    <row r="908" spans="1:31" ht="12.9">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row>
    <row r="909" spans="1:31" ht="12.9">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row>
    <row r="910" spans="1:31" ht="12.9">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row>
    <row r="911" spans="1:31" ht="12.9">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row>
    <row r="912" spans="1:31" ht="12.9">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row>
    <row r="913" spans="1:31" ht="12.9">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row>
    <row r="914" spans="1:31" ht="12.9">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row>
    <row r="915" spans="1:31" ht="12.9">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row>
    <row r="916" spans="1:31" ht="12.9">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row>
    <row r="917" spans="1:31" ht="12.9">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row>
    <row r="918" spans="1:31" ht="12.9">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row>
    <row r="919" spans="1:31" ht="12.9">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row>
    <row r="920" spans="1:31" ht="12.9">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row>
    <row r="921" spans="1:31" ht="12.9">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row>
    <row r="922" spans="1:31" ht="12.9">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row>
    <row r="923" spans="1:31" ht="12.9">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row>
    <row r="924" spans="1:31" ht="12.9">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row>
    <row r="925" spans="1:31" ht="12.9">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row>
    <row r="926" spans="1:31" ht="12.9">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row>
    <row r="927" spans="1:31" ht="12.9">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row>
    <row r="928" spans="1:31" ht="12.9">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row>
    <row r="929" spans="1:31" ht="12.9">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row>
    <row r="930" spans="1:31" ht="12.9">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row>
    <row r="931" spans="1:31" ht="12.9">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row>
    <row r="932" spans="1:31" ht="12.9">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row>
    <row r="933" spans="1:31" ht="12.9">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row>
    <row r="934" spans="1:31" ht="12.9">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row>
    <row r="935" spans="1:31" ht="12.9">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row>
    <row r="936" spans="1:31" ht="12.9">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row>
    <row r="937" spans="1:31" ht="12.9">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row>
    <row r="938" spans="1:31" ht="12.9">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row>
    <row r="939" spans="1:31" ht="12.9">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row>
    <row r="940" spans="1:31" ht="12.9">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row>
    <row r="941" spans="1:31" ht="12.9">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row>
    <row r="942" spans="1:31" ht="12.9">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row>
    <row r="943" spans="1:31" ht="12.9">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row>
    <row r="944" spans="1:31" ht="12.9">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row>
    <row r="945" spans="1:31" ht="12.9">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row>
    <row r="946" spans="1:31" ht="12.9">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row>
    <row r="947" spans="1:31" ht="12.9">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row>
    <row r="948" spans="1:31" ht="12.9">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row>
    <row r="949" spans="1:31" ht="12.9">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row>
    <row r="950" spans="1:31" ht="12.9">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row>
    <row r="951" spans="1:31" ht="12.9">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row>
    <row r="952" spans="1:31" ht="12.9">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row>
    <row r="953" spans="1:31" ht="12.9">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row>
    <row r="954" spans="1:31" ht="12.9">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row>
    <row r="955" spans="1:31" ht="12.9">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row>
    <row r="956" spans="1:31" ht="12.9">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row>
    <row r="957" spans="1:31" ht="12.9">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row>
    <row r="958" spans="1:31" ht="12.9">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row>
    <row r="959" spans="1:31" ht="12.9">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row>
    <row r="960" spans="1:31" ht="12.9">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row>
    <row r="961" spans="1:31" ht="12.9">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row>
    <row r="962" spans="1:31" ht="12.9">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row>
    <row r="963" spans="1:31" ht="12.9">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row>
    <row r="964" spans="1:31" ht="12.9">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row>
    <row r="965" spans="1:31" ht="12.9">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row>
    <row r="966" spans="1:31" ht="12.9">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row>
    <row r="967" spans="1:31" ht="12.9">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row>
    <row r="968" spans="1:31" ht="12.9">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row>
    <row r="969" spans="1:31" ht="12.9">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row>
    <row r="970" spans="1:31" ht="12.9">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row>
    <row r="971" spans="1:31" ht="12.9">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row>
    <row r="972" spans="1:31" ht="12.9">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row>
    <row r="973" spans="1:31" ht="12.9">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row>
    <row r="974" spans="1:31" ht="12.9">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row>
    <row r="975" spans="1:31" ht="12.9">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row>
    <row r="976" spans="1:31" ht="12.9">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row>
    <row r="977" spans="1:31" ht="12.9">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row>
    <row r="978" spans="1:31" ht="12.9">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row>
    <row r="979" spans="1:31" ht="12.9">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row>
    <row r="980" spans="1:31" ht="12.9">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row>
    <row r="981" spans="1:31" ht="12.9">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row>
    <row r="982" spans="1:31" ht="12.9">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row>
    <row r="983" spans="1:31" ht="12.9">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row>
    <row r="984" spans="1:31" ht="12.9">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row>
    <row r="985" spans="1:31" ht="12.9">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row>
    <row r="986" spans="1:31" ht="12.9">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row>
    <row r="987" spans="1:31" ht="12.9">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row>
    <row r="988" spans="1:31" ht="12.9">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row>
    <row r="989" spans="1:31" ht="12.9">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row>
    <row r="990" spans="1:31" ht="12.9">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row>
    <row r="991" spans="1:31" ht="12.9">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row>
    <row r="992" spans="1:31" ht="12.9">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row>
    <row r="993" spans="1:31" ht="12.9">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row>
    <row r="994" spans="1:31" ht="12.9">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row>
    <row r="995" spans="1:31" ht="12.9">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row>
    <row r="996" spans="1:31" ht="12.9">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row>
    <row r="997" spans="1:31" ht="12.9">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row>
    <row r="998" spans="1:31" ht="12.9">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row>
    <row r="999" spans="1:31" ht="12.9">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row>
    <row r="1000" spans="1:31" ht="12.9">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row>
    <row r="1001" spans="1:31" ht="12.9">
      <c r="A1001" s="24"/>
      <c r="B1001" s="24"/>
      <c r="C1001" s="24"/>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row>
    <row r="1002" spans="1:31" ht="12.9">
      <c r="A1002" s="24"/>
      <c r="B1002" s="24"/>
      <c r="C1002" s="24"/>
      <c r="D1002" s="24"/>
      <c r="E1002" s="24"/>
      <c r="F1002" s="24"/>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row>
    <row r="1003" spans="1:31" ht="12.9">
      <c r="A1003" s="24"/>
      <c r="B1003" s="24"/>
      <c r="C1003" s="24"/>
      <c r="D1003" s="24"/>
      <c r="E1003" s="24"/>
      <c r="F1003" s="24"/>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row>
    <row r="1004" spans="1:31" ht="12.9">
      <c r="A1004" s="24"/>
      <c r="B1004" s="24"/>
      <c r="C1004" s="24"/>
      <c r="D1004" s="24"/>
      <c r="E1004" s="24"/>
      <c r="F1004" s="24"/>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row>
    <row r="1005" spans="1:31" ht="12.9">
      <c r="A1005" s="24"/>
      <c r="B1005" s="24"/>
      <c r="C1005" s="24"/>
      <c r="D1005" s="24"/>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row>
    <row r="1006" spans="1:31" ht="12.9">
      <c r="A1006" s="24"/>
      <c r="B1006" s="24"/>
      <c r="C1006" s="24"/>
      <c r="D1006" s="24"/>
      <c r="E1006" s="24"/>
      <c r="F1006" s="24"/>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row>
    <row r="1007" spans="1:31" ht="12.9">
      <c r="A1007" s="24"/>
      <c r="B1007" s="24"/>
      <c r="C1007" s="24"/>
      <c r="D1007" s="24"/>
      <c r="E1007" s="24"/>
      <c r="F1007" s="24"/>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row>
    <row r="1008" spans="1:31" ht="12.9">
      <c r="A1008" s="24"/>
      <c r="B1008" s="24"/>
      <c r="C1008" s="24"/>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row>
    <row r="1009" spans="1:31" ht="12.9">
      <c r="A1009" s="24"/>
      <c r="B1009" s="24"/>
      <c r="C1009" s="24"/>
      <c r="D1009" s="24"/>
      <c r="E1009" s="24"/>
      <c r="F1009" s="24"/>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row>
    <row r="1010" spans="1:31" ht="12.9">
      <c r="A1010" s="24"/>
      <c r="B1010" s="24"/>
      <c r="C1010" s="24"/>
      <c r="D1010" s="24"/>
      <c r="E1010" s="24"/>
      <c r="F1010" s="24"/>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row>
    <row r="1011" spans="1:31" ht="12.9">
      <c r="A1011" s="24"/>
      <c r="B1011" s="24"/>
      <c r="C1011" s="24"/>
      <c r="D1011" s="24"/>
      <c r="E1011" s="24"/>
      <c r="F1011" s="24"/>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row>
    <row r="1012" spans="1:31" ht="12.9">
      <c r="A1012" s="24"/>
      <c r="B1012" s="24"/>
      <c r="C1012" s="24"/>
      <c r="D1012" s="24"/>
      <c r="E1012" s="24"/>
      <c r="F1012" s="24"/>
      <c r="G1012" s="24"/>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E1012" s="24"/>
    </row>
    <row r="1013" spans="1:31" ht="12.9">
      <c r="A1013" s="24"/>
      <c r="B1013" s="24"/>
      <c r="C1013" s="24"/>
      <c r="D1013" s="24"/>
      <c r="E1013" s="24"/>
      <c r="F1013" s="24"/>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E1013" s="24"/>
    </row>
    <row r="1014" spans="1:31" ht="12.9">
      <c r="A1014" s="24"/>
      <c r="B1014" s="24"/>
      <c r="C1014" s="24"/>
      <c r="D1014" s="24"/>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row>
    <row r="1015" spans="1:31" ht="12.9">
      <c r="A1015" s="24"/>
      <c r="B1015" s="24"/>
      <c r="C1015" s="24"/>
      <c r="D1015" s="24"/>
      <c r="E1015" s="24"/>
      <c r="F1015" s="24"/>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E1015" s="24"/>
    </row>
    <row r="1016" spans="1:31" ht="12.9">
      <c r="A1016" s="24"/>
      <c r="B1016" s="24"/>
      <c r="C1016" s="24"/>
      <c r="D1016" s="24"/>
      <c r="E1016" s="24"/>
      <c r="F1016" s="24"/>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E1016" s="24"/>
    </row>
    <row r="1017" spans="1:31" ht="12.9">
      <c r="A1017" s="24"/>
      <c r="B1017" s="24"/>
      <c r="C1017" s="24"/>
      <c r="D1017" s="24"/>
      <c r="E1017" s="24"/>
      <c r="F1017" s="24"/>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row>
    <row r="1018" spans="1:31" ht="12.9">
      <c r="A1018" s="24"/>
      <c r="B1018" s="24"/>
      <c r="C1018" s="24"/>
      <c r="D1018" s="24"/>
      <c r="E1018" s="24"/>
      <c r="F1018" s="24"/>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row>
    <row r="1019" spans="1:31" ht="12.9">
      <c r="A1019" s="24"/>
      <c r="B1019" s="24"/>
      <c r="C1019" s="24"/>
      <c r="D1019" s="24"/>
      <c r="E1019" s="24"/>
      <c r="F1019" s="24"/>
      <c r="G1019" s="24"/>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E1019" s="24"/>
    </row>
    <row r="1020" spans="1:31" ht="12.9">
      <c r="A1020" s="24"/>
      <c r="B1020" s="24"/>
      <c r="C1020" s="24"/>
      <c r="D1020" s="24"/>
      <c r="E1020" s="24"/>
      <c r="F1020" s="24"/>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E1020" s="24"/>
    </row>
    <row r="1021" spans="1:31" ht="12.9">
      <c r="A1021" s="24"/>
      <c r="B1021" s="24"/>
      <c r="C1021" s="24"/>
      <c r="D1021" s="24"/>
      <c r="E1021" s="24"/>
      <c r="F1021" s="24"/>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row>
    <row r="1022" spans="1:31" ht="12.9">
      <c r="A1022" s="24"/>
      <c r="B1022" s="24"/>
      <c r="C1022" s="24"/>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row>
    <row r="1023" spans="1:31" ht="12.9">
      <c r="A1023" s="24"/>
      <c r="B1023" s="24"/>
      <c r="C1023" s="24"/>
      <c r="D1023" s="24"/>
      <c r="E1023" s="24"/>
      <c r="F1023" s="24"/>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E1023" s="24"/>
    </row>
    <row r="1024" spans="1:31" ht="12.9">
      <c r="A1024" s="24"/>
      <c r="B1024" s="24"/>
      <c r="C1024" s="24"/>
      <c r="D1024" s="24"/>
      <c r="E1024" s="24"/>
      <c r="F1024" s="24"/>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E1024" s="24"/>
    </row>
    <row r="1025" spans="1:31" ht="12.9">
      <c r="A1025" s="24"/>
      <c r="B1025" s="24"/>
      <c r="C1025" s="24"/>
      <c r="D1025" s="24"/>
      <c r="E1025" s="24"/>
      <c r="F1025" s="24"/>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row>
    <row r="1026" spans="1:31" ht="12.9">
      <c r="A1026" s="24"/>
      <c r="B1026" s="24"/>
      <c r="C1026" s="24"/>
      <c r="D1026" s="24"/>
      <c r="E1026" s="24"/>
      <c r="F1026" s="24"/>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E1026" s="24"/>
    </row>
    <row r="1027" spans="1:31" ht="12.9">
      <c r="A1027" s="24"/>
      <c r="B1027" s="24"/>
      <c r="C1027" s="24"/>
      <c r="D1027" s="24"/>
      <c r="E1027" s="24"/>
      <c r="F1027" s="24"/>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row>
    <row r="1028" spans="1:31" ht="12.9">
      <c r="A1028" s="24"/>
      <c r="B1028" s="24"/>
      <c r="C1028" s="24"/>
      <c r="D1028" s="24"/>
      <c r="E1028" s="24"/>
      <c r="F1028" s="24"/>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row>
    <row r="1029" spans="1:31" ht="12.9">
      <c r="A1029" s="24"/>
      <c r="B1029" s="24"/>
      <c r="C1029" s="24"/>
      <c r="D1029" s="24"/>
      <c r="E1029" s="24"/>
      <c r="F1029" s="24"/>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row>
    <row r="1030" spans="1:31" ht="12.9">
      <c r="A1030" s="24"/>
      <c r="B1030" s="24"/>
      <c r="C1030" s="24"/>
      <c r="D1030" s="24"/>
      <c r="E1030" s="24"/>
      <c r="F1030" s="24"/>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row>
    <row r="1031" spans="1:31" ht="12.9">
      <c r="A1031" s="24"/>
      <c r="B1031" s="24"/>
      <c r="C1031" s="24"/>
      <c r="D1031" s="24"/>
      <c r="E1031" s="24"/>
      <c r="F1031" s="24"/>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row>
    <row r="1032" spans="1:31" ht="12.9">
      <c r="A1032" s="24"/>
      <c r="B1032" s="24"/>
      <c r="C1032" s="24"/>
      <c r="D1032" s="24"/>
      <c r="E1032" s="24"/>
      <c r="F1032" s="24"/>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row>
    <row r="1033" spans="1:31" ht="12.9">
      <c r="A1033" s="24"/>
      <c r="B1033" s="24"/>
      <c r="C1033" s="24"/>
      <c r="D1033" s="24"/>
      <c r="E1033" s="24"/>
      <c r="F1033" s="24"/>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row>
    <row r="1034" spans="1:31" ht="12.9">
      <c r="A1034" s="24"/>
      <c r="B1034" s="24"/>
      <c r="C1034" s="24"/>
      <c r="D1034" s="24"/>
      <c r="E1034" s="24"/>
      <c r="F1034" s="24"/>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row>
    <row r="1035" spans="1:31" ht="12.9">
      <c r="A1035" s="24"/>
      <c r="B1035" s="24"/>
      <c r="C1035" s="24"/>
      <c r="D1035" s="24"/>
      <c r="E1035" s="24"/>
      <c r="F1035" s="24"/>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row>
    <row r="1036" spans="1:31" ht="12.9">
      <c r="A1036" s="24"/>
      <c r="B1036" s="24"/>
      <c r="C1036" s="24"/>
      <c r="D1036" s="24"/>
      <c r="E1036" s="24"/>
      <c r="F1036" s="24"/>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E1036" s="24"/>
    </row>
    <row r="1037" spans="1:31" ht="12.9">
      <c r="A1037" s="24"/>
      <c r="B1037" s="24"/>
      <c r="C1037" s="24"/>
      <c r="D1037" s="24"/>
      <c r="E1037" s="24"/>
      <c r="F1037" s="24"/>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E1037" s="24"/>
    </row>
    <row r="1038" spans="1:31" ht="12.9">
      <c r="A1038" s="24"/>
      <c r="B1038" s="24"/>
      <c r="C1038" s="24"/>
      <c r="D1038" s="24"/>
      <c r="E1038" s="24"/>
      <c r="F1038" s="24"/>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row>
    <row r="1039" spans="1:31" ht="12.9">
      <c r="A1039" s="24"/>
      <c r="B1039" s="24"/>
      <c r="C1039" s="24"/>
      <c r="D1039" s="24"/>
      <c r="E1039" s="24"/>
      <c r="F1039" s="24"/>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row>
    <row r="1040" spans="1:31" ht="12.9">
      <c r="A1040" s="24"/>
      <c r="B1040" s="24"/>
      <c r="C1040" s="24"/>
      <c r="D1040" s="24"/>
      <c r="E1040" s="24"/>
      <c r="F1040" s="24"/>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E1040" s="24"/>
    </row>
    <row r="1041" spans="1:31" ht="12.9">
      <c r="A1041" s="24"/>
      <c r="B1041" s="24"/>
      <c r="C1041" s="24"/>
      <c r="D1041" s="24"/>
      <c r="E1041" s="24"/>
      <c r="F1041" s="24"/>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E1041" s="24"/>
    </row>
    <row r="1042" spans="1:31" ht="12.9">
      <c r="A1042" s="24"/>
      <c r="B1042" s="24"/>
      <c r="C1042" s="24"/>
      <c r="D1042" s="24"/>
      <c r="E1042" s="24"/>
      <c r="F1042" s="24"/>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row>
    <row r="1043" spans="1:31" ht="12.9">
      <c r="A1043" s="24"/>
      <c r="B1043" s="24"/>
      <c r="C1043" s="24"/>
      <c r="D1043" s="24"/>
      <c r="E1043" s="24"/>
      <c r="F1043" s="24"/>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E1043" s="24"/>
    </row>
    <row r="1044" spans="1:31" ht="12.9">
      <c r="A1044" s="24"/>
      <c r="B1044" s="24"/>
      <c r="C1044" s="24"/>
      <c r="D1044" s="24"/>
      <c r="E1044" s="24"/>
      <c r="F1044" s="24"/>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row>
    <row r="1045" spans="1:31" ht="12.9">
      <c r="A1045" s="24"/>
      <c r="B1045" s="24"/>
      <c r="C1045" s="24"/>
      <c r="D1045" s="24"/>
      <c r="E1045" s="24"/>
      <c r="F1045" s="24"/>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row>
    <row r="1046" spans="1:31" ht="12.9">
      <c r="A1046" s="24"/>
      <c r="B1046" s="24"/>
      <c r="C1046" s="24"/>
      <c r="D1046" s="24"/>
      <c r="E1046" s="24"/>
      <c r="F1046" s="24"/>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row>
    <row r="1047" spans="1:31" ht="12.9">
      <c r="A1047" s="24"/>
      <c r="B1047" s="24"/>
      <c r="C1047" s="24"/>
      <c r="D1047" s="24"/>
      <c r="E1047" s="24"/>
      <c r="F1047" s="24"/>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row>
    <row r="1048" spans="1:31" ht="12.9">
      <c r="A1048" s="24"/>
      <c r="B1048" s="24"/>
      <c r="C1048" s="24"/>
      <c r="D1048" s="24"/>
      <c r="E1048" s="24"/>
      <c r="F1048" s="24"/>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E1048" s="24"/>
    </row>
    <row r="1049" spans="1:31" ht="12.9">
      <c r="A1049" s="24"/>
      <c r="B1049" s="24"/>
      <c r="C1049" s="24"/>
      <c r="D1049" s="24"/>
      <c r="E1049" s="24"/>
      <c r="F1049" s="24"/>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row>
    <row r="1050" spans="1:31" ht="12.9">
      <c r="A1050" s="24"/>
      <c r="B1050" s="24"/>
      <c r="C1050" s="24"/>
      <c r="D1050" s="24"/>
      <c r="E1050" s="24"/>
      <c r="F1050" s="24"/>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E1050" s="24"/>
    </row>
    <row r="1051" spans="1:31" ht="12.9">
      <c r="A1051" s="24"/>
      <c r="B1051" s="24"/>
      <c r="C1051" s="24"/>
      <c r="D1051" s="24"/>
      <c r="E1051" s="24"/>
      <c r="F1051" s="24"/>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E1051" s="24"/>
    </row>
    <row r="1052" spans="1:31" ht="12.9">
      <c r="A1052" s="24"/>
      <c r="B1052" s="24"/>
      <c r="C1052" s="24"/>
      <c r="D1052" s="24"/>
      <c r="E1052" s="24"/>
      <c r="F1052" s="24"/>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E1052" s="24"/>
    </row>
    <row r="1053" spans="1:31" ht="12.9">
      <c r="A1053" s="24"/>
      <c r="B1053" s="24"/>
      <c r="C1053" s="24"/>
      <c r="D1053" s="24"/>
      <c r="E1053" s="24"/>
      <c r="F1053" s="24"/>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E1053" s="24"/>
    </row>
    <row r="1054" spans="1:31" ht="12.9">
      <c r="A1054" s="24"/>
      <c r="B1054" s="24"/>
      <c r="C1054" s="24"/>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row>
    <row r="1055" spans="1:31" ht="12.9">
      <c r="A1055" s="24"/>
      <c r="B1055" s="24"/>
      <c r="C1055" s="24"/>
      <c r="D1055" s="24"/>
      <c r="E1055" s="24"/>
      <c r="F1055" s="24"/>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row>
    <row r="1056" spans="1:31" ht="12.9">
      <c r="A1056" s="24"/>
      <c r="B1056" s="24"/>
      <c r="C1056" s="24"/>
      <c r="D1056" s="24"/>
      <c r="E1056" s="24"/>
      <c r="F1056" s="24"/>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row>
    <row r="1057" spans="1:31" ht="12.9">
      <c r="A1057" s="24"/>
      <c r="B1057" s="24"/>
      <c r="C1057" s="24"/>
      <c r="D1057" s="24"/>
      <c r="E1057" s="24"/>
      <c r="F1057" s="24"/>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row>
    <row r="1058" spans="1:31" ht="12.9">
      <c r="A1058" s="24"/>
      <c r="B1058" s="24"/>
      <c r="C1058" s="24"/>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row>
    <row r="1059" spans="1:31" ht="12.9">
      <c r="A1059" s="24"/>
      <c r="B1059" s="24"/>
      <c r="C1059" s="24"/>
      <c r="D1059" s="24"/>
      <c r="E1059" s="24"/>
      <c r="F1059" s="24"/>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24"/>
      <c r="AE1059" s="24"/>
    </row>
    <row r="1060" spans="1:31" ht="12.9">
      <c r="A1060" s="24"/>
      <c r="B1060" s="24"/>
      <c r="C1060" s="24"/>
      <c r="D1060" s="24"/>
      <c r="E1060" s="24"/>
      <c r="F1060" s="24"/>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24"/>
      <c r="AE1060" s="24"/>
    </row>
    <row r="1061" spans="1:31" ht="12.9">
      <c r="A1061" s="24"/>
      <c r="B1061" s="24"/>
      <c r="C1061" s="24"/>
      <c r="D1061" s="24"/>
      <c r="E1061" s="24"/>
      <c r="F1061" s="24"/>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24"/>
      <c r="AE1061" s="24"/>
    </row>
    <row r="1062" spans="1:31" ht="12.9">
      <c r="A1062" s="24"/>
      <c r="B1062" s="24"/>
      <c r="C1062" s="24"/>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row>
    <row r="1063" spans="1:31" ht="12.9">
      <c r="A1063" s="24"/>
      <c r="B1063" s="24"/>
      <c r="C1063" s="24"/>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row>
    <row r="1064" spans="1:31" ht="12.9">
      <c r="A1064" s="24"/>
      <c r="B1064" s="24"/>
      <c r="C1064" s="24"/>
      <c r="D1064" s="24"/>
      <c r="E1064" s="24"/>
      <c r="F1064" s="24"/>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E1064" s="24"/>
    </row>
    <row r="1065" spans="1:31" ht="12.9">
      <c r="A1065" s="24"/>
      <c r="B1065" s="24"/>
      <c r="C1065" s="24"/>
      <c r="D1065" s="24"/>
      <c r="E1065" s="24"/>
      <c r="F1065" s="24"/>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24"/>
      <c r="AE1065" s="24"/>
    </row>
    <row r="1066" spans="1:31" ht="12.9">
      <c r="A1066" s="24"/>
      <c r="B1066" s="24"/>
      <c r="C1066" s="24"/>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row>
    <row r="1067" spans="1:31" ht="12.9">
      <c r="A1067" s="24"/>
      <c r="B1067" s="24"/>
      <c r="C1067" s="24"/>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row>
    <row r="1068" spans="1:31" ht="12.9">
      <c r="A1068" s="24"/>
      <c r="B1068" s="24"/>
      <c r="C1068" s="24"/>
      <c r="D1068" s="24"/>
      <c r="E1068" s="24"/>
      <c r="F1068" s="24"/>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24"/>
      <c r="AE1068" s="24"/>
    </row>
    <row r="1069" spans="1:31" ht="12.9">
      <c r="A1069" s="24"/>
      <c r="B1069" s="24"/>
      <c r="C1069" s="24"/>
      <c r="D1069" s="24"/>
      <c r="E1069" s="24"/>
      <c r="F1069" s="24"/>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row>
    <row r="1070" spans="1:31" ht="12.9">
      <c r="A1070" s="24"/>
      <c r="B1070" s="24"/>
      <c r="C1070" s="24"/>
      <c r="D1070" s="24"/>
      <c r="E1070" s="24"/>
      <c r="F1070" s="24"/>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row>
    <row r="1071" spans="1:31" ht="12.9">
      <c r="A1071" s="24"/>
      <c r="B1071" s="24"/>
      <c r="C1071" s="24"/>
      <c r="D1071" s="24"/>
      <c r="E1071" s="24"/>
      <c r="F1071" s="24"/>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24"/>
      <c r="AE1071" s="24"/>
    </row>
    <row r="1072" spans="1:31" ht="12.9">
      <c r="A1072" s="24"/>
      <c r="B1072" s="24"/>
      <c r="C1072" s="24"/>
      <c r="D1072" s="24"/>
      <c r="E1072" s="24"/>
      <c r="F1072" s="24"/>
      <c r="G1072" s="24"/>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c r="AD1072" s="24"/>
      <c r="AE1072" s="24"/>
    </row>
    <row r="1073" spans="1:31" ht="12.9">
      <c r="A1073" s="24"/>
      <c r="B1073" s="24"/>
      <c r="C1073" s="24"/>
      <c r="D1073" s="24"/>
      <c r="E1073" s="24"/>
      <c r="F1073" s="24"/>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24"/>
      <c r="AE1073" s="24"/>
    </row>
    <row r="1074" spans="1:31" ht="12.9">
      <c r="A1074" s="24"/>
      <c r="B1074" s="24"/>
      <c r="C1074" s="24"/>
      <c r="D1074" s="24"/>
      <c r="E1074" s="24"/>
      <c r="F1074" s="24"/>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24"/>
      <c r="AE1074" s="24"/>
    </row>
    <row r="1075" spans="1:31" ht="12.9">
      <c r="A1075" s="24"/>
      <c r="B1075" s="24"/>
      <c r="C1075" s="24"/>
      <c r="D1075" s="24"/>
      <c r="E1075" s="24"/>
      <c r="F1075" s="24"/>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24"/>
      <c r="AE1075" s="24"/>
    </row>
    <row r="1076" spans="1:31" ht="12.9">
      <c r="A1076" s="24"/>
      <c r="B1076" s="24"/>
      <c r="C1076" s="24"/>
      <c r="D1076" s="24"/>
      <c r="E1076" s="24"/>
      <c r="F1076" s="24"/>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24"/>
      <c r="AE1076" s="24"/>
    </row>
    <row r="1077" spans="1:31" ht="12.9">
      <c r="A1077" s="24"/>
      <c r="B1077" s="24"/>
      <c r="C1077" s="24"/>
      <c r="D1077" s="24"/>
      <c r="E1077" s="24"/>
      <c r="F1077" s="24"/>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24"/>
      <c r="AE1077" s="24"/>
    </row>
    <row r="1078" spans="1:31" ht="12.9">
      <c r="A1078" s="24"/>
      <c r="B1078" s="24"/>
      <c r="C1078" s="24"/>
      <c r="D1078" s="24"/>
      <c r="E1078" s="24"/>
      <c r="F1078" s="24"/>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row>
    <row r="1079" spans="1:31" ht="12.9">
      <c r="A1079" s="24"/>
      <c r="B1079" s="24"/>
      <c r="C1079" s="24"/>
      <c r="D1079" s="24"/>
      <c r="E1079" s="24"/>
      <c r="F1079" s="24"/>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24"/>
      <c r="AE1079" s="24"/>
    </row>
    <row r="1080" spans="1:31" ht="12.9">
      <c r="A1080" s="24"/>
      <c r="B1080" s="24"/>
      <c r="C1080" s="24"/>
      <c r="D1080" s="24"/>
      <c r="E1080" s="24"/>
      <c r="F1080" s="24"/>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E1080" s="24"/>
    </row>
    <row r="1081" spans="1:31" ht="12.9">
      <c r="A1081" s="24"/>
      <c r="B1081" s="24"/>
      <c r="C1081" s="24"/>
      <c r="D1081" s="24"/>
      <c r="E1081" s="24"/>
      <c r="F1081" s="24"/>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24"/>
      <c r="AE1081" s="24"/>
    </row>
    <row r="1082" spans="1:31" ht="12.9">
      <c r="A1082" s="24"/>
      <c r="B1082" s="24"/>
      <c r="C1082" s="24"/>
      <c r="D1082" s="24"/>
      <c r="E1082" s="24"/>
      <c r="F1082" s="24"/>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E1082" s="24"/>
    </row>
    <row r="1083" spans="1:31" ht="12.9">
      <c r="A1083" s="24"/>
      <c r="B1083" s="24"/>
      <c r="C1083" s="24"/>
      <c r="D1083" s="24"/>
      <c r="E1083" s="24"/>
      <c r="F1083" s="24"/>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E1083" s="24"/>
    </row>
    <row r="1084" spans="1:31" ht="12.9">
      <c r="A1084" s="24"/>
      <c r="B1084" s="24"/>
      <c r="C1084" s="24"/>
      <c r="D1084" s="24"/>
      <c r="E1084" s="24"/>
      <c r="F1084" s="24"/>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E1084" s="24"/>
    </row>
    <row r="1085" spans="1:31" ht="12.9">
      <c r="A1085" s="24"/>
      <c r="B1085" s="24"/>
      <c r="C1085" s="24"/>
      <c r="D1085" s="24"/>
      <c r="E1085" s="24"/>
      <c r="F1085" s="24"/>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row>
    <row r="1086" spans="1:31" ht="12.9">
      <c r="A1086" s="24"/>
      <c r="B1086" s="24"/>
      <c r="C1086" s="24"/>
      <c r="D1086" s="24"/>
      <c r="E1086" s="24"/>
      <c r="F1086" s="24"/>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row>
    <row r="1087" spans="1:31" ht="12.9">
      <c r="A1087" s="24"/>
      <c r="B1087" s="24"/>
      <c r="C1087" s="24"/>
      <c r="D1087" s="24"/>
      <c r="E1087" s="24"/>
      <c r="F1087" s="24"/>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24"/>
      <c r="AE1087" s="24"/>
    </row>
    <row r="1088" spans="1:31" ht="12.9">
      <c r="A1088" s="24"/>
      <c r="B1088" s="24"/>
      <c r="C1088" s="24"/>
      <c r="D1088" s="24"/>
      <c r="E1088" s="24"/>
      <c r="F1088" s="24"/>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row>
    <row r="1089" spans="1:31" ht="12.9">
      <c r="A1089" s="24"/>
      <c r="B1089" s="24"/>
      <c r="C1089" s="24"/>
      <c r="D1089" s="24"/>
      <c r="E1089" s="24"/>
      <c r="F1089" s="24"/>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24"/>
      <c r="AE1089" s="24"/>
    </row>
    <row r="1090" spans="1:31" ht="12.9">
      <c r="A1090" s="24"/>
      <c r="B1090" s="24"/>
      <c r="C1090" s="24"/>
      <c r="D1090" s="24"/>
      <c r="E1090" s="24"/>
      <c r="F1090" s="24"/>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E1090" s="24"/>
    </row>
    <row r="1091" spans="1:31" ht="12.9">
      <c r="A1091" s="24"/>
      <c r="B1091" s="24"/>
      <c r="C1091" s="24"/>
      <c r="D1091" s="24"/>
      <c r="E1091" s="24"/>
      <c r="F1091" s="24"/>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row>
    <row r="1092" spans="1:31" ht="12.9">
      <c r="A1092" s="24"/>
      <c r="B1092" s="24"/>
      <c r="C1092" s="24"/>
      <c r="D1092" s="24"/>
      <c r="E1092" s="24"/>
      <c r="F1092" s="24"/>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row>
    <row r="1093" spans="1:31" ht="12.9">
      <c r="A1093" s="24"/>
      <c r="B1093" s="24"/>
      <c r="C1093" s="24"/>
      <c r="D1093" s="24"/>
      <c r="E1093" s="24"/>
      <c r="F1093" s="24"/>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row>
    <row r="1094" spans="1:31" ht="12.9">
      <c r="A1094" s="24"/>
      <c r="B1094" s="24"/>
      <c r="C1094" s="24"/>
      <c r="D1094" s="24"/>
      <c r="E1094" s="24"/>
      <c r="F1094" s="24"/>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row>
    <row r="1095" spans="1:31" ht="12.9">
      <c r="A1095" s="24"/>
      <c r="B1095" s="24"/>
      <c r="C1095" s="24"/>
      <c r="D1095" s="24"/>
      <c r="E1095" s="24"/>
      <c r="F1095" s="24"/>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row>
    <row r="1096" spans="1:31" ht="12.9">
      <c r="A1096" s="24"/>
      <c r="B1096" s="24"/>
      <c r="C1096" s="24"/>
      <c r="D1096" s="24"/>
      <c r="E1096" s="24"/>
      <c r="F1096" s="24"/>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E1096" s="24"/>
    </row>
    <row r="1097" spans="1:31" ht="12.9">
      <c r="A1097" s="24"/>
      <c r="B1097" s="24"/>
      <c r="C1097" s="24"/>
      <c r="D1097" s="24"/>
      <c r="E1097" s="24"/>
      <c r="F1097" s="24"/>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row>
    <row r="1098" spans="1:31" ht="12.9">
      <c r="A1098" s="24"/>
      <c r="B1098" s="24"/>
      <c r="C1098" s="24"/>
      <c r="D1098" s="24"/>
      <c r="E1098" s="24"/>
      <c r="F1098" s="24"/>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row>
    <row r="1099" spans="1:31" ht="12.9">
      <c r="A1099" s="24"/>
      <c r="B1099" s="24"/>
      <c r="C1099" s="24"/>
      <c r="D1099" s="24"/>
      <c r="E1099" s="24"/>
      <c r="F1099" s="24"/>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E1099" s="24"/>
    </row>
    <row r="1100" spans="1:31" ht="12.9">
      <c r="A1100" s="24"/>
      <c r="B1100" s="24"/>
      <c r="C1100" s="24"/>
      <c r="D1100" s="24"/>
      <c r="E1100" s="24"/>
      <c r="F1100" s="24"/>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E1100" s="24"/>
    </row>
    <row r="1101" spans="1:31" ht="12.9">
      <c r="A1101" s="24"/>
      <c r="B1101" s="24"/>
      <c r="C1101" s="24"/>
      <c r="D1101" s="24"/>
      <c r="E1101" s="24"/>
      <c r="F1101" s="24"/>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E1101" s="24"/>
    </row>
    <row r="1102" spans="1:31" ht="12.9">
      <c r="A1102" s="24"/>
      <c r="B1102" s="24"/>
      <c r="C1102" s="24"/>
      <c r="D1102" s="24"/>
      <c r="E1102" s="24"/>
      <c r="F1102" s="24"/>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row>
    <row r="1103" spans="1:31" ht="12.9">
      <c r="A1103" s="24"/>
      <c r="B1103" s="24"/>
      <c r="C1103" s="24"/>
      <c r="D1103" s="24"/>
      <c r="E1103" s="24"/>
      <c r="F1103" s="24"/>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E1103" s="24"/>
    </row>
    <row r="1104" spans="1:31" ht="12.9">
      <c r="A1104" s="24"/>
      <c r="B1104" s="24"/>
      <c r="C1104" s="24"/>
      <c r="D1104" s="24"/>
      <c r="E1104" s="24"/>
      <c r="F1104" s="24"/>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E1104" s="24"/>
    </row>
    <row r="1105" spans="1:31" ht="12.9">
      <c r="A1105" s="24"/>
      <c r="B1105" s="24"/>
      <c r="C1105" s="24"/>
      <c r="D1105" s="24"/>
      <c r="E1105" s="24"/>
      <c r="F1105" s="24"/>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row>
    <row r="1106" spans="1:31" ht="12.9">
      <c r="A1106" s="24"/>
      <c r="B1106" s="24"/>
      <c r="C1106" s="24"/>
      <c r="D1106" s="24"/>
      <c r="E1106" s="24"/>
      <c r="F1106" s="24"/>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E1106" s="24"/>
    </row>
    <row r="1107" spans="1:31" ht="12.9">
      <c r="A1107" s="24"/>
      <c r="B1107" s="24"/>
      <c r="C1107" s="24"/>
      <c r="D1107" s="24"/>
      <c r="E1107" s="24"/>
      <c r="F1107" s="24"/>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E1107" s="24"/>
    </row>
    <row r="1108" spans="1:31" ht="12.9">
      <c r="A1108" s="24"/>
      <c r="B1108" s="24"/>
      <c r="C1108" s="24"/>
      <c r="D1108" s="24"/>
      <c r="E1108" s="24"/>
      <c r="F1108" s="24"/>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E1108" s="24"/>
    </row>
    <row r="1109" spans="1:31" ht="12.9">
      <c r="A1109" s="24"/>
      <c r="B1109" s="24"/>
      <c r="C1109" s="24"/>
      <c r="D1109" s="24"/>
      <c r="E1109" s="24"/>
      <c r="F1109" s="24"/>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E1109" s="24"/>
    </row>
    <row r="1110" spans="1:31" ht="12.9">
      <c r="A1110" s="24"/>
      <c r="B1110" s="24"/>
      <c r="C1110" s="24"/>
      <c r="D1110" s="24"/>
      <c r="E1110" s="24"/>
      <c r="F1110" s="24"/>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row>
    <row r="1111" spans="1:31" ht="12.9">
      <c r="A1111" s="24"/>
      <c r="B1111" s="24"/>
      <c r="C1111" s="24"/>
      <c r="D1111" s="24"/>
      <c r="E1111" s="24"/>
      <c r="F1111" s="24"/>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row>
    <row r="1112" spans="1:31" ht="12.9">
      <c r="A1112" s="24"/>
      <c r="B1112" s="24"/>
      <c r="C1112" s="24"/>
      <c r="D1112" s="24"/>
      <c r="E1112" s="24"/>
      <c r="F1112" s="24"/>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E1112" s="24"/>
    </row>
    <row r="1113" spans="1:31" ht="12.9">
      <c r="A1113" s="24"/>
      <c r="B1113" s="24"/>
      <c r="C1113" s="24"/>
      <c r="D1113" s="24"/>
      <c r="E1113" s="24"/>
      <c r="F1113" s="24"/>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row>
    <row r="1114" spans="1:31" ht="12.9">
      <c r="A1114" s="24"/>
      <c r="B1114" s="24"/>
      <c r="C1114" s="24"/>
      <c r="D1114" s="24"/>
      <c r="E1114" s="24"/>
      <c r="F1114" s="24"/>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row>
    <row r="1115" spans="1:31" ht="12.9">
      <c r="A1115" s="24"/>
      <c r="B1115" s="24"/>
      <c r="C1115" s="24"/>
      <c r="D1115" s="24"/>
      <c r="E1115" s="24"/>
      <c r="F1115" s="24"/>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24"/>
      <c r="AE1115" s="24"/>
    </row>
    <row r="1116" spans="1:31" ht="12.9">
      <c r="A1116" s="24"/>
      <c r="B1116" s="24"/>
      <c r="C1116" s="24"/>
      <c r="D1116" s="24"/>
      <c r="E1116" s="24"/>
      <c r="F1116" s="24"/>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E1116" s="24"/>
    </row>
    <row r="1117" spans="1:31" ht="12.9">
      <c r="A1117" s="24"/>
      <c r="B1117" s="24"/>
      <c r="C1117" s="24"/>
      <c r="D1117" s="24"/>
      <c r="E1117" s="24"/>
      <c r="F1117" s="24"/>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24"/>
      <c r="AE1117" s="24"/>
    </row>
    <row r="1118" spans="1:31" ht="12.9">
      <c r="A1118" s="24"/>
      <c r="B1118" s="24"/>
      <c r="C1118" s="24"/>
      <c r="D1118" s="24"/>
      <c r="E1118" s="24"/>
      <c r="F1118" s="24"/>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row>
    <row r="1119" spans="1:31" ht="12.9">
      <c r="A1119" s="24"/>
      <c r="B1119" s="24"/>
      <c r="C1119" s="24"/>
      <c r="D1119" s="24"/>
      <c r="E1119" s="24"/>
      <c r="F1119" s="24"/>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24"/>
      <c r="AE1119" s="24"/>
    </row>
    <row r="1120" spans="1:31" ht="12.9">
      <c r="A1120" s="24"/>
      <c r="B1120" s="24"/>
      <c r="C1120" s="24"/>
      <c r="D1120" s="24"/>
      <c r="E1120" s="24"/>
      <c r="F1120" s="24"/>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E1120" s="24"/>
    </row>
    <row r="1121" spans="1:31" ht="12.9">
      <c r="A1121" s="24"/>
      <c r="B1121" s="24"/>
      <c r="C1121" s="24"/>
      <c r="D1121" s="24"/>
      <c r="E1121" s="24"/>
      <c r="F1121" s="24"/>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24"/>
      <c r="AE1121" s="24"/>
    </row>
    <row r="1122" spans="1:31" ht="12.9">
      <c r="A1122" s="24"/>
      <c r="B1122" s="24"/>
      <c r="C1122" s="24"/>
      <c r="D1122" s="24"/>
      <c r="E1122" s="24"/>
      <c r="F1122" s="24"/>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E1122" s="24"/>
    </row>
    <row r="1123" spans="1:31" ht="12.9">
      <c r="A1123" s="24"/>
      <c r="B1123" s="24"/>
      <c r="C1123" s="24"/>
      <c r="D1123" s="24"/>
      <c r="E1123" s="24"/>
      <c r="F1123" s="24"/>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E1123" s="24"/>
    </row>
    <row r="1124" spans="1:31" ht="12.9">
      <c r="A1124" s="24"/>
      <c r="B1124" s="24"/>
      <c r="C1124" s="24"/>
      <c r="D1124" s="24"/>
      <c r="E1124" s="24"/>
      <c r="F1124" s="24"/>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row>
    <row r="1125" spans="1:31" ht="12.9">
      <c r="A1125" s="24"/>
      <c r="B1125" s="24"/>
      <c r="C1125" s="24"/>
      <c r="D1125" s="24"/>
      <c r="E1125" s="24"/>
      <c r="F1125" s="24"/>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24"/>
      <c r="AE1125" s="24"/>
    </row>
    <row r="1126" spans="1:31" ht="12.9">
      <c r="A1126" s="24"/>
      <c r="B1126" s="24"/>
      <c r="C1126" s="24"/>
      <c r="D1126" s="24"/>
      <c r="E1126" s="24"/>
      <c r="F1126" s="24"/>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row>
    <row r="1127" spans="1:31" ht="12.9">
      <c r="A1127" s="24"/>
      <c r="B1127" s="24"/>
      <c r="C1127" s="24"/>
      <c r="D1127" s="24"/>
      <c r="E1127" s="24"/>
      <c r="F1127" s="24"/>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E1127" s="24"/>
    </row>
    <row r="1128" spans="1:31" ht="12.9">
      <c r="A1128" s="24"/>
      <c r="B1128" s="24"/>
      <c r="C1128" s="24"/>
      <c r="D1128" s="24"/>
      <c r="E1128" s="24"/>
      <c r="F1128" s="24"/>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24"/>
      <c r="AE1128" s="24"/>
    </row>
    <row r="1129" spans="1:31" ht="12.9">
      <c r="A1129" s="24"/>
      <c r="B1129" s="24"/>
      <c r="C1129" s="24"/>
      <c r="D1129" s="24"/>
      <c r="E1129" s="24"/>
      <c r="F1129" s="24"/>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row>
    <row r="1130" spans="1:31" ht="12.9">
      <c r="A1130" s="24"/>
      <c r="B1130" s="24"/>
      <c r="C1130" s="24"/>
      <c r="D1130" s="24"/>
      <c r="E1130" s="24"/>
      <c r="F1130" s="24"/>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E1130" s="24"/>
    </row>
    <row r="1131" spans="1:31" ht="12.9">
      <c r="A1131" s="24"/>
      <c r="B1131" s="24"/>
      <c r="C1131" s="24"/>
      <c r="D1131" s="24"/>
      <c r="E1131" s="24"/>
      <c r="F1131" s="24"/>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E1131" s="24"/>
    </row>
    <row r="1132" spans="1:31" ht="12.9">
      <c r="A1132" s="24"/>
      <c r="B1132" s="24"/>
      <c r="C1132" s="24"/>
      <c r="D1132" s="24"/>
      <c r="E1132" s="24"/>
      <c r="F1132" s="24"/>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E1132" s="24"/>
    </row>
    <row r="1133" spans="1:31" ht="12.9">
      <c r="A1133" s="24"/>
      <c r="B1133" s="24"/>
      <c r="C1133" s="24"/>
      <c r="D1133" s="24"/>
      <c r="E1133" s="24"/>
      <c r="F1133" s="24"/>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E1133" s="24"/>
    </row>
    <row r="1134" spans="1:31" ht="12.9">
      <c r="A1134" s="24"/>
      <c r="B1134" s="24"/>
      <c r="C1134" s="24"/>
      <c r="D1134" s="24"/>
      <c r="E1134" s="24"/>
      <c r="F1134" s="24"/>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row>
    <row r="1135" spans="1:31" ht="12.9">
      <c r="A1135" s="24"/>
      <c r="B1135" s="24"/>
      <c r="C1135" s="24"/>
      <c r="D1135" s="24"/>
      <c r="E1135" s="24"/>
      <c r="F1135" s="24"/>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24"/>
      <c r="AE1135" s="24"/>
    </row>
    <row r="1136" spans="1:31" ht="12.9">
      <c r="A1136" s="24"/>
      <c r="B1136" s="24"/>
      <c r="C1136" s="24"/>
      <c r="D1136" s="24"/>
      <c r="E1136" s="24"/>
      <c r="F1136" s="24"/>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E1136" s="24"/>
    </row>
    <row r="1137" spans="1:31" ht="12.9">
      <c r="A1137" s="24"/>
      <c r="B1137" s="24"/>
      <c r="C1137" s="24"/>
      <c r="D1137" s="24"/>
      <c r="E1137" s="24"/>
      <c r="F1137" s="24"/>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24"/>
      <c r="AE1137" s="24"/>
    </row>
    <row r="1138" spans="1:31" ht="12.9">
      <c r="A1138" s="24"/>
      <c r="B1138" s="24"/>
      <c r="C1138" s="24"/>
      <c r="D1138" s="24"/>
      <c r="E1138" s="24"/>
      <c r="F1138" s="24"/>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24"/>
      <c r="AE1138" s="24"/>
    </row>
    <row r="1139" spans="1:31" ht="12.9">
      <c r="A1139" s="24"/>
      <c r="B1139" s="24"/>
      <c r="C1139" s="24"/>
      <c r="D1139" s="24"/>
      <c r="E1139" s="24"/>
      <c r="F1139" s="24"/>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row>
    <row r="1140" spans="1:31" ht="12.9">
      <c r="A1140" s="24"/>
      <c r="B1140" s="24"/>
      <c r="C1140" s="24"/>
      <c r="D1140" s="24"/>
      <c r="E1140" s="24"/>
      <c r="F1140" s="24"/>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row>
    <row r="1141" spans="1:31" ht="12.9">
      <c r="A1141" s="24"/>
      <c r="B1141" s="24"/>
      <c r="C1141" s="24"/>
      <c r="D1141" s="24"/>
      <c r="E1141" s="24"/>
      <c r="F1141" s="24"/>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row>
    <row r="1142" spans="1:31" ht="12.9">
      <c r="A1142" s="24"/>
      <c r="B1142" s="24"/>
      <c r="C1142" s="24"/>
      <c r="D1142" s="24"/>
      <c r="E1142" s="24"/>
      <c r="F1142" s="24"/>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row>
    <row r="1143" spans="1:31" ht="12.9">
      <c r="A1143" s="24"/>
      <c r="B1143" s="24"/>
      <c r="C1143" s="24"/>
      <c r="D1143" s="24"/>
      <c r="E1143" s="24"/>
      <c r="F1143" s="24"/>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E1143" s="24"/>
    </row>
    <row r="1144" spans="1:31" ht="12.9">
      <c r="A1144" s="24"/>
      <c r="B1144" s="24"/>
      <c r="C1144" s="24"/>
      <c r="D1144" s="24"/>
      <c r="E1144" s="24"/>
      <c r="F1144" s="24"/>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24"/>
      <c r="AE1144" s="24"/>
    </row>
    <row r="1145" spans="1:31" ht="12.9">
      <c r="A1145" s="24"/>
      <c r="B1145" s="24"/>
      <c r="C1145" s="24"/>
      <c r="D1145" s="24"/>
      <c r="E1145" s="24"/>
      <c r="F1145" s="24"/>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c r="AD1145" s="24"/>
      <c r="AE1145" s="24"/>
    </row>
    <row r="1146" spans="1:31" ht="12.9">
      <c r="A1146" s="24"/>
      <c r="B1146" s="24"/>
      <c r="C1146" s="24"/>
      <c r="D1146" s="24"/>
      <c r="E1146" s="24"/>
      <c r="F1146" s="24"/>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c r="AD1146" s="24"/>
      <c r="AE1146" s="24"/>
    </row>
    <row r="1147" spans="1:31" ht="12.9">
      <c r="A1147" s="24"/>
      <c r="B1147" s="24"/>
      <c r="C1147" s="24"/>
      <c r="D1147" s="24"/>
      <c r="E1147" s="24"/>
      <c r="F1147" s="24"/>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E1147" s="24"/>
    </row>
    <row r="1148" spans="1:31" ht="12.9">
      <c r="A1148" s="24"/>
      <c r="B1148" s="24"/>
      <c r="C1148" s="24"/>
      <c r="D1148" s="24"/>
      <c r="E1148" s="24"/>
      <c r="F1148" s="24"/>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c r="AD1148" s="24"/>
      <c r="AE1148" s="24"/>
    </row>
    <row r="1149" spans="1:31" ht="12.9">
      <c r="A1149" s="24"/>
      <c r="B1149" s="24"/>
      <c r="C1149" s="24"/>
      <c r="D1149" s="24"/>
      <c r="E1149" s="24"/>
      <c r="F1149" s="24"/>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24"/>
      <c r="AE1149" s="24"/>
    </row>
    <row r="1150" spans="1:31" ht="12.9">
      <c r="A1150" s="24"/>
      <c r="B1150" s="24"/>
      <c r="C1150" s="24"/>
      <c r="D1150" s="24"/>
      <c r="E1150" s="24"/>
      <c r="F1150" s="24"/>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row>
    <row r="1151" spans="1:31" ht="12.9">
      <c r="A1151" s="24"/>
      <c r="B1151" s="24"/>
      <c r="C1151" s="24"/>
      <c r="D1151" s="24"/>
      <c r="E1151" s="24"/>
      <c r="F1151" s="24"/>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24"/>
      <c r="AE1151" s="24"/>
    </row>
    <row r="1152" spans="1:31" ht="12.9">
      <c r="A1152" s="24"/>
      <c r="B1152" s="24"/>
      <c r="C1152" s="24"/>
      <c r="D1152" s="24"/>
      <c r="E1152" s="24"/>
      <c r="F1152" s="24"/>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E1152" s="24"/>
    </row>
    <row r="1153" spans="1:31" ht="12.9">
      <c r="A1153" s="24"/>
      <c r="B1153" s="24"/>
      <c r="C1153" s="24"/>
      <c r="D1153" s="24"/>
      <c r="E1153" s="24"/>
      <c r="F1153" s="24"/>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24"/>
      <c r="AE1153" s="24"/>
    </row>
    <row r="1154" spans="1:31" ht="12.9">
      <c r="A1154" s="24"/>
      <c r="B1154" s="24"/>
      <c r="C1154" s="24"/>
      <c r="D1154" s="24"/>
      <c r="E1154" s="24"/>
      <c r="F1154" s="24"/>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24"/>
      <c r="AE1154" s="24"/>
    </row>
    <row r="1155" spans="1:31" ht="12.9">
      <c r="A1155" s="24"/>
      <c r="B1155" s="24"/>
      <c r="C1155" s="24"/>
      <c r="D1155" s="24"/>
      <c r="E1155" s="24"/>
      <c r="F1155" s="24"/>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24"/>
      <c r="AE1155" s="24"/>
    </row>
    <row r="1156" spans="1:31" ht="12.9">
      <c r="A1156" s="24"/>
      <c r="B1156" s="24"/>
      <c r="C1156" s="24"/>
      <c r="D1156" s="24"/>
      <c r="E1156" s="24"/>
      <c r="F1156" s="24"/>
      <c r="G1156" s="24"/>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c r="AD1156" s="24"/>
      <c r="AE1156" s="24"/>
    </row>
    <row r="1157" spans="1:31" ht="12.9">
      <c r="A1157" s="24"/>
      <c r="B1157" s="24"/>
      <c r="C1157" s="24"/>
      <c r="D1157" s="24"/>
      <c r="E1157" s="24"/>
      <c r="F1157" s="24"/>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row>
    <row r="1158" spans="1:31" ht="12.9">
      <c r="A1158" s="24"/>
      <c r="B1158" s="24"/>
      <c r="C1158" s="24"/>
      <c r="D1158" s="24"/>
      <c r="E1158" s="24"/>
      <c r="F1158" s="24"/>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row>
    <row r="1159" spans="1:31" ht="12.9">
      <c r="A1159" s="24"/>
      <c r="B1159" s="24"/>
      <c r="C1159" s="24"/>
      <c r="D1159" s="24"/>
      <c r="E1159" s="24"/>
      <c r="F1159" s="24"/>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24"/>
      <c r="AE1159" s="24"/>
    </row>
    <row r="1160" spans="1:31" ht="12.9">
      <c r="A1160" s="24"/>
      <c r="B1160" s="24"/>
      <c r="C1160" s="24"/>
      <c r="D1160" s="24"/>
      <c r="E1160" s="24"/>
      <c r="F1160" s="24"/>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24"/>
      <c r="AE1160" s="24"/>
    </row>
    <row r="1161" spans="1:31" ht="12.9">
      <c r="A1161" s="24"/>
      <c r="B1161" s="24"/>
      <c r="C1161" s="24"/>
      <c r="D1161" s="24"/>
      <c r="E1161" s="24"/>
      <c r="F1161" s="24"/>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24"/>
      <c r="AE1161" s="24"/>
    </row>
    <row r="1162" spans="1:31" ht="12.9">
      <c r="A1162" s="24"/>
      <c r="B1162" s="24"/>
      <c r="C1162" s="24"/>
      <c r="D1162" s="24"/>
      <c r="E1162" s="24"/>
      <c r="F1162" s="24"/>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24"/>
      <c r="AE1162" s="24"/>
    </row>
    <row r="1163" spans="1:31" ht="12.9">
      <c r="A1163" s="24"/>
      <c r="B1163" s="24"/>
      <c r="C1163" s="24"/>
      <c r="D1163" s="24"/>
      <c r="E1163" s="24"/>
      <c r="F1163" s="24"/>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24"/>
      <c r="AE1163" s="24"/>
    </row>
    <row r="1164" spans="1:31" ht="12.9">
      <c r="A1164" s="24"/>
      <c r="B1164" s="24"/>
      <c r="C1164" s="24"/>
      <c r="D1164" s="24"/>
      <c r="E1164" s="24"/>
      <c r="F1164" s="24"/>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24"/>
      <c r="AE1164" s="24"/>
    </row>
    <row r="1165" spans="1:31" ht="12.9">
      <c r="A1165" s="24"/>
      <c r="B1165" s="24"/>
      <c r="C1165" s="24"/>
      <c r="D1165" s="24"/>
      <c r="E1165" s="24"/>
      <c r="F1165" s="24"/>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24"/>
      <c r="AE1165" s="24"/>
    </row>
    <row r="1166" spans="1:31" ht="12.9">
      <c r="A1166" s="24"/>
      <c r="B1166" s="24"/>
      <c r="C1166" s="24"/>
      <c r="D1166" s="24"/>
      <c r="E1166" s="24"/>
      <c r="F1166" s="24"/>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row>
    <row r="1167" spans="1:31" ht="12.9">
      <c r="A1167" s="24"/>
      <c r="B1167" s="24"/>
      <c r="C1167" s="24"/>
      <c r="D1167" s="24"/>
      <c r="E1167" s="24"/>
      <c r="F1167" s="24"/>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24"/>
      <c r="AE1167" s="24"/>
    </row>
    <row r="1168" spans="1:31" ht="12.9">
      <c r="A1168" s="24"/>
      <c r="B1168" s="24"/>
      <c r="C1168" s="24"/>
      <c r="D1168" s="24"/>
      <c r="E1168" s="24"/>
      <c r="F1168" s="24"/>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E1168" s="24"/>
    </row>
    <row r="1169" spans="1:31" ht="12.9">
      <c r="A1169" s="24"/>
      <c r="B1169" s="24"/>
      <c r="C1169" s="24"/>
      <c r="D1169" s="24"/>
      <c r="E1169" s="24"/>
      <c r="F1169" s="24"/>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24"/>
      <c r="AE1169" s="24"/>
    </row>
    <row r="1170" spans="1:31" ht="12.9">
      <c r="A1170" s="24"/>
      <c r="B1170" s="24"/>
      <c r="C1170" s="24"/>
      <c r="D1170" s="24"/>
      <c r="E1170" s="24"/>
      <c r="F1170" s="24"/>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24"/>
      <c r="AE1170" s="24"/>
    </row>
    <row r="1171" spans="1:31" ht="12.9">
      <c r="A1171" s="24"/>
      <c r="B1171" s="24"/>
      <c r="C1171" s="24"/>
      <c r="D1171" s="24"/>
      <c r="E1171" s="24"/>
      <c r="F1171" s="24"/>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24"/>
      <c r="AE1171" s="24"/>
    </row>
    <row r="1172" spans="1:31" ht="12.9">
      <c r="A1172" s="24"/>
      <c r="B1172" s="24"/>
      <c r="C1172" s="24"/>
      <c r="D1172" s="24"/>
      <c r="E1172" s="24"/>
      <c r="F1172" s="24"/>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24"/>
      <c r="AE1172" s="24"/>
    </row>
    <row r="1173" spans="1:31" ht="12.9">
      <c r="A1173" s="24"/>
      <c r="B1173" s="24"/>
      <c r="C1173" s="24"/>
      <c r="D1173" s="24"/>
      <c r="E1173" s="24"/>
      <c r="F1173" s="24"/>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24"/>
      <c r="AE1173" s="24"/>
    </row>
    <row r="1174" spans="1:31" ht="12.9">
      <c r="A1174" s="24"/>
      <c r="B1174" s="24"/>
      <c r="C1174" s="24"/>
      <c r="D1174" s="24"/>
      <c r="E1174" s="24"/>
      <c r="F1174" s="24"/>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E1174" s="24"/>
    </row>
    <row r="1175" spans="1:31" ht="12.9">
      <c r="A1175" s="24"/>
      <c r="B1175" s="24"/>
      <c r="C1175" s="24"/>
      <c r="D1175" s="24"/>
      <c r="E1175" s="24"/>
      <c r="F1175" s="24"/>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row>
    <row r="1176" spans="1:31" ht="12.9">
      <c r="A1176" s="24"/>
      <c r="B1176" s="24"/>
      <c r="C1176" s="24"/>
      <c r="D1176" s="24"/>
      <c r="E1176" s="24"/>
      <c r="F1176" s="24"/>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24"/>
      <c r="AE1176" s="24"/>
    </row>
    <row r="1177" spans="1:31" ht="12.9">
      <c r="A1177" s="24"/>
      <c r="B1177" s="24"/>
      <c r="C1177" s="24"/>
      <c r="D1177" s="24"/>
      <c r="E1177" s="24"/>
      <c r="F1177" s="24"/>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E1177" s="24"/>
    </row>
    <row r="1178" spans="1:31" ht="12.9">
      <c r="A1178" s="24"/>
      <c r="B1178" s="24"/>
      <c r="C1178" s="24"/>
      <c r="D1178" s="24"/>
      <c r="E1178" s="24"/>
      <c r="F1178" s="24"/>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24"/>
      <c r="AE1178" s="24"/>
    </row>
    <row r="1179" spans="1:31" ht="12.9">
      <c r="A1179" s="24"/>
      <c r="B1179" s="24"/>
      <c r="C1179" s="24"/>
      <c r="D1179" s="24"/>
      <c r="E1179" s="24"/>
      <c r="F1179" s="24"/>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24"/>
      <c r="AE1179" s="24"/>
    </row>
    <row r="1180" spans="1:31" ht="12.9">
      <c r="A1180" s="24"/>
      <c r="B1180" s="24"/>
      <c r="C1180" s="24"/>
      <c r="D1180" s="24"/>
      <c r="E1180" s="24"/>
      <c r="F1180" s="24"/>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24"/>
      <c r="AE1180" s="24"/>
    </row>
    <row r="1181" spans="1:31" ht="12.9">
      <c r="A1181" s="24"/>
      <c r="B1181" s="24"/>
      <c r="C1181" s="24"/>
      <c r="D1181" s="24"/>
      <c r="E1181" s="24"/>
      <c r="F1181" s="24"/>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E1181" s="24"/>
    </row>
    <row r="1182" spans="1:31" ht="12.9">
      <c r="A1182" s="24"/>
      <c r="B1182" s="24"/>
      <c r="C1182" s="24"/>
      <c r="D1182" s="24"/>
      <c r="E1182" s="24"/>
      <c r="F1182" s="24"/>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E1182" s="24"/>
    </row>
    <row r="1183" spans="1:31" ht="12.9">
      <c r="A1183" s="24"/>
      <c r="B1183" s="24"/>
      <c r="C1183" s="24"/>
      <c r="D1183" s="24"/>
      <c r="E1183" s="24"/>
      <c r="F1183" s="24"/>
      <c r="G1183" s="24"/>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24"/>
      <c r="AE1183" s="24"/>
    </row>
    <row r="1184" spans="1:31" ht="12.9">
      <c r="A1184" s="24"/>
      <c r="B1184" s="24"/>
      <c r="C1184" s="24"/>
      <c r="D1184" s="24"/>
      <c r="E1184" s="24"/>
      <c r="F1184" s="24"/>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24"/>
      <c r="AE1184" s="24"/>
    </row>
    <row r="1185" spans="1:31" ht="12.9">
      <c r="A1185" s="24"/>
      <c r="B1185" s="24"/>
      <c r="C1185" s="24"/>
      <c r="D1185" s="24"/>
      <c r="E1185" s="24"/>
      <c r="F1185" s="24"/>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24"/>
      <c r="AE1185" s="24"/>
    </row>
    <row r="1186" spans="1:31" ht="12.9">
      <c r="A1186" s="24"/>
      <c r="B1186" s="24"/>
      <c r="C1186" s="24"/>
      <c r="D1186" s="24"/>
      <c r="E1186" s="24"/>
      <c r="F1186" s="24"/>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24"/>
      <c r="AE1186" s="24"/>
    </row>
    <row r="1187" spans="1:31" ht="12.9">
      <c r="A1187" s="24"/>
      <c r="B1187" s="24"/>
      <c r="C1187" s="24"/>
      <c r="D1187" s="24"/>
      <c r="E1187" s="24"/>
      <c r="F1187" s="24"/>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24"/>
      <c r="AE1187" s="24"/>
    </row>
    <row r="1188" spans="1:31" ht="12.9">
      <c r="A1188" s="24"/>
      <c r="B1188" s="24"/>
      <c r="C1188" s="24"/>
      <c r="D1188" s="24"/>
      <c r="E1188" s="24"/>
      <c r="F1188" s="24"/>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24"/>
      <c r="AE1188" s="24"/>
    </row>
    <row r="1189" spans="1:31" ht="12.9">
      <c r="A1189" s="24"/>
      <c r="B1189" s="24"/>
      <c r="C1189" s="24"/>
      <c r="D1189" s="24"/>
      <c r="E1189" s="24"/>
      <c r="F1189" s="24"/>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24"/>
      <c r="AE1189" s="24"/>
    </row>
    <row r="1190" spans="1:31" ht="12.9">
      <c r="A1190" s="24"/>
      <c r="B1190" s="24"/>
      <c r="C1190" s="24"/>
      <c r="D1190" s="24"/>
      <c r="E1190" s="24"/>
      <c r="F1190" s="24"/>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E1190" s="24"/>
    </row>
    <row r="1191" spans="1:31" ht="12.9">
      <c r="A1191" s="24"/>
      <c r="B1191" s="24"/>
      <c r="C1191" s="24"/>
      <c r="D1191" s="24"/>
      <c r="E1191" s="24"/>
      <c r="F1191" s="24"/>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24"/>
      <c r="AE1191" s="24"/>
    </row>
    <row r="1192" spans="1:31" ht="12.9">
      <c r="A1192" s="24"/>
      <c r="B1192" s="24"/>
      <c r="C1192" s="24"/>
      <c r="D1192" s="24"/>
      <c r="E1192" s="24"/>
      <c r="F1192" s="24"/>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24"/>
      <c r="AE1192" s="24"/>
    </row>
    <row r="1193" spans="1:31" ht="12.9">
      <c r="A1193" s="24"/>
      <c r="B1193" s="24"/>
      <c r="C1193" s="24"/>
      <c r="D1193" s="24"/>
      <c r="E1193" s="24"/>
      <c r="F1193" s="24"/>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24"/>
      <c r="AE1193" s="24"/>
    </row>
    <row r="1194" spans="1:31" ht="12.9">
      <c r="A1194" s="24"/>
      <c r="B1194" s="24"/>
      <c r="C1194" s="24"/>
      <c r="D1194" s="24"/>
      <c r="E1194" s="24"/>
      <c r="F1194" s="24"/>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24"/>
      <c r="AE1194" s="24"/>
    </row>
    <row r="1195" spans="1:31" ht="12.9">
      <c r="A1195" s="24"/>
      <c r="B1195" s="24"/>
      <c r="C1195" s="24"/>
      <c r="D1195" s="24"/>
      <c r="E1195" s="24"/>
      <c r="F1195" s="24"/>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E1195" s="24"/>
    </row>
    <row r="1196" spans="1:31" ht="12.9">
      <c r="A1196" s="24"/>
      <c r="B1196" s="24"/>
      <c r="C1196" s="24"/>
      <c r="D1196" s="24"/>
      <c r="E1196" s="24"/>
      <c r="F1196" s="24"/>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24"/>
      <c r="AE1196" s="24"/>
    </row>
    <row r="1197" spans="1:31" ht="12.9">
      <c r="A1197" s="24"/>
      <c r="B1197" s="24"/>
      <c r="C1197" s="24"/>
      <c r="D1197" s="24"/>
      <c r="E1197" s="24"/>
      <c r="F1197" s="24"/>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24"/>
      <c r="AE1197" s="24"/>
    </row>
    <row r="1198" spans="1:31" ht="12.9">
      <c r="A1198" s="24"/>
      <c r="B1198" s="24"/>
      <c r="C1198" s="24"/>
      <c r="D1198" s="24"/>
      <c r="E1198" s="24"/>
      <c r="F1198" s="24"/>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row>
    <row r="1199" spans="1:31" ht="12.9">
      <c r="A1199" s="24"/>
      <c r="B1199" s="24"/>
      <c r="C1199" s="24"/>
      <c r="D1199" s="24"/>
      <c r="E1199" s="24"/>
      <c r="F1199" s="24"/>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24"/>
      <c r="AE1199" s="24"/>
    </row>
    <row r="1200" spans="1:31" ht="12.9">
      <c r="A1200" s="24"/>
      <c r="B1200" s="24"/>
      <c r="C1200" s="24"/>
      <c r="D1200" s="24"/>
      <c r="E1200" s="24"/>
      <c r="F1200" s="24"/>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24"/>
      <c r="AE1200" s="24"/>
    </row>
    <row r="1201" spans="1:31" ht="12.9">
      <c r="A1201" s="24"/>
      <c r="B1201" s="24"/>
      <c r="C1201" s="24"/>
      <c r="D1201" s="24"/>
      <c r="E1201" s="24"/>
      <c r="F1201" s="24"/>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24"/>
      <c r="AE1201" s="24"/>
    </row>
    <row r="1202" spans="1:31" ht="12.9">
      <c r="A1202" s="24"/>
      <c r="B1202" s="24"/>
      <c r="C1202" s="24"/>
      <c r="D1202" s="24"/>
      <c r="E1202" s="24"/>
      <c r="F1202" s="24"/>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E1202" s="24"/>
    </row>
    <row r="1203" spans="1:31" ht="12.9">
      <c r="A1203" s="24"/>
      <c r="B1203" s="24"/>
      <c r="C1203" s="24"/>
      <c r="D1203" s="24"/>
      <c r="E1203" s="24"/>
      <c r="F1203" s="24"/>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24"/>
      <c r="AE1203" s="24"/>
    </row>
    <row r="1204" spans="1:31" ht="12.9">
      <c r="A1204" s="24"/>
      <c r="B1204" s="24"/>
      <c r="C1204" s="24"/>
      <c r="D1204" s="24"/>
      <c r="E1204" s="24"/>
      <c r="F1204" s="24"/>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24"/>
      <c r="AE1204" s="24"/>
    </row>
    <row r="1205" spans="1:31" ht="12.9">
      <c r="A1205" s="24"/>
      <c r="B1205" s="24"/>
      <c r="C1205" s="24"/>
      <c r="D1205" s="24"/>
      <c r="E1205" s="24"/>
      <c r="F1205" s="24"/>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24"/>
      <c r="AE1205" s="24"/>
    </row>
    <row r="1206" spans="1:31" ht="12.9">
      <c r="A1206" s="24"/>
      <c r="B1206" s="24"/>
      <c r="C1206" s="24"/>
      <c r="D1206" s="24"/>
      <c r="E1206" s="24"/>
      <c r="F1206" s="24"/>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E1206" s="24"/>
    </row>
    <row r="1207" spans="1:31" ht="12.9">
      <c r="A1207" s="24"/>
      <c r="B1207" s="24"/>
      <c r="C1207" s="24"/>
      <c r="D1207" s="24"/>
      <c r="E1207" s="24"/>
      <c r="F1207" s="24"/>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E1207" s="24"/>
    </row>
    <row r="1208" spans="1:31" ht="12.9">
      <c r="A1208" s="24"/>
      <c r="B1208" s="24"/>
      <c r="C1208" s="24"/>
      <c r="D1208" s="24"/>
      <c r="E1208" s="24"/>
      <c r="F1208" s="24"/>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24"/>
      <c r="AE1208" s="24"/>
    </row>
    <row r="1209" spans="1:31" ht="12.9">
      <c r="A1209" s="24"/>
      <c r="B1209" s="24"/>
      <c r="C1209" s="24"/>
      <c r="D1209" s="24"/>
      <c r="E1209" s="24"/>
      <c r="F1209" s="24"/>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24"/>
      <c r="AE1209" s="24"/>
    </row>
    <row r="1210" spans="1:31" ht="12.9">
      <c r="A1210" s="24"/>
      <c r="B1210" s="24"/>
      <c r="C1210" s="24"/>
      <c r="D1210" s="24"/>
      <c r="E1210" s="24"/>
      <c r="F1210" s="24"/>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24"/>
      <c r="AE1210" s="24"/>
    </row>
    <row r="1211" spans="1:31" ht="12.9">
      <c r="A1211" s="24"/>
      <c r="B1211" s="24"/>
      <c r="C1211" s="24"/>
      <c r="D1211" s="24"/>
      <c r="E1211" s="24"/>
      <c r="F1211" s="24"/>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24"/>
      <c r="AE1211" s="24"/>
    </row>
    <row r="1212" spans="1:31" ht="12.9">
      <c r="A1212" s="24"/>
      <c r="B1212" s="24"/>
      <c r="C1212" s="24"/>
      <c r="D1212" s="24"/>
      <c r="E1212" s="24"/>
      <c r="F1212" s="24"/>
      <c r="G1212" s="24"/>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c r="AD1212" s="24"/>
      <c r="AE1212" s="24"/>
    </row>
    <row r="1213" spans="1:31" ht="12.9">
      <c r="A1213" s="24"/>
      <c r="B1213" s="24"/>
      <c r="C1213" s="24"/>
      <c r="D1213" s="24"/>
      <c r="E1213" s="24"/>
      <c r="F1213" s="24"/>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E1213" s="24"/>
    </row>
    <row r="1214" spans="1:31" ht="12.9">
      <c r="A1214" s="24"/>
      <c r="B1214" s="24"/>
      <c r="C1214" s="24"/>
      <c r="D1214" s="24"/>
      <c r="E1214" s="24"/>
      <c r="F1214" s="24"/>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E1214" s="24"/>
    </row>
    <row r="1215" spans="1:31" ht="12.9">
      <c r="A1215" s="24"/>
      <c r="B1215" s="24"/>
      <c r="C1215" s="24"/>
      <c r="D1215" s="24"/>
      <c r="E1215" s="24"/>
      <c r="F1215" s="24"/>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24"/>
      <c r="AE1215" s="24"/>
    </row>
    <row r="1216" spans="1:31" ht="12.9">
      <c r="A1216" s="24"/>
      <c r="B1216" s="24"/>
      <c r="C1216" s="24"/>
      <c r="D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24"/>
      <c r="AE1216" s="24"/>
    </row>
    <row r="1217" spans="1:31" ht="12.9">
      <c r="A1217" s="24"/>
      <c r="B1217" s="24"/>
      <c r="C1217" s="24"/>
      <c r="D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c r="AD1217" s="24"/>
      <c r="AE1217" s="24"/>
    </row>
    <row r="1218" spans="1:31" ht="12.9">
      <c r="A1218" s="24"/>
      <c r="B1218" s="24"/>
      <c r="C1218" s="24"/>
      <c r="D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c r="AD1218" s="24"/>
      <c r="AE1218" s="24"/>
    </row>
    <row r="1219" spans="1:31" ht="12.9">
      <c r="A1219" s="24"/>
      <c r="B1219" s="24"/>
      <c r="C1219" s="24"/>
      <c r="D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24"/>
      <c r="AE1219" s="24"/>
    </row>
    <row r="1220" spans="1:31" ht="12.9">
      <c r="A1220" s="24"/>
      <c r="B1220" s="24"/>
      <c r="C1220" s="24"/>
      <c r="D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24"/>
      <c r="AE1220" s="24"/>
    </row>
  </sheetData>
  <mergeCells count="18">
    <mergeCell ref="R1:R2"/>
    <mergeCell ref="I1:I2"/>
    <mergeCell ref="G1:G2"/>
    <mergeCell ref="B1:B2"/>
    <mergeCell ref="A1:A2"/>
    <mergeCell ref="D1:D2"/>
    <mergeCell ref="C1:C2"/>
    <mergeCell ref="E1:F1"/>
    <mergeCell ref="N1:N2"/>
    <mergeCell ref="J313:N313"/>
    <mergeCell ref="P1:P2"/>
    <mergeCell ref="O1:O2"/>
    <mergeCell ref="Q1:Q2"/>
    <mergeCell ref="H1:H2"/>
    <mergeCell ref="J1:J2"/>
    <mergeCell ref="K1:K2"/>
    <mergeCell ref="L1:L2"/>
    <mergeCell ref="M1:M2"/>
  </mergeCells>
  <conditionalFormatting sqref="J3:J173 J175:J177 J179 J181:J191 J193:J206 J208:J238 J240:J292">
    <cfRule type="containsText" dxfId="15" priority="1" operator="containsText" text="1.0">
      <formula>NOT(ISERROR(SEARCH(("1.0"),(J3))))</formula>
    </cfRule>
  </conditionalFormatting>
  <conditionalFormatting sqref="J3:J173 J175:J177 J179 J181:J191 J193:J206 J208:J238 J240:J292">
    <cfRule type="containsText" dxfId="14" priority="2" operator="containsText" text="2.0">
      <formula>NOT(ISERROR(SEARCH(("2.0"),(J3))))</formula>
    </cfRule>
  </conditionalFormatting>
  <conditionalFormatting sqref="J3:J173 J175:J177 J179 J181:J191 J193:J206 J208:J238 J240:J292">
    <cfRule type="containsText" dxfId="13" priority="3" operator="containsText" text="3.0">
      <formula>NOT(ISERROR(SEARCH(("3.0"),(J3))))</formula>
    </cfRule>
  </conditionalFormatting>
  <conditionalFormatting sqref="J3:J173 J175:J177 J179 J181:J191 J193:J206 J208:J238 J240:J292">
    <cfRule type="containsText" dxfId="12" priority="4" operator="containsText" text="4.0">
      <formula>NOT(ISERROR(SEARCH(("4.0"),(J3))))</formula>
    </cfRule>
  </conditionalFormatting>
  <conditionalFormatting sqref="J3:J173 J175:J177 J179 J181:J191 J193:J206 J208:J238 J240:J292">
    <cfRule type="containsText" dxfId="11" priority="5" operator="containsText" text="5.0">
      <formula>NOT(ISERROR(SEARCH(("5.0"),(J3))))</formula>
    </cfRule>
  </conditionalFormatting>
  <conditionalFormatting sqref="J3:J173 J175:J177 J179 J181:J191 J193:J206 J208:J238 J240:J292">
    <cfRule type="containsText" dxfId="10" priority="6" operator="containsText" text="6.0">
      <formula>NOT(ISERROR(SEARCH(("6.0"),(J3))))</formula>
    </cfRule>
  </conditionalFormatting>
  <conditionalFormatting sqref="J3:J173 J175:J177 J179 J181:J191 J193:J206 J208:J238 J240:J292">
    <cfRule type="containsText" dxfId="9" priority="7" operator="containsText" text="7.0">
      <formula>NOT(ISERROR(SEARCH(("7.0"),(J3))))</formula>
    </cfRule>
  </conditionalFormatting>
  <conditionalFormatting sqref="J3:J173 J175:J177 J179 J181:J191 J193:J206 J208:J238 J240:J292">
    <cfRule type="containsText" dxfId="8" priority="8" operator="containsText" text="Two or More">
      <formula>NOT(ISERROR(SEARCH(("Two or More"),(J3))))</formula>
    </cfRule>
  </conditionalFormatting>
  <dataValidations count="1">
    <dataValidation type="list" allowBlank="1" sqref="J3:J173 J175:J177 J179 J181:J191 J193:J206 J208:J238 J240:J292">
      <formula1>"1.0 - Requirements Definition,2.0 -  Acq. Planning &amp; Mkt. Research,3.0 - Synopsis &amp; Solicitation,4.0 - Source Selection,5.0 - Award,6.0 - Contract Admin,7.0 - Closeout,Two or more,Unidentified"</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x14:formula1>
            <xm:f>'Self Assessment Total Score'!$C$18:$C$21</xm:f>
          </x14:formula1>
          <xm:sqref>O3:O312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AC1420"/>
  <sheetViews>
    <sheetView topLeftCell="I1" workbookViewId="0">
      <pane ySplit="2" topLeftCell="A3" activePane="bottomLeft" state="frozen"/>
      <selection pane="bottomLeft" activeCell="O5" sqref="O5"/>
    </sheetView>
  </sheetViews>
  <sheetFormatPr defaultColWidth="14.375" defaultRowHeight="15.8" customHeight="1"/>
  <cols>
    <col min="2" max="2" width="18.25" customWidth="1"/>
    <col min="3" max="3" width="30.125" customWidth="1"/>
    <col min="4" max="4" width="16.625" customWidth="1"/>
    <col min="5" max="5" width="22.75" customWidth="1"/>
    <col min="6" max="6" width="17.375" customWidth="1"/>
    <col min="7" max="7" width="20.625" customWidth="1"/>
    <col min="8" max="8" width="10.625" customWidth="1"/>
    <col min="9" max="9" width="12.625" customWidth="1"/>
    <col min="10" max="10" width="12.75" customWidth="1"/>
    <col min="11" max="11" width="8.75" customWidth="1"/>
    <col min="12" max="12" width="28" customWidth="1"/>
    <col min="13" max="13" width="36.875" customWidth="1"/>
    <col min="14" max="14" width="27" customWidth="1"/>
    <col min="15" max="15" width="29.375" customWidth="1"/>
    <col min="17" max="17" width="14.375" hidden="1"/>
  </cols>
  <sheetData>
    <row r="1" spans="1:29" ht="12.9">
      <c r="A1" s="297" t="s">
        <v>2</v>
      </c>
      <c r="B1" s="297" t="s">
        <v>3</v>
      </c>
      <c r="C1" s="297" t="s">
        <v>5</v>
      </c>
      <c r="D1" s="297" t="s">
        <v>6</v>
      </c>
      <c r="E1" s="303" t="s">
        <v>7</v>
      </c>
      <c r="F1" s="304"/>
      <c r="G1" s="307" t="s">
        <v>890</v>
      </c>
      <c r="H1" s="297" t="s">
        <v>14</v>
      </c>
      <c r="I1" s="295" t="s">
        <v>19</v>
      </c>
      <c r="J1" s="295" t="s">
        <v>31</v>
      </c>
      <c r="K1" s="295" t="s">
        <v>33</v>
      </c>
      <c r="L1" s="297" t="s">
        <v>34</v>
      </c>
      <c r="M1" s="299" t="s">
        <v>36</v>
      </c>
      <c r="N1" s="299" t="s">
        <v>39</v>
      </c>
      <c r="O1" s="301" t="s">
        <v>44</v>
      </c>
      <c r="P1" s="300" t="s">
        <v>46</v>
      </c>
      <c r="Q1" s="300" t="s">
        <v>47</v>
      </c>
      <c r="R1" s="300" t="s">
        <v>48</v>
      </c>
      <c r="S1" s="21"/>
      <c r="T1" s="21"/>
      <c r="U1" s="21"/>
      <c r="V1" s="21"/>
      <c r="W1" s="21"/>
      <c r="X1" s="21"/>
      <c r="Y1" s="21"/>
      <c r="Z1" s="21"/>
      <c r="AA1" s="21"/>
      <c r="AB1" s="21"/>
      <c r="AC1" s="21"/>
    </row>
    <row r="2" spans="1:29" ht="12.9">
      <c r="A2" s="298"/>
      <c r="B2" s="298"/>
      <c r="C2" s="298"/>
      <c r="D2" s="298"/>
      <c r="E2" s="23" t="s">
        <v>59</v>
      </c>
      <c r="F2" s="23" t="s">
        <v>68</v>
      </c>
      <c r="G2" s="298"/>
      <c r="H2" s="298"/>
      <c r="I2" s="296"/>
      <c r="J2" s="296"/>
      <c r="K2" s="296"/>
      <c r="L2" s="298"/>
      <c r="M2" s="298"/>
      <c r="N2" s="298"/>
      <c r="O2" s="298"/>
      <c r="P2" s="298"/>
      <c r="Q2" s="298"/>
      <c r="R2" s="298"/>
      <c r="S2" s="24"/>
      <c r="T2" s="24"/>
      <c r="U2" s="24"/>
      <c r="V2" s="24"/>
      <c r="W2" s="24"/>
      <c r="X2" s="24"/>
      <c r="Y2" s="24"/>
      <c r="Z2" s="24"/>
      <c r="AA2" s="24"/>
      <c r="AB2" s="24"/>
      <c r="AC2" s="21"/>
    </row>
    <row r="3" spans="1:29" ht="130.44999999999999">
      <c r="A3" s="26" t="s">
        <v>3238</v>
      </c>
      <c r="B3" s="26" t="s">
        <v>3239</v>
      </c>
      <c r="C3" s="26" t="s">
        <v>3240</v>
      </c>
      <c r="D3" s="26" t="s">
        <v>3241</v>
      </c>
      <c r="E3" s="25" t="s">
        <v>3242</v>
      </c>
      <c r="F3" s="25" t="s">
        <v>3243</v>
      </c>
      <c r="G3" s="86" t="str">
        <f>HYPERLINK("https://www.acquisition.gov/content/part-42-contract-administration-and-audit-services","FAR 42.202(f) Special surveillance [assignment of contract administration]. FAR 42.11 Production surveillance and reporting [contract administration and audit services]")</f>
        <v>FAR 42.202(f) Special surveillance [assignment of contract administration]. FAR 42.11 Production surveillance and reporting [contract administration and audit services]</v>
      </c>
      <c r="H3" s="57" t="str">
        <f>HYPERLINK("https://www.acquisition.gov/sites/default/files/current/gsam/html/GSAMTOC542.html#wp434199","GSAR 542.2 and 542.11")</f>
        <v>GSAR 542.2 and 542.11</v>
      </c>
      <c r="I3" s="34" t="s">
        <v>3251</v>
      </c>
      <c r="J3" s="37" t="s">
        <v>1566</v>
      </c>
      <c r="K3" s="37" t="s">
        <v>3252</v>
      </c>
      <c r="L3" s="25" t="s">
        <v>3253</v>
      </c>
      <c r="M3" s="25" t="s">
        <v>3254</v>
      </c>
      <c r="N3" s="25" t="s">
        <v>3255</v>
      </c>
      <c r="O3" s="64"/>
      <c r="P3" s="45" t="b">
        <f t="shared" ref="P3:P20" si="0">IF(AND(O3="Meet the requirements traceability “out of the box”"), 10, IF(AND(O3="Can meet the requirements traceability with configuration or through the use of another commercial product “out of the box” or other arrangement as part of the service offering quoted (i.e. at no additional cost)"), 8, IF(AND(O3="Can meet the requirements traceability with customization at additional cost"), 3, IF(AND(O3="Cannot meet the requirements traceability requirement"), 0))))</f>
        <v>0</v>
      </c>
      <c r="Q3" s="45">
        <f t="shared" ref="Q3:Q20" si="1">IF(J3="Unidentified",0,3)</f>
        <v>3</v>
      </c>
      <c r="R3" s="45">
        <f t="shared" ref="R3:R20" si="2">IF(P3=FALSE,0,IF(P3&gt;4,(P3+Q3),P3))</f>
        <v>0</v>
      </c>
      <c r="S3" s="24"/>
      <c r="T3" s="24"/>
      <c r="U3" s="24"/>
      <c r="V3" s="24"/>
      <c r="W3" s="24"/>
      <c r="X3" s="24"/>
      <c r="Y3" s="24"/>
      <c r="Z3" s="24"/>
      <c r="AA3" s="24"/>
      <c r="AB3" s="24"/>
      <c r="AC3" s="24"/>
    </row>
    <row r="4" spans="1:29" ht="141.30000000000001">
      <c r="A4" s="26" t="s">
        <v>3238</v>
      </c>
      <c r="B4" s="26" t="s">
        <v>3239</v>
      </c>
      <c r="C4" s="26" t="s">
        <v>3240</v>
      </c>
      <c r="D4" s="26" t="s">
        <v>3265</v>
      </c>
      <c r="E4" s="25" t="s">
        <v>3267</v>
      </c>
      <c r="F4" s="25" t="s">
        <v>3268</v>
      </c>
      <c r="G4" s="132" t="e">
        <f>HYPERLINK("https://www.acquisition.gov/browse/index/far","FAR 2.101 Contract administration office [definitions]. FAR 42.002 Interagency agreements [contract administration and audit services]. FAR 42.202 Assignment of contract administration. FAR 42.203 Contract administration services directory. FAR 42.3 Contr"&amp;"act administration office functions. FAR 42.6 Corporate administrative contracting officer.")</f>
        <v>#VALUE!</v>
      </c>
      <c r="H4" s="57" t="str">
        <f>HYPERLINK("https://www.acquisition.gov/sites/default/files/current/gsam/html/GSAMTOC542.html#wp434199","GSAR 542.2 and 542.3")</f>
        <v>GSAR 542.2 and 542.3</v>
      </c>
      <c r="I4" s="34" t="s">
        <v>3251</v>
      </c>
      <c r="J4" s="37" t="s">
        <v>1566</v>
      </c>
      <c r="K4" s="37" t="s">
        <v>3275</v>
      </c>
      <c r="L4" s="25" t="s">
        <v>3276</v>
      </c>
      <c r="M4" s="25" t="s">
        <v>3277</v>
      </c>
      <c r="N4" s="25" t="s">
        <v>3278</v>
      </c>
      <c r="O4" s="64"/>
      <c r="P4" s="45" t="b">
        <f t="shared" si="0"/>
        <v>0</v>
      </c>
      <c r="Q4" s="45">
        <f t="shared" si="1"/>
        <v>3</v>
      </c>
      <c r="R4" s="45">
        <f t="shared" si="2"/>
        <v>0</v>
      </c>
      <c r="S4" s="24"/>
      <c r="T4" s="24"/>
      <c r="U4" s="24"/>
      <c r="V4" s="24"/>
      <c r="W4" s="24"/>
      <c r="X4" s="24"/>
      <c r="Y4" s="24"/>
      <c r="Z4" s="24"/>
      <c r="AA4" s="24"/>
      <c r="AB4" s="24"/>
      <c r="AC4" s="24"/>
    </row>
    <row r="5" spans="1:29" ht="195.65">
      <c r="A5" s="26" t="s">
        <v>3238</v>
      </c>
      <c r="B5" s="26" t="s">
        <v>3239</v>
      </c>
      <c r="C5" s="26" t="s">
        <v>3240</v>
      </c>
      <c r="D5" s="26" t="s">
        <v>3283</v>
      </c>
      <c r="E5" s="25" t="s">
        <v>3285</v>
      </c>
      <c r="F5" s="25" t="s">
        <v>3286</v>
      </c>
      <c r="G5" s="86" t="str">
        <f>HYPERLINK("https://www.acquisition.gov/content/part-42-contract-administration-and-audit-services#i1075946","FAR 42.201 Contract administration responsibilities. FAR 42.202 Assignment of contract administration.")</f>
        <v>FAR 42.201 Contract administration responsibilities. FAR 42.202 Assignment of contract administration.</v>
      </c>
      <c r="H5" s="57" t="str">
        <f>HYPERLINK("https://www.acquisition.gov/sites/default/files/current/gsam/html/Part542.html#wp1858098","GSAR 542.202")</f>
        <v>GSAR 542.202</v>
      </c>
      <c r="I5" s="34" t="s">
        <v>3251</v>
      </c>
      <c r="J5" s="37" t="s">
        <v>1566</v>
      </c>
      <c r="K5" s="37" t="s">
        <v>3290</v>
      </c>
      <c r="L5" s="25" t="s">
        <v>3291</v>
      </c>
      <c r="M5" s="25" t="s">
        <v>3292</v>
      </c>
      <c r="N5" s="25" t="s">
        <v>3293</v>
      </c>
      <c r="O5" s="64"/>
      <c r="P5" s="45" t="b">
        <f t="shared" si="0"/>
        <v>0</v>
      </c>
      <c r="Q5" s="45">
        <f t="shared" si="1"/>
        <v>3</v>
      </c>
      <c r="R5" s="45">
        <f t="shared" si="2"/>
        <v>0</v>
      </c>
      <c r="S5" s="24"/>
      <c r="T5" s="24"/>
      <c r="U5" s="24"/>
      <c r="V5" s="24"/>
      <c r="W5" s="24"/>
      <c r="X5" s="24"/>
      <c r="Y5" s="24"/>
      <c r="Z5" s="24"/>
      <c r="AA5" s="24"/>
      <c r="AB5" s="24"/>
      <c r="AC5" s="24"/>
    </row>
    <row r="6" spans="1:29" ht="130.44999999999999">
      <c r="A6" s="26" t="s">
        <v>3238</v>
      </c>
      <c r="B6" s="26" t="s">
        <v>3239</v>
      </c>
      <c r="C6" s="26" t="s">
        <v>3240</v>
      </c>
      <c r="D6" s="26" t="s">
        <v>3298</v>
      </c>
      <c r="E6" s="25" t="s">
        <v>3299</v>
      </c>
      <c r="F6" s="25" t="s">
        <v>3300</v>
      </c>
      <c r="G6" s="86" t="str">
        <f>HYPERLINK("https://www.acquisition.gov/content/part-46-quality-assurance#i1072110","FAR 46.401 General [Government contract quality assurance].")</f>
        <v>FAR 46.401 General [Government contract quality assurance].</v>
      </c>
      <c r="H6" s="25"/>
      <c r="I6" s="34"/>
      <c r="J6" s="37" t="s">
        <v>463</v>
      </c>
      <c r="K6" s="37" t="s">
        <v>3303</v>
      </c>
      <c r="L6" s="25" t="s">
        <v>3304</v>
      </c>
      <c r="M6" s="25" t="s">
        <v>3305</v>
      </c>
      <c r="N6" s="25" t="s">
        <v>3306</v>
      </c>
      <c r="O6" s="64"/>
      <c r="P6" s="45" t="b">
        <f t="shared" si="0"/>
        <v>0</v>
      </c>
      <c r="Q6" s="45">
        <f t="shared" si="1"/>
        <v>0</v>
      </c>
      <c r="R6" s="45">
        <f t="shared" si="2"/>
        <v>0</v>
      </c>
      <c r="S6" s="24"/>
      <c r="T6" s="24"/>
      <c r="U6" s="24"/>
      <c r="V6" s="24"/>
      <c r="W6" s="24"/>
      <c r="X6" s="24"/>
      <c r="Y6" s="24"/>
      <c r="Z6" s="24"/>
      <c r="AA6" s="24"/>
      <c r="AB6" s="24"/>
      <c r="AC6" s="24"/>
    </row>
    <row r="7" spans="1:29" ht="152.15">
      <c r="A7" s="26" t="s">
        <v>3238</v>
      </c>
      <c r="B7" s="26" t="s">
        <v>3239</v>
      </c>
      <c r="C7" s="26" t="s">
        <v>3240</v>
      </c>
      <c r="D7" s="26" t="s">
        <v>3311</v>
      </c>
      <c r="E7" s="25" t="s">
        <v>3312</v>
      </c>
      <c r="F7" s="25" t="s">
        <v>3286</v>
      </c>
      <c r="G7" s="132" t="str">
        <f>HYPERLINK("https://www.acquisition.gov/browse/index/far","FAR 2.101 Contracting officer [definitions]. FAR 42.3 Contract administration office functions. FAR 42.6 Corporate administrative contracting officer. ")</f>
        <v xml:space="preserve">FAR 2.101 Contracting officer [definitions]. FAR 42.3 Contract administration office functions. FAR 42.6 Corporate administrative contracting officer. </v>
      </c>
      <c r="H7" s="57" t="str">
        <f>HYPERLINK("https://www.acquisition.gov/sites/default/files/current/gsam/html/Part542.html#wp1858116","GSAR 542.302")</f>
        <v>GSAR 542.302</v>
      </c>
      <c r="I7" s="34" t="s">
        <v>3251</v>
      </c>
      <c r="J7" s="37" t="s">
        <v>1566</v>
      </c>
      <c r="K7" s="37" t="s">
        <v>3319</v>
      </c>
      <c r="L7" s="25" t="s">
        <v>3320</v>
      </c>
      <c r="M7" s="25" t="s">
        <v>3321</v>
      </c>
      <c r="N7" s="94" t="s">
        <v>3322</v>
      </c>
      <c r="O7" s="64"/>
      <c r="P7" s="45" t="b">
        <f t="shared" si="0"/>
        <v>0</v>
      </c>
      <c r="Q7" s="45">
        <f t="shared" si="1"/>
        <v>3</v>
      </c>
      <c r="R7" s="45">
        <f t="shared" si="2"/>
        <v>0</v>
      </c>
      <c r="S7" s="24"/>
      <c r="T7" s="24"/>
      <c r="U7" s="24"/>
      <c r="V7" s="24"/>
      <c r="W7" s="24"/>
      <c r="X7" s="24"/>
      <c r="Y7" s="24"/>
      <c r="Z7" s="24"/>
      <c r="AA7" s="24"/>
      <c r="AB7" s="24"/>
      <c r="AC7" s="24"/>
    </row>
    <row r="8" spans="1:29" ht="206.5">
      <c r="A8" s="66" t="s">
        <v>3238</v>
      </c>
      <c r="B8" s="66" t="s">
        <v>3239</v>
      </c>
      <c r="C8" s="66" t="s">
        <v>3240</v>
      </c>
      <c r="D8" s="66" t="s">
        <v>3326</v>
      </c>
      <c r="E8" s="25" t="s">
        <v>3327</v>
      </c>
      <c r="F8" s="25" t="s">
        <v>3286</v>
      </c>
      <c r="G8" s="86" t="str">
        <f>HYPERLINK("https://www.acquisition.gov/content/part-42-contract-administration-and-audit-services#i1075965","FAR 42.202(b) Special instructions [assignment of contract administration].")</f>
        <v>FAR 42.202(b) Special instructions [assignment of contract administration].</v>
      </c>
      <c r="H8" s="57" t="str">
        <f>HYPERLINK("https://www.acquisition.gov/sites/default/files/current/gsam/html/Part542.html#wp1858098","GSAR 542.202")</f>
        <v>GSAR 542.202</v>
      </c>
      <c r="I8" s="34" t="s">
        <v>3251</v>
      </c>
      <c r="J8" s="37" t="s">
        <v>1566</v>
      </c>
      <c r="K8" s="37" t="s">
        <v>3328</v>
      </c>
      <c r="L8" s="25" t="s">
        <v>3329</v>
      </c>
      <c r="M8" s="25" t="s">
        <v>3330</v>
      </c>
      <c r="N8" s="25" t="s">
        <v>3331</v>
      </c>
      <c r="O8" s="64"/>
      <c r="P8" s="45" t="b">
        <f t="shared" si="0"/>
        <v>0</v>
      </c>
      <c r="Q8" s="45">
        <f t="shared" si="1"/>
        <v>3</v>
      </c>
      <c r="R8" s="45">
        <f t="shared" si="2"/>
        <v>0</v>
      </c>
      <c r="S8" s="24"/>
      <c r="T8" s="24"/>
      <c r="U8" s="24"/>
      <c r="V8" s="24"/>
      <c r="W8" s="24"/>
      <c r="X8" s="24"/>
      <c r="Y8" s="24"/>
      <c r="Z8" s="24"/>
      <c r="AA8" s="24"/>
      <c r="AB8" s="24"/>
      <c r="AC8" s="24"/>
    </row>
    <row r="9" spans="1:29" ht="65.25">
      <c r="A9" s="26" t="s">
        <v>3238</v>
      </c>
      <c r="B9" s="26" t="s">
        <v>3239</v>
      </c>
      <c r="C9" s="26" t="s">
        <v>3240</v>
      </c>
      <c r="D9" s="26" t="s">
        <v>3336</v>
      </c>
      <c r="E9" s="25" t="s">
        <v>3337</v>
      </c>
      <c r="F9" s="25" t="s">
        <v>3338</v>
      </c>
      <c r="G9" s="86" t="str">
        <f>HYPERLINK("https://www.acquisition.gov/content/part-42-contract-administration-and-audit-services#id1617MD0K0GK","FAR 42.501(c) General [postaward orientation]. FAR 42.502 Selecting contracts for postaward orientation. ")</f>
        <v xml:space="preserve">FAR 42.501(c) General [postaward orientation]. FAR 42.502 Selecting contracts for postaward orientation. </v>
      </c>
      <c r="H9" s="25"/>
      <c r="I9" s="34" t="s">
        <v>3342</v>
      </c>
      <c r="J9" s="37" t="s">
        <v>1566</v>
      </c>
      <c r="K9" s="37" t="s">
        <v>3343</v>
      </c>
      <c r="L9" s="25" t="s">
        <v>3344</v>
      </c>
      <c r="M9" s="79" t="s">
        <v>3345</v>
      </c>
      <c r="N9" s="94" t="s">
        <v>3346</v>
      </c>
      <c r="O9" s="64"/>
      <c r="P9" s="45" t="b">
        <f t="shared" si="0"/>
        <v>0</v>
      </c>
      <c r="Q9" s="45">
        <f t="shared" si="1"/>
        <v>3</v>
      </c>
      <c r="R9" s="45">
        <f t="shared" si="2"/>
        <v>0</v>
      </c>
      <c r="S9" s="24"/>
      <c r="T9" s="24"/>
      <c r="U9" s="24"/>
      <c r="V9" s="24"/>
      <c r="W9" s="24"/>
      <c r="X9" s="24"/>
      <c r="Y9" s="24"/>
      <c r="Z9" s="24"/>
      <c r="AA9" s="24"/>
      <c r="AB9" s="24"/>
      <c r="AC9" s="24"/>
    </row>
    <row r="10" spans="1:29" ht="65.25">
      <c r="A10" s="26" t="s">
        <v>3238</v>
      </c>
      <c r="B10" s="26" t="s">
        <v>3239</v>
      </c>
      <c r="C10" s="26" t="s">
        <v>3240</v>
      </c>
      <c r="D10" s="26" t="s">
        <v>3347</v>
      </c>
      <c r="E10" s="25" t="s">
        <v>3348</v>
      </c>
      <c r="F10" s="25" t="s">
        <v>3349</v>
      </c>
      <c r="G10" s="86" t="str">
        <f>HYPERLINK("https://www.acquisition.gov/content/part-42-contract-administration-and-audit-services#id1617MA0D0TC","FAR 42.500 Scope of subpart [postaward orientation]. FAR 42.504 Postaward letters [postaward orientation].")</f>
        <v>FAR 42.500 Scope of subpart [postaward orientation]. FAR 42.504 Postaward letters [postaward orientation].</v>
      </c>
      <c r="H10" s="25"/>
      <c r="I10" s="34" t="s">
        <v>3342</v>
      </c>
      <c r="J10" s="37" t="s">
        <v>1566</v>
      </c>
      <c r="K10" s="75" t="s">
        <v>3343</v>
      </c>
      <c r="L10" s="25" t="s">
        <v>3350</v>
      </c>
      <c r="M10" s="79" t="s">
        <v>3351</v>
      </c>
      <c r="N10" s="94" t="s">
        <v>3346</v>
      </c>
      <c r="O10" s="64"/>
      <c r="P10" s="45" t="b">
        <f t="shared" si="0"/>
        <v>0</v>
      </c>
      <c r="Q10" s="45">
        <f t="shared" si="1"/>
        <v>3</v>
      </c>
      <c r="R10" s="45">
        <f t="shared" si="2"/>
        <v>0</v>
      </c>
      <c r="S10" s="24"/>
      <c r="T10" s="24"/>
      <c r="U10" s="24"/>
      <c r="V10" s="24"/>
      <c r="W10" s="24"/>
      <c r="X10" s="24"/>
      <c r="Y10" s="24"/>
      <c r="Z10" s="24"/>
      <c r="AA10" s="24"/>
      <c r="AB10" s="24"/>
      <c r="AC10" s="24"/>
    </row>
    <row r="11" spans="1:29" ht="130.44999999999999">
      <c r="A11" s="26" t="s">
        <v>3238</v>
      </c>
      <c r="B11" s="26" t="s">
        <v>3239</v>
      </c>
      <c r="C11" s="26" t="s">
        <v>3240</v>
      </c>
      <c r="D11" s="26" t="s">
        <v>3352</v>
      </c>
      <c r="E11" s="25" t="s">
        <v>3353</v>
      </c>
      <c r="F11" s="25" t="s">
        <v>3354</v>
      </c>
      <c r="G11" s="86" t="str">
        <f>HYPERLINK("https://www.acquisition.gov/content/part-42-contract-administration-and-audit-services#id1617MD0K0XJ","FAR 42.504 Postaward letters [postaward orientation].")</f>
        <v>FAR 42.504 Postaward letters [postaward orientation].</v>
      </c>
      <c r="H11" s="25"/>
      <c r="I11" s="34" t="s">
        <v>3342</v>
      </c>
      <c r="J11" s="37" t="s">
        <v>1566</v>
      </c>
      <c r="K11" s="75" t="s">
        <v>3343</v>
      </c>
      <c r="L11" s="25" t="s">
        <v>3355</v>
      </c>
      <c r="M11" s="79" t="s">
        <v>3356</v>
      </c>
      <c r="N11" s="94" t="s">
        <v>3357</v>
      </c>
      <c r="O11" s="64"/>
      <c r="P11" s="45" t="b">
        <f t="shared" si="0"/>
        <v>0</v>
      </c>
      <c r="Q11" s="45">
        <f t="shared" si="1"/>
        <v>3</v>
      </c>
      <c r="R11" s="45">
        <f t="shared" si="2"/>
        <v>0</v>
      </c>
      <c r="S11" s="24"/>
      <c r="T11" s="24"/>
      <c r="U11" s="24"/>
      <c r="V11" s="24"/>
      <c r="W11" s="24"/>
      <c r="X11" s="24"/>
      <c r="Y11" s="24"/>
      <c r="Z11" s="24"/>
      <c r="AA11" s="24"/>
      <c r="AB11" s="24"/>
      <c r="AC11" s="24"/>
    </row>
    <row r="12" spans="1:29" ht="65.25">
      <c r="A12" s="26" t="s">
        <v>3238</v>
      </c>
      <c r="B12" s="26" t="s">
        <v>3239</v>
      </c>
      <c r="C12" s="26" t="s">
        <v>3240</v>
      </c>
      <c r="D12" s="26" t="s">
        <v>3358</v>
      </c>
      <c r="E12" s="25" t="s">
        <v>3359</v>
      </c>
      <c r="F12" s="25" t="s">
        <v>3360</v>
      </c>
      <c r="G12" s="86" t="str">
        <f>HYPERLINK("https://www.acquisition.gov/content/part-42-contract-administration-and-audit-services#id1617MD0K0S1","FAR 42.503-1 Postaward conference arrangements.")</f>
        <v>FAR 42.503-1 Postaward conference arrangements.</v>
      </c>
      <c r="H12" s="25"/>
      <c r="I12" s="34"/>
      <c r="J12" s="37" t="s">
        <v>463</v>
      </c>
      <c r="K12" s="75" t="s">
        <v>3343</v>
      </c>
      <c r="L12" s="25" t="s">
        <v>3363</v>
      </c>
      <c r="M12" s="79" t="s">
        <v>3364</v>
      </c>
      <c r="N12" s="25" t="s">
        <v>3365</v>
      </c>
      <c r="O12" s="64"/>
      <c r="P12" s="45" t="b">
        <f t="shared" si="0"/>
        <v>0</v>
      </c>
      <c r="Q12" s="45">
        <f t="shared" si="1"/>
        <v>0</v>
      </c>
      <c r="R12" s="45">
        <f t="shared" si="2"/>
        <v>0</v>
      </c>
      <c r="S12" s="24"/>
      <c r="T12" s="24"/>
      <c r="U12" s="24"/>
      <c r="V12" s="24"/>
      <c r="W12" s="24"/>
      <c r="X12" s="24"/>
      <c r="Y12" s="24"/>
      <c r="Z12" s="24"/>
      <c r="AA12" s="24"/>
      <c r="AB12" s="24"/>
      <c r="AC12" s="24"/>
    </row>
    <row r="13" spans="1:29" ht="97.85">
      <c r="A13" s="26" t="s">
        <v>3238</v>
      </c>
      <c r="B13" s="26" t="s">
        <v>3239</v>
      </c>
      <c r="C13" s="26" t="s">
        <v>3240</v>
      </c>
      <c r="D13" s="26" t="s">
        <v>3368</v>
      </c>
      <c r="E13" s="25" t="s">
        <v>3369</v>
      </c>
      <c r="F13" s="25" t="s">
        <v>3360</v>
      </c>
      <c r="G13" s="86" t="str">
        <f>HYPERLINK("https://www.acquisition.gov/content/part-42-contract-administration-and-audit-services#i1075565","FAR 42.501(d) General [postaward]. FAR 42.503-2 Postaward conference procedure.")</f>
        <v>FAR 42.501(d) General [postaward]. FAR 42.503-2 Postaward conference procedure.</v>
      </c>
      <c r="H13" s="25"/>
      <c r="I13" s="34" t="s">
        <v>3342</v>
      </c>
      <c r="J13" s="37" t="s">
        <v>1566</v>
      </c>
      <c r="K13" s="75" t="s">
        <v>3343</v>
      </c>
      <c r="L13" s="25" t="s">
        <v>3370</v>
      </c>
      <c r="M13" s="79" t="s">
        <v>3371</v>
      </c>
      <c r="N13" s="25" t="s">
        <v>3372</v>
      </c>
      <c r="O13" s="64"/>
      <c r="P13" s="45" t="b">
        <f t="shared" si="0"/>
        <v>0</v>
      </c>
      <c r="Q13" s="45">
        <f t="shared" si="1"/>
        <v>3</v>
      </c>
      <c r="R13" s="45">
        <f t="shared" si="2"/>
        <v>0</v>
      </c>
      <c r="S13" s="24"/>
      <c r="T13" s="24"/>
      <c r="U13" s="24"/>
      <c r="V13" s="24"/>
      <c r="W13" s="24"/>
      <c r="X13" s="24"/>
      <c r="Y13" s="24"/>
      <c r="Z13" s="24"/>
      <c r="AA13" s="24"/>
      <c r="AB13" s="24"/>
      <c r="AC13" s="24"/>
    </row>
    <row r="14" spans="1:29" ht="65.25">
      <c r="A14" s="26" t="s">
        <v>3238</v>
      </c>
      <c r="B14" s="26" t="s">
        <v>3239</v>
      </c>
      <c r="C14" s="26" t="s">
        <v>3240</v>
      </c>
      <c r="D14" s="26" t="s">
        <v>3373</v>
      </c>
      <c r="E14" s="25" t="s">
        <v>3374</v>
      </c>
      <c r="F14" s="25" t="s">
        <v>3375</v>
      </c>
      <c r="G14" s="86" t="str">
        <f>HYPERLINK("https://www.acquisition.gov/content/part-42-contract-administration-and-audit-services#i1075606","FAR 42.503-2 Postaward conference procedure. FAR 42.503-3 Postaward conference report.")</f>
        <v>FAR 42.503-2 Postaward conference procedure. FAR 42.503-3 Postaward conference report.</v>
      </c>
      <c r="H14" s="25"/>
      <c r="I14" s="34" t="s">
        <v>3342</v>
      </c>
      <c r="J14" s="37" t="s">
        <v>1566</v>
      </c>
      <c r="K14" s="75" t="s">
        <v>3343</v>
      </c>
      <c r="L14" s="25" t="s">
        <v>3376</v>
      </c>
      <c r="M14" s="79" t="s">
        <v>3377</v>
      </c>
      <c r="N14" s="25" t="s">
        <v>3378</v>
      </c>
      <c r="O14" s="64"/>
      <c r="P14" s="45" t="b">
        <f t="shared" si="0"/>
        <v>0</v>
      </c>
      <c r="Q14" s="45">
        <f t="shared" si="1"/>
        <v>3</v>
      </c>
      <c r="R14" s="45">
        <f t="shared" si="2"/>
        <v>0</v>
      </c>
      <c r="S14" s="24"/>
      <c r="T14" s="24"/>
      <c r="U14" s="24"/>
      <c r="V14" s="24"/>
      <c r="W14" s="24"/>
      <c r="X14" s="24"/>
      <c r="Y14" s="24"/>
      <c r="Z14" s="24"/>
      <c r="AA14" s="24"/>
      <c r="AB14" s="24"/>
      <c r="AC14" s="24"/>
    </row>
    <row r="15" spans="1:29" ht="141.80000000000001" customHeight="1">
      <c r="A15" s="26" t="s">
        <v>3238</v>
      </c>
      <c r="B15" s="26" t="s">
        <v>3239</v>
      </c>
      <c r="C15" s="26" t="s">
        <v>3240</v>
      </c>
      <c r="D15" s="26" t="s">
        <v>3379</v>
      </c>
      <c r="E15" s="25" t="s">
        <v>3380</v>
      </c>
      <c r="F15" s="25" t="s">
        <v>3381</v>
      </c>
      <c r="G15" s="86" t="str">
        <f>HYPERLINK("https://www.acquisition.gov/content/part-42-contract-administration-and-audit-services#id1617MD0K0YH","FAR 42.505 Postaward subcontractor conferences.")</f>
        <v>FAR 42.505 Postaward subcontractor conferences.</v>
      </c>
      <c r="H15" s="25"/>
      <c r="I15" s="34"/>
      <c r="J15" s="37" t="s">
        <v>463</v>
      </c>
      <c r="K15" s="37" t="s">
        <v>3382</v>
      </c>
      <c r="L15" s="25" t="s">
        <v>3383</v>
      </c>
      <c r="M15" s="79" t="s">
        <v>3384</v>
      </c>
      <c r="N15" s="25" t="s">
        <v>3385</v>
      </c>
      <c r="O15" s="64"/>
      <c r="P15" s="45" t="b">
        <f t="shared" si="0"/>
        <v>0</v>
      </c>
      <c r="Q15" s="45">
        <f t="shared" si="1"/>
        <v>0</v>
      </c>
      <c r="R15" s="45">
        <f t="shared" si="2"/>
        <v>0</v>
      </c>
      <c r="S15" s="24"/>
      <c r="T15" s="24"/>
      <c r="U15" s="24"/>
      <c r="V15" s="24"/>
      <c r="W15" s="24"/>
      <c r="X15" s="24"/>
      <c r="Y15" s="24"/>
      <c r="Z15" s="24"/>
      <c r="AA15" s="24"/>
      <c r="AB15" s="24"/>
      <c r="AC15" s="24"/>
    </row>
    <row r="16" spans="1:29" ht="65.25">
      <c r="A16" s="26" t="s">
        <v>3238</v>
      </c>
      <c r="B16" s="26" t="s">
        <v>3239</v>
      </c>
      <c r="C16" s="26" t="s">
        <v>3240</v>
      </c>
      <c r="D16" s="26" t="s">
        <v>3386</v>
      </c>
      <c r="E16" s="25" t="s">
        <v>2616</v>
      </c>
      <c r="F16" s="25" t="s">
        <v>275</v>
      </c>
      <c r="G16" s="57" t="str">
        <f>HYPERLINK("https://www.acquisition.gov/content/part-4-administrative-matters#i1122357","FAR 4.803 Contents of contract files")</f>
        <v>FAR 4.803 Contents of contract files</v>
      </c>
      <c r="H16" s="57" t="str">
        <f>HYPERLINK("https://www.acquisition.gov/sites/default/files/current/gsam/html/Part504.html#wp1863182","GSAR 504.8")</f>
        <v>GSAR 504.8</v>
      </c>
      <c r="I16" s="34" t="s">
        <v>3387</v>
      </c>
      <c r="J16" s="37" t="s">
        <v>1566</v>
      </c>
      <c r="K16" s="37" t="s">
        <v>3388</v>
      </c>
      <c r="L16" s="25" t="s">
        <v>3389</v>
      </c>
      <c r="M16" s="25" t="s">
        <v>3390</v>
      </c>
      <c r="N16" s="25" t="s">
        <v>617</v>
      </c>
      <c r="O16" s="64"/>
      <c r="P16" s="45" t="b">
        <f t="shared" si="0"/>
        <v>0</v>
      </c>
      <c r="Q16" s="45">
        <f t="shared" si="1"/>
        <v>3</v>
      </c>
      <c r="R16" s="45">
        <f t="shared" si="2"/>
        <v>0</v>
      </c>
      <c r="S16" s="24"/>
      <c r="T16" s="24"/>
      <c r="U16" s="24"/>
      <c r="V16" s="24"/>
      <c r="W16" s="24"/>
      <c r="X16" s="24"/>
      <c r="Y16" s="24"/>
      <c r="Z16" s="24"/>
      <c r="AA16" s="24"/>
      <c r="AB16" s="24"/>
      <c r="AC16" s="24"/>
    </row>
    <row r="17" spans="1:29" ht="130.44999999999999">
      <c r="A17" s="26" t="s">
        <v>3238</v>
      </c>
      <c r="B17" s="26" t="s">
        <v>3239</v>
      </c>
      <c r="C17" s="26" t="s">
        <v>3240</v>
      </c>
      <c r="D17" s="26" t="s">
        <v>3391</v>
      </c>
      <c r="E17" s="25" t="s">
        <v>3392</v>
      </c>
      <c r="F17" s="25" t="s">
        <v>3393</v>
      </c>
      <c r="G17" s="86" t="e">
        <f>HYPERLINK("https://www.acquisition.gov/browse/index/far","FAR 9.405(c) Effect of listing [debarment, suspension, and ineligibility]. FAR 28.103 Performance and payment bonds for other than construction contracts [sureties and other security for bonds].  FAR 28.201 Requirements for security [sureties and other se"&amp;"curity for bonds].  FAR 28.204 Alternatives in lieu of corporate or individual sureties [sureties and other security for bonds]. ")</f>
        <v>#VALUE!</v>
      </c>
      <c r="H17" s="57" t="str">
        <f>HYPERLINK("https://www.acquisition.gov/sites/default/files/current/gsam/html/GSAMTOC.html","GSAR 509.405; 528.103; 528.204")</f>
        <v>GSAR 509.405; 528.103; 528.204</v>
      </c>
      <c r="I17" s="34"/>
      <c r="J17" s="37" t="s">
        <v>463</v>
      </c>
      <c r="K17" s="37" t="s">
        <v>3394</v>
      </c>
      <c r="L17" s="25" t="s">
        <v>3395</v>
      </c>
      <c r="M17" s="25" t="s">
        <v>3396</v>
      </c>
      <c r="N17" s="25" t="s">
        <v>3397</v>
      </c>
      <c r="O17" s="64"/>
      <c r="P17" s="45" t="b">
        <f t="shared" si="0"/>
        <v>0</v>
      </c>
      <c r="Q17" s="45">
        <f t="shared" si="1"/>
        <v>0</v>
      </c>
      <c r="R17" s="45">
        <f t="shared" si="2"/>
        <v>0</v>
      </c>
      <c r="S17" s="24"/>
      <c r="T17" s="24"/>
      <c r="U17" s="24"/>
      <c r="V17" s="24"/>
      <c r="W17" s="24"/>
      <c r="X17" s="24"/>
      <c r="Y17" s="24"/>
      <c r="Z17" s="24"/>
      <c r="AA17" s="24"/>
      <c r="AB17" s="24"/>
      <c r="AC17" s="24"/>
    </row>
    <row r="18" spans="1:29" ht="119.55">
      <c r="A18" s="26" t="s">
        <v>3238</v>
      </c>
      <c r="B18" s="26" t="s">
        <v>3239</v>
      </c>
      <c r="C18" s="26" t="s">
        <v>3240</v>
      </c>
      <c r="D18" s="26" t="s">
        <v>3398</v>
      </c>
      <c r="E18" s="25" t="s">
        <v>3399</v>
      </c>
      <c r="F18" s="25" t="s">
        <v>3400</v>
      </c>
      <c r="G18" s="86" t="str">
        <f>HYPERLINK("https://www.acquisition.gov/browse/index/far","FAR 28.106-3 Additional bond and security [administration].  FAR 52.228-2 Additional bond security.")</f>
        <v>FAR 28.106-3 Additional bond and security [administration].  FAR 52.228-2 Additional bond security.</v>
      </c>
      <c r="H18" s="25"/>
      <c r="I18" s="34"/>
      <c r="J18" s="37" t="s">
        <v>463</v>
      </c>
      <c r="K18" s="37" t="s">
        <v>3401</v>
      </c>
      <c r="L18" s="25" t="s">
        <v>3402</v>
      </c>
      <c r="M18" s="25" t="s">
        <v>3403</v>
      </c>
      <c r="N18" s="25" t="s">
        <v>3404</v>
      </c>
      <c r="O18" s="64"/>
      <c r="P18" s="45" t="b">
        <f t="shared" si="0"/>
        <v>0</v>
      </c>
      <c r="Q18" s="45">
        <f t="shared" si="1"/>
        <v>0</v>
      </c>
      <c r="R18" s="45">
        <f t="shared" si="2"/>
        <v>0</v>
      </c>
      <c r="S18" s="24"/>
      <c r="T18" s="24"/>
      <c r="U18" s="24"/>
      <c r="V18" s="24"/>
      <c r="W18" s="24"/>
      <c r="X18" s="24"/>
      <c r="Y18" s="24"/>
      <c r="Z18" s="24"/>
      <c r="AA18" s="24"/>
      <c r="AB18" s="24"/>
      <c r="AC18" s="24"/>
    </row>
    <row r="19" spans="1:29" ht="86.95">
      <c r="A19" s="26" t="s">
        <v>3238</v>
      </c>
      <c r="B19" s="26" t="s">
        <v>3239</v>
      </c>
      <c r="C19" s="26" t="s">
        <v>3240</v>
      </c>
      <c r="D19" s="26" t="s">
        <v>3405</v>
      </c>
      <c r="E19" s="25" t="s">
        <v>3406</v>
      </c>
      <c r="F19" s="25" t="s">
        <v>1710</v>
      </c>
      <c r="G19" s="86" t="str">
        <f>HYPERLINK("https://www.acquisition.gov/content/part-28-bonds-and-insurance#id1617MD0A0RM","FAR 28.106-2 Substitution of surety bonds [administration]. ")</f>
        <v xml:space="preserve">FAR 28.106-2 Substitution of surety bonds [administration]. </v>
      </c>
      <c r="H19" s="25"/>
      <c r="I19" s="34"/>
      <c r="J19" s="37" t="s">
        <v>463</v>
      </c>
      <c r="K19" s="37" t="s">
        <v>3407</v>
      </c>
      <c r="L19" s="25" t="s">
        <v>3408</v>
      </c>
      <c r="M19" s="25" t="s">
        <v>3409</v>
      </c>
      <c r="N19" s="25" t="s">
        <v>3410</v>
      </c>
      <c r="O19" s="64"/>
      <c r="P19" s="45" t="b">
        <f t="shared" si="0"/>
        <v>0</v>
      </c>
      <c r="Q19" s="45">
        <f t="shared" si="1"/>
        <v>0</v>
      </c>
      <c r="R19" s="45">
        <f t="shared" si="2"/>
        <v>0</v>
      </c>
      <c r="S19" s="24"/>
      <c r="T19" s="24"/>
      <c r="U19" s="24"/>
      <c r="V19" s="24"/>
      <c r="W19" s="24"/>
      <c r="X19" s="24"/>
      <c r="Y19" s="24"/>
      <c r="Z19" s="24"/>
      <c r="AA19" s="24"/>
      <c r="AB19" s="24"/>
      <c r="AC19" s="24"/>
    </row>
    <row r="20" spans="1:29" ht="108.7">
      <c r="A20" s="66" t="s">
        <v>3238</v>
      </c>
      <c r="B20" s="66" t="s">
        <v>3239</v>
      </c>
      <c r="C20" s="66" t="s">
        <v>3240</v>
      </c>
      <c r="D20" s="66" t="s">
        <v>3411</v>
      </c>
      <c r="E20" s="25" t="s">
        <v>3412</v>
      </c>
      <c r="F20" s="25" t="s">
        <v>3413</v>
      </c>
      <c r="G20" s="86" t="e">
        <f>HYPERLINK("https://www.acquisition.gov/browse/index/far","FAR Subpart 3.1 Safeguards [improper business practices and personal conflicts of interest]. FAR Subpart 3.2 Contractor gratuities to government personnel. FAR Subpart 3.3 Reports of suspected antitrust violations; FAR 3.402 Statutory requirements [contin"&amp;"gent fees]. FAR 3.502 Subcontractor kickbacks. FAR 3.503 Unreasonable restrictions on subcontractor sales. FAR Subpart 3.6 Contracts with government employees or organizations owned or controlled by them. FAR 3.802 Statutory prohibition and requirement [l"&amp;"imitation on the payment of funds to influence federal transactions]. FAR Subpart 3.10 Contractor code of business ethics and conduct. FAR Subpart 3.11 Preventing personal conflicts of interest for contractor employees performing acquisition functions. FA"&amp;"R Subpart 9.4 Debarment, suspension, and ineligibility. FAR 22.809 Enforcement [equal employment opportunity]. FAR Subpart 22.17 Combating trafficking in persons.")</f>
        <v>#VALUE!</v>
      </c>
      <c r="H20" s="57" t="str">
        <f>HYPERLINK("https://www.acquisition.gov/sites/default/files/current/gsam/html/GSAMTOC.html","GSAR 503.1; 503.2; 503.3; 503.8; 503.10; 509.4")</f>
        <v>GSAR 503.1; 503.2; 503.3; 503.8; 503.10; 509.4</v>
      </c>
      <c r="I20" s="34" t="s">
        <v>3342</v>
      </c>
      <c r="J20" s="37" t="s">
        <v>1566</v>
      </c>
      <c r="K20" s="37" t="s">
        <v>3414</v>
      </c>
      <c r="L20" s="25" t="s">
        <v>3415</v>
      </c>
      <c r="M20" s="25" t="s">
        <v>3416</v>
      </c>
      <c r="N20" s="25" t="s">
        <v>3417</v>
      </c>
      <c r="O20" s="64"/>
      <c r="P20" s="45" t="b">
        <f t="shared" si="0"/>
        <v>0</v>
      </c>
      <c r="Q20" s="45">
        <f t="shared" si="1"/>
        <v>3</v>
      </c>
      <c r="R20" s="45">
        <f t="shared" si="2"/>
        <v>0</v>
      </c>
      <c r="S20" s="24"/>
      <c r="T20" s="24"/>
      <c r="U20" s="24"/>
      <c r="V20" s="24"/>
      <c r="W20" s="24"/>
      <c r="X20" s="24"/>
      <c r="Y20" s="24"/>
      <c r="Z20" s="24"/>
      <c r="AA20" s="24"/>
      <c r="AB20" s="24"/>
      <c r="AC20" s="24"/>
    </row>
    <row r="21" spans="1:29" ht="4.5999999999999996" customHeight="1">
      <c r="A21" s="55"/>
      <c r="B21" s="55"/>
      <c r="C21" s="56"/>
      <c r="D21" s="56"/>
      <c r="E21" s="55"/>
      <c r="F21" s="55"/>
      <c r="G21" s="72"/>
      <c r="H21" s="72"/>
      <c r="I21" s="133"/>
      <c r="J21" s="55"/>
      <c r="K21" s="63"/>
      <c r="L21" s="63"/>
      <c r="M21" s="63"/>
      <c r="N21" s="63"/>
      <c r="O21" s="64"/>
      <c r="P21" s="64"/>
      <c r="Q21" s="64"/>
      <c r="R21" s="64"/>
      <c r="S21" s="24"/>
      <c r="T21" s="24"/>
      <c r="U21" s="24"/>
      <c r="V21" s="24"/>
      <c r="W21" s="24"/>
      <c r="X21" s="24"/>
      <c r="Y21" s="24"/>
      <c r="Z21" s="24"/>
      <c r="AA21" s="24"/>
      <c r="AB21" s="24"/>
      <c r="AC21" s="24"/>
    </row>
    <row r="22" spans="1:29" ht="173.9">
      <c r="A22" s="26" t="s">
        <v>3424</v>
      </c>
      <c r="B22" s="26" t="s">
        <v>3425</v>
      </c>
      <c r="C22" s="26" t="s">
        <v>3426</v>
      </c>
      <c r="D22" s="26" t="s">
        <v>3427</v>
      </c>
      <c r="E22" s="25" t="s">
        <v>3428</v>
      </c>
      <c r="F22" s="25" t="s">
        <v>3429</v>
      </c>
      <c r="G22" s="57" t="e">
        <f>HYPERLINK("https://www.acquisition.gov/browse/index/far","FAR 12.301(b)(3) Solicitation provisions and contract clauses for the acquisition of commercial items. FAR 13.001 Definitions [simplified acquisition procedures].  FAR 13.301 Governmentwide commercial purchase card [simplified acquisition methods]. FAR 13"&amp;".302-1(e) General [purchase orders]. FAR 13.305-3 Conditions for use [imprest funds and third party drafts]. FAR 13.4 Fast payment procedure [simplified acquisition procedures]. FAR 32.11 Electronic funds transfer [contract financing]. ")</f>
        <v>#VALUE!</v>
      </c>
      <c r="H22" s="57" t="str">
        <f>HYPERLINK("https://www.acquisition.gov/content/part-513-simplified-acquisition-procedures#YTGPIMCJ","GSAR 513.4")</f>
        <v>GSAR 513.4</v>
      </c>
      <c r="I22" s="34" t="s">
        <v>3433</v>
      </c>
      <c r="J22" s="37" t="s">
        <v>1566</v>
      </c>
      <c r="K22" s="37" t="s">
        <v>3434</v>
      </c>
      <c r="L22" s="25" t="s">
        <v>3435</v>
      </c>
      <c r="M22" s="25" t="s">
        <v>3436</v>
      </c>
      <c r="N22" s="25" t="s">
        <v>3437</v>
      </c>
      <c r="O22" s="64"/>
      <c r="P22" s="45" t="b">
        <f t="shared" ref="P22:P153" si="3">IF(AND(O22="Meet the requirements traceability “out of the box”"), 10, IF(AND(O22="Can meet the requirements traceability with configuration or through the use of another commercial product “out of the box” or other arrangement as part of the service offering quoted (i.e. at no additional cost)"), 8, IF(AND(O22="Can meet the requirements traceability with customization at additional cost"), 3, IF(AND(O22="Cannot meet the requirements traceability requirement"), 0))))</f>
        <v>0</v>
      </c>
      <c r="Q22" s="45">
        <f t="shared" ref="Q22:Q153" si="4">IF(J22="Unidentified",0,3)</f>
        <v>3</v>
      </c>
      <c r="R22" s="45">
        <f t="shared" ref="R22:R153" si="5">IF(P22=FALSE,0,IF(P22&gt;4,(P22+Q22),P22))</f>
        <v>0</v>
      </c>
      <c r="S22" s="24"/>
      <c r="T22" s="24"/>
      <c r="U22" s="24"/>
      <c r="V22" s="24"/>
      <c r="W22" s="24"/>
      <c r="X22" s="24"/>
      <c r="Y22" s="24"/>
      <c r="Z22" s="24"/>
      <c r="AA22" s="24"/>
      <c r="AB22" s="24"/>
      <c r="AC22" s="24"/>
    </row>
    <row r="23" spans="1:29" ht="228.25">
      <c r="A23" s="26" t="s">
        <v>3424</v>
      </c>
      <c r="B23" s="26" t="s">
        <v>3425</v>
      </c>
      <c r="C23" s="26" t="s">
        <v>3426</v>
      </c>
      <c r="D23" s="26" t="s">
        <v>3450</v>
      </c>
      <c r="E23" s="25" t="s">
        <v>3451</v>
      </c>
      <c r="F23" s="25" t="s">
        <v>3452</v>
      </c>
      <c r="G23" s="57" t="str">
        <f>HYPERLINK("https://www.acquisition.gov/content/part-13-simplified-acquisition-procedures#i1111666","FAR 13.303-5(e)(5) Purchases under BPAs. ")</f>
        <v xml:space="preserve">FAR 13.303-5(e)(5) Purchases under BPAs. </v>
      </c>
      <c r="H23" s="54"/>
      <c r="I23" s="34" t="s">
        <v>3453</v>
      </c>
      <c r="J23" s="37" t="s">
        <v>1566</v>
      </c>
      <c r="K23" s="37" t="s">
        <v>3454</v>
      </c>
      <c r="L23" s="25" t="s">
        <v>3455</v>
      </c>
      <c r="M23" s="25" t="s">
        <v>3456</v>
      </c>
      <c r="N23" s="25" t="s">
        <v>3457</v>
      </c>
      <c r="O23" s="64"/>
      <c r="P23" s="45" t="b">
        <f t="shared" si="3"/>
        <v>0</v>
      </c>
      <c r="Q23" s="45">
        <f t="shared" si="4"/>
        <v>3</v>
      </c>
      <c r="R23" s="45">
        <f t="shared" si="5"/>
        <v>0</v>
      </c>
      <c r="S23" s="24"/>
      <c r="T23" s="24"/>
      <c r="U23" s="24"/>
      <c r="V23" s="24"/>
      <c r="W23" s="24"/>
      <c r="X23" s="24"/>
      <c r="Y23" s="24"/>
      <c r="Z23" s="24"/>
      <c r="AA23" s="24"/>
      <c r="AB23" s="24"/>
      <c r="AC23" s="24"/>
    </row>
    <row r="24" spans="1:29" ht="163.05000000000001">
      <c r="A24" s="26" t="s">
        <v>3424</v>
      </c>
      <c r="B24" s="26" t="s">
        <v>3425</v>
      </c>
      <c r="C24" s="26" t="s">
        <v>3426</v>
      </c>
      <c r="D24" s="26" t="s">
        <v>3462</v>
      </c>
      <c r="E24" s="25" t="s">
        <v>3463</v>
      </c>
      <c r="F24" s="25" t="s">
        <v>3464</v>
      </c>
      <c r="G24" s="86" t="str">
        <f>HYPERLINK("https://www.acquisition.gov/content/part-52-solicitation-provisions-and-contract-clauses#i1061864","FAR 52.213-1 Fast payment procedure.")</f>
        <v>FAR 52.213-1 Fast payment procedure.</v>
      </c>
      <c r="H24" s="54"/>
      <c r="I24" s="34" t="s">
        <v>3467</v>
      </c>
      <c r="J24" s="37" t="s">
        <v>1566</v>
      </c>
      <c r="K24" s="37" t="s">
        <v>3469</v>
      </c>
      <c r="L24" s="25" t="s">
        <v>3470</v>
      </c>
      <c r="M24" s="25" t="s">
        <v>3471</v>
      </c>
      <c r="N24" s="25" t="s">
        <v>3472</v>
      </c>
      <c r="O24" s="64"/>
      <c r="P24" s="45" t="b">
        <f t="shared" si="3"/>
        <v>0</v>
      </c>
      <c r="Q24" s="45">
        <f t="shared" si="4"/>
        <v>3</v>
      </c>
      <c r="R24" s="45">
        <f t="shared" si="5"/>
        <v>0</v>
      </c>
      <c r="S24" s="24"/>
      <c r="T24" s="24"/>
      <c r="U24" s="24"/>
      <c r="V24" s="24"/>
      <c r="W24" s="24"/>
      <c r="X24" s="24"/>
      <c r="Y24" s="24"/>
      <c r="Z24" s="24"/>
      <c r="AA24" s="24"/>
      <c r="AB24" s="24"/>
      <c r="AC24" s="24"/>
    </row>
    <row r="25" spans="1:29" ht="152.15">
      <c r="A25" s="26" t="s">
        <v>3424</v>
      </c>
      <c r="B25" s="26" t="s">
        <v>3425</v>
      </c>
      <c r="C25" s="26" t="s">
        <v>3426</v>
      </c>
      <c r="D25" s="26" t="s">
        <v>3473</v>
      </c>
      <c r="E25" s="25" t="s">
        <v>3474</v>
      </c>
      <c r="F25" s="25" t="s">
        <v>3475</v>
      </c>
      <c r="G25" s="86" t="e">
        <f>HYPERLINK("https://www.acquisition.gov/browse/index/far","FAR 12.402 Acceptance [commercial items]. FAR 46.1 General [quality assurance]. FAR 46. 407 Nonconforming supplies or services. FAR 52.212-4(a) Contract Terms and Conditions-Commercial Items, Inspection and Acceptance.  FAR 52.213-4 Terms and ConditionsSi"&amp;"mplified Acquisitions (Other than commercial items). ")</f>
        <v>#VALUE!</v>
      </c>
      <c r="H25" s="50" t="str">
        <f>HYPERLINK("https://www.acquisition.gov/content/part-552-solicitation-provisions-and-contract-clauses#YMIBGEPW","GSAR 552.212-4")</f>
        <v>GSAR 552.212-4</v>
      </c>
      <c r="I25" s="34" t="s">
        <v>3467</v>
      </c>
      <c r="J25" s="37" t="s">
        <v>1566</v>
      </c>
      <c r="K25" s="37" t="s">
        <v>3488</v>
      </c>
      <c r="L25" s="25" t="s">
        <v>3489</v>
      </c>
      <c r="M25" s="25" t="s">
        <v>3490</v>
      </c>
      <c r="N25" s="25" t="s">
        <v>3491</v>
      </c>
      <c r="O25" s="64"/>
      <c r="P25" s="45" t="b">
        <f t="shared" si="3"/>
        <v>0</v>
      </c>
      <c r="Q25" s="45">
        <f t="shared" si="4"/>
        <v>3</v>
      </c>
      <c r="R25" s="45">
        <f t="shared" si="5"/>
        <v>0</v>
      </c>
      <c r="S25" s="24"/>
      <c r="T25" s="24"/>
      <c r="U25" s="24"/>
      <c r="V25" s="24"/>
      <c r="W25" s="24"/>
      <c r="X25" s="24"/>
      <c r="Y25" s="24"/>
      <c r="Z25" s="24"/>
      <c r="AA25" s="24"/>
      <c r="AB25" s="24"/>
      <c r="AC25" s="24"/>
    </row>
    <row r="26" spans="1:29" ht="119.55">
      <c r="A26" s="66" t="s">
        <v>3424</v>
      </c>
      <c r="B26" s="66" t="s">
        <v>3425</v>
      </c>
      <c r="C26" s="66" t="s">
        <v>3426</v>
      </c>
      <c r="D26" s="66" t="s">
        <v>3492</v>
      </c>
      <c r="E26" s="25" t="s">
        <v>3493</v>
      </c>
      <c r="F26" s="25" t="s">
        <v>3494</v>
      </c>
      <c r="G26" s="86" t="str">
        <f t="shared" ref="G26:G30" si="6">HYPERLINK("https://www.acquisition.gov/browse/index/far","FAR 12.402 Acceptance [commercial items]. FAR 46.407 Nonconforming supplies or services.")</f>
        <v>FAR 12.402 Acceptance [commercial items]. FAR 46.407 Nonconforming supplies or services.</v>
      </c>
      <c r="H26" s="131"/>
      <c r="I26" s="34"/>
      <c r="J26" s="37" t="s">
        <v>463</v>
      </c>
      <c r="K26" s="37" t="s">
        <v>3499</v>
      </c>
      <c r="L26" s="25" t="s">
        <v>3500</v>
      </c>
      <c r="M26" s="25" t="s">
        <v>3503</v>
      </c>
      <c r="N26" s="25" t="s">
        <v>3504</v>
      </c>
      <c r="O26" s="64"/>
      <c r="P26" s="45" t="b">
        <f t="shared" si="3"/>
        <v>0</v>
      </c>
      <c r="Q26" s="45">
        <f t="shared" si="4"/>
        <v>0</v>
      </c>
      <c r="R26" s="45">
        <f t="shared" si="5"/>
        <v>0</v>
      </c>
      <c r="S26" s="24"/>
      <c r="T26" s="24"/>
      <c r="U26" s="24"/>
      <c r="V26" s="24"/>
      <c r="W26" s="24"/>
      <c r="X26" s="24"/>
      <c r="Y26" s="24"/>
      <c r="Z26" s="24"/>
      <c r="AA26" s="24"/>
      <c r="AB26" s="24"/>
      <c r="AC26" s="24"/>
    </row>
    <row r="27" spans="1:29" ht="184.75">
      <c r="A27" s="26" t="s">
        <v>3424</v>
      </c>
      <c r="B27" s="26" t="s">
        <v>3425</v>
      </c>
      <c r="C27" s="26" t="s">
        <v>3426</v>
      </c>
      <c r="D27" s="26" t="s">
        <v>3506</v>
      </c>
      <c r="E27" s="25" t="s">
        <v>3508</v>
      </c>
      <c r="F27" s="25" t="s">
        <v>490</v>
      </c>
      <c r="G27" s="86" t="str">
        <f t="shared" si="6"/>
        <v>FAR 12.402 Acceptance [commercial items]. FAR 46.407 Nonconforming supplies or services.</v>
      </c>
      <c r="H27" s="131"/>
      <c r="I27" s="34" t="s">
        <v>3511</v>
      </c>
      <c r="J27" s="37" t="s">
        <v>1566</v>
      </c>
      <c r="K27" s="37" t="s">
        <v>3513</v>
      </c>
      <c r="L27" s="25" t="s">
        <v>3515</v>
      </c>
      <c r="M27" s="25" t="s">
        <v>3517</v>
      </c>
      <c r="N27" s="25" t="s">
        <v>3519</v>
      </c>
      <c r="O27" s="64"/>
      <c r="P27" s="45" t="b">
        <f t="shared" si="3"/>
        <v>0</v>
      </c>
      <c r="Q27" s="45">
        <f t="shared" si="4"/>
        <v>3</v>
      </c>
      <c r="R27" s="45">
        <f t="shared" si="5"/>
        <v>0</v>
      </c>
      <c r="S27" s="24"/>
      <c r="T27" s="24"/>
      <c r="U27" s="24"/>
      <c r="V27" s="24"/>
      <c r="W27" s="24"/>
      <c r="X27" s="24"/>
      <c r="Y27" s="24"/>
      <c r="Z27" s="24"/>
      <c r="AA27" s="24"/>
      <c r="AB27" s="24"/>
      <c r="AC27" s="24"/>
    </row>
    <row r="28" spans="1:29" ht="163.05000000000001">
      <c r="A28" s="26" t="s">
        <v>3424</v>
      </c>
      <c r="B28" s="26" t="s">
        <v>3425</v>
      </c>
      <c r="C28" s="26" t="s">
        <v>3426</v>
      </c>
      <c r="D28" s="26" t="s">
        <v>3522</v>
      </c>
      <c r="E28" s="25" t="s">
        <v>3523</v>
      </c>
      <c r="F28" s="25" t="s">
        <v>3524</v>
      </c>
      <c r="G28" s="86" t="str">
        <f t="shared" si="6"/>
        <v>FAR 12.402 Acceptance [commercial items]. FAR 46.407 Nonconforming supplies or services.</v>
      </c>
      <c r="H28" s="131"/>
      <c r="I28" s="34" t="s">
        <v>3526</v>
      </c>
      <c r="J28" s="37" t="s">
        <v>1566</v>
      </c>
      <c r="K28" s="37" t="s">
        <v>3528</v>
      </c>
      <c r="L28" s="25" t="s">
        <v>3529</v>
      </c>
      <c r="M28" s="25" t="s">
        <v>3530</v>
      </c>
      <c r="N28" s="25" t="s">
        <v>3531</v>
      </c>
      <c r="O28" s="64"/>
      <c r="P28" s="45" t="b">
        <f t="shared" si="3"/>
        <v>0</v>
      </c>
      <c r="Q28" s="45">
        <f t="shared" si="4"/>
        <v>3</v>
      </c>
      <c r="R28" s="45">
        <f t="shared" si="5"/>
        <v>0</v>
      </c>
      <c r="S28" s="24"/>
      <c r="T28" s="24"/>
      <c r="U28" s="24"/>
      <c r="V28" s="24"/>
      <c r="W28" s="24"/>
      <c r="X28" s="24"/>
      <c r="Y28" s="24"/>
      <c r="Z28" s="24"/>
      <c r="AA28" s="24"/>
      <c r="AB28" s="24"/>
      <c r="AC28" s="24"/>
    </row>
    <row r="29" spans="1:29" ht="141.30000000000001">
      <c r="A29" s="26" t="s">
        <v>3424</v>
      </c>
      <c r="B29" s="26" t="s">
        <v>3425</v>
      </c>
      <c r="C29" s="26" t="s">
        <v>3426</v>
      </c>
      <c r="D29" s="26" t="s">
        <v>3534</v>
      </c>
      <c r="E29" s="25" t="s">
        <v>3535</v>
      </c>
      <c r="F29" s="25" t="s">
        <v>3536</v>
      </c>
      <c r="G29" s="86" t="str">
        <f t="shared" si="6"/>
        <v>FAR 12.402 Acceptance [commercial items]. FAR 46.407 Nonconforming supplies or services.</v>
      </c>
      <c r="H29" s="131"/>
      <c r="I29" s="34" t="s">
        <v>3526</v>
      </c>
      <c r="J29" s="37" t="s">
        <v>1566</v>
      </c>
      <c r="K29" s="37" t="s">
        <v>3543</v>
      </c>
      <c r="L29" s="25" t="s">
        <v>3544</v>
      </c>
      <c r="M29" s="25" t="s">
        <v>3545</v>
      </c>
      <c r="N29" s="25" t="s">
        <v>3546</v>
      </c>
      <c r="O29" s="64"/>
      <c r="P29" s="45" t="b">
        <f t="shared" si="3"/>
        <v>0</v>
      </c>
      <c r="Q29" s="45">
        <f t="shared" si="4"/>
        <v>3</v>
      </c>
      <c r="R29" s="45">
        <f t="shared" si="5"/>
        <v>0</v>
      </c>
      <c r="S29" s="24"/>
      <c r="T29" s="24"/>
      <c r="U29" s="24"/>
      <c r="V29" s="24"/>
      <c r="W29" s="24"/>
      <c r="X29" s="24"/>
      <c r="Y29" s="24"/>
      <c r="Z29" s="24"/>
      <c r="AA29" s="24"/>
      <c r="AB29" s="24"/>
      <c r="AC29" s="24"/>
    </row>
    <row r="30" spans="1:29" ht="195.65">
      <c r="A30" s="26" t="s">
        <v>3424</v>
      </c>
      <c r="B30" s="26" t="s">
        <v>3425</v>
      </c>
      <c r="C30" s="26" t="s">
        <v>3426</v>
      </c>
      <c r="D30" s="26" t="s">
        <v>3554</v>
      </c>
      <c r="E30" s="25" t="s">
        <v>3556</v>
      </c>
      <c r="F30" s="25" t="s">
        <v>3558</v>
      </c>
      <c r="G30" s="86" t="str">
        <f t="shared" si="6"/>
        <v>FAR 12.402 Acceptance [commercial items]. FAR 46.407 Nonconforming supplies or services.</v>
      </c>
      <c r="H30" s="54"/>
      <c r="I30" s="34" t="s">
        <v>3563</v>
      </c>
      <c r="J30" s="37" t="s">
        <v>1566</v>
      </c>
      <c r="K30" s="37" t="s">
        <v>3564</v>
      </c>
      <c r="L30" s="25" t="s">
        <v>3565</v>
      </c>
      <c r="M30" s="25" t="s">
        <v>3566</v>
      </c>
      <c r="N30" s="25" t="s">
        <v>3546</v>
      </c>
      <c r="O30" s="64"/>
      <c r="P30" s="45" t="b">
        <f t="shared" si="3"/>
        <v>0</v>
      </c>
      <c r="Q30" s="45">
        <f t="shared" si="4"/>
        <v>3</v>
      </c>
      <c r="R30" s="45">
        <f t="shared" si="5"/>
        <v>0</v>
      </c>
      <c r="S30" s="24"/>
      <c r="T30" s="24"/>
      <c r="U30" s="24"/>
      <c r="V30" s="24"/>
      <c r="W30" s="24"/>
      <c r="X30" s="24"/>
      <c r="Y30" s="24"/>
      <c r="Z30" s="24"/>
      <c r="AA30" s="24"/>
      <c r="AB30" s="24"/>
      <c r="AC30" s="24"/>
    </row>
    <row r="31" spans="1:29" ht="239.1">
      <c r="A31" s="26" t="s">
        <v>3424</v>
      </c>
      <c r="B31" s="26" t="s">
        <v>3425</v>
      </c>
      <c r="C31" s="26" t="s">
        <v>3426</v>
      </c>
      <c r="D31" s="26" t="s">
        <v>3571</v>
      </c>
      <c r="E31" s="25" t="s">
        <v>3572</v>
      </c>
      <c r="F31" s="25" t="s">
        <v>3573</v>
      </c>
      <c r="G31" s="86" t="str">
        <f>HYPERLINK("https://www.acquisition.gov/browse/index/far","FAR 12.403 Termination [commercial items]. 49.4 Termination for default. ")</f>
        <v xml:space="preserve">FAR 12.403 Termination [commercial items]. 49.4 Termination for default. </v>
      </c>
      <c r="H31" s="57" t="str">
        <f>HYPERLINK("https://www.acquisition.gov/sites/default/files/current/gsam/html/Part549.html#wp1858093","GSAR 549.4")</f>
        <v>GSAR 549.4</v>
      </c>
      <c r="I31" s="34"/>
      <c r="J31" s="37" t="s">
        <v>463</v>
      </c>
      <c r="K31" s="37" t="s">
        <v>3578</v>
      </c>
      <c r="L31" s="25" t="s">
        <v>3582</v>
      </c>
      <c r="M31" s="25" t="s">
        <v>3585</v>
      </c>
      <c r="N31" s="25" t="s">
        <v>3587</v>
      </c>
      <c r="O31" s="64"/>
      <c r="P31" s="45" t="b">
        <f t="shared" si="3"/>
        <v>0</v>
      </c>
      <c r="Q31" s="45">
        <f t="shared" si="4"/>
        <v>0</v>
      </c>
      <c r="R31" s="45">
        <f t="shared" si="5"/>
        <v>0</v>
      </c>
      <c r="S31" s="24"/>
      <c r="T31" s="24"/>
      <c r="U31" s="24"/>
      <c r="V31" s="24"/>
      <c r="W31" s="24"/>
      <c r="X31" s="24"/>
      <c r="Y31" s="24"/>
      <c r="Z31" s="24"/>
      <c r="AA31" s="24"/>
      <c r="AB31" s="24"/>
      <c r="AC31" s="24"/>
    </row>
    <row r="32" spans="1:29" ht="108.7">
      <c r="A32" s="66" t="s">
        <v>3424</v>
      </c>
      <c r="B32" s="66" t="s">
        <v>3425</v>
      </c>
      <c r="C32" s="66" t="s">
        <v>3426</v>
      </c>
      <c r="D32" s="66" t="s">
        <v>3592</v>
      </c>
      <c r="E32" s="25" t="s">
        <v>3593</v>
      </c>
      <c r="F32" s="25" t="s">
        <v>3594</v>
      </c>
      <c r="G32" s="86" t="e">
        <f>HYPERLINK("https://www.acquisition.gov/browse/index/far","FAR 46.704 Authority for use of warranties. FAR 46.705 Limitations [warranties]. 52.246-17 Warranty of supplies of a noncomplex nature.  52.246-18 Warranty of supplies of a complex nature 52.246-19 Warranty of systems and equipment under performance speci"&amp;"fications or design criteria.  52.246-20 Warranty of services.")</f>
        <v>#VALUE!</v>
      </c>
      <c r="H32" s="57" t="str">
        <f t="shared" ref="H32:H37" si="7">HYPERLINK("https://www.acquisition.gov/sites/default/files/current/gsam/html/GSAMTOC546.html#wp434199","GSAR 546.7")</f>
        <v>GSAR 546.7</v>
      </c>
      <c r="I32" s="34"/>
      <c r="J32" s="37" t="s">
        <v>463</v>
      </c>
      <c r="K32" s="37" t="s">
        <v>3607</v>
      </c>
      <c r="L32" s="25" t="s">
        <v>3608</v>
      </c>
      <c r="M32" s="25" t="s">
        <v>3609</v>
      </c>
      <c r="N32" s="25" t="s">
        <v>3610</v>
      </c>
      <c r="O32" s="64"/>
      <c r="P32" s="45" t="b">
        <f t="shared" si="3"/>
        <v>0</v>
      </c>
      <c r="Q32" s="45">
        <f t="shared" si="4"/>
        <v>0</v>
      </c>
      <c r="R32" s="45">
        <f t="shared" si="5"/>
        <v>0</v>
      </c>
      <c r="S32" s="24"/>
      <c r="T32" s="24"/>
      <c r="U32" s="24"/>
      <c r="V32" s="24"/>
      <c r="W32" s="24"/>
      <c r="X32" s="24"/>
      <c r="Y32" s="24"/>
      <c r="Z32" s="24"/>
      <c r="AA32" s="24"/>
      <c r="AB32" s="24"/>
      <c r="AC32" s="24"/>
    </row>
    <row r="33" spans="1:29" ht="119.55">
      <c r="A33" s="26" t="s">
        <v>3424</v>
      </c>
      <c r="B33" s="26" t="s">
        <v>3425</v>
      </c>
      <c r="C33" s="26" t="s">
        <v>3426</v>
      </c>
      <c r="D33" s="26" t="s">
        <v>3614</v>
      </c>
      <c r="E33" s="25" t="s">
        <v>3615</v>
      </c>
      <c r="F33" s="25" t="s">
        <v>3617</v>
      </c>
      <c r="G33" s="86" t="str">
        <f>HYPERLINK("https://www.acquisition.gov/content/part-46-quality-assurance#id1617MD0N0U8","FAR 46.706(b)(4) Warranty terms and conditions.")</f>
        <v>FAR 46.706(b)(4) Warranty terms and conditions.</v>
      </c>
      <c r="H33" s="57" t="str">
        <f t="shared" si="7"/>
        <v>GSAR 546.7</v>
      </c>
      <c r="I33" s="34"/>
      <c r="J33" s="37" t="s">
        <v>463</v>
      </c>
      <c r="K33" s="37" t="s">
        <v>3622</v>
      </c>
      <c r="L33" s="25" t="s">
        <v>3624</v>
      </c>
      <c r="M33" s="25" t="s">
        <v>3626</v>
      </c>
      <c r="N33" s="25" t="s">
        <v>3628</v>
      </c>
      <c r="O33" s="64"/>
      <c r="P33" s="45" t="b">
        <f t="shared" si="3"/>
        <v>0</v>
      </c>
      <c r="Q33" s="45">
        <f t="shared" si="4"/>
        <v>0</v>
      </c>
      <c r="R33" s="45">
        <f t="shared" si="5"/>
        <v>0</v>
      </c>
      <c r="S33" s="24"/>
      <c r="T33" s="24"/>
      <c r="U33" s="24"/>
      <c r="V33" s="24"/>
      <c r="W33" s="24"/>
      <c r="X33" s="24"/>
      <c r="Y33" s="24"/>
      <c r="Z33" s="24"/>
      <c r="AA33" s="24"/>
      <c r="AB33" s="24"/>
      <c r="AC33" s="24"/>
    </row>
    <row r="34" spans="1:29" ht="108.7">
      <c r="A34" s="26" t="s">
        <v>3424</v>
      </c>
      <c r="B34" s="26" t="s">
        <v>3425</v>
      </c>
      <c r="C34" s="26" t="s">
        <v>3426</v>
      </c>
      <c r="D34" s="26" t="s">
        <v>3630</v>
      </c>
      <c r="E34" s="25" t="s">
        <v>3631</v>
      </c>
      <c r="F34" s="77" t="s">
        <v>3632</v>
      </c>
      <c r="G34" s="86" t="str">
        <f>HYPERLINK("https://www.acquisition.gov/content/part-46-quality-assurance#id1617MD0N0U8","FAR 46.706(b)(2) Warranty terms and conditions. ")</f>
        <v xml:space="preserve">FAR 46.706(b)(2) Warranty terms and conditions. </v>
      </c>
      <c r="H34" s="57" t="str">
        <f t="shared" si="7"/>
        <v>GSAR 546.7</v>
      </c>
      <c r="I34" s="34"/>
      <c r="J34" s="37" t="s">
        <v>463</v>
      </c>
      <c r="K34" s="37" t="s">
        <v>3638</v>
      </c>
      <c r="L34" s="25" t="s">
        <v>3640</v>
      </c>
      <c r="M34" s="25" t="s">
        <v>3642</v>
      </c>
      <c r="N34" s="25" t="s">
        <v>3643</v>
      </c>
      <c r="O34" s="64"/>
      <c r="P34" s="45" t="b">
        <f t="shared" si="3"/>
        <v>0</v>
      </c>
      <c r="Q34" s="45">
        <f t="shared" si="4"/>
        <v>0</v>
      </c>
      <c r="R34" s="45">
        <f t="shared" si="5"/>
        <v>0</v>
      </c>
      <c r="S34" s="24"/>
      <c r="T34" s="24"/>
      <c r="U34" s="24"/>
      <c r="V34" s="24"/>
      <c r="W34" s="24"/>
      <c r="X34" s="24"/>
      <c r="Y34" s="24"/>
      <c r="Z34" s="24"/>
      <c r="AA34" s="24"/>
      <c r="AB34" s="24"/>
      <c r="AC34" s="24"/>
    </row>
    <row r="35" spans="1:29" ht="108.7">
      <c r="A35" s="26" t="s">
        <v>3424</v>
      </c>
      <c r="B35" s="26" t="s">
        <v>3425</v>
      </c>
      <c r="C35" s="26" t="s">
        <v>3426</v>
      </c>
      <c r="D35" s="26" t="s">
        <v>3644</v>
      </c>
      <c r="E35" s="25" t="s">
        <v>3645</v>
      </c>
      <c r="F35" s="25" t="s">
        <v>3646</v>
      </c>
      <c r="G35" s="86" t="str">
        <f>HYPERLINK("https://www.acquisition.gov/content/part-46-quality-assurance#id1617MD0N0U8","FAR 46.706(b)(2) Warranty terms and conditions.")</f>
        <v>FAR 46.706(b)(2) Warranty terms and conditions.</v>
      </c>
      <c r="H35" s="57" t="str">
        <f t="shared" si="7"/>
        <v>GSAR 546.7</v>
      </c>
      <c r="I35" s="34"/>
      <c r="J35" s="37" t="s">
        <v>463</v>
      </c>
      <c r="K35" s="37" t="s">
        <v>3651</v>
      </c>
      <c r="L35" s="25" t="s">
        <v>3653</v>
      </c>
      <c r="M35" s="25" t="s">
        <v>3655</v>
      </c>
      <c r="N35" s="25" t="s">
        <v>3656</v>
      </c>
      <c r="O35" s="64"/>
      <c r="P35" s="45" t="b">
        <f t="shared" si="3"/>
        <v>0</v>
      </c>
      <c r="Q35" s="45">
        <f t="shared" si="4"/>
        <v>0</v>
      </c>
      <c r="R35" s="45">
        <f t="shared" si="5"/>
        <v>0</v>
      </c>
      <c r="S35" s="24"/>
      <c r="T35" s="24"/>
      <c r="U35" s="24"/>
      <c r="V35" s="24"/>
      <c r="W35" s="24"/>
      <c r="X35" s="24"/>
      <c r="Y35" s="24"/>
      <c r="Z35" s="24"/>
      <c r="AA35" s="24"/>
      <c r="AB35" s="24"/>
      <c r="AC35" s="24"/>
    </row>
    <row r="36" spans="1:29" ht="108.7">
      <c r="A36" s="26" t="s">
        <v>3424</v>
      </c>
      <c r="B36" s="26" t="s">
        <v>3425</v>
      </c>
      <c r="C36" s="26" t="s">
        <v>3426</v>
      </c>
      <c r="D36" s="26" t="s">
        <v>3657</v>
      </c>
      <c r="E36" s="25" t="s">
        <v>3658</v>
      </c>
      <c r="F36" s="25" t="s">
        <v>3659</v>
      </c>
      <c r="G36" s="86" t="str">
        <f>HYPERLINK("https://www.acquisition.gov/content/part-46-quality-assurance#id1617MD0N0U8","FAR 46.706 Warranty terms and conditions.")</f>
        <v>FAR 46.706 Warranty terms and conditions.</v>
      </c>
      <c r="H36" s="57" t="str">
        <f t="shared" si="7"/>
        <v>GSAR 546.7</v>
      </c>
      <c r="I36" s="34"/>
      <c r="J36" s="37" t="s">
        <v>463</v>
      </c>
      <c r="K36" s="37" t="s">
        <v>3667</v>
      </c>
      <c r="L36" s="25" t="s">
        <v>3668</v>
      </c>
      <c r="M36" s="25" t="s">
        <v>3670</v>
      </c>
      <c r="N36" s="25" t="s">
        <v>3671</v>
      </c>
      <c r="O36" s="64"/>
      <c r="P36" s="45" t="b">
        <f t="shared" si="3"/>
        <v>0</v>
      </c>
      <c r="Q36" s="45">
        <f t="shared" si="4"/>
        <v>0</v>
      </c>
      <c r="R36" s="45">
        <f t="shared" si="5"/>
        <v>0</v>
      </c>
      <c r="S36" s="24"/>
      <c r="T36" s="24"/>
      <c r="U36" s="24"/>
      <c r="V36" s="24"/>
      <c r="W36" s="24"/>
      <c r="X36" s="24"/>
      <c r="Y36" s="24"/>
      <c r="Z36" s="24"/>
      <c r="AA36" s="24"/>
      <c r="AB36" s="24"/>
      <c r="AC36" s="24"/>
    </row>
    <row r="37" spans="1:29" ht="108.7">
      <c r="A37" s="26" t="s">
        <v>3424</v>
      </c>
      <c r="B37" s="26" t="s">
        <v>3425</v>
      </c>
      <c r="C37" s="26" t="s">
        <v>3426</v>
      </c>
      <c r="D37" s="26" t="s">
        <v>3675</v>
      </c>
      <c r="E37" s="25" t="s">
        <v>3676</v>
      </c>
      <c r="F37" s="77" t="s">
        <v>3677</v>
      </c>
      <c r="G37" s="86" t="str">
        <f>HYPERLINK("https://www.acquisition.gov/content/part-46-quality-assurance#id1617MD0N0U8","FAR 46.706(b)(2) Warranty terms and conditions")</f>
        <v>FAR 46.706(b)(2) Warranty terms and conditions</v>
      </c>
      <c r="H37" s="57" t="str">
        <f t="shared" si="7"/>
        <v>GSAR 546.7</v>
      </c>
      <c r="I37" s="34"/>
      <c r="J37" s="37" t="s">
        <v>463</v>
      </c>
      <c r="K37" s="37" t="s">
        <v>3680</v>
      </c>
      <c r="L37" s="25" t="s">
        <v>3682</v>
      </c>
      <c r="M37" s="25" t="s">
        <v>3684</v>
      </c>
      <c r="N37" s="25" t="s">
        <v>3685</v>
      </c>
      <c r="O37" s="64"/>
      <c r="P37" s="45" t="b">
        <f t="shared" si="3"/>
        <v>0</v>
      </c>
      <c r="Q37" s="45">
        <f t="shared" si="4"/>
        <v>0</v>
      </c>
      <c r="R37" s="45">
        <f t="shared" si="5"/>
        <v>0</v>
      </c>
      <c r="S37" s="24"/>
      <c r="T37" s="24"/>
      <c r="U37" s="24"/>
      <c r="V37" s="24"/>
      <c r="W37" s="24"/>
      <c r="X37" s="24"/>
      <c r="Y37" s="24"/>
      <c r="Z37" s="24"/>
      <c r="AA37" s="24"/>
      <c r="AB37" s="24"/>
      <c r="AC37" s="24"/>
    </row>
    <row r="38" spans="1:29" ht="108.7">
      <c r="A38" s="26" t="s">
        <v>3424</v>
      </c>
      <c r="B38" s="26" t="s">
        <v>3425</v>
      </c>
      <c r="C38" s="26" t="s">
        <v>3426</v>
      </c>
      <c r="D38" s="26" t="s">
        <v>3692</v>
      </c>
      <c r="E38" s="25" t="s">
        <v>3693</v>
      </c>
      <c r="F38" s="25" t="s">
        <v>3694</v>
      </c>
      <c r="G38" s="86" t="str">
        <f>HYPERLINK("https://www.acquisition.gov/content/part-52-solicitation-provisions-and-contract-clauses#i1060971","52.212-4(o) Contract Terms and Conditions – Commercial Items.  52.213-4(h) Terms and Conditions – Simplified Acquisitions (Other Than Commercial Items)")</f>
        <v>52.212-4(o) Contract Terms and Conditions – Commercial Items.  52.213-4(h) Terms and Conditions – Simplified Acquisitions (Other Than Commercial Items)</v>
      </c>
      <c r="H38" s="57" t="str">
        <f t="shared" ref="H38:H39" si="8">HYPERLINK("https://www.law.cornell.edu/cfr/text/48/552.212-4","GSAR 552.212-4")</f>
        <v>GSAR 552.212-4</v>
      </c>
      <c r="I38" s="34"/>
      <c r="J38" s="37" t="s">
        <v>463</v>
      </c>
      <c r="K38" s="37" t="s">
        <v>3705</v>
      </c>
      <c r="L38" s="25" t="s">
        <v>3706</v>
      </c>
      <c r="M38" s="25" t="s">
        <v>3609</v>
      </c>
      <c r="N38" s="25" t="s">
        <v>3707</v>
      </c>
      <c r="O38" s="64"/>
      <c r="P38" s="45" t="b">
        <f t="shared" si="3"/>
        <v>0</v>
      </c>
      <c r="Q38" s="45">
        <f t="shared" si="4"/>
        <v>0</v>
      </c>
      <c r="R38" s="45">
        <f t="shared" si="5"/>
        <v>0</v>
      </c>
      <c r="S38" s="24"/>
      <c r="T38" s="24"/>
      <c r="U38" s="24"/>
      <c r="V38" s="24"/>
      <c r="W38" s="24"/>
      <c r="X38" s="24"/>
      <c r="Y38" s="24"/>
      <c r="Z38" s="24"/>
      <c r="AA38" s="24"/>
      <c r="AB38" s="24"/>
      <c r="AC38" s="24"/>
    </row>
    <row r="39" spans="1:29" ht="108.7">
      <c r="A39" s="26" t="s">
        <v>3424</v>
      </c>
      <c r="B39" s="26" t="s">
        <v>3425</v>
      </c>
      <c r="C39" s="26" t="s">
        <v>3426</v>
      </c>
      <c r="D39" s="26" t="s">
        <v>3708</v>
      </c>
      <c r="E39" s="25" t="s">
        <v>3709</v>
      </c>
      <c r="F39" s="25" t="s">
        <v>3710</v>
      </c>
      <c r="G39" s="86" t="str">
        <f>HYPERLINK("https://www.acquisition.gov/content/part-52-solicitation-provisions-and-contract-clauses#i1060971","52.212-4(o) Contract Terms and Conditions – Commercial Items.  52.213-4(h) Terms and Conditions – Simplified Acquisitions (Other Than Commercial Items).")</f>
        <v>52.212-4(o) Contract Terms and Conditions – Commercial Items.  52.213-4(h) Terms and Conditions – Simplified Acquisitions (Other Than Commercial Items).</v>
      </c>
      <c r="H39" s="57" t="str">
        <f t="shared" si="8"/>
        <v>GSAR 552.212-4</v>
      </c>
      <c r="I39" s="34"/>
      <c r="J39" s="37" t="s">
        <v>463</v>
      </c>
      <c r="K39" s="37" t="s">
        <v>3716</v>
      </c>
      <c r="L39" s="25" t="s">
        <v>3717</v>
      </c>
      <c r="M39" s="25" t="s">
        <v>3719</v>
      </c>
      <c r="N39" s="25" t="s">
        <v>3721</v>
      </c>
      <c r="O39" s="64"/>
      <c r="P39" s="45" t="b">
        <f t="shared" si="3"/>
        <v>0</v>
      </c>
      <c r="Q39" s="45">
        <f t="shared" si="4"/>
        <v>0</v>
      </c>
      <c r="R39" s="45">
        <f t="shared" si="5"/>
        <v>0</v>
      </c>
      <c r="S39" s="24"/>
      <c r="T39" s="24"/>
      <c r="U39" s="24"/>
      <c r="V39" s="24"/>
      <c r="W39" s="24"/>
      <c r="X39" s="24"/>
      <c r="Y39" s="24"/>
      <c r="Z39" s="24"/>
      <c r="AA39" s="24"/>
      <c r="AB39" s="24"/>
      <c r="AC39" s="24"/>
    </row>
    <row r="40" spans="1:29" ht="108.7">
      <c r="A40" s="26" t="s">
        <v>3424</v>
      </c>
      <c r="B40" s="26" t="s">
        <v>3425</v>
      </c>
      <c r="C40" s="26" t="s">
        <v>3426</v>
      </c>
      <c r="D40" s="26" t="s">
        <v>3725</v>
      </c>
      <c r="E40" s="25" t="s">
        <v>3727</v>
      </c>
      <c r="F40" s="25" t="s">
        <v>3728</v>
      </c>
      <c r="G40" s="86" t="str">
        <f t="shared" ref="G40:G41" si="9">HYPERLINK("https://www.acquisition.gov/content/part-12-acquisition-commercial-items#i1113089","FAR 12.404 Warranties [commercial items]")</f>
        <v>FAR 12.404 Warranties [commercial items]</v>
      </c>
      <c r="H40" s="54"/>
      <c r="I40" s="34"/>
      <c r="J40" s="37" t="s">
        <v>463</v>
      </c>
      <c r="K40" s="37" t="s">
        <v>3734</v>
      </c>
      <c r="L40" s="25" t="s">
        <v>3735</v>
      </c>
      <c r="M40" s="25" t="s">
        <v>3736</v>
      </c>
      <c r="N40" s="25" t="s">
        <v>3721</v>
      </c>
      <c r="O40" s="64"/>
      <c r="P40" s="45" t="b">
        <f t="shared" si="3"/>
        <v>0</v>
      </c>
      <c r="Q40" s="45">
        <f t="shared" si="4"/>
        <v>0</v>
      </c>
      <c r="R40" s="45">
        <f t="shared" si="5"/>
        <v>0</v>
      </c>
      <c r="S40" s="24"/>
      <c r="T40" s="24"/>
      <c r="U40" s="24"/>
      <c r="V40" s="24"/>
      <c r="W40" s="24"/>
      <c r="X40" s="24"/>
      <c r="Y40" s="24"/>
      <c r="Z40" s="24"/>
      <c r="AA40" s="24"/>
      <c r="AB40" s="24"/>
      <c r="AC40" s="24"/>
    </row>
    <row r="41" spans="1:29" ht="108.7">
      <c r="A41" s="26" t="s">
        <v>3424</v>
      </c>
      <c r="B41" s="26" t="s">
        <v>3425</v>
      </c>
      <c r="C41" s="26" t="s">
        <v>3426</v>
      </c>
      <c r="D41" s="26" t="s">
        <v>3741</v>
      </c>
      <c r="E41" s="25" t="s">
        <v>3742</v>
      </c>
      <c r="F41" s="25" t="s">
        <v>3728</v>
      </c>
      <c r="G41" s="86" t="str">
        <f t="shared" si="9"/>
        <v>FAR 12.404 Warranties [commercial items]</v>
      </c>
      <c r="H41" s="54"/>
      <c r="I41" s="34"/>
      <c r="J41" s="37" t="s">
        <v>463</v>
      </c>
      <c r="K41" s="37" t="s">
        <v>3750</v>
      </c>
      <c r="L41" s="25" t="s">
        <v>3751</v>
      </c>
      <c r="M41" s="25" t="s">
        <v>3752</v>
      </c>
      <c r="N41" s="25" t="s">
        <v>3721</v>
      </c>
      <c r="O41" s="64"/>
      <c r="P41" s="45" t="b">
        <f t="shared" si="3"/>
        <v>0</v>
      </c>
      <c r="Q41" s="45">
        <f t="shared" si="4"/>
        <v>0</v>
      </c>
      <c r="R41" s="45">
        <f t="shared" si="5"/>
        <v>0</v>
      </c>
      <c r="S41" s="24"/>
      <c r="T41" s="24"/>
      <c r="U41" s="24"/>
      <c r="V41" s="24"/>
      <c r="W41" s="24"/>
      <c r="X41" s="24"/>
      <c r="Y41" s="24"/>
      <c r="Z41" s="24"/>
      <c r="AA41" s="24"/>
      <c r="AB41" s="24"/>
      <c r="AC41" s="24"/>
    </row>
    <row r="42" spans="1:29" ht="206.5">
      <c r="A42" s="26" t="s">
        <v>3424</v>
      </c>
      <c r="B42" s="26" t="s">
        <v>3425</v>
      </c>
      <c r="C42" s="26" t="s">
        <v>3426</v>
      </c>
      <c r="D42" s="26" t="s">
        <v>3758</v>
      </c>
      <c r="E42" s="25" t="s">
        <v>3760</v>
      </c>
      <c r="F42" s="25" t="s">
        <v>3761</v>
      </c>
      <c r="G42" s="86" t="str">
        <f t="shared" ref="G42:G44" si="10">HYPERLINK("https://www.acquisition.gov/content/part-52-solicitation-provisions-and-contract-clauses#i1060971","52.212-4(o) Contract Terms and Conditions – Commercial Items.  52.213-4(h) Terms and Conditions – Simplified Acquisitions (Other Than Commercial Items)")</f>
        <v>52.212-4(o) Contract Terms and Conditions – Commercial Items.  52.213-4(h) Terms and Conditions – Simplified Acquisitions (Other Than Commercial Items)</v>
      </c>
      <c r="H42" s="57" t="str">
        <f t="shared" ref="H42:H44" si="11">HYPERLINK("https://www.law.cornell.edu/cfr/text/48/552.212-4","GSAR 552.212-4")</f>
        <v>GSAR 552.212-4</v>
      </c>
      <c r="I42" s="34"/>
      <c r="J42" s="37" t="s">
        <v>463</v>
      </c>
      <c r="K42" s="37" t="s">
        <v>3771</v>
      </c>
      <c r="L42" s="25" t="s">
        <v>3773</v>
      </c>
      <c r="M42" s="127" t="s">
        <v>3774</v>
      </c>
      <c r="N42" s="25" t="s">
        <v>3776</v>
      </c>
      <c r="O42" s="64"/>
      <c r="P42" s="45" t="b">
        <f t="shared" si="3"/>
        <v>0</v>
      </c>
      <c r="Q42" s="45">
        <f t="shared" si="4"/>
        <v>0</v>
      </c>
      <c r="R42" s="45">
        <f t="shared" si="5"/>
        <v>0</v>
      </c>
      <c r="S42" s="24"/>
      <c r="T42" s="24"/>
      <c r="U42" s="24"/>
      <c r="V42" s="24"/>
      <c r="W42" s="24"/>
      <c r="X42" s="24"/>
      <c r="Y42" s="24"/>
      <c r="Z42" s="24"/>
      <c r="AA42" s="24"/>
      <c r="AB42" s="24"/>
      <c r="AC42" s="24"/>
    </row>
    <row r="43" spans="1:29" ht="250">
      <c r="A43" s="26" t="s">
        <v>3424</v>
      </c>
      <c r="B43" s="26" t="s">
        <v>3425</v>
      </c>
      <c r="C43" s="26" t="s">
        <v>3426</v>
      </c>
      <c r="D43" s="26" t="s">
        <v>3780</v>
      </c>
      <c r="E43" s="25" t="s">
        <v>3781</v>
      </c>
      <c r="F43" s="25" t="s">
        <v>1427</v>
      </c>
      <c r="G43" s="86" t="str">
        <f t="shared" si="10"/>
        <v>52.212-4(o) Contract Terms and Conditions – Commercial Items.  52.213-4(h) Terms and Conditions – Simplified Acquisitions (Other Than Commercial Items)</v>
      </c>
      <c r="H43" s="57" t="str">
        <f t="shared" si="11"/>
        <v>GSAR 552.212-4</v>
      </c>
      <c r="I43" s="34" t="s">
        <v>3785</v>
      </c>
      <c r="J43" s="37" t="s">
        <v>1566</v>
      </c>
      <c r="K43" s="37" t="s">
        <v>3786</v>
      </c>
      <c r="L43" s="25" t="s">
        <v>3787</v>
      </c>
      <c r="M43" s="25" t="s">
        <v>3789</v>
      </c>
      <c r="N43" s="25" t="s">
        <v>3790</v>
      </c>
      <c r="O43" s="64"/>
      <c r="P43" s="45" t="b">
        <f t="shared" si="3"/>
        <v>0</v>
      </c>
      <c r="Q43" s="45">
        <f t="shared" si="4"/>
        <v>3</v>
      </c>
      <c r="R43" s="45">
        <f t="shared" si="5"/>
        <v>0</v>
      </c>
      <c r="S43" s="24"/>
      <c r="T43" s="24"/>
      <c r="U43" s="24"/>
      <c r="V43" s="24"/>
      <c r="W43" s="24"/>
      <c r="X43" s="24"/>
      <c r="Y43" s="24"/>
      <c r="Z43" s="24"/>
      <c r="AA43" s="24"/>
      <c r="AB43" s="24"/>
      <c r="AC43" s="24"/>
    </row>
    <row r="44" spans="1:29" ht="108.7">
      <c r="A44" s="26" t="s">
        <v>3424</v>
      </c>
      <c r="B44" s="26" t="s">
        <v>3425</v>
      </c>
      <c r="C44" s="26" t="s">
        <v>3426</v>
      </c>
      <c r="D44" s="26" t="s">
        <v>3796</v>
      </c>
      <c r="E44" s="25" t="s">
        <v>3798</v>
      </c>
      <c r="F44" s="77" t="s">
        <v>3800</v>
      </c>
      <c r="G44" s="86" t="str">
        <f t="shared" si="10"/>
        <v>52.212-4(o) Contract Terms and Conditions – Commercial Items.  52.213-4(h) Terms and Conditions – Simplified Acquisitions (Other Than Commercial Items)</v>
      </c>
      <c r="H44" s="57" t="str">
        <f t="shared" si="11"/>
        <v>GSAR 552.212-4</v>
      </c>
      <c r="I44" s="34" t="s">
        <v>3805</v>
      </c>
      <c r="J44" s="37" t="s">
        <v>1566</v>
      </c>
      <c r="K44" s="37" t="s">
        <v>3806</v>
      </c>
      <c r="L44" s="25" t="s">
        <v>3807</v>
      </c>
      <c r="M44" s="25" t="s">
        <v>3808</v>
      </c>
      <c r="N44" s="25" t="s">
        <v>3809</v>
      </c>
      <c r="O44" s="64"/>
      <c r="P44" s="45" t="b">
        <f t="shared" si="3"/>
        <v>0</v>
      </c>
      <c r="Q44" s="45">
        <f t="shared" si="4"/>
        <v>3</v>
      </c>
      <c r="R44" s="45">
        <f t="shared" si="5"/>
        <v>0</v>
      </c>
      <c r="S44" s="24"/>
      <c r="T44" s="24"/>
      <c r="U44" s="24"/>
      <c r="V44" s="24"/>
      <c r="W44" s="24"/>
      <c r="X44" s="24"/>
      <c r="Y44" s="24"/>
      <c r="Z44" s="24"/>
      <c r="AA44" s="24"/>
      <c r="AB44" s="24"/>
      <c r="AC44" s="24"/>
    </row>
    <row r="45" spans="1:29" ht="108.7">
      <c r="A45" s="26" t="s">
        <v>3424</v>
      </c>
      <c r="B45" s="26" t="s">
        <v>3425</v>
      </c>
      <c r="C45" s="26" t="s">
        <v>3426</v>
      </c>
      <c r="D45" s="26" t="s">
        <v>3813</v>
      </c>
      <c r="E45" s="25" t="s">
        <v>3814</v>
      </c>
      <c r="F45" s="25" t="s">
        <v>3815</v>
      </c>
      <c r="G45" s="86" t="str">
        <f>HYPERLINK("https://www.acquisition.gov/browse/index/far","FAR 46.706(b)(2) Warranty terms and conditions [remedies]. FAR 49 Termination of contracts.")</f>
        <v>FAR 46.706(b)(2) Warranty terms and conditions [remedies]. FAR 49 Termination of contracts.</v>
      </c>
      <c r="H45" s="57" t="str">
        <f>HYPERLINK("https://www.acquisition.gov/sites/default/files/current/gsam/html/GSAMTOC549.html#wp434199","GSAR 549")</f>
        <v>GSAR 549</v>
      </c>
      <c r="I45" s="34"/>
      <c r="J45" s="37" t="s">
        <v>463</v>
      </c>
      <c r="K45" s="37" t="s">
        <v>3818</v>
      </c>
      <c r="L45" s="25" t="s">
        <v>3819</v>
      </c>
      <c r="M45" s="25" t="s">
        <v>3821</v>
      </c>
      <c r="N45" s="25" t="s">
        <v>3823</v>
      </c>
      <c r="O45" s="64"/>
      <c r="P45" s="45" t="b">
        <f t="shared" si="3"/>
        <v>0</v>
      </c>
      <c r="Q45" s="45">
        <f t="shared" si="4"/>
        <v>0</v>
      </c>
      <c r="R45" s="45">
        <f t="shared" si="5"/>
        <v>0</v>
      </c>
      <c r="S45" s="24"/>
      <c r="T45" s="24"/>
      <c r="U45" s="24"/>
      <c r="V45" s="24"/>
      <c r="W45" s="24"/>
      <c r="X45" s="24"/>
      <c r="Y45" s="24"/>
      <c r="Z45" s="24"/>
      <c r="AA45" s="24"/>
      <c r="AB45" s="24"/>
      <c r="AC45" s="24"/>
    </row>
    <row r="46" spans="1:29" ht="173.9">
      <c r="A46" s="26" t="s">
        <v>3424</v>
      </c>
      <c r="B46" s="26" t="s">
        <v>3425</v>
      </c>
      <c r="C46" s="26" t="s">
        <v>3426</v>
      </c>
      <c r="D46" s="26" t="s">
        <v>3827</v>
      </c>
      <c r="E46" s="25" t="s">
        <v>3828</v>
      </c>
      <c r="F46" s="25" t="s">
        <v>3475</v>
      </c>
      <c r="G46" s="86" t="e">
        <f>HYPERLINK("https://www.acquisition.gov/browse/index/far","FAR 46.1 General [quality assurance]. FAR 46. 407 Nonconforming supplies or services. FAR 52.246-2 Inspection of suppliesFixed-Price. FAR 52.246-3 Inspection of suppliesCost-Reimbursement.  FAR 52.246-4 Inspection of servicesFixed-Price. FAR 52.246-5 Insp"&amp;"ection of servicesCost-Reimbursement.  FAR 52.246-6 Inspection-Time-andMaterial and Labor-Hour.  FAR 52.246-7 Inspection of research and development-Fixed-Price. FAR 52.246-8 Inspection of research and development-Cost-Reimbursement. FAR 52.246-9 Inspecti"&amp;"on of research and development (short form).")</f>
        <v>#VALUE!</v>
      </c>
      <c r="H46" s="57" t="str">
        <f>HYPERLINK("https://www.acquisition.gov/sites/default/files/current/gsam/html/Part552_Sub2B.html#wp1885232","GSAR 546.1; 546.4; 552.246-7")</f>
        <v>GSAR 546.1; 546.4; 552.246-7</v>
      </c>
      <c r="I46" s="34" t="s">
        <v>3843</v>
      </c>
      <c r="J46" s="37" t="s">
        <v>1566</v>
      </c>
      <c r="K46" s="37" t="s">
        <v>3845</v>
      </c>
      <c r="L46" s="25" t="s">
        <v>3847</v>
      </c>
      <c r="M46" s="25" t="s">
        <v>3849</v>
      </c>
      <c r="N46" s="25" t="s">
        <v>3851</v>
      </c>
      <c r="O46" s="64"/>
      <c r="P46" s="45" t="b">
        <f t="shared" si="3"/>
        <v>0</v>
      </c>
      <c r="Q46" s="45">
        <f t="shared" si="4"/>
        <v>3</v>
      </c>
      <c r="R46" s="45">
        <f t="shared" si="5"/>
        <v>0</v>
      </c>
      <c r="S46" s="24"/>
      <c r="T46" s="24"/>
      <c r="U46" s="24"/>
      <c r="V46" s="24"/>
      <c r="W46" s="24"/>
      <c r="X46" s="24"/>
      <c r="Y46" s="24"/>
      <c r="Z46" s="24"/>
      <c r="AA46" s="24"/>
      <c r="AB46" s="24"/>
      <c r="AC46" s="24"/>
    </row>
    <row r="47" spans="1:29" ht="152.15">
      <c r="A47" s="26" t="s">
        <v>3424</v>
      </c>
      <c r="B47" s="26" t="s">
        <v>3425</v>
      </c>
      <c r="C47" s="26" t="s">
        <v>3426</v>
      </c>
      <c r="D47" s="26" t="s">
        <v>3852</v>
      </c>
      <c r="E47" s="25" t="s">
        <v>3853</v>
      </c>
      <c r="F47" s="25" t="s">
        <v>3494</v>
      </c>
      <c r="G47" s="86" t="str">
        <f t="shared" ref="G47:G51" si="12">HYPERLINK("https://www.acquisition.gov/content/part-46-quality-assurance#i1072176","FAR 46.407 Nonconforming supplies or services.")</f>
        <v>FAR 46.407 Nonconforming supplies or services.</v>
      </c>
      <c r="H47" s="54"/>
      <c r="I47" s="34" t="s">
        <v>3843</v>
      </c>
      <c r="J47" s="37" t="s">
        <v>1566</v>
      </c>
      <c r="K47" s="37" t="s">
        <v>3854</v>
      </c>
      <c r="L47" s="94" t="s">
        <v>3855</v>
      </c>
      <c r="M47" s="25" t="s">
        <v>3856</v>
      </c>
      <c r="N47" s="25" t="s">
        <v>3857</v>
      </c>
      <c r="O47" s="64"/>
      <c r="P47" s="45" t="b">
        <f t="shared" si="3"/>
        <v>0</v>
      </c>
      <c r="Q47" s="45">
        <f t="shared" si="4"/>
        <v>3</v>
      </c>
      <c r="R47" s="45">
        <f t="shared" si="5"/>
        <v>0</v>
      </c>
      <c r="S47" s="24"/>
      <c r="T47" s="24"/>
      <c r="U47" s="24"/>
      <c r="V47" s="24"/>
      <c r="W47" s="24"/>
      <c r="X47" s="24"/>
      <c r="Y47" s="24"/>
      <c r="Z47" s="24"/>
      <c r="AA47" s="24"/>
      <c r="AB47" s="24"/>
      <c r="AC47" s="24"/>
    </row>
    <row r="48" spans="1:29" ht="206.5">
      <c r="A48" s="26" t="s">
        <v>3424</v>
      </c>
      <c r="B48" s="26" t="s">
        <v>3425</v>
      </c>
      <c r="C48" s="26" t="s">
        <v>3426</v>
      </c>
      <c r="D48" s="26" t="s">
        <v>3858</v>
      </c>
      <c r="E48" s="25" t="s">
        <v>3859</v>
      </c>
      <c r="F48" s="25" t="s">
        <v>490</v>
      </c>
      <c r="G48" s="86" t="str">
        <f t="shared" si="12"/>
        <v>FAR 46.407 Nonconforming supplies or services.</v>
      </c>
      <c r="H48" s="54"/>
      <c r="I48" s="34" t="s">
        <v>3511</v>
      </c>
      <c r="J48" s="37" t="s">
        <v>1566</v>
      </c>
      <c r="K48" s="37" t="s">
        <v>3861</v>
      </c>
      <c r="L48" s="25" t="s">
        <v>3862</v>
      </c>
      <c r="M48" s="127" t="s">
        <v>3863</v>
      </c>
      <c r="N48" s="25" t="s">
        <v>3865</v>
      </c>
      <c r="O48" s="64"/>
      <c r="P48" s="45" t="b">
        <f t="shared" si="3"/>
        <v>0</v>
      </c>
      <c r="Q48" s="45">
        <f t="shared" si="4"/>
        <v>3</v>
      </c>
      <c r="R48" s="45">
        <f t="shared" si="5"/>
        <v>0</v>
      </c>
      <c r="S48" s="24"/>
      <c r="T48" s="24"/>
      <c r="U48" s="24"/>
      <c r="V48" s="24"/>
      <c r="W48" s="24"/>
      <c r="X48" s="24"/>
      <c r="Y48" s="24"/>
      <c r="Z48" s="24"/>
      <c r="AA48" s="24"/>
      <c r="AB48" s="24"/>
      <c r="AC48" s="24"/>
    </row>
    <row r="49" spans="1:29" ht="108.7">
      <c r="A49" s="26" t="s">
        <v>3424</v>
      </c>
      <c r="B49" s="26" t="s">
        <v>3425</v>
      </c>
      <c r="C49" s="26" t="s">
        <v>3426</v>
      </c>
      <c r="D49" s="26" t="s">
        <v>3869</v>
      </c>
      <c r="E49" s="25" t="s">
        <v>3523</v>
      </c>
      <c r="F49" s="25" t="s">
        <v>3524</v>
      </c>
      <c r="G49" s="86" t="str">
        <f t="shared" si="12"/>
        <v>FAR 46.407 Nonconforming supplies or services.</v>
      </c>
      <c r="H49" s="54"/>
      <c r="I49" s="34" t="s">
        <v>3526</v>
      </c>
      <c r="J49" s="37" t="s">
        <v>1566</v>
      </c>
      <c r="K49" s="37" t="s">
        <v>3872</v>
      </c>
      <c r="L49" s="25" t="s">
        <v>3640</v>
      </c>
      <c r="M49" s="25" t="s">
        <v>3873</v>
      </c>
      <c r="N49" s="25" t="s">
        <v>3874</v>
      </c>
      <c r="O49" s="64"/>
      <c r="P49" s="45" t="b">
        <f t="shared" si="3"/>
        <v>0</v>
      </c>
      <c r="Q49" s="45">
        <f t="shared" si="4"/>
        <v>3</v>
      </c>
      <c r="R49" s="45">
        <f t="shared" si="5"/>
        <v>0</v>
      </c>
      <c r="S49" s="24"/>
      <c r="T49" s="24"/>
      <c r="U49" s="24"/>
      <c r="V49" s="24"/>
      <c r="W49" s="24"/>
      <c r="X49" s="24"/>
      <c r="Y49" s="24"/>
      <c r="Z49" s="24"/>
      <c r="AA49" s="24"/>
      <c r="AB49" s="24"/>
      <c r="AC49" s="24"/>
    </row>
    <row r="50" spans="1:29" ht="217.4">
      <c r="A50" s="26" t="s">
        <v>3424</v>
      </c>
      <c r="B50" s="26" t="s">
        <v>3425</v>
      </c>
      <c r="C50" s="26" t="s">
        <v>3426</v>
      </c>
      <c r="D50" s="26" t="s">
        <v>3878</v>
      </c>
      <c r="E50" s="25" t="s">
        <v>3535</v>
      </c>
      <c r="F50" s="25" t="s">
        <v>3536</v>
      </c>
      <c r="G50" s="86" t="str">
        <f t="shared" si="12"/>
        <v>FAR 46.407 Nonconforming supplies or services.</v>
      </c>
      <c r="H50" s="54"/>
      <c r="I50" s="34" t="s">
        <v>3526</v>
      </c>
      <c r="J50" s="37" t="s">
        <v>1566</v>
      </c>
      <c r="K50" s="37" t="s">
        <v>3881</v>
      </c>
      <c r="L50" s="25" t="s">
        <v>3882</v>
      </c>
      <c r="M50" s="127" t="s">
        <v>3883</v>
      </c>
      <c r="N50" s="25" t="s">
        <v>3884</v>
      </c>
      <c r="O50" s="64"/>
      <c r="P50" s="45" t="b">
        <f t="shared" si="3"/>
        <v>0</v>
      </c>
      <c r="Q50" s="45">
        <f t="shared" si="4"/>
        <v>3</v>
      </c>
      <c r="R50" s="45">
        <f t="shared" si="5"/>
        <v>0</v>
      </c>
      <c r="S50" s="24"/>
      <c r="T50" s="24"/>
      <c r="U50" s="24"/>
      <c r="V50" s="24"/>
      <c r="W50" s="24"/>
      <c r="X50" s="24"/>
      <c r="Y50" s="24"/>
      <c r="Z50" s="24"/>
      <c r="AA50" s="24"/>
      <c r="AB50" s="24"/>
      <c r="AC50" s="24"/>
    </row>
    <row r="51" spans="1:29" ht="217.4">
      <c r="A51" s="26" t="s">
        <v>3424</v>
      </c>
      <c r="B51" s="26" t="s">
        <v>3425</v>
      </c>
      <c r="C51" s="26" t="s">
        <v>3426</v>
      </c>
      <c r="D51" s="26" t="s">
        <v>3885</v>
      </c>
      <c r="E51" s="25" t="s">
        <v>3556</v>
      </c>
      <c r="F51" s="25" t="s">
        <v>3558</v>
      </c>
      <c r="G51" s="86" t="str">
        <f t="shared" si="12"/>
        <v>FAR 46.407 Nonconforming supplies or services.</v>
      </c>
      <c r="H51" s="54"/>
      <c r="I51" s="34" t="s">
        <v>3886</v>
      </c>
      <c r="J51" s="37" t="s">
        <v>1566</v>
      </c>
      <c r="K51" s="37" t="s">
        <v>3888</v>
      </c>
      <c r="L51" s="25" t="s">
        <v>3889</v>
      </c>
      <c r="M51" s="127" t="s">
        <v>3891</v>
      </c>
      <c r="N51" s="25" t="s">
        <v>3884</v>
      </c>
      <c r="O51" s="64"/>
      <c r="P51" s="45" t="b">
        <f t="shared" si="3"/>
        <v>0</v>
      </c>
      <c r="Q51" s="45">
        <f t="shared" si="4"/>
        <v>3</v>
      </c>
      <c r="R51" s="45">
        <f t="shared" si="5"/>
        <v>0</v>
      </c>
      <c r="S51" s="24"/>
      <c r="T51" s="24"/>
      <c r="U51" s="24"/>
      <c r="V51" s="24"/>
      <c r="W51" s="24"/>
      <c r="X51" s="24"/>
      <c r="Y51" s="24"/>
      <c r="Z51" s="24"/>
      <c r="AA51" s="24"/>
      <c r="AB51" s="24"/>
      <c r="AC51" s="24"/>
    </row>
    <row r="52" spans="1:29" ht="239.1">
      <c r="A52" s="26" t="s">
        <v>3424</v>
      </c>
      <c r="B52" s="26" t="s">
        <v>3425</v>
      </c>
      <c r="C52" s="26" t="s">
        <v>3426</v>
      </c>
      <c r="D52" s="26" t="s">
        <v>3895</v>
      </c>
      <c r="E52" s="25" t="s">
        <v>3896</v>
      </c>
      <c r="F52" s="25" t="s">
        <v>3898</v>
      </c>
      <c r="G52" s="86" t="str">
        <f>HYPERLINK("https://www.acquisition.gov/browse/index/far","FAR 46.407 Nonconforming supplies or services. FAR 49.4 Termination for default")</f>
        <v>FAR 46.407 Nonconforming supplies or services. FAR 49.4 Termination for default</v>
      </c>
      <c r="H52" s="57" t="str">
        <f>HYPERLINK("https://www.acquisition.gov/sites/default/files/current/gsam/html/Part549.html#wp1858093","GSAR 549.4")</f>
        <v>GSAR 549.4</v>
      </c>
      <c r="I52" s="34"/>
      <c r="J52" s="37" t="s">
        <v>463</v>
      </c>
      <c r="K52" s="37" t="s">
        <v>3909</v>
      </c>
      <c r="L52" s="25" t="s">
        <v>3582</v>
      </c>
      <c r="M52" s="25" t="s">
        <v>3585</v>
      </c>
      <c r="N52" s="25" t="s">
        <v>3587</v>
      </c>
      <c r="O52" s="64"/>
      <c r="P52" s="45" t="b">
        <f t="shared" si="3"/>
        <v>0</v>
      </c>
      <c r="Q52" s="45">
        <f t="shared" si="4"/>
        <v>0</v>
      </c>
      <c r="R52" s="45">
        <f t="shared" si="5"/>
        <v>0</v>
      </c>
      <c r="S52" s="24"/>
      <c r="T52" s="24"/>
      <c r="U52" s="24"/>
      <c r="V52" s="24"/>
      <c r="W52" s="24"/>
      <c r="X52" s="24"/>
      <c r="Y52" s="24"/>
      <c r="Z52" s="24"/>
      <c r="AA52" s="24"/>
      <c r="AB52" s="24"/>
      <c r="AC52" s="24"/>
    </row>
    <row r="53" spans="1:29" ht="119.55">
      <c r="A53" s="26" t="s">
        <v>3424</v>
      </c>
      <c r="B53" s="26" t="s">
        <v>3425</v>
      </c>
      <c r="C53" s="26" t="s">
        <v>3426</v>
      </c>
      <c r="D53" s="26" t="s">
        <v>3920</v>
      </c>
      <c r="E53" s="25" t="s">
        <v>3593</v>
      </c>
      <c r="F53" s="25" t="s">
        <v>3921</v>
      </c>
      <c r="G53" s="86" t="e">
        <f>HYPERLINK("https://www.acquisition.gov/browse/index/far","FAR 46.704 Authority for use of warranties. FAR 46.705 Limitations [warranties]. 52.246-17 Warranty of supplies of a noncomplex nature.  52.246-18 Warranty of supplies of a complex nature 52.246-19 Warranty of systems and equipment under performance speci"&amp;"fications or design criteria.  52.246-20 Warranty of services.")</f>
        <v>#VALUE!</v>
      </c>
      <c r="H53" s="57" t="str">
        <f>HYPERLINK("https://www.acquisition.gov/sites/default/files/current/gsam/html/Part546.html#wp1859106","GSAR 546.705")</f>
        <v>GSAR 546.705</v>
      </c>
      <c r="I53" s="34"/>
      <c r="J53" s="37" t="s">
        <v>463</v>
      </c>
      <c r="K53" s="37" t="s">
        <v>3928</v>
      </c>
      <c r="L53" s="25" t="s">
        <v>3929</v>
      </c>
      <c r="M53" s="25" t="s">
        <v>3930</v>
      </c>
      <c r="N53" s="25" t="s">
        <v>3931</v>
      </c>
      <c r="O53" s="64"/>
      <c r="P53" s="45" t="b">
        <f t="shared" si="3"/>
        <v>0</v>
      </c>
      <c r="Q53" s="45">
        <f t="shared" si="4"/>
        <v>0</v>
      </c>
      <c r="R53" s="45">
        <f t="shared" si="5"/>
        <v>0</v>
      </c>
      <c r="S53" s="24"/>
      <c r="T53" s="24"/>
      <c r="U53" s="24"/>
      <c r="V53" s="24"/>
      <c r="W53" s="24"/>
      <c r="X53" s="24"/>
      <c r="Y53" s="24"/>
      <c r="Z53" s="24"/>
      <c r="AA53" s="24"/>
      <c r="AB53" s="24"/>
      <c r="AC53" s="24"/>
    </row>
    <row r="54" spans="1:29" ht="130.44999999999999">
      <c r="A54" s="26" t="s">
        <v>3424</v>
      </c>
      <c r="B54" s="26" t="s">
        <v>3425</v>
      </c>
      <c r="C54" s="26" t="s">
        <v>3426</v>
      </c>
      <c r="D54" s="26" t="s">
        <v>3937</v>
      </c>
      <c r="E54" s="25" t="s">
        <v>3615</v>
      </c>
      <c r="F54" s="25" t="s">
        <v>3617</v>
      </c>
      <c r="G54" s="86" t="str">
        <f>HYPERLINK("https://www.acquisition.gov/content/part-46-quality-assurance#id1617MD0N0U8","FAR 46.706(b)(4) Warranty terms and conditions.")</f>
        <v>FAR 46.706(b)(4) Warranty terms and conditions.</v>
      </c>
      <c r="H54" s="54"/>
      <c r="I54" s="34"/>
      <c r="J54" s="37" t="s">
        <v>463</v>
      </c>
      <c r="K54" s="37" t="s">
        <v>3940</v>
      </c>
      <c r="L54" s="79" t="s">
        <v>3941</v>
      </c>
      <c r="M54" s="25" t="s">
        <v>3942</v>
      </c>
      <c r="N54" s="25" t="s">
        <v>3943</v>
      </c>
      <c r="O54" s="64"/>
      <c r="P54" s="45" t="b">
        <f t="shared" si="3"/>
        <v>0</v>
      </c>
      <c r="Q54" s="45">
        <f t="shared" si="4"/>
        <v>0</v>
      </c>
      <c r="R54" s="45">
        <f t="shared" si="5"/>
        <v>0</v>
      </c>
      <c r="S54" s="24"/>
      <c r="T54" s="24"/>
      <c r="U54" s="24"/>
      <c r="V54" s="24"/>
      <c r="W54" s="24"/>
      <c r="X54" s="24"/>
      <c r="Y54" s="24"/>
      <c r="Z54" s="24"/>
      <c r="AA54" s="24"/>
      <c r="AB54" s="24"/>
      <c r="AC54" s="24"/>
    </row>
    <row r="55" spans="1:29" ht="108.7">
      <c r="A55" s="26" t="s">
        <v>3424</v>
      </c>
      <c r="B55" s="26" t="s">
        <v>3425</v>
      </c>
      <c r="C55" s="26" t="s">
        <v>3426</v>
      </c>
      <c r="D55" s="26" t="s">
        <v>3944</v>
      </c>
      <c r="E55" s="25" t="s">
        <v>3631</v>
      </c>
      <c r="F55" s="25" t="s">
        <v>3946</v>
      </c>
      <c r="G55" s="86" t="str">
        <f>HYPERLINK("https://www.acquisition.gov/content/part-46-quality-assurance#id1617MD0N0U8","FAR 46.706(b)(2) Warranty terms and conditions. ")</f>
        <v xml:space="preserve">FAR 46.706(b)(2) Warranty terms and conditions. </v>
      </c>
      <c r="H55" s="54"/>
      <c r="I55" s="34" t="s">
        <v>3526</v>
      </c>
      <c r="J55" s="37" t="s">
        <v>1566</v>
      </c>
      <c r="K55" s="37" t="s">
        <v>3951</v>
      </c>
      <c r="L55" s="25" t="s">
        <v>3952</v>
      </c>
      <c r="M55" s="25" t="s">
        <v>3642</v>
      </c>
      <c r="N55" s="25" t="s">
        <v>3643</v>
      </c>
      <c r="O55" s="64"/>
      <c r="P55" s="45" t="b">
        <f t="shared" si="3"/>
        <v>0</v>
      </c>
      <c r="Q55" s="45">
        <f t="shared" si="4"/>
        <v>3</v>
      </c>
      <c r="R55" s="45">
        <f t="shared" si="5"/>
        <v>0</v>
      </c>
      <c r="S55" s="24"/>
      <c r="T55" s="24"/>
      <c r="U55" s="24"/>
      <c r="V55" s="24"/>
      <c r="W55" s="24"/>
      <c r="X55" s="24"/>
      <c r="Y55" s="24"/>
      <c r="Z55" s="24"/>
      <c r="AA55" s="24"/>
      <c r="AB55" s="24"/>
      <c r="AC55" s="24"/>
    </row>
    <row r="56" spans="1:29" ht="108.7">
      <c r="A56" s="26" t="s">
        <v>3424</v>
      </c>
      <c r="B56" s="26" t="s">
        <v>3425</v>
      </c>
      <c r="C56" s="26" t="s">
        <v>3426</v>
      </c>
      <c r="D56" s="26" t="s">
        <v>3955</v>
      </c>
      <c r="E56" s="25" t="s">
        <v>3645</v>
      </c>
      <c r="F56" s="25" t="s">
        <v>3646</v>
      </c>
      <c r="G56" s="86" t="str">
        <f>HYPERLINK("https://www.acquisition.gov/content/part-46-quality-assurance#id1617MD0N0U8","FAR 46.706(b)(2) Warranty terms and conditions.")</f>
        <v>FAR 46.706(b)(2) Warranty terms and conditions.</v>
      </c>
      <c r="H56" s="54"/>
      <c r="I56" s="34" t="s">
        <v>3956</v>
      </c>
      <c r="J56" s="37" t="s">
        <v>1566</v>
      </c>
      <c r="K56" s="37" t="s">
        <v>3957</v>
      </c>
      <c r="L56" s="25" t="s">
        <v>3653</v>
      </c>
      <c r="M56" s="25" t="s">
        <v>3655</v>
      </c>
      <c r="N56" s="25" t="s">
        <v>3656</v>
      </c>
      <c r="O56" s="64"/>
      <c r="P56" s="45" t="b">
        <f t="shared" si="3"/>
        <v>0</v>
      </c>
      <c r="Q56" s="45">
        <f t="shared" si="4"/>
        <v>3</v>
      </c>
      <c r="R56" s="45">
        <f t="shared" si="5"/>
        <v>0</v>
      </c>
      <c r="S56" s="24"/>
      <c r="T56" s="24"/>
      <c r="U56" s="24"/>
      <c r="V56" s="24"/>
      <c r="W56" s="24"/>
      <c r="X56" s="24"/>
      <c r="Y56" s="24"/>
      <c r="Z56" s="24"/>
      <c r="AA56" s="24"/>
      <c r="AB56" s="24"/>
      <c r="AC56" s="24"/>
    </row>
    <row r="57" spans="1:29" ht="108.7">
      <c r="A57" s="26" t="s">
        <v>3424</v>
      </c>
      <c r="B57" s="26" t="s">
        <v>3425</v>
      </c>
      <c r="C57" s="26" t="s">
        <v>3426</v>
      </c>
      <c r="D57" s="26" t="s">
        <v>3963</v>
      </c>
      <c r="E57" s="25" t="s">
        <v>3658</v>
      </c>
      <c r="F57" s="25" t="s">
        <v>3659</v>
      </c>
      <c r="G57" s="86" t="str">
        <f>HYPERLINK("https://www.acquisition.gov/content/part-46-quality-assurance#id1617MD0N0U8","FAR 46.706 Warranty terms and conditions.")</f>
        <v>FAR 46.706 Warranty terms and conditions.</v>
      </c>
      <c r="H57" s="54"/>
      <c r="I57" s="34" t="s">
        <v>3964</v>
      </c>
      <c r="J57" s="37" t="s">
        <v>1566</v>
      </c>
      <c r="K57" s="37" t="s">
        <v>3968</v>
      </c>
      <c r="L57" s="25" t="s">
        <v>3668</v>
      </c>
      <c r="M57" s="25" t="s">
        <v>3670</v>
      </c>
      <c r="N57" s="25" t="s">
        <v>3671</v>
      </c>
      <c r="O57" s="64"/>
      <c r="P57" s="45" t="b">
        <f t="shared" si="3"/>
        <v>0</v>
      </c>
      <c r="Q57" s="45">
        <f t="shared" si="4"/>
        <v>3</v>
      </c>
      <c r="R57" s="45">
        <f t="shared" si="5"/>
        <v>0</v>
      </c>
      <c r="S57" s="24"/>
      <c r="T57" s="24"/>
      <c r="U57" s="24"/>
      <c r="V57" s="24"/>
      <c r="W57" s="24"/>
      <c r="X57" s="24"/>
      <c r="Y57" s="24"/>
      <c r="Z57" s="24"/>
      <c r="AA57" s="24"/>
      <c r="AB57" s="24"/>
      <c r="AC57" s="24"/>
    </row>
    <row r="58" spans="1:29" ht="108.7">
      <c r="A58" s="26" t="s">
        <v>3424</v>
      </c>
      <c r="B58" s="26" t="s">
        <v>3425</v>
      </c>
      <c r="C58" s="26" t="s">
        <v>3426</v>
      </c>
      <c r="D58" s="26" t="s">
        <v>3969</v>
      </c>
      <c r="E58" s="25" t="s">
        <v>3676</v>
      </c>
      <c r="F58" s="25" t="s">
        <v>3970</v>
      </c>
      <c r="G58" s="86" t="str">
        <f>HYPERLINK("https://www.acquisition.gov/content/part-46-quality-assurance#id1617MD0N0U8","FAR 46.706(b)(2) Warranty terms and conditions")</f>
        <v>FAR 46.706(b)(2) Warranty terms and conditions</v>
      </c>
      <c r="H58" s="54"/>
      <c r="I58" s="34"/>
      <c r="J58" s="37" t="s">
        <v>463</v>
      </c>
      <c r="K58" s="37" t="s">
        <v>3971</v>
      </c>
      <c r="L58" s="25" t="s">
        <v>3682</v>
      </c>
      <c r="M58" s="25" t="s">
        <v>3684</v>
      </c>
      <c r="N58" s="25" t="s">
        <v>3685</v>
      </c>
      <c r="O58" s="64"/>
      <c r="P58" s="45" t="b">
        <f t="shared" si="3"/>
        <v>0</v>
      </c>
      <c r="Q58" s="45">
        <f t="shared" si="4"/>
        <v>0</v>
      </c>
      <c r="R58" s="45">
        <f t="shared" si="5"/>
        <v>0</v>
      </c>
      <c r="S58" s="24"/>
      <c r="T58" s="24"/>
      <c r="U58" s="24"/>
      <c r="V58" s="24"/>
      <c r="W58" s="24"/>
      <c r="X58" s="24"/>
      <c r="Y58" s="24"/>
      <c r="Z58" s="24"/>
      <c r="AA58" s="24"/>
      <c r="AB58" s="24"/>
      <c r="AC58" s="24"/>
    </row>
    <row r="59" spans="1:29" ht="195.65">
      <c r="A59" s="26" t="s">
        <v>3424</v>
      </c>
      <c r="B59" s="26" t="s">
        <v>3425</v>
      </c>
      <c r="C59" s="26" t="s">
        <v>3426</v>
      </c>
      <c r="D59" s="144" t="s">
        <v>3977</v>
      </c>
      <c r="E59" s="25" t="s">
        <v>3980</v>
      </c>
      <c r="F59" s="25" t="s">
        <v>3981</v>
      </c>
      <c r="G59" s="57" t="str">
        <f>HYPERLINK("https://www.acquisition.gov/content/part-32-contract-financing#i1081466","FAR 32.802 Conditions [assignment of claims].")</f>
        <v>FAR 32.802 Conditions [assignment of claims].</v>
      </c>
      <c r="H59" s="54"/>
      <c r="I59" s="34"/>
      <c r="J59" s="37" t="s">
        <v>463</v>
      </c>
      <c r="K59" s="37" t="s">
        <v>3982</v>
      </c>
      <c r="L59" s="25" t="s">
        <v>3983</v>
      </c>
      <c r="M59" s="25" t="s">
        <v>3984</v>
      </c>
      <c r="N59" s="25" t="s">
        <v>3985</v>
      </c>
      <c r="O59" s="64"/>
      <c r="P59" s="45" t="b">
        <f t="shared" si="3"/>
        <v>0</v>
      </c>
      <c r="Q59" s="45">
        <f t="shared" si="4"/>
        <v>0</v>
      </c>
      <c r="R59" s="45">
        <f t="shared" si="5"/>
        <v>0</v>
      </c>
      <c r="S59" s="24"/>
      <c r="T59" s="24"/>
      <c r="U59" s="24"/>
      <c r="V59" s="24"/>
      <c r="W59" s="24"/>
      <c r="X59" s="24"/>
      <c r="Y59" s="24"/>
      <c r="Z59" s="24"/>
      <c r="AA59" s="24"/>
      <c r="AB59" s="24"/>
      <c r="AC59" s="24"/>
    </row>
    <row r="60" spans="1:29" ht="119.55">
      <c r="A60" s="26" t="s">
        <v>3424</v>
      </c>
      <c r="B60" s="26" t="s">
        <v>3425</v>
      </c>
      <c r="C60" s="26" t="s">
        <v>3426</v>
      </c>
      <c r="D60" s="144" t="s">
        <v>3990</v>
      </c>
      <c r="E60" s="25" t="s">
        <v>3991</v>
      </c>
      <c r="F60" s="25" t="s">
        <v>3992</v>
      </c>
      <c r="G60" s="57" t="str">
        <f>HYPERLINK("https://www.acquisition.gov/sites/default/files/current/far/html/Subpart%2032_8.html#wp1029208","FAR 32.802 Conditions [assignment of claims].")</f>
        <v>FAR 32.802 Conditions [assignment of claims].</v>
      </c>
      <c r="H60" s="54"/>
      <c r="I60" s="34"/>
      <c r="J60" s="37" t="s">
        <v>463</v>
      </c>
      <c r="K60" s="37" t="s">
        <v>3996</v>
      </c>
      <c r="L60" s="25" t="s">
        <v>3997</v>
      </c>
      <c r="M60" s="25" t="s">
        <v>3998</v>
      </c>
      <c r="N60" s="25" t="s">
        <v>3999</v>
      </c>
      <c r="O60" s="64"/>
      <c r="P60" s="45" t="b">
        <f t="shared" si="3"/>
        <v>0</v>
      </c>
      <c r="Q60" s="45">
        <f t="shared" si="4"/>
        <v>0</v>
      </c>
      <c r="R60" s="45">
        <f t="shared" si="5"/>
        <v>0</v>
      </c>
      <c r="S60" s="24"/>
      <c r="T60" s="24"/>
      <c r="U60" s="24"/>
      <c r="V60" s="24"/>
      <c r="W60" s="24"/>
      <c r="X60" s="24"/>
      <c r="Y60" s="24"/>
      <c r="Z60" s="24"/>
      <c r="AA60" s="24"/>
      <c r="AB60" s="24"/>
      <c r="AC60" s="24"/>
    </row>
    <row r="61" spans="1:29" ht="152.15">
      <c r="A61" s="26" t="s">
        <v>3424</v>
      </c>
      <c r="B61" s="26" t="s">
        <v>3425</v>
      </c>
      <c r="C61" s="26" t="s">
        <v>3426</v>
      </c>
      <c r="D61" s="144" t="s">
        <v>4000</v>
      </c>
      <c r="E61" s="25" t="s">
        <v>4001</v>
      </c>
      <c r="F61" s="25" t="s">
        <v>4002</v>
      </c>
      <c r="G61" s="57" t="str">
        <f>HYPERLINK("https://www.acquisition.gov/content/part-32-contract-financing#i1081453","FAR 32.802 Conditions [assignment of claims]. FAR 32.805 Procedure [assignment of claims]. ")</f>
        <v xml:space="preserve">FAR 32.802 Conditions [assignment of claims]. FAR 32.805 Procedure [assignment of claims]. </v>
      </c>
      <c r="H61" s="57" t="str">
        <f t="shared" ref="H61:H65" si="13">HYPERLINK("https://www.acquisition.gov/sites/default/files/current/gsam/html/Part532.html#wp1858186","GSAR 532.805")</f>
        <v>GSAR 532.805</v>
      </c>
      <c r="I61" s="34"/>
      <c r="J61" s="37" t="s">
        <v>463</v>
      </c>
      <c r="K61" s="37" t="s">
        <v>4011</v>
      </c>
      <c r="L61" s="25" t="s">
        <v>4012</v>
      </c>
      <c r="M61" s="25" t="s">
        <v>4013</v>
      </c>
      <c r="N61" s="25" t="s">
        <v>4014</v>
      </c>
      <c r="O61" s="64"/>
      <c r="P61" s="45" t="b">
        <f t="shared" si="3"/>
        <v>0</v>
      </c>
      <c r="Q61" s="45">
        <f t="shared" si="4"/>
        <v>0</v>
      </c>
      <c r="R61" s="45">
        <f t="shared" si="5"/>
        <v>0</v>
      </c>
      <c r="S61" s="24"/>
      <c r="T61" s="24"/>
      <c r="U61" s="24"/>
      <c r="V61" s="24"/>
      <c r="W61" s="24"/>
      <c r="X61" s="24"/>
      <c r="Y61" s="24"/>
      <c r="Z61" s="24"/>
      <c r="AA61" s="24"/>
      <c r="AB61" s="24"/>
      <c r="AC61" s="24"/>
    </row>
    <row r="62" spans="1:29" ht="108.7">
      <c r="A62" s="26" t="s">
        <v>3424</v>
      </c>
      <c r="B62" s="26" t="s">
        <v>3425</v>
      </c>
      <c r="C62" s="26" t="s">
        <v>3426</v>
      </c>
      <c r="D62" s="144" t="s">
        <v>4021</v>
      </c>
      <c r="E62" s="25" t="s">
        <v>4023</v>
      </c>
      <c r="F62" s="25" t="s">
        <v>4025</v>
      </c>
      <c r="G62" s="57" t="str">
        <f>HYPERLINK("https://www.acquisition.gov/content/part-32-contract-financing#i1081510","FAR 32.805 Procedure [assignment of claims]")</f>
        <v>FAR 32.805 Procedure [assignment of claims]</v>
      </c>
      <c r="H62" s="57" t="str">
        <f t="shared" si="13"/>
        <v>GSAR 532.805</v>
      </c>
      <c r="I62" s="34"/>
      <c r="J62" s="37" t="s">
        <v>463</v>
      </c>
      <c r="K62" s="37" t="s">
        <v>4030</v>
      </c>
      <c r="L62" s="25" t="s">
        <v>4031</v>
      </c>
      <c r="M62" s="25" t="s">
        <v>4032</v>
      </c>
      <c r="N62" s="25" t="s">
        <v>4033</v>
      </c>
      <c r="O62" s="64"/>
      <c r="P62" s="45" t="b">
        <f t="shared" si="3"/>
        <v>0</v>
      </c>
      <c r="Q62" s="45">
        <f t="shared" si="4"/>
        <v>0</v>
      </c>
      <c r="R62" s="45">
        <f t="shared" si="5"/>
        <v>0</v>
      </c>
      <c r="S62" s="24"/>
      <c r="T62" s="24"/>
      <c r="U62" s="24"/>
      <c r="V62" s="24"/>
      <c r="W62" s="24"/>
      <c r="X62" s="24"/>
      <c r="Y62" s="24"/>
      <c r="Z62" s="24"/>
      <c r="AA62" s="24"/>
      <c r="AB62" s="24"/>
      <c r="AC62" s="24"/>
    </row>
    <row r="63" spans="1:29" ht="108.7">
      <c r="A63" s="26" t="s">
        <v>3424</v>
      </c>
      <c r="B63" s="26" t="s">
        <v>3425</v>
      </c>
      <c r="C63" s="26" t="s">
        <v>3426</v>
      </c>
      <c r="D63" s="144" t="s">
        <v>4039</v>
      </c>
      <c r="E63" s="25" t="s">
        <v>4041</v>
      </c>
      <c r="F63" s="25" t="s">
        <v>4042</v>
      </c>
      <c r="G63" s="57" t="str">
        <f>HYPERLINK("https://www.acquisition.gov/content/part-32-contract-financing#i1081453","FAR 32.802 Conditions [assignment of claims]. FAR 32.805 Procedure [assignment of claims]. ")</f>
        <v xml:space="preserve">FAR 32.802 Conditions [assignment of claims]. FAR 32.805 Procedure [assignment of claims]. </v>
      </c>
      <c r="H63" s="57" t="str">
        <f t="shared" si="13"/>
        <v>GSAR 532.805</v>
      </c>
      <c r="I63" s="34"/>
      <c r="J63" s="37" t="s">
        <v>463</v>
      </c>
      <c r="K63" s="37" t="s">
        <v>4052</v>
      </c>
      <c r="L63" s="25" t="s">
        <v>4053</v>
      </c>
      <c r="M63" s="25" t="s">
        <v>4054</v>
      </c>
      <c r="N63" s="25" t="s">
        <v>4055</v>
      </c>
      <c r="O63" s="64"/>
      <c r="P63" s="45" t="b">
        <f t="shared" si="3"/>
        <v>0</v>
      </c>
      <c r="Q63" s="45">
        <f t="shared" si="4"/>
        <v>0</v>
      </c>
      <c r="R63" s="45">
        <f t="shared" si="5"/>
        <v>0</v>
      </c>
      <c r="S63" s="24"/>
      <c r="T63" s="24"/>
      <c r="U63" s="24"/>
      <c r="V63" s="24"/>
      <c r="W63" s="24"/>
      <c r="X63" s="24"/>
      <c r="Y63" s="24"/>
      <c r="Z63" s="24"/>
      <c r="AA63" s="24"/>
      <c r="AB63" s="24"/>
      <c r="AC63" s="24"/>
    </row>
    <row r="64" spans="1:29" ht="108.7">
      <c r="A64" s="26" t="s">
        <v>3424</v>
      </c>
      <c r="B64" s="26" t="s">
        <v>3425</v>
      </c>
      <c r="C64" s="26" t="s">
        <v>3426</v>
      </c>
      <c r="D64" s="144" t="s">
        <v>4056</v>
      </c>
      <c r="E64" s="25" t="s">
        <v>4057</v>
      </c>
      <c r="F64" s="25" t="s">
        <v>4058</v>
      </c>
      <c r="G64" s="57" t="str">
        <f>HYPERLINK("https://www.acquisition.gov/sites/default/files/current/far/html/Subpart%2032_8.html#wp1029241","FAR 32.805 Procedure [assignment of claims]")</f>
        <v>FAR 32.805 Procedure [assignment of claims]</v>
      </c>
      <c r="H64" s="57" t="str">
        <f t="shared" si="13"/>
        <v>GSAR 532.805</v>
      </c>
      <c r="I64" s="34"/>
      <c r="J64" s="37" t="s">
        <v>463</v>
      </c>
      <c r="K64" s="37" t="s">
        <v>4060</v>
      </c>
      <c r="L64" s="25" t="s">
        <v>4062</v>
      </c>
      <c r="M64" s="25" t="s">
        <v>4063</v>
      </c>
      <c r="N64" s="25" t="s">
        <v>4064</v>
      </c>
      <c r="O64" s="64"/>
      <c r="P64" s="45" t="b">
        <f t="shared" si="3"/>
        <v>0</v>
      </c>
      <c r="Q64" s="45">
        <f t="shared" si="4"/>
        <v>0</v>
      </c>
      <c r="R64" s="45">
        <f t="shared" si="5"/>
        <v>0</v>
      </c>
      <c r="S64" s="24"/>
      <c r="T64" s="24"/>
      <c r="U64" s="24"/>
      <c r="V64" s="24"/>
      <c r="W64" s="24"/>
      <c r="X64" s="24"/>
      <c r="Y64" s="24"/>
      <c r="Z64" s="24"/>
      <c r="AA64" s="24"/>
      <c r="AB64" s="24"/>
      <c r="AC64" s="24"/>
    </row>
    <row r="65" spans="1:29" ht="108.7">
      <c r="A65" s="26" t="s">
        <v>3424</v>
      </c>
      <c r="B65" s="26" t="s">
        <v>3425</v>
      </c>
      <c r="C65" s="26" t="s">
        <v>3426</v>
      </c>
      <c r="D65" s="144" t="s">
        <v>4067</v>
      </c>
      <c r="E65" s="25" t="s">
        <v>4068</v>
      </c>
      <c r="F65" s="25" t="s">
        <v>4069</v>
      </c>
      <c r="G65" s="57" t="str">
        <f>HYPERLINK("https://www.acquisition.gov/content/part-32-contract-financing#i1081453","FAR 32.802 Conditions [assignment of claims]. FAR 32.805 Procedure [assignment of claims]. ")</f>
        <v xml:space="preserve">FAR 32.802 Conditions [assignment of claims]. FAR 32.805 Procedure [assignment of claims]. </v>
      </c>
      <c r="H65" s="57" t="str">
        <f t="shared" si="13"/>
        <v>GSAR 532.805</v>
      </c>
      <c r="I65" s="34"/>
      <c r="J65" s="37" t="s">
        <v>463</v>
      </c>
      <c r="K65" s="37" t="s">
        <v>4071</v>
      </c>
      <c r="L65" s="25" t="s">
        <v>4073</v>
      </c>
      <c r="M65" s="25" t="s">
        <v>4075</v>
      </c>
      <c r="N65" s="25" t="s">
        <v>4076</v>
      </c>
      <c r="O65" s="64"/>
      <c r="P65" s="45" t="b">
        <f t="shared" si="3"/>
        <v>0</v>
      </c>
      <c r="Q65" s="45">
        <f t="shared" si="4"/>
        <v>0</v>
      </c>
      <c r="R65" s="45">
        <f t="shared" si="5"/>
        <v>0</v>
      </c>
      <c r="S65" s="24"/>
      <c r="T65" s="24"/>
      <c r="U65" s="24"/>
      <c r="V65" s="24"/>
      <c r="W65" s="24"/>
      <c r="X65" s="24"/>
      <c r="Y65" s="24"/>
      <c r="Z65" s="24"/>
      <c r="AA65" s="24"/>
      <c r="AB65" s="24"/>
      <c r="AC65" s="24"/>
    </row>
    <row r="66" spans="1:29" ht="130.44999999999999">
      <c r="A66" s="26" t="s">
        <v>3424</v>
      </c>
      <c r="B66" s="26" t="s">
        <v>3425</v>
      </c>
      <c r="C66" s="26" t="s">
        <v>3426</v>
      </c>
      <c r="D66" s="26" t="s">
        <v>4079</v>
      </c>
      <c r="E66" s="25" t="s">
        <v>4080</v>
      </c>
      <c r="F66" s="25" t="s">
        <v>4081</v>
      </c>
      <c r="G66" s="86" t="e">
        <f>HYPERLINK("https://www.acquisition.gov/browse/index/far","FAR 32.001 Commercial interim payment [definitions]. FAR 32.001 Contract financing payment [definitions]. FAR 32.007 Contract financing payments. FAR 32.202-1(b) Authorization [policy]. FAR 32.202-1(c) Difference from noncommercial financing [policy]. FAR"&amp;" 32.202-2 Types of payments for commercial item purchases. FAR 32.207 Administration and payment of commercial financing payments.")</f>
        <v>#VALUE!</v>
      </c>
      <c r="H66" s="54"/>
      <c r="I66" s="34"/>
      <c r="J66" s="37" t="s">
        <v>463</v>
      </c>
      <c r="K66" s="37" t="s">
        <v>4090</v>
      </c>
      <c r="L66" s="25" t="s">
        <v>4091</v>
      </c>
      <c r="M66" s="25" t="s">
        <v>4092</v>
      </c>
      <c r="N66" s="25" t="s">
        <v>4093</v>
      </c>
      <c r="O66" s="64"/>
      <c r="P66" s="45" t="b">
        <f t="shared" si="3"/>
        <v>0</v>
      </c>
      <c r="Q66" s="45">
        <f t="shared" si="4"/>
        <v>0</v>
      </c>
      <c r="R66" s="45">
        <f t="shared" si="5"/>
        <v>0</v>
      </c>
      <c r="S66" s="24"/>
      <c r="T66" s="24"/>
      <c r="U66" s="24"/>
      <c r="V66" s="24"/>
      <c r="W66" s="24"/>
      <c r="X66" s="24"/>
      <c r="Y66" s="24"/>
      <c r="Z66" s="24"/>
      <c r="AA66" s="24"/>
      <c r="AB66" s="24"/>
      <c r="AC66" s="24"/>
    </row>
    <row r="67" spans="1:29" ht="152.15">
      <c r="A67" s="26" t="s">
        <v>3424</v>
      </c>
      <c r="B67" s="26" t="s">
        <v>3425</v>
      </c>
      <c r="C67" s="26" t="s">
        <v>3426</v>
      </c>
      <c r="D67" s="26" t="s">
        <v>4096</v>
      </c>
      <c r="E67" s="25" t="s">
        <v>4098</v>
      </c>
      <c r="F67" s="25" t="s">
        <v>4099</v>
      </c>
      <c r="G67" s="86" t="str">
        <f>HYPERLINK("https://www.acquisition.gov/content/part-32-contract-financing#id1617MD0E0A4","FAR 32.007(c) Contract financing payments. ")</f>
        <v xml:space="preserve">FAR 32.007(c) Contract financing payments. </v>
      </c>
      <c r="H67" s="54"/>
      <c r="I67" s="34"/>
      <c r="J67" s="37" t="s">
        <v>463</v>
      </c>
      <c r="K67" s="37" t="s">
        <v>4102</v>
      </c>
      <c r="L67" s="25" t="s">
        <v>4103</v>
      </c>
      <c r="M67" s="25" t="s">
        <v>4104</v>
      </c>
      <c r="N67" s="25" t="s">
        <v>4105</v>
      </c>
      <c r="O67" s="64"/>
      <c r="P67" s="45" t="b">
        <f t="shared" si="3"/>
        <v>0</v>
      </c>
      <c r="Q67" s="45">
        <f t="shared" si="4"/>
        <v>0</v>
      </c>
      <c r="R67" s="45">
        <f t="shared" si="5"/>
        <v>0</v>
      </c>
      <c r="S67" s="24"/>
      <c r="T67" s="24"/>
      <c r="U67" s="24"/>
      <c r="V67" s="24"/>
      <c r="W67" s="24"/>
      <c r="X67" s="24"/>
      <c r="Y67" s="24"/>
      <c r="Z67" s="24"/>
      <c r="AA67" s="24"/>
      <c r="AB67" s="24"/>
      <c r="AC67" s="24"/>
    </row>
    <row r="68" spans="1:29" ht="130.44999999999999">
      <c r="A68" s="26" t="s">
        <v>3424</v>
      </c>
      <c r="B68" s="26" t="s">
        <v>3425</v>
      </c>
      <c r="C68" s="26" t="s">
        <v>3426</v>
      </c>
      <c r="D68" s="26" t="s">
        <v>4111</v>
      </c>
      <c r="E68" s="25" t="s">
        <v>4112</v>
      </c>
      <c r="F68" s="25" t="s">
        <v>4113</v>
      </c>
      <c r="G68" s="86" t="str">
        <f>HYPERLINK("https://www.acquisition.gov/content/part-32-contract-financing#id1617MD0E0Z5","FAR 32.202-1(b) Authorization [policy]. ")</f>
        <v xml:space="preserve">FAR 32.202-1(b) Authorization [policy]. </v>
      </c>
      <c r="H68" s="54"/>
      <c r="I68" s="34"/>
      <c r="J68" s="37" t="s">
        <v>463</v>
      </c>
      <c r="K68" s="37" t="s">
        <v>4116</v>
      </c>
      <c r="L68" s="25" t="s">
        <v>4117</v>
      </c>
      <c r="M68" s="25" t="s">
        <v>4092</v>
      </c>
      <c r="N68" s="25" t="s">
        <v>4093</v>
      </c>
      <c r="O68" s="64"/>
      <c r="P68" s="45" t="b">
        <f t="shared" si="3"/>
        <v>0</v>
      </c>
      <c r="Q68" s="45">
        <f t="shared" si="4"/>
        <v>0</v>
      </c>
      <c r="R68" s="45">
        <f t="shared" si="5"/>
        <v>0</v>
      </c>
      <c r="S68" s="24"/>
      <c r="T68" s="24"/>
      <c r="U68" s="24"/>
      <c r="V68" s="24"/>
      <c r="W68" s="24"/>
      <c r="X68" s="24"/>
      <c r="Y68" s="24"/>
      <c r="Z68" s="24"/>
      <c r="AA68" s="24"/>
      <c r="AB68" s="24"/>
      <c r="AC68" s="24"/>
    </row>
    <row r="69" spans="1:29" ht="108.7">
      <c r="A69" s="26" t="s">
        <v>3424</v>
      </c>
      <c r="B69" s="26" t="s">
        <v>3425</v>
      </c>
      <c r="C69" s="26" t="s">
        <v>3426</v>
      </c>
      <c r="D69" s="26" t="s">
        <v>4122</v>
      </c>
      <c r="E69" s="25" t="s">
        <v>4123</v>
      </c>
      <c r="F69" s="25" t="s">
        <v>4124</v>
      </c>
      <c r="G69" s="86" t="e">
        <f>HYPERLINK("https://www.acquisition.gov/content/part-32-contract-financing","FAR 32.001 Designated payment office [definitions]. FAR 32.001 Designated payment office [definitions]. FAR 32.007 Contract financing payments. FAR 32.206(d) Instructions for multiple appropriations [solicitation provisions and contract clauses]. FAR 32.2"&amp;"07(b) Approval [administration and payment of commercial financing payments].")</f>
        <v>#VALUE!</v>
      </c>
      <c r="H69" s="54"/>
      <c r="I69" s="34"/>
      <c r="J69" s="37" t="s">
        <v>463</v>
      </c>
      <c r="K69" s="37" t="s">
        <v>4132</v>
      </c>
      <c r="L69" s="25" t="s">
        <v>4133</v>
      </c>
      <c r="M69" s="25" t="s">
        <v>4134</v>
      </c>
      <c r="N69" s="25" t="s">
        <v>4135</v>
      </c>
      <c r="O69" s="64"/>
      <c r="P69" s="45" t="b">
        <f t="shared" si="3"/>
        <v>0</v>
      </c>
      <c r="Q69" s="45">
        <f t="shared" si="4"/>
        <v>0</v>
      </c>
      <c r="R69" s="45">
        <f t="shared" si="5"/>
        <v>0</v>
      </c>
      <c r="S69" s="24"/>
      <c r="T69" s="24"/>
      <c r="U69" s="24"/>
      <c r="V69" s="24"/>
      <c r="W69" s="24"/>
      <c r="X69" s="24"/>
      <c r="Y69" s="24"/>
      <c r="Z69" s="24"/>
      <c r="AA69" s="24"/>
      <c r="AB69" s="24"/>
      <c r="AC69" s="24"/>
    </row>
    <row r="70" spans="1:29" ht="130.44999999999999">
      <c r="A70" s="26" t="s">
        <v>3424</v>
      </c>
      <c r="B70" s="26" t="s">
        <v>3425</v>
      </c>
      <c r="C70" s="26" t="s">
        <v>3426</v>
      </c>
      <c r="D70" s="26" t="s">
        <v>4139</v>
      </c>
      <c r="E70" s="25" t="s">
        <v>4140</v>
      </c>
      <c r="F70" s="25" t="s">
        <v>4141</v>
      </c>
      <c r="G70" s="86" t="str">
        <f>HYPERLINK("https://www.acquisition.gov/content/part-32-contract-financing#id1617MD0E0A4","FAR 32.007 Contract financing payments. ")</f>
        <v xml:space="preserve">FAR 32.007 Contract financing payments. </v>
      </c>
      <c r="H70" s="54"/>
      <c r="I70" s="34"/>
      <c r="J70" s="37" t="s">
        <v>463</v>
      </c>
      <c r="K70" s="37" t="s">
        <v>4147</v>
      </c>
      <c r="L70" s="25" t="s">
        <v>4148</v>
      </c>
      <c r="M70" s="25" t="s">
        <v>4149</v>
      </c>
      <c r="N70" s="25" t="s">
        <v>4150</v>
      </c>
      <c r="O70" s="64"/>
      <c r="P70" s="45" t="b">
        <f t="shared" si="3"/>
        <v>0</v>
      </c>
      <c r="Q70" s="45">
        <f t="shared" si="4"/>
        <v>0</v>
      </c>
      <c r="R70" s="45">
        <f t="shared" si="5"/>
        <v>0</v>
      </c>
      <c r="S70" s="24"/>
      <c r="T70" s="24"/>
      <c r="U70" s="24"/>
      <c r="V70" s="24"/>
      <c r="W70" s="24"/>
      <c r="X70" s="24"/>
      <c r="Y70" s="24"/>
      <c r="Z70" s="24"/>
      <c r="AA70" s="24"/>
      <c r="AB70" s="24"/>
      <c r="AC70" s="24"/>
    </row>
    <row r="71" spans="1:29" ht="130.44999999999999">
      <c r="A71" s="26" t="s">
        <v>3424</v>
      </c>
      <c r="B71" s="26" t="s">
        <v>3425</v>
      </c>
      <c r="C71" s="26" t="s">
        <v>3426</v>
      </c>
      <c r="D71" s="26" t="s">
        <v>4154</v>
      </c>
      <c r="E71" s="25" t="s">
        <v>4155</v>
      </c>
      <c r="F71" s="25" t="s">
        <v>4156</v>
      </c>
      <c r="G71" s="86" t="str">
        <f>HYPERLINK("https://www.acquisition.gov/content/part-32-contract-financing","FAR 32.202-4 Security for government financing [commercial item purchase financing]. FAR 32.207(c) Management of security [administration and payment of commercial financing payments]. ")</f>
        <v xml:space="preserve">FAR 32.202-4 Security for government financing [commercial item purchase financing]. FAR 32.207(c) Management of security [administration and payment of commercial financing payments]. </v>
      </c>
      <c r="H71" s="54"/>
      <c r="I71" s="34"/>
      <c r="J71" s="37" t="s">
        <v>463</v>
      </c>
      <c r="K71" s="37" t="s">
        <v>4161</v>
      </c>
      <c r="L71" s="25" t="s">
        <v>4163</v>
      </c>
      <c r="M71" s="25" t="s">
        <v>4165</v>
      </c>
      <c r="N71" s="25" t="s">
        <v>4166</v>
      </c>
      <c r="O71" s="64"/>
      <c r="P71" s="45" t="b">
        <f t="shared" si="3"/>
        <v>0</v>
      </c>
      <c r="Q71" s="45">
        <f t="shared" si="4"/>
        <v>0</v>
      </c>
      <c r="R71" s="45">
        <f t="shared" si="5"/>
        <v>0</v>
      </c>
      <c r="S71" s="24"/>
      <c r="T71" s="24"/>
      <c r="U71" s="24"/>
      <c r="V71" s="24"/>
      <c r="W71" s="24"/>
      <c r="X71" s="24"/>
      <c r="Y71" s="24"/>
      <c r="Z71" s="24"/>
      <c r="AA71" s="24"/>
      <c r="AB71" s="24"/>
      <c r="AC71" s="24"/>
    </row>
    <row r="72" spans="1:29" ht="173.9">
      <c r="A72" s="26" t="s">
        <v>3424</v>
      </c>
      <c r="B72" s="26" t="s">
        <v>3425</v>
      </c>
      <c r="C72" s="26" t="s">
        <v>3426</v>
      </c>
      <c r="D72" s="26" t="s">
        <v>4167</v>
      </c>
      <c r="E72" s="25" t="s">
        <v>4168</v>
      </c>
      <c r="F72" s="25" t="s">
        <v>4169</v>
      </c>
      <c r="G72" s="86" t="str">
        <f>HYPERLINK("https://www.acquisition.gov/content/part-32-contract-financing#i1083181","FAR 32.202-4 Security for government financing [commercial item purchase financing]. ")</f>
        <v xml:space="preserve">FAR 32.202-4 Security for government financing [commercial item purchase financing]. </v>
      </c>
      <c r="H72" s="54"/>
      <c r="I72" s="34"/>
      <c r="J72" s="37" t="s">
        <v>463</v>
      </c>
      <c r="K72" s="37" t="s">
        <v>4172</v>
      </c>
      <c r="L72" s="25" t="s">
        <v>4173</v>
      </c>
      <c r="M72" s="25" t="s">
        <v>4174</v>
      </c>
      <c r="N72" s="25" t="s">
        <v>4176</v>
      </c>
      <c r="O72" s="64"/>
      <c r="P72" s="45" t="b">
        <f t="shared" si="3"/>
        <v>0</v>
      </c>
      <c r="Q72" s="45">
        <f t="shared" si="4"/>
        <v>0</v>
      </c>
      <c r="R72" s="45">
        <f t="shared" si="5"/>
        <v>0</v>
      </c>
      <c r="S72" s="24"/>
      <c r="T72" s="24"/>
      <c r="U72" s="24"/>
      <c r="V72" s="24"/>
      <c r="W72" s="24"/>
      <c r="X72" s="24"/>
      <c r="Y72" s="24"/>
      <c r="Z72" s="24"/>
      <c r="AA72" s="24"/>
      <c r="AB72" s="24"/>
      <c r="AC72" s="24"/>
    </row>
    <row r="73" spans="1:29" ht="141.30000000000001">
      <c r="A73" s="26" t="s">
        <v>3424</v>
      </c>
      <c r="B73" s="26" t="s">
        <v>3425</v>
      </c>
      <c r="C73" s="26" t="s">
        <v>3426</v>
      </c>
      <c r="D73" s="26" t="s">
        <v>4180</v>
      </c>
      <c r="E73" s="25" t="s">
        <v>4182</v>
      </c>
      <c r="F73" s="25" t="s">
        <v>4183</v>
      </c>
      <c r="G73" s="86" t="str">
        <f>HYPERLINK("https://www.acquisition.gov/content/part-32-contract-financing","FAR 32.005 Consideration for contract financing. FAR 32.104 Providing contract financing.")</f>
        <v>FAR 32.005 Consideration for contract financing. FAR 32.104 Providing contract financing.</v>
      </c>
      <c r="H73" s="54"/>
      <c r="I73" s="34"/>
      <c r="J73" s="37" t="s">
        <v>463</v>
      </c>
      <c r="K73" s="37" t="s">
        <v>4187</v>
      </c>
      <c r="L73" s="25" t="s">
        <v>4188</v>
      </c>
      <c r="M73" s="25" t="s">
        <v>4189</v>
      </c>
      <c r="N73" s="25" t="s">
        <v>4190</v>
      </c>
      <c r="O73" s="64"/>
      <c r="P73" s="45" t="b">
        <f t="shared" si="3"/>
        <v>0</v>
      </c>
      <c r="Q73" s="45">
        <f t="shared" si="4"/>
        <v>0</v>
      </c>
      <c r="R73" s="45">
        <f t="shared" si="5"/>
        <v>0</v>
      </c>
      <c r="S73" s="24"/>
      <c r="T73" s="24"/>
      <c r="U73" s="24"/>
      <c r="V73" s="24"/>
      <c r="W73" s="24"/>
      <c r="X73" s="24"/>
      <c r="Y73" s="24"/>
      <c r="Z73" s="24"/>
      <c r="AA73" s="24"/>
      <c r="AB73" s="24"/>
      <c r="AC73" s="24"/>
    </row>
    <row r="74" spans="1:29" ht="173.9">
      <c r="A74" s="26" t="s">
        <v>3424</v>
      </c>
      <c r="B74" s="26" t="s">
        <v>3425</v>
      </c>
      <c r="C74" s="26" t="s">
        <v>3426</v>
      </c>
      <c r="D74" s="26" t="s">
        <v>4194</v>
      </c>
      <c r="E74" s="25" t="s">
        <v>4195</v>
      </c>
      <c r="F74" s="25" t="s">
        <v>4196</v>
      </c>
      <c r="G74" s="86" t="str">
        <f>HYPERLINK("https://www.acquisition.gov/content/part-32-contract-financing#id1617MD0F0HO","FAR 32.503-2 Supervision of progress payments. ")</f>
        <v xml:space="preserve">FAR 32.503-2 Supervision of progress payments. </v>
      </c>
      <c r="H74" s="54"/>
      <c r="I74" s="34" t="s">
        <v>3433</v>
      </c>
      <c r="J74" s="37" t="s">
        <v>1566</v>
      </c>
      <c r="K74" s="37" t="s">
        <v>4198</v>
      </c>
      <c r="L74" s="25" t="s">
        <v>4199</v>
      </c>
      <c r="M74" s="25" t="s">
        <v>4200</v>
      </c>
      <c r="N74" s="25" t="s">
        <v>4201</v>
      </c>
      <c r="O74" s="64"/>
      <c r="P74" s="45" t="b">
        <f t="shared" si="3"/>
        <v>0</v>
      </c>
      <c r="Q74" s="45">
        <f t="shared" si="4"/>
        <v>3</v>
      </c>
      <c r="R74" s="45">
        <f t="shared" si="5"/>
        <v>0</v>
      </c>
      <c r="S74" s="24"/>
      <c r="T74" s="24"/>
      <c r="U74" s="24"/>
      <c r="V74" s="24"/>
      <c r="W74" s="24"/>
      <c r="X74" s="24"/>
      <c r="Y74" s="24"/>
      <c r="Z74" s="24"/>
      <c r="AA74" s="24"/>
      <c r="AB74" s="24"/>
      <c r="AC74" s="24"/>
    </row>
    <row r="75" spans="1:29" ht="141.30000000000001">
      <c r="A75" s="26" t="s">
        <v>3424</v>
      </c>
      <c r="B75" s="26" t="s">
        <v>3425</v>
      </c>
      <c r="C75" s="26" t="s">
        <v>3426</v>
      </c>
      <c r="D75" s="26" t="s">
        <v>4206</v>
      </c>
      <c r="E75" s="25" t="s">
        <v>4207</v>
      </c>
      <c r="F75" s="25" t="s">
        <v>4209</v>
      </c>
      <c r="G75" s="86" t="str">
        <f>HYPERLINK("https://www.acquisition.gov/content/part-32-contract-financing#i1082201","FAR 32.503-3 Initiation of progress payments and review of accounting system. ")</f>
        <v xml:space="preserve">FAR 32.503-3 Initiation of progress payments and review of accounting system. </v>
      </c>
      <c r="H75" s="54"/>
      <c r="I75" s="34" t="s">
        <v>4213</v>
      </c>
      <c r="J75" s="37" t="s">
        <v>1566</v>
      </c>
      <c r="K75" s="37" t="s">
        <v>4217</v>
      </c>
      <c r="L75" s="25" t="s">
        <v>4218</v>
      </c>
      <c r="M75" s="25" t="s">
        <v>4219</v>
      </c>
      <c r="N75" s="25" t="s">
        <v>4220</v>
      </c>
      <c r="O75" s="64"/>
      <c r="P75" s="45" t="b">
        <f t="shared" si="3"/>
        <v>0</v>
      </c>
      <c r="Q75" s="45">
        <f t="shared" si="4"/>
        <v>3</v>
      </c>
      <c r="R75" s="45">
        <f t="shared" si="5"/>
        <v>0</v>
      </c>
      <c r="S75" s="24"/>
      <c r="T75" s="24"/>
      <c r="U75" s="24"/>
      <c r="V75" s="24"/>
      <c r="W75" s="24"/>
      <c r="X75" s="24"/>
      <c r="Y75" s="24"/>
      <c r="Z75" s="24"/>
      <c r="AA75" s="24"/>
      <c r="AB75" s="24"/>
      <c r="AC75" s="24"/>
    </row>
    <row r="76" spans="1:29" ht="108.7">
      <c r="A76" s="26" t="s">
        <v>3424</v>
      </c>
      <c r="B76" s="26" t="s">
        <v>3425</v>
      </c>
      <c r="C76" s="26" t="s">
        <v>3426</v>
      </c>
      <c r="D76" s="26" t="s">
        <v>4222</v>
      </c>
      <c r="E76" s="25" t="s">
        <v>4223</v>
      </c>
      <c r="F76" s="25" t="s">
        <v>4224</v>
      </c>
      <c r="G76" s="86" t="str">
        <f>HYPERLINK("https://www.acquisition.gov/content/part-32-contract-financing#id1617MD0F0KI","FAR 32.503-4 Approval of progress payment requests")</f>
        <v>FAR 32.503-4 Approval of progress payment requests</v>
      </c>
      <c r="H76" s="54"/>
      <c r="I76" s="34" t="s">
        <v>4228</v>
      </c>
      <c r="J76" s="37" t="s">
        <v>1566</v>
      </c>
      <c r="K76" s="37" t="s">
        <v>4229</v>
      </c>
      <c r="L76" s="25" t="s">
        <v>4230</v>
      </c>
      <c r="M76" s="25" t="s">
        <v>4231</v>
      </c>
      <c r="N76" s="79" t="s">
        <v>4220</v>
      </c>
      <c r="O76" s="64"/>
      <c r="P76" s="45" t="b">
        <f t="shared" si="3"/>
        <v>0</v>
      </c>
      <c r="Q76" s="45">
        <f t="shared" si="4"/>
        <v>3</v>
      </c>
      <c r="R76" s="45">
        <f t="shared" si="5"/>
        <v>0</v>
      </c>
      <c r="S76" s="24"/>
      <c r="T76" s="24"/>
      <c r="U76" s="24"/>
      <c r="V76" s="24"/>
      <c r="W76" s="24"/>
      <c r="X76" s="24"/>
      <c r="Y76" s="24"/>
      <c r="Z76" s="24"/>
      <c r="AA76" s="24"/>
      <c r="AB76" s="24"/>
      <c r="AC76" s="24"/>
    </row>
    <row r="77" spans="1:29" ht="119.55">
      <c r="A77" s="26" t="s">
        <v>3424</v>
      </c>
      <c r="B77" s="26" t="s">
        <v>3425</v>
      </c>
      <c r="C77" s="26" t="s">
        <v>3426</v>
      </c>
      <c r="D77" s="26" t="s">
        <v>4236</v>
      </c>
      <c r="E77" s="25" t="s">
        <v>4237</v>
      </c>
      <c r="F77" s="25" t="s">
        <v>4238</v>
      </c>
      <c r="G77" s="86" t="str">
        <f>HYPERLINK("https://www.acquisition.gov/content/part-32-contract-financing#id1617MD0F0S7","FAR 32.503-5 Administration of progress payments.")</f>
        <v>FAR 32.503-5 Administration of progress payments.</v>
      </c>
      <c r="H77" s="131"/>
      <c r="I77" s="34" t="s">
        <v>3433</v>
      </c>
      <c r="J77" s="37" t="s">
        <v>1566</v>
      </c>
      <c r="K77" s="37" t="s">
        <v>4239</v>
      </c>
      <c r="L77" s="25" t="s">
        <v>4241</v>
      </c>
      <c r="M77" s="25" t="s">
        <v>4242</v>
      </c>
      <c r="N77" s="25" t="s">
        <v>4243</v>
      </c>
      <c r="O77" s="64"/>
      <c r="P77" s="45" t="b">
        <f t="shared" si="3"/>
        <v>0</v>
      </c>
      <c r="Q77" s="45">
        <f t="shared" si="4"/>
        <v>3</v>
      </c>
      <c r="R77" s="45">
        <f t="shared" si="5"/>
        <v>0</v>
      </c>
      <c r="S77" s="24"/>
      <c r="T77" s="24"/>
      <c r="U77" s="24"/>
      <c r="V77" s="24"/>
      <c r="W77" s="24"/>
      <c r="X77" s="24"/>
      <c r="Y77" s="24"/>
      <c r="Z77" s="24"/>
      <c r="AA77" s="24"/>
      <c r="AB77" s="24"/>
      <c r="AC77" s="24"/>
    </row>
    <row r="78" spans="1:29" ht="195.65">
      <c r="A78" s="26" t="s">
        <v>3424</v>
      </c>
      <c r="B78" s="26" t="s">
        <v>3425</v>
      </c>
      <c r="C78" s="26" t="s">
        <v>3426</v>
      </c>
      <c r="D78" s="26" t="s">
        <v>4249</v>
      </c>
      <c r="E78" s="25" t="s">
        <v>4251</v>
      </c>
      <c r="F78" s="25" t="s">
        <v>2758</v>
      </c>
      <c r="G78" s="86" t="str">
        <f>HYPERLINK("https://www.acquisition.gov/content/part-32-contract-financing#id1617MD0F0R0","FAR 32.503-14 Protection of government title [progress payments based on costs]. ")</f>
        <v xml:space="preserve">FAR 32.503-14 Protection of government title [progress payments based on costs]. </v>
      </c>
      <c r="H78" s="54"/>
      <c r="I78" s="34"/>
      <c r="J78" s="37" t="s">
        <v>463</v>
      </c>
      <c r="K78" s="37" t="s">
        <v>4256</v>
      </c>
      <c r="L78" s="25" t="s">
        <v>4257</v>
      </c>
      <c r="M78" s="25" t="s">
        <v>4258</v>
      </c>
      <c r="N78" s="25" t="s">
        <v>4259</v>
      </c>
      <c r="O78" s="64"/>
      <c r="P78" s="45" t="b">
        <f t="shared" si="3"/>
        <v>0</v>
      </c>
      <c r="Q78" s="45">
        <f t="shared" si="4"/>
        <v>0</v>
      </c>
      <c r="R78" s="45">
        <f t="shared" si="5"/>
        <v>0</v>
      </c>
      <c r="S78" s="24"/>
      <c r="T78" s="24"/>
      <c r="U78" s="24"/>
      <c r="V78" s="24"/>
      <c r="W78" s="24"/>
      <c r="X78" s="24"/>
      <c r="Y78" s="24"/>
      <c r="Z78" s="24"/>
      <c r="AA78" s="24"/>
      <c r="AB78" s="24"/>
      <c r="AC78" s="24"/>
    </row>
    <row r="79" spans="1:29" ht="152.15">
      <c r="A79" s="26" t="s">
        <v>3424</v>
      </c>
      <c r="B79" s="26" t="s">
        <v>3425</v>
      </c>
      <c r="C79" s="26" t="s">
        <v>3426</v>
      </c>
      <c r="D79" s="26" t="s">
        <v>4265</v>
      </c>
      <c r="E79" s="25" t="s">
        <v>4266</v>
      </c>
      <c r="F79" s="25" t="s">
        <v>4267</v>
      </c>
      <c r="G79" s="86" t="str">
        <f>HYPERLINK("https://www.acquisition.gov/content/part-32-contract-financing#i1082368","FAR 32.503-8 Liquidation rates— ordinary method [progress payments based on costs].")</f>
        <v>FAR 32.503-8 Liquidation rates— ordinary method [progress payments based on costs].</v>
      </c>
      <c r="H79" s="54"/>
      <c r="I79" s="34"/>
      <c r="J79" s="37" t="s">
        <v>463</v>
      </c>
      <c r="K79" s="37" t="s">
        <v>4271</v>
      </c>
      <c r="L79" s="25" t="s">
        <v>4272</v>
      </c>
      <c r="M79" s="25" t="s">
        <v>4273</v>
      </c>
      <c r="N79" s="25" t="s">
        <v>4274</v>
      </c>
      <c r="O79" s="64"/>
      <c r="P79" s="45" t="b">
        <f t="shared" si="3"/>
        <v>0</v>
      </c>
      <c r="Q79" s="45">
        <f t="shared" si="4"/>
        <v>0</v>
      </c>
      <c r="R79" s="45">
        <f t="shared" si="5"/>
        <v>0</v>
      </c>
      <c r="S79" s="24"/>
      <c r="T79" s="24"/>
      <c r="U79" s="24"/>
      <c r="V79" s="24"/>
      <c r="W79" s="24"/>
      <c r="X79" s="24"/>
      <c r="Y79" s="24"/>
      <c r="Z79" s="24"/>
      <c r="AA79" s="24"/>
      <c r="AB79" s="24"/>
      <c r="AC79" s="24"/>
    </row>
    <row r="80" spans="1:29" ht="304.3">
      <c r="A80" s="26" t="s">
        <v>3424</v>
      </c>
      <c r="B80" s="26" t="s">
        <v>3425</v>
      </c>
      <c r="C80" s="26" t="s">
        <v>3426</v>
      </c>
      <c r="D80" s="26" t="s">
        <v>4279</v>
      </c>
      <c r="E80" s="25" t="s">
        <v>4280</v>
      </c>
      <c r="F80" s="25" t="s">
        <v>2758</v>
      </c>
      <c r="G80" s="86" t="str">
        <f>HYPERLINK("https://www.acquisition.gov/content/part-32-contract-financing#i1082229","FAR 32.503-6 Suspension or reduction of payments [progress payments based on costs]. ")</f>
        <v xml:space="preserve">FAR 32.503-6 Suspension or reduction of payments [progress payments based on costs]. </v>
      </c>
      <c r="H80" s="145" t="str">
        <f>HYPERLINK("https://www.acquisition.gov/sites/default/files/current/gsam/html/Part532.html#wp1861722","GSAR 532.503-6")</f>
        <v>GSAR 532.503-6</v>
      </c>
      <c r="I80" s="34"/>
      <c r="J80" s="37" t="s">
        <v>463</v>
      </c>
      <c r="K80" s="37" t="s">
        <v>4291</v>
      </c>
      <c r="L80" s="25" t="s">
        <v>4294</v>
      </c>
      <c r="M80" s="25" t="s">
        <v>4296</v>
      </c>
      <c r="N80" s="146" t="s">
        <v>4298</v>
      </c>
      <c r="O80" s="64"/>
      <c r="P80" s="45" t="b">
        <f t="shared" si="3"/>
        <v>0</v>
      </c>
      <c r="Q80" s="45">
        <f t="shared" si="4"/>
        <v>0</v>
      </c>
      <c r="R80" s="45">
        <f t="shared" si="5"/>
        <v>0</v>
      </c>
      <c r="S80" s="24"/>
      <c r="T80" s="24"/>
      <c r="U80" s="24"/>
      <c r="V80" s="24"/>
      <c r="W80" s="24"/>
      <c r="X80" s="24"/>
      <c r="Y80" s="24"/>
      <c r="Z80" s="24"/>
      <c r="AA80" s="24"/>
      <c r="AB80" s="24"/>
      <c r="AC80" s="24"/>
    </row>
    <row r="81" spans="1:29" ht="108.7">
      <c r="A81" s="26" t="s">
        <v>3424</v>
      </c>
      <c r="B81" s="26" t="s">
        <v>3425</v>
      </c>
      <c r="C81" s="26" t="s">
        <v>3426</v>
      </c>
      <c r="D81" s="26" t="s">
        <v>4305</v>
      </c>
      <c r="E81" s="25" t="s">
        <v>4306</v>
      </c>
      <c r="F81" s="25" t="s">
        <v>4308</v>
      </c>
      <c r="G81" s="85" t="s">
        <v>2759</v>
      </c>
      <c r="H81" s="54"/>
      <c r="I81" s="34" t="s">
        <v>4309</v>
      </c>
      <c r="J81" s="37" t="s">
        <v>1566</v>
      </c>
      <c r="K81" s="37" t="s">
        <v>4310</v>
      </c>
      <c r="L81" s="25" t="s">
        <v>4311</v>
      </c>
      <c r="M81" s="25" t="s">
        <v>4311</v>
      </c>
      <c r="N81" s="25" t="s">
        <v>4311</v>
      </c>
      <c r="O81" s="64"/>
      <c r="P81" s="45" t="b">
        <f t="shared" si="3"/>
        <v>0</v>
      </c>
      <c r="Q81" s="45">
        <f t="shared" si="4"/>
        <v>3</v>
      </c>
      <c r="R81" s="45">
        <f t="shared" si="5"/>
        <v>0</v>
      </c>
      <c r="S81" s="24"/>
      <c r="T81" s="24"/>
      <c r="U81" s="24"/>
      <c r="V81" s="24"/>
      <c r="W81" s="24"/>
      <c r="X81" s="24"/>
      <c r="Y81" s="24"/>
      <c r="Z81" s="24"/>
      <c r="AA81" s="24"/>
      <c r="AB81" s="24"/>
      <c r="AC81" s="24"/>
    </row>
    <row r="82" spans="1:29" ht="304.3">
      <c r="A82" s="26" t="s">
        <v>3424</v>
      </c>
      <c r="B82" s="26" t="s">
        <v>3425</v>
      </c>
      <c r="C82" s="26" t="s">
        <v>3426</v>
      </c>
      <c r="D82" s="26" t="s">
        <v>4314</v>
      </c>
      <c r="E82" s="25" t="s">
        <v>4315</v>
      </c>
      <c r="F82" s="25" t="s">
        <v>2758</v>
      </c>
      <c r="G82" s="86" t="str">
        <f>HYPERLINK("https://www.acquisition.gov/content/part-32-contract-financing#i1082229","FAR 32.503-6 Suspension or reduction of payments [progress payments based on costs]. ")</f>
        <v xml:space="preserve">FAR 32.503-6 Suspension or reduction of payments [progress payments based on costs]. </v>
      </c>
      <c r="H82" s="57" t="str">
        <f>HYPERLINK("https://www.acquisition.gov/sites/default/files/current/gsam/html/Part532.html#wp1861722","GSAR 532.503-6")</f>
        <v>GSAR 532.503-6</v>
      </c>
      <c r="I82" s="34" t="s">
        <v>4309</v>
      </c>
      <c r="J82" s="37" t="s">
        <v>1566</v>
      </c>
      <c r="K82" s="37" t="s">
        <v>4322</v>
      </c>
      <c r="L82" s="25" t="s">
        <v>4323</v>
      </c>
      <c r="M82" s="25" t="s">
        <v>4324</v>
      </c>
      <c r="N82" s="25" t="s">
        <v>4326</v>
      </c>
      <c r="O82" s="64"/>
      <c r="P82" s="45" t="b">
        <f t="shared" si="3"/>
        <v>0</v>
      </c>
      <c r="Q82" s="45">
        <f t="shared" si="4"/>
        <v>3</v>
      </c>
      <c r="R82" s="45">
        <f t="shared" si="5"/>
        <v>0</v>
      </c>
      <c r="S82" s="24"/>
      <c r="T82" s="24"/>
      <c r="U82" s="24"/>
      <c r="V82" s="24"/>
      <c r="W82" s="24"/>
      <c r="X82" s="24"/>
      <c r="Y82" s="24"/>
      <c r="Z82" s="24"/>
      <c r="AA82" s="24"/>
      <c r="AB82" s="24"/>
      <c r="AC82" s="24"/>
    </row>
    <row r="83" spans="1:29" ht="304.3">
      <c r="A83" s="26" t="s">
        <v>3424</v>
      </c>
      <c r="B83" s="26" t="s">
        <v>3425</v>
      </c>
      <c r="C83" s="26" t="s">
        <v>3426</v>
      </c>
      <c r="D83" s="26" t="s">
        <v>4330</v>
      </c>
      <c r="E83" s="25" t="s">
        <v>4331</v>
      </c>
      <c r="F83" s="25" t="s">
        <v>4332</v>
      </c>
      <c r="G83" s="86" t="str">
        <f>HYPERLINK("https://www.acquisition.gov/content/part-32-contract-financing#i1082371","FAR 32.503-9 Liquidation rates— alternate method [progress payments based on costs]. ")</f>
        <v xml:space="preserve">FAR 32.503-9 Liquidation rates— alternate method [progress payments based on costs]. </v>
      </c>
      <c r="H83" s="57" t="str">
        <f>HYPERLINK("https://www.acquisition.gov/sites/default/files/current/gsam/html/Part532.html#wp1858160","GSAR 532.503-9")</f>
        <v>GSAR 532.503-9</v>
      </c>
      <c r="I83" s="34"/>
      <c r="J83" s="37" t="s">
        <v>463</v>
      </c>
      <c r="K83" s="37" t="s">
        <v>4333</v>
      </c>
      <c r="L83" s="25" t="s">
        <v>4323</v>
      </c>
      <c r="M83" s="25" t="s">
        <v>4324</v>
      </c>
      <c r="N83" s="25" t="s">
        <v>4326</v>
      </c>
      <c r="O83" s="64"/>
      <c r="P83" s="45" t="b">
        <f t="shared" si="3"/>
        <v>0</v>
      </c>
      <c r="Q83" s="45">
        <f t="shared" si="4"/>
        <v>0</v>
      </c>
      <c r="R83" s="45">
        <f t="shared" si="5"/>
        <v>0</v>
      </c>
      <c r="S83" s="24"/>
      <c r="T83" s="24"/>
      <c r="U83" s="24"/>
      <c r="V83" s="24"/>
      <c r="W83" s="24"/>
      <c r="X83" s="24"/>
      <c r="Y83" s="24"/>
      <c r="Z83" s="24"/>
      <c r="AA83" s="24"/>
      <c r="AB83" s="24"/>
      <c r="AC83" s="24"/>
    </row>
    <row r="84" spans="1:29" ht="108.7">
      <c r="A84" s="26" t="s">
        <v>3424</v>
      </c>
      <c r="B84" s="26" t="s">
        <v>3425</v>
      </c>
      <c r="C84" s="26" t="s">
        <v>3426</v>
      </c>
      <c r="D84" s="26" t="s">
        <v>4336</v>
      </c>
      <c r="E84" s="25" t="s">
        <v>4337</v>
      </c>
      <c r="F84" s="25" t="s">
        <v>4338</v>
      </c>
      <c r="G84" s="86" t="str">
        <f>HYPERLINK("https://www.acquisition.gov/content/part-32-contract-financing#i1082397","FAR 32.503-10 Establishing alternate liquidation rates [progress payments based on costs].")</f>
        <v>FAR 32.503-10 Establishing alternate liquidation rates [progress payments based on costs].</v>
      </c>
      <c r="H84" s="54"/>
      <c r="I84" s="34"/>
      <c r="J84" s="37" t="s">
        <v>463</v>
      </c>
      <c r="K84" s="37" t="s">
        <v>4340</v>
      </c>
      <c r="L84" s="25" t="s">
        <v>4341</v>
      </c>
      <c r="M84" s="25" t="s">
        <v>4342</v>
      </c>
      <c r="N84" s="25" t="s">
        <v>4343</v>
      </c>
      <c r="O84" s="64"/>
      <c r="P84" s="45" t="b">
        <f t="shared" si="3"/>
        <v>0</v>
      </c>
      <c r="Q84" s="45">
        <f t="shared" si="4"/>
        <v>0</v>
      </c>
      <c r="R84" s="45">
        <f t="shared" si="5"/>
        <v>0</v>
      </c>
      <c r="S84" s="24"/>
      <c r="T84" s="24"/>
      <c r="U84" s="24"/>
      <c r="V84" s="24"/>
      <c r="W84" s="24"/>
      <c r="X84" s="24"/>
      <c r="Y84" s="24"/>
      <c r="Z84" s="24"/>
      <c r="AA84" s="24"/>
      <c r="AB84" s="24"/>
      <c r="AC84" s="24"/>
    </row>
    <row r="85" spans="1:29" ht="206.5">
      <c r="A85" s="26" t="s">
        <v>3424</v>
      </c>
      <c r="B85" s="26" t="s">
        <v>3425</v>
      </c>
      <c r="C85" s="26" t="s">
        <v>3426</v>
      </c>
      <c r="D85" s="26" t="s">
        <v>4344</v>
      </c>
      <c r="E85" s="25" t="s">
        <v>4345</v>
      </c>
      <c r="F85" s="25" t="s">
        <v>4069</v>
      </c>
      <c r="G85" s="86" t="str">
        <f>HYPERLINK("https://www.acquisition.gov/content/part-32-contract-financing#i1082371","FAR 32.503-9 Liquidation rates— alternate method [progress payments based on costs]. ")</f>
        <v xml:space="preserve">FAR 32.503-9 Liquidation rates— alternate method [progress payments based on costs]. </v>
      </c>
      <c r="H85" s="57" t="str">
        <f>HYPERLINK("https://www.acquisition.gov/sites/default/files/current/gsam/html/Part532.html#wp1858160","GSAR 532.503-9")</f>
        <v>GSAR 532.503-9</v>
      </c>
      <c r="I85" s="34" t="s">
        <v>4347</v>
      </c>
      <c r="J85" s="37" t="s">
        <v>1566</v>
      </c>
      <c r="K85" s="37" t="s">
        <v>4348</v>
      </c>
      <c r="L85" s="25" t="s">
        <v>4349</v>
      </c>
      <c r="M85" s="25" t="s">
        <v>4273</v>
      </c>
      <c r="N85" s="25" t="s">
        <v>4274</v>
      </c>
      <c r="O85" s="64"/>
      <c r="P85" s="45" t="b">
        <f t="shared" si="3"/>
        <v>0</v>
      </c>
      <c r="Q85" s="45">
        <f t="shared" si="4"/>
        <v>3</v>
      </c>
      <c r="R85" s="45">
        <f t="shared" si="5"/>
        <v>0</v>
      </c>
      <c r="S85" s="24"/>
      <c r="T85" s="24"/>
      <c r="U85" s="24"/>
      <c r="V85" s="24"/>
      <c r="W85" s="24"/>
      <c r="X85" s="24"/>
      <c r="Y85" s="24"/>
      <c r="Z85" s="24"/>
      <c r="AA85" s="24"/>
      <c r="AB85" s="24"/>
      <c r="AC85" s="24"/>
    </row>
    <row r="86" spans="1:29" ht="108.7">
      <c r="A86" s="26" t="s">
        <v>3424</v>
      </c>
      <c r="B86" s="26" t="s">
        <v>3425</v>
      </c>
      <c r="C86" s="26" t="s">
        <v>3426</v>
      </c>
      <c r="D86" s="26" t="s">
        <v>4354</v>
      </c>
      <c r="E86" s="25" t="s">
        <v>4355</v>
      </c>
      <c r="F86" s="25" t="s">
        <v>4356</v>
      </c>
      <c r="G86" s="86" t="str">
        <f>HYPERLINK("https://www.acquisition.gov/content/part-32-contract-financing#id1617MD0F071","FAR 32.408 Application for advance payments [advance payments for non-commercial items].")</f>
        <v>FAR 32.408 Application for advance payments [advance payments for non-commercial items].</v>
      </c>
      <c r="H86" s="54"/>
      <c r="I86" s="34"/>
      <c r="J86" s="37" t="s">
        <v>463</v>
      </c>
      <c r="K86" s="37" t="s">
        <v>4358</v>
      </c>
      <c r="L86" s="25" t="s">
        <v>4359</v>
      </c>
      <c r="M86" s="25" t="s">
        <v>4360</v>
      </c>
      <c r="N86" s="25" t="s">
        <v>4361</v>
      </c>
      <c r="O86" s="64"/>
      <c r="P86" s="45" t="b">
        <f t="shared" si="3"/>
        <v>0</v>
      </c>
      <c r="Q86" s="45">
        <f t="shared" si="4"/>
        <v>0</v>
      </c>
      <c r="R86" s="45">
        <f t="shared" si="5"/>
        <v>0</v>
      </c>
      <c r="S86" s="24"/>
      <c r="T86" s="24"/>
      <c r="U86" s="24"/>
      <c r="V86" s="24"/>
      <c r="W86" s="24"/>
      <c r="X86" s="24"/>
      <c r="Y86" s="24"/>
      <c r="Z86" s="24"/>
      <c r="AA86" s="24"/>
      <c r="AB86" s="24"/>
      <c r="AC86" s="24"/>
    </row>
    <row r="87" spans="1:29" ht="173.9">
      <c r="A87" s="26" t="s">
        <v>3424</v>
      </c>
      <c r="B87" s="26" t="s">
        <v>3425</v>
      </c>
      <c r="C87" s="26" t="s">
        <v>3426</v>
      </c>
      <c r="D87" s="26" t="s">
        <v>4362</v>
      </c>
      <c r="E87" s="25" t="s">
        <v>4363</v>
      </c>
      <c r="F87" s="25" t="s">
        <v>4364</v>
      </c>
      <c r="G87" s="86" t="str">
        <f>HYPERLINK("https://www.acquisition.gov/content/part-32-contract-financing#i1082748","FAR 32.409 Contracting officer action [application for advance payments].")</f>
        <v>FAR 32.409 Contracting officer action [application for advance payments].</v>
      </c>
      <c r="H87" s="153" t="str">
        <f>HYPERLINK("https://www.acquisition.gov/content/part-532-contract-financing#i1881520","GSAM 532.4")</f>
        <v>GSAM 532.4</v>
      </c>
      <c r="I87" s="34"/>
      <c r="J87" s="37" t="s">
        <v>463</v>
      </c>
      <c r="K87" s="37" t="s">
        <v>4369</v>
      </c>
      <c r="L87" s="25" t="s">
        <v>4370</v>
      </c>
      <c r="M87" s="25" t="s">
        <v>4371</v>
      </c>
      <c r="N87" s="25" t="s">
        <v>4372</v>
      </c>
      <c r="O87" s="64"/>
      <c r="P87" s="45" t="b">
        <f t="shared" si="3"/>
        <v>0</v>
      </c>
      <c r="Q87" s="45">
        <f t="shared" si="4"/>
        <v>0</v>
      </c>
      <c r="R87" s="45">
        <f t="shared" si="5"/>
        <v>0</v>
      </c>
      <c r="S87" s="24"/>
      <c r="T87" s="24"/>
      <c r="U87" s="24"/>
      <c r="V87" s="24"/>
      <c r="W87" s="24"/>
      <c r="X87" s="24"/>
      <c r="Y87" s="24"/>
      <c r="Z87" s="24"/>
      <c r="AA87" s="24"/>
      <c r="AB87" s="24"/>
      <c r="AC87" s="24"/>
    </row>
    <row r="88" spans="1:29" ht="141.30000000000001">
      <c r="A88" s="26" t="s">
        <v>3424</v>
      </c>
      <c r="B88" s="26" t="s">
        <v>3425</v>
      </c>
      <c r="C88" s="26" t="s">
        <v>3426</v>
      </c>
      <c r="D88" s="26" t="s">
        <v>4378</v>
      </c>
      <c r="E88" s="25" t="s">
        <v>4379</v>
      </c>
      <c r="F88" s="25" t="s">
        <v>4380</v>
      </c>
      <c r="G88" s="86" t="str">
        <f>HYPERLINK("https://www.acquisition.gov/content/part-32-contract-financing#i1082787","FAR 32.409-3 Security, supervision, and covenants.")</f>
        <v>FAR 32.409-3 Security, supervision, and covenants.</v>
      </c>
      <c r="H88" s="54"/>
      <c r="I88" s="34"/>
      <c r="J88" s="37" t="s">
        <v>463</v>
      </c>
      <c r="K88" s="37" t="s">
        <v>4383</v>
      </c>
      <c r="L88" s="25" t="s">
        <v>4384</v>
      </c>
      <c r="M88" s="25" t="s">
        <v>4385</v>
      </c>
      <c r="N88" s="25" t="s">
        <v>4386</v>
      </c>
      <c r="O88" s="64"/>
      <c r="P88" s="45" t="b">
        <f t="shared" si="3"/>
        <v>0</v>
      </c>
      <c r="Q88" s="45">
        <f t="shared" si="4"/>
        <v>0</v>
      </c>
      <c r="R88" s="45">
        <f t="shared" si="5"/>
        <v>0</v>
      </c>
      <c r="S88" s="24"/>
      <c r="T88" s="24"/>
      <c r="U88" s="24"/>
      <c r="V88" s="24"/>
      <c r="W88" s="24"/>
      <c r="X88" s="24"/>
      <c r="Y88" s="24"/>
      <c r="Z88" s="24"/>
      <c r="AA88" s="24"/>
      <c r="AB88" s="24"/>
      <c r="AC88" s="24"/>
    </row>
    <row r="89" spans="1:29" ht="195.65">
      <c r="A89" s="26" t="s">
        <v>3424</v>
      </c>
      <c r="B89" s="26" t="s">
        <v>3425</v>
      </c>
      <c r="C89" s="26" t="s">
        <v>3426</v>
      </c>
      <c r="D89" s="26" t="s">
        <v>4387</v>
      </c>
      <c r="E89" s="25" t="s">
        <v>4388</v>
      </c>
      <c r="F89" s="25" t="s">
        <v>4389</v>
      </c>
      <c r="G89" s="86" t="str">
        <f>HYPERLINK("https://www.acquisition.gov/content/part-32-contract-financing#i1080969","FAR 32.1003 Criteria for use [performance-based payments].")</f>
        <v>FAR 32.1003 Criteria for use [performance-based payments].</v>
      </c>
      <c r="H89" s="54"/>
      <c r="I89" s="34"/>
      <c r="J89" s="37" t="s">
        <v>463</v>
      </c>
      <c r="K89" s="37" t="s">
        <v>4391</v>
      </c>
      <c r="L89" s="25" t="s">
        <v>4392</v>
      </c>
      <c r="M89" s="25" t="s">
        <v>4393</v>
      </c>
      <c r="N89" s="25" t="s">
        <v>4394</v>
      </c>
      <c r="O89" s="64"/>
      <c r="P89" s="45" t="b">
        <f t="shared" si="3"/>
        <v>0</v>
      </c>
      <c r="Q89" s="45">
        <f t="shared" si="4"/>
        <v>0</v>
      </c>
      <c r="R89" s="45">
        <f t="shared" si="5"/>
        <v>0</v>
      </c>
      <c r="S89" s="24"/>
      <c r="T89" s="24"/>
      <c r="U89" s="24"/>
      <c r="V89" s="24"/>
      <c r="W89" s="24"/>
      <c r="X89" s="24"/>
      <c r="Y89" s="24"/>
      <c r="Z89" s="24"/>
      <c r="AA89" s="24"/>
      <c r="AB89" s="24"/>
      <c r="AC89" s="24"/>
    </row>
    <row r="90" spans="1:29" ht="108.7">
      <c r="A90" s="26" t="s">
        <v>3424</v>
      </c>
      <c r="B90" s="26" t="s">
        <v>3425</v>
      </c>
      <c r="C90" s="26" t="s">
        <v>3426</v>
      </c>
      <c r="D90" s="26" t="s">
        <v>4396</v>
      </c>
      <c r="E90" s="25" t="s">
        <v>4397</v>
      </c>
      <c r="F90" s="25" t="s">
        <v>4398</v>
      </c>
      <c r="G90" s="86" t="str">
        <f>HYPERLINK("https://www.acquisition.gov/content/part-32-contract-financing#i1081037","FAR 32.1007 Administration and payment of performance-based payments.")</f>
        <v>FAR 32.1007 Administration and payment of performance-based payments.</v>
      </c>
      <c r="H90" s="54"/>
      <c r="I90" s="34"/>
      <c r="J90" s="37" t="s">
        <v>463</v>
      </c>
      <c r="K90" s="37" t="s">
        <v>4403</v>
      </c>
      <c r="L90" s="25" t="s">
        <v>4404</v>
      </c>
      <c r="M90" s="25" t="s">
        <v>4405</v>
      </c>
      <c r="N90" s="25" t="s">
        <v>4406</v>
      </c>
      <c r="O90" s="64"/>
      <c r="P90" s="45" t="b">
        <f t="shared" si="3"/>
        <v>0</v>
      </c>
      <c r="Q90" s="45">
        <f t="shared" si="4"/>
        <v>0</v>
      </c>
      <c r="R90" s="45">
        <f t="shared" si="5"/>
        <v>0</v>
      </c>
      <c r="S90" s="24"/>
      <c r="T90" s="24"/>
      <c r="U90" s="24"/>
      <c r="V90" s="24"/>
      <c r="W90" s="24"/>
      <c r="X90" s="24"/>
      <c r="Y90" s="24"/>
      <c r="Z90" s="24"/>
      <c r="AA90" s="24"/>
      <c r="AB90" s="24"/>
      <c r="AC90" s="24"/>
    </row>
    <row r="91" spans="1:29" ht="130.44999999999999">
      <c r="A91" s="26" t="s">
        <v>3424</v>
      </c>
      <c r="B91" s="26" t="s">
        <v>3425</v>
      </c>
      <c r="C91" s="26" t="s">
        <v>3426</v>
      </c>
      <c r="D91" s="26" t="s">
        <v>4411</v>
      </c>
      <c r="E91" s="25" t="s">
        <v>4412</v>
      </c>
      <c r="F91" s="25" t="s">
        <v>4413</v>
      </c>
      <c r="G91" s="86" t="str">
        <f>HYPERLINK("https://www.acquisition.gov/content/part-32-contract-financing#i1081037","FAR 32.1007(e) Government-caused delay [administration and payment of performance-based payments].")</f>
        <v>FAR 32.1007(e) Government-caused delay [administration and payment of performance-based payments].</v>
      </c>
      <c r="H91" s="54"/>
      <c r="I91" s="34"/>
      <c r="J91" s="37" t="s">
        <v>463</v>
      </c>
      <c r="K91" s="37" t="s">
        <v>4417</v>
      </c>
      <c r="L91" s="25" t="s">
        <v>4418</v>
      </c>
      <c r="M91" s="25" t="s">
        <v>4419</v>
      </c>
      <c r="N91" s="25" t="s">
        <v>4420</v>
      </c>
      <c r="O91" s="64"/>
      <c r="P91" s="45" t="b">
        <f t="shared" si="3"/>
        <v>0</v>
      </c>
      <c r="Q91" s="45">
        <f t="shared" si="4"/>
        <v>0</v>
      </c>
      <c r="R91" s="45">
        <f t="shared" si="5"/>
        <v>0</v>
      </c>
      <c r="S91" s="24"/>
      <c r="T91" s="24"/>
      <c r="U91" s="24"/>
      <c r="V91" s="24"/>
      <c r="W91" s="24"/>
      <c r="X91" s="24"/>
      <c r="Y91" s="24"/>
      <c r="Z91" s="24"/>
      <c r="AA91" s="24"/>
      <c r="AB91" s="24"/>
      <c r="AC91" s="24"/>
    </row>
    <row r="92" spans="1:29" ht="163.05000000000001">
      <c r="A92" s="26" t="s">
        <v>3424</v>
      </c>
      <c r="B92" s="26" t="s">
        <v>3425</v>
      </c>
      <c r="C92" s="26" t="s">
        <v>3426</v>
      </c>
      <c r="D92" s="26" t="s">
        <v>4422</v>
      </c>
      <c r="E92" s="25" t="s">
        <v>4423</v>
      </c>
      <c r="F92" s="25" t="s">
        <v>2758</v>
      </c>
      <c r="G92" s="86" t="str">
        <f>HYPERLINK("https://www.acquisition.gov/content/part-32-contract-financing#id1617MD0H0N1","FAR 32.1009 Title [performance-based payments].")</f>
        <v>FAR 32.1009 Title [performance-based payments].</v>
      </c>
      <c r="H92" s="54"/>
      <c r="I92" s="34"/>
      <c r="J92" s="37" t="s">
        <v>463</v>
      </c>
      <c r="K92" s="37" t="s">
        <v>4425</v>
      </c>
      <c r="L92" s="25" t="s">
        <v>4427</v>
      </c>
      <c r="M92" s="25" t="s">
        <v>4428</v>
      </c>
      <c r="N92" s="25" t="s">
        <v>4430</v>
      </c>
      <c r="O92" s="64"/>
      <c r="P92" s="45" t="b">
        <f t="shared" si="3"/>
        <v>0</v>
      </c>
      <c r="Q92" s="45">
        <f t="shared" si="4"/>
        <v>0</v>
      </c>
      <c r="R92" s="45">
        <f t="shared" si="5"/>
        <v>0</v>
      </c>
      <c r="S92" s="24"/>
      <c r="T92" s="24"/>
      <c r="U92" s="24"/>
      <c r="V92" s="24"/>
      <c r="W92" s="24"/>
      <c r="X92" s="24"/>
      <c r="Y92" s="24"/>
      <c r="Z92" s="24"/>
      <c r="AA92" s="24"/>
      <c r="AB92" s="24"/>
      <c r="AC92" s="24"/>
    </row>
    <row r="93" spans="1:29" ht="108.7">
      <c r="A93" s="26" t="s">
        <v>3424</v>
      </c>
      <c r="B93" s="26" t="s">
        <v>3425</v>
      </c>
      <c r="C93" s="26" t="s">
        <v>3426</v>
      </c>
      <c r="D93" s="26" t="s">
        <v>4435</v>
      </c>
      <c r="E93" s="25" t="s">
        <v>4436</v>
      </c>
      <c r="F93" s="25" t="s">
        <v>4437</v>
      </c>
      <c r="G93" s="86" t="str">
        <f>HYPERLINK("https://www.acquisition.gov/content/part-32-contract-financing#id1617MD0H0FQ","FAR 32.1010 Risk of loss [performance-based payments].")</f>
        <v>FAR 32.1010 Risk of loss [performance-based payments].</v>
      </c>
      <c r="H93" s="54"/>
      <c r="I93" s="34"/>
      <c r="J93" s="37" t="s">
        <v>463</v>
      </c>
      <c r="K93" s="37" t="s">
        <v>4443</v>
      </c>
      <c r="L93" s="25" t="s">
        <v>4444</v>
      </c>
      <c r="M93" s="25" t="s">
        <v>4446</v>
      </c>
      <c r="N93" s="25" t="s">
        <v>4448</v>
      </c>
      <c r="O93" s="64"/>
      <c r="P93" s="45" t="b">
        <f t="shared" si="3"/>
        <v>0</v>
      </c>
      <c r="Q93" s="45">
        <f t="shared" si="4"/>
        <v>0</v>
      </c>
      <c r="R93" s="45">
        <f t="shared" si="5"/>
        <v>0</v>
      </c>
      <c r="S93" s="24"/>
      <c r="T93" s="24"/>
      <c r="U93" s="24"/>
      <c r="V93" s="24"/>
      <c r="W93" s="24"/>
      <c r="X93" s="24"/>
      <c r="Y93" s="24"/>
      <c r="Z93" s="24"/>
      <c r="AA93" s="24"/>
      <c r="AB93" s="24"/>
      <c r="AC93" s="24"/>
    </row>
    <row r="94" spans="1:29" ht="152.15">
      <c r="A94" s="26" t="s">
        <v>3424</v>
      </c>
      <c r="B94" s="26" t="s">
        <v>3425</v>
      </c>
      <c r="C94" s="26" t="s">
        <v>3426</v>
      </c>
      <c r="D94" s="26" t="s">
        <v>4455</v>
      </c>
      <c r="E94" s="25" t="s">
        <v>4456</v>
      </c>
      <c r="F94" s="25" t="s">
        <v>2758</v>
      </c>
      <c r="G94" s="86" t="str">
        <f t="shared" ref="G94:G95" si="14">HYPERLINK("https://www.acquisition.gov/content/part-32-contract-financing#id1617MD0G0P3","FAR 32.1008 Suspension or reduction of performance-based payments.")</f>
        <v>FAR 32.1008 Suspension or reduction of performance-based payments.</v>
      </c>
      <c r="H94" s="54"/>
      <c r="I94" s="34"/>
      <c r="J94" s="37" t="s">
        <v>463</v>
      </c>
      <c r="K94" s="37" t="s">
        <v>4459</v>
      </c>
      <c r="L94" s="25" t="s">
        <v>4461</v>
      </c>
      <c r="M94" s="25" t="s">
        <v>4462</v>
      </c>
      <c r="N94" s="25" t="s">
        <v>4463</v>
      </c>
      <c r="O94" s="64"/>
      <c r="P94" s="45" t="b">
        <f t="shared" si="3"/>
        <v>0</v>
      </c>
      <c r="Q94" s="45">
        <f t="shared" si="4"/>
        <v>0</v>
      </c>
      <c r="R94" s="45">
        <f t="shared" si="5"/>
        <v>0</v>
      </c>
      <c r="S94" s="24"/>
      <c r="T94" s="24"/>
      <c r="U94" s="24"/>
      <c r="V94" s="24"/>
      <c r="W94" s="24"/>
      <c r="X94" s="24"/>
      <c r="Y94" s="24"/>
      <c r="Z94" s="24"/>
      <c r="AA94" s="24"/>
      <c r="AB94" s="24"/>
      <c r="AC94" s="24"/>
    </row>
    <row r="95" spans="1:29" ht="152.15">
      <c r="A95" s="26" t="s">
        <v>3424</v>
      </c>
      <c r="B95" s="26" t="s">
        <v>3425</v>
      </c>
      <c r="C95" s="26" t="s">
        <v>3426</v>
      </c>
      <c r="D95" s="26" t="s">
        <v>4464</v>
      </c>
      <c r="E95" s="25" t="s">
        <v>4465</v>
      </c>
      <c r="F95" s="25" t="s">
        <v>4466</v>
      </c>
      <c r="G95" s="86" t="str">
        <f t="shared" si="14"/>
        <v>FAR 32.1008 Suspension or reduction of performance-based payments.</v>
      </c>
      <c r="H95" s="54"/>
      <c r="I95" s="34"/>
      <c r="J95" s="37" t="s">
        <v>463</v>
      </c>
      <c r="K95" s="37" t="s">
        <v>4467</v>
      </c>
      <c r="L95" s="25" t="s">
        <v>4461</v>
      </c>
      <c r="M95" s="25" t="s">
        <v>4462</v>
      </c>
      <c r="N95" s="25" t="s">
        <v>4463</v>
      </c>
      <c r="O95" s="64"/>
      <c r="P95" s="45" t="b">
        <f t="shared" si="3"/>
        <v>0</v>
      </c>
      <c r="Q95" s="45">
        <f t="shared" si="4"/>
        <v>0</v>
      </c>
      <c r="R95" s="45">
        <f t="shared" si="5"/>
        <v>0</v>
      </c>
      <c r="S95" s="24"/>
      <c r="T95" s="24"/>
      <c r="U95" s="24"/>
      <c r="V95" s="24"/>
      <c r="W95" s="24"/>
      <c r="X95" s="24"/>
      <c r="Y95" s="24"/>
      <c r="Z95" s="24"/>
      <c r="AA95" s="24"/>
      <c r="AB95" s="24"/>
      <c r="AC95" s="24"/>
    </row>
    <row r="96" spans="1:29" ht="152.15">
      <c r="A96" s="26" t="s">
        <v>3424</v>
      </c>
      <c r="B96" s="26" t="s">
        <v>3425</v>
      </c>
      <c r="C96" s="26" t="s">
        <v>3426</v>
      </c>
      <c r="D96" s="26" t="s">
        <v>4469</v>
      </c>
      <c r="E96" s="25" t="s">
        <v>4470</v>
      </c>
      <c r="F96" s="25" t="s">
        <v>4471</v>
      </c>
      <c r="G96" s="86" t="str">
        <f>HYPERLINK("https://www.acquisition.gov/content/part-32-contract-financing#i1080976","FAR 32.1004(b) Establishing performance-based finance payment amounts.")</f>
        <v>FAR 32.1004(b) Establishing performance-based finance payment amounts.</v>
      </c>
      <c r="H96" s="54"/>
      <c r="I96" s="34" t="s">
        <v>4347</v>
      </c>
      <c r="J96" s="37" t="s">
        <v>1566</v>
      </c>
      <c r="K96" s="37" t="s">
        <v>4472</v>
      </c>
      <c r="L96" s="25" t="s">
        <v>4461</v>
      </c>
      <c r="M96" s="25" t="s">
        <v>4462</v>
      </c>
      <c r="N96" s="25" t="s">
        <v>4463</v>
      </c>
      <c r="O96" s="64"/>
      <c r="P96" s="45" t="b">
        <f t="shared" si="3"/>
        <v>0</v>
      </c>
      <c r="Q96" s="45">
        <f t="shared" si="4"/>
        <v>3</v>
      </c>
      <c r="R96" s="45">
        <f t="shared" si="5"/>
        <v>0</v>
      </c>
      <c r="S96" s="24"/>
      <c r="T96" s="24"/>
      <c r="U96" s="24"/>
      <c r="V96" s="24"/>
      <c r="W96" s="24"/>
      <c r="X96" s="24"/>
      <c r="Y96" s="24"/>
      <c r="Z96" s="24"/>
      <c r="AA96" s="24"/>
      <c r="AB96" s="24"/>
      <c r="AC96" s="24"/>
    </row>
    <row r="97" spans="1:29" ht="152.15">
      <c r="A97" s="26" t="s">
        <v>3424</v>
      </c>
      <c r="B97" s="26" t="s">
        <v>3425</v>
      </c>
      <c r="C97" s="26" t="s">
        <v>3426</v>
      </c>
      <c r="D97" s="26" t="s">
        <v>4477</v>
      </c>
      <c r="E97" s="25" t="s">
        <v>4478</v>
      </c>
      <c r="F97" s="25" t="s">
        <v>4479</v>
      </c>
      <c r="G97" s="86" t="str">
        <f>HYPERLINK("https://www.acquisition.gov/content/part-32-contract-financing#i1080976","FAR 32.1004(d) Liquidating performance-based finance payments.")</f>
        <v>FAR 32.1004(d) Liquidating performance-based finance payments.</v>
      </c>
      <c r="H97" s="54"/>
      <c r="I97" s="34"/>
      <c r="J97" s="37" t="s">
        <v>463</v>
      </c>
      <c r="K97" s="37" t="s">
        <v>4484</v>
      </c>
      <c r="L97" s="25" t="s">
        <v>4485</v>
      </c>
      <c r="M97" s="25" t="s">
        <v>4486</v>
      </c>
      <c r="N97" s="25" t="s">
        <v>4487</v>
      </c>
      <c r="O97" s="64"/>
      <c r="P97" s="45" t="b">
        <f t="shared" si="3"/>
        <v>0</v>
      </c>
      <c r="Q97" s="45">
        <f t="shared" si="4"/>
        <v>0</v>
      </c>
      <c r="R97" s="45">
        <f t="shared" si="5"/>
        <v>0</v>
      </c>
      <c r="S97" s="24"/>
      <c r="T97" s="24"/>
      <c r="U97" s="24"/>
      <c r="V97" s="24"/>
      <c r="W97" s="24"/>
      <c r="X97" s="24"/>
      <c r="Y97" s="24"/>
      <c r="Z97" s="24"/>
      <c r="AA97" s="24"/>
      <c r="AB97" s="24"/>
      <c r="AC97" s="24"/>
    </row>
    <row r="98" spans="1:29" ht="206.5">
      <c r="A98" s="26" t="s">
        <v>3424</v>
      </c>
      <c r="B98" s="26" t="s">
        <v>3425</v>
      </c>
      <c r="C98" s="26" t="s">
        <v>3426</v>
      </c>
      <c r="D98" s="26" t="s">
        <v>4488</v>
      </c>
      <c r="E98" s="25" t="s">
        <v>4489</v>
      </c>
      <c r="F98" s="25" t="s">
        <v>4490</v>
      </c>
      <c r="G98" s="86" t="e">
        <f>HYPERLINK("https://www.acquisition.gov/content/part-31-contract-cost-principles-and-procedures#i1084541","FAR 31.201-2 Determining allowability [contracts with commercial organizations]. FAR 31.201-3 Determining reasonableness [contracts with commercial organizations]. FAR 31.201-4 Determining allocability [contracts with commercial organizations]. FAR 31.201"&amp;"-6 Accounting for unallowable costs [contracts with commercial organizations]. FAR 31.201-7 Construction and architect- engineer contracts [contracts with commercial organizations]. FAR 31.205 Selected costs. FAR 42.803 Disallowing costs after incurrence."&amp;" ")</f>
        <v>#VALUE!</v>
      </c>
      <c r="H98" s="54"/>
      <c r="I98" s="34" t="s">
        <v>3433</v>
      </c>
      <c r="J98" s="37" t="s">
        <v>1566</v>
      </c>
      <c r="K98" s="37" t="s">
        <v>4495</v>
      </c>
      <c r="L98" s="25" t="s">
        <v>4496</v>
      </c>
      <c r="M98" s="25" t="s">
        <v>4497</v>
      </c>
      <c r="N98" s="25" t="s">
        <v>4498</v>
      </c>
      <c r="O98" s="64"/>
      <c r="P98" s="45" t="b">
        <f t="shared" si="3"/>
        <v>0</v>
      </c>
      <c r="Q98" s="45">
        <f t="shared" si="4"/>
        <v>3</v>
      </c>
      <c r="R98" s="45">
        <f t="shared" si="5"/>
        <v>0</v>
      </c>
      <c r="S98" s="24"/>
      <c r="T98" s="24"/>
      <c r="U98" s="24"/>
      <c r="V98" s="24"/>
      <c r="W98" s="24"/>
      <c r="X98" s="24"/>
      <c r="Y98" s="24"/>
      <c r="Z98" s="24"/>
      <c r="AA98" s="24"/>
      <c r="AB98" s="24"/>
      <c r="AC98" s="24"/>
    </row>
    <row r="99" spans="1:29" ht="250">
      <c r="A99" s="26" t="s">
        <v>3424</v>
      </c>
      <c r="B99" s="26" t="s">
        <v>3425</v>
      </c>
      <c r="C99" s="26" t="s">
        <v>3426</v>
      </c>
      <c r="D99" s="26" t="s">
        <v>4503</v>
      </c>
      <c r="E99" s="25" t="s">
        <v>4504</v>
      </c>
      <c r="F99" s="25" t="s">
        <v>4505</v>
      </c>
      <c r="G99" s="86" t="str">
        <f>HYPERLINK("https://www.acquisition.gov/content/part-42-contract-administration-and-audit-services#i1074994","FAR 42.801(a) Notice of intent to disallow costs.")</f>
        <v>FAR 42.801(a) Notice of intent to disallow costs.</v>
      </c>
      <c r="H99" s="54"/>
      <c r="I99" s="34"/>
      <c r="J99" s="37" t="s">
        <v>463</v>
      </c>
      <c r="K99" s="37" t="s">
        <v>4510</v>
      </c>
      <c r="L99" s="25" t="s">
        <v>4512</v>
      </c>
      <c r="M99" s="25" t="s">
        <v>4515</v>
      </c>
      <c r="N99" s="25" t="s">
        <v>4517</v>
      </c>
      <c r="O99" s="64"/>
      <c r="P99" s="45" t="b">
        <f t="shared" si="3"/>
        <v>0</v>
      </c>
      <c r="Q99" s="45">
        <f t="shared" si="4"/>
        <v>0</v>
      </c>
      <c r="R99" s="45">
        <f t="shared" si="5"/>
        <v>0</v>
      </c>
      <c r="S99" s="24"/>
      <c r="T99" s="24"/>
      <c r="U99" s="24"/>
      <c r="V99" s="24"/>
      <c r="W99" s="24"/>
      <c r="X99" s="24"/>
      <c r="Y99" s="24"/>
      <c r="Z99" s="24"/>
      <c r="AA99" s="24"/>
      <c r="AB99" s="24"/>
      <c r="AC99" s="24"/>
    </row>
    <row r="100" spans="1:29" ht="206.5">
      <c r="A100" s="26" t="s">
        <v>3424</v>
      </c>
      <c r="B100" s="26" t="s">
        <v>3425</v>
      </c>
      <c r="C100" s="26" t="s">
        <v>3426</v>
      </c>
      <c r="D100" s="26" t="s">
        <v>4518</v>
      </c>
      <c r="E100" s="25" t="s">
        <v>4520</v>
      </c>
      <c r="F100" s="25" t="s">
        <v>4522</v>
      </c>
      <c r="G100" s="86" t="str">
        <f>HYPERLINK("https://www.acquisition.gov/content/part-42-contract-administration-and-audit-services#i1074994","FAR 42.801(c) Notice of intent to disallow costs.")</f>
        <v>FAR 42.801(c) Notice of intent to disallow costs.</v>
      </c>
      <c r="H100" s="54"/>
      <c r="I100" s="34" t="s">
        <v>4525</v>
      </c>
      <c r="J100" s="37" t="s">
        <v>1566</v>
      </c>
      <c r="K100" s="37" t="s">
        <v>4526</v>
      </c>
      <c r="L100" s="25" t="s">
        <v>4496</v>
      </c>
      <c r="M100" s="25" t="s">
        <v>4529</v>
      </c>
      <c r="N100" s="25" t="s">
        <v>4531</v>
      </c>
      <c r="O100" s="64"/>
      <c r="P100" s="45" t="b">
        <f t="shared" si="3"/>
        <v>0</v>
      </c>
      <c r="Q100" s="45">
        <f t="shared" si="4"/>
        <v>3</v>
      </c>
      <c r="R100" s="45">
        <f t="shared" si="5"/>
        <v>0</v>
      </c>
      <c r="S100" s="24"/>
      <c r="T100" s="24"/>
      <c r="U100" s="24"/>
      <c r="V100" s="24"/>
      <c r="W100" s="24"/>
      <c r="X100" s="24"/>
      <c r="Y100" s="24"/>
      <c r="Z100" s="24"/>
      <c r="AA100" s="24"/>
      <c r="AB100" s="24"/>
      <c r="AC100" s="24"/>
    </row>
    <row r="101" spans="1:29" ht="108.7">
      <c r="A101" s="26" t="s">
        <v>3424</v>
      </c>
      <c r="B101" s="26" t="s">
        <v>3425</v>
      </c>
      <c r="C101" s="26" t="s">
        <v>3426</v>
      </c>
      <c r="D101" s="26" t="s">
        <v>4533</v>
      </c>
      <c r="E101" s="25" t="s">
        <v>4534</v>
      </c>
      <c r="F101" s="25" t="s">
        <v>4535</v>
      </c>
      <c r="G101" s="86" t="str">
        <f>HYPERLINK("https://www.acquisition.gov/content/part-42-contract-administration-and-audit-services#i1074994","FAR 42.801(d) Notice of intent to disallow costs. FAR 42.801(e) Notice of intent to disallow costs.")</f>
        <v>FAR 42.801(d) Notice of intent to disallow costs. FAR 42.801(e) Notice of intent to disallow costs.</v>
      </c>
      <c r="H101" s="54"/>
      <c r="I101" s="34" t="s">
        <v>4525</v>
      </c>
      <c r="J101" s="37" t="s">
        <v>1566</v>
      </c>
      <c r="K101" s="37" t="s">
        <v>4537</v>
      </c>
      <c r="L101" s="25" t="s">
        <v>4538</v>
      </c>
      <c r="M101" s="25" t="s">
        <v>4539</v>
      </c>
      <c r="N101" s="25" t="s">
        <v>4540</v>
      </c>
      <c r="O101" s="64"/>
      <c r="P101" s="45" t="b">
        <f t="shared" si="3"/>
        <v>0</v>
      </c>
      <c r="Q101" s="45">
        <f t="shared" si="4"/>
        <v>3</v>
      </c>
      <c r="R101" s="45">
        <f t="shared" si="5"/>
        <v>0</v>
      </c>
      <c r="S101" s="24"/>
      <c r="T101" s="24"/>
      <c r="U101" s="24"/>
      <c r="V101" s="24"/>
      <c r="W101" s="24"/>
      <c r="X101" s="24"/>
      <c r="Y101" s="24"/>
      <c r="Z101" s="24"/>
      <c r="AA101" s="24"/>
      <c r="AB101" s="24"/>
      <c r="AC101" s="24"/>
    </row>
    <row r="102" spans="1:29" ht="250">
      <c r="A102" s="26" t="s">
        <v>3424</v>
      </c>
      <c r="B102" s="26" t="s">
        <v>3425</v>
      </c>
      <c r="C102" s="26" t="s">
        <v>3426</v>
      </c>
      <c r="D102" s="26" t="s">
        <v>4541</v>
      </c>
      <c r="E102" s="25" t="s">
        <v>4542</v>
      </c>
      <c r="F102" s="25" t="s">
        <v>4543</v>
      </c>
      <c r="G102" s="86" t="str">
        <f>HYPERLINK("https://www.acquisition.gov/content/part-42-contract-administration-and-audit-services#i1074994","FAR 42.801(f) Notice of intent to disallow costs. FAR 42.803 Disallowing costs after incurrence.")</f>
        <v>FAR 42.801(f) Notice of intent to disallow costs. FAR 42.803 Disallowing costs after incurrence.</v>
      </c>
      <c r="H102" s="54"/>
      <c r="I102" s="34" t="s">
        <v>4309</v>
      </c>
      <c r="J102" s="37" t="s">
        <v>1566</v>
      </c>
      <c r="K102" s="37" t="s">
        <v>4544</v>
      </c>
      <c r="L102" s="25" t="s">
        <v>4545</v>
      </c>
      <c r="M102" s="25" t="s">
        <v>4515</v>
      </c>
      <c r="N102" s="25" t="s">
        <v>4546</v>
      </c>
      <c r="O102" s="64"/>
      <c r="P102" s="45" t="b">
        <f t="shared" si="3"/>
        <v>0</v>
      </c>
      <c r="Q102" s="45">
        <f t="shared" si="4"/>
        <v>3</v>
      </c>
      <c r="R102" s="45">
        <f t="shared" si="5"/>
        <v>0</v>
      </c>
      <c r="S102" s="24"/>
      <c r="T102" s="24"/>
      <c r="U102" s="24"/>
      <c r="V102" s="24"/>
      <c r="W102" s="24"/>
      <c r="X102" s="24"/>
      <c r="Y102" s="24"/>
      <c r="Z102" s="24"/>
      <c r="AA102" s="24"/>
      <c r="AB102" s="24"/>
      <c r="AC102" s="24"/>
    </row>
    <row r="103" spans="1:29" ht="184.75">
      <c r="A103" s="26" t="s">
        <v>3424</v>
      </c>
      <c r="B103" s="26" t="s">
        <v>3425</v>
      </c>
      <c r="C103" s="26" t="s">
        <v>3426</v>
      </c>
      <c r="D103" s="26" t="s">
        <v>4547</v>
      </c>
      <c r="E103" s="25" t="s">
        <v>4548</v>
      </c>
      <c r="F103" s="25" t="s">
        <v>4549</v>
      </c>
      <c r="G103" s="86" t="str">
        <f>HYPERLINK("https://www.acquisition.gov/content/part-42-contract-administration-and-audit-services#id1617MD0K0R1","FAR 42.703-2(e) Penalties for unallowable costs [certificate of indirect costs]. FAR 42.709 Scope [indirect cost rates].")</f>
        <v>FAR 42.703-2(e) Penalties for unallowable costs [certificate of indirect costs]. FAR 42.709 Scope [indirect cost rates].</v>
      </c>
      <c r="H103" s="54"/>
      <c r="I103" s="34"/>
      <c r="J103" s="37" t="s">
        <v>463</v>
      </c>
      <c r="K103" s="37" t="s">
        <v>4550</v>
      </c>
      <c r="L103" s="25" t="s">
        <v>4551</v>
      </c>
      <c r="M103" s="25" t="s">
        <v>4552</v>
      </c>
      <c r="N103" s="25" t="s">
        <v>4553</v>
      </c>
      <c r="O103" s="64"/>
      <c r="P103" s="45" t="b">
        <f t="shared" si="3"/>
        <v>0</v>
      </c>
      <c r="Q103" s="45">
        <f t="shared" si="4"/>
        <v>0</v>
      </c>
      <c r="R103" s="45">
        <f t="shared" si="5"/>
        <v>0</v>
      </c>
      <c r="S103" s="24"/>
      <c r="T103" s="24"/>
      <c r="U103" s="24"/>
      <c r="V103" s="24"/>
      <c r="W103" s="24"/>
      <c r="X103" s="24"/>
      <c r="Y103" s="24"/>
      <c r="Z103" s="24"/>
      <c r="AA103" s="24"/>
      <c r="AB103" s="24"/>
      <c r="AC103" s="24"/>
    </row>
    <row r="104" spans="1:29" ht="108.7">
      <c r="A104" s="26" t="s">
        <v>3424</v>
      </c>
      <c r="B104" s="26" t="s">
        <v>3425</v>
      </c>
      <c r="C104" s="26" t="s">
        <v>3426</v>
      </c>
      <c r="D104" s="26" t="s">
        <v>4554</v>
      </c>
      <c r="E104" s="25" t="s">
        <v>4555</v>
      </c>
      <c r="F104" s="25" t="s">
        <v>4556</v>
      </c>
      <c r="G104" s="86" t="str">
        <f>HYPERLINK("https://www.acquisition.gov/content/part-42-contract-administration-and-audit-services#id1617MD0K0R1","FAR 42.703-1 Policy [indirect cost rates].")</f>
        <v>FAR 42.703-1 Policy [indirect cost rates].</v>
      </c>
      <c r="H104" s="54"/>
      <c r="I104" s="34" t="s">
        <v>4557</v>
      </c>
      <c r="J104" s="37" t="s">
        <v>4558</v>
      </c>
      <c r="K104" s="37" t="s">
        <v>4559</v>
      </c>
      <c r="L104" s="25" t="s">
        <v>4560</v>
      </c>
      <c r="M104" s="25" t="s">
        <v>4561</v>
      </c>
      <c r="N104" s="25" t="s">
        <v>4562</v>
      </c>
      <c r="O104" s="64"/>
      <c r="P104" s="45" t="b">
        <f t="shared" si="3"/>
        <v>0</v>
      </c>
      <c r="Q104" s="45">
        <f t="shared" si="4"/>
        <v>3</v>
      </c>
      <c r="R104" s="45">
        <f t="shared" si="5"/>
        <v>0</v>
      </c>
      <c r="S104" s="24"/>
      <c r="T104" s="24"/>
      <c r="U104" s="24"/>
      <c r="V104" s="24"/>
      <c r="W104" s="24"/>
      <c r="X104" s="24"/>
      <c r="Y104" s="24"/>
      <c r="Z104" s="24"/>
      <c r="AA104" s="24"/>
      <c r="AB104" s="24"/>
      <c r="AC104" s="24"/>
    </row>
    <row r="105" spans="1:29" ht="108.7">
      <c r="A105" s="26" t="s">
        <v>3424</v>
      </c>
      <c r="B105" s="26" t="s">
        <v>3425</v>
      </c>
      <c r="C105" s="26" t="s">
        <v>3426</v>
      </c>
      <c r="D105" s="26" t="s">
        <v>4563</v>
      </c>
      <c r="E105" s="25" t="s">
        <v>4564</v>
      </c>
      <c r="F105" s="25" t="s">
        <v>4565</v>
      </c>
      <c r="G105" s="86" t="str">
        <f>HYPERLINK("https://www.acquisition.gov/content/part-42-contract-administration-and-audit-services#id1617MD0K0O7","FAR 42.701 Definition [indirect cost rates]. FAR 42.703-1(b) Policy [indirect cost rates].")</f>
        <v>FAR 42.701 Definition [indirect cost rates]. FAR 42.703-1(b) Policy [indirect cost rates].</v>
      </c>
      <c r="H105" s="54"/>
      <c r="I105" s="34" t="s">
        <v>4557</v>
      </c>
      <c r="J105" s="37" t="s">
        <v>4558</v>
      </c>
      <c r="K105" s="37" t="s">
        <v>4566</v>
      </c>
      <c r="L105" s="25" t="s">
        <v>4567</v>
      </c>
      <c r="M105" s="25" t="s">
        <v>4568</v>
      </c>
      <c r="N105" s="25" t="s">
        <v>4569</v>
      </c>
      <c r="O105" s="64"/>
      <c r="P105" s="45" t="b">
        <f t="shared" si="3"/>
        <v>0</v>
      </c>
      <c r="Q105" s="45">
        <f t="shared" si="4"/>
        <v>3</v>
      </c>
      <c r="R105" s="45">
        <f t="shared" si="5"/>
        <v>0</v>
      </c>
      <c r="S105" s="24"/>
      <c r="T105" s="24"/>
      <c r="U105" s="24"/>
      <c r="V105" s="24"/>
      <c r="W105" s="24"/>
      <c r="X105" s="24"/>
      <c r="Y105" s="24"/>
      <c r="Z105" s="24"/>
      <c r="AA105" s="24"/>
      <c r="AB105" s="24"/>
      <c r="AC105" s="24"/>
    </row>
    <row r="106" spans="1:29" ht="108.7">
      <c r="A106" s="26" t="s">
        <v>3424</v>
      </c>
      <c r="B106" s="26" t="s">
        <v>3425</v>
      </c>
      <c r="C106" s="26" t="s">
        <v>3426</v>
      </c>
      <c r="D106" s="26" t="s">
        <v>4570</v>
      </c>
      <c r="E106" s="25" t="s">
        <v>4571</v>
      </c>
      <c r="F106" s="25" t="s">
        <v>4572</v>
      </c>
      <c r="G106" s="86" t="str">
        <f>HYPERLINK("https://www.acquisition.gov/content/part-42-contract-administration-and-audit-services#id1617MD0K0R1","FAR 42.703-1(c)(1) Policy [indirect cost rates]. FAR 42.708 Quick-closeout procedure [indirect cost rates].")</f>
        <v>FAR 42.703-1(c)(1) Policy [indirect cost rates]. FAR 42.708 Quick-closeout procedure [indirect cost rates].</v>
      </c>
      <c r="H106" s="54"/>
      <c r="I106" s="34" t="s">
        <v>4573</v>
      </c>
      <c r="J106" s="37" t="s">
        <v>4558</v>
      </c>
      <c r="K106" s="37" t="s">
        <v>4574</v>
      </c>
      <c r="L106" s="25" t="s">
        <v>4575</v>
      </c>
      <c r="M106" s="25" t="s">
        <v>4576</v>
      </c>
      <c r="N106" s="25" t="s">
        <v>4577</v>
      </c>
      <c r="O106" s="64"/>
      <c r="P106" s="45" t="b">
        <f t="shared" si="3"/>
        <v>0</v>
      </c>
      <c r="Q106" s="45">
        <f t="shared" si="4"/>
        <v>3</v>
      </c>
      <c r="R106" s="45">
        <f t="shared" si="5"/>
        <v>0</v>
      </c>
      <c r="S106" s="24"/>
      <c r="T106" s="24"/>
      <c r="U106" s="24"/>
      <c r="V106" s="24"/>
      <c r="W106" s="24"/>
      <c r="X106" s="24"/>
      <c r="Y106" s="24"/>
      <c r="Z106" s="24"/>
      <c r="AA106" s="24"/>
      <c r="AB106" s="24"/>
      <c r="AC106" s="24"/>
    </row>
    <row r="107" spans="1:29" ht="108.7">
      <c r="A107" s="66" t="s">
        <v>3424</v>
      </c>
      <c r="B107" s="66" t="s">
        <v>3425</v>
      </c>
      <c r="C107" s="66" t="s">
        <v>3426</v>
      </c>
      <c r="D107" s="66" t="s">
        <v>4578</v>
      </c>
      <c r="E107" s="25" t="s">
        <v>4579</v>
      </c>
      <c r="F107" s="25" t="s">
        <v>4580</v>
      </c>
      <c r="G107" s="86" t="str">
        <f>HYPERLINK("https://www.acquisition.gov/content/part-42-contract-administration-and-audit-services#i1075342","FAR 42.708 Quick-closeout procedure [indirect cost rates].")</f>
        <v>FAR 42.708 Quick-closeout procedure [indirect cost rates].</v>
      </c>
      <c r="H107" s="54"/>
      <c r="I107" s="34" t="s">
        <v>4573</v>
      </c>
      <c r="J107" s="37" t="s">
        <v>4558</v>
      </c>
      <c r="K107" s="37" t="s">
        <v>4581</v>
      </c>
      <c r="L107" s="25" t="s">
        <v>4582</v>
      </c>
      <c r="M107" s="25" t="s">
        <v>4583</v>
      </c>
      <c r="N107" s="25" t="s">
        <v>4584</v>
      </c>
      <c r="O107" s="64"/>
      <c r="P107" s="45" t="b">
        <f t="shared" si="3"/>
        <v>0</v>
      </c>
      <c r="Q107" s="45">
        <f t="shared" si="4"/>
        <v>3</v>
      </c>
      <c r="R107" s="45">
        <f t="shared" si="5"/>
        <v>0</v>
      </c>
      <c r="S107" s="24"/>
      <c r="T107" s="24"/>
      <c r="U107" s="24"/>
      <c r="V107" s="24"/>
      <c r="W107" s="24"/>
      <c r="X107" s="24"/>
      <c r="Y107" s="24"/>
      <c r="Z107" s="24"/>
      <c r="AA107" s="24"/>
      <c r="AB107" s="24"/>
      <c r="AC107" s="24"/>
    </row>
    <row r="108" spans="1:29" ht="108.7">
      <c r="A108" s="26" t="s">
        <v>3424</v>
      </c>
      <c r="B108" s="26" t="s">
        <v>3425</v>
      </c>
      <c r="C108" s="26" t="s">
        <v>3426</v>
      </c>
      <c r="D108" s="26" t="s">
        <v>4585</v>
      </c>
      <c r="E108" s="25" t="s">
        <v>4586</v>
      </c>
      <c r="F108" s="25" t="s">
        <v>4587</v>
      </c>
      <c r="G108" s="86" t="str">
        <f t="shared" ref="G108:G109" si="15">HYPERLINK("https://www.acquisition.gov/content/part-42-contract-administration-and-audit-services#i1075151","FAR 42.705 Final indirect cost rates.")</f>
        <v>FAR 42.705 Final indirect cost rates.</v>
      </c>
      <c r="H108" s="54"/>
      <c r="I108" s="34" t="s">
        <v>4557</v>
      </c>
      <c r="J108" s="37" t="s">
        <v>4558</v>
      </c>
      <c r="K108" s="37" t="s">
        <v>4588</v>
      </c>
      <c r="L108" s="25" t="s">
        <v>4589</v>
      </c>
      <c r="M108" s="25" t="s">
        <v>4590</v>
      </c>
      <c r="N108" s="25" t="s">
        <v>4591</v>
      </c>
      <c r="O108" s="64"/>
      <c r="P108" s="45" t="b">
        <f t="shared" si="3"/>
        <v>0</v>
      </c>
      <c r="Q108" s="45">
        <f t="shared" si="4"/>
        <v>3</v>
      </c>
      <c r="R108" s="45">
        <f t="shared" si="5"/>
        <v>0</v>
      </c>
      <c r="S108" s="24"/>
      <c r="T108" s="24"/>
      <c r="U108" s="24"/>
      <c r="V108" s="24"/>
      <c r="W108" s="24"/>
      <c r="X108" s="24"/>
      <c r="Y108" s="24"/>
      <c r="Z108" s="24"/>
      <c r="AA108" s="24"/>
      <c r="AB108" s="24"/>
      <c r="AC108" s="24"/>
    </row>
    <row r="109" spans="1:29" ht="108.7">
      <c r="A109" s="26" t="s">
        <v>3424</v>
      </c>
      <c r="B109" s="26" t="s">
        <v>3425</v>
      </c>
      <c r="C109" s="26" t="s">
        <v>3426</v>
      </c>
      <c r="D109" s="26" t="s">
        <v>4592</v>
      </c>
      <c r="E109" s="25" t="s">
        <v>4593</v>
      </c>
      <c r="F109" s="25" t="s">
        <v>4594</v>
      </c>
      <c r="G109" s="86" t="str">
        <f t="shared" si="15"/>
        <v>FAR 42.705 Final indirect cost rates.</v>
      </c>
      <c r="H109" s="54"/>
      <c r="I109" s="34" t="s">
        <v>4557</v>
      </c>
      <c r="J109" s="37" t="s">
        <v>4558</v>
      </c>
      <c r="K109" s="37" t="s">
        <v>4595</v>
      </c>
      <c r="L109" s="25" t="s">
        <v>4596</v>
      </c>
      <c r="M109" s="25" t="s">
        <v>4597</v>
      </c>
      <c r="N109" s="25" t="s">
        <v>4598</v>
      </c>
      <c r="O109" s="64"/>
      <c r="P109" s="45" t="b">
        <f t="shared" si="3"/>
        <v>0</v>
      </c>
      <c r="Q109" s="45">
        <f t="shared" si="4"/>
        <v>3</v>
      </c>
      <c r="R109" s="45">
        <f t="shared" si="5"/>
        <v>0</v>
      </c>
      <c r="S109" s="24"/>
      <c r="T109" s="24"/>
      <c r="U109" s="24"/>
      <c r="V109" s="24"/>
      <c r="W109" s="24"/>
      <c r="X109" s="24"/>
      <c r="Y109" s="24"/>
      <c r="Z109" s="24"/>
      <c r="AA109" s="24"/>
      <c r="AB109" s="24"/>
      <c r="AC109" s="24"/>
    </row>
    <row r="110" spans="1:29" ht="108.7">
      <c r="A110" s="26" t="s">
        <v>3424</v>
      </c>
      <c r="B110" s="26" t="s">
        <v>3425</v>
      </c>
      <c r="C110" s="26" t="s">
        <v>3426</v>
      </c>
      <c r="D110" s="26" t="s">
        <v>4599</v>
      </c>
      <c r="E110" s="25" t="s">
        <v>4600</v>
      </c>
      <c r="F110" s="25" t="s">
        <v>4601</v>
      </c>
      <c r="G110" s="86" t="str">
        <f t="shared" ref="G110:G112" si="16">HYPERLINK("https://www.acquisition.gov/browse/index/far","FAR 32.704 Limitation of cost or funds. FAR 52.232-7 Payments under time - and - materials and labor-hour contracts. FAR 52.232-20 Limitation of cost. FAR 52.232-22 Limitation of funds.")</f>
        <v>FAR 32.704 Limitation of cost or funds. FAR 52.232-7 Payments under time - and - materials and labor-hour contracts. FAR 52.232-20 Limitation of cost. FAR 52.232-22 Limitation of funds.</v>
      </c>
      <c r="H110" s="54"/>
      <c r="I110" s="34"/>
      <c r="J110" s="37" t="s">
        <v>463</v>
      </c>
      <c r="K110" s="37" t="s">
        <v>4602</v>
      </c>
      <c r="L110" s="25" t="s">
        <v>4603</v>
      </c>
      <c r="M110" s="25" t="s">
        <v>4604</v>
      </c>
      <c r="N110" s="25" t="s">
        <v>4605</v>
      </c>
      <c r="O110" s="64"/>
      <c r="P110" s="45" t="b">
        <f t="shared" si="3"/>
        <v>0</v>
      </c>
      <c r="Q110" s="45">
        <f t="shared" si="4"/>
        <v>0</v>
      </c>
      <c r="R110" s="45">
        <f t="shared" si="5"/>
        <v>0</v>
      </c>
      <c r="S110" s="24"/>
      <c r="T110" s="24"/>
      <c r="U110" s="24"/>
      <c r="V110" s="24"/>
      <c r="W110" s="24"/>
      <c r="X110" s="24"/>
      <c r="Y110" s="24"/>
      <c r="Z110" s="24"/>
      <c r="AA110" s="24"/>
      <c r="AB110" s="24"/>
      <c r="AC110" s="24"/>
    </row>
    <row r="111" spans="1:29" ht="195.65">
      <c r="A111" s="26" t="s">
        <v>3424</v>
      </c>
      <c r="B111" s="26" t="s">
        <v>3425</v>
      </c>
      <c r="C111" s="26" t="s">
        <v>3426</v>
      </c>
      <c r="D111" s="26" t="s">
        <v>4606</v>
      </c>
      <c r="E111" s="25" t="s">
        <v>4607</v>
      </c>
      <c r="F111" s="25" t="s">
        <v>4466</v>
      </c>
      <c r="G111" s="86" t="str">
        <f t="shared" si="16"/>
        <v>FAR 32.704 Limitation of cost or funds. FAR 52.232-7 Payments under time - and - materials and labor-hour contracts. FAR 52.232-20 Limitation of cost. FAR 52.232-22 Limitation of funds.</v>
      </c>
      <c r="H111" s="54"/>
      <c r="I111" s="34"/>
      <c r="J111" s="37" t="s">
        <v>463</v>
      </c>
      <c r="K111" s="37" t="s">
        <v>4608</v>
      </c>
      <c r="L111" s="79" t="s">
        <v>4609</v>
      </c>
      <c r="M111" s="79" t="s">
        <v>4610</v>
      </c>
      <c r="N111" s="79" t="s">
        <v>4611</v>
      </c>
      <c r="O111" s="64"/>
      <c r="P111" s="45" t="b">
        <f t="shared" si="3"/>
        <v>0</v>
      </c>
      <c r="Q111" s="45">
        <f t="shared" si="4"/>
        <v>0</v>
      </c>
      <c r="R111" s="45">
        <f t="shared" si="5"/>
        <v>0</v>
      </c>
      <c r="S111" s="24"/>
      <c r="T111" s="24"/>
      <c r="U111" s="24"/>
      <c r="V111" s="24"/>
      <c r="W111" s="24"/>
      <c r="X111" s="24"/>
      <c r="Y111" s="24"/>
      <c r="Z111" s="24"/>
      <c r="AA111" s="24"/>
      <c r="AB111" s="24"/>
      <c r="AC111" s="24"/>
    </row>
    <row r="112" spans="1:29" ht="195.65">
      <c r="A112" s="26" t="s">
        <v>3424</v>
      </c>
      <c r="B112" s="26" t="s">
        <v>3425</v>
      </c>
      <c r="C112" s="26" t="s">
        <v>3426</v>
      </c>
      <c r="D112" s="26" t="s">
        <v>4612</v>
      </c>
      <c r="E112" s="25" t="s">
        <v>4613</v>
      </c>
      <c r="F112" s="25" t="s">
        <v>4308</v>
      </c>
      <c r="G112" s="86" t="str">
        <f t="shared" si="16"/>
        <v>FAR 32.704 Limitation of cost or funds. FAR 52.232-7 Payments under time - and - materials and labor-hour contracts. FAR 52.232-20 Limitation of cost. FAR 52.232-22 Limitation of funds.</v>
      </c>
      <c r="H112" s="54"/>
      <c r="I112" s="34"/>
      <c r="J112" s="37" t="s">
        <v>463</v>
      </c>
      <c r="K112" s="37" t="s">
        <v>4614</v>
      </c>
      <c r="L112" s="25" t="s">
        <v>4615</v>
      </c>
      <c r="M112" s="127" t="s">
        <v>4616</v>
      </c>
      <c r="N112" s="25" t="s">
        <v>4617</v>
      </c>
      <c r="O112" s="64"/>
      <c r="P112" s="45" t="b">
        <f t="shared" si="3"/>
        <v>0</v>
      </c>
      <c r="Q112" s="45">
        <f t="shared" si="4"/>
        <v>0</v>
      </c>
      <c r="R112" s="45">
        <f t="shared" si="5"/>
        <v>0</v>
      </c>
      <c r="S112" s="24"/>
      <c r="T112" s="24"/>
      <c r="U112" s="24"/>
      <c r="V112" s="24"/>
      <c r="W112" s="24"/>
      <c r="X112" s="24"/>
      <c r="Y112" s="24"/>
      <c r="Z112" s="24"/>
      <c r="AA112" s="24"/>
      <c r="AB112" s="24"/>
      <c r="AC112" s="24"/>
    </row>
    <row r="113" spans="1:29" ht="108.7">
      <c r="A113" s="26" t="s">
        <v>3424</v>
      </c>
      <c r="B113" s="26" t="s">
        <v>3425</v>
      </c>
      <c r="C113" s="26" t="s">
        <v>3426</v>
      </c>
      <c r="D113" s="26" t="s">
        <v>4618</v>
      </c>
      <c r="E113" s="25" t="s">
        <v>2616</v>
      </c>
      <c r="F113" s="25" t="s">
        <v>275</v>
      </c>
      <c r="G113" s="57" t="str">
        <f>HYPERLINK("https://www.acquisition.gov/content/part-4-administrative-matters#i1122357","FAR 4.803 Contents of contract files")</f>
        <v>FAR 4.803 Contents of contract files</v>
      </c>
      <c r="H113" s="57" t="str">
        <f>HYPERLINK("https://www.acquisition.gov/sites/default/files/current/gsam/html/Part504.html#wp1863182","GSAR 504.8")</f>
        <v>GSAR 504.8</v>
      </c>
      <c r="I113" s="34" t="s">
        <v>3387</v>
      </c>
      <c r="J113" s="37" t="s">
        <v>1566</v>
      </c>
      <c r="K113" s="37" t="s">
        <v>4619</v>
      </c>
      <c r="L113" s="25" t="s">
        <v>4620</v>
      </c>
      <c r="M113" s="25" t="s">
        <v>4621</v>
      </c>
      <c r="N113" s="25" t="s">
        <v>617</v>
      </c>
      <c r="O113" s="64"/>
      <c r="P113" s="45" t="b">
        <f t="shared" si="3"/>
        <v>0</v>
      </c>
      <c r="Q113" s="45">
        <f t="shared" si="4"/>
        <v>3</v>
      </c>
      <c r="R113" s="45">
        <f t="shared" si="5"/>
        <v>0</v>
      </c>
      <c r="S113" s="24"/>
      <c r="T113" s="24"/>
      <c r="U113" s="24"/>
      <c r="V113" s="24"/>
      <c r="W113" s="24"/>
      <c r="X113" s="24"/>
      <c r="Y113" s="24"/>
      <c r="Z113" s="24"/>
      <c r="AA113" s="24"/>
      <c r="AB113" s="24"/>
      <c r="AC113" s="24"/>
    </row>
    <row r="114" spans="1:29" ht="119.55">
      <c r="A114" s="26" t="s">
        <v>3424</v>
      </c>
      <c r="B114" s="26" t="s">
        <v>3425</v>
      </c>
      <c r="C114" s="26" t="s">
        <v>3426</v>
      </c>
      <c r="D114" s="26" t="s">
        <v>4622</v>
      </c>
      <c r="E114" s="25" t="s">
        <v>4623</v>
      </c>
      <c r="F114" s="25" t="s">
        <v>4624</v>
      </c>
      <c r="G114" s="86" t="str">
        <f>HYPERLINK("https://www.acquisition.gov/browse/index/far","FAR 16.205 Fixed-price contracts with prospective price redetermination. FAR 16.206 Fixed-ceiling-price contracts with retroactive price redetermination. FAR 52.216-5 Price Redetermination— Prospective. FAR 52.216-6 Price Redetermination— Retroactive.")</f>
        <v>FAR 16.205 Fixed-price contracts with prospective price redetermination. FAR 16.206 Fixed-ceiling-price contracts with retroactive price redetermination. FAR 52.216-5 Price Redetermination— Prospective. FAR 52.216-6 Price Redetermination— Retroactive.</v>
      </c>
      <c r="H114" s="54"/>
      <c r="I114" s="34" t="s">
        <v>3433</v>
      </c>
      <c r="J114" s="37" t="s">
        <v>1566</v>
      </c>
      <c r="K114" s="37" t="s">
        <v>4625</v>
      </c>
      <c r="L114" s="25" t="s">
        <v>4626</v>
      </c>
      <c r="M114" s="25" t="s">
        <v>4627</v>
      </c>
      <c r="N114" s="25" t="s">
        <v>4628</v>
      </c>
      <c r="O114" s="64"/>
      <c r="P114" s="45" t="b">
        <f t="shared" si="3"/>
        <v>0</v>
      </c>
      <c r="Q114" s="45">
        <f t="shared" si="4"/>
        <v>3</v>
      </c>
      <c r="R114" s="45">
        <f t="shared" si="5"/>
        <v>0</v>
      </c>
      <c r="S114" s="24"/>
      <c r="T114" s="24"/>
      <c r="U114" s="24"/>
      <c r="V114" s="24"/>
      <c r="W114" s="24"/>
      <c r="X114" s="24"/>
      <c r="Y114" s="24"/>
      <c r="Z114" s="24"/>
      <c r="AA114" s="24"/>
      <c r="AB114" s="24"/>
      <c r="AC114" s="24"/>
    </row>
    <row r="115" spans="1:29" ht="108.7">
      <c r="A115" s="26" t="s">
        <v>3424</v>
      </c>
      <c r="B115" s="26" t="s">
        <v>3425</v>
      </c>
      <c r="C115" s="26" t="s">
        <v>3426</v>
      </c>
      <c r="D115" s="26" t="s">
        <v>4629</v>
      </c>
      <c r="E115" s="25" t="s">
        <v>4630</v>
      </c>
      <c r="F115" s="25" t="s">
        <v>4631</v>
      </c>
      <c r="G115" s="86" t="str">
        <f t="shared" ref="G115:G120" si="17">HYPERLINK("https://www.acquisition.gov/content/part-52-solicitation-provisions-and-contract-clauses#i1058198","FAR 52.216-5 Price Redetermination— Prospective. FAR 52.216-6 Price Redetermination— Retroactive")</f>
        <v>FAR 52.216-5 Price Redetermination— Prospective. FAR 52.216-6 Price Redetermination— Retroactive</v>
      </c>
      <c r="H115" s="54"/>
      <c r="I115" s="34" t="s">
        <v>4632</v>
      </c>
      <c r="J115" s="37" t="s">
        <v>1566</v>
      </c>
      <c r="K115" s="37" t="s">
        <v>4633</v>
      </c>
      <c r="L115" s="25" t="s">
        <v>4634</v>
      </c>
      <c r="M115" s="25" t="s">
        <v>4635</v>
      </c>
      <c r="N115" s="25" t="s">
        <v>4636</v>
      </c>
      <c r="O115" s="64"/>
      <c r="P115" s="45" t="b">
        <f t="shared" si="3"/>
        <v>0</v>
      </c>
      <c r="Q115" s="45">
        <f t="shared" si="4"/>
        <v>3</v>
      </c>
      <c r="R115" s="45">
        <f t="shared" si="5"/>
        <v>0</v>
      </c>
      <c r="S115" s="24"/>
      <c r="T115" s="24"/>
      <c r="U115" s="24"/>
      <c r="V115" s="24"/>
      <c r="W115" s="24"/>
      <c r="X115" s="24"/>
      <c r="Y115" s="24"/>
      <c r="Z115" s="24"/>
      <c r="AA115" s="24"/>
      <c r="AB115" s="24"/>
      <c r="AC115" s="24"/>
    </row>
    <row r="116" spans="1:29" ht="108.7">
      <c r="A116" s="26" t="s">
        <v>3424</v>
      </c>
      <c r="B116" s="26" t="s">
        <v>3425</v>
      </c>
      <c r="C116" s="26" t="s">
        <v>3426</v>
      </c>
      <c r="D116" s="26" t="s">
        <v>4637</v>
      </c>
      <c r="E116" s="25" t="s">
        <v>4638</v>
      </c>
      <c r="F116" s="25" t="s">
        <v>4631</v>
      </c>
      <c r="G116" s="86" t="str">
        <f t="shared" si="17"/>
        <v>FAR 52.216-5 Price Redetermination— Prospective. FAR 52.216-6 Price Redetermination— Retroactive</v>
      </c>
      <c r="H116" s="54"/>
      <c r="I116" s="34" t="s">
        <v>4639</v>
      </c>
      <c r="J116" s="37" t="s">
        <v>1566</v>
      </c>
      <c r="K116" s="37" t="s">
        <v>4640</v>
      </c>
      <c r="L116" s="25" t="s">
        <v>4641</v>
      </c>
      <c r="M116" s="25" t="s">
        <v>4635</v>
      </c>
      <c r="N116" s="25" t="s">
        <v>4636</v>
      </c>
      <c r="O116" s="64"/>
      <c r="P116" s="45" t="b">
        <f t="shared" si="3"/>
        <v>0</v>
      </c>
      <c r="Q116" s="45">
        <f t="shared" si="4"/>
        <v>3</v>
      </c>
      <c r="R116" s="45">
        <f t="shared" si="5"/>
        <v>0</v>
      </c>
      <c r="S116" s="24"/>
      <c r="T116" s="24"/>
      <c r="U116" s="24"/>
      <c r="V116" s="24"/>
      <c r="W116" s="24"/>
      <c r="X116" s="24"/>
      <c r="Y116" s="24"/>
      <c r="Z116" s="24"/>
      <c r="AA116" s="24"/>
      <c r="AB116" s="24"/>
      <c r="AC116" s="24"/>
    </row>
    <row r="117" spans="1:29" ht="152.15">
      <c r="A117" s="26" t="s">
        <v>3424</v>
      </c>
      <c r="B117" s="26" t="s">
        <v>3425</v>
      </c>
      <c r="C117" s="26" t="s">
        <v>3426</v>
      </c>
      <c r="D117" s="26" t="s">
        <v>4642</v>
      </c>
      <c r="E117" s="25" t="s">
        <v>4643</v>
      </c>
      <c r="F117" s="25" t="s">
        <v>4644</v>
      </c>
      <c r="G117" s="86" t="str">
        <f t="shared" si="17"/>
        <v>FAR 52.216-5 Price Redetermination— Prospective. FAR 52.216-6 Price Redetermination— Retroactive</v>
      </c>
      <c r="H117" s="54"/>
      <c r="I117" s="34" t="s">
        <v>4309</v>
      </c>
      <c r="J117" s="37" t="s">
        <v>1566</v>
      </c>
      <c r="K117" s="37" t="s">
        <v>4645</v>
      </c>
      <c r="L117" s="25" t="s">
        <v>4646</v>
      </c>
      <c r="M117" s="25" t="s">
        <v>4647</v>
      </c>
      <c r="N117" s="25" t="s">
        <v>4648</v>
      </c>
      <c r="O117" s="64"/>
      <c r="P117" s="45" t="b">
        <f t="shared" si="3"/>
        <v>0</v>
      </c>
      <c r="Q117" s="45">
        <f t="shared" si="4"/>
        <v>3</v>
      </c>
      <c r="R117" s="45">
        <f t="shared" si="5"/>
        <v>0</v>
      </c>
      <c r="S117" s="24"/>
      <c r="T117" s="24"/>
      <c r="U117" s="24"/>
      <c r="V117" s="24"/>
      <c r="W117" s="24"/>
      <c r="X117" s="24"/>
      <c r="Y117" s="24"/>
      <c r="Z117" s="24"/>
      <c r="AA117" s="24"/>
      <c r="AB117" s="24"/>
      <c r="AC117" s="24"/>
    </row>
    <row r="118" spans="1:29" ht="141.30000000000001">
      <c r="A118" s="26" t="s">
        <v>3424</v>
      </c>
      <c r="B118" s="26" t="s">
        <v>3425</v>
      </c>
      <c r="C118" s="26" t="s">
        <v>3426</v>
      </c>
      <c r="D118" s="26" t="s">
        <v>4649</v>
      </c>
      <c r="E118" s="25" t="s">
        <v>4650</v>
      </c>
      <c r="F118" s="25" t="s">
        <v>4651</v>
      </c>
      <c r="G118" s="86" t="str">
        <f t="shared" si="17"/>
        <v>FAR 52.216-5 Price Redetermination— Prospective. FAR 52.216-6 Price Redetermination— Retroactive</v>
      </c>
      <c r="H118" s="54"/>
      <c r="I118" s="34" t="s">
        <v>4652</v>
      </c>
      <c r="J118" s="37" t="s">
        <v>1566</v>
      </c>
      <c r="K118" s="37" t="s">
        <v>4653</v>
      </c>
      <c r="L118" s="25" t="s">
        <v>4654</v>
      </c>
      <c r="M118" s="25" t="s">
        <v>4655</v>
      </c>
      <c r="N118" s="25" t="s">
        <v>4656</v>
      </c>
      <c r="O118" s="64"/>
      <c r="P118" s="45" t="b">
        <f t="shared" si="3"/>
        <v>0</v>
      </c>
      <c r="Q118" s="45">
        <f t="shared" si="4"/>
        <v>3</v>
      </c>
      <c r="R118" s="45">
        <f t="shared" si="5"/>
        <v>0</v>
      </c>
      <c r="S118" s="24"/>
      <c r="T118" s="24"/>
      <c r="U118" s="24"/>
      <c r="V118" s="24"/>
      <c r="W118" s="24"/>
      <c r="X118" s="24"/>
      <c r="Y118" s="24"/>
      <c r="Z118" s="24"/>
      <c r="AA118" s="24"/>
      <c r="AB118" s="24"/>
      <c r="AC118" s="24"/>
    </row>
    <row r="119" spans="1:29" ht="141.30000000000001">
      <c r="A119" s="26" t="s">
        <v>3424</v>
      </c>
      <c r="B119" s="26" t="s">
        <v>3425</v>
      </c>
      <c r="C119" s="26" t="s">
        <v>3426</v>
      </c>
      <c r="D119" s="26" t="s">
        <v>4657</v>
      </c>
      <c r="E119" s="25" t="s">
        <v>4658</v>
      </c>
      <c r="F119" s="25" t="s">
        <v>4659</v>
      </c>
      <c r="G119" s="86" t="str">
        <f t="shared" si="17"/>
        <v>FAR 52.216-5 Price Redetermination— Prospective. FAR 52.216-6 Price Redetermination— Retroactive</v>
      </c>
      <c r="H119" s="54"/>
      <c r="I119" s="34" t="s">
        <v>4652</v>
      </c>
      <c r="J119" s="37" t="s">
        <v>1566</v>
      </c>
      <c r="K119" s="37" t="s">
        <v>4660</v>
      </c>
      <c r="L119" s="25" t="s">
        <v>4654</v>
      </c>
      <c r="M119" s="25" t="s">
        <v>4655</v>
      </c>
      <c r="N119" s="25" t="s">
        <v>4656</v>
      </c>
      <c r="O119" s="64"/>
      <c r="P119" s="45" t="b">
        <f t="shared" si="3"/>
        <v>0</v>
      </c>
      <c r="Q119" s="45">
        <f t="shared" si="4"/>
        <v>3</v>
      </c>
      <c r="R119" s="45">
        <f t="shared" si="5"/>
        <v>0</v>
      </c>
      <c r="S119" s="24"/>
      <c r="T119" s="24"/>
      <c r="U119" s="24"/>
      <c r="V119" s="24"/>
      <c r="W119" s="24"/>
      <c r="X119" s="24"/>
      <c r="Y119" s="24"/>
      <c r="Z119" s="24"/>
      <c r="AA119" s="24"/>
      <c r="AB119" s="24"/>
      <c r="AC119" s="24"/>
    </row>
    <row r="120" spans="1:29" ht="108.7">
      <c r="A120" s="26" t="s">
        <v>3424</v>
      </c>
      <c r="B120" s="26" t="s">
        <v>3425</v>
      </c>
      <c r="C120" s="26" t="s">
        <v>3426</v>
      </c>
      <c r="D120" s="26" t="s">
        <v>4661</v>
      </c>
      <c r="E120" s="25" t="s">
        <v>4662</v>
      </c>
      <c r="F120" s="25" t="s">
        <v>4663</v>
      </c>
      <c r="G120" s="86" t="str">
        <f t="shared" si="17"/>
        <v>FAR 52.216-5 Price Redetermination— Prospective. FAR 52.216-6 Price Redetermination— Retroactive</v>
      </c>
      <c r="H120" s="54"/>
      <c r="I120" s="34" t="s">
        <v>4347</v>
      </c>
      <c r="J120" s="37" t="s">
        <v>1566</v>
      </c>
      <c r="K120" s="37" t="s">
        <v>4664</v>
      </c>
      <c r="L120" s="25" t="s">
        <v>4665</v>
      </c>
      <c r="M120" s="25" t="s">
        <v>4666</v>
      </c>
      <c r="N120" s="25" t="s">
        <v>4667</v>
      </c>
      <c r="O120" s="64"/>
      <c r="P120" s="45" t="b">
        <f t="shared" si="3"/>
        <v>0</v>
      </c>
      <c r="Q120" s="45">
        <f t="shared" si="4"/>
        <v>3</v>
      </c>
      <c r="R120" s="45">
        <f t="shared" si="5"/>
        <v>0</v>
      </c>
      <c r="S120" s="24"/>
      <c r="T120" s="24"/>
      <c r="U120" s="24"/>
      <c r="V120" s="24"/>
      <c r="W120" s="24"/>
      <c r="X120" s="24"/>
      <c r="Y120" s="24"/>
      <c r="Z120" s="24"/>
      <c r="AA120" s="24"/>
      <c r="AB120" s="24"/>
      <c r="AC120" s="24"/>
    </row>
    <row r="121" spans="1:29" ht="108.7">
      <c r="A121" s="26" t="s">
        <v>3424</v>
      </c>
      <c r="B121" s="26" t="s">
        <v>3425</v>
      </c>
      <c r="C121" s="26" t="s">
        <v>3426</v>
      </c>
      <c r="D121" s="26" t="s">
        <v>4668</v>
      </c>
      <c r="E121" s="25" t="s">
        <v>2616</v>
      </c>
      <c r="F121" s="77" t="s">
        <v>4659</v>
      </c>
      <c r="G121" s="57" t="str">
        <f>HYPERLINK("https://www.acquisition.gov/content/part-4-administrative-matters#i1122357","FAR 4.803 Contents of contract files")</f>
        <v>FAR 4.803 Contents of contract files</v>
      </c>
      <c r="H121" s="57" t="str">
        <f>HYPERLINK("https://www.acquisition.gov/sites/default/files/current/gsam/html/Part504.html#wp1863182","GSAR 504.8")</f>
        <v>GSAR 504.8</v>
      </c>
      <c r="I121" s="34" t="s">
        <v>3387</v>
      </c>
      <c r="J121" s="37" t="s">
        <v>1566</v>
      </c>
      <c r="K121" s="37" t="s">
        <v>4669</v>
      </c>
      <c r="L121" s="25" t="s">
        <v>4670</v>
      </c>
      <c r="M121" s="25" t="s">
        <v>4621</v>
      </c>
      <c r="N121" s="25" t="s">
        <v>617</v>
      </c>
      <c r="O121" s="64"/>
      <c r="P121" s="45" t="b">
        <f t="shared" si="3"/>
        <v>0</v>
      </c>
      <c r="Q121" s="45">
        <f t="shared" si="4"/>
        <v>3</v>
      </c>
      <c r="R121" s="45">
        <f t="shared" si="5"/>
        <v>0</v>
      </c>
      <c r="S121" s="24"/>
      <c r="T121" s="24"/>
      <c r="U121" s="24"/>
      <c r="V121" s="24"/>
      <c r="W121" s="24"/>
      <c r="X121" s="24"/>
      <c r="Y121" s="24"/>
      <c r="Z121" s="24"/>
      <c r="AA121" s="24"/>
      <c r="AB121" s="24"/>
      <c r="AC121" s="24"/>
    </row>
    <row r="122" spans="1:29" ht="152.15">
      <c r="A122" s="26" t="s">
        <v>3424</v>
      </c>
      <c r="B122" s="26" t="s">
        <v>3425</v>
      </c>
      <c r="C122" s="26" t="s">
        <v>3426</v>
      </c>
      <c r="D122" s="26" t="s">
        <v>4671</v>
      </c>
      <c r="E122" s="25" t="s">
        <v>4672</v>
      </c>
      <c r="F122" s="25" t="s">
        <v>4673</v>
      </c>
      <c r="G122" s="159" t="str">
        <f>HYPERLINK("https://www.dcaa.mil/Content/Documents/cam/Chapter_14_-_Other_Contract_Audit_Assignments.pdf","Defense Contract Audit Agency Contract Audit Manual (DCAM) 14-117 Possible Defective Pricing Indicators.")</f>
        <v>Defense Contract Audit Agency Contract Audit Manual (DCAM) 14-117 Possible Defective Pricing Indicators.</v>
      </c>
      <c r="H122" s="54"/>
      <c r="I122" s="34"/>
      <c r="J122" s="37" t="s">
        <v>463</v>
      </c>
      <c r="K122" s="37" t="s">
        <v>4674</v>
      </c>
      <c r="L122" s="102" t="s">
        <v>4675</v>
      </c>
      <c r="M122" s="25" t="s">
        <v>4676</v>
      </c>
      <c r="N122" s="25" t="s">
        <v>4677</v>
      </c>
      <c r="O122" s="64"/>
      <c r="P122" s="45" t="b">
        <f t="shared" si="3"/>
        <v>0</v>
      </c>
      <c r="Q122" s="45">
        <f t="shared" si="4"/>
        <v>0</v>
      </c>
      <c r="R122" s="45">
        <f t="shared" si="5"/>
        <v>0</v>
      </c>
      <c r="S122" s="24"/>
      <c r="T122" s="24"/>
      <c r="U122" s="24"/>
      <c r="V122" s="24"/>
      <c r="W122" s="24"/>
      <c r="X122" s="24"/>
      <c r="Y122" s="24"/>
      <c r="Z122" s="24"/>
      <c r="AA122" s="24"/>
      <c r="AB122" s="24"/>
      <c r="AC122" s="24"/>
    </row>
    <row r="123" spans="1:29" ht="130.44999999999999">
      <c r="A123" s="26" t="s">
        <v>3424</v>
      </c>
      <c r="B123" s="26" t="s">
        <v>3425</v>
      </c>
      <c r="C123" s="26" t="s">
        <v>3426</v>
      </c>
      <c r="D123" s="26" t="s">
        <v>4678</v>
      </c>
      <c r="E123" s="25" t="s">
        <v>4679</v>
      </c>
      <c r="F123" s="25" t="s">
        <v>4680</v>
      </c>
      <c r="G123" s="86" t="str">
        <f>HYPERLINK("https://www.acquisition.gov/content/part-15-contracting-negotiation#i1106430","FAR 15.407-1(d) Defective certified cost or pricing data.")</f>
        <v>FAR 15.407-1(d) Defective certified cost or pricing data.</v>
      </c>
      <c r="H123" s="54"/>
      <c r="I123" s="34"/>
      <c r="J123" s="37" t="s">
        <v>463</v>
      </c>
      <c r="K123" s="37" t="s">
        <v>4681</v>
      </c>
      <c r="L123" s="79" t="s">
        <v>4682</v>
      </c>
      <c r="M123" s="25" t="s">
        <v>4683</v>
      </c>
      <c r="N123" s="25" t="s">
        <v>4684</v>
      </c>
      <c r="O123" s="64"/>
      <c r="P123" s="45" t="b">
        <f t="shared" si="3"/>
        <v>0</v>
      </c>
      <c r="Q123" s="45">
        <f t="shared" si="4"/>
        <v>0</v>
      </c>
      <c r="R123" s="45">
        <f t="shared" si="5"/>
        <v>0</v>
      </c>
      <c r="S123" s="24"/>
      <c r="T123" s="24"/>
      <c r="U123" s="24"/>
      <c r="V123" s="24"/>
      <c r="W123" s="24"/>
      <c r="X123" s="24"/>
      <c r="Y123" s="24"/>
      <c r="Z123" s="24"/>
      <c r="AA123" s="24"/>
      <c r="AB123" s="24"/>
      <c r="AC123" s="24"/>
    </row>
    <row r="124" spans="1:29" ht="108.7">
      <c r="A124" s="26" t="s">
        <v>3424</v>
      </c>
      <c r="B124" s="26" t="s">
        <v>3425</v>
      </c>
      <c r="C124" s="26" t="s">
        <v>3426</v>
      </c>
      <c r="D124" s="26" t="s">
        <v>4685</v>
      </c>
      <c r="E124" s="25" t="s">
        <v>4686</v>
      </c>
      <c r="F124" s="25" t="s">
        <v>4687</v>
      </c>
      <c r="G124" s="86" t="e">
        <f>HYPERLINK("https://www.acquisition.gov/content/part-15-contracting-negotiation#i1106430","FAR 15.407-1(c) Defective certified cost or pricing data. FAR 52.215-10, Price Reduction for Defective Certified Cost or Pricing Data. FAR 52.215-11 Price Reduction for Defective Certified Cost or Pricing Data—Modifications. DCAM 4-304-3 Postaward Audits "&amp;"of Certified Cost or Pricing Data for Possible Defective Pricing. ")</f>
        <v>#VALUE!</v>
      </c>
      <c r="H124" s="54"/>
      <c r="I124" s="34"/>
      <c r="J124" s="37" t="s">
        <v>463</v>
      </c>
      <c r="K124" s="37" t="s">
        <v>4688</v>
      </c>
      <c r="L124" s="25" t="s">
        <v>4689</v>
      </c>
      <c r="M124" s="25" t="s">
        <v>4690</v>
      </c>
      <c r="N124" s="25" t="s">
        <v>4691</v>
      </c>
      <c r="O124" s="64"/>
      <c r="P124" s="45" t="b">
        <f t="shared" si="3"/>
        <v>0</v>
      </c>
      <c r="Q124" s="45">
        <f t="shared" si="4"/>
        <v>0</v>
      </c>
      <c r="R124" s="45">
        <f t="shared" si="5"/>
        <v>0</v>
      </c>
      <c r="S124" s="24"/>
      <c r="T124" s="24"/>
      <c r="U124" s="24"/>
      <c r="V124" s="24"/>
      <c r="W124" s="24"/>
      <c r="X124" s="24"/>
      <c r="Y124" s="24"/>
      <c r="Z124" s="24"/>
      <c r="AA124" s="24"/>
      <c r="AB124" s="24"/>
      <c r="AC124" s="24"/>
    </row>
    <row r="125" spans="1:29" ht="108.7">
      <c r="A125" s="26" t="s">
        <v>3424</v>
      </c>
      <c r="B125" s="26" t="s">
        <v>3425</v>
      </c>
      <c r="C125" s="26" t="s">
        <v>3426</v>
      </c>
      <c r="D125" s="26" t="s">
        <v>4692</v>
      </c>
      <c r="E125" s="25" t="s">
        <v>4693</v>
      </c>
      <c r="F125" s="25" t="s">
        <v>2906</v>
      </c>
      <c r="G125" s="86" t="str">
        <f>HYPERLINK("https://www.acquisition.gov/content/part-15-contracting-negotiation#i1106430","FAR 15.407-1(c) Defective certified cost or pricing data. DCAM 4.304.3 Postaward Audits of Certified Cost or Pricing Data for Possible Defective Pricing. ")</f>
        <v xml:space="preserve">FAR 15.407-1(c) Defective certified cost or pricing data. DCAM 4.304.3 Postaward Audits of Certified Cost or Pricing Data for Possible Defective Pricing. </v>
      </c>
      <c r="H125" s="54"/>
      <c r="I125" s="34"/>
      <c r="J125" s="37" t="s">
        <v>463</v>
      </c>
      <c r="K125" s="37" t="s">
        <v>4694</v>
      </c>
      <c r="L125" s="25" t="s">
        <v>4695</v>
      </c>
      <c r="M125" s="79" t="s">
        <v>4696</v>
      </c>
      <c r="N125" s="79" t="s">
        <v>4697</v>
      </c>
      <c r="O125" s="64"/>
      <c r="P125" s="45" t="b">
        <f t="shared" si="3"/>
        <v>0</v>
      </c>
      <c r="Q125" s="45">
        <f t="shared" si="4"/>
        <v>0</v>
      </c>
      <c r="R125" s="45">
        <f t="shared" si="5"/>
        <v>0</v>
      </c>
      <c r="S125" s="24"/>
      <c r="T125" s="24"/>
      <c r="U125" s="24"/>
      <c r="V125" s="24"/>
      <c r="W125" s="24"/>
      <c r="X125" s="24"/>
      <c r="Y125" s="24"/>
      <c r="Z125" s="24"/>
      <c r="AA125" s="24"/>
      <c r="AB125" s="24"/>
      <c r="AC125" s="24"/>
    </row>
    <row r="126" spans="1:29" ht="119.55">
      <c r="A126" s="26" t="s">
        <v>3424</v>
      </c>
      <c r="B126" s="26" t="s">
        <v>3425</v>
      </c>
      <c r="C126" s="26" t="s">
        <v>3426</v>
      </c>
      <c r="D126" s="26" t="s">
        <v>4698</v>
      </c>
      <c r="E126" s="25" t="s">
        <v>4699</v>
      </c>
      <c r="F126" s="25" t="s">
        <v>4700</v>
      </c>
      <c r="G126" s="86" t="str">
        <f>HYPERLINK("https://www.acquisition.gov/browse/index/far","FAR 15.407-1(d) Defective certified cost or pricing data. FAR 33.211 Contracting officer’s decision [disputes and appeals].")</f>
        <v>FAR 15.407-1(d) Defective certified cost or pricing data. FAR 33.211 Contracting officer’s decision [disputes and appeals].</v>
      </c>
      <c r="H126" s="54"/>
      <c r="I126" s="34"/>
      <c r="J126" s="37" t="s">
        <v>463</v>
      </c>
      <c r="K126" s="37" t="s">
        <v>4701</v>
      </c>
      <c r="L126" s="25" t="s">
        <v>4695</v>
      </c>
      <c r="M126" s="79" t="s">
        <v>4702</v>
      </c>
      <c r="N126" s="79" t="s">
        <v>4703</v>
      </c>
      <c r="O126" s="64"/>
      <c r="P126" s="45" t="b">
        <f t="shared" si="3"/>
        <v>0</v>
      </c>
      <c r="Q126" s="45">
        <f t="shared" si="4"/>
        <v>0</v>
      </c>
      <c r="R126" s="45">
        <f t="shared" si="5"/>
        <v>0</v>
      </c>
      <c r="S126" s="24"/>
      <c r="T126" s="24"/>
      <c r="U126" s="24"/>
      <c r="V126" s="24"/>
      <c r="W126" s="24"/>
      <c r="X126" s="24"/>
      <c r="Y126" s="24"/>
      <c r="Z126" s="24"/>
      <c r="AA126" s="24"/>
      <c r="AB126" s="24"/>
      <c r="AC126" s="24"/>
    </row>
    <row r="127" spans="1:29" ht="108.7">
      <c r="A127" s="26" t="s">
        <v>3424</v>
      </c>
      <c r="B127" s="26" t="s">
        <v>3425</v>
      </c>
      <c r="C127" s="26" t="s">
        <v>3426</v>
      </c>
      <c r="D127" s="26" t="s">
        <v>4704</v>
      </c>
      <c r="E127" s="25" t="s">
        <v>4705</v>
      </c>
      <c r="F127" s="25" t="s">
        <v>4058</v>
      </c>
      <c r="G127" s="86" t="str">
        <f>HYPERLINK("https://www.acquisition.gov/content/part-15-contracting-negotiation#i1106430","FAR 15.407-1(d) Defective cost or certified pricing data.")</f>
        <v>FAR 15.407-1(d) Defective cost or certified pricing data.</v>
      </c>
      <c r="H127" s="54"/>
      <c r="I127" s="34"/>
      <c r="J127" s="37" t="s">
        <v>463</v>
      </c>
      <c r="K127" s="37" t="s">
        <v>4706</v>
      </c>
      <c r="L127" s="25" t="s">
        <v>4707</v>
      </c>
      <c r="M127" s="25" t="s">
        <v>4708</v>
      </c>
      <c r="N127" s="79" t="s">
        <v>4709</v>
      </c>
      <c r="O127" s="64"/>
      <c r="P127" s="45" t="b">
        <f t="shared" si="3"/>
        <v>0</v>
      </c>
      <c r="Q127" s="45">
        <f t="shared" si="4"/>
        <v>0</v>
      </c>
      <c r="R127" s="45">
        <f t="shared" si="5"/>
        <v>0</v>
      </c>
      <c r="S127" s="24"/>
      <c r="T127" s="24"/>
      <c r="U127" s="24"/>
      <c r="V127" s="24"/>
      <c r="W127" s="24"/>
      <c r="X127" s="24"/>
      <c r="Y127" s="24"/>
      <c r="Z127" s="24"/>
      <c r="AA127" s="24"/>
      <c r="AB127" s="24"/>
      <c r="AC127" s="24"/>
    </row>
    <row r="128" spans="1:29" ht="108.7">
      <c r="A128" s="26" t="s">
        <v>3424</v>
      </c>
      <c r="B128" s="26" t="s">
        <v>3425</v>
      </c>
      <c r="C128" s="26" t="s">
        <v>3426</v>
      </c>
      <c r="D128" s="26" t="s">
        <v>4710</v>
      </c>
      <c r="E128" s="25" t="s">
        <v>4711</v>
      </c>
      <c r="F128" s="25" t="s">
        <v>4712</v>
      </c>
      <c r="G128" s="86" t="str">
        <f>HYPERLINK("https://www.acquisition.gov/content/part-15-contracting-negotiation#i1106430","FAR 15.407-1(b)(1) Defective cost or certified pricing data [demand letter].")</f>
        <v>FAR 15.407-1(b)(1) Defective cost or certified pricing data [demand letter].</v>
      </c>
      <c r="H128" s="54"/>
      <c r="I128" s="34"/>
      <c r="J128" s="37" t="s">
        <v>463</v>
      </c>
      <c r="K128" s="37" t="s">
        <v>4713</v>
      </c>
      <c r="L128" s="25" t="s">
        <v>4714</v>
      </c>
      <c r="M128" s="25" t="s">
        <v>4715</v>
      </c>
      <c r="N128" s="25" t="s">
        <v>4716</v>
      </c>
      <c r="O128" s="64"/>
      <c r="P128" s="45" t="b">
        <f t="shared" si="3"/>
        <v>0</v>
      </c>
      <c r="Q128" s="45">
        <f t="shared" si="4"/>
        <v>0</v>
      </c>
      <c r="R128" s="45">
        <f t="shared" si="5"/>
        <v>0</v>
      </c>
      <c r="S128" s="24"/>
      <c r="T128" s="24"/>
      <c r="U128" s="24"/>
      <c r="V128" s="24"/>
      <c r="W128" s="24"/>
      <c r="X128" s="24"/>
      <c r="Y128" s="24"/>
      <c r="Z128" s="24"/>
      <c r="AA128" s="24"/>
      <c r="AB128" s="24"/>
      <c r="AC128" s="24"/>
    </row>
    <row r="129" spans="1:29" ht="108.7">
      <c r="A129" s="26" t="s">
        <v>3424</v>
      </c>
      <c r="B129" s="26" t="s">
        <v>3425</v>
      </c>
      <c r="C129" s="26" t="s">
        <v>3426</v>
      </c>
      <c r="D129" s="26" t="s">
        <v>4717</v>
      </c>
      <c r="E129" s="25" t="s">
        <v>4718</v>
      </c>
      <c r="F129" s="25" t="s">
        <v>4719</v>
      </c>
      <c r="G129" s="86" t="str">
        <f>HYPERLINK("https://www.acquisition.gov/content/part-15-contracting-negotiation#i1106430","FAR 15.407-1(b) Defective certified cost or pricing data.")</f>
        <v>FAR 15.407-1(b) Defective certified cost or pricing data.</v>
      </c>
      <c r="H129" s="54"/>
      <c r="I129" s="34"/>
      <c r="J129" s="37" t="s">
        <v>463</v>
      </c>
      <c r="K129" s="37" t="s">
        <v>4720</v>
      </c>
      <c r="L129" s="79" t="s">
        <v>4721</v>
      </c>
      <c r="M129" s="25" t="s">
        <v>4722</v>
      </c>
      <c r="N129" s="25" t="s">
        <v>4723</v>
      </c>
      <c r="O129" s="64"/>
      <c r="P129" s="45" t="b">
        <f t="shared" si="3"/>
        <v>0</v>
      </c>
      <c r="Q129" s="45">
        <f t="shared" si="4"/>
        <v>0</v>
      </c>
      <c r="R129" s="45">
        <f t="shared" si="5"/>
        <v>0</v>
      </c>
      <c r="S129" s="24"/>
      <c r="T129" s="24"/>
      <c r="U129" s="24"/>
      <c r="V129" s="24"/>
      <c r="W129" s="24"/>
      <c r="X129" s="24"/>
      <c r="Y129" s="24"/>
      <c r="Z129" s="24"/>
      <c r="AA129" s="24"/>
      <c r="AB129" s="24"/>
      <c r="AC129" s="24"/>
    </row>
    <row r="130" spans="1:29" ht="108.7">
      <c r="A130" s="26" t="s">
        <v>3424</v>
      </c>
      <c r="B130" s="26" t="s">
        <v>3425</v>
      </c>
      <c r="C130" s="26" t="s">
        <v>3426</v>
      </c>
      <c r="D130" s="26" t="s">
        <v>4724</v>
      </c>
      <c r="E130" s="25" t="s">
        <v>4725</v>
      </c>
      <c r="F130" s="25" t="s">
        <v>4726</v>
      </c>
      <c r="G130" s="86" t="str">
        <f>HYPERLINK("https://www.acquisition.gov/browse/index/far","FAR 15.407-1(d) Defective certified cost or pricing data. FAR 33.210 Contracting officer’s authority [disputes and appeals].")</f>
        <v>FAR 15.407-1(d) Defective certified cost or pricing data. FAR 33.210 Contracting officer’s authority [disputes and appeals].</v>
      </c>
      <c r="H130" s="54"/>
      <c r="I130" s="34" t="s">
        <v>4347</v>
      </c>
      <c r="J130" s="37" t="s">
        <v>1566</v>
      </c>
      <c r="K130" s="37" t="s">
        <v>4727</v>
      </c>
      <c r="L130" s="25" t="s">
        <v>4728</v>
      </c>
      <c r="M130" s="25" t="s">
        <v>4729</v>
      </c>
      <c r="N130" s="25" t="s">
        <v>4730</v>
      </c>
      <c r="O130" s="64"/>
      <c r="P130" s="45" t="b">
        <f t="shared" si="3"/>
        <v>0</v>
      </c>
      <c r="Q130" s="45">
        <f t="shared" si="4"/>
        <v>3</v>
      </c>
      <c r="R130" s="45">
        <f t="shared" si="5"/>
        <v>0</v>
      </c>
      <c r="S130" s="24"/>
      <c r="T130" s="24"/>
      <c r="U130" s="24"/>
      <c r="V130" s="24"/>
      <c r="W130" s="24"/>
      <c r="X130" s="24"/>
      <c r="Y130" s="24"/>
      <c r="Z130" s="24"/>
      <c r="AA130" s="24"/>
      <c r="AB130" s="24"/>
      <c r="AC130" s="24"/>
    </row>
    <row r="131" spans="1:29" ht="108.7">
      <c r="A131" s="26" t="s">
        <v>3424</v>
      </c>
      <c r="B131" s="26" t="s">
        <v>3425</v>
      </c>
      <c r="C131" s="26" t="s">
        <v>3426</v>
      </c>
      <c r="D131" s="26" t="s">
        <v>4731</v>
      </c>
      <c r="E131" s="25" t="s">
        <v>4732</v>
      </c>
      <c r="F131" s="25" t="s">
        <v>4663</v>
      </c>
      <c r="G131" s="86" t="str">
        <f>HYPERLINK("https://www.acquisition.gov/content/part-15-contracting-negotiation#i1106430","FAR 15.407-1(b)(1) Defective cost or certified pricing data.")</f>
        <v>FAR 15.407-1(b)(1) Defective cost or certified pricing data.</v>
      </c>
      <c r="H131" s="54"/>
      <c r="I131" s="34" t="s">
        <v>4347</v>
      </c>
      <c r="J131" s="37" t="s">
        <v>1566</v>
      </c>
      <c r="K131" s="37" t="s">
        <v>4733</v>
      </c>
      <c r="L131" s="25" t="s">
        <v>4734</v>
      </c>
      <c r="M131" s="25" t="s">
        <v>4735</v>
      </c>
      <c r="N131" s="25" t="s">
        <v>4736</v>
      </c>
      <c r="O131" s="64"/>
      <c r="P131" s="45" t="b">
        <f t="shared" si="3"/>
        <v>0</v>
      </c>
      <c r="Q131" s="45">
        <f t="shared" si="4"/>
        <v>3</v>
      </c>
      <c r="R131" s="45">
        <f t="shared" si="5"/>
        <v>0</v>
      </c>
      <c r="S131" s="24"/>
      <c r="T131" s="24"/>
      <c r="U131" s="24"/>
      <c r="V131" s="24"/>
      <c r="W131" s="24"/>
      <c r="X131" s="24"/>
      <c r="Y131" s="24"/>
      <c r="Z131" s="24"/>
      <c r="AA131" s="24"/>
      <c r="AB131" s="24"/>
      <c r="AC131" s="24"/>
    </row>
    <row r="132" spans="1:29" ht="108.7">
      <c r="A132" s="26" t="s">
        <v>3424</v>
      </c>
      <c r="B132" s="26" t="s">
        <v>3425</v>
      </c>
      <c r="C132" s="26" t="s">
        <v>3426</v>
      </c>
      <c r="D132" s="26" t="s">
        <v>4737</v>
      </c>
      <c r="E132" s="25" t="s">
        <v>4738</v>
      </c>
      <c r="F132" s="25" t="s">
        <v>4739</v>
      </c>
      <c r="G132" s="86" t="str">
        <f>HYPERLINK("https://www.acquisition.gov/browse/index/far","FAR 15.407-1(d) Defective certified cost or pricing data. FAR 33.211 Contracting officer’s decision [disputes and appeals].")</f>
        <v>FAR 15.407-1(d) Defective certified cost or pricing data. FAR 33.211 Contracting officer’s decision [disputes and appeals].</v>
      </c>
      <c r="H132" s="54"/>
      <c r="I132" s="34"/>
      <c r="J132" s="37" t="s">
        <v>463</v>
      </c>
      <c r="K132" s="37" t="s">
        <v>4740</v>
      </c>
      <c r="L132" s="25" t="s">
        <v>4741</v>
      </c>
      <c r="M132" s="25" t="s">
        <v>4708</v>
      </c>
      <c r="N132" s="25" t="s">
        <v>4742</v>
      </c>
      <c r="O132" s="64"/>
      <c r="P132" s="45" t="b">
        <f t="shared" si="3"/>
        <v>0</v>
      </c>
      <c r="Q132" s="45">
        <f t="shared" si="4"/>
        <v>0</v>
      </c>
      <c r="R132" s="45">
        <f t="shared" si="5"/>
        <v>0</v>
      </c>
      <c r="S132" s="24"/>
      <c r="T132" s="24"/>
      <c r="U132" s="24"/>
      <c r="V132" s="24"/>
      <c r="W132" s="24"/>
      <c r="X132" s="24"/>
      <c r="Y132" s="24"/>
      <c r="Z132" s="24"/>
      <c r="AA132" s="24"/>
      <c r="AB132" s="24"/>
      <c r="AC132" s="24"/>
    </row>
    <row r="133" spans="1:29" ht="119.55">
      <c r="A133" s="26" t="s">
        <v>3424</v>
      </c>
      <c r="B133" s="26" t="s">
        <v>3425</v>
      </c>
      <c r="C133" s="26" t="s">
        <v>3426</v>
      </c>
      <c r="D133" s="26" t="s">
        <v>4743</v>
      </c>
      <c r="E133" s="25" t="s">
        <v>4744</v>
      </c>
      <c r="F133" s="25" t="s">
        <v>4745</v>
      </c>
      <c r="G133" s="86" t="str">
        <f>HYPERLINK("https://www.acquisition.gov/browse/index/far","FAR 15.407-1(d) Defective certified cost or pricing data. FAR 42.1503(h) Other contractor performance information [procedures].")</f>
        <v>FAR 15.407-1(d) Defective certified cost or pricing data. FAR 42.1503(h) Other contractor performance information [procedures].</v>
      </c>
      <c r="H133" s="54"/>
      <c r="I133" s="34" t="s">
        <v>4746</v>
      </c>
      <c r="J133" s="37" t="s">
        <v>1566</v>
      </c>
      <c r="K133" s="37" t="s">
        <v>4747</v>
      </c>
      <c r="L133" s="25" t="s">
        <v>4748</v>
      </c>
      <c r="M133" s="25" t="s">
        <v>4749</v>
      </c>
      <c r="N133" s="25" t="s">
        <v>4750</v>
      </c>
      <c r="O133" s="64"/>
      <c r="P133" s="45" t="b">
        <f t="shared" si="3"/>
        <v>0</v>
      </c>
      <c r="Q133" s="45">
        <f t="shared" si="4"/>
        <v>3</v>
      </c>
      <c r="R133" s="45">
        <f t="shared" si="5"/>
        <v>0</v>
      </c>
      <c r="S133" s="24"/>
      <c r="T133" s="24"/>
      <c r="U133" s="24"/>
      <c r="V133" s="24"/>
      <c r="W133" s="24"/>
      <c r="X133" s="24"/>
      <c r="Y133" s="24"/>
      <c r="Z133" s="24"/>
      <c r="AA133" s="24"/>
      <c r="AB133" s="24"/>
      <c r="AC133" s="24"/>
    </row>
    <row r="134" spans="1:29" ht="195.65">
      <c r="A134" s="26" t="s">
        <v>3424</v>
      </c>
      <c r="B134" s="26" t="s">
        <v>3425</v>
      </c>
      <c r="C134" s="26" t="s">
        <v>3426</v>
      </c>
      <c r="D134" s="26" t="s">
        <v>4751</v>
      </c>
      <c r="E134" s="25" t="s">
        <v>4752</v>
      </c>
      <c r="F134" s="25" t="s">
        <v>4753</v>
      </c>
      <c r="G134" s="86" t="str">
        <f>HYPERLINK("https://www.acquisition.gov/browse/index/far","FAR 32.905 Payment documentation and process. FAR 52.213-1 Fast Payment Procedures.")</f>
        <v>FAR 32.905 Payment documentation and process. FAR 52.213-1 Fast Payment Procedures.</v>
      </c>
      <c r="H134" s="54"/>
      <c r="I134" s="34" t="s">
        <v>3433</v>
      </c>
      <c r="J134" s="37" t="s">
        <v>1566</v>
      </c>
      <c r="K134" s="37" t="s">
        <v>4754</v>
      </c>
      <c r="L134" s="25" t="s">
        <v>4755</v>
      </c>
      <c r="M134" s="79" t="s">
        <v>4756</v>
      </c>
      <c r="N134" s="25" t="s">
        <v>4757</v>
      </c>
      <c r="O134" s="64"/>
      <c r="P134" s="45" t="b">
        <f t="shared" si="3"/>
        <v>0</v>
      </c>
      <c r="Q134" s="45">
        <f t="shared" si="4"/>
        <v>3</v>
      </c>
      <c r="R134" s="45">
        <f t="shared" si="5"/>
        <v>0</v>
      </c>
      <c r="S134" s="24"/>
      <c r="T134" s="24"/>
      <c r="U134" s="24"/>
      <c r="V134" s="24"/>
      <c r="W134" s="24"/>
      <c r="X134" s="24"/>
      <c r="Y134" s="24"/>
      <c r="Z134" s="24"/>
      <c r="AA134" s="24"/>
      <c r="AB134" s="24"/>
      <c r="AC134" s="24"/>
    </row>
    <row r="135" spans="1:29" ht="184.75">
      <c r="A135" s="26" t="s">
        <v>3424</v>
      </c>
      <c r="B135" s="26" t="s">
        <v>3425</v>
      </c>
      <c r="C135" s="26" t="s">
        <v>3426</v>
      </c>
      <c r="D135" s="26" t="s">
        <v>4758</v>
      </c>
      <c r="E135" s="25" t="s">
        <v>4759</v>
      </c>
      <c r="F135" s="25" t="s">
        <v>4760</v>
      </c>
      <c r="G135" s="86" t="str">
        <f t="shared" ref="G135:G136" si="18">HYPERLINK("https://www.acquisition.gov/content/part-32-contract-financing#i1081246","FAR 32.905 Payment documentation and process.")</f>
        <v>FAR 32.905 Payment documentation and process.</v>
      </c>
      <c r="H135" s="57" t="str">
        <f t="shared" ref="H135:H136" si="19">HYPERLINK("https://www.acquisition.gov/sites/default/files/current/gsam/html/Part532.html#wp1860354","GSAR 532.905")</f>
        <v>GSAR 532.905</v>
      </c>
      <c r="I135" s="34" t="s">
        <v>3433</v>
      </c>
      <c r="J135" s="37" t="s">
        <v>1566</v>
      </c>
      <c r="K135" s="37" t="s">
        <v>4761</v>
      </c>
      <c r="L135" s="25" t="s">
        <v>4755</v>
      </c>
      <c r="M135" s="79" t="s">
        <v>4762</v>
      </c>
      <c r="N135" s="25" t="s">
        <v>4763</v>
      </c>
      <c r="O135" s="64"/>
      <c r="P135" s="45" t="b">
        <f t="shared" si="3"/>
        <v>0</v>
      </c>
      <c r="Q135" s="45">
        <f t="shared" si="4"/>
        <v>3</v>
      </c>
      <c r="R135" s="45">
        <f t="shared" si="5"/>
        <v>0</v>
      </c>
      <c r="S135" s="24"/>
      <c r="T135" s="24"/>
      <c r="U135" s="24"/>
      <c r="V135" s="24"/>
      <c r="W135" s="24"/>
      <c r="X135" s="24"/>
      <c r="Y135" s="24"/>
      <c r="Z135" s="24"/>
      <c r="AA135" s="24"/>
      <c r="AB135" s="24"/>
      <c r="AC135" s="24"/>
    </row>
    <row r="136" spans="1:29" ht="108.7">
      <c r="A136" s="26" t="s">
        <v>3424</v>
      </c>
      <c r="B136" s="26" t="s">
        <v>3425</v>
      </c>
      <c r="C136" s="26" t="s">
        <v>3426</v>
      </c>
      <c r="D136" s="26" t="s">
        <v>4764</v>
      </c>
      <c r="E136" s="25" t="s">
        <v>4765</v>
      </c>
      <c r="F136" s="25" t="s">
        <v>4766</v>
      </c>
      <c r="G136" s="86" t="str">
        <f t="shared" si="18"/>
        <v>FAR 32.905 Payment documentation and process.</v>
      </c>
      <c r="H136" s="57" t="str">
        <f t="shared" si="19"/>
        <v>GSAR 532.905</v>
      </c>
      <c r="I136" s="34" t="s">
        <v>3433</v>
      </c>
      <c r="J136" s="37" t="s">
        <v>1566</v>
      </c>
      <c r="K136" s="37" t="s">
        <v>4767</v>
      </c>
      <c r="L136" s="25" t="s">
        <v>4768</v>
      </c>
      <c r="M136" s="25" t="s">
        <v>4769</v>
      </c>
      <c r="N136" s="25" t="s">
        <v>4770</v>
      </c>
      <c r="O136" s="64"/>
      <c r="P136" s="45" t="b">
        <f t="shared" si="3"/>
        <v>0</v>
      </c>
      <c r="Q136" s="45">
        <f t="shared" si="4"/>
        <v>3</v>
      </c>
      <c r="R136" s="45">
        <f t="shared" si="5"/>
        <v>0</v>
      </c>
      <c r="S136" s="24"/>
      <c r="T136" s="24"/>
      <c r="U136" s="24"/>
      <c r="V136" s="24"/>
      <c r="W136" s="24"/>
      <c r="X136" s="24"/>
      <c r="Y136" s="24"/>
      <c r="Z136" s="24"/>
      <c r="AA136" s="24"/>
      <c r="AB136" s="24"/>
      <c r="AC136" s="24"/>
    </row>
    <row r="137" spans="1:29" ht="108.7">
      <c r="A137" s="26" t="s">
        <v>3424</v>
      </c>
      <c r="B137" s="26" t="s">
        <v>3425</v>
      </c>
      <c r="C137" s="26" t="s">
        <v>3426</v>
      </c>
      <c r="D137" s="26" t="s">
        <v>4771</v>
      </c>
      <c r="E137" s="25" t="s">
        <v>4772</v>
      </c>
      <c r="F137" s="25" t="s">
        <v>4773</v>
      </c>
      <c r="G137" s="86" t="str">
        <f>HYPERLINK("https://www.acquisition.gov/content/32804-extent-assignee%E2%80%99s-protection?&amp;searchTerms=32.804","FAR 32.804 Extent of assignee’s protection.")</f>
        <v>FAR 32.804 Extent of assignee’s protection.</v>
      </c>
      <c r="H137" s="54"/>
      <c r="I137" s="34" t="s">
        <v>3433</v>
      </c>
      <c r="J137" s="37" t="s">
        <v>1566</v>
      </c>
      <c r="K137" s="37" t="s">
        <v>4774</v>
      </c>
      <c r="L137" s="25" t="s">
        <v>4775</v>
      </c>
      <c r="M137" s="25" t="s">
        <v>4776</v>
      </c>
      <c r="N137" s="25" t="s">
        <v>4777</v>
      </c>
      <c r="O137" s="64"/>
      <c r="P137" s="45" t="b">
        <f t="shared" si="3"/>
        <v>0</v>
      </c>
      <c r="Q137" s="45">
        <f t="shared" si="4"/>
        <v>3</v>
      </c>
      <c r="R137" s="45">
        <f t="shared" si="5"/>
        <v>0</v>
      </c>
      <c r="S137" s="24"/>
      <c r="T137" s="24"/>
      <c r="U137" s="24"/>
      <c r="V137" s="24"/>
      <c r="W137" s="24"/>
      <c r="X137" s="24"/>
      <c r="Y137" s="24"/>
      <c r="Z137" s="24"/>
      <c r="AA137" s="24"/>
      <c r="AB137" s="24"/>
      <c r="AC137" s="24"/>
    </row>
    <row r="138" spans="1:29" ht="108.7">
      <c r="A138" s="26" t="s">
        <v>3424</v>
      </c>
      <c r="B138" s="26" t="s">
        <v>3425</v>
      </c>
      <c r="C138" s="26" t="s">
        <v>3426</v>
      </c>
      <c r="D138" s="26" t="s">
        <v>4778</v>
      </c>
      <c r="E138" s="25" t="s">
        <v>4779</v>
      </c>
      <c r="F138" s="25" t="s">
        <v>4780</v>
      </c>
      <c r="G138" s="86" t="str">
        <f>HYPERLINK("https://www.acquisition.gov/content/part-32-contract-financing#i1081246","FAR 32.905 Payment documentation and process.")</f>
        <v>FAR 32.905 Payment documentation and process.</v>
      </c>
      <c r="H138" s="57" t="str">
        <f t="shared" ref="H138:H139" si="20">HYPERLINK("https://www.acquisition.gov/sites/default/files/current/gsam/html/Part532.html#wp1860354","GSAR 532.905")</f>
        <v>GSAR 532.905</v>
      </c>
      <c r="I138" s="34" t="s">
        <v>3433</v>
      </c>
      <c r="J138" s="37" t="s">
        <v>1566</v>
      </c>
      <c r="K138" s="37" t="s">
        <v>4781</v>
      </c>
      <c r="L138" s="25" t="s">
        <v>4782</v>
      </c>
      <c r="M138" s="25" t="s">
        <v>4783</v>
      </c>
      <c r="N138" s="25" t="s">
        <v>4784</v>
      </c>
      <c r="O138" s="64"/>
      <c r="P138" s="45" t="b">
        <f t="shared" si="3"/>
        <v>0</v>
      </c>
      <c r="Q138" s="45">
        <f t="shared" si="4"/>
        <v>3</v>
      </c>
      <c r="R138" s="45">
        <f t="shared" si="5"/>
        <v>0</v>
      </c>
      <c r="S138" s="24"/>
      <c r="T138" s="24"/>
      <c r="U138" s="24"/>
      <c r="V138" s="24"/>
      <c r="W138" s="24"/>
      <c r="X138" s="24"/>
      <c r="Y138" s="24"/>
      <c r="Z138" s="24"/>
      <c r="AA138" s="24"/>
      <c r="AB138" s="24"/>
      <c r="AC138" s="24"/>
    </row>
    <row r="139" spans="1:29" ht="108.7">
      <c r="A139" s="26" t="s">
        <v>3424</v>
      </c>
      <c r="B139" s="26" t="s">
        <v>3425</v>
      </c>
      <c r="C139" s="26" t="s">
        <v>3426</v>
      </c>
      <c r="D139" s="26" t="s">
        <v>4785</v>
      </c>
      <c r="E139" s="25" t="s">
        <v>4786</v>
      </c>
      <c r="F139" s="25" t="s">
        <v>4680</v>
      </c>
      <c r="G139" s="86" t="str">
        <f>HYPERLINK("https://www.acquisition.gov/content/part-32-contract-financing#i1081246","FAR 32.905 Payment documentation and process. FAR 32.907 Interest penalties.")</f>
        <v>FAR 32.905 Payment documentation and process. FAR 32.907 Interest penalties.</v>
      </c>
      <c r="H139" s="57" t="str">
        <f t="shared" si="20"/>
        <v>GSAR 532.905</v>
      </c>
      <c r="I139" s="34" t="s">
        <v>4525</v>
      </c>
      <c r="J139" s="37" t="s">
        <v>1566</v>
      </c>
      <c r="K139" s="37" t="s">
        <v>4787</v>
      </c>
      <c r="L139" s="25" t="s">
        <v>4788</v>
      </c>
      <c r="M139" s="25" t="s">
        <v>4789</v>
      </c>
      <c r="N139" s="25" t="s">
        <v>617</v>
      </c>
      <c r="O139" s="64"/>
      <c r="P139" s="45" t="b">
        <f t="shared" si="3"/>
        <v>0</v>
      </c>
      <c r="Q139" s="45">
        <f t="shared" si="4"/>
        <v>3</v>
      </c>
      <c r="R139" s="45">
        <f t="shared" si="5"/>
        <v>0</v>
      </c>
      <c r="S139" s="24"/>
      <c r="T139" s="24"/>
      <c r="U139" s="24"/>
      <c r="V139" s="24"/>
      <c r="W139" s="24"/>
      <c r="X139" s="24"/>
      <c r="Y139" s="24"/>
      <c r="Z139" s="24"/>
      <c r="AA139" s="24"/>
      <c r="AB139" s="24"/>
      <c r="AC139" s="24"/>
    </row>
    <row r="140" spans="1:29" ht="163.05000000000001">
      <c r="A140" s="26" t="s">
        <v>3424</v>
      </c>
      <c r="B140" s="26" t="s">
        <v>3425</v>
      </c>
      <c r="C140" s="26" t="s">
        <v>3426</v>
      </c>
      <c r="D140" s="26" t="s">
        <v>4790</v>
      </c>
      <c r="E140" s="25" t="s">
        <v>4791</v>
      </c>
      <c r="F140" s="25" t="s">
        <v>4792</v>
      </c>
      <c r="G140" s="86" t="str">
        <f>HYPERLINK("https://www.acquisition.gov/content/part-32-contract-financing#i1081142","FAR 32.904 Determining payment date. FAR 32.907 Interest penalties.")</f>
        <v>FAR 32.904 Determining payment date. FAR 32.907 Interest penalties.</v>
      </c>
      <c r="H140" s="57" t="str">
        <f>HYPERLINK("https://www.acquisition.gov/sites/default/files/current/gsam/html/Part532.html#wp1860339","GSAR 532.904")</f>
        <v>GSAR 532.904</v>
      </c>
      <c r="I140" s="34" t="s">
        <v>3433</v>
      </c>
      <c r="J140" s="37" t="s">
        <v>1566</v>
      </c>
      <c r="K140" s="37" t="s">
        <v>4793</v>
      </c>
      <c r="L140" s="25" t="s">
        <v>4794</v>
      </c>
      <c r="M140" s="25" t="s">
        <v>4795</v>
      </c>
      <c r="N140" s="25" t="s">
        <v>4796</v>
      </c>
      <c r="O140" s="64"/>
      <c r="P140" s="45" t="b">
        <f t="shared" si="3"/>
        <v>0</v>
      </c>
      <c r="Q140" s="45">
        <f t="shared" si="4"/>
        <v>3</v>
      </c>
      <c r="R140" s="45">
        <f t="shared" si="5"/>
        <v>0</v>
      </c>
      <c r="S140" s="24"/>
      <c r="T140" s="24"/>
      <c r="U140" s="24"/>
      <c r="V140" s="24"/>
      <c r="W140" s="24"/>
      <c r="X140" s="24"/>
      <c r="Y140" s="24"/>
      <c r="Z140" s="24"/>
      <c r="AA140" s="24"/>
      <c r="AB140" s="24"/>
      <c r="AC140" s="24"/>
    </row>
    <row r="141" spans="1:29" ht="141.30000000000001">
      <c r="A141" s="26" t="s">
        <v>3424</v>
      </c>
      <c r="B141" s="26" t="s">
        <v>3425</v>
      </c>
      <c r="C141" s="26" t="s">
        <v>3426</v>
      </c>
      <c r="D141" s="26" t="s">
        <v>4797</v>
      </c>
      <c r="E141" s="25" t="s">
        <v>4798</v>
      </c>
      <c r="F141" s="25" t="s">
        <v>4700</v>
      </c>
      <c r="G141" s="86" t="str">
        <f>HYPERLINK("https://www.acquisition.gov/content/part-32-contract-financing#id1617MD0F0S8","FAR 32.601 General [contract debts]. FAR 32.602 Responsibilities [contract debts]. FAR 32.603 Debt determination [contract debts].")</f>
        <v>FAR 32.601 General [contract debts]. FAR 32.602 Responsibilities [contract debts]. FAR 32.603 Debt determination [contract debts].</v>
      </c>
      <c r="H141" s="160" t="str">
        <f>HYPERLINK("https://insite.gsa.gov/cdnstatic/insite/CFO_42531C_Accounts_Receivable_and_Debt_Collection_Policy_Manual_%28Posted_Version_-_March_21%2C_2019%29_.pdf","Accounting Operations—Accounts Receivable and Credit and Finance Operations, and Related Activities Handbook (PFM P 4253.1)")</f>
        <v>Accounting Operations—Accounts Receivable and Credit and Finance Operations, and Related Activities Handbook (PFM P 4253.1)</v>
      </c>
      <c r="I141" s="34"/>
      <c r="J141" s="37" t="s">
        <v>463</v>
      </c>
      <c r="K141" s="37" t="s">
        <v>4799</v>
      </c>
      <c r="L141" s="79" t="s">
        <v>4800</v>
      </c>
      <c r="M141" s="79" t="s">
        <v>4801</v>
      </c>
      <c r="N141" s="79" t="s">
        <v>4802</v>
      </c>
      <c r="O141" s="64"/>
      <c r="P141" s="45" t="b">
        <f t="shared" si="3"/>
        <v>0</v>
      </c>
      <c r="Q141" s="45">
        <f t="shared" si="4"/>
        <v>0</v>
      </c>
      <c r="R141" s="45">
        <f t="shared" si="5"/>
        <v>0</v>
      </c>
      <c r="S141" s="24"/>
      <c r="T141" s="24"/>
      <c r="U141" s="24"/>
      <c r="V141" s="24"/>
      <c r="W141" s="24"/>
      <c r="X141" s="24"/>
      <c r="Y141" s="24"/>
      <c r="Z141" s="24"/>
      <c r="AA141" s="24"/>
      <c r="AB141" s="24"/>
      <c r="AC141" s="24"/>
    </row>
    <row r="142" spans="1:29" ht="119.55">
      <c r="A142" s="26" t="s">
        <v>3424</v>
      </c>
      <c r="B142" s="26" t="s">
        <v>3425</v>
      </c>
      <c r="C142" s="26" t="s">
        <v>3426</v>
      </c>
      <c r="D142" s="26" t="s">
        <v>4803</v>
      </c>
      <c r="E142" s="25" t="s">
        <v>4804</v>
      </c>
      <c r="F142" s="25" t="s">
        <v>4712</v>
      </c>
      <c r="G142" s="86" t="str">
        <f>HYPERLINK("https://www.acquisition.gov/content/part-32-contract-financing#i1081816","FAR 32.604 Demand for payment.")</f>
        <v>FAR 32.604 Demand for payment.</v>
      </c>
      <c r="H142" s="54"/>
      <c r="I142" s="34"/>
      <c r="J142" s="37" t="s">
        <v>463</v>
      </c>
      <c r="K142" s="37" t="s">
        <v>4805</v>
      </c>
      <c r="L142" s="25" t="s">
        <v>4806</v>
      </c>
      <c r="M142" s="25" t="s">
        <v>4807</v>
      </c>
      <c r="N142" s="25" t="s">
        <v>4808</v>
      </c>
      <c r="O142" s="64"/>
      <c r="P142" s="45" t="b">
        <f t="shared" si="3"/>
        <v>0</v>
      </c>
      <c r="Q142" s="45">
        <f t="shared" si="4"/>
        <v>0</v>
      </c>
      <c r="R142" s="45">
        <f t="shared" si="5"/>
        <v>0</v>
      </c>
      <c r="S142" s="24"/>
      <c r="T142" s="24"/>
      <c r="U142" s="24"/>
      <c r="V142" s="24"/>
      <c r="W142" s="24"/>
      <c r="X142" s="24"/>
      <c r="Y142" s="24"/>
      <c r="Z142" s="24"/>
      <c r="AA142" s="24"/>
      <c r="AB142" s="24"/>
      <c r="AC142" s="24"/>
    </row>
    <row r="143" spans="1:29" ht="108.7">
      <c r="A143" s="26" t="s">
        <v>3424</v>
      </c>
      <c r="B143" s="26" t="s">
        <v>3425</v>
      </c>
      <c r="C143" s="26" t="s">
        <v>3426</v>
      </c>
      <c r="D143" s="26" t="s">
        <v>4809</v>
      </c>
      <c r="E143" s="25" t="s">
        <v>4810</v>
      </c>
      <c r="F143" s="25" t="s">
        <v>4659</v>
      </c>
      <c r="G143" s="85" t="s">
        <v>1331</v>
      </c>
      <c r="H143" s="161" t="str">
        <f>HYPERLINK("https://www.acquisition.gov/content/part-532-contract-financing#KVKIUMGE","GSAR 532.606 and PFM P 4253.1")</f>
        <v>GSAR 532.606 and PFM P 4253.1</v>
      </c>
      <c r="I143" s="34"/>
      <c r="J143" s="37" t="s">
        <v>463</v>
      </c>
      <c r="K143" s="37" t="s">
        <v>4811</v>
      </c>
      <c r="L143" s="25" t="s">
        <v>4812</v>
      </c>
      <c r="M143" s="25" t="s">
        <v>4813</v>
      </c>
      <c r="N143" s="25" t="s">
        <v>4814</v>
      </c>
      <c r="O143" s="64"/>
      <c r="P143" s="45" t="b">
        <f t="shared" si="3"/>
        <v>0</v>
      </c>
      <c r="Q143" s="45">
        <f t="shared" si="4"/>
        <v>0</v>
      </c>
      <c r="R143" s="45">
        <f t="shared" si="5"/>
        <v>0</v>
      </c>
      <c r="S143" s="24"/>
      <c r="T143" s="24"/>
      <c r="U143" s="24"/>
      <c r="V143" s="24"/>
      <c r="W143" s="24"/>
      <c r="X143" s="24"/>
      <c r="Y143" s="24"/>
      <c r="Z143" s="24"/>
      <c r="AA143" s="24"/>
      <c r="AB143" s="24"/>
      <c r="AC143" s="24"/>
    </row>
    <row r="144" spans="1:29" ht="141.30000000000001">
      <c r="A144" s="26" t="s">
        <v>3424</v>
      </c>
      <c r="B144" s="26" t="s">
        <v>3425</v>
      </c>
      <c r="C144" s="26" t="s">
        <v>3426</v>
      </c>
      <c r="D144" s="26" t="s">
        <v>4815</v>
      </c>
      <c r="E144" s="25" t="s">
        <v>4816</v>
      </c>
      <c r="F144" s="25" t="s">
        <v>4712</v>
      </c>
      <c r="G144" s="86" t="str">
        <f t="shared" ref="G144:G145" si="21">HYPERLINK("https://www.acquisition.gov/content/part-32-contract-financing#i1081816","FAR 32.604 Demand for payment.")</f>
        <v>FAR 32.604 Demand for payment.</v>
      </c>
      <c r="H144" s="54"/>
      <c r="I144" s="34"/>
      <c r="J144" s="37" t="s">
        <v>463</v>
      </c>
      <c r="K144" s="37" t="s">
        <v>4817</v>
      </c>
      <c r="L144" s="25" t="s">
        <v>4818</v>
      </c>
      <c r="M144" s="25" t="s">
        <v>4819</v>
      </c>
      <c r="N144" s="25" t="s">
        <v>4820</v>
      </c>
      <c r="O144" s="64"/>
      <c r="P144" s="45" t="b">
        <f t="shared" si="3"/>
        <v>0</v>
      </c>
      <c r="Q144" s="45">
        <f t="shared" si="4"/>
        <v>0</v>
      </c>
      <c r="R144" s="45">
        <f t="shared" si="5"/>
        <v>0</v>
      </c>
      <c r="S144" s="24"/>
      <c r="T144" s="24"/>
      <c r="U144" s="24"/>
      <c r="V144" s="24"/>
      <c r="W144" s="24"/>
      <c r="X144" s="24"/>
      <c r="Y144" s="24"/>
      <c r="Z144" s="24"/>
      <c r="AA144" s="24"/>
      <c r="AB144" s="24"/>
      <c r="AC144" s="24"/>
    </row>
    <row r="145" spans="1:29" ht="108.7">
      <c r="A145" s="26" t="s">
        <v>3424</v>
      </c>
      <c r="B145" s="26" t="s">
        <v>3425</v>
      </c>
      <c r="C145" s="26" t="s">
        <v>3426</v>
      </c>
      <c r="D145" s="26" t="s">
        <v>4821</v>
      </c>
      <c r="E145" s="25" t="s">
        <v>4822</v>
      </c>
      <c r="F145" s="25" t="s">
        <v>4663</v>
      </c>
      <c r="G145" s="86" t="str">
        <f t="shared" si="21"/>
        <v>FAR 32.604 Demand for payment.</v>
      </c>
      <c r="H145" s="54"/>
      <c r="I145" s="34" t="s">
        <v>4347</v>
      </c>
      <c r="J145" s="37" t="s">
        <v>1566</v>
      </c>
      <c r="K145" s="37" t="s">
        <v>4823</v>
      </c>
      <c r="L145" s="25" t="s">
        <v>4824</v>
      </c>
      <c r="M145" s="25" t="s">
        <v>4825</v>
      </c>
      <c r="N145" s="25" t="s">
        <v>4826</v>
      </c>
      <c r="O145" s="64"/>
      <c r="P145" s="45" t="b">
        <f t="shared" si="3"/>
        <v>0</v>
      </c>
      <c r="Q145" s="45">
        <f t="shared" si="4"/>
        <v>3</v>
      </c>
      <c r="R145" s="45">
        <f t="shared" si="5"/>
        <v>0</v>
      </c>
      <c r="S145" s="24"/>
      <c r="T145" s="24"/>
      <c r="U145" s="24"/>
      <c r="V145" s="24"/>
      <c r="W145" s="24"/>
      <c r="X145" s="24"/>
      <c r="Y145" s="24"/>
      <c r="Z145" s="24"/>
      <c r="AA145" s="24"/>
      <c r="AB145" s="24"/>
      <c r="AC145" s="24"/>
    </row>
    <row r="146" spans="1:29" ht="108.7">
      <c r="A146" s="66" t="s">
        <v>3424</v>
      </c>
      <c r="B146" s="66" t="s">
        <v>3425</v>
      </c>
      <c r="C146" s="66" t="s">
        <v>3426</v>
      </c>
      <c r="D146" s="66" t="s">
        <v>4827</v>
      </c>
      <c r="E146" s="25" t="s">
        <v>4828</v>
      </c>
      <c r="F146" s="25" t="s">
        <v>4829</v>
      </c>
      <c r="G146" s="86" t="str">
        <f>HYPERLINK("https://www.acquisition.gov/browse/index/far","FAR 32.605 Final decisions; FAR 33.211 Contracting Officer's Decision")</f>
        <v>FAR 32.605 Final decisions; FAR 33.211 Contracting Officer's Decision</v>
      </c>
      <c r="H146" s="54"/>
      <c r="I146" s="34"/>
      <c r="J146" s="37" t="s">
        <v>463</v>
      </c>
      <c r="K146" s="37" t="s">
        <v>4830</v>
      </c>
      <c r="L146" s="25" t="s">
        <v>4831</v>
      </c>
      <c r="M146" s="25" t="s">
        <v>4832</v>
      </c>
      <c r="N146" s="25" t="s">
        <v>4833</v>
      </c>
      <c r="O146" s="64"/>
      <c r="P146" s="45" t="b">
        <f t="shared" si="3"/>
        <v>0</v>
      </c>
      <c r="Q146" s="45">
        <f t="shared" si="4"/>
        <v>0</v>
      </c>
      <c r="R146" s="45">
        <f t="shared" si="5"/>
        <v>0</v>
      </c>
      <c r="S146" s="24"/>
      <c r="T146" s="24"/>
      <c r="U146" s="24"/>
      <c r="V146" s="24"/>
      <c r="W146" s="24"/>
      <c r="X146" s="24"/>
      <c r="Y146" s="24"/>
      <c r="Z146" s="24"/>
      <c r="AA146" s="24"/>
      <c r="AB146" s="24"/>
      <c r="AC146" s="24"/>
    </row>
    <row r="147" spans="1:29" ht="108.7">
      <c r="A147" s="26" t="s">
        <v>3424</v>
      </c>
      <c r="B147" s="26" t="s">
        <v>3425</v>
      </c>
      <c r="C147" s="26" t="s">
        <v>3426</v>
      </c>
      <c r="D147" s="26" t="s">
        <v>4834</v>
      </c>
      <c r="E147" s="25" t="s">
        <v>4835</v>
      </c>
      <c r="F147" s="25" t="s">
        <v>4836</v>
      </c>
      <c r="G147" s="86" t="str">
        <f>HYPERLINK("https://www.acquisition.gov/content/part-32-contract-financing#i1081898","FAR 32.607-2(c) Deferment of collection [contract debts].")</f>
        <v>FAR 32.607-2(c) Deferment of collection [contract debts].</v>
      </c>
      <c r="H147" s="54"/>
      <c r="I147" s="34"/>
      <c r="J147" s="37" t="s">
        <v>463</v>
      </c>
      <c r="K147" s="37" t="s">
        <v>4837</v>
      </c>
      <c r="L147" s="25" t="s">
        <v>4838</v>
      </c>
      <c r="M147" s="25" t="s">
        <v>4839</v>
      </c>
      <c r="N147" s="25" t="s">
        <v>4840</v>
      </c>
      <c r="O147" s="64"/>
      <c r="P147" s="45" t="b">
        <f t="shared" si="3"/>
        <v>0</v>
      </c>
      <c r="Q147" s="45">
        <f t="shared" si="4"/>
        <v>0</v>
      </c>
      <c r="R147" s="45">
        <f t="shared" si="5"/>
        <v>0</v>
      </c>
      <c r="S147" s="24"/>
      <c r="T147" s="24"/>
      <c r="U147" s="24"/>
      <c r="V147" s="24"/>
      <c r="W147" s="24"/>
      <c r="X147" s="24"/>
      <c r="Y147" s="24"/>
      <c r="Z147" s="24"/>
      <c r="AA147" s="24"/>
      <c r="AB147" s="24"/>
      <c r="AC147" s="24"/>
    </row>
    <row r="148" spans="1:29" ht="152.15">
      <c r="A148" s="26" t="s">
        <v>3424</v>
      </c>
      <c r="B148" s="26" t="s">
        <v>3425</v>
      </c>
      <c r="C148" s="26" t="s">
        <v>3426</v>
      </c>
      <c r="D148" s="26" t="s">
        <v>4841</v>
      </c>
      <c r="E148" s="25" t="s">
        <v>4842</v>
      </c>
      <c r="F148" s="25" t="s">
        <v>4843</v>
      </c>
      <c r="G148" s="86" t="str">
        <f>HYPERLINK("https://www.acquisition.gov/content/part-32-contract-financing#i1081898","FAR 32.607-2 Deferment of collection.")</f>
        <v>FAR 32.607-2 Deferment of collection.</v>
      </c>
      <c r="H148" s="54"/>
      <c r="I148" s="34"/>
      <c r="J148" s="37" t="s">
        <v>463</v>
      </c>
      <c r="K148" s="37" t="s">
        <v>4844</v>
      </c>
      <c r="L148" s="79" t="s">
        <v>4845</v>
      </c>
      <c r="M148" s="25" t="s">
        <v>4846</v>
      </c>
      <c r="N148" s="25" t="s">
        <v>4847</v>
      </c>
      <c r="O148" s="64"/>
      <c r="P148" s="45" t="b">
        <f t="shared" si="3"/>
        <v>0</v>
      </c>
      <c r="Q148" s="45">
        <f t="shared" si="4"/>
        <v>0</v>
      </c>
      <c r="R148" s="45">
        <f t="shared" si="5"/>
        <v>0</v>
      </c>
      <c r="S148" s="24"/>
      <c r="T148" s="24"/>
      <c r="U148" s="24"/>
      <c r="V148" s="24"/>
      <c r="W148" s="24"/>
      <c r="X148" s="24"/>
      <c r="Y148" s="24"/>
      <c r="Z148" s="24"/>
      <c r="AA148" s="24"/>
      <c r="AB148" s="24"/>
      <c r="AC148" s="24"/>
    </row>
    <row r="149" spans="1:29" ht="163.05000000000001">
      <c r="A149" s="26" t="s">
        <v>3424</v>
      </c>
      <c r="B149" s="26" t="s">
        <v>3425</v>
      </c>
      <c r="C149" s="26" t="s">
        <v>3426</v>
      </c>
      <c r="D149" s="26" t="s">
        <v>4848</v>
      </c>
      <c r="E149" s="25" t="s">
        <v>4849</v>
      </c>
      <c r="F149" s="25" t="s">
        <v>4850</v>
      </c>
      <c r="G149" s="86" t="str">
        <f>HYPERLINK("https://www.acquisition.gov/content/part-32-contract-financing#i1081898","FAR 32.607-2(c) Deferment of collection.")</f>
        <v>FAR 32.607-2(c) Deferment of collection.</v>
      </c>
      <c r="H149" s="54"/>
      <c r="I149" s="34"/>
      <c r="J149" s="37" t="s">
        <v>463</v>
      </c>
      <c r="K149" s="37" t="s">
        <v>4851</v>
      </c>
      <c r="L149" s="25" t="s">
        <v>4852</v>
      </c>
      <c r="M149" s="25" t="s">
        <v>4853</v>
      </c>
      <c r="N149" s="25" t="s">
        <v>4854</v>
      </c>
      <c r="O149" s="64"/>
      <c r="P149" s="45" t="b">
        <f t="shared" si="3"/>
        <v>0</v>
      </c>
      <c r="Q149" s="45">
        <f t="shared" si="4"/>
        <v>0</v>
      </c>
      <c r="R149" s="45">
        <f t="shared" si="5"/>
        <v>0</v>
      </c>
      <c r="S149" s="24"/>
      <c r="T149" s="24"/>
      <c r="U149" s="24"/>
      <c r="V149" s="24"/>
      <c r="W149" s="24"/>
      <c r="X149" s="24"/>
      <c r="Y149" s="24"/>
      <c r="Z149" s="24"/>
      <c r="AA149" s="24"/>
      <c r="AB149" s="24"/>
      <c r="AC149" s="24"/>
    </row>
    <row r="150" spans="1:29" ht="163.05000000000001">
      <c r="A150" s="26" t="s">
        <v>3424</v>
      </c>
      <c r="B150" s="26" t="s">
        <v>3425</v>
      </c>
      <c r="C150" s="26" t="s">
        <v>3426</v>
      </c>
      <c r="D150" s="26" t="s">
        <v>4855</v>
      </c>
      <c r="E150" s="25" t="s">
        <v>4856</v>
      </c>
      <c r="F150" s="25" t="s">
        <v>4857</v>
      </c>
      <c r="G150" s="86" t="str">
        <f>HYPERLINK("https://www.acquisition.gov/content/part-32-contract-financing#i1081898","FAR 32.607 Deferment of collection.")</f>
        <v>FAR 32.607 Deferment of collection.</v>
      </c>
      <c r="H150" s="54"/>
      <c r="I150" s="34"/>
      <c r="J150" s="37" t="s">
        <v>463</v>
      </c>
      <c r="K150" s="37" t="s">
        <v>4858</v>
      </c>
      <c r="L150" s="25" t="s">
        <v>4859</v>
      </c>
      <c r="M150" s="25" t="s">
        <v>4860</v>
      </c>
      <c r="N150" s="25" t="s">
        <v>4861</v>
      </c>
      <c r="O150" s="64"/>
      <c r="P150" s="45" t="b">
        <f t="shared" si="3"/>
        <v>0</v>
      </c>
      <c r="Q150" s="45">
        <f t="shared" si="4"/>
        <v>0</v>
      </c>
      <c r="R150" s="45">
        <f t="shared" si="5"/>
        <v>0</v>
      </c>
      <c r="S150" s="24"/>
      <c r="T150" s="24"/>
      <c r="U150" s="24"/>
      <c r="V150" s="24"/>
      <c r="W150" s="24"/>
      <c r="X150" s="24"/>
      <c r="Y150" s="24"/>
      <c r="Z150" s="24"/>
      <c r="AA150" s="24"/>
      <c r="AB150" s="24"/>
      <c r="AC150" s="24"/>
    </row>
    <row r="151" spans="1:29" ht="141.30000000000001">
      <c r="A151" s="26" t="s">
        <v>3424</v>
      </c>
      <c r="B151" s="26" t="s">
        <v>3425</v>
      </c>
      <c r="C151" s="26" t="s">
        <v>3426</v>
      </c>
      <c r="D151" s="26" t="s">
        <v>4862</v>
      </c>
      <c r="E151" s="25" t="s">
        <v>4863</v>
      </c>
      <c r="F151" s="25" t="s">
        <v>4864</v>
      </c>
      <c r="G151" s="86" t="str">
        <f>HYPERLINK("https://www.acquisition.gov/content/part-32-contract-financing#i1081950","FAR 32.608 Interest.")</f>
        <v>FAR 32.608 Interest.</v>
      </c>
      <c r="H151" s="54"/>
      <c r="I151" s="34"/>
      <c r="J151" s="37" t="s">
        <v>463</v>
      </c>
      <c r="K151" s="37" t="s">
        <v>4865</v>
      </c>
      <c r="L151" s="25" t="s">
        <v>4866</v>
      </c>
      <c r="M151" s="25" t="s">
        <v>4867</v>
      </c>
      <c r="N151" s="79" t="s">
        <v>4868</v>
      </c>
      <c r="O151" s="64"/>
      <c r="P151" s="45" t="b">
        <f t="shared" si="3"/>
        <v>0</v>
      </c>
      <c r="Q151" s="45">
        <f t="shared" si="4"/>
        <v>0</v>
      </c>
      <c r="R151" s="45">
        <f t="shared" si="5"/>
        <v>0</v>
      </c>
      <c r="S151" s="24"/>
      <c r="T151" s="24"/>
      <c r="U151" s="24"/>
      <c r="V151" s="24"/>
      <c r="W151" s="24"/>
      <c r="X151" s="24"/>
      <c r="Y151" s="24"/>
      <c r="Z151" s="24"/>
      <c r="AA151" s="24"/>
      <c r="AB151" s="24"/>
      <c r="AC151" s="24"/>
    </row>
    <row r="152" spans="1:29" ht="108.7">
      <c r="A152" s="26" t="s">
        <v>3424</v>
      </c>
      <c r="B152" s="26" t="s">
        <v>3425</v>
      </c>
      <c r="C152" s="26" t="s">
        <v>3426</v>
      </c>
      <c r="D152" s="26" t="s">
        <v>4869</v>
      </c>
      <c r="E152" s="25" t="s">
        <v>4870</v>
      </c>
      <c r="F152" s="25" t="s">
        <v>4871</v>
      </c>
      <c r="G152" s="86" t="str">
        <f>HYPERLINK("https://www.acquisition.gov/content/part-32-contract-financing#i1081981","FAR 32.610 Compromising the debt.")</f>
        <v>FAR 32.610 Compromising the debt.</v>
      </c>
      <c r="H152" s="54"/>
      <c r="I152" s="34"/>
      <c r="J152" s="37" t="s">
        <v>463</v>
      </c>
      <c r="K152" s="37" t="s">
        <v>4872</v>
      </c>
      <c r="L152" s="25" t="s">
        <v>4873</v>
      </c>
      <c r="M152" s="25" t="s">
        <v>4874</v>
      </c>
      <c r="N152" s="79" t="s">
        <v>4875</v>
      </c>
      <c r="O152" s="64"/>
      <c r="P152" s="45" t="b">
        <f t="shared" si="3"/>
        <v>0</v>
      </c>
      <c r="Q152" s="45">
        <f t="shared" si="4"/>
        <v>0</v>
      </c>
      <c r="R152" s="45">
        <f t="shared" si="5"/>
        <v>0</v>
      </c>
      <c r="S152" s="24"/>
      <c r="T152" s="24"/>
      <c r="U152" s="24"/>
      <c r="V152" s="24"/>
      <c r="W152" s="24"/>
      <c r="X152" s="24"/>
      <c r="Y152" s="24"/>
      <c r="Z152" s="24"/>
      <c r="AA152" s="24"/>
      <c r="AB152" s="24"/>
      <c r="AC152" s="24"/>
    </row>
    <row r="153" spans="1:29" ht="119.55">
      <c r="A153" s="26" t="s">
        <v>3424</v>
      </c>
      <c r="B153" s="26" t="s">
        <v>3425</v>
      </c>
      <c r="C153" s="26" t="s">
        <v>3426</v>
      </c>
      <c r="D153" s="26" t="s">
        <v>4876</v>
      </c>
      <c r="E153" s="25" t="s">
        <v>4877</v>
      </c>
      <c r="F153" s="25" t="s">
        <v>1075</v>
      </c>
      <c r="G153" s="86" t="str">
        <f>HYPERLINK("https://www.acquisition.gov/content/part-32-contract-financing#i1081800","FAR 32.602 Responsibilities.")</f>
        <v>FAR 32.602 Responsibilities.</v>
      </c>
      <c r="H153" s="54"/>
      <c r="I153" s="34"/>
      <c r="J153" s="37" t="s">
        <v>463</v>
      </c>
      <c r="K153" s="37" t="s">
        <v>4878</v>
      </c>
      <c r="L153" s="25" t="s">
        <v>4879</v>
      </c>
      <c r="M153" s="25" t="s">
        <v>4880</v>
      </c>
      <c r="N153" s="79" t="s">
        <v>4875</v>
      </c>
      <c r="O153" s="64"/>
      <c r="P153" s="45" t="b">
        <f t="shared" si="3"/>
        <v>0</v>
      </c>
      <c r="Q153" s="45">
        <f t="shared" si="4"/>
        <v>0</v>
      </c>
      <c r="R153" s="45">
        <f t="shared" si="5"/>
        <v>0</v>
      </c>
      <c r="S153" s="24"/>
      <c r="T153" s="24"/>
      <c r="U153" s="24"/>
      <c r="V153" s="24"/>
      <c r="W153" s="24"/>
      <c r="X153" s="24"/>
      <c r="Y153" s="24"/>
      <c r="Z153" s="24"/>
      <c r="AA153" s="24"/>
      <c r="AB153" s="24"/>
      <c r="AC153" s="24"/>
    </row>
    <row r="154" spans="1:29" ht="4.5999999999999996" customHeight="1">
      <c r="A154" s="55"/>
      <c r="B154" s="55"/>
      <c r="C154" s="56"/>
      <c r="D154" s="56"/>
      <c r="E154" s="55"/>
      <c r="F154" s="55"/>
      <c r="G154" s="72"/>
      <c r="H154" s="72"/>
      <c r="I154" s="72"/>
      <c r="J154" s="72"/>
      <c r="K154" s="72"/>
      <c r="L154" s="63"/>
      <c r="M154" s="63"/>
      <c r="N154" s="63"/>
      <c r="O154" s="64"/>
      <c r="P154" s="64"/>
      <c r="Q154" s="64"/>
      <c r="R154" s="64"/>
      <c r="S154" s="24"/>
      <c r="T154" s="24"/>
      <c r="U154" s="24"/>
      <c r="V154" s="24"/>
      <c r="W154" s="24"/>
      <c r="X154" s="24"/>
      <c r="Y154" s="24"/>
      <c r="Z154" s="24"/>
      <c r="AA154" s="24"/>
      <c r="AB154" s="24"/>
      <c r="AC154" s="24"/>
    </row>
    <row r="155" spans="1:29" ht="97.85">
      <c r="A155" s="26" t="s">
        <v>4881</v>
      </c>
      <c r="B155" s="26" t="s">
        <v>4882</v>
      </c>
      <c r="C155" s="26" t="s">
        <v>4883</v>
      </c>
      <c r="D155" s="26" t="s">
        <v>4884</v>
      </c>
      <c r="E155" s="25" t="s">
        <v>4885</v>
      </c>
      <c r="F155" s="25" t="s">
        <v>4886</v>
      </c>
      <c r="G155" s="86" t="str">
        <f>HYPERLINK("https://www.acquisition.gov/content/part-43-contract-modifications","FAR Part 43 Contract modification")</f>
        <v>FAR Part 43 Contract modification</v>
      </c>
      <c r="H155" s="57" t="str">
        <f>HYPERLINK("https://www.acquisition.gov/sites/default/files/current/gsam/html/Part543.html#wp1858424","GSAR 543")</f>
        <v>GSAR 543</v>
      </c>
      <c r="I155" s="34" t="s">
        <v>4887</v>
      </c>
      <c r="J155" s="37" t="s">
        <v>1566</v>
      </c>
      <c r="K155" s="37" t="s">
        <v>4888</v>
      </c>
      <c r="L155" s="25" t="s">
        <v>4889</v>
      </c>
      <c r="M155" s="25" t="s">
        <v>4890</v>
      </c>
      <c r="N155" s="79" t="s">
        <v>4891</v>
      </c>
      <c r="O155" s="64"/>
      <c r="P155" s="45" t="b">
        <f t="shared" ref="P155:P187" si="22">IF(AND(O155="Meet the requirements traceability “out of the box”"), 10, IF(AND(O155="Can meet the requirements traceability with configuration or through the use of another commercial product “out of the box” or other arrangement as part of the service offering quoted (i.e. at no additional cost)"), 8, IF(AND(O155="Can meet the requirements traceability with customization at additional cost"), 3, IF(AND(O155="Cannot meet the requirements traceability requirement"), 0))))</f>
        <v>0</v>
      </c>
      <c r="Q155" s="45">
        <f t="shared" ref="Q155:Q187" si="23">IF(J155="Unidentified",0,3)</f>
        <v>3</v>
      </c>
      <c r="R155" s="45">
        <f t="shared" ref="R155:R187" si="24">IF(P155=FALSE,0,IF(P155&gt;4,(P155+Q155),P155))</f>
        <v>0</v>
      </c>
      <c r="S155" s="24"/>
      <c r="T155" s="24"/>
      <c r="U155" s="24"/>
      <c r="V155" s="24"/>
      <c r="W155" s="24"/>
      <c r="X155" s="24"/>
      <c r="Y155" s="24"/>
      <c r="Z155" s="24"/>
      <c r="AA155" s="24"/>
      <c r="AB155" s="24"/>
      <c r="AC155" s="24"/>
    </row>
    <row r="156" spans="1:29" ht="130.44999999999999">
      <c r="A156" s="26" t="s">
        <v>4881</v>
      </c>
      <c r="B156" s="26" t="s">
        <v>4882</v>
      </c>
      <c r="C156" s="26" t="s">
        <v>4883</v>
      </c>
      <c r="D156" s="26" t="s">
        <v>4892</v>
      </c>
      <c r="E156" s="25" t="s">
        <v>4893</v>
      </c>
      <c r="F156" s="25" t="s">
        <v>4894</v>
      </c>
      <c r="G156" s="86" t="str">
        <f>HYPERLINK("https://www.acquisition.gov/content/part-43-contract-modifications#i1074036","FAR 43.103 Types of contract modifications.")</f>
        <v>FAR 43.103 Types of contract modifications.</v>
      </c>
      <c r="H156" s="54"/>
      <c r="I156" s="34" t="s">
        <v>4887</v>
      </c>
      <c r="J156" s="37" t="s">
        <v>1566</v>
      </c>
      <c r="K156" s="37" t="s">
        <v>4895</v>
      </c>
      <c r="L156" s="25" t="s">
        <v>4896</v>
      </c>
      <c r="M156" s="25" t="s">
        <v>4897</v>
      </c>
      <c r="N156" s="25" t="s">
        <v>4898</v>
      </c>
      <c r="O156" s="64"/>
      <c r="P156" s="45" t="b">
        <f t="shared" si="22"/>
        <v>0</v>
      </c>
      <c r="Q156" s="45">
        <f t="shared" si="23"/>
        <v>3</v>
      </c>
      <c r="R156" s="45">
        <f t="shared" si="24"/>
        <v>0</v>
      </c>
      <c r="S156" s="24"/>
      <c r="T156" s="24"/>
      <c r="U156" s="24"/>
      <c r="V156" s="24"/>
      <c r="W156" s="24"/>
      <c r="X156" s="24"/>
      <c r="Y156" s="24"/>
      <c r="Z156" s="24"/>
      <c r="AA156" s="24"/>
      <c r="AB156" s="24"/>
      <c r="AC156" s="24"/>
    </row>
    <row r="157" spans="1:29" ht="141.30000000000001">
      <c r="A157" s="26" t="s">
        <v>4881</v>
      </c>
      <c r="B157" s="26" t="s">
        <v>4882</v>
      </c>
      <c r="C157" s="26" t="s">
        <v>4883</v>
      </c>
      <c r="D157" s="26" t="s">
        <v>4899</v>
      </c>
      <c r="E157" s="25" t="s">
        <v>4900</v>
      </c>
      <c r="F157" s="25" t="s">
        <v>4901</v>
      </c>
      <c r="G157" s="86" t="str">
        <f>HYPERLINK("https://www.acquisition.gov/content/part-43-contract-modifications#i1074036","FAR 43.103(b) Types of contract modifications. ")</f>
        <v xml:space="preserve">FAR 43.103(b) Types of contract modifications. </v>
      </c>
      <c r="H157" s="54"/>
      <c r="I157" s="34" t="s">
        <v>4347</v>
      </c>
      <c r="J157" s="37" t="s">
        <v>1566</v>
      </c>
      <c r="K157" s="37" t="s">
        <v>4902</v>
      </c>
      <c r="L157" s="25" t="s">
        <v>4903</v>
      </c>
      <c r="M157" s="25" t="s">
        <v>4904</v>
      </c>
      <c r="N157" s="25" t="s">
        <v>4905</v>
      </c>
      <c r="O157" s="64"/>
      <c r="P157" s="45" t="b">
        <f t="shared" si="22"/>
        <v>0</v>
      </c>
      <c r="Q157" s="45">
        <f t="shared" si="23"/>
        <v>3</v>
      </c>
      <c r="R157" s="45">
        <f t="shared" si="24"/>
        <v>0</v>
      </c>
      <c r="S157" s="24"/>
      <c r="T157" s="24"/>
      <c r="U157" s="24"/>
      <c r="V157" s="24"/>
      <c r="W157" s="24"/>
      <c r="X157" s="24"/>
      <c r="Y157" s="24"/>
      <c r="Z157" s="24"/>
      <c r="AA157" s="24"/>
      <c r="AB157" s="24"/>
      <c r="AC157" s="24"/>
    </row>
    <row r="158" spans="1:29" ht="86.95">
      <c r="A158" s="26" t="s">
        <v>4881</v>
      </c>
      <c r="B158" s="26" t="s">
        <v>4882</v>
      </c>
      <c r="C158" s="26" t="s">
        <v>4883</v>
      </c>
      <c r="D158" s="26" t="s">
        <v>4906</v>
      </c>
      <c r="E158" s="25" t="s">
        <v>4907</v>
      </c>
      <c r="F158" s="25" t="s">
        <v>4908</v>
      </c>
      <c r="G158" s="86" t="str">
        <f>HYPERLINK("https://www.acquisition.gov/browse/index/far","See specific provision in FAR (e.g., Changes clause, government property, suspension of work, government delay of work, stop work, etc.)")</f>
        <v>See specific provision in FAR (e.g., Changes clause, government property, suspension of work, government delay of work, stop work, etc.)</v>
      </c>
      <c r="H158" s="57" t="str">
        <f>HYPERLINK("https://www.acquisition.gov/sites/default/files/current/gsam/html/Part543.html#wp1858424","GSAR 543")</f>
        <v>GSAR 543</v>
      </c>
      <c r="I158" s="34" t="s">
        <v>4887</v>
      </c>
      <c r="J158" s="37" t="s">
        <v>1566</v>
      </c>
      <c r="K158" s="37" t="s">
        <v>4909</v>
      </c>
      <c r="L158" s="25" t="s">
        <v>4910</v>
      </c>
      <c r="M158" s="25" t="s">
        <v>4911</v>
      </c>
      <c r="N158" s="25" t="s">
        <v>4912</v>
      </c>
      <c r="O158" s="64"/>
      <c r="P158" s="45" t="b">
        <f t="shared" si="22"/>
        <v>0</v>
      </c>
      <c r="Q158" s="45">
        <f t="shared" si="23"/>
        <v>3</v>
      </c>
      <c r="R158" s="45">
        <f t="shared" si="24"/>
        <v>0</v>
      </c>
      <c r="S158" s="24"/>
      <c r="T158" s="24"/>
      <c r="U158" s="24"/>
      <c r="V158" s="24"/>
      <c r="W158" s="24"/>
      <c r="X158" s="24"/>
      <c r="Y158" s="24"/>
      <c r="Z158" s="24"/>
      <c r="AA158" s="24"/>
      <c r="AB158" s="24"/>
      <c r="AC158" s="24"/>
    </row>
    <row r="159" spans="1:29" ht="141.30000000000001">
      <c r="A159" s="26" t="s">
        <v>4881</v>
      </c>
      <c r="B159" s="26" t="s">
        <v>4882</v>
      </c>
      <c r="C159" s="26" t="s">
        <v>4883</v>
      </c>
      <c r="D159" s="26" t="s">
        <v>4913</v>
      </c>
      <c r="E159" s="25" t="s">
        <v>4914</v>
      </c>
      <c r="F159" s="25" t="s">
        <v>4915</v>
      </c>
      <c r="G159" s="86" t="str">
        <f>HYPERLINK("https://www.acquisition.gov/content/part-15-contracting-negotiation#id1617MD00WV1","FAR 15.406-1 Prenegotiation objectives [documentation].")</f>
        <v>FAR 15.406-1 Prenegotiation objectives [documentation].</v>
      </c>
      <c r="H159" s="54"/>
      <c r="I159" s="34" t="s">
        <v>4916</v>
      </c>
      <c r="J159" s="37" t="s">
        <v>1566</v>
      </c>
      <c r="K159" s="37" t="s">
        <v>4917</v>
      </c>
      <c r="L159" s="25" t="s">
        <v>4918</v>
      </c>
      <c r="M159" s="25" t="s">
        <v>4919</v>
      </c>
      <c r="N159" s="25" t="s">
        <v>4920</v>
      </c>
      <c r="O159" s="64"/>
      <c r="P159" s="45" t="b">
        <f t="shared" si="22"/>
        <v>0</v>
      </c>
      <c r="Q159" s="45">
        <f t="shared" si="23"/>
        <v>3</v>
      </c>
      <c r="R159" s="45">
        <f t="shared" si="24"/>
        <v>0</v>
      </c>
      <c r="S159" s="24"/>
      <c r="T159" s="24"/>
      <c r="U159" s="24"/>
      <c r="V159" s="24"/>
      <c r="W159" s="24"/>
      <c r="X159" s="24"/>
      <c r="Y159" s="24"/>
      <c r="Z159" s="24"/>
      <c r="AA159" s="24"/>
      <c r="AB159" s="24"/>
      <c r="AC159" s="24"/>
    </row>
    <row r="160" spans="1:29" ht="119.55">
      <c r="A160" s="26" t="s">
        <v>4881</v>
      </c>
      <c r="B160" s="26" t="s">
        <v>4882</v>
      </c>
      <c r="C160" s="26" t="s">
        <v>4883</v>
      </c>
      <c r="D160" s="26" t="s">
        <v>4921</v>
      </c>
      <c r="E160" s="25" t="s">
        <v>4922</v>
      </c>
      <c r="F160" s="25" t="s">
        <v>4923</v>
      </c>
      <c r="G160" s="86" t="str">
        <f>HYPERLINK("https://www.acquisition.gov/content/part-15-contracting-negotiation#i1106373","FAR 15.405 Price negotiation [contract pricing]")</f>
        <v>FAR 15.405 Price negotiation [contract pricing]</v>
      </c>
      <c r="H160" s="54"/>
      <c r="I160" s="34" t="s">
        <v>4916</v>
      </c>
      <c r="J160" s="37" t="s">
        <v>1566</v>
      </c>
      <c r="K160" s="37" t="s">
        <v>4924</v>
      </c>
      <c r="L160" s="25" t="s">
        <v>4925</v>
      </c>
      <c r="M160" s="25" t="s">
        <v>4926</v>
      </c>
      <c r="N160" s="25" t="s">
        <v>4927</v>
      </c>
      <c r="O160" s="64"/>
      <c r="P160" s="45" t="b">
        <f t="shared" si="22"/>
        <v>0</v>
      </c>
      <c r="Q160" s="45">
        <f t="shared" si="23"/>
        <v>3</v>
      </c>
      <c r="R160" s="45">
        <f t="shared" si="24"/>
        <v>0</v>
      </c>
      <c r="S160" s="24"/>
      <c r="T160" s="24"/>
      <c r="U160" s="24"/>
      <c r="V160" s="24"/>
      <c r="W160" s="24"/>
      <c r="X160" s="24"/>
      <c r="Y160" s="24"/>
      <c r="Z160" s="24"/>
      <c r="AA160" s="24"/>
      <c r="AB160" s="24"/>
      <c r="AC160" s="24"/>
    </row>
    <row r="161" spans="1:29" ht="130.44999999999999">
      <c r="A161" s="26" t="s">
        <v>4881</v>
      </c>
      <c r="B161" s="26" t="s">
        <v>4882</v>
      </c>
      <c r="C161" s="26" t="s">
        <v>4883</v>
      </c>
      <c r="D161" s="26" t="s">
        <v>4928</v>
      </c>
      <c r="E161" s="25" t="s">
        <v>4929</v>
      </c>
      <c r="F161" s="25" t="s">
        <v>4930</v>
      </c>
      <c r="G161" s="86" t="str">
        <f>HYPERLINK("https://www.acquisition.gov/content/part-43-contract-modifications#i1073912","FAR 43.204 Administration [change orders].")</f>
        <v>FAR 43.204 Administration [change orders].</v>
      </c>
      <c r="H161" s="54"/>
      <c r="I161" s="34" t="s">
        <v>4347</v>
      </c>
      <c r="J161" s="37" t="s">
        <v>1566</v>
      </c>
      <c r="K161" s="37" t="s">
        <v>4931</v>
      </c>
      <c r="L161" s="25" t="s">
        <v>4932</v>
      </c>
      <c r="M161" s="79" t="s">
        <v>4933</v>
      </c>
      <c r="N161" s="25" t="s">
        <v>4905</v>
      </c>
      <c r="O161" s="64"/>
      <c r="P161" s="45" t="b">
        <f t="shared" si="22"/>
        <v>0</v>
      </c>
      <c r="Q161" s="45">
        <f t="shared" si="23"/>
        <v>3</v>
      </c>
      <c r="R161" s="45">
        <f t="shared" si="24"/>
        <v>0</v>
      </c>
      <c r="S161" s="24"/>
      <c r="T161" s="24"/>
      <c r="U161" s="24"/>
      <c r="V161" s="24"/>
      <c r="W161" s="24"/>
      <c r="X161" s="24"/>
      <c r="Y161" s="24"/>
      <c r="Z161" s="24"/>
      <c r="AA161" s="24"/>
      <c r="AB161" s="24"/>
      <c r="AC161" s="24"/>
    </row>
    <row r="162" spans="1:29" ht="130.44999999999999">
      <c r="A162" s="26" t="s">
        <v>4881</v>
      </c>
      <c r="B162" s="26" t="s">
        <v>4882</v>
      </c>
      <c r="C162" s="26" t="s">
        <v>4883</v>
      </c>
      <c r="D162" s="26" t="s">
        <v>4934</v>
      </c>
      <c r="E162" s="25" t="s">
        <v>4935</v>
      </c>
      <c r="F162" s="25" t="s">
        <v>4936</v>
      </c>
      <c r="G162" s="86" t="str">
        <f>HYPERLINK("https://www.acquisition.gov/content/part-43-contract-modifications#i1073940","FAR 43.205")</f>
        <v>FAR 43.205</v>
      </c>
      <c r="H162" s="54"/>
      <c r="I162" s="34" t="s">
        <v>4347</v>
      </c>
      <c r="J162" s="37" t="s">
        <v>1566</v>
      </c>
      <c r="K162" s="37" t="s">
        <v>4937</v>
      </c>
      <c r="L162" s="25" t="s">
        <v>4938</v>
      </c>
      <c r="M162" s="79" t="s">
        <v>4939</v>
      </c>
      <c r="N162" s="25" t="s">
        <v>4905</v>
      </c>
      <c r="O162" s="64"/>
      <c r="P162" s="45" t="b">
        <f t="shared" si="22"/>
        <v>0</v>
      </c>
      <c r="Q162" s="45">
        <f t="shared" si="23"/>
        <v>3</v>
      </c>
      <c r="R162" s="45">
        <f t="shared" si="24"/>
        <v>0</v>
      </c>
      <c r="S162" s="24"/>
      <c r="T162" s="24"/>
      <c r="U162" s="24"/>
      <c r="V162" s="24"/>
      <c r="W162" s="24"/>
      <c r="X162" s="24"/>
      <c r="Y162" s="24"/>
      <c r="Z162" s="24"/>
      <c r="AA162" s="24"/>
      <c r="AB162" s="24"/>
      <c r="AC162" s="24"/>
    </row>
    <row r="163" spans="1:29" ht="130.44999999999999">
      <c r="A163" s="26" t="s">
        <v>4881</v>
      </c>
      <c r="B163" s="26" t="s">
        <v>4882</v>
      </c>
      <c r="C163" s="26" t="s">
        <v>4883</v>
      </c>
      <c r="D163" s="26" t="s">
        <v>4940</v>
      </c>
      <c r="E163" s="25" t="s">
        <v>4941</v>
      </c>
      <c r="F163" s="25" t="s">
        <v>4930</v>
      </c>
      <c r="G163" s="86" t="str">
        <f>HYPERLINK("https://www.acquisition.gov/content/part-43-contract-modifications#i1074036","FAR 43.103(a) Bilateral [types of contract modifications].")</f>
        <v>FAR 43.103(a) Bilateral [types of contract modifications].</v>
      </c>
      <c r="H163" s="54"/>
      <c r="I163" s="34" t="s">
        <v>4347</v>
      </c>
      <c r="J163" s="37" t="s">
        <v>1566</v>
      </c>
      <c r="K163" s="37" t="s">
        <v>4942</v>
      </c>
      <c r="L163" s="25" t="s">
        <v>4943</v>
      </c>
      <c r="M163" s="79" t="s">
        <v>4933</v>
      </c>
      <c r="N163" s="25" t="s">
        <v>4905</v>
      </c>
      <c r="O163" s="64"/>
      <c r="P163" s="45" t="b">
        <f t="shared" si="22"/>
        <v>0</v>
      </c>
      <c r="Q163" s="45">
        <f t="shared" si="23"/>
        <v>3</v>
      </c>
      <c r="R163" s="45">
        <f t="shared" si="24"/>
        <v>0</v>
      </c>
      <c r="S163" s="24"/>
      <c r="T163" s="24"/>
      <c r="U163" s="24"/>
      <c r="V163" s="24"/>
      <c r="W163" s="24"/>
      <c r="X163" s="24"/>
      <c r="Y163" s="24"/>
      <c r="Z163" s="24"/>
      <c r="AA163" s="24"/>
      <c r="AB163" s="24"/>
      <c r="AC163" s="24"/>
    </row>
    <row r="164" spans="1:29" ht="130.44999999999999">
      <c r="A164" s="26" t="s">
        <v>4881</v>
      </c>
      <c r="B164" s="26" t="s">
        <v>4882</v>
      </c>
      <c r="C164" s="26" t="s">
        <v>4883</v>
      </c>
      <c r="D164" s="26" t="s">
        <v>4944</v>
      </c>
      <c r="E164" s="25" t="s">
        <v>4945</v>
      </c>
      <c r="F164" s="25" t="s">
        <v>4936</v>
      </c>
      <c r="G164" s="86" t="str">
        <f>HYPERLINK("https://www.acquisition.gov/content/part-43-contract-modifications#id1617MD0L0WW","FAR 43.201 General [change orders].")</f>
        <v>FAR 43.201 General [change orders].</v>
      </c>
      <c r="H164" s="54"/>
      <c r="I164" s="34" t="s">
        <v>4347</v>
      </c>
      <c r="J164" s="37" t="s">
        <v>1566</v>
      </c>
      <c r="K164" s="37" t="s">
        <v>4946</v>
      </c>
      <c r="L164" s="25" t="s">
        <v>4938</v>
      </c>
      <c r="M164" s="79" t="s">
        <v>4939</v>
      </c>
      <c r="N164" s="25" t="s">
        <v>4905</v>
      </c>
      <c r="O164" s="64"/>
      <c r="P164" s="45" t="b">
        <f t="shared" si="22"/>
        <v>0</v>
      </c>
      <c r="Q164" s="45">
        <f t="shared" si="23"/>
        <v>3</v>
      </c>
      <c r="R164" s="45">
        <f t="shared" si="24"/>
        <v>0</v>
      </c>
      <c r="S164" s="24"/>
      <c r="T164" s="24"/>
      <c r="U164" s="24"/>
      <c r="V164" s="24"/>
      <c r="W164" s="24"/>
      <c r="X164" s="24"/>
      <c r="Y164" s="24"/>
      <c r="Z164" s="24"/>
      <c r="AA164" s="24"/>
      <c r="AB164" s="24"/>
      <c r="AC164" s="24"/>
    </row>
    <row r="165" spans="1:29" ht="141.30000000000001">
      <c r="A165" s="66" t="s">
        <v>4881</v>
      </c>
      <c r="B165" s="66" t="s">
        <v>4882</v>
      </c>
      <c r="C165" s="66" t="s">
        <v>4883</v>
      </c>
      <c r="D165" s="66" t="s">
        <v>4947</v>
      </c>
      <c r="E165" s="25" t="s">
        <v>4948</v>
      </c>
      <c r="F165" s="25" t="s">
        <v>4949</v>
      </c>
      <c r="G165" s="57" t="str">
        <f>HYPERLINK("https://www.acquisition.gov/content/part-4-administrative-matters#i1122357","FAR 4.803 Contents of contract files")</f>
        <v>FAR 4.803 Contents of contract files</v>
      </c>
      <c r="H165" s="57" t="str">
        <f>HYPERLINK("https://www.acquisition.gov/sites/default/files/current/gsam/html/Part504.html#wp1863182","GSAR 504.8")</f>
        <v>GSAR 504.8</v>
      </c>
      <c r="I165" s="34" t="s">
        <v>3387</v>
      </c>
      <c r="J165" s="37" t="s">
        <v>1566</v>
      </c>
      <c r="K165" s="37" t="s">
        <v>4950</v>
      </c>
      <c r="L165" s="25" t="s">
        <v>4951</v>
      </c>
      <c r="M165" s="25" t="s">
        <v>4952</v>
      </c>
      <c r="N165" s="25" t="s">
        <v>4953</v>
      </c>
      <c r="O165" s="64"/>
      <c r="P165" s="45" t="b">
        <f t="shared" si="22"/>
        <v>0</v>
      </c>
      <c r="Q165" s="45">
        <f t="shared" si="23"/>
        <v>3</v>
      </c>
      <c r="R165" s="45">
        <f t="shared" si="24"/>
        <v>0</v>
      </c>
      <c r="S165" s="24"/>
      <c r="T165" s="24"/>
      <c r="U165" s="24"/>
      <c r="V165" s="24"/>
      <c r="W165" s="24"/>
      <c r="X165" s="24"/>
      <c r="Y165" s="24"/>
      <c r="Z165" s="24"/>
      <c r="AA165" s="24"/>
      <c r="AB165" s="24"/>
      <c r="AC165" s="24"/>
    </row>
    <row r="166" spans="1:29" ht="86.95">
      <c r="A166" s="26" t="s">
        <v>4881</v>
      </c>
      <c r="B166" s="26" t="s">
        <v>4882</v>
      </c>
      <c r="C166" s="26" t="s">
        <v>4883</v>
      </c>
      <c r="D166" s="26" t="s">
        <v>4954</v>
      </c>
      <c r="E166" s="25" t="s">
        <v>4955</v>
      </c>
      <c r="F166" s="25" t="s">
        <v>4956</v>
      </c>
      <c r="G166" s="86" t="str">
        <f>HYPERLINK("https://www.acquisition.gov/content/part-50-extraordinary-contractual-actions-and-safety-act#i1066774","FAR 50.102-1 Delegation of authority [extraordinary contractual actions and the Safety Act]. FAR 50.102-2 Contract adjustment board [extraordinary contractual actions and the Safety Act].")</f>
        <v>FAR 50.102-1 Delegation of authority [extraordinary contractual actions and the Safety Act]. FAR 50.102-2 Contract adjustment board [extraordinary contractual actions and the Safety Act].</v>
      </c>
      <c r="H166" s="162"/>
      <c r="I166" s="34"/>
      <c r="J166" s="37" t="s">
        <v>463</v>
      </c>
      <c r="K166" s="37" t="s">
        <v>4957</v>
      </c>
      <c r="L166" s="25" t="s">
        <v>4958</v>
      </c>
      <c r="M166" s="25" t="s">
        <v>4959</v>
      </c>
      <c r="N166" s="25" t="s">
        <v>4960</v>
      </c>
      <c r="O166" s="64"/>
      <c r="P166" s="45" t="b">
        <f t="shared" si="22"/>
        <v>0</v>
      </c>
      <c r="Q166" s="45">
        <f t="shared" si="23"/>
        <v>0</v>
      </c>
      <c r="R166" s="45">
        <f t="shared" si="24"/>
        <v>0</v>
      </c>
      <c r="S166" s="24"/>
      <c r="T166" s="24"/>
      <c r="U166" s="24"/>
      <c r="V166" s="24"/>
      <c r="W166" s="24"/>
      <c r="X166" s="24"/>
      <c r="Y166" s="24"/>
      <c r="Z166" s="24"/>
      <c r="AA166" s="24"/>
      <c r="AB166" s="24"/>
      <c r="AC166" s="24"/>
    </row>
    <row r="167" spans="1:29" ht="76.099999999999994">
      <c r="A167" s="26" t="s">
        <v>4881</v>
      </c>
      <c r="B167" s="26" t="s">
        <v>4882</v>
      </c>
      <c r="C167" s="26" t="s">
        <v>4883</v>
      </c>
      <c r="D167" s="26" t="s">
        <v>4961</v>
      </c>
      <c r="E167" s="25" t="s">
        <v>4962</v>
      </c>
      <c r="F167" s="25" t="s">
        <v>4963</v>
      </c>
      <c r="G167" s="86" t="str">
        <f>HYPERLINK("https://www.acquisition.gov/content/part-50-extraordinary-contractual-actions-and-safety-act#i1066789","FAR 50.102-3 Limitations on exercise of authority [extraordinary contractual actions and the Safety Act].")</f>
        <v>FAR 50.102-3 Limitations on exercise of authority [extraordinary contractual actions and the Safety Act].</v>
      </c>
      <c r="H167" s="162"/>
      <c r="I167" s="34"/>
      <c r="J167" s="37" t="s">
        <v>463</v>
      </c>
      <c r="K167" s="37" t="s">
        <v>4964</v>
      </c>
      <c r="L167" s="25" t="s">
        <v>4965</v>
      </c>
      <c r="M167" s="25" t="s">
        <v>4966</v>
      </c>
      <c r="N167" s="25" t="s">
        <v>4967</v>
      </c>
      <c r="O167" s="64"/>
      <c r="P167" s="45" t="b">
        <f t="shared" si="22"/>
        <v>0</v>
      </c>
      <c r="Q167" s="45">
        <f t="shared" si="23"/>
        <v>0</v>
      </c>
      <c r="R167" s="45">
        <f t="shared" si="24"/>
        <v>0</v>
      </c>
      <c r="S167" s="24"/>
      <c r="T167" s="24"/>
      <c r="U167" s="24"/>
      <c r="V167" s="24"/>
      <c r="W167" s="24"/>
      <c r="X167" s="24"/>
      <c r="Y167" s="24"/>
      <c r="Z167" s="24"/>
      <c r="AA167" s="24"/>
      <c r="AB167" s="24"/>
      <c r="AC167" s="24"/>
    </row>
    <row r="168" spans="1:29" ht="97.85">
      <c r="A168" s="26" t="s">
        <v>4881</v>
      </c>
      <c r="B168" s="26" t="s">
        <v>4882</v>
      </c>
      <c r="C168" s="26" t="s">
        <v>4883</v>
      </c>
      <c r="D168" s="26" t="s">
        <v>4968</v>
      </c>
      <c r="E168" s="25" t="s">
        <v>4969</v>
      </c>
      <c r="F168" s="25" t="s">
        <v>4970</v>
      </c>
      <c r="G168" s="86" t="str">
        <f>HYPERLINK("https://www.acquisition.gov/content/part-50-extraordinary-contractual-actions-and-safety-act#i1066849","FAR 50.103-3(a) Contract adjustments [extraordinary contractual actions and the Safety Act]")</f>
        <v>FAR 50.103-3(a) Contract adjustments [extraordinary contractual actions and the Safety Act]</v>
      </c>
      <c r="H168" s="162"/>
      <c r="I168" s="34"/>
      <c r="J168" s="37" t="s">
        <v>463</v>
      </c>
      <c r="K168" s="37" t="s">
        <v>4971</v>
      </c>
      <c r="L168" s="25" t="s">
        <v>4972</v>
      </c>
      <c r="M168" s="25" t="s">
        <v>4973</v>
      </c>
      <c r="N168" s="25" t="s">
        <v>4974</v>
      </c>
      <c r="O168" s="64"/>
      <c r="P168" s="45" t="b">
        <f t="shared" si="22"/>
        <v>0</v>
      </c>
      <c r="Q168" s="45">
        <f t="shared" si="23"/>
        <v>0</v>
      </c>
      <c r="R168" s="45">
        <f t="shared" si="24"/>
        <v>0</v>
      </c>
      <c r="S168" s="24"/>
      <c r="T168" s="24"/>
      <c r="U168" s="24"/>
      <c r="V168" s="24"/>
      <c r="W168" s="24"/>
      <c r="X168" s="24"/>
      <c r="Y168" s="24"/>
      <c r="Z168" s="24"/>
      <c r="AA168" s="24"/>
      <c r="AB168" s="24"/>
      <c r="AC168" s="24"/>
    </row>
    <row r="169" spans="1:29" ht="86.95">
      <c r="A169" s="26" t="s">
        <v>4881</v>
      </c>
      <c r="B169" s="26" t="s">
        <v>4882</v>
      </c>
      <c r="C169" s="26" t="s">
        <v>4883</v>
      </c>
      <c r="D169" s="26" t="s">
        <v>4975</v>
      </c>
      <c r="E169" s="25" t="s">
        <v>4976</v>
      </c>
      <c r="F169" s="25" t="s">
        <v>4977</v>
      </c>
      <c r="G169" s="86" t="str">
        <f>HYPERLINK("https://www.acquisition.gov/content/part-50-extraordinary-contractual-actions-and-safety-act#i1066849","FAR 50.103-3 Contract adjustments [extraordinary contractual actions and the Safety Act]. FAR 50.103-4 Facts and evidence [extraordinary contractual actions and the Safety Act].")</f>
        <v>FAR 50.103-3 Contract adjustments [extraordinary contractual actions and the Safety Act]. FAR 50.103-4 Facts and evidence [extraordinary contractual actions and the Safety Act].</v>
      </c>
      <c r="H169" s="162"/>
      <c r="I169" s="34"/>
      <c r="J169" s="37" t="s">
        <v>463</v>
      </c>
      <c r="K169" s="37" t="s">
        <v>4978</v>
      </c>
      <c r="L169" s="25" t="s">
        <v>4979</v>
      </c>
      <c r="M169" s="25" t="s">
        <v>4980</v>
      </c>
      <c r="N169" s="25" t="s">
        <v>4981</v>
      </c>
      <c r="O169" s="64"/>
      <c r="P169" s="45" t="b">
        <f t="shared" si="22"/>
        <v>0</v>
      </c>
      <c r="Q169" s="45">
        <f t="shared" si="23"/>
        <v>0</v>
      </c>
      <c r="R169" s="45">
        <f t="shared" si="24"/>
        <v>0</v>
      </c>
      <c r="S169" s="24"/>
      <c r="T169" s="24"/>
      <c r="U169" s="24"/>
      <c r="V169" s="24"/>
      <c r="W169" s="24"/>
      <c r="X169" s="24"/>
      <c r="Y169" s="24"/>
      <c r="Z169" s="24"/>
      <c r="AA169" s="24"/>
      <c r="AB169" s="24"/>
      <c r="AC169" s="24"/>
    </row>
    <row r="170" spans="1:29" ht="86.95">
      <c r="A170" s="26" t="s">
        <v>4881</v>
      </c>
      <c r="B170" s="26" t="s">
        <v>4882</v>
      </c>
      <c r="C170" s="26" t="s">
        <v>4883</v>
      </c>
      <c r="D170" s="26" t="s">
        <v>4982</v>
      </c>
      <c r="E170" s="25" t="s">
        <v>4983</v>
      </c>
      <c r="F170" s="25" t="s">
        <v>4984</v>
      </c>
      <c r="G170" s="86" t="str">
        <f t="shared" ref="G170:G171" si="25">HYPERLINK("https://www.acquisition.gov/content/part-50-extraordinary-contractual-actions-and-safety-act#id1617ME003D9","FAR 50.103-5 Processing cases [extraordinary contractual actions and the Safety Act].")</f>
        <v>FAR 50.103-5 Processing cases [extraordinary contractual actions and the Safety Act].</v>
      </c>
      <c r="H170" s="162"/>
      <c r="I170" s="34"/>
      <c r="J170" s="37" t="s">
        <v>463</v>
      </c>
      <c r="K170" s="37" t="s">
        <v>4985</v>
      </c>
      <c r="L170" s="25" t="s">
        <v>4986</v>
      </c>
      <c r="M170" s="25" t="s">
        <v>4987</v>
      </c>
      <c r="N170" s="25" t="s">
        <v>4988</v>
      </c>
      <c r="O170" s="64"/>
      <c r="P170" s="45" t="b">
        <f t="shared" si="22"/>
        <v>0</v>
      </c>
      <c r="Q170" s="45">
        <f t="shared" si="23"/>
        <v>0</v>
      </c>
      <c r="R170" s="45">
        <f t="shared" si="24"/>
        <v>0</v>
      </c>
      <c r="S170" s="24"/>
      <c r="T170" s="24"/>
      <c r="U170" s="24"/>
      <c r="V170" s="24"/>
      <c r="W170" s="24"/>
      <c r="X170" s="24"/>
      <c r="Y170" s="24"/>
      <c r="Z170" s="24"/>
      <c r="AA170" s="24"/>
      <c r="AB170" s="24"/>
      <c r="AC170" s="24"/>
    </row>
    <row r="171" spans="1:29" ht="86.95">
      <c r="A171" s="26" t="s">
        <v>4881</v>
      </c>
      <c r="B171" s="26" t="s">
        <v>4882</v>
      </c>
      <c r="C171" s="26" t="s">
        <v>4883</v>
      </c>
      <c r="D171" s="26" t="s">
        <v>4989</v>
      </c>
      <c r="E171" s="25" t="s">
        <v>4990</v>
      </c>
      <c r="F171" s="25" t="s">
        <v>4991</v>
      </c>
      <c r="G171" s="86" t="str">
        <f t="shared" si="25"/>
        <v>FAR 50.103-5 Processing cases [extraordinary contractual actions and the Safety Act].</v>
      </c>
      <c r="H171" s="162"/>
      <c r="I171" s="34"/>
      <c r="J171" s="37" t="s">
        <v>463</v>
      </c>
      <c r="K171" s="37" t="s">
        <v>4992</v>
      </c>
      <c r="L171" s="25" t="s">
        <v>4993</v>
      </c>
      <c r="M171" s="25" t="s">
        <v>4994</v>
      </c>
      <c r="N171" s="25" t="s">
        <v>4995</v>
      </c>
      <c r="O171" s="64"/>
      <c r="P171" s="45" t="b">
        <f t="shared" si="22"/>
        <v>0</v>
      </c>
      <c r="Q171" s="45">
        <f t="shared" si="23"/>
        <v>0</v>
      </c>
      <c r="R171" s="45">
        <f t="shared" si="24"/>
        <v>0</v>
      </c>
      <c r="S171" s="24"/>
      <c r="T171" s="24"/>
      <c r="U171" s="24"/>
      <c r="V171" s="24"/>
      <c r="W171" s="24"/>
      <c r="X171" s="24"/>
      <c r="Y171" s="24"/>
      <c r="Z171" s="24"/>
      <c r="AA171" s="24"/>
      <c r="AB171" s="24"/>
      <c r="AC171" s="24"/>
    </row>
    <row r="172" spans="1:29" ht="97.85">
      <c r="A172" s="26" t="s">
        <v>4881</v>
      </c>
      <c r="B172" s="26" t="s">
        <v>4882</v>
      </c>
      <c r="C172" s="26" t="s">
        <v>4883</v>
      </c>
      <c r="D172" s="26" t="s">
        <v>4996</v>
      </c>
      <c r="E172" s="25" t="s">
        <v>4997</v>
      </c>
      <c r="F172" s="25" t="s">
        <v>4998</v>
      </c>
      <c r="G172" s="86" t="str">
        <f>HYPERLINK("https://www.acquisition.gov/content/part-50-extraordinary-contractual-actions-and-safety-act#i1066939","FAR 50.103-6 Disposition [delegation of and limitations on exercise of authority].")</f>
        <v>FAR 50.103-6 Disposition [delegation of and limitations on exercise of authority].</v>
      </c>
      <c r="H172" s="162"/>
      <c r="I172" s="34"/>
      <c r="J172" s="37" t="s">
        <v>463</v>
      </c>
      <c r="K172" s="37" t="s">
        <v>4999</v>
      </c>
      <c r="L172" s="25" t="s">
        <v>5000</v>
      </c>
      <c r="M172" s="25" t="s">
        <v>5001</v>
      </c>
      <c r="N172" s="25" t="s">
        <v>4974</v>
      </c>
      <c r="O172" s="64"/>
      <c r="P172" s="45" t="b">
        <f t="shared" si="22"/>
        <v>0</v>
      </c>
      <c r="Q172" s="45">
        <f t="shared" si="23"/>
        <v>0</v>
      </c>
      <c r="R172" s="45">
        <f t="shared" si="24"/>
        <v>0</v>
      </c>
      <c r="S172" s="24"/>
      <c r="T172" s="24"/>
      <c r="U172" s="24"/>
      <c r="V172" s="24"/>
      <c r="W172" s="24"/>
      <c r="X172" s="24"/>
      <c r="Y172" s="24"/>
      <c r="Z172" s="24"/>
      <c r="AA172" s="24"/>
      <c r="AB172" s="24"/>
      <c r="AC172" s="24"/>
    </row>
    <row r="173" spans="1:29" ht="108.7">
      <c r="A173" s="26" t="s">
        <v>4881</v>
      </c>
      <c r="B173" s="26" t="s">
        <v>4882</v>
      </c>
      <c r="C173" s="26" t="s">
        <v>4883</v>
      </c>
      <c r="D173" s="26" t="s">
        <v>5002</v>
      </c>
      <c r="E173" s="25" t="s">
        <v>5003</v>
      </c>
      <c r="F173" s="25" t="s">
        <v>5004</v>
      </c>
      <c r="G173" s="86" t="str">
        <f>HYPERLINK("https://www.acquisition.gov/content/part-50-extraordinary-contractual-actions-and-safety-act#i1066951","FAR 50.103-7 Contract requirements [delegation of and limitations on exercise of authority].")</f>
        <v>FAR 50.103-7 Contract requirements [delegation of and limitations on exercise of authority].</v>
      </c>
      <c r="H173" s="162"/>
      <c r="I173" s="34"/>
      <c r="J173" s="37" t="s">
        <v>463</v>
      </c>
      <c r="K173" s="37" t="s">
        <v>5005</v>
      </c>
      <c r="L173" s="25" t="s">
        <v>5006</v>
      </c>
      <c r="M173" s="25" t="s">
        <v>5007</v>
      </c>
      <c r="N173" s="41" t="s">
        <v>5008</v>
      </c>
      <c r="O173" s="64"/>
      <c r="P173" s="45" t="b">
        <f t="shared" si="22"/>
        <v>0</v>
      </c>
      <c r="Q173" s="45">
        <f t="shared" si="23"/>
        <v>0</v>
      </c>
      <c r="R173" s="45">
        <f t="shared" si="24"/>
        <v>0</v>
      </c>
      <c r="S173" s="24"/>
      <c r="T173" s="24"/>
      <c r="U173" s="24"/>
      <c r="V173" s="24"/>
      <c r="W173" s="24"/>
      <c r="X173" s="24"/>
      <c r="Y173" s="24"/>
      <c r="Z173" s="24"/>
      <c r="AA173" s="24"/>
      <c r="AB173" s="24"/>
      <c r="AC173" s="24"/>
    </row>
    <row r="174" spans="1:29" ht="76.099999999999994">
      <c r="A174" s="26" t="s">
        <v>4881</v>
      </c>
      <c r="B174" s="26" t="s">
        <v>4882</v>
      </c>
      <c r="C174" s="26" t="s">
        <v>4883</v>
      </c>
      <c r="D174" s="26" t="s">
        <v>5009</v>
      </c>
      <c r="E174" s="25" t="s">
        <v>5010</v>
      </c>
      <c r="F174" s="25" t="s">
        <v>275</v>
      </c>
      <c r="G174" s="86" t="str">
        <f>HYPERLINK("https://www.acquisition.gov/browse/index/far","FAR 4.803 Contents of contract files [government contract files]. FAR 50.103-6 Disposition [delegation of and limitations on exercise of authority].")</f>
        <v>FAR 4.803 Contents of contract files [government contract files]. FAR 50.103-6 Disposition [delegation of and limitations on exercise of authority].</v>
      </c>
      <c r="H174" s="57" t="str">
        <f>HYPERLINK("https://www.acquisition.gov/sites/default/files/current/gsam/html/Part504.html#wp1858232","GSAR 504.803")</f>
        <v>GSAR 504.803</v>
      </c>
      <c r="I174" s="34"/>
      <c r="J174" s="37" t="s">
        <v>463</v>
      </c>
      <c r="K174" s="37" t="s">
        <v>5011</v>
      </c>
      <c r="L174" s="25" t="s">
        <v>5012</v>
      </c>
      <c r="M174" s="25" t="s">
        <v>5013</v>
      </c>
      <c r="N174" s="41" t="s">
        <v>617</v>
      </c>
      <c r="O174" s="64"/>
      <c r="P174" s="45" t="b">
        <f t="shared" si="22"/>
        <v>0</v>
      </c>
      <c r="Q174" s="45">
        <f t="shared" si="23"/>
        <v>0</v>
      </c>
      <c r="R174" s="45">
        <f t="shared" si="24"/>
        <v>0</v>
      </c>
      <c r="S174" s="24"/>
      <c r="T174" s="24"/>
      <c r="U174" s="24"/>
      <c r="V174" s="24"/>
      <c r="W174" s="24"/>
      <c r="X174" s="24"/>
      <c r="Y174" s="24"/>
      <c r="Z174" s="24"/>
      <c r="AA174" s="24"/>
      <c r="AB174" s="24"/>
      <c r="AC174" s="24"/>
    </row>
    <row r="175" spans="1:29" ht="118.9">
      <c r="A175" s="26" t="s">
        <v>4881</v>
      </c>
      <c r="B175" s="26" t="s">
        <v>4882</v>
      </c>
      <c r="C175" s="26" t="s">
        <v>4883</v>
      </c>
      <c r="D175" s="26" t="s">
        <v>5014</v>
      </c>
      <c r="E175" s="25" t="s">
        <v>5015</v>
      </c>
      <c r="F175" s="25" t="s">
        <v>5016</v>
      </c>
      <c r="G175" s="86" t="str">
        <f>HYPERLINK("https://www.acquisition.gov/content/part-17-special-contracting-methods#i1103106","FAR 17.207(c)(2) Exercise of options. ")</f>
        <v xml:space="preserve">FAR 17.207(c)(2) Exercise of options. </v>
      </c>
      <c r="H175" s="57" t="str">
        <f t="shared" ref="H175:H183" si="26">HYPERLINK("https://www.acquisition.gov/sites/default/files/current/gsam/html/Part517.html#wp1858663","GSAR 517.207")</f>
        <v>GSAR 517.207</v>
      </c>
      <c r="I175" s="34" t="s">
        <v>4887</v>
      </c>
      <c r="J175" s="37" t="s">
        <v>1566</v>
      </c>
      <c r="K175" s="37" t="s">
        <v>5017</v>
      </c>
      <c r="L175" s="25" t="s">
        <v>5018</v>
      </c>
      <c r="M175" s="25" t="s">
        <v>5019</v>
      </c>
      <c r="N175" s="25" t="s">
        <v>5020</v>
      </c>
      <c r="O175" s="64"/>
      <c r="P175" s="45" t="b">
        <f t="shared" si="22"/>
        <v>0</v>
      </c>
      <c r="Q175" s="45">
        <f t="shared" si="23"/>
        <v>3</v>
      </c>
      <c r="R175" s="45">
        <f t="shared" si="24"/>
        <v>0</v>
      </c>
      <c r="S175" s="24"/>
      <c r="T175" s="24"/>
      <c r="U175" s="24"/>
      <c r="V175" s="24"/>
      <c r="W175" s="24"/>
      <c r="X175" s="24"/>
      <c r="Y175" s="24"/>
      <c r="Z175" s="24"/>
      <c r="AA175" s="24"/>
      <c r="AB175" s="24"/>
      <c r="AC175" s="24"/>
    </row>
    <row r="176" spans="1:29" ht="108.7">
      <c r="A176" s="26" t="s">
        <v>4881</v>
      </c>
      <c r="B176" s="26" t="s">
        <v>4882</v>
      </c>
      <c r="C176" s="26" t="s">
        <v>4883</v>
      </c>
      <c r="D176" s="26" t="s">
        <v>5021</v>
      </c>
      <c r="E176" s="25" t="s">
        <v>5022</v>
      </c>
      <c r="F176" s="25" t="s">
        <v>5023</v>
      </c>
      <c r="G176" s="86" t="str">
        <f>HYPERLINK("https://www.acquisition.gov/content/part-17-special-contracting-methods#i1103106","FAR 17.207 Exercise of options.")</f>
        <v>FAR 17.207 Exercise of options.</v>
      </c>
      <c r="H176" s="57" t="str">
        <f t="shared" si="26"/>
        <v>GSAR 517.207</v>
      </c>
      <c r="I176" s="34" t="s">
        <v>5024</v>
      </c>
      <c r="J176" s="37" t="s">
        <v>1566</v>
      </c>
      <c r="K176" s="37" t="s">
        <v>5025</v>
      </c>
      <c r="L176" s="25" t="s">
        <v>5026</v>
      </c>
      <c r="M176" s="25" t="s">
        <v>5027</v>
      </c>
      <c r="N176" s="25" t="s">
        <v>5028</v>
      </c>
      <c r="O176" s="64"/>
      <c r="P176" s="45" t="b">
        <f t="shared" si="22"/>
        <v>0</v>
      </c>
      <c r="Q176" s="45">
        <f t="shared" si="23"/>
        <v>3</v>
      </c>
      <c r="R176" s="45">
        <f t="shared" si="24"/>
        <v>0</v>
      </c>
      <c r="S176" s="24"/>
      <c r="T176" s="24"/>
      <c r="U176" s="24"/>
      <c r="V176" s="24"/>
      <c r="W176" s="24"/>
      <c r="X176" s="24"/>
      <c r="Y176" s="24"/>
      <c r="Z176" s="24"/>
      <c r="AA176" s="24"/>
      <c r="AB176" s="24"/>
      <c r="AC176" s="24"/>
    </row>
    <row r="177" spans="1:29" ht="163.05000000000001">
      <c r="A177" s="26" t="s">
        <v>4881</v>
      </c>
      <c r="B177" s="26" t="s">
        <v>4882</v>
      </c>
      <c r="C177" s="26" t="s">
        <v>4883</v>
      </c>
      <c r="D177" s="26" t="s">
        <v>5029</v>
      </c>
      <c r="E177" s="25" t="s">
        <v>5030</v>
      </c>
      <c r="F177" s="25" t="s">
        <v>5031</v>
      </c>
      <c r="G177" s="86" t="str">
        <f>HYPERLINK("https://www.acquisition.gov/content/part-17-special-contracting-methods#i1103106","FAR 17.207(c)(1) Exercise of options.")</f>
        <v>FAR 17.207(c)(1) Exercise of options.</v>
      </c>
      <c r="H177" s="57" t="str">
        <f t="shared" si="26"/>
        <v>GSAR 517.207</v>
      </c>
      <c r="I177" s="34" t="s">
        <v>5024</v>
      </c>
      <c r="J177" s="37" t="s">
        <v>1566</v>
      </c>
      <c r="K177" s="37" t="s">
        <v>5032</v>
      </c>
      <c r="L177" s="25" t="s">
        <v>5033</v>
      </c>
      <c r="M177" s="25" t="s">
        <v>5034</v>
      </c>
      <c r="N177" s="25" t="s">
        <v>5035</v>
      </c>
      <c r="O177" s="64"/>
      <c r="P177" s="45" t="b">
        <f t="shared" si="22"/>
        <v>0</v>
      </c>
      <c r="Q177" s="45">
        <f t="shared" si="23"/>
        <v>3</v>
      </c>
      <c r="R177" s="45">
        <f t="shared" si="24"/>
        <v>0</v>
      </c>
      <c r="S177" s="24"/>
      <c r="T177" s="24"/>
      <c r="U177" s="24"/>
      <c r="V177" s="24"/>
      <c r="W177" s="24"/>
      <c r="X177" s="24"/>
      <c r="Y177" s="24"/>
      <c r="Z177" s="24"/>
      <c r="AA177" s="24"/>
      <c r="AB177" s="24"/>
      <c r="AC177" s="24"/>
    </row>
    <row r="178" spans="1:29" ht="76.099999999999994">
      <c r="A178" s="26" t="s">
        <v>4881</v>
      </c>
      <c r="B178" s="26" t="s">
        <v>4882</v>
      </c>
      <c r="C178" s="26" t="s">
        <v>4883</v>
      </c>
      <c r="D178" s="26" t="s">
        <v>5036</v>
      </c>
      <c r="E178" s="25" t="s">
        <v>5037</v>
      </c>
      <c r="F178" s="25" t="s">
        <v>5038</v>
      </c>
      <c r="G178" s="86" t="str">
        <f>HYPERLINK("https://www.acquisition.gov/browse/index/far","FAR 17.207(c)(4) Exercise of options
FAR 5.201(b)(1)(ii)")</f>
        <v>FAR 17.207(c)(4) Exercise of options
FAR 5.201(b)(1)(ii)</v>
      </c>
      <c r="H178" s="57" t="str">
        <f t="shared" si="26"/>
        <v>GSAR 517.207</v>
      </c>
      <c r="I178" s="34"/>
      <c r="J178" s="37" t="s">
        <v>463</v>
      </c>
      <c r="K178" s="37" t="s">
        <v>5039</v>
      </c>
      <c r="L178" s="25" t="s">
        <v>5040</v>
      </c>
      <c r="M178" s="25" t="s">
        <v>5041</v>
      </c>
      <c r="N178" s="25" t="s">
        <v>5042</v>
      </c>
      <c r="O178" s="64"/>
      <c r="P178" s="45" t="b">
        <f t="shared" si="22"/>
        <v>0</v>
      </c>
      <c r="Q178" s="45">
        <f t="shared" si="23"/>
        <v>0</v>
      </c>
      <c r="R178" s="45">
        <f t="shared" si="24"/>
        <v>0</v>
      </c>
      <c r="S178" s="24"/>
      <c r="T178" s="24"/>
      <c r="U178" s="24"/>
      <c r="V178" s="24"/>
      <c r="W178" s="24"/>
      <c r="X178" s="24"/>
      <c r="Y178" s="24"/>
      <c r="Z178" s="24"/>
      <c r="AA178" s="24"/>
      <c r="AB178" s="24"/>
      <c r="AC178" s="24"/>
    </row>
    <row r="179" spans="1:29" ht="86.95">
      <c r="A179" s="26" t="s">
        <v>4881</v>
      </c>
      <c r="B179" s="26" t="s">
        <v>4882</v>
      </c>
      <c r="C179" s="26" t="s">
        <v>4883</v>
      </c>
      <c r="D179" s="26" t="s">
        <v>5043</v>
      </c>
      <c r="E179" s="25" t="s">
        <v>5044</v>
      </c>
      <c r="F179" s="25" t="s">
        <v>1119</v>
      </c>
      <c r="G179" s="86" t="str">
        <f>HYPERLINK("https://www.acquisition.gov/content/part-17-special-contracting-methods#i1103106","FAR 17.207(c)(5) Exercise of options. FAR 17.207(c)(6) Exercise of options. FAR 17.207(c)(7) Exercise of options")</f>
        <v>FAR 17.207(c)(5) Exercise of options. FAR 17.207(c)(6) Exercise of options. FAR 17.207(c)(7) Exercise of options</v>
      </c>
      <c r="H179" s="57" t="str">
        <f t="shared" si="26"/>
        <v>GSAR 517.207</v>
      </c>
      <c r="I179" s="34" t="s">
        <v>5024</v>
      </c>
      <c r="J179" s="37" t="s">
        <v>1566</v>
      </c>
      <c r="K179" s="37" t="s">
        <v>5045</v>
      </c>
      <c r="L179" s="25" t="s">
        <v>5046</v>
      </c>
      <c r="M179" s="25" t="s">
        <v>5047</v>
      </c>
      <c r="N179" s="25" t="s">
        <v>5048</v>
      </c>
      <c r="O179" s="64"/>
      <c r="P179" s="45" t="b">
        <f t="shared" si="22"/>
        <v>0</v>
      </c>
      <c r="Q179" s="45">
        <f t="shared" si="23"/>
        <v>3</v>
      </c>
      <c r="R179" s="45">
        <f t="shared" si="24"/>
        <v>0</v>
      </c>
      <c r="S179" s="24"/>
      <c r="T179" s="24"/>
      <c r="U179" s="24"/>
      <c r="V179" s="24"/>
      <c r="W179" s="24"/>
      <c r="X179" s="24"/>
      <c r="Y179" s="24"/>
      <c r="Z179" s="24"/>
      <c r="AA179" s="24"/>
      <c r="AB179" s="24"/>
      <c r="AC179" s="24"/>
    </row>
    <row r="180" spans="1:29" ht="86.95">
      <c r="A180" s="26" t="s">
        <v>4881</v>
      </c>
      <c r="B180" s="26" t="s">
        <v>4882</v>
      </c>
      <c r="C180" s="26" t="s">
        <v>4883</v>
      </c>
      <c r="D180" s="26" t="s">
        <v>5049</v>
      </c>
      <c r="E180" s="25" t="s">
        <v>5050</v>
      </c>
      <c r="F180" s="25" t="s">
        <v>5051</v>
      </c>
      <c r="G180" s="86" t="str">
        <f>HYPERLINK("https://www.acquisition.gov/content/part-17-special-contracting-methods#i1103106","FAR 17.207(f) Exercise of options.")</f>
        <v>FAR 17.207(f) Exercise of options.</v>
      </c>
      <c r="H180" s="57" t="str">
        <f t="shared" si="26"/>
        <v>GSAR 517.207</v>
      </c>
      <c r="I180" s="34" t="s">
        <v>5024</v>
      </c>
      <c r="J180" s="37" t="s">
        <v>1566</v>
      </c>
      <c r="K180" s="37" t="s">
        <v>5052</v>
      </c>
      <c r="L180" s="25" t="s">
        <v>5053</v>
      </c>
      <c r="M180" s="25" t="s">
        <v>5054</v>
      </c>
      <c r="N180" s="25" t="s">
        <v>5055</v>
      </c>
      <c r="O180" s="64"/>
      <c r="P180" s="45" t="b">
        <f t="shared" si="22"/>
        <v>0</v>
      </c>
      <c r="Q180" s="45">
        <f t="shared" si="23"/>
        <v>3</v>
      </c>
      <c r="R180" s="45">
        <f t="shared" si="24"/>
        <v>0</v>
      </c>
      <c r="S180" s="24"/>
      <c r="T180" s="24"/>
      <c r="U180" s="24"/>
      <c r="V180" s="24"/>
      <c r="W180" s="24"/>
      <c r="X180" s="24"/>
      <c r="Y180" s="24"/>
      <c r="Z180" s="24"/>
      <c r="AA180" s="24"/>
      <c r="AB180" s="24"/>
      <c r="AC180" s="24"/>
    </row>
    <row r="181" spans="1:29" ht="86.95">
      <c r="A181" s="26" t="s">
        <v>4881</v>
      </c>
      <c r="B181" s="26" t="s">
        <v>4882</v>
      </c>
      <c r="C181" s="26" t="s">
        <v>4883</v>
      </c>
      <c r="D181" s="26" t="s">
        <v>5056</v>
      </c>
      <c r="E181" s="25" t="s">
        <v>5057</v>
      </c>
      <c r="F181" s="25" t="s">
        <v>1396</v>
      </c>
      <c r="G181" s="86" t="str">
        <f>HYPERLINK("https://www.acquisition.gov/content/part-17-special-contracting-methods#i1103106","FAR 17.207(d) Exercise of options")</f>
        <v>FAR 17.207(d) Exercise of options</v>
      </c>
      <c r="H181" s="57" t="str">
        <f t="shared" si="26"/>
        <v>GSAR 517.207</v>
      </c>
      <c r="I181" s="34" t="s">
        <v>5024</v>
      </c>
      <c r="J181" s="37" t="s">
        <v>1566</v>
      </c>
      <c r="K181" s="37" t="s">
        <v>5058</v>
      </c>
      <c r="L181" s="25" t="s">
        <v>5053</v>
      </c>
      <c r="M181" s="25" t="s">
        <v>5054</v>
      </c>
      <c r="N181" s="25" t="s">
        <v>5059</v>
      </c>
      <c r="O181" s="64"/>
      <c r="P181" s="45" t="b">
        <f t="shared" si="22"/>
        <v>0</v>
      </c>
      <c r="Q181" s="45">
        <f t="shared" si="23"/>
        <v>3</v>
      </c>
      <c r="R181" s="45">
        <f t="shared" si="24"/>
        <v>0</v>
      </c>
      <c r="S181" s="24"/>
      <c r="T181" s="24"/>
      <c r="U181" s="24"/>
      <c r="V181" s="24"/>
      <c r="W181" s="24"/>
      <c r="X181" s="24"/>
      <c r="Y181" s="24"/>
      <c r="Z181" s="24"/>
      <c r="AA181" s="24"/>
      <c r="AB181" s="24"/>
      <c r="AC181" s="24"/>
    </row>
    <row r="182" spans="1:29" ht="86.95">
      <c r="A182" s="26" t="s">
        <v>4881</v>
      </c>
      <c r="B182" s="26" t="s">
        <v>4882</v>
      </c>
      <c r="C182" s="26" t="s">
        <v>4883</v>
      </c>
      <c r="D182" s="26" t="s">
        <v>5060</v>
      </c>
      <c r="E182" s="25" t="s">
        <v>5061</v>
      </c>
      <c r="F182" s="25" t="s">
        <v>5062</v>
      </c>
      <c r="G182" s="86" t="str">
        <f>HYPERLINK("https://www.acquisition.gov/content/part-17-special-contracting-methods#i1103106","FAR 17.207(f) Exercise of options.")</f>
        <v>FAR 17.207(f) Exercise of options.</v>
      </c>
      <c r="H182" s="57" t="str">
        <f t="shared" si="26"/>
        <v>GSAR 517.207</v>
      </c>
      <c r="I182" s="34" t="s">
        <v>5063</v>
      </c>
      <c r="J182" s="37" t="s">
        <v>1566</v>
      </c>
      <c r="K182" s="37" t="s">
        <v>5064</v>
      </c>
      <c r="L182" s="25" t="s">
        <v>5065</v>
      </c>
      <c r="M182" s="25" t="s">
        <v>5066</v>
      </c>
      <c r="N182" s="25" t="s">
        <v>5067</v>
      </c>
      <c r="O182" s="64"/>
      <c r="P182" s="45" t="b">
        <f t="shared" si="22"/>
        <v>0</v>
      </c>
      <c r="Q182" s="45">
        <f t="shared" si="23"/>
        <v>3</v>
      </c>
      <c r="R182" s="45">
        <f t="shared" si="24"/>
        <v>0</v>
      </c>
      <c r="S182" s="24"/>
      <c r="T182" s="24"/>
      <c r="U182" s="24"/>
      <c r="V182" s="24"/>
      <c r="W182" s="24"/>
      <c r="X182" s="24"/>
      <c r="Y182" s="24"/>
      <c r="Z182" s="24"/>
      <c r="AA182" s="24"/>
      <c r="AB182" s="24"/>
      <c r="AC182" s="24"/>
    </row>
    <row r="183" spans="1:29" ht="130.44999999999999">
      <c r="A183" s="26" t="s">
        <v>4881</v>
      </c>
      <c r="B183" s="26" t="s">
        <v>4882</v>
      </c>
      <c r="C183" s="26" t="s">
        <v>4883</v>
      </c>
      <c r="D183" s="26" t="s">
        <v>5068</v>
      </c>
      <c r="E183" s="25" t="s">
        <v>5069</v>
      </c>
      <c r="F183" s="25" t="s">
        <v>5070</v>
      </c>
      <c r="G183" s="86" t="str">
        <f>HYPERLINK("https://www.acquisition.gov/content/part-17-special-contracting-methods#i1103106","FAR 17.207 Exercise of options.")</f>
        <v>FAR 17.207 Exercise of options.</v>
      </c>
      <c r="H183" s="57" t="str">
        <f t="shared" si="26"/>
        <v>GSAR 517.207</v>
      </c>
      <c r="I183" s="34" t="s">
        <v>5071</v>
      </c>
      <c r="J183" s="37" t="s">
        <v>1566</v>
      </c>
      <c r="K183" s="37" t="s">
        <v>5072</v>
      </c>
      <c r="L183" s="25" t="s">
        <v>4938</v>
      </c>
      <c r="M183" s="79" t="s">
        <v>4939</v>
      </c>
      <c r="N183" s="25" t="s">
        <v>5073</v>
      </c>
      <c r="O183" s="64"/>
      <c r="P183" s="45" t="b">
        <f t="shared" si="22"/>
        <v>0</v>
      </c>
      <c r="Q183" s="45">
        <f t="shared" si="23"/>
        <v>3</v>
      </c>
      <c r="R183" s="45">
        <f t="shared" si="24"/>
        <v>0</v>
      </c>
      <c r="S183" s="24"/>
      <c r="T183" s="24"/>
      <c r="U183" s="24"/>
      <c r="V183" s="24"/>
      <c r="W183" s="24"/>
      <c r="X183" s="24"/>
      <c r="Y183" s="24"/>
      <c r="Z183" s="24"/>
      <c r="AA183" s="24"/>
      <c r="AB183" s="24"/>
      <c r="AC183" s="24"/>
    </row>
    <row r="184" spans="1:29" ht="282.60000000000002">
      <c r="A184" s="26" t="s">
        <v>4881</v>
      </c>
      <c r="B184" s="26" t="s">
        <v>4882</v>
      </c>
      <c r="C184" s="26" t="s">
        <v>4883</v>
      </c>
      <c r="D184" s="26" t="s">
        <v>5074</v>
      </c>
      <c r="E184" s="25" t="s">
        <v>5075</v>
      </c>
      <c r="F184" s="25" t="s">
        <v>5076</v>
      </c>
      <c r="G184" s="86" t="str">
        <f>HYPERLINK("https://www.acquisition.gov/content/part-16-types-contracts#i1104876","FAR 16.203 Fixed-price contracts with economic price adjustment.")</f>
        <v>FAR 16.203 Fixed-price contracts with economic price adjustment.</v>
      </c>
      <c r="H184" s="57" t="str">
        <f>HYPERLINK("https://www.acquisition.gov/sites/default/files/current/gsam/html/Part516.html#wp1858091","GSAR 516.203")</f>
        <v>GSAR 516.203</v>
      </c>
      <c r="I184" s="34" t="s">
        <v>5077</v>
      </c>
      <c r="J184" s="37" t="s">
        <v>1566</v>
      </c>
      <c r="K184" s="37" t="s">
        <v>5078</v>
      </c>
      <c r="L184" s="25" t="s">
        <v>5079</v>
      </c>
      <c r="M184" s="25" t="s">
        <v>5080</v>
      </c>
      <c r="N184" s="25" t="s">
        <v>5081</v>
      </c>
      <c r="O184" s="64"/>
      <c r="P184" s="45" t="b">
        <f t="shared" si="22"/>
        <v>0</v>
      </c>
      <c r="Q184" s="45">
        <f t="shared" si="23"/>
        <v>3</v>
      </c>
      <c r="R184" s="45">
        <f t="shared" si="24"/>
        <v>0</v>
      </c>
      <c r="S184" s="24"/>
      <c r="T184" s="24"/>
      <c r="U184" s="24"/>
      <c r="V184" s="24"/>
      <c r="W184" s="24"/>
      <c r="X184" s="24"/>
      <c r="Y184" s="24"/>
      <c r="Z184" s="24"/>
      <c r="AA184" s="24"/>
      <c r="AB184" s="24"/>
      <c r="AC184" s="24"/>
    </row>
    <row r="185" spans="1:29" ht="282.60000000000002">
      <c r="A185" s="26" t="s">
        <v>4881</v>
      </c>
      <c r="B185" s="26" t="s">
        <v>4882</v>
      </c>
      <c r="C185" s="26" t="s">
        <v>4883</v>
      </c>
      <c r="D185" s="26" t="s">
        <v>5082</v>
      </c>
      <c r="E185" s="25" t="s">
        <v>5083</v>
      </c>
      <c r="F185" s="25" t="s">
        <v>5084</v>
      </c>
      <c r="G185" s="86" t="str">
        <f t="shared" ref="G185:G187" si="27">HYPERLINK("https://acquisition.gov/content/part-52-solicitation-provisions-and-contract-clauses#i1058127","FAR 52.216-2 Economic Price Adjustment - Standard Supplies. FAR 52.216-3 Economic Price Adjustment - Semistandard Supplies. FAR 52.216-4 Economic Price Adjustment - Labor and Material.")</f>
        <v>FAR 52.216-2 Economic Price Adjustment - Standard Supplies. FAR 52.216-3 Economic Price Adjustment - Semistandard Supplies. FAR 52.216-4 Economic Price Adjustment - Labor and Material.</v>
      </c>
      <c r="H185" s="54"/>
      <c r="I185" s="34" t="s">
        <v>5077</v>
      </c>
      <c r="J185" s="37" t="s">
        <v>1566</v>
      </c>
      <c r="K185" s="37" t="s">
        <v>5085</v>
      </c>
      <c r="L185" s="25" t="s">
        <v>5079</v>
      </c>
      <c r="M185" s="25" t="s">
        <v>5080</v>
      </c>
      <c r="N185" s="25" t="s">
        <v>5081</v>
      </c>
      <c r="O185" s="64"/>
      <c r="P185" s="45" t="b">
        <f t="shared" si="22"/>
        <v>0</v>
      </c>
      <c r="Q185" s="45">
        <f t="shared" si="23"/>
        <v>3</v>
      </c>
      <c r="R185" s="45">
        <f t="shared" si="24"/>
        <v>0</v>
      </c>
      <c r="S185" s="24"/>
      <c r="T185" s="24"/>
      <c r="U185" s="24"/>
      <c r="V185" s="24"/>
      <c r="W185" s="24"/>
      <c r="X185" s="24"/>
      <c r="Y185" s="24"/>
      <c r="Z185" s="24"/>
      <c r="AA185" s="24"/>
      <c r="AB185" s="24"/>
      <c r="AC185" s="24"/>
    </row>
    <row r="186" spans="1:29" ht="130.44999999999999">
      <c r="A186" s="26" t="s">
        <v>4881</v>
      </c>
      <c r="B186" s="26" t="s">
        <v>4882</v>
      </c>
      <c r="C186" s="26" t="s">
        <v>4883</v>
      </c>
      <c r="D186" s="26" t="s">
        <v>5086</v>
      </c>
      <c r="E186" s="25" t="s">
        <v>5087</v>
      </c>
      <c r="F186" s="25" t="s">
        <v>5088</v>
      </c>
      <c r="G186" s="86" t="str">
        <f t="shared" si="27"/>
        <v>FAR 52.216-2 Economic Price Adjustment - Standard Supplies. FAR 52.216-3 Economic Price Adjustment - Semistandard Supplies. FAR 52.216-4 Economic Price Adjustment - Labor and Material.</v>
      </c>
      <c r="H186" s="54"/>
      <c r="I186" s="34" t="s">
        <v>5089</v>
      </c>
      <c r="J186" s="37" t="s">
        <v>1566</v>
      </c>
      <c r="K186" s="37" t="s">
        <v>5090</v>
      </c>
      <c r="L186" s="25" t="s">
        <v>5091</v>
      </c>
      <c r="M186" s="25" t="s">
        <v>5092</v>
      </c>
      <c r="N186" s="25" t="s">
        <v>5093</v>
      </c>
      <c r="O186" s="64"/>
      <c r="P186" s="45" t="b">
        <f t="shared" si="22"/>
        <v>0</v>
      </c>
      <c r="Q186" s="45">
        <f t="shared" si="23"/>
        <v>3</v>
      </c>
      <c r="R186" s="45">
        <f t="shared" si="24"/>
        <v>0</v>
      </c>
      <c r="S186" s="24"/>
      <c r="T186" s="24"/>
      <c r="U186" s="24"/>
      <c r="V186" s="24"/>
      <c r="W186" s="24"/>
      <c r="X186" s="24"/>
      <c r="Y186" s="24"/>
      <c r="Z186" s="24"/>
      <c r="AA186" s="24"/>
      <c r="AB186" s="24"/>
      <c r="AC186" s="24"/>
    </row>
    <row r="187" spans="1:29" ht="271.7">
      <c r="A187" s="26" t="s">
        <v>4881</v>
      </c>
      <c r="B187" s="26" t="s">
        <v>4882</v>
      </c>
      <c r="C187" s="26" t="s">
        <v>4883</v>
      </c>
      <c r="D187" s="26" t="s">
        <v>5094</v>
      </c>
      <c r="E187" s="25" t="s">
        <v>5095</v>
      </c>
      <c r="F187" s="25" t="s">
        <v>4901</v>
      </c>
      <c r="G187" s="86" t="str">
        <f t="shared" si="27"/>
        <v>FAR 52.216-2 Economic Price Adjustment - Standard Supplies. FAR 52.216-3 Economic Price Adjustment - Semistandard Supplies. FAR 52.216-4 Economic Price Adjustment - Labor and Material.</v>
      </c>
      <c r="H187" s="54"/>
      <c r="I187" s="34" t="s">
        <v>4347</v>
      </c>
      <c r="J187" s="37" t="s">
        <v>1566</v>
      </c>
      <c r="K187" s="37" t="s">
        <v>5096</v>
      </c>
      <c r="L187" s="25" t="s">
        <v>5097</v>
      </c>
      <c r="M187" s="25" t="s">
        <v>5080</v>
      </c>
      <c r="N187" s="25" t="s">
        <v>5098</v>
      </c>
      <c r="O187" s="64"/>
      <c r="P187" s="45" t="b">
        <f t="shared" si="22"/>
        <v>0</v>
      </c>
      <c r="Q187" s="45">
        <f t="shared" si="23"/>
        <v>3</v>
      </c>
      <c r="R187" s="45">
        <f t="shared" si="24"/>
        <v>0</v>
      </c>
      <c r="S187" s="24"/>
      <c r="T187" s="24"/>
      <c r="U187" s="24"/>
      <c r="V187" s="24"/>
      <c r="W187" s="24"/>
      <c r="X187" s="24"/>
      <c r="Y187" s="24"/>
      <c r="Z187" s="24"/>
      <c r="AA187" s="24"/>
      <c r="AB187" s="24"/>
      <c r="AC187" s="24"/>
    </row>
    <row r="188" spans="1:29" ht="4.5999999999999996" customHeight="1">
      <c r="A188" s="55"/>
      <c r="B188" s="55"/>
      <c r="C188" s="56"/>
      <c r="D188" s="56"/>
      <c r="E188" s="55"/>
      <c r="F188" s="55"/>
      <c r="G188" s="72"/>
      <c r="H188" s="72"/>
      <c r="I188" s="133"/>
      <c r="J188" s="55"/>
      <c r="K188" s="55"/>
      <c r="L188" s="63"/>
      <c r="M188" s="63"/>
      <c r="N188" s="63"/>
      <c r="O188" s="64"/>
      <c r="P188" s="64"/>
      <c r="Q188" s="64"/>
      <c r="R188" s="64"/>
      <c r="S188" s="24"/>
      <c r="T188" s="24"/>
      <c r="U188" s="24"/>
      <c r="V188" s="24"/>
      <c r="W188" s="24"/>
      <c r="X188" s="24"/>
      <c r="Y188" s="24"/>
      <c r="Z188" s="24"/>
      <c r="AA188" s="24"/>
      <c r="AB188" s="24"/>
      <c r="AC188" s="24"/>
    </row>
    <row r="189" spans="1:29" ht="86.95">
      <c r="A189" s="26" t="s">
        <v>5099</v>
      </c>
      <c r="B189" s="26" t="s">
        <v>5100</v>
      </c>
      <c r="C189" s="26" t="s">
        <v>5101</v>
      </c>
      <c r="D189" s="26" t="s">
        <v>5102</v>
      </c>
      <c r="E189" s="25" t="s">
        <v>5103</v>
      </c>
      <c r="F189" s="25" t="s">
        <v>5104</v>
      </c>
      <c r="G189" s="86" t="str">
        <f>HYPERLINK("https://www.acquisition.gov/content/part-4-administrative-matters#i1122482","FAR 4.804-4 Physically completed contracts [closeout of contract files]. FAR 4.804-5 Procedures for closing out contract files")</f>
        <v>FAR 4.804-4 Physically completed contracts [closeout of contract files]. FAR 4.804-5 Procedures for closing out contract files</v>
      </c>
      <c r="H189" s="57" t="str">
        <f t="shared" ref="H189:H191" si="28">HYPERLINK("https://www.acquisition.gov/sites/default/files/current/gsam/html/Part504.html#wp1864799","GSAR 504.804-5")</f>
        <v>GSAR 504.804-5</v>
      </c>
      <c r="I189" s="34" t="s">
        <v>5105</v>
      </c>
      <c r="J189" s="37" t="s">
        <v>4558</v>
      </c>
      <c r="K189" s="37" t="s">
        <v>5106</v>
      </c>
      <c r="L189" s="25" t="s">
        <v>5107</v>
      </c>
      <c r="M189" s="25" t="s">
        <v>5108</v>
      </c>
      <c r="N189" s="41" t="s">
        <v>5109</v>
      </c>
      <c r="O189" s="64"/>
      <c r="P189" s="45" t="b">
        <f t="shared" ref="P189:P206" si="29">IF(AND(O189="Meet the requirements traceability “out of the box”"), 10, IF(AND(O189="Can meet the requirements traceability with configuration or through the use of another commercial product “out of the box” or other arrangement as part of the service offering quoted (i.e. at no additional cost)"), 8, IF(AND(O189="Can meet the requirements traceability with customization at additional cost"), 3, IF(AND(O189="Cannot meet the requirements traceability requirement"), 0))))</f>
        <v>0</v>
      </c>
      <c r="Q189" s="45">
        <f t="shared" ref="Q189:Q206" si="30">IF(J189="Unidentified",0,3)</f>
        <v>3</v>
      </c>
      <c r="R189" s="45">
        <f t="shared" ref="R189:R206" si="31">IF(P189=FALSE,0,IF(P189&gt;4,(P189+Q189),P189))</f>
        <v>0</v>
      </c>
      <c r="S189" s="24"/>
      <c r="T189" s="24"/>
      <c r="U189" s="24"/>
      <c r="V189" s="24"/>
      <c r="W189" s="24"/>
      <c r="X189" s="24"/>
      <c r="Y189" s="24"/>
      <c r="Z189" s="24"/>
      <c r="AA189" s="24"/>
      <c r="AB189" s="24"/>
      <c r="AC189" s="24"/>
    </row>
    <row r="190" spans="1:29" ht="97.85">
      <c r="A190" s="26" t="s">
        <v>5099</v>
      </c>
      <c r="B190" s="26" t="s">
        <v>5100</v>
      </c>
      <c r="C190" s="26" t="s">
        <v>5101</v>
      </c>
      <c r="D190" s="26" t="s">
        <v>5110</v>
      </c>
      <c r="E190" s="25" t="s">
        <v>5111</v>
      </c>
      <c r="F190" s="25" t="s">
        <v>5112</v>
      </c>
      <c r="G190" s="86" t="str">
        <f>HYPERLINK("https://www.acquisition.gov/content/part-4-administrative-matters#i1122492","FAR 4.804-5 Procedures for closing out contract files")</f>
        <v>FAR 4.804-5 Procedures for closing out contract files</v>
      </c>
      <c r="H190" s="57" t="str">
        <f t="shared" si="28"/>
        <v>GSAR 504.804-5</v>
      </c>
      <c r="I190" s="34" t="s">
        <v>5105</v>
      </c>
      <c r="J190" s="37" t="s">
        <v>4558</v>
      </c>
      <c r="K190" s="37" t="s">
        <v>5113</v>
      </c>
      <c r="L190" s="25" t="s">
        <v>5114</v>
      </c>
      <c r="M190" s="25" t="s">
        <v>5115</v>
      </c>
      <c r="N190" s="41" t="s">
        <v>5116</v>
      </c>
      <c r="O190" s="64"/>
      <c r="P190" s="45" t="b">
        <f t="shared" si="29"/>
        <v>0</v>
      </c>
      <c r="Q190" s="45">
        <f t="shared" si="30"/>
        <v>3</v>
      </c>
      <c r="R190" s="45">
        <f t="shared" si="31"/>
        <v>0</v>
      </c>
      <c r="S190" s="24"/>
      <c r="T190" s="24"/>
      <c r="U190" s="24"/>
      <c r="V190" s="24"/>
      <c r="W190" s="24"/>
      <c r="X190" s="24"/>
      <c r="Y190" s="24"/>
      <c r="Z190" s="24"/>
      <c r="AA190" s="24"/>
      <c r="AB190" s="24"/>
      <c r="AC190" s="24"/>
    </row>
    <row r="191" spans="1:29" ht="86.95">
      <c r="A191" s="26" t="s">
        <v>5099</v>
      </c>
      <c r="B191" s="26" t="s">
        <v>5100</v>
      </c>
      <c r="C191" s="26" t="s">
        <v>5101</v>
      </c>
      <c r="D191" s="26" t="s">
        <v>5117</v>
      </c>
      <c r="E191" s="25" t="s">
        <v>5118</v>
      </c>
      <c r="F191" s="25" t="s">
        <v>5119</v>
      </c>
      <c r="G191" s="86" t="str">
        <f>HYPERLINK("https://www.acquisition.gov/content/part-4-administrative-matters#i1122457","FAR 4.804-1 Closeout by the office administering the contract. FAR 4.804-5(a) Procedures for closing out contract files")</f>
        <v>FAR 4.804-1 Closeout by the office administering the contract. FAR 4.804-5(a) Procedures for closing out contract files</v>
      </c>
      <c r="H191" s="57" t="str">
        <f t="shared" si="28"/>
        <v>GSAR 504.804-5</v>
      </c>
      <c r="I191" s="34" t="s">
        <v>5105</v>
      </c>
      <c r="J191" s="37" t="s">
        <v>4558</v>
      </c>
      <c r="K191" s="37" t="s">
        <v>5120</v>
      </c>
      <c r="L191" s="25" t="s">
        <v>5121</v>
      </c>
      <c r="M191" s="25" t="s">
        <v>5122</v>
      </c>
      <c r="N191" s="41" t="s">
        <v>5123</v>
      </c>
      <c r="O191" s="64"/>
      <c r="P191" s="45" t="b">
        <f t="shared" si="29"/>
        <v>0</v>
      </c>
      <c r="Q191" s="45">
        <f t="shared" si="30"/>
        <v>3</v>
      </c>
      <c r="R191" s="45">
        <f t="shared" si="31"/>
        <v>0</v>
      </c>
      <c r="S191" s="24"/>
      <c r="T191" s="24"/>
      <c r="U191" s="24"/>
      <c r="V191" s="24"/>
      <c r="W191" s="24"/>
      <c r="X191" s="24"/>
      <c r="Y191" s="24"/>
      <c r="Z191" s="24"/>
      <c r="AA191" s="24"/>
      <c r="AB191" s="24"/>
      <c r="AC191" s="24"/>
    </row>
    <row r="192" spans="1:29" ht="108.7">
      <c r="A192" s="26" t="s">
        <v>5099</v>
      </c>
      <c r="B192" s="26" t="s">
        <v>5100</v>
      </c>
      <c r="C192" s="26" t="s">
        <v>5101</v>
      </c>
      <c r="D192" s="26" t="s">
        <v>5124</v>
      </c>
      <c r="E192" s="25" t="s">
        <v>5125</v>
      </c>
      <c r="F192" s="25" t="s">
        <v>5126</v>
      </c>
      <c r="G192" s="86" t="str">
        <f>HYPERLINK("https://www.acquisition.gov/browse/index/far","FAR 4.804-1(b) Closeout by the office administering the contract.  FAR 42.703-1(c) Policy [indirect cost rates]. FAR 42.708 Quick-closeout procedures. ")</f>
        <v xml:space="preserve">FAR 4.804-1(b) Closeout by the office administering the contract.  FAR 42.703-1(c) Policy [indirect cost rates]. FAR 42.708 Quick-closeout procedures. </v>
      </c>
      <c r="H192" s="54"/>
      <c r="I192" s="34" t="s">
        <v>5127</v>
      </c>
      <c r="J192" s="37" t="s">
        <v>4558</v>
      </c>
      <c r="K192" s="37" t="s">
        <v>5128</v>
      </c>
      <c r="L192" s="25" t="s">
        <v>5129</v>
      </c>
      <c r="M192" s="25" t="s">
        <v>5130</v>
      </c>
      <c r="N192" s="41" t="s">
        <v>5131</v>
      </c>
      <c r="O192" s="64"/>
      <c r="P192" s="45" t="b">
        <f t="shared" si="29"/>
        <v>0</v>
      </c>
      <c r="Q192" s="45">
        <f t="shared" si="30"/>
        <v>3</v>
      </c>
      <c r="R192" s="45">
        <f t="shared" si="31"/>
        <v>0</v>
      </c>
      <c r="S192" s="24"/>
      <c r="T192" s="24"/>
      <c r="U192" s="24"/>
      <c r="V192" s="24"/>
      <c r="W192" s="24"/>
      <c r="X192" s="24"/>
      <c r="Y192" s="24"/>
      <c r="Z192" s="24"/>
      <c r="AA192" s="24"/>
      <c r="AB192" s="24"/>
      <c r="AC192" s="24"/>
    </row>
    <row r="193" spans="1:29" ht="86.95">
      <c r="A193" s="26" t="s">
        <v>5099</v>
      </c>
      <c r="B193" s="26" t="s">
        <v>5100</v>
      </c>
      <c r="C193" s="26" t="s">
        <v>5101</v>
      </c>
      <c r="D193" s="26" t="s">
        <v>5132</v>
      </c>
      <c r="E193" s="25" t="s">
        <v>5133</v>
      </c>
      <c r="F193" s="25" t="s">
        <v>5134</v>
      </c>
      <c r="G193" s="86" t="str">
        <f>HYPERLINK("https://www.acquisition.gov/content/part-4-administrative-matters#i1122492","FAR 4.804-5(a) Procedures for closing out contract files.")</f>
        <v>FAR 4.804-5(a) Procedures for closing out contract files.</v>
      </c>
      <c r="H193" s="57" t="str">
        <f t="shared" ref="H193:H194" si="32">HYPERLINK("https://www.acquisition.gov/sites/default/files/current/gsam/html/Part504.html#wp1864799","GSAR 504.804-5")</f>
        <v>GSAR 504.804-5</v>
      </c>
      <c r="I193" s="34" t="s">
        <v>4557</v>
      </c>
      <c r="J193" s="37" t="s">
        <v>4558</v>
      </c>
      <c r="K193" s="37" t="s">
        <v>5135</v>
      </c>
      <c r="L193" s="25" t="s">
        <v>5136</v>
      </c>
      <c r="M193" s="25" t="s">
        <v>5137</v>
      </c>
      <c r="N193" s="41" t="s">
        <v>5138</v>
      </c>
      <c r="O193" s="64"/>
      <c r="P193" s="45" t="b">
        <f t="shared" si="29"/>
        <v>0</v>
      </c>
      <c r="Q193" s="45">
        <f t="shared" si="30"/>
        <v>3</v>
      </c>
      <c r="R193" s="45">
        <f t="shared" si="31"/>
        <v>0</v>
      </c>
      <c r="S193" s="24"/>
      <c r="T193" s="24"/>
      <c r="U193" s="24"/>
      <c r="V193" s="24"/>
      <c r="W193" s="24"/>
      <c r="X193" s="24"/>
      <c r="Y193" s="24"/>
      <c r="Z193" s="24"/>
      <c r="AA193" s="24"/>
      <c r="AB193" s="24"/>
      <c r="AC193" s="24"/>
    </row>
    <row r="194" spans="1:29" ht="119.55">
      <c r="A194" s="26" t="s">
        <v>5099</v>
      </c>
      <c r="B194" s="26" t="s">
        <v>5100</v>
      </c>
      <c r="C194" s="26" t="s">
        <v>5101</v>
      </c>
      <c r="D194" s="26" t="s">
        <v>5139</v>
      </c>
      <c r="E194" s="25" t="s">
        <v>5140</v>
      </c>
      <c r="F194" s="25" t="s">
        <v>5141</v>
      </c>
      <c r="G194" s="86" t="e">
        <f>HYPERLINK("https://www.acquisition.gov/browse/index/far","FAR 4.804-1(a)(3) Closeout by the office administering the contract. FAR 4.804-5(a)(10) Procedures for closing out contract files. FAR 42.703-1(c) Policy [indirect cost rates]. FAR 42.705-1(a) Applicability and responsibility [contracting officer determin"&amp;"ation procedure]. FAR 42.705-2(a) Applicability and responsibility [auditor determination procedure")</f>
        <v>#VALUE!</v>
      </c>
      <c r="H194" s="57" t="str">
        <f t="shared" si="32"/>
        <v>GSAR 504.804-5</v>
      </c>
      <c r="I194" s="34"/>
      <c r="J194" s="37" t="s">
        <v>463</v>
      </c>
      <c r="K194" s="37" t="s">
        <v>5142</v>
      </c>
      <c r="L194" s="25" t="s">
        <v>5143</v>
      </c>
      <c r="M194" s="25" t="s">
        <v>5144</v>
      </c>
      <c r="N194" s="41" t="s">
        <v>5146</v>
      </c>
      <c r="O194" s="64"/>
      <c r="P194" s="45" t="b">
        <f t="shared" si="29"/>
        <v>0</v>
      </c>
      <c r="Q194" s="45">
        <f t="shared" si="30"/>
        <v>0</v>
      </c>
      <c r="R194" s="45">
        <f t="shared" si="31"/>
        <v>0</v>
      </c>
      <c r="S194" s="24"/>
      <c r="T194" s="24"/>
      <c r="U194" s="24"/>
      <c r="V194" s="24"/>
      <c r="W194" s="24"/>
      <c r="X194" s="24"/>
      <c r="Y194" s="24"/>
      <c r="Z194" s="24"/>
      <c r="AA194" s="24"/>
      <c r="AB194" s="24"/>
      <c r="AC194" s="24"/>
    </row>
    <row r="195" spans="1:29" ht="173.9">
      <c r="A195" s="26" t="s">
        <v>5099</v>
      </c>
      <c r="B195" s="26" t="s">
        <v>5100</v>
      </c>
      <c r="C195" s="26" t="s">
        <v>5101</v>
      </c>
      <c r="D195" s="26" t="s">
        <v>5150</v>
      </c>
      <c r="E195" s="25" t="s">
        <v>5151</v>
      </c>
      <c r="F195" s="25" t="s">
        <v>2906</v>
      </c>
      <c r="G195" s="86" t="e">
        <f>HYPERLINK("https://www.acquisition.gov/content/part-42-contract-administration-and-audit-services#i1075062","FAR 42.705-1(b)(1) Procedures [contracting officer determination procedure]. FAR 42.705-2(a) Auditor determination procedure. Defense Contract Audit Agency Contract Audit Manual, Chapter 6-1003— Responsibility for Examination and Approval of Reimbursement"&amp;" Vouchers. ")</f>
        <v>#VALUE!</v>
      </c>
      <c r="H195" s="54"/>
      <c r="I195" s="34" t="s">
        <v>4557</v>
      </c>
      <c r="J195" s="37" t="s">
        <v>4558</v>
      </c>
      <c r="K195" s="37" t="s">
        <v>5152</v>
      </c>
      <c r="L195" s="25" t="s">
        <v>5153</v>
      </c>
      <c r="M195" s="25" t="s">
        <v>5154</v>
      </c>
      <c r="N195" s="41" t="s">
        <v>5155</v>
      </c>
      <c r="O195" s="64"/>
      <c r="P195" s="45" t="b">
        <f t="shared" si="29"/>
        <v>0</v>
      </c>
      <c r="Q195" s="45">
        <f t="shared" si="30"/>
        <v>3</v>
      </c>
      <c r="R195" s="45">
        <f t="shared" si="31"/>
        <v>0</v>
      </c>
      <c r="S195" s="24"/>
      <c r="T195" s="24"/>
      <c r="U195" s="24"/>
      <c r="V195" s="24"/>
      <c r="W195" s="24"/>
      <c r="X195" s="24"/>
      <c r="Y195" s="24"/>
      <c r="Z195" s="24"/>
      <c r="AA195" s="24"/>
      <c r="AB195" s="24"/>
      <c r="AC195" s="24"/>
    </row>
    <row r="196" spans="1:29" ht="152.15">
      <c r="A196" s="26" t="s">
        <v>5099</v>
      </c>
      <c r="B196" s="26" t="s">
        <v>5100</v>
      </c>
      <c r="C196" s="26" t="s">
        <v>5101</v>
      </c>
      <c r="D196" s="26" t="s">
        <v>5156</v>
      </c>
      <c r="E196" s="25" t="s">
        <v>5157</v>
      </c>
      <c r="F196" s="25" t="s">
        <v>5158</v>
      </c>
      <c r="G196" s="86" t="str">
        <f>HYPERLINK("https://www.acquisition.gov/content/part-42-contract-administration-and-audit-services#i1075175","FAR 42.705-1(b)(5)(i) Procedures [contracting officer determination procedures]. FAR 42.705-2(b)(2) Procedures [auditor determination procedure]. ")</f>
        <v xml:space="preserve">FAR 42.705-1(b)(5)(i) Procedures [contracting officer determination procedures]. FAR 42.705-2(b)(2) Procedures [auditor determination procedure]. </v>
      </c>
      <c r="H196" s="54"/>
      <c r="I196" s="34"/>
      <c r="J196" s="37" t="s">
        <v>463</v>
      </c>
      <c r="K196" s="37" t="s">
        <v>5162</v>
      </c>
      <c r="L196" s="25" t="s">
        <v>5164</v>
      </c>
      <c r="M196" s="25" t="s">
        <v>5165</v>
      </c>
      <c r="N196" s="41" t="s">
        <v>5166</v>
      </c>
      <c r="O196" s="64"/>
      <c r="P196" s="45" t="b">
        <f t="shared" si="29"/>
        <v>0</v>
      </c>
      <c r="Q196" s="45">
        <f t="shared" si="30"/>
        <v>0</v>
      </c>
      <c r="R196" s="45">
        <f t="shared" si="31"/>
        <v>0</v>
      </c>
      <c r="S196" s="24"/>
      <c r="T196" s="24"/>
      <c r="U196" s="24"/>
      <c r="V196" s="24"/>
      <c r="W196" s="24"/>
      <c r="X196" s="24"/>
      <c r="Y196" s="24"/>
      <c r="Z196" s="24"/>
      <c r="AA196" s="24"/>
      <c r="AB196" s="24"/>
      <c r="AC196" s="24"/>
    </row>
    <row r="197" spans="1:29" ht="119.55">
      <c r="A197" s="26" t="s">
        <v>5099</v>
      </c>
      <c r="B197" s="26" t="s">
        <v>5100</v>
      </c>
      <c r="C197" s="26" t="s">
        <v>5101</v>
      </c>
      <c r="D197" s="26" t="s">
        <v>5171</v>
      </c>
      <c r="E197" s="25" t="s">
        <v>5172</v>
      </c>
      <c r="F197" s="25" t="s">
        <v>5173</v>
      </c>
      <c r="G197" s="86" t="str">
        <f>HYPERLINK("https://www.acquisition.gov/content/part-42-contract-administration-and-audit-services#i1075175","FAR 42.705-1(b)(5)(ii) Procedures [contracting officer determination procedure]. FAR 42.705-2(b)(2)(iii) Procedures [auditor determination procedure]. ")</f>
        <v xml:space="preserve">FAR 42.705-1(b)(5)(ii) Procedures [contracting officer determination procedure]. FAR 42.705-2(b)(2)(iii) Procedures [auditor determination procedure]. </v>
      </c>
      <c r="H197" s="54"/>
      <c r="I197" s="34"/>
      <c r="J197" s="37" t="s">
        <v>463</v>
      </c>
      <c r="K197" s="37" t="s">
        <v>5179</v>
      </c>
      <c r="L197" s="25" t="s">
        <v>5180</v>
      </c>
      <c r="M197" s="25" t="s">
        <v>5183</v>
      </c>
      <c r="N197" s="41" t="s">
        <v>5185</v>
      </c>
      <c r="O197" s="64"/>
      <c r="P197" s="45" t="b">
        <f t="shared" si="29"/>
        <v>0</v>
      </c>
      <c r="Q197" s="45">
        <f t="shared" si="30"/>
        <v>0</v>
      </c>
      <c r="R197" s="45">
        <f t="shared" si="31"/>
        <v>0</v>
      </c>
      <c r="S197" s="24"/>
      <c r="T197" s="24"/>
      <c r="U197" s="24"/>
      <c r="V197" s="24"/>
      <c r="W197" s="24"/>
      <c r="X197" s="24"/>
      <c r="Y197" s="24"/>
      <c r="Z197" s="24"/>
      <c r="AA197" s="24"/>
      <c r="AB197" s="24"/>
      <c r="AC197" s="24"/>
    </row>
    <row r="198" spans="1:29" ht="86.95">
      <c r="A198" s="26" t="s">
        <v>5099</v>
      </c>
      <c r="B198" s="26" t="s">
        <v>5100</v>
      </c>
      <c r="C198" s="26" t="s">
        <v>5101</v>
      </c>
      <c r="D198" s="26" t="s">
        <v>5190</v>
      </c>
      <c r="E198" s="25" t="s">
        <v>5191</v>
      </c>
      <c r="F198" s="25" t="s">
        <v>532</v>
      </c>
      <c r="G198" s="86" t="str">
        <f>HYPERLINK("https://www.acquisition.gov/content/part-42-contract-administration-and-audit-services#i1075175","FAR 42.705-1(b)(5)(iii) Contracting officer determination procedures")</f>
        <v>FAR 42.705-1(b)(5)(iii) Contracting officer determination procedures</v>
      </c>
      <c r="H198" s="54"/>
      <c r="I198" s="34" t="s">
        <v>5089</v>
      </c>
      <c r="J198" s="37" t="s">
        <v>1566</v>
      </c>
      <c r="K198" s="37" t="s">
        <v>5197</v>
      </c>
      <c r="L198" s="25" t="s">
        <v>5199</v>
      </c>
      <c r="M198" s="25" t="s">
        <v>5202</v>
      </c>
      <c r="N198" s="41" t="s">
        <v>5203</v>
      </c>
      <c r="O198" s="64"/>
      <c r="P198" s="45" t="b">
        <f t="shared" si="29"/>
        <v>0</v>
      </c>
      <c r="Q198" s="45">
        <f t="shared" si="30"/>
        <v>3</v>
      </c>
      <c r="R198" s="45">
        <f t="shared" si="31"/>
        <v>0</v>
      </c>
      <c r="S198" s="24"/>
      <c r="T198" s="24"/>
      <c r="U198" s="24"/>
      <c r="V198" s="24"/>
      <c r="W198" s="24"/>
      <c r="X198" s="24"/>
      <c r="Y198" s="24"/>
      <c r="Z198" s="24"/>
      <c r="AA198" s="24"/>
      <c r="AB198" s="24"/>
      <c r="AC198" s="24"/>
    </row>
    <row r="199" spans="1:29" ht="97.85">
      <c r="A199" s="26" t="s">
        <v>5099</v>
      </c>
      <c r="B199" s="26" t="s">
        <v>5100</v>
      </c>
      <c r="C199" s="26" t="s">
        <v>5101</v>
      </c>
      <c r="D199" s="26" t="s">
        <v>5208</v>
      </c>
      <c r="E199" s="25" t="s">
        <v>5209</v>
      </c>
      <c r="F199" s="25" t="s">
        <v>5210</v>
      </c>
      <c r="G199" s="86" t="str">
        <f>HYPERLINK("https://www.acquisition.gov/content/part-42-contract-administration-and-audit-services#i1075238","FAR 42.705-2(b)(2)(iv) Procedures [auditor determination procedure].")</f>
        <v>FAR 42.705-2(b)(2)(iv) Procedures [auditor determination procedure].</v>
      </c>
      <c r="H199" s="54"/>
      <c r="I199" s="34"/>
      <c r="J199" s="37" t="s">
        <v>463</v>
      </c>
      <c r="K199" s="37" t="s">
        <v>5216</v>
      </c>
      <c r="L199" s="25" t="s">
        <v>5218</v>
      </c>
      <c r="M199" s="25" t="s">
        <v>5221</v>
      </c>
      <c r="N199" s="41" t="s">
        <v>5222</v>
      </c>
      <c r="O199" s="64"/>
      <c r="P199" s="45" t="b">
        <f t="shared" si="29"/>
        <v>0</v>
      </c>
      <c r="Q199" s="45">
        <f t="shared" si="30"/>
        <v>0</v>
      </c>
      <c r="R199" s="45">
        <f t="shared" si="31"/>
        <v>0</v>
      </c>
      <c r="S199" s="24"/>
      <c r="T199" s="24"/>
      <c r="U199" s="24"/>
      <c r="V199" s="24"/>
      <c r="W199" s="24"/>
      <c r="X199" s="24"/>
      <c r="Y199" s="24"/>
      <c r="Z199" s="24"/>
      <c r="AA199" s="24"/>
      <c r="AB199" s="24"/>
      <c r="AC199" s="24"/>
    </row>
    <row r="200" spans="1:29" ht="97.85">
      <c r="A200" s="26" t="s">
        <v>5099</v>
      </c>
      <c r="B200" s="26" t="s">
        <v>5100</v>
      </c>
      <c r="C200" s="26" t="s">
        <v>5101</v>
      </c>
      <c r="D200" s="26" t="s">
        <v>5224</v>
      </c>
      <c r="E200" s="25" t="s">
        <v>5226</v>
      </c>
      <c r="F200" s="25" t="s">
        <v>5228</v>
      </c>
      <c r="G200" s="86" t="str">
        <f>HYPERLINK("https://www.acquisition.gov/content/part-42-contract-administration-and-audit-services#i1075175","FAR 42.705-1(b)(5)(vi) Procedures [contracting officer determination procedure]. FAR 42.705-2(b)(2)(v) Procedures [auditor determination procedure]. FAR 42.706 Distribution of documents [indirect cost rates].")</f>
        <v>FAR 42.705-1(b)(5)(vi) Procedures [contracting officer determination procedure]. FAR 42.705-2(b)(2)(v) Procedures [auditor determination procedure]. FAR 42.706 Distribution of documents [indirect cost rates].</v>
      </c>
      <c r="H200" s="54"/>
      <c r="I200" s="34"/>
      <c r="J200" s="37" t="s">
        <v>463</v>
      </c>
      <c r="K200" s="37" t="s">
        <v>5235</v>
      </c>
      <c r="L200" s="25" t="s">
        <v>5236</v>
      </c>
      <c r="M200" s="25" t="s">
        <v>5238</v>
      </c>
      <c r="N200" s="41" t="s">
        <v>5240</v>
      </c>
      <c r="O200" s="64"/>
      <c r="P200" s="45" t="b">
        <f t="shared" si="29"/>
        <v>0</v>
      </c>
      <c r="Q200" s="45">
        <f t="shared" si="30"/>
        <v>0</v>
      </c>
      <c r="R200" s="45">
        <f t="shared" si="31"/>
        <v>0</v>
      </c>
      <c r="S200" s="24"/>
      <c r="T200" s="24"/>
      <c r="U200" s="24"/>
      <c r="V200" s="24"/>
      <c r="W200" s="24"/>
      <c r="X200" s="24"/>
      <c r="Y200" s="24"/>
      <c r="Z200" s="24"/>
      <c r="AA200" s="24"/>
      <c r="AB200" s="24"/>
      <c r="AC200" s="24"/>
    </row>
    <row r="201" spans="1:29" ht="97.85">
      <c r="A201" s="26" t="s">
        <v>5099</v>
      </c>
      <c r="B201" s="26" t="s">
        <v>5100</v>
      </c>
      <c r="C201" s="26" t="s">
        <v>5101</v>
      </c>
      <c r="D201" s="26" t="s">
        <v>5246</v>
      </c>
      <c r="E201" s="25" t="s">
        <v>5247</v>
      </c>
      <c r="F201" s="25" t="s">
        <v>4308</v>
      </c>
      <c r="G201" s="86" t="str">
        <f>HYPERLINK("https://www.acquisition.gov/content/part-42-contract-administration-and-audit-services#i1075175","FAR 42.705-1(b)(5)(v) Procedures [contracting officer determination procedures].")</f>
        <v>FAR 42.705-1(b)(5)(v) Procedures [contracting officer determination procedures].</v>
      </c>
      <c r="H201" s="54"/>
      <c r="I201" s="34"/>
      <c r="J201" s="37" t="s">
        <v>463</v>
      </c>
      <c r="K201" s="37" t="s">
        <v>5253</v>
      </c>
      <c r="L201" s="25" t="s">
        <v>5255</v>
      </c>
      <c r="M201" s="25" t="s">
        <v>5257</v>
      </c>
      <c r="N201" s="41" t="s">
        <v>5259</v>
      </c>
      <c r="O201" s="64"/>
      <c r="P201" s="45" t="b">
        <f t="shared" si="29"/>
        <v>0</v>
      </c>
      <c r="Q201" s="45">
        <f t="shared" si="30"/>
        <v>0</v>
      </c>
      <c r="R201" s="45">
        <f t="shared" si="31"/>
        <v>0</v>
      </c>
      <c r="S201" s="24"/>
      <c r="T201" s="24"/>
      <c r="U201" s="24"/>
      <c r="V201" s="24"/>
      <c r="W201" s="24"/>
      <c r="X201" s="24"/>
      <c r="Y201" s="24"/>
      <c r="Z201" s="24"/>
      <c r="AA201" s="24"/>
      <c r="AB201" s="24"/>
      <c r="AC201" s="24"/>
    </row>
    <row r="202" spans="1:29" ht="119.55">
      <c r="A202" s="26" t="s">
        <v>5099</v>
      </c>
      <c r="B202" s="26" t="s">
        <v>5100</v>
      </c>
      <c r="C202" s="26" t="s">
        <v>5101</v>
      </c>
      <c r="D202" s="26" t="s">
        <v>5260</v>
      </c>
      <c r="E202" s="25" t="s">
        <v>5261</v>
      </c>
      <c r="F202" s="25" t="s">
        <v>5262</v>
      </c>
      <c r="G202" s="86" t="str">
        <f>HYPERLINK("https://www.acquisition.gov/content/part-42-contract-administration-and-audit-services#i1075151","FAR 42.705(c)(1) Final indirect cost rates.")</f>
        <v>FAR 42.705(c)(1) Final indirect cost rates.</v>
      </c>
      <c r="H202" s="54"/>
      <c r="I202" s="34"/>
      <c r="J202" s="37" t="s">
        <v>463</v>
      </c>
      <c r="K202" s="37" t="s">
        <v>5271</v>
      </c>
      <c r="L202" s="25" t="s">
        <v>5272</v>
      </c>
      <c r="M202" s="25" t="s">
        <v>5273</v>
      </c>
      <c r="N202" s="41" t="s">
        <v>5274</v>
      </c>
      <c r="O202" s="64"/>
      <c r="P202" s="45" t="b">
        <f t="shared" si="29"/>
        <v>0</v>
      </c>
      <c r="Q202" s="45">
        <f t="shared" si="30"/>
        <v>0</v>
      </c>
      <c r="R202" s="45">
        <f t="shared" si="31"/>
        <v>0</v>
      </c>
      <c r="S202" s="24"/>
      <c r="T202" s="24"/>
      <c r="U202" s="24"/>
      <c r="V202" s="24"/>
      <c r="W202" s="24"/>
      <c r="X202" s="24"/>
      <c r="Y202" s="24"/>
      <c r="Z202" s="24"/>
      <c r="AA202" s="24"/>
      <c r="AB202" s="24"/>
      <c r="AC202" s="24"/>
    </row>
    <row r="203" spans="1:29" ht="184.75">
      <c r="A203" s="26" t="s">
        <v>5099</v>
      </c>
      <c r="B203" s="26" t="s">
        <v>5100</v>
      </c>
      <c r="C203" s="26" t="s">
        <v>5101</v>
      </c>
      <c r="D203" s="26" t="s">
        <v>5279</v>
      </c>
      <c r="E203" s="25" t="s">
        <v>5280</v>
      </c>
      <c r="F203" s="25" t="s">
        <v>5281</v>
      </c>
      <c r="G203" s="86" t="str">
        <f>HYPERLINK("https://www.acquisition.gov/content/part-4-administrative-matters#i1122492","FAR 4.804-5(a) Procedures for closing out contract files.")</f>
        <v>FAR 4.804-5(a) Procedures for closing out contract files.</v>
      </c>
      <c r="H203" s="57" t="str">
        <f t="shared" ref="H203:H204" si="33">HYPERLINK("https://www.acquisition.gov/sites/default/files/current/gsam/html/Part504.html#wp1864799","GSAR 504.804-5")</f>
        <v>GSAR 504.804-5</v>
      </c>
      <c r="I203" s="34" t="s">
        <v>4347</v>
      </c>
      <c r="J203" s="37" t="s">
        <v>1566</v>
      </c>
      <c r="K203" s="37" t="s">
        <v>5286</v>
      </c>
      <c r="L203" s="25" t="s">
        <v>5287</v>
      </c>
      <c r="M203" s="25" t="s">
        <v>5288</v>
      </c>
      <c r="N203" s="41" t="s">
        <v>5289</v>
      </c>
      <c r="O203" s="64"/>
      <c r="P203" s="45" t="b">
        <f t="shared" si="29"/>
        <v>0</v>
      </c>
      <c r="Q203" s="45">
        <f t="shared" si="30"/>
        <v>3</v>
      </c>
      <c r="R203" s="45">
        <f t="shared" si="31"/>
        <v>0</v>
      </c>
      <c r="S203" s="24"/>
      <c r="T203" s="24"/>
      <c r="U203" s="24"/>
      <c r="V203" s="24"/>
      <c r="W203" s="24"/>
      <c r="X203" s="24"/>
      <c r="Y203" s="24"/>
      <c r="Z203" s="24"/>
      <c r="AA203" s="24"/>
      <c r="AB203" s="24"/>
      <c r="AC203" s="24"/>
    </row>
    <row r="204" spans="1:29" ht="54.35">
      <c r="A204" s="26" t="s">
        <v>5099</v>
      </c>
      <c r="B204" s="26" t="s">
        <v>5100</v>
      </c>
      <c r="C204" s="26" t="s">
        <v>5101</v>
      </c>
      <c r="D204" s="26" t="s">
        <v>5294</v>
      </c>
      <c r="E204" s="25" t="s">
        <v>5295</v>
      </c>
      <c r="F204" s="25" t="s">
        <v>5296</v>
      </c>
      <c r="G204" s="86" t="str">
        <f>HYPERLINK("https://www.acquisition.gov/content/part-4-administrative-matters#i1122492","FAR 4.804-5(b) Procedures for closing out contract files.")</f>
        <v>FAR 4.804-5(b) Procedures for closing out contract files.</v>
      </c>
      <c r="H204" s="57" t="str">
        <f t="shared" si="33"/>
        <v>GSAR 504.804-5</v>
      </c>
      <c r="I204" s="34" t="s">
        <v>5301</v>
      </c>
      <c r="J204" s="37" t="s">
        <v>4558</v>
      </c>
      <c r="K204" s="37" t="s">
        <v>5302</v>
      </c>
      <c r="L204" s="25" t="s">
        <v>5303</v>
      </c>
      <c r="M204" s="25" t="s">
        <v>5304</v>
      </c>
      <c r="N204" s="41" t="s">
        <v>5305</v>
      </c>
      <c r="O204" s="64"/>
      <c r="P204" s="45" t="b">
        <f t="shared" si="29"/>
        <v>0</v>
      </c>
      <c r="Q204" s="45">
        <f t="shared" si="30"/>
        <v>3</v>
      </c>
      <c r="R204" s="45">
        <f t="shared" si="31"/>
        <v>0</v>
      </c>
      <c r="S204" s="24"/>
      <c r="T204" s="24"/>
      <c r="U204" s="24"/>
      <c r="V204" s="24"/>
      <c r="W204" s="24"/>
      <c r="X204" s="24"/>
      <c r="Y204" s="24"/>
      <c r="Z204" s="24"/>
      <c r="AA204" s="24"/>
      <c r="AB204" s="24"/>
      <c r="AC204" s="24"/>
    </row>
    <row r="205" spans="1:29" ht="65.25">
      <c r="A205" s="26" t="s">
        <v>5099</v>
      </c>
      <c r="B205" s="26" t="s">
        <v>5100</v>
      </c>
      <c r="C205" s="26" t="s">
        <v>5101</v>
      </c>
      <c r="D205" s="26" t="s">
        <v>5310</v>
      </c>
      <c r="E205" s="25" t="s">
        <v>5311</v>
      </c>
      <c r="F205" s="25" t="s">
        <v>4745</v>
      </c>
      <c r="G205" s="86" t="str">
        <f>HYPERLINK("https://www.acquisition.gov/content/part-42-contract-administration-and-audit-services#i1074222","FAR 42.15 Contractor performance information.")</f>
        <v>FAR 42.15 Contractor performance information.</v>
      </c>
      <c r="H205" s="54"/>
      <c r="I205" s="34" t="s">
        <v>5312</v>
      </c>
      <c r="J205" s="37" t="s">
        <v>4558</v>
      </c>
      <c r="K205" s="37" t="s">
        <v>5316</v>
      </c>
      <c r="L205" s="25" t="s">
        <v>5318</v>
      </c>
      <c r="M205" s="25" t="s">
        <v>5319</v>
      </c>
      <c r="N205" s="41" t="s">
        <v>5320</v>
      </c>
      <c r="O205" s="64"/>
      <c r="P205" s="45" t="b">
        <f t="shared" si="29"/>
        <v>0</v>
      </c>
      <c r="Q205" s="45">
        <f t="shared" si="30"/>
        <v>3</v>
      </c>
      <c r="R205" s="45">
        <f t="shared" si="31"/>
        <v>0</v>
      </c>
      <c r="S205" s="24"/>
      <c r="T205" s="24"/>
      <c r="U205" s="24"/>
      <c r="V205" s="24"/>
      <c r="W205" s="24"/>
      <c r="X205" s="24"/>
      <c r="Y205" s="24"/>
      <c r="Z205" s="24"/>
      <c r="AA205" s="24"/>
      <c r="AB205" s="24"/>
      <c r="AC205" s="24"/>
    </row>
    <row r="206" spans="1:29" ht="54.35">
      <c r="A206" s="26" t="s">
        <v>5099</v>
      </c>
      <c r="B206" s="26" t="s">
        <v>5100</v>
      </c>
      <c r="C206" s="26" t="s">
        <v>5101</v>
      </c>
      <c r="D206" s="26" t="s">
        <v>5329</v>
      </c>
      <c r="E206" s="25" t="s">
        <v>5330</v>
      </c>
      <c r="F206" s="25" t="s">
        <v>5331</v>
      </c>
      <c r="G206" s="86" t="str">
        <f>HYPERLINK("https://www.acquisition.gov/content/part-4-administrative-matters#id1617MD00JJ9","FAR 4.805 Storage, handling, and disposal of contract files.")</f>
        <v>FAR 4.805 Storage, handling, and disposal of contract files.</v>
      </c>
      <c r="H206" s="57" t="str">
        <f>HYPERLINK("https://www.acquisition.gov/sites/default/files/current/gsam/html/Part504.html#wp1864799","GSAR 504.804-5")</f>
        <v>GSAR 504.804-5</v>
      </c>
      <c r="I206" s="34" t="s">
        <v>5340</v>
      </c>
      <c r="J206" s="37" t="s">
        <v>4558</v>
      </c>
      <c r="K206" s="37" t="s">
        <v>5341</v>
      </c>
      <c r="L206" s="25" t="s">
        <v>5342</v>
      </c>
      <c r="M206" s="25" t="s">
        <v>5343</v>
      </c>
      <c r="N206" s="41" t="s">
        <v>5344</v>
      </c>
      <c r="O206" s="64"/>
      <c r="P206" s="45" t="b">
        <f t="shared" si="29"/>
        <v>0</v>
      </c>
      <c r="Q206" s="45">
        <f t="shared" si="30"/>
        <v>3</v>
      </c>
      <c r="R206" s="45">
        <f t="shared" si="31"/>
        <v>0</v>
      </c>
      <c r="S206" s="24"/>
      <c r="T206" s="24"/>
      <c r="U206" s="24"/>
      <c r="V206" s="24"/>
      <c r="W206" s="24"/>
      <c r="X206" s="24"/>
      <c r="Y206" s="24"/>
      <c r="Z206" s="24"/>
      <c r="AA206" s="24"/>
      <c r="AB206" s="24"/>
      <c r="AC206" s="24"/>
    </row>
    <row r="207" spans="1:29" ht="4.5999999999999996" customHeight="1">
      <c r="A207" s="55"/>
      <c r="B207" s="55"/>
      <c r="C207" s="56"/>
      <c r="D207" s="56"/>
      <c r="E207" s="55"/>
      <c r="F207" s="55"/>
      <c r="G207" s="72"/>
      <c r="H207" s="72"/>
      <c r="I207" s="133"/>
      <c r="J207" s="55"/>
      <c r="K207" s="63"/>
      <c r="L207" s="63"/>
      <c r="M207" s="63"/>
      <c r="N207" s="63"/>
      <c r="O207" s="64"/>
      <c r="P207" s="64"/>
      <c r="Q207" s="64"/>
      <c r="R207" s="64"/>
      <c r="S207" s="24"/>
      <c r="T207" s="24"/>
      <c r="U207" s="24"/>
      <c r="V207" s="24"/>
      <c r="W207" s="24"/>
      <c r="X207" s="24"/>
      <c r="Y207" s="24"/>
      <c r="Z207" s="24"/>
      <c r="AA207" s="24"/>
      <c r="AB207" s="24"/>
      <c r="AC207" s="24"/>
    </row>
    <row r="208" spans="1:29" ht="173.9">
      <c r="A208" s="26" t="s">
        <v>5353</v>
      </c>
      <c r="B208" s="26" t="s">
        <v>5354</v>
      </c>
      <c r="C208" s="26" t="s">
        <v>5355</v>
      </c>
      <c r="D208" s="66" t="s">
        <v>179</v>
      </c>
      <c r="E208" s="54"/>
      <c r="F208" s="54"/>
      <c r="G208" s="86" t="str">
        <f>HYPERLINK("https://www.acquisition.gov/browse/index/far","FAR 2.101; FAR 34.005; FAR 34.2; Electronic Industries Alliance Standard 748; OMB Circular A-11, Part 7; ")</f>
        <v xml:space="preserve">FAR 2.101; FAR 34.005; FAR 34.2; Electronic Industries Alliance Standard 748; OMB Circular A-11, Part 7; </v>
      </c>
      <c r="H208" s="57" t="str">
        <f>HYPERLINK("https://www.acquisition.gov/sites/default/files/current/gsam/html/Part534.html#wp1860177","GSAR 534.2")</f>
        <v>GSAR 534.2</v>
      </c>
      <c r="I208" s="34"/>
      <c r="J208" s="37" t="s">
        <v>463</v>
      </c>
      <c r="K208" s="37" t="s">
        <v>5365</v>
      </c>
      <c r="L208" s="25" t="s">
        <v>5368</v>
      </c>
      <c r="M208" s="25" t="s">
        <v>5370</v>
      </c>
      <c r="N208" s="25" t="s">
        <v>5371</v>
      </c>
      <c r="O208" s="64"/>
      <c r="P208" s="45" t="b">
        <f>IF(AND(O208="Meet the requirements traceability “out of the box”"), 10, IF(AND(O208="Can meet the requirements traceability with configuration or through the use of another commercial product “out of the box” or other arrangement as part of the service offering quoted (i.e. at no additional cost)"), 8, IF(AND(O208="Can meet the requirements traceability with customization at additional cost"), 3, IF(AND(O208="Cannot meet the requirements traceability requirement"), 0))))</f>
        <v>0</v>
      </c>
      <c r="Q208" s="45">
        <f>IF(J208="Unidentified",0,3)</f>
        <v>0</v>
      </c>
      <c r="R208" s="45">
        <f>IF(P208=FALSE,0,IF(P208&gt;4,(P208+Q208),P208))</f>
        <v>0</v>
      </c>
      <c r="S208" s="24"/>
      <c r="T208" s="24"/>
      <c r="U208" s="24"/>
      <c r="V208" s="24"/>
      <c r="W208" s="24"/>
      <c r="X208" s="24"/>
      <c r="Y208" s="24"/>
      <c r="Z208" s="24"/>
      <c r="AA208" s="24"/>
      <c r="AB208" s="24"/>
      <c r="AC208" s="24"/>
    </row>
    <row r="209" spans="1:29" ht="4.5999999999999996" customHeight="1">
      <c r="A209" s="55"/>
      <c r="B209" s="55"/>
      <c r="C209" s="56"/>
      <c r="D209" s="56"/>
      <c r="E209" s="55"/>
      <c r="F209" s="55"/>
      <c r="G209" s="72"/>
      <c r="H209" s="72"/>
      <c r="I209" s="133"/>
      <c r="J209" s="55"/>
      <c r="K209" s="55"/>
      <c r="L209" s="63"/>
      <c r="M209" s="63"/>
      <c r="N209" s="63"/>
      <c r="O209" s="64"/>
      <c r="P209" s="64"/>
      <c r="Q209" s="64"/>
      <c r="R209" s="64"/>
      <c r="S209" s="24"/>
      <c r="T209" s="24"/>
      <c r="U209" s="24"/>
      <c r="V209" s="24"/>
      <c r="W209" s="24"/>
      <c r="X209" s="24"/>
      <c r="Y209" s="24"/>
      <c r="Z209" s="24"/>
      <c r="AA209" s="24"/>
      <c r="AB209" s="24"/>
      <c r="AC209" s="24"/>
    </row>
    <row r="210" spans="1:29" ht="76.099999999999994">
      <c r="A210" s="26" t="s">
        <v>5390</v>
      </c>
      <c r="B210" s="26" t="s">
        <v>5392</v>
      </c>
      <c r="C210" s="26" t="s">
        <v>5393</v>
      </c>
      <c r="D210" s="26" t="s">
        <v>5394</v>
      </c>
      <c r="E210" s="25" t="s">
        <v>5395</v>
      </c>
      <c r="F210" s="25" t="s">
        <v>5396</v>
      </c>
      <c r="G210" s="86" t="str">
        <f t="shared" ref="G210:G217" si="34">HYPERLINK("https://acquisition.gov/content/part-52-solicitation-provisions-and-contract-clauses#i1058538","FAR 52.216-16 Incentive Price Revision - Firm Target. FAR 52.216-17 Incentive Price Revision - Successive Targets.")</f>
        <v>FAR 52.216-16 Incentive Price Revision - Firm Target. FAR 52.216-17 Incentive Price Revision - Successive Targets.</v>
      </c>
      <c r="H210" s="54"/>
      <c r="I210" s="34"/>
      <c r="J210" s="37" t="s">
        <v>463</v>
      </c>
      <c r="K210" s="37" t="s">
        <v>5401</v>
      </c>
      <c r="L210" s="25" t="s">
        <v>5402</v>
      </c>
      <c r="M210" s="25" t="s">
        <v>5403</v>
      </c>
      <c r="N210" s="25" t="s">
        <v>5404</v>
      </c>
      <c r="O210" s="64"/>
      <c r="P210" s="45" t="b">
        <f t="shared" ref="P210:P230" si="35">IF(AND(O210="Meet the requirements traceability “out of the box”"), 10, IF(AND(O210="Can meet the requirements traceability with configuration or through the use of another commercial product “out of the box” or other arrangement as part of the service offering quoted (i.e. at no additional cost)"), 8, IF(AND(O210="Can meet the requirements traceability with customization at additional cost"), 3, IF(AND(O210="Cannot meet the requirements traceability requirement"), 0))))</f>
        <v>0</v>
      </c>
      <c r="Q210" s="45">
        <f t="shared" ref="Q210:Q230" si="36">IF(J210="Unidentified",0,3)</f>
        <v>0</v>
      </c>
      <c r="R210" s="45">
        <f t="shared" ref="R210:R230" si="37">IF(P210=FALSE,0,IF(P210&gt;4,(P210+Q210),P210))</f>
        <v>0</v>
      </c>
      <c r="S210" s="24"/>
      <c r="T210" s="24"/>
      <c r="U210" s="24"/>
      <c r="V210" s="24"/>
      <c r="W210" s="24"/>
      <c r="X210" s="24"/>
      <c r="Y210" s="24"/>
      <c r="Z210" s="24"/>
      <c r="AA210" s="24"/>
      <c r="AB210" s="24"/>
      <c r="AC210" s="24"/>
    </row>
    <row r="211" spans="1:29" ht="76.099999999999994">
      <c r="A211" s="26" t="s">
        <v>5390</v>
      </c>
      <c r="B211" s="26" t="s">
        <v>5392</v>
      </c>
      <c r="C211" s="26" t="s">
        <v>5393</v>
      </c>
      <c r="D211" s="26" t="s">
        <v>5413</v>
      </c>
      <c r="E211" s="25" t="s">
        <v>5414</v>
      </c>
      <c r="F211" s="25" t="s">
        <v>5415</v>
      </c>
      <c r="G211" s="86" t="str">
        <f t="shared" si="34"/>
        <v>FAR 52.216-16 Incentive Price Revision - Firm Target. FAR 52.216-17 Incentive Price Revision - Successive Targets.</v>
      </c>
      <c r="H211" s="54"/>
      <c r="I211" s="34"/>
      <c r="J211" s="37" t="s">
        <v>463</v>
      </c>
      <c r="K211" s="37" t="s">
        <v>5416</v>
      </c>
      <c r="L211" s="25" t="s">
        <v>5418</v>
      </c>
      <c r="M211" s="25" t="s">
        <v>5420</v>
      </c>
      <c r="N211" s="25" t="s">
        <v>5422</v>
      </c>
      <c r="O211" s="64"/>
      <c r="P211" s="45" t="b">
        <f t="shared" si="35"/>
        <v>0</v>
      </c>
      <c r="Q211" s="45">
        <f t="shared" si="36"/>
        <v>0</v>
      </c>
      <c r="R211" s="45">
        <f t="shared" si="37"/>
        <v>0</v>
      </c>
      <c r="S211" s="24"/>
      <c r="T211" s="24"/>
      <c r="U211" s="24"/>
      <c r="V211" s="24"/>
      <c r="W211" s="24"/>
      <c r="X211" s="24"/>
      <c r="Y211" s="24"/>
      <c r="Z211" s="24"/>
      <c r="AA211" s="24"/>
      <c r="AB211" s="24"/>
      <c r="AC211" s="24"/>
    </row>
    <row r="212" spans="1:29" ht="76.099999999999994">
      <c r="A212" s="26" t="s">
        <v>5390</v>
      </c>
      <c r="B212" s="26" t="s">
        <v>5392</v>
      </c>
      <c r="C212" s="26" t="s">
        <v>5393</v>
      </c>
      <c r="D212" s="26" t="s">
        <v>5424</v>
      </c>
      <c r="E212" s="25" t="s">
        <v>5425</v>
      </c>
      <c r="F212" s="25" t="s">
        <v>5427</v>
      </c>
      <c r="G212" s="86" t="str">
        <f t="shared" si="34"/>
        <v>FAR 52.216-16 Incentive Price Revision - Firm Target. FAR 52.216-17 Incentive Price Revision - Successive Targets.</v>
      </c>
      <c r="H212" s="54"/>
      <c r="I212" s="34"/>
      <c r="J212" s="37" t="s">
        <v>463</v>
      </c>
      <c r="K212" s="37" t="s">
        <v>5431</v>
      </c>
      <c r="L212" s="25" t="s">
        <v>5432</v>
      </c>
      <c r="M212" s="25" t="s">
        <v>5433</v>
      </c>
      <c r="N212" s="25" t="s">
        <v>5434</v>
      </c>
      <c r="O212" s="64"/>
      <c r="P212" s="45" t="b">
        <f t="shared" si="35"/>
        <v>0</v>
      </c>
      <c r="Q212" s="45">
        <f t="shared" si="36"/>
        <v>0</v>
      </c>
      <c r="R212" s="45">
        <f t="shared" si="37"/>
        <v>0</v>
      </c>
      <c r="S212" s="24"/>
      <c r="T212" s="24"/>
      <c r="U212" s="24"/>
      <c r="V212" s="24"/>
      <c r="W212" s="24"/>
      <c r="X212" s="24"/>
      <c r="Y212" s="24"/>
      <c r="Z212" s="24"/>
      <c r="AA212" s="24"/>
      <c r="AB212" s="24"/>
      <c r="AC212" s="24"/>
    </row>
    <row r="213" spans="1:29" ht="76.099999999999994">
      <c r="A213" s="26" t="s">
        <v>5390</v>
      </c>
      <c r="B213" s="26" t="s">
        <v>5392</v>
      </c>
      <c r="C213" s="26" t="s">
        <v>5393</v>
      </c>
      <c r="D213" s="26" t="s">
        <v>5439</v>
      </c>
      <c r="E213" s="25" t="s">
        <v>5440</v>
      </c>
      <c r="F213" s="25" t="s">
        <v>5441</v>
      </c>
      <c r="G213" s="86" t="str">
        <f t="shared" si="34"/>
        <v>FAR 52.216-16 Incentive Price Revision - Firm Target. FAR 52.216-17 Incentive Price Revision - Successive Targets.</v>
      </c>
      <c r="H213" s="54"/>
      <c r="I213" s="34"/>
      <c r="J213" s="37" t="s">
        <v>463</v>
      </c>
      <c r="K213" s="37" t="s">
        <v>5442</v>
      </c>
      <c r="L213" s="25" t="s">
        <v>5443</v>
      </c>
      <c r="M213" s="25" t="s">
        <v>5444</v>
      </c>
      <c r="N213" s="25" t="s">
        <v>5445</v>
      </c>
      <c r="O213" s="64"/>
      <c r="P213" s="45" t="b">
        <f t="shared" si="35"/>
        <v>0</v>
      </c>
      <c r="Q213" s="45">
        <f t="shared" si="36"/>
        <v>0</v>
      </c>
      <c r="R213" s="45">
        <f t="shared" si="37"/>
        <v>0</v>
      </c>
      <c r="S213" s="24"/>
      <c r="T213" s="24"/>
      <c r="U213" s="24"/>
      <c r="V213" s="24"/>
      <c r="W213" s="24"/>
      <c r="X213" s="24"/>
      <c r="Y213" s="24"/>
      <c r="Z213" s="24"/>
      <c r="AA213" s="24"/>
      <c r="AB213" s="24"/>
      <c r="AC213" s="24"/>
    </row>
    <row r="214" spans="1:29" ht="97.85">
      <c r="A214" s="26" t="s">
        <v>5390</v>
      </c>
      <c r="B214" s="26" t="s">
        <v>5392</v>
      </c>
      <c r="C214" s="26" t="s">
        <v>5393</v>
      </c>
      <c r="D214" s="26" t="s">
        <v>5450</v>
      </c>
      <c r="E214" s="25" t="s">
        <v>5451</v>
      </c>
      <c r="F214" s="25" t="s">
        <v>5452</v>
      </c>
      <c r="G214" s="86" t="str">
        <f t="shared" si="34"/>
        <v>FAR 52.216-16 Incentive Price Revision - Firm Target. FAR 52.216-17 Incentive Price Revision - Successive Targets.</v>
      </c>
      <c r="H214" s="54"/>
      <c r="I214" s="34"/>
      <c r="J214" s="37" t="s">
        <v>463</v>
      </c>
      <c r="K214" s="37" t="s">
        <v>5457</v>
      </c>
      <c r="L214" s="164" t="s">
        <v>5458</v>
      </c>
      <c r="M214" s="25" t="s">
        <v>5459</v>
      </c>
      <c r="N214" s="25" t="s">
        <v>5460</v>
      </c>
      <c r="O214" s="64"/>
      <c r="P214" s="45" t="b">
        <f t="shared" si="35"/>
        <v>0</v>
      </c>
      <c r="Q214" s="45">
        <f t="shared" si="36"/>
        <v>0</v>
      </c>
      <c r="R214" s="45">
        <f t="shared" si="37"/>
        <v>0</v>
      </c>
      <c r="S214" s="24"/>
      <c r="T214" s="24"/>
      <c r="U214" s="24"/>
      <c r="V214" s="24"/>
      <c r="W214" s="24"/>
      <c r="X214" s="24"/>
      <c r="Y214" s="24"/>
      <c r="Z214" s="24"/>
      <c r="AA214" s="24"/>
      <c r="AB214" s="24"/>
      <c r="AC214" s="24"/>
    </row>
    <row r="215" spans="1:29" ht="86.95">
      <c r="A215" s="26" t="s">
        <v>5390</v>
      </c>
      <c r="B215" s="26" t="s">
        <v>5392</v>
      </c>
      <c r="C215" s="26" t="s">
        <v>5393</v>
      </c>
      <c r="D215" s="26" t="s">
        <v>5465</v>
      </c>
      <c r="E215" s="25" t="s">
        <v>5466</v>
      </c>
      <c r="F215" s="25" t="s">
        <v>5467</v>
      </c>
      <c r="G215" s="86" t="str">
        <f t="shared" si="34"/>
        <v>FAR 52.216-16 Incentive Price Revision - Firm Target. FAR 52.216-17 Incentive Price Revision - Successive Targets.</v>
      </c>
      <c r="H215" s="54"/>
      <c r="I215" s="34"/>
      <c r="J215" s="37" t="s">
        <v>463</v>
      </c>
      <c r="K215" s="37" t="s">
        <v>5468</v>
      </c>
      <c r="L215" s="25" t="s">
        <v>5470</v>
      </c>
      <c r="M215" s="25" t="s">
        <v>5471</v>
      </c>
      <c r="N215" s="25" t="s">
        <v>5473</v>
      </c>
      <c r="O215" s="64"/>
      <c r="P215" s="45" t="b">
        <f t="shared" si="35"/>
        <v>0</v>
      </c>
      <c r="Q215" s="45">
        <f t="shared" si="36"/>
        <v>0</v>
      </c>
      <c r="R215" s="45">
        <f t="shared" si="37"/>
        <v>0</v>
      </c>
      <c r="S215" s="24"/>
      <c r="T215" s="24"/>
      <c r="U215" s="24"/>
      <c r="V215" s="24"/>
      <c r="W215" s="24"/>
      <c r="X215" s="24"/>
      <c r="Y215" s="24"/>
      <c r="Z215" s="24"/>
      <c r="AA215" s="24"/>
      <c r="AB215" s="24"/>
      <c r="AC215" s="24"/>
    </row>
    <row r="216" spans="1:29" ht="152.15">
      <c r="A216" s="26" t="s">
        <v>5390</v>
      </c>
      <c r="B216" s="26" t="s">
        <v>5392</v>
      </c>
      <c r="C216" s="26" t="s">
        <v>5393</v>
      </c>
      <c r="D216" s="26" t="s">
        <v>5476</v>
      </c>
      <c r="E216" s="25" t="s">
        <v>5477</v>
      </c>
      <c r="F216" s="25" t="s">
        <v>5478</v>
      </c>
      <c r="G216" s="86" t="str">
        <f t="shared" si="34"/>
        <v>FAR 52.216-16 Incentive Price Revision - Firm Target. FAR 52.216-17 Incentive Price Revision - Successive Targets.</v>
      </c>
      <c r="H216" s="54"/>
      <c r="I216" s="34"/>
      <c r="J216" s="37" t="s">
        <v>463</v>
      </c>
      <c r="K216" s="37" t="s">
        <v>5483</v>
      </c>
      <c r="L216" s="25" t="s">
        <v>5484</v>
      </c>
      <c r="M216" s="25" t="s">
        <v>5485</v>
      </c>
      <c r="N216" s="25" t="s">
        <v>5486</v>
      </c>
      <c r="O216" s="64"/>
      <c r="P216" s="45" t="b">
        <f t="shared" si="35"/>
        <v>0</v>
      </c>
      <c r="Q216" s="45">
        <f t="shared" si="36"/>
        <v>0</v>
      </c>
      <c r="R216" s="45">
        <f t="shared" si="37"/>
        <v>0</v>
      </c>
      <c r="S216" s="24"/>
      <c r="T216" s="24"/>
      <c r="U216" s="24"/>
      <c r="V216" s="24"/>
      <c r="W216" s="24"/>
      <c r="X216" s="24"/>
      <c r="Y216" s="24"/>
      <c r="Z216" s="24"/>
      <c r="AA216" s="24"/>
      <c r="AB216" s="24"/>
      <c r="AC216" s="24"/>
    </row>
    <row r="217" spans="1:29" ht="76.099999999999994">
      <c r="A217" s="26" t="s">
        <v>5390</v>
      </c>
      <c r="B217" s="26" t="s">
        <v>5392</v>
      </c>
      <c r="C217" s="26" t="s">
        <v>5393</v>
      </c>
      <c r="D217" s="26" t="s">
        <v>5488</v>
      </c>
      <c r="E217" s="25" t="s">
        <v>5490</v>
      </c>
      <c r="F217" s="25" t="s">
        <v>4901</v>
      </c>
      <c r="G217" s="86" t="str">
        <f t="shared" si="34"/>
        <v>FAR 52.216-16 Incentive Price Revision - Firm Target. FAR 52.216-17 Incentive Price Revision - Successive Targets.</v>
      </c>
      <c r="H217" s="54"/>
      <c r="I217" s="34"/>
      <c r="J217" s="37" t="s">
        <v>463</v>
      </c>
      <c r="K217" s="37" t="s">
        <v>5493</v>
      </c>
      <c r="L217" s="25" t="s">
        <v>5494</v>
      </c>
      <c r="M217" s="25" t="s">
        <v>5495</v>
      </c>
      <c r="N217" s="25" t="s">
        <v>5496</v>
      </c>
      <c r="O217" s="64"/>
      <c r="P217" s="45" t="b">
        <f t="shared" si="35"/>
        <v>0</v>
      </c>
      <c r="Q217" s="45">
        <f t="shared" si="36"/>
        <v>0</v>
      </c>
      <c r="R217" s="45">
        <f t="shared" si="37"/>
        <v>0</v>
      </c>
      <c r="S217" s="24"/>
      <c r="T217" s="24"/>
      <c r="U217" s="24"/>
      <c r="V217" s="24"/>
      <c r="W217" s="24"/>
      <c r="X217" s="24"/>
      <c r="Y217" s="24"/>
      <c r="Z217" s="24"/>
      <c r="AA217" s="24"/>
      <c r="AB217" s="24"/>
      <c r="AC217" s="24"/>
    </row>
    <row r="218" spans="1:29" ht="76.099999999999994">
      <c r="A218" s="26" t="s">
        <v>5390</v>
      </c>
      <c r="B218" s="26" t="s">
        <v>5392</v>
      </c>
      <c r="C218" s="26" t="s">
        <v>5393</v>
      </c>
      <c r="D218" s="26" t="s">
        <v>5498</v>
      </c>
      <c r="E218" s="25" t="s">
        <v>2616</v>
      </c>
      <c r="F218" s="25" t="s">
        <v>275</v>
      </c>
      <c r="G218" s="57" t="str">
        <f>HYPERLINK("https://www.acquisition.gov/content/part-4-administrative-matters#i1122357","FAR 4.803 Contents of contract files")</f>
        <v>FAR 4.803 Contents of contract files</v>
      </c>
      <c r="H218" s="57" t="str">
        <f>HYPERLINK("https://www.acquisition.gov/sites/default/files/current/gsam/html/Part504.html#wp1863182","GSAR 504.8")</f>
        <v>GSAR 504.8</v>
      </c>
      <c r="I218" s="34" t="s">
        <v>3387</v>
      </c>
      <c r="J218" s="37" t="s">
        <v>1566</v>
      </c>
      <c r="K218" s="37" t="s">
        <v>5506</v>
      </c>
      <c r="L218" s="25" t="s">
        <v>5507</v>
      </c>
      <c r="M218" s="25" t="s">
        <v>3390</v>
      </c>
      <c r="N218" s="25" t="s">
        <v>617</v>
      </c>
      <c r="O218" s="64"/>
      <c r="P218" s="45" t="b">
        <f t="shared" si="35"/>
        <v>0</v>
      </c>
      <c r="Q218" s="45">
        <f t="shared" si="36"/>
        <v>3</v>
      </c>
      <c r="R218" s="45">
        <f t="shared" si="37"/>
        <v>0</v>
      </c>
      <c r="S218" s="24"/>
      <c r="T218" s="24"/>
      <c r="U218" s="24"/>
      <c r="V218" s="24"/>
      <c r="W218" s="24"/>
      <c r="X218" s="24"/>
      <c r="Y218" s="24"/>
      <c r="Z218" s="24"/>
      <c r="AA218" s="24"/>
      <c r="AB218" s="24"/>
      <c r="AC218" s="24"/>
    </row>
    <row r="219" spans="1:29" ht="76.099999999999994">
      <c r="A219" s="26" t="s">
        <v>5390</v>
      </c>
      <c r="B219" s="26" t="s">
        <v>5392</v>
      </c>
      <c r="C219" s="26" t="s">
        <v>5393</v>
      </c>
      <c r="D219" s="26" t="s">
        <v>5512</v>
      </c>
      <c r="E219" s="25" t="s">
        <v>5513</v>
      </c>
      <c r="F219" s="25" t="s">
        <v>3429</v>
      </c>
      <c r="G219" s="86" t="str">
        <f>HYPERLINK("https://acquisition.gov/content/part-52-solicitation-provisions-and-contract-clauses#i1058538","FAR 52.216-16 Incentive Price Revision - Firm Target. FAR 52.216-17 Incentive Price Revision - Successive Targets.")</f>
        <v>FAR 52.216-16 Incentive Price Revision - Firm Target. FAR 52.216-17 Incentive Price Revision - Successive Targets.</v>
      </c>
      <c r="H219" s="54"/>
      <c r="I219" s="34" t="s">
        <v>3433</v>
      </c>
      <c r="J219" s="37" t="s">
        <v>1566</v>
      </c>
      <c r="K219" s="37" t="s">
        <v>5516</v>
      </c>
      <c r="L219" s="25" t="s">
        <v>5517</v>
      </c>
      <c r="M219" s="25" t="s">
        <v>5518</v>
      </c>
      <c r="N219" s="25" t="s">
        <v>5519</v>
      </c>
      <c r="O219" s="64"/>
      <c r="P219" s="45" t="b">
        <f t="shared" si="35"/>
        <v>0</v>
      </c>
      <c r="Q219" s="45">
        <f t="shared" si="36"/>
        <v>3</v>
      </c>
      <c r="R219" s="45">
        <f t="shared" si="37"/>
        <v>0</v>
      </c>
      <c r="S219" s="24"/>
      <c r="T219" s="24"/>
      <c r="U219" s="24"/>
      <c r="V219" s="24"/>
      <c r="W219" s="24"/>
      <c r="X219" s="24"/>
      <c r="Y219" s="24"/>
      <c r="Z219" s="24"/>
      <c r="AA219" s="24"/>
      <c r="AB219" s="24"/>
      <c r="AC219" s="24"/>
    </row>
    <row r="220" spans="1:29" ht="173.9">
      <c r="A220" s="26" t="s">
        <v>5390</v>
      </c>
      <c r="B220" s="26" t="s">
        <v>5392</v>
      </c>
      <c r="C220" s="26" t="s">
        <v>5393</v>
      </c>
      <c r="D220" s="26" t="s">
        <v>5522</v>
      </c>
      <c r="E220" s="25" t="s">
        <v>5523</v>
      </c>
      <c r="F220" s="25" t="s">
        <v>5524</v>
      </c>
      <c r="G220" s="85" t="s">
        <v>5525</v>
      </c>
      <c r="H220" s="54"/>
      <c r="I220" s="34" t="s">
        <v>3805</v>
      </c>
      <c r="J220" s="37" t="s">
        <v>1566</v>
      </c>
      <c r="K220" s="37" t="s">
        <v>5530</v>
      </c>
      <c r="L220" s="25" t="s">
        <v>5531</v>
      </c>
      <c r="M220" s="25" t="s">
        <v>5532</v>
      </c>
      <c r="N220" s="25" t="s">
        <v>5533</v>
      </c>
      <c r="O220" s="64"/>
      <c r="P220" s="45" t="b">
        <f t="shared" si="35"/>
        <v>0</v>
      </c>
      <c r="Q220" s="45">
        <f t="shared" si="36"/>
        <v>3</v>
      </c>
      <c r="R220" s="45">
        <f t="shared" si="37"/>
        <v>0</v>
      </c>
      <c r="S220" s="24"/>
      <c r="T220" s="24"/>
      <c r="U220" s="24"/>
      <c r="V220" s="24"/>
      <c r="W220" s="24"/>
      <c r="X220" s="24"/>
      <c r="Y220" s="24"/>
      <c r="Z220" s="24"/>
      <c r="AA220" s="24"/>
      <c r="AB220" s="24"/>
      <c r="AC220" s="24"/>
    </row>
    <row r="221" spans="1:29" ht="141.30000000000001">
      <c r="A221" s="26" t="s">
        <v>5390</v>
      </c>
      <c r="B221" s="26" t="s">
        <v>5392</v>
      </c>
      <c r="C221" s="26" t="s">
        <v>5393</v>
      </c>
      <c r="D221" s="26" t="s">
        <v>5538</v>
      </c>
      <c r="E221" s="25" t="s">
        <v>5539</v>
      </c>
      <c r="F221" s="25" t="s">
        <v>5540</v>
      </c>
      <c r="G221" s="57" t="str">
        <f>HYPERLINK("https://www.acquisition.gov/content/part-16-types-contracts#i1104523","FAR 16.404(b)(3) Fixed-price contracts with award fees. Air Force Award Fee Guide, March 2010; NASA Award Fee Contract Guide, July 2006")</f>
        <v>FAR 16.404(b)(3) Fixed-price contracts with award fees. Air Force Award Fee Guide, March 2010; NASA Award Fee Contract Guide, July 2006</v>
      </c>
      <c r="H221" s="25"/>
      <c r="I221" s="34"/>
      <c r="J221" s="37" t="s">
        <v>463</v>
      </c>
      <c r="K221" s="37" t="s">
        <v>5549</v>
      </c>
      <c r="L221" s="25" t="s">
        <v>5531</v>
      </c>
      <c r="M221" s="25" t="s">
        <v>5550</v>
      </c>
      <c r="N221" s="25" t="s">
        <v>5551</v>
      </c>
      <c r="O221" s="64"/>
      <c r="P221" s="45" t="b">
        <f t="shared" si="35"/>
        <v>0</v>
      </c>
      <c r="Q221" s="45">
        <f t="shared" si="36"/>
        <v>0</v>
      </c>
      <c r="R221" s="45">
        <f t="shared" si="37"/>
        <v>0</v>
      </c>
      <c r="S221" s="24"/>
      <c r="T221" s="24"/>
      <c r="U221" s="24"/>
      <c r="V221" s="24"/>
      <c r="W221" s="24"/>
      <c r="X221" s="24"/>
      <c r="Y221" s="24"/>
      <c r="Z221" s="24"/>
      <c r="AA221" s="24"/>
      <c r="AB221" s="24"/>
      <c r="AC221" s="24"/>
    </row>
    <row r="222" spans="1:29" ht="76.099999999999994">
      <c r="A222" s="26" t="s">
        <v>5390</v>
      </c>
      <c r="B222" s="26" t="s">
        <v>5392</v>
      </c>
      <c r="C222" s="26" t="s">
        <v>5393</v>
      </c>
      <c r="D222" s="26" t="s">
        <v>5556</v>
      </c>
      <c r="E222" s="25" t="s">
        <v>5557</v>
      </c>
      <c r="F222" s="25" t="s">
        <v>4680</v>
      </c>
      <c r="G222" s="85" t="s">
        <v>5558</v>
      </c>
      <c r="H222" s="54"/>
      <c r="I222" s="34"/>
      <c r="J222" s="37" t="s">
        <v>463</v>
      </c>
      <c r="K222" s="37" t="s">
        <v>5561</v>
      </c>
      <c r="L222" s="25" t="s">
        <v>5563</v>
      </c>
      <c r="M222" s="25" t="s">
        <v>5565</v>
      </c>
      <c r="N222" s="25" t="s">
        <v>5566</v>
      </c>
      <c r="O222" s="64"/>
      <c r="P222" s="45" t="b">
        <f t="shared" si="35"/>
        <v>0</v>
      </c>
      <c r="Q222" s="45">
        <f t="shared" si="36"/>
        <v>0</v>
      </c>
      <c r="R222" s="45">
        <f t="shared" si="37"/>
        <v>0</v>
      </c>
      <c r="S222" s="24"/>
      <c r="T222" s="24"/>
      <c r="U222" s="24"/>
      <c r="V222" s="24"/>
      <c r="W222" s="24"/>
      <c r="X222" s="24"/>
      <c r="Y222" s="24"/>
      <c r="Z222" s="24"/>
      <c r="AA222" s="24"/>
      <c r="AB222" s="24"/>
      <c r="AC222" s="24"/>
    </row>
    <row r="223" spans="1:29" ht="76.099999999999994">
      <c r="A223" s="26" t="s">
        <v>5390</v>
      </c>
      <c r="B223" s="26" t="s">
        <v>5392</v>
      </c>
      <c r="C223" s="26" t="s">
        <v>5393</v>
      </c>
      <c r="D223" s="26" t="s">
        <v>5571</v>
      </c>
      <c r="E223" s="25" t="s">
        <v>5572</v>
      </c>
      <c r="F223" s="25" t="s">
        <v>5573</v>
      </c>
      <c r="G223" s="85" t="s">
        <v>5558</v>
      </c>
      <c r="H223" s="54"/>
      <c r="I223" s="34"/>
      <c r="J223" s="37" t="s">
        <v>463</v>
      </c>
      <c r="K223" s="37" t="s">
        <v>5574</v>
      </c>
      <c r="L223" s="25" t="s">
        <v>5575</v>
      </c>
      <c r="M223" s="25" t="s">
        <v>5577</v>
      </c>
      <c r="N223" s="25" t="s">
        <v>5578</v>
      </c>
      <c r="O223" s="64"/>
      <c r="P223" s="45" t="b">
        <f t="shared" si="35"/>
        <v>0</v>
      </c>
      <c r="Q223" s="45">
        <f t="shared" si="36"/>
        <v>0</v>
      </c>
      <c r="R223" s="45">
        <f t="shared" si="37"/>
        <v>0</v>
      </c>
      <c r="S223" s="24"/>
      <c r="T223" s="24"/>
      <c r="U223" s="24"/>
      <c r="V223" s="24"/>
      <c r="W223" s="24"/>
      <c r="X223" s="24"/>
      <c r="Y223" s="24"/>
      <c r="Z223" s="24"/>
      <c r="AA223" s="24"/>
      <c r="AB223" s="24"/>
      <c r="AC223" s="24"/>
    </row>
    <row r="224" spans="1:29" ht="76.099999999999994">
      <c r="A224" s="26" t="s">
        <v>5390</v>
      </c>
      <c r="B224" s="26" t="s">
        <v>5392</v>
      </c>
      <c r="C224" s="26" t="s">
        <v>5393</v>
      </c>
      <c r="D224" s="26" t="s">
        <v>5585</v>
      </c>
      <c r="E224" s="25" t="s">
        <v>2616</v>
      </c>
      <c r="F224" s="25" t="s">
        <v>275</v>
      </c>
      <c r="G224" s="57" t="str">
        <f>HYPERLINK("https://www.acquisition.gov/content/part-4-administrative-matters#i1122357","FAR 4.803 Contents of contract files")</f>
        <v>FAR 4.803 Contents of contract files</v>
      </c>
      <c r="H224" s="57" t="str">
        <f>HYPERLINK("https://www.acquisition.gov/sites/default/files/current/gsam/html/Part504.html#wp1863182","GSAR 504.8")</f>
        <v>GSAR 504.8</v>
      </c>
      <c r="I224" s="34" t="s">
        <v>3387</v>
      </c>
      <c r="J224" s="37" t="s">
        <v>1566</v>
      </c>
      <c r="K224" s="37" t="s">
        <v>5591</v>
      </c>
      <c r="L224" s="25" t="s">
        <v>5507</v>
      </c>
      <c r="M224" s="25" t="s">
        <v>3390</v>
      </c>
      <c r="N224" s="25" t="s">
        <v>617</v>
      </c>
      <c r="O224" s="64"/>
      <c r="P224" s="45" t="b">
        <f t="shared" si="35"/>
        <v>0</v>
      </c>
      <c r="Q224" s="45">
        <f t="shared" si="36"/>
        <v>3</v>
      </c>
      <c r="R224" s="45">
        <f t="shared" si="37"/>
        <v>0</v>
      </c>
      <c r="S224" s="24"/>
      <c r="T224" s="24"/>
      <c r="U224" s="24"/>
      <c r="V224" s="24"/>
      <c r="W224" s="24"/>
      <c r="X224" s="24"/>
      <c r="Y224" s="24"/>
      <c r="Z224" s="24"/>
      <c r="AA224" s="24"/>
      <c r="AB224" s="24"/>
      <c r="AC224" s="24"/>
    </row>
    <row r="225" spans="1:29" ht="173.9">
      <c r="A225" s="26" t="s">
        <v>5390</v>
      </c>
      <c r="B225" s="26" t="s">
        <v>5392</v>
      </c>
      <c r="C225" s="26" t="s">
        <v>5393</v>
      </c>
      <c r="D225" s="26" t="s">
        <v>5592</v>
      </c>
      <c r="E225" s="25" t="s">
        <v>5593</v>
      </c>
      <c r="F225" s="25" t="s">
        <v>5594</v>
      </c>
      <c r="G225" s="86" t="str">
        <f>HYPERLINK("https://www.acquisition.gov/browse/index/far","Subpart FAR 16.404 Incentive contracts. FAR 52.216-10 Incentive Fees.")</f>
        <v>Subpart FAR 16.404 Incentive contracts. FAR 52.216-10 Incentive Fees.</v>
      </c>
      <c r="H225" s="54"/>
      <c r="I225" s="34" t="s">
        <v>3805</v>
      </c>
      <c r="J225" s="37" t="s">
        <v>1566</v>
      </c>
      <c r="K225" s="37" t="s">
        <v>5595</v>
      </c>
      <c r="L225" s="25" t="s">
        <v>5531</v>
      </c>
      <c r="M225" s="25" t="s">
        <v>5532</v>
      </c>
      <c r="N225" s="25" t="s">
        <v>5533</v>
      </c>
      <c r="O225" s="64"/>
      <c r="P225" s="45" t="b">
        <f t="shared" si="35"/>
        <v>0</v>
      </c>
      <c r="Q225" s="45">
        <f t="shared" si="36"/>
        <v>3</v>
      </c>
      <c r="R225" s="45">
        <f t="shared" si="37"/>
        <v>0</v>
      </c>
      <c r="S225" s="24"/>
      <c r="T225" s="24"/>
      <c r="U225" s="24"/>
      <c r="V225" s="24"/>
      <c r="W225" s="24"/>
      <c r="X225" s="24"/>
      <c r="Y225" s="24"/>
      <c r="Z225" s="24"/>
      <c r="AA225" s="24"/>
      <c r="AB225" s="24"/>
      <c r="AC225" s="24"/>
    </row>
    <row r="226" spans="1:29" ht="184.75">
      <c r="A226" s="26" t="s">
        <v>5390</v>
      </c>
      <c r="B226" s="26" t="s">
        <v>5392</v>
      </c>
      <c r="C226" s="26" t="s">
        <v>5393</v>
      </c>
      <c r="D226" s="26" t="s">
        <v>5596</v>
      </c>
      <c r="E226" s="25" t="s">
        <v>5597</v>
      </c>
      <c r="F226" s="25" t="s">
        <v>5598</v>
      </c>
      <c r="G226" s="86" t="str">
        <f t="shared" ref="G226:G230" si="38">HYPERLINK("https://www.acquisition.gov/content/part-52-solicitation-provisions-and-contract-clauses#i1058463","FAR 52.216-10 Incentive Fees")</f>
        <v>FAR 52.216-10 Incentive Fees</v>
      </c>
      <c r="H226" s="54"/>
      <c r="I226" s="34"/>
      <c r="J226" s="37" t="s">
        <v>463</v>
      </c>
      <c r="K226" s="37" t="s">
        <v>5599</v>
      </c>
      <c r="L226" s="79" t="s">
        <v>5600</v>
      </c>
      <c r="M226" s="25" t="s">
        <v>5601</v>
      </c>
      <c r="N226" s="25" t="s">
        <v>5602</v>
      </c>
      <c r="O226" s="64"/>
      <c r="P226" s="45" t="b">
        <f t="shared" si="35"/>
        <v>0</v>
      </c>
      <c r="Q226" s="45">
        <f t="shared" si="36"/>
        <v>0</v>
      </c>
      <c r="R226" s="45">
        <f t="shared" si="37"/>
        <v>0</v>
      </c>
      <c r="S226" s="24"/>
      <c r="T226" s="24"/>
      <c r="U226" s="24"/>
      <c r="V226" s="24"/>
      <c r="W226" s="24"/>
      <c r="X226" s="24"/>
      <c r="Y226" s="24"/>
      <c r="Z226" s="24"/>
      <c r="AA226" s="24"/>
      <c r="AB226" s="24"/>
      <c r="AC226" s="24"/>
    </row>
    <row r="227" spans="1:29" ht="76.099999999999994">
      <c r="A227" s="26" t="s">
        <v>5390</v>
      </c>
      <c r="B227" s="26" t="s">
        <v>5392</v>
      </c>
      <c r="C227" s="26" t="s">
        <v>5393</v>
      </c>
      <c r="D227" s="26" t="s">
        <v>5603</v>
      </c>
      <c r="E227" s="25" t="s">
        <v>5604</v>
      </c>
      <c r="F227" s="25" t="s">
        <v>5605</v>
      </c>
      <c r="G227" s="86" t="str">
        <f t="shared" si="38"/>
        <v>FAR 52.216-10 Incentive Fees</v>
      </c>
      <c r="H227" s="54"/>
      <c r="I227" s="34"/>
      <c r="J227" s="37" t="s">
        <v>463</v>
      </c>
      <c r="K227" s="37" t="s">
        <v>5606</v>
      </c>
      <c r="L227" s="25" t="s">
        <v>5607</v>
      </c>
      <c r="M227" s="25" t="s">
        <v>5608</v>
      </c>
      <c r="N227" s="25" t="s">
        <v>5609</v>
      </c>
      <c r="O227" s="64"/>
      <c r="P227" s="45" t="b">
        <f t="shared" si="35"/>
        <v>0</v>
      </c>
      <c r="Q227" s="45">
        <f t="shared" si="36"/>
        <v>0</v>
      </c>
      <c r="R227" s="45">
        <f t="shared" si="37"/>
        <v>0</v>
      </c>
      <c r="S227" s="24"/>
      <c r="T227" s="24"/>
      <c r="U227" s="24"/>
      <c r="V227" s="24"/>
      <c r="W227" s="24"/>
      <c r="X227" s="24"/>
      <c r="Y227" s="24"/>
      <c r="Z227" s="24"/>
      <c r="AA227" s="24"/>
      <c r="AB227" s="24"/>
      <c r="AC227" s="24"/>
    </row>
    <row r="228" spans="1:29" ht="76.099999999999994">
      <c r="A228" s="26" t="s">
        <v>5390</v>
      </c>
      <c r="B228" s="26" t="s">
        <v>5392</v>
      </c>
      <c r="C228" s="26" t="s">
        <v>5393</v>
      </c>
      <c r="D228" s="26" t="s">
        <v>5610</v>
      </c>
      <c r="E228" s="25" t="s">
        <v>5611</v>
      </c>
      <c r="F228" s="25" t="s">
        <v>5612</v>
      </c>
      <c r="G228" s="86" t="str">
        <f t="shared" si="38"/>
        <v>FAR 52.216-10 Incentive Fees</v>
      </c>
      <c r="H228" s="54"/>
      <c r="I228" s="34"/>
      <c r="J228" s="37" t="s">
        <v>463</v>
      </c>
      <c r="K228" s="37" t="s">
        <v>5613</v>
      </c>
      <c r="L228" s="25" t="s">
        <v>5614</v>
      </c>
      <c r="M228" s="25" t="s">
        <v>5615</v>
      </c>
      <c r="N228" s="25" t="s">
        <v>5616</v>
      </c>
      <c r="O228" s="64"/>
      <c r="P228" s="45" t="b">
        <f t="shared" si="35"/>
        <v>0</v>
      </c>
      <c r="Q228" s="45">
        <f t="shared" si="36"/>
        <v>0</v>
      </c>
      <c r="R228" s="45">
        <f t="shared" si="37"/>
        <v>0</v>
      </c>
      <c r="S228" s="24"/>
      <c r="T228" s="24"/>
      <c r="U228" s="24"/>
      <c r="V228" s="24"/>
      <c r="W228" s="24"/>
      <c r="X228" s="24"/>
      <c r="Y228" s="24"/>
      <c r="Z228" s="24"/>
      <c r="AA228" s="24"/>
      <c r="AB228" s="24"/>
      <c r="AC228" s="24"/>
    </row>
    <row r="229" spans="1:29" ht="76.099999999999994">
      <c r="A229" s="26" t="s">
        <v>5390</v>
      </c>
      <c r="B229" s="26" t="s">
        <v>5392</v>
      </c>
      <c r="C229" s="26" t="s">
        <v>5393</v>
      </c>
      <c r="D229" s="26" t="s">
        <v>5617</v>
      </c>
      <c r="E229" s="25" t="s">
        <v>5618</v>
      </c>
      <c r="F229" s="25" t="s">
        <v>5598</v>
      </c>
      <c r="G229" s="86" t="str">
        <f t="shared" si="38"/>
        <v>FAR 52.216-10 Incentive Fees</v>
      </c>
      <c r="H229" s="54"/>
      <c r="I229" s="34"/>
      <c r="J229" s="37" t="s">
        <v>463</v>
      </c>
      <c r="K229" s="37" t="s">
        <v>5619</v>
      </c>
      <c r="L229" s="25" t="s">
        <v>5620</v>
      </c>
      <c r="M229" s="25" t="s">
        <v>5621</v>
      </c>
      <c r="N229" s="79" t="s">
        <v>5622</v>
      </c>
      <c r="O229" s="64"/>
      <c r="P229" s="45" t="b">
        <f t="shared" si="35"/>
        <v>0</v>
      </c>
      <c r="Q229" s="45">
        <f t="shared" si="36"/>
        <v>0</v>
      </c>
      <c r="R229" s="45">
        <f t="shared" si="37"/>
        <v>0</v>
      </c>
      <c r="S229" s="24"/>
      <c r="T229" s="24"/>
      <c r="U229" s="24"/>
      <c r="V229" s="24"/>
      <c r="W229" s="24"/>
      <c r="X229" s="24"/>
      <c r="Y229" s="24"/>
      <c r="Z229" s="24"/>
      <c r="AA229" s="24"/>
      <c r="AB229" s="24"/>
      <c r="AC229" s="24"/>
    </row>
    <row r="230" spans="1:29" ht="76.099999999999994">
      <c r="A230" s="26" t="s">
        <v>5390</v>
      </c>
      <c r="B230" s="26" t="s">
        <v>5392</v>
      </c>
      <c r="C230" s="26" t="s">
        <v>5393</v>
      </c>
      <c r="D230" s="26" t="s">
        <v>5623</v>
      </c>
      <c r="E230" s="25" t="s">
        <v>5624</v>
      </c>
      <c r="F230" s="25" t="s">
        <v>4663</v>
      </c>
      <c r="G230" s="86" t="str">
        <f t="shared" si="38"/>
        <v>FAR 52.216-10 Incentive Fees</v>
      </c>
      <c r="H230" s="54"/>
      <c r="I230" s="34" t="s">
        <v>4347</v>
      </c>
      <c r="J230" s="37" t="s">
        <v>1566</v>
      </c>
      <c r="K230" s="37" t="s">
        <v>5625</v>
      </c>
      <c r="L230" s="25" t="s">
        <v>5626</v>
      </c>
      <c r="M230" s="25" t="s">
        <v>5627</v>
      </c>
      <c r="N230" s="25" t="s">
        <v>5628</v>
      </c>
      <c r="O230" s="64"/>
      <c r="P230" s="45" t="b">
        <f t="shared" si="35"/>
        <v>0</v>
      </c>
      <c r="Q230" s="45">
        <f t="shared" si="36"/>
        <v>3</v>
      </c>
      <c r="R230" s="45">
        <f t="shared" si="37"/>
        <v>0</v>
      </c>
      <c r="S230" s="24"/>
      <c r="T230" s="24"/>
      <c r="U230" s="24"/>
      <c r="V230" s="24"/>
      <c r="W230" s="24"/>
      <c r="X230" s="24"/>
      <c r="Y230" s="24"/>
      <c r="Z230" s="24"/>
      <c r="AA230" s="24"/>
      <c r="AB230" s="24"/>
      <c r="AC230" s="24"/>
    </row>
    <row r="231" spans="1:29" ht="4.5999999999999996" customHeight="1">
      <c r="A231" s="55"/>
      <c r="B231" s="55"/>
      <c r="C231" s="56"/>
      <c r="D231" s="56"/>
      <c r="E231" s="55"/>
      <c r="F231" s="55"/>
      <c r="G231" s="72"/>
      <c r="H231" s="72"/>
      <c r="I231" s="133"/>
      <c r="J231" s="55"/>
      <c r="K231" s="55"/>
      <c r="L231" s="63"/>
      <c r="M231" s="63"/>
      <c r="N231" s="63"/>
      <c r="O231" s="64"/>
      <c r="P231" s="64"/>
      <c r="Q231" s="64"/>
      <c r="R231" s="64"/>
      <c r="S231" s="24"/>
      <c r="T231" s="24"/>
      <c r="U231" s="24"/>
      <c r="V231" s="24"/>
      <c r="W231" s="24"/>
      <c r="X231" s="24"/>
      <c r="Y231" s="24"/>
      <c r="Z231" s="24"/>
      <c r="AA231" s="24"/>
      <c r="AB231" s="24"/>
      <c r="AC231" s="24"/>
    </row>
    <row r="232" spans="1:29" ht="21.75">
      <c r="A232" s="26" t="s">
        <v>5629</v>
      </c>
      <c r="B232" s="26" t="s">
        <v>5630</v>
      </c>
      <c r="C232" s="26" t="s">
        <v>5631</v>
      </c>
      <c r="D232" s="26"/>
      <c r="E232" s="54"/>
      <c r="F232" s="25"/>
      <c r="G232" s="176"/>
      <c r="H232" s="54"/>
      <c r="I232" s="34"/>
      <c r="J232" s="37"/>
      <c r="K232" s="37"/>
      <c r="L232" s="54"/>
      <c r="M232" s="54"/>
      <c r="N232" s="54"/>
      <c r="O232" s="64"/>
      <c r="P232" s="45" t="b">
        <f>IF(AND(O232="Meet the requirements traceability “out of the box”"), 10, IF(AND(O232="Can meet the requirements traceability with configuration or through the use of another commercial product “out of the box” or other arrangement as part of the service offering quoted (i.e. at no additional cost)"), 8, IF(AND(O232="Can meet the requirements traceability with customization at additional cost"), 3, IF(AND(O232="Cannot meet the requirements traceability requirement"), 0))))</f>
        <v>0</v>
      </c>
      <c r="Q232" s="45">
        <f>IF(J232="Unidentified",0,3)</f>
        <v>3</v>
      </c>
      <c r="R232" s="45">
        <f>IF(P232=FALSE,0,IF(P232&gt;4,(P232+Q232),P232))</f>
        <v>0</v>
      </c>
      <c r="S232" s="24"/>
      <c r="T232" s="24"/>
      <c r="U232" s="24"/>
      <c r="V232" s="24"/>
      <c r="W232" s="24"/>
      <c r="X232" s="24"/>
      <c r="Y232" s="24"/>
      <c r="Z232" s="24"/>
      <c r="AA232" s="24"/>
      <c r="AB232" s="24"/>
      <c r="AC232" s="24"/>
    </row>
    <row r="233" spans="1:29" ht="4.5999999999999996" customHeight="1">
      <c r="A233" s="55"/>
      <c r="B233" s="55"/>
      <c r="C233" s="56"/>
      <c r="D233" s="56"/>
      <c r="E233" s="55"/>
      <c r="F233" s="55"/>
      <c r="G233" s="72"/>
      <c r="H233" s="72"/>
      <c r="I233" s="133"/>
      <c r="J233" s="55"/>
      <c r="K233" s="55"/>
      <c r="L233" s="63"/>
      <c r="M233" s="63"/>
      <c r="N233" s="63"/>
      <c r="O233" s="64"/>
      <c r="P233" s="64"/>
      <c r="Q233" s="64"/>
      <c r="R233" s="64"/>
      <c r="S233" s="24"/>
      <c r="T233" s="24"/>
      <c r="U233" s="24"/>
      <c r="V233" s="24"/>
      <c r="W233" s="24"/>
      <c r="X233" s="24"/>
      <c r="Y233" s="24"/>
      <c r="Z233" s="24"/>
      <c r="AA233" s="24"/>
      <c r="AB233" s="24"/>
      <c r="AC233" s="24"/>
    </row>
    <row r="234" spans="1:29" ht="108.7">
      <c r="A234" s="26" t="s">
        <v>5632</v>
      </c>
      <c r="B234" s="26" t="s">
        <v>5633</v>
      </c>
      <c r="C234" s="26" t="s">
        <v>5634</v>
      </c>
      <c r="D234" s="26" t="s">
        <v>5635</v>
      </c>
      <c r="E234" s="25" t="s">
        <v>5636</v>
      </c>
      <c r="F234" s="25" t="s">
        <v>5637</v>
      </c>
      <c r="G234" s="177" t="str">
        <f>HYPERLINK("https://www.acquisition.gov/content/part-30-cost-accounting-standards-administration#i1086582","FAR 30.601(b) Responsibility.")</f>
        <v>FAR 30.601(b) Responsibility.</v>
      </c>
      <c r="H234" s="54"/>
      <c r="I234" s="34"/>
      <c r="J234" s="37" t="s">
        <v>463</v>
      </c>
      <c r="K234" s="37" t="s">
        <v>5638</v>
      </c>
      <c r="L234" s="25" t="s">
        <v>5639</v>
      </c>
      <c r="M234" s="25" t="s">
        <v>5640</v>
      </c>
      <c r="N234" s="25" t="s">
        <v>5641</v>
      </c>
      <c r="O234" s="64"/>
      <c r="P234" s="45" t="b">
        <f t="shared" ref="P234:P405" si="39">IF(AND(O234="Meet the requirements traceability “out of the box”"), 10, IF(AND(O234="Can meet the requirements traceability with configuration or through the use of another commercial product “out of the box” or other arrangement as part of the service offering quoted (i.e. at no additional cost)"), 8, IF(AND(O234="Can meet the requirements traceability with customization at additional cost"), 3, IF(AND(O234="Cannot meet the requirements traceability requirement"), 0))))</f>
        <v>0</v>
      </c>
      <c r="Q234" s="45">
        <f t="shared" ref="Q234:Q405" si="40">IF(J234="Unidentified",0,3)</f>
        <v>0</v>
      </c>
      <c r="R234" s="45">
        <f t="shared" ref="R234:R405" si="41">IF(P234=FALSE,0,IF(P234&gt;4,(P234+Q234),P234))</f>
        <v>0</v>
      </c>
      <c r="S234" s="24"/>
      <c r="T234" s="24"/>
      <c r="U234" s="24"/>
      <c r="V234" s="24"/>
      <c r="W234" s="24"/>
      <c r="X234" s="24"/>
      <c r="Y234" s="24"/>
      <c r="Z234" s="24"/>
      <c r="AA234" s="24"/>
      <c r="AB234" s="24"/>
      <c r="AC234" s="24"/>
    </row>
    <row r="235" spans="1:29" ht="65.25">
      <c r="A235" s="26" t="s">
        <v>5632</v>
      </c>
      <c r="B235" s="26" t="s">
        <v>5633</v>
      </c>
      <c r="C235" s="26" t="s">
        <v>5634</v>
      </c>
      <c r="D235" s="26" t="s">
        <v>5642</v>
      </c>
      <c r="E235" s="25" t="s">
        <v>5643</v>
      </c>
      <c r="F235" s="25" t="s">
        <v>5644</v>
      </c>
      <c r="G235" s="86" t="str">
        <f>HYPERLINK("https://www.acquisition.gov/content/part-44-subcontracting-policies-and-procedures#id1617MD0M0SH","FAR 44.201-1 Consent requirements [consent to subcontracts]")</f>
        <v>FAR 44.201-1 Consent requirements [consent to subcontracts]</v>
      </c>
      <c r="H235" s="54"/>
      <c r="I235" s="34"/>
      <c r="J235" s="37" t="s">
        <v>463</v>
      </c>
      <c r="K235" s="37" t="s">
        <v>5645</v>
      </c>
      <c r="L235" s="25" t="s">
        <v>5646</v>
      </c>
      <c r="M235" s="25" t="s">
        <v>5647</v>
      </c>
      <c r="N235" s="25" t="s">
        <v>5648</v>
      </c>
      <c r="O235" s="64"/>
      <c r="P235" s="45" t="b">
        <f t="shared" si="39"/>
        <v>0</v>
      </c>
      <c r="Q235" s="45">
        <f t="shared" si="40"/>
        <v>0</v>
      </c>
      <c r="R235" s="45">
        <f t="shared" si="41"/>
        <v>0</v>
      </c>
      <c r="S235" s="24"/>
      <c r="T235" s="24"/>
      <c r="U235" s="24"/>
      <c r="V235" s="24"/>
      <c r="W235" s="24"/>
      <c r="X235" s="24"/>
      <c r="Y235" s="24"/>
      <c r="Z235" s="24"/>
      <c r="AA235" s="24"/>
      <c r="AB235" s="24"/>
      <c r="AC235" s="24"/>
    </row>
    <row r="236" spans="1:29" ht="119.55">
      <c r="A236" s="26" t="s">
        <v>5632</v>
      </c>
      <c r="B236" s="26" t="s">
        <v>5633</v>
      </c>
      <c r="C236" s="26" t="s">
        <v>5634</v>
      </c>
      <c r="D236" s="26" t="s">
        <v>5649</v>
      </c>
      <c r="E236" s="25" t="s">
        <v>5650</v>
      </c>
      <c r="F236" s="25" t="s">
        <v>5651</v>
      </c>
      <c r="G236" s="86" t="str">
        <f>HYPERLINK("https://www.acquisition.gov/content/part-44-subcontracting-policies-and-procedures#id1617MD0M0SH","FAR 44.201-1(a) Consent requirements [consent to subcontracts]")</f>
        <v>FAR 44.201-1(a) Consent requirements [consent to subcontracts]</v>
      </c>
      <c r="H236" s="54"/>
      <c r="I236" s="34"/>
      <c r="J236" s="37" t="s">
        <v>463</v>
      </c>
      <c r="K236" s="37" t="s">
        <v>5652</v>
      </c>
      <c r="L236" s="25" t="s">
        <v>5653</v>
      </c>
      <c r="M236" s="25" t="s">
        <v>5647</v>
      </c>
      <c r="N236" s="25" t="s">
        <v>5654</v>
      </c>
      <c r="O236" s="64"/>
      <c r="P236" s="45" t="b">
        <f t="shared" si="39"/>
        <v>0</v>
      </c>
      <c r="Q236" s="45">
        <f t="shared" si="40"/>
        <v>0</v>
      </c>
      <c r="R236" s="45">
        <f t="shared" si="41"/>
        <v>0</v>
      </c>
      <c r="S236" s="24"/>
      <c r="T236" s="24"/>
      <c r="U236" s="24"/>
      <c r="V236" s="24"/>
      <c r="W236" s="24"/>
      <c r="X236" s="24"/>
      <c r="Y236" s="24"/>
      <c r="Z236" s="24"/>
      <c r="AA236" s="24"/>
      <c r="AB236" s="24"/>
      <c r="AC236" s="24"/>
    </row>
    <row r="237" spans="1:29" ht="86.95">
      <c r="A237" s="26" t="s">
        <v>5632</v>
      </c>
      <c r="B237" s="26" t="s">
        <v>5633</v>
      </c>
      <c r="C237" s="26" t="s">
        <v>5634</v>
      </c>
      <c r="D237" s="26" t="s">
        <v>5655</v>
      </c>
      <c r="E237" s="25" t="s">
        <v>5656</v>
      </c>
      <c r="F237" s="25" t="s">
        <v>5651</v>
      </c>
      <c r="G237" s="86" t="str">
        <f t="shared" ref="G237:G240" si="42">HYPERLINK("https://www.acquisition.gov/content/part-44-subcontracting-policies-and-procedures#id1617MD0M0SH","FAR 44.201-1(b) Consent requirements [consent to subcontracts].")</f>
        <v>FAR 44.201-1(b) Consent requirements [consent to subcontracts].</v>
      </c>
      <c r="H237" s="54"/>
      <c r="I237" s="34"/>
      <c r="J237" s="37" t="s">
        <v>463</v>
      </c>
      <c r="K237" s="37" t="s">
        <v>5657</v>
      </c>
      <c r="L237" s="25" t="s">
        <v>5658</v>
      </c>
      <c r="M237" s="25" t="s">
        <v>5658</v>
      </c>
      <c r="N237" s="25" t="s">
        <v>5658</v>
      </c>
      <c r="O237" s="64"/>
      <c r="P237" s="45" t="b">
        <f t="shared" si="39"/>
        <v>0</v>
      </c>
      <c r="Q237" s="45">
        <f t="shared" si="40"/>
        <v>0</v>
      </c>
      <c r="R237" s="45">
        <f t="shared" si="41"/>
        <v>0</v>
      </c>
      <c r="S237" s="24"/>
      <c r="T237" s="24"/>
      <c r="U237" s="24"/>
      <c r="V237" s="24"/>
      <c r="W237" s="24"/>
      <c r="X237" s="24"/>
      <c r="Y237" s="24"/>
      <c r="Z237" s="24"/>
      <c r="AA237" s="24"/>
      <c r="AB237" s="24"/>
      <c r="AC237" s="24"/>
    </row>
    <row r="238" spans="1:29" ht="76.099999999999994">
      <c r="A238" s="26" t="s">
        <v>5632</v>
      </c>
      <c r="B238" s="26" t="s">
        <v>5633</v>
      </c>
      <c r="C238" s="26" t="s">
        <v>5634</v>
      </c>
      <c r="D238" s="26" t="s">
        <v>5659</v>
      </c>
      <c r="E238" s="25" t="s">
        <v>5660</v>
      </c>
      <c r="F238" s="25" t="s">
        <v>5661</v>
      </c>
      <c r="G238" s="86" t="str">
        <f t="shared" si="42"/>
        <v>FAR 44.201-1(b) Consent requirements [consent to subcontracts].</v>
      </c>
      <c r="H238" s="54"/>
      <c r="I238" s="34"/>
      <c r="J238" s="37" t="s">
        <v>463</v>
      </c>
      <c r="K238" s="37" t="s">
        <v>5662</v>
      </c>
      <c r="L238" s="25" t="s">
        <v>5658</v>
      </c>
      <c r="M238" s="25" t="s">
        <v>5658</v>
      </c>
      <c r="N238" s="25" t="s">
        <v>5658</v>
      </c>
      <c r="O238" s="64"/>
      <c r="P238" s="45" t="b">
        <f t="shared" si="39"/>
        <v>0</v>
      </c>
      <c r="Q238" s="45">
        <f t="shared" si="40"/>
        <v>0</v>
      </c>
      <c r="R238" s="45">
        <f t="shared" si="41"/>
        <v>0</v>
      </c>
      <c r="S238" s="24"/>
      <c r="T238" s="24"/>
      <c r="U238" s="24"/>
      <c r="V238" s="24"/>
      <c r="W238" s="24"/>
      <c r="X238" s="24"/>
      <c r="Y238" s="24"/>
      <c r="Z238" s="24"/>
      <c r="AA238" s="24"/>
      <c r="AB238" s="24"/>
      <c r="AC238" s="24"/>
    </row>
    <row r="239" spans="1:29" ht="76.099999999999994">
      <c r="A239" s="26" t="s">
        <v>5632</v>
      </c>
      <c r="B239" s="26" t="s">
        <v>5633</v>
      </c>
      <c r="C239" s="26" t="s">
        <v>5634</v>
      </c>
      <c r="D239" s="26" t="s">
        <v>5663</v>
      </c>
      <c r="E239" s="25" t="s">
        <v>5664</v>
      </c>
      <c r="F239" s="25" t="s">
        <v>5665</v>
      </c>
      <c r="G239" s="86" t="str">
        <f t="shared" si="42"/>
        <v>FAR 44.201-1(b) Consent requirements [consent to subcontracts].</v>
      </c>
      <c r="H239" s="54"/>
      <c r="I239" s="34"/>
      <c r="J239" s="37" t="s">
        <v>463</v>
      </c>
      <c r="K239" s="37" t="s">
        <v>5666</v>
      </c>
      <c r="L239" s="25" t="s">
        <v>5658</v>
      </c>
      <c r="M239" s="25" t="s">
        <v>5658</v>
      </c>
      <c r="N239" s="25" t="s">
        <v>5658</v>
      </c>
      <c r="O239" s="64"/>
      <c r="P239" s="45" t="b">
        <f t="shared" si="39"/>
        <v>0</v>
      </c>
      <c r="Q239" s="45">
        <f t="shared" si="40"/>
        <v>0</v>
      </c>
      <c r="R239" s="45">
        <f t="shared" si="41"/>
        <v>0</v>
      </c>
      <c r="S239" s="24"/>
      <c r="T239" s="24"/>
      <c r="U239" s="24"/>
      <c r="V239" s="24"/>
      <c r="W239" s="24"/>
      <c r="X239" s="24"/>
      <c r="Y239" s="24"/>
      <c r="Z239" s="24"/>
      <c r="AA239" s="24"/>
      <c r="AB239" s="24"/>
      <c r="AC239" s="24"/>
    </row>
    <row r="240" spans="1:29" ht="76.099999999999994">
      <c r="A240" s="26" t="s">
        <v>5632</v>
      </c>
      <c r="B240" s="26" t="s">
        <v>5633</v>
      </c>
      <c r="C240" s="26" t="s">
        <v>5634</v>
      </c>
      <c r="D240" s="26" t="s">
        <v>5667</v>
      </c>
      <c r="E240" s="25" t="s">
        <v>5668</v>
      </c>
      <c r="F240" s="25" t="s">
        <v>5665</v>
      </c>
      <c r="G240" s="86" t="str">
        <f t="shared" si="42"/>
        <v>FAR 44.201-1(b) Consent requirements [consent to subcontracts].</v>
      </c>
      <c r="H240" s="54"/>
      <c r="I240" s="34"/>
      <c r="J240" s="37" t="s">
        <v>463</v>
      </c>
      <c r="K240" s="37" t="s">
        <v>5669</v>
      </c>
      <c r="L240" s="25" t="s">
        <v>5658</v>
      </c>
      <c r="M240" s="25" t="s">
        <v>5658</v>
      </c>
      <c r="N240" s="25" t="s">
        <v>5658</v>
      </c>
      <c r="O240" s="64"/>
      <c r="P240" s="45" t="b">
        <f t="shared" si="39"/>
        <v>0</v>
      </c>
      <c r="Q240" s="45">
        <f t="shared" si="40"/>
        <v>0</v>
      </c>
      <c r="R240" s="45">
        <f t="shared" si="41"/>
        <v>0</v>
      </c>
      <c r="S240" s="24"/>
      <c r="T240" s="24"/>
      <c r="U240" s="24"/>
      <c r="V240" s="24"/>
      <c r="W240" s="24"/>
      <c r="X240" s="24"/>
      <c r="Y240" s="24"/>
      <c r="Z240" s="24"/>
      <c r="AA240" s="24"/>
      <c r="AB240" s="24"/>
      <c r="AC240" s="24"/>
    </row>
    <row r="241" spans="1:29" ht="65.25">
      <c r="A241" s="26" t="s">
        <v>5632</v>
      </c>
      <c r="B241" s="26" t="s">
        <v>5633</v>
      </c>
      <c r="C241" s="26" t="s">
        <v>5634</v>
      </c>
      <c r="D241" s="26" t="s">
        <v>5670</v>
      </c>
      <c r="E241" s="25" t="s">
        <v>5671</v>
      </c>
      <c r="F241" s="25" t="s">
        <v>5651</v>
      </c>
      <c r="G241" s="86" t="str">
        <f>HYPERLINK("https://www.acquisition.gov/content/part-44-subcontracting-policies-and-procedures#id1617MD0M0SH","FAR 44.201-1(c) Consent requirements [consent to subcontracts].")</f>
        <v>FAR 44.201-1(c) Consent requirements [consent to subcontracts].</v>
      </c>
      <c r="H241" s="54"/>
      <c r="I241" s="34"/>
      <c r="J241" s="37" t="s">
        <v>463</v>
      </c>
      <c r="K241" s="37" t="s">
        <v>5672</v>
      </c>
      <c r="L241" s="25" t="s">
        <v>5646</v>
      </c>
      <c r="M241" s="25" t="s">
        <v>5647</v>
      </c>
      <c r="N241" s="25" t="s">
        <v>5673</v>
      </c>
      <c r="O241" s="64"/>
      <c r="P241" s="45" t="b">
        <f t="shared" si="39"/>
        <v>0</v>
      </c>
      <c r="Q241" s="45">
        <f t="shared" si="40"/>
        <v>0</v>
      </c>
      <c r="R241" s="45">
        <f t="shared" si="41"/>
        <v>0</v>
      </c>
      <c r="S241" s="24"/>
      <c r="T241" s="24"/>
      <c r="U241" s="24"/>
      <c r="V241" s="24"/>
      <c r="W241" s="24"/>
      <c r="X241" s="24"/>
      <c r="Y241" s="24"/>
      <c r="Z241" s="24"/>
      <c r="AA241" s="24"/>
      <c r="AB241" s="24"/>
      <c r="AC241" s="24"/>
    </row>
    <row r="242" spans="1:29" ht="86.95">
      <c r="A242" s="26" t="s">
        <v>5632</v>
      </c>
      <c r="B242" s="26" t="s">
        <v>5633</v>
      </c>
      <c r="C242" s="26" t="s">
        <v>5634</v>
      </c>
      <c r="D242" s="26" t="s">
        <v>5674</v>
      </c>
      <c r="E242" s="25" t="s">
        <v>5675</v>
      </c>
      <c r="F242" s="25" t="s">
        <v>5676</v>
      </c>
      <c r="G242" s="86" t="e">
        <f>HYPERLINK("https://www.acquisition.gov/browse/index/far","FAR 9.402(a) Policy [debarment, suspension, and ineligibility]. FAR 9.405-2 Restrictions on subcontracting [effect of listing]. FAR 44.201-1 Advance notification requirements [consent to subcontracts]. FAR 44.202 Contracting officer’s evaluation [consent "&amp;"to subcontracts]. FAR 44.203 Consent limitations [consent to subcontracts].")</f>
        <v>#VALUE!</v>
      </c>
      <c r="H242" s="57" t="str">
        <f>HYPERLINK("https://www.acquisition.gov/sites/default/files/current/gsam/html/Part509.html#wp1859688","GSAM 9.405-2")</f>
        <v>GSAM 9.405-2</v>
      </c>
      <c r="I242" s="34"/>
      <c r="J242" s="37" t="s">
        <v>463</v>
      </c>
      <c r="K242" s="37" t="s">
        <v>5677</v>
      </c>
      <c r="L242" s="79" t="s">
        <v>5678</v>
      </c>
      <c r="M242" s="79" t="s">
        <v>5679</v>
      </c>
      <c r="N242" s="79" t="s">
        <v>5680</v>
      </c>
      <c r="O242" s="64"/>
      <c r="P242" s="45" t="b">
        <f t="shared" si="39"/>
        <v>0</v>
      </c>
      <c r="Q242" s="45">
        <f t="shared" si="40"/>
        <v>0</v>
      </c>
      <c r="R242" s="45">
        <f t="shared" si="41"/>
        <v>0</v>
      </c>
      <c r="S242" s="24"/>
      <c r="T242" s="24"/>
      <c r="U242" s="24"/>
      <c r="V242" s="24"/>
      <c r="W242" s="24"/>
      <c r="X242" s="24"/>
      <c r="Y242" s="24"/>
      <c r="Z242" s="24"/>
      <c r="AA242" s="24"/>
      <c r="AB242" s="24"/>
      <c r="AC242" s="24"/>
    </row>
    <row r="243" spans="1:29" ht="163.05000000000001">
      <c r="A243" s="26" t="s">
        <v>5632</v>
      </c>
      <c r="B243" s="26" t="s">
        <v>5633</v>
      </c>
      <c r="C243" s="26" t="s">
        <v>5634</v>
      </c>
      <c r="D243" s="26" t="s">
        <v>5681</v>
      </c>
      <c r="E243" s="25" t="s">
        <v>5682</v>
      </c>
      <c r="F243" s="25" t="s">
        <v>5683</v>
      </c>
      <c r="G243" s="86" t="str">
        <f>HYPERLINK("https://www.acquisition.gov/content/part-44-subcontracting-policies-and-procedures#id1617MD0M0TK","FAR 44.301 Objective [contractors’ purchasing systems reviews]. FAR 44.302 Requirements [contractors’ purchasing systems reviews].")</f>
        <v>FAR 44.301 Objective [contractors’ purchasing systems reviews]. FAR 44.302 Requirements [contractors’ purchasing systems reviews].</v>
      </c>
      <c r="H243" s="54"/>
      <c r="I243" s="34"/>
      <c r="J243" s="37" t="s">
        <v>463</v>
      </c>
      <c r="K243" s="37" t="s">
        <v>5684</v>
      </c>
      <c r="L243" s="79" t="s">
        <v>5685</v>
      </c>
      <c r="M243" s="79" t="s">
        <v>5686</v>
      </c>
      <c r="N243" s="79" t="s">
        <v>5687</v>
      </c>
      <c r="O243" s="64"/>
      <c r="P243" s="45" t="b">
        <f t="shared" si="39"/>
        <v>0</v>
      </c>
      <c r="Q243" s="45">
        <f t="shared" si="40"/>
        <v>0</v>
      </c>
      <c r="R243" s="45">
        <f t="shared" si="41"/>
        <v>0</v>
      </c>
      <c r="S243" s="24"/>
      <c r="T243" s="24"/>
      <c r="U243" s="24"/>
      <c r="V243" s="24"/>
      <c r="W243" s="24"/>
      <c r="X243" s="24"/>
      <c r="Y243" s="24"/>
      <c r="Z243" s="24"/>
      <c r="AA243" s="24"/>
      <c r="AB243" s="24"/>
      <c r="AC243" s="24"/>
    </row>
    <row r="244" spans="1:29" ht="65.25">
      <c r="A244" s="26" t="s">
        <v>5632</v>
      </c>
      <c r="B244" s="26" t="s">
        <v>5633</v>
      </c>
      <c r="C244" s="26" t="s">
        <v>5634</v>
      </c>
      <c r="D244" s="26" t="s">
        <v>5688</v>
      </c>
      <c r="E244" s="25" t="s">
        <v>5689</v>
      </c>
      <c r="F244" s="25" t="s">
        <v>5683</v>
      </c>
      <c r="G244" s="86" t="str">
        <f>HYPERLINK("https://www.acquisition.gov/content/part-44-subcontracting-policies-and-procedures#id1617MD0M0UW","FAR 44.303 Extent of review [contractors’ purchasing systems reviews]. ")</f>
        <v xml:space="preserve">FAR 44.303 Extent of review [contractors’ purchasing systems reviews]. </v>
      </c>
      <c r="H244" s="54"/>
      <c r="I244" s="34"/>
      <c r="J244" s="37" t="s">
        <v>463</v>
      </c>
      <c r="K244" s="37" t="s">
        <v>5690</v>
      </c>
      <c r="L244" s="25" t="s">
        <v>5691</v>
      </c>
      <c r="M244" s="25" t="s">
        <v>5692</v>
      </c>
      <c r="N244" s="25" t="s">
        <v>617</v>
      </c>
      <c r="O244" s="64"/>
      <c r="P244" s="45" t="b">
        <f t="shared" si="39"/>
        <v>0</v>
      </c>
      <c r="Q244" s="45">
        <f t="shared" si="40"/>
        <v>0</v>
      </c>
      <c r="R244" s="45">
        <f t="shared" si="41"/>
        <v>0</v>
      </c>
      <c r="S244" s="24"/>
      <c r="T244" s="24"/>
      <c r="U244" s="24"/>
      <c r="V244" s="24"/>
      <c r="W244" s="24"/>
      <c r="X244" s="24"/>
      <c r="Y244" s="24"/>
      <c r="Z244" s="24"/>
      <c r="AA244" s="24"/>
      <c r="AB244" s="24"/>
      <c r="AC244" s="24"/>
    </row>
    <row r="245" spans="1:29" ht="97.85">
      <c r="A245" s="26" t="s">
        <v>5632</v>
      </c>
      <c r="B245" s="26" t="s">
        <v>5633</v>
      </c>
      <c r="C245" s="26" t="s">
        <v>5634</v>
      </c>
      <c r="D245" s="26" t="s">
        <v>5693</v>
      </c>
      <c r="E245" s="25" t="s">
        <v>5694</v>
      </c>
      <c r="F245" s="25" t="s">
        <v>5695</v>
      </c>
      <c r="G245" s="86" t="str">
        <f>HYPERLINK("https://www.acquisition.gov/sites/default/files/current/far/html/Subpart%2044_3.html#wp1074705","FAR 44.305 Granting, withholding, or withdrawing approval [contractors’ purchasing systems reviews]. ")</f>
        <v xml:space="preserve">FAR 44.305 Granting, withholding, or withdrawing approval [contractors’ purchasing systems reviews]. </v>
      </c>
      <c r="H245" s="54"/>
      <c r="I245" s="34"/>
      <c r="J245" s="37" t="s">
        <v>463</v>
      </c>
      <c r="K245" s="37" t="s">
        <v>5696</v>
      </c>
      <c r="L245" s="25" t="s">
        <v>5691</v>
      </c>
      <c r="M245" s="25" t="s">
        <v>5697</v>
      </c>
      <c r="N245" s="25" t="s">
        <v>5698</v>
      </c>
      <c r="O245" s="64"/>
      <c r="P245" s="45" t="b">
        <f t="shared" si="39"/>
        <v>0</v>
      </c>
      <c r="Q245" s="45">
        <f t="shared" si="40"/>
        <v>0</v>
      </c>
      <c r="R245" s="45">
        <f t="shared" si="41"/>
        <v>0</v>
      </c>
      <c r="S245" s="24"/>
      <c r="T245" s="24"/>
      <c r="U245" s="24"/>
      <c r="V245" s="24"/>
      <c r="W245" s="24"/>
      <c r="X245" s="24"/>
      <c r="Y245" s="24"/>
      <c r="Z245" s="24"/>
      <c r="AA245" s="24"/>
      <c r="AB245" s="24"/>
      <c r="AC245" s="24"/>
    </row>
    <row r="246" spans="1:29" ht="97.85">
      <c r="A246" s="26" t="s">
        <v>5632</v>
      </c>
      <c r="B246" s="26" t="s">
        <v>5633</v>
      </c>
      <c r="C246" s="26" t="s">
        <v>5634</v>
      </c>
      <c r="D246" s="26" t="s">
        <v>5699</v>
      </c>
      <c r="E246" s="25" t="s">
        <v>5700</v>
      </c>
      <c r="F246" s="25" t="s">
        <v>5701</v>
      </c>
      <c r="G246" s="86" t="str">
        <f>HYPERLINK("https://www.acquisition.gov/content/part-44-subcontracting-policies-and-procedures#id1617MD0M0WU","FAR 44.305-1(b) Responsibilities [granting, withholding, or withdrawing approval]. FAR 44.305 Granting, withholding, or withdrawing approval [contractors’ purchasing systems reviews].")</f>
        <v>FAR 44.305-1(b) Responsibilities [granting, withholding, or withdrawing approval]. FAR 44.305 Granting, withholding, or withdrawing approval [contractors’ purchasing systems reviews].</v>
      </c>
      <c r="H246" s="54"/>
      <c r="I246" s="34"/>
      <c r="J246" s="37" t="s">
        <v>463</v>
      </c>
      <c r="K246" s="37" t="s">
        <v>5702</v>
      </c>
      <c r="L246" s="25" t="s">
        <v>5691</v>
      </c>
      <c r="M246" s="25" t="s">
        <v>5697</v>
      </c>
      <c r="N246" s="25" t="s">
        <v>5698</v>
      </c>
      <c r="O246" s="64"/>
      <c r="P246" s="45" t="b">
        <f t="shared" si="39"/>
        <v>0</v>
      </c>
      <c r="Q246" s="45">
        <f t="shared" si="40"/>
        <v>0</v>
      </c>
      <c r="R246" s="45">
        <f t="shared" si="41"/>
        <v>0</v>
      </c>
      <c r="S246" s="24"/>
      <c r="T246" s="24"/>
      <c r="U246" s="24"/>
      <c r="V246" s="24"/>
      <c r="W246" s="24"/>
      <c r="X246" s="24"/>
      <c r="Y246" s="24"/>
      <c r="Z246" s="24"/>
      <c r="AA246" s="24"/>
      <c r="AB246" s="24"/>
      <c r="AC246" s="24"/>
    </row>
    <row r="247" spans="1:29" ht="97.85">
      <c r="A247" s="26" t="s">
        <v>5632</v>
      </c>
      <c r="B247" s="26" t="s">
        <v>5633</v>
      </c>
      <c r="C247" s="26" t="s">
        <v>5634</v>
      </c>
      <c r="D247" s="26" t="s">
        <v>5703</v>
      </c>
      <c r="E247" s="25" t="s">
        <v>5704</v>
      </c>
      <c r="F247" s="25" t="s">
        <v>5701</v>
      </c>
      <c r="G247" s="86" t="str">
        <f>HYPERLINK("https://www.acquisition.gov/content/part-44-subcontracting-policies-and-procedures#id1617MD0M0ZF","FAR 44.306 Disclosure of approval status [contractors’ purchasing systems reviews]. FAR 44.307 Reports [contractors’ purchasing systems reviews]")</f>
        <v>FAR 44.306 Disclosure of approval status [contractors’ purchasing systems reviews]. FAR 44.307 Reports [contractors’ purchasing systems reviews]</v>
      </c>
      <c r="H247" s="54"/>
      <c r="I247" s="34"/>
      <c r="J247" s="37" t="s">
        <v>463</v>
      </c>
      <c r="K247" s="37" t="s">
        <v>5705</v>
      </c>
      <c r="L247" s="25" t="s">
        <v>5691</v>
      </c>
      <c r="M247" s="25" t="s">
        <v>5697</v>
      </c>
      <c r="N247" s="25" t="s">
        <v>5698</v>
      </c>
      <c r="O247" s="64"/>
      <c r="P247" s="45" t="b">
        <f t="shared" si="39"/>
        <v>0</v>
      </c>
      <c r="Q247" s="45">
        <f t="shared" si="40"/>
        <v>0</v>
      </c>
      <c r="R247" s="45">
        <f t="shared" si="41"/>
        <v>0</v>
      </c>
      <c r="S247" s="24"/>
      <c r="T247" s="24"/>
      <c r="U247" s="24"/>
      <c r="V247" s="24"/>
      <c r="W247" s="24"/>
      <c r="X247" s="24"/>
      <c r="Y247" s="24"/>
      <c r="Z247" s="24"/>
      <c r="AA247" s="24"/>
      <c r="AB247" s="24"/>
      <c r="AC247" s="24"/>
    </row>
    <row r="248" spans="1:29" ht="65.25">
      <c r="A248" s="26" t="s">
        <v>5632</v>
      </c>
      <c r="B248" s="26" t="s">
        <v>5633</v>
      </c>
      <c r="C248" s="26" t="s">
        <v>5634</v>
      </c>
      <c r="D248" s="26" t="s">
        <v>5706</v>
      </c>
      <c r="E248" s="25" t="s">
        <v>5707</v>
      </c>
      <c r="F248" s="25" t="s">
        <v>5708</v>
      </c>
      <c r="G248" s="86" t="str">
        <f>HYPERLINK("https://www.acquisition.gov/content/part-44-subcontracting-policies-and-procedures#id1617MD0M0DJ","FAR 44.304 Surveillance [contractors’ purchasing systems reviews].")</f>
        <v>FAR 44.304 Surveillance [contractors’ purchasing systems reviews].</v>
      </c>
      <c r="H248" s="54"/>
      <c r="I248" s="34"/>
      <c r="J248" s="37" t="s">
        <v>463</v>
      </c>
      <c r="K248" s="37" t="s">
        <v>5709</v>
      </c>
      <c r="L248" s="25" t="s">
        <v>5710</v>
      </c>
      <c r="M248" s="25" t="s">
        <v>5711</v>
      </c>
      <c r="N248" s="25" t="s">
        <v>5712</v>
      </c>
      <c r="O248" s="64"/>
      <c r="P248" s="45" t="b">
        <f t="shared" si="39"/>
        <v>0</v>
      </c>
      <c r="Q248" s="45">
        <f t="shared" si="40"/>
        <v>0</v>
      </c>
      <c r="R248" s="45">
        <f t="shared" si="41"/>
        <v>0</v>
      </c>
      <c r="S248" s="24"/>
      <c r="T248" s="24"/>
      <c r="U248" s="24"/>
      <c r="V248" s="24"/>
      <c r="W248" s="24"/>
      <c r="X248" s="24"/>
      <c r="Y248" s="24"/>
      <c r="Z248" s="24"/>
      <c r="AA248" s="24"/>
      <c r="AB248" s="24"/>
      <c r="AC248" s="24"/>
    </row>
    <row r="249" spans="1:29" ht="86.95">
      <c r="A249" s="26" t="s">
        <v>5632</v>
      </c>
      <c r="B249" s="26" t="s">
        <v>5633</v>
      </c>
      <c r="C249" s="26" t="s">
        <v>5634</v>
      </c>
      <c r="D249" s="26" t="s">
        <v>5713</v>
      </c>
      <c r="E249" s="25" t="s">
        <v>5714</v>
      </c>
      <c r="F249" s="25" t="s">
        <v>2758</v>
      </c>
      <c r="G249" s="85" t="s">
        <v>1091</v>
      </c>
      <c r="H249" s="54"/>
      <c r="I249" s="34"/>
      <c r="J249" s="37" t="s">
        <v>463</v>
      </c>
      <c r="K249" s="37" t="s">
        <v>5715</v>
      </c>
      <c r="L249" s="79" t="s">
        <v>5716</v>
      </c>
      <c r="M249" s="25" t="s">
        <v>5717</v>
      </c>
      <c r="N249" s="25" t="s">
        <v>5718</v>
      </c>
      <c r="O249" s="64"/>
      <c r="P249" s="45" t="b">
        <f t="shared" si="39"/>
        <v>0</v>
      </c>
      <c r="Q249" s="45">
        <f t="shared" si="40"/>
        <v>0</v>
      </c>
      <c r="R249" s="45">
        <f t="shared" si="41"/>
        <v>0</v>
      </c>
      <c r="S249" s="24"/>
      <c r="T249" s="24"/>
      <c r="U249" s="24"/>
      <c r="V249" s="24"/>
      <c r="W249" s="24"/>
      <c r="X249" s="24"/>
      <c r="Y249" s="24"/>
      <c r="Z249" s="24"/>
      <c r="AA249" s="24"/>
      <c r="AB249" s="24"/>
      <c r="AC249" s="24"/>
    </row>
    <row r="250" spans="1:29" ht="76.099999999999994">
      <c r="A250" s="26" t="s">
        <v>5632</v>
      </c>
      <c r="B250" s="26" t="s">
        <v>5633</v>
      </c>
      <c r="C250" s="26" t="s">
        <v>5634</v>
      </c>
      <c r="D250" s="26" t="s">
        <v>5719</v>
      </c>
      <c r="E250" s="25" t="s">
        <v>5720</v>
      </c>
      <c r="F250" s="25" t="s">
        <v>275</v>
      </c>
      <c r="G250" s="85" t="s">
        <v>1091</v>
      </c>
      <c r="H250" s="54"/>
      <c r="I250" s="34" t="s">
        <v>3387</v>
      </c>
      <c r="J250" s="37" t="s">
        <v>1566</v>
      </c>
      <c r="K250" s="37" t="s">
        <v>5721</v>
      </c>
      <c r="L250" s="79" t="s">
        <v>5722</v>
      </c>
      <c r="M250" s="25" t="s">
        <v>5723</v>
      </c>
      <c r="N250" s="25" t="s">
        <v>5724</v>
      </c>
      <c r="O250" s="64"/>
      <c r="P250" s="45" t="b">
        <f t="shared" si="39"/>
        <v>0</v>
      </c>
      <c r="Q250" s="45">
        <f t="shared" si="40"/>
        <v>3</v>
      </c>
      <c r="R250" s="45">
        <f t="shared" si="41"/>
        <v>0</v>
      </c>
      <c r="S250" s="24"/>
      <c r="T250" s="24"/>
      <c r="U250" s="24"/>
      <c r="V250" s="24"/>
      <c r="W250" s="24"/>
      <c r="X250" s="24"/>
      <c r="Y250" s="24"/>
      <c r="Z250" s="24"/>
      <c r="AA250" s="24"/>
      <c r="AB250" s="24"/>
      <c r="AC250" s="24"/>
    </row>
    <row r="251" spans="1:29" ht="86.95">
      <c r="A251" s="26" t="s">
        <v>5632</v>
      </c>
      <c r="B251" s="26" t="s">
        <v>5633</v>
      </c>
      <c r="C251" s="26" t="s">
        <v>5634</v>
      </c>
      <c r="D251" s="26" t="s">
        <v>5725</v>
      </c>
      <c r="E251" s="25" t="s">
        <v>5726</v>
      </c>
      <c r="F251" s="25" t="s">
        <v>5727</v>
      </c>
      <c r="G251" s="86" t="str">
        <f>HYPERLINK("https://www.acquisition.gov/browse/index/far","FAR 2.101 Make-or-buy program [defintions]. FAR 15.407-2 Make-or-buy programs [special cost or pricing areas].")</f>
        <v>FAR 2.101 Make-or-buy program [defintions]. FAR 15.407-2 Make-or-buy programs [special cost or pricing areas].</v>
      </c>
      <c r="H251" s="54"/>
      <c r="I251" s="34"/>
      <c r="J251" s="37" t="s">
        <v>463</v>
      </c>
      <c r="K251" s="37" t="s">
        <v>5728</v>
      </c>
      <c r="L251" s="79" t="s">
        <v>5729</v>
      </c>
      <c r="M251" s="25" t="s">
        <v>5730</v>
      </c>
      <c r="N251" s="79" t="s">
        <v>5731</v>
      </c>
      <c r="O251" s="64"/>
      <c r="P251" s="45" t="b">
        <f t="shared" si="39"/>
        <v>0</v>
      </c>
      <c r="Q251" s="45">
        <f t="shared" si="40"/>
        <v>0</v>
      </c>
      <c r="R251" s="45">
        <f t="shared" si="41"/>
        <v>0</v>
      </c>
      <c r="S251" s="24"/>
      <c r="T251" s="24"/>
      <c r="U251" s="24"/>
      <c r="V251" s="24"/>
      <c r="W251" s="24"/>
      <c r="X251" s="24"/>
      <c r="Y251" s="24"/>
      <c r="Z251" s="24"/>
      <c r="AA251" s="24"/>
      <c r="AB251" s="24"/>
      <c r="AC251" s="24"/>
    </row>
    <row r="252" spans="1:29" ht="86.95">
      <c r="A252" s="26" t="s">
        <v>5632</v>
      </c>
      <c r="B252" s="26" t="s">
        <v>5633</v>
      </c>
      <c r="C252" s="26" t="s">
        <v>5634</v>
      </c>
      <c r="D252" s="26" t="s">
        <v>5732</v>
      </c>
      <c r="E252" s="25" t="s">
        <v>5733</v>
      </c>
      <c r="F252" s="25" t="s">
        <v>5734</v>
      </c>
      <c r="G252" s="86" t="str">
        <f>HYPERLINK("https://www.acquisition.gov/content/part-15-contracting-negotiation#i1106492","FAR 15.407-2 Make-or-buy programs [special cost or pricing areas].")</f>
        <v>FAR 15.407-2 Make-or-buy programs [special cost or pricing areas].</v>
      </c>
      <c r="H252" s="54"/>
      <c r="I252" s="34"/>
      <c r="J252" s="37" t="s">
        <v>463</v>
      </c>
      <c r="K252" s="37" t="s">
        <v>5735</v>
      </c>
      <c r="L252" s="25" t="s">
        <v>5729</v>
      </c>
      <c r="M252" s="25" t="s">
        <v>5730</v>
      </c>
      <c r="N252" s="79" t="s">
        <v>5736</v>
      </c>
      <c r="O252" s="64"/>
      <c r="P252" s="45" t="b">
        <f t="shared" si="39"/>
        <v>0</v>
      </c>
      <c r="Q252" s="45">
        <f t="shared" si="40"/>
        <v>0</v>
      </c>
      <c r="R252" s="45">
        <f t="shared" si="41"/>
        <v>0</v>
      </c>
      <c r="S252" s="24"/>
      <c r="T252" s="24"/>
      <c r="U252" s="24"/>
      <c r="V252" s="24"/>
      <c r="W252" s="24"/>
      <c r="X252" s="24"/>
      <c r="Y252" s="24"/>
      <c r="Z252" s="24"/>
      <c r="AA252" s="24"/>
      <c r="AB252" s="24"/>
      <c r="AC252" s="24"/>
    </row>
    <row r="253" spans="1:29" ht="86.95">
      <c r="A253" s="26" t="s">
        <v>5632</v>
      </c>
      <c r="B253" s="26" t="s">
        <v>5633</v>
      </c>
      <c r="C253" s="26" t="s">
        <v>5634</v>
      </c>
      <c r="D253" s="26" t="s">
        <v>5737</v>
      </c>
      <c r="E253" s="25" t="s">
        <v>5738</v>
      </c>
      <c r="F253" s="25" t="s">
        <v>1427</v>
      </c>
      <c r="G253" s="86" t="str">
        <f>HYPERLINK("https://www.acquisition.gov/content/part-15-contracting-negotiation#i1106297","FAR 15.404-3 Subcontract pricing considerations [proposal analysis]. FAR 15.407-2 Make-or-buy programs [special cost or pricing areas]")</f>
        <v>FAR 15.404-3 Subcontract pricing considerations [proposal analysis]. FAR 15.407-2 Make-or-buy programs [special cost or pricing areas]</v>
      </c>
      <c r="H253" s="54"/>
      <c r="I253" s="34" t="s">
        <v>5089</v>
      </c>
      <c r="J253" s="37" t="s">
        <v>1566</v>
      </c>
      <c r="K253" s="37" t="s">
        <v>5739</v>
      </c>
      <c r="L253" s="25" t="s">
        <v>5740</v>
      </c>
      <c r="M253" s="25" t="s">
        <v>5741</v>
      </c>
      <c r="N253" s="25" t="s">
        <v>5742</v>
      </c>
      <c r="O253" s="64"/>
      <c r="P253" s="45" t="b">
        <f t="shared" si="39"/>
        <v>0</v>
      </c>
      <c r="Q253" s="45">
        <f t="shared" si="40"/>
        <v>3</v>
      </c>
      <c r="R253" s="45">
        <f t="shared" si="41"/>
        <v>0</v>
      </c>
      <c r="S253" s="24"/>
      <c r="T253" s="24"/>
      <c r="U253" s="24"/>
      <c r="V253" s="24"/>
      <c r="W253" s="24"/>
      <c r="X253" s="24"/>
      <c r="Y253" s="24"/>
      <c r="Z253" s="24"/>
      <c r="AA253" s="24"/>
      <c r="AB253" s="24"/>
      <c r="AC253" s="24"/>
    </row>
    <row r="254" spans="1:29" ht="65.25">
      <c r="A254" s="26" t="s">
        <v>5632</v>
      </c>
      <c r="B254" s="26" t="s">
        <v>5633</v>
      </c>
      <c r="C254" s="26" t="s">
        <v>5634</v>
      </c>
      <c r="D254" s="26" t="s">
        <v>5743</v>
      </c>
      <c r="E254" s="25" t="s">
        <v>5744</v>
      </c>
      <c r="F254" s="25" t="s">
        <v>5745</v>
      </c>
      <c r="G254" s="86" t="e">
        <f>HYPERLINK("https://www.acquisition.gov/content/part-19-small-business-programs#id1617MD010BM","FAR 19.705-6 Postaward responsibilities of the contract officer [responsibilities of the contracting officer under the subcontracting assistance program]. FAR 19.706 Responsibilities of the cognizant administrative contracting officer [the small business "&amp;"subcontracting program].")</f>
        <v>#VALUE!</v>
      </c>
      <c r="H254" s="57" t="str">
        <f>HYPERLINK("https://www.acquisition.gov/sites/default/files/current/gsam/html/Part519.html#wp1858356","GSAM 519.705-6; 519.706")</f>
        <v>GSAM 519.705-6; 519.706</v>
      </c>
      <c r="I254" s="34" t="s">
        <v>3805</v>
      </c>
      <c r="J254" s="37" t="s">
        <v>1566</v>
      </c>
      <c r="K254" s="37" t="s">
        <v>5746</v>
      </c>
      <c r="L254" s="25" t="s">
        <v>5747</v>
      </c>
      <c r="M254" s="25" t="s">
        <v>5748</v>
      </c>
      <c r="N254" s="25" t="s">
        <v>5749</v>
      </c>
      <c r="O254" s="64"/>
      <c r="P254" s="45" t="b">
        <f t="shared" si="39"/>
        <v>0</v>
      </c>
      <c r="Q254" s="45">
        <f t="shared" si="40"/>
        <v>3</v>
      </c>
      <c r="R254" s="45">
        <f t="shared" si="41"/>
        <v>0</v>
      </c>
      <c r="S254" s="24"/>
      <c r="T254" s="24"/>
      <c r="U254" s="24"/>
      <c r="V254" s="24"/>
      <c r="W254" s="24"/>
      <c r="X254" s="24"/>
      <c r="Y254" s="24"/>
      <c r="Z254" s="24"/>
      <c r="AA254" s="24"/>
      <c r="AB254" s="24"/>
      <c r="AC254" s="24"/>
    </row>
    <row r="255" spans="1:29" ht="108.7">
      <c r="A255" s="26" t="s">
        <v>5632</v>
      </c>
      <c r="B255" s="26" t="s">
        <v>5633</v>
      </c>
      <c r="C255" s="26" t="s">
        <v>5634</v>
      </c>
      <c r="D255" s="26" t="s">
        <v>5750</v>
      </c>
      <c r="E255" s="25" t="s">
        <v>5751</v>
      </c>
      <c r="F255" s="25" t="s">
        <v>5752</v>
      </c>
      <c r="G255" s="86" t="str">
        <f>HYPERLINK("https://www.acquisition.gov/content/part-19-small-business-programs#id1617MD0106V","FAR 19.705-7 Liquidated damages [responsibilities of the contracting officer under the subcontracting assistance program]. FAR 19.706(g) Responsibilities of the cognizant administrative contracting officer [the small business subcontracting program].")</f>
        <v>FAR 19.705-7 Liquidated damages [responsibilities of the contracting officer under the subcontracting assistance program]. FAR 19.706(g) Responsibilities of the cognizant administrative contracting officer [the small business subcontracting program].</v>
      </c>
      <c r="H255" s="57" t="str">
        <f>HYPERLINK("https://www.acquisition.gov/sites/default/files/current/gsam/html/Part519.html#wp1858371","GSAM 519.705-7; 519.706")</f>
        <v>GSAM 519.705-7; 519.706</v>
      </c>
      <c r="I255" s="34" t="s">
        <v>3805</v>
      </c>
      <c r="J255" s="37" t="s">
        <v>1566</v>
      </c>
      <c r="K255" s="37" t="s">
        <v>5753</v>
      </c>
      <c r="L255" s="25" t="s">
        <v>5747</v>
      </c>
      <c r="M255" s="25" t="s">
        <v>5748</v>
      </c>
      <c r="N255" s="25" t="s">
        <v>5749</v>
      </c>
      <c r="O255" s="64"/>
      <c r="P255" s="45" t="b">
        <f t="shared" si="39"/>
        <v>0</v>
      </c>
      <c r="Q255" s="45">
        <f t="shared" si="40"/>
        <v>3</v>
      </c>
      <c r="R255" s="45">
        <f t="shared" si="41"/>
        <v>0</v>
      </c>
      <c r="S255" s="24"/>
      <c r="T255" s="24"/>
      <c r="U255" s="24"/>
      <c r="V255" s="24"/>
      <c r="W255" s="24"/>
      <c r="X255" s="24"/>
      <c r="Y255" s="24"/>
      <c r="Z255" s="24"/>
      <c r="AA255" s="24"/>
      <c r="AB255" s="24"/>
      <c r="AC255" s="24"/>
    </row>
    <row r="256" spans="1:29" ht="195.65">
      <c r="A256" s="26" t="s">
        <v>5632</v>
      </c>
      <c r="B256" s="26" t="s">
        <v>5633</v>
      </c>
      <c r="C256" s="26" t="s">
        <v>5634</v>
      </c>
      <c r="D256" s="26" t="s">
        <v>5754</v>
      </c>
      <c r="E256" s="25" t="s">
        <v>5755</v>
      </c>
      <c r="F256" s="25" t="s">
        <v>5756</v>
      </c>
      <c r="G256" s="86" t="str">
        <f>HYPERLINK("https://www.acquisition.gov/content/part-19-small-business-programs#id1617MD0106V","FAR 19.705-7 Liquidated damages [responsibilities of the contracting officer under the subcontracting assistance program]")</f>
        <v>FAR 19.705-7 Liquidated damages [responsibilities of the contracting officer under the subcontracting assistance program]</v>
      </c>
      <c r="H256" s="57" t="str">
        <f>HYPERLINK("https://www.acquisition.gov/sites/default/files/current/gsam/html/Part519.html#wp1858371","GSAM 519.705-7")</f>
        <v>GSAM 519.705-7</v>
      </c>
      <c r="I256" s="34" t="s">
        <v>5757</v>
      </c>
      <c r="J256" s="37" t="s">
        <v>1566</v>
      </c>
      <c r="K256" s="37" t="s">
        <v>5758</v>
      </c>
      <c r="L256" s="79" t="s">
        <v>5759</v>
      </c>
      <c r="M256" s="79" t="s">
        <v>5760</v>
      </c>
      <c r="N256" s="79" t="s">
        <v>5761</v>
      </c>
      <c r="O256" s="64"/>
      <c r="P256" s="45" t="b">
        <f t="shared" si="39"/>
        <v>0</v>
      </c>
      <c r="Q256" s="45">
        <f t="shared" si="40"/>
        <v>3</v>
      </c>
      <c r="R256" s="45">
        <f t="shared" si="41"/>
        <v>0</v>
      </c>
      <c r="S256" s="24"/>
      <c r="T256" s="24"/>
      <c r="U256" s="24"/>
      <c r="V256" s="24"/>
      <c r="W256" s="24"/>
      <c r="X256" s="24"/>
      <c r="Y256" s="24"/>
      <c r="Z256" s="24"/>
      <c r="AA256" s="24"/>
      <c r="AB256" s="24"/>
      <c r="AC256" s="24"/>
    </row>
    <row r="257" spans="1:29" ht="86.95">
      <c r="A257" s="26" t="s">
        <v>5632</v>
      </c>
      <c r="B257" s="26" t="s">
        <v>5633</v>
      </c>
      <c r="C257" s="26" t="s">
        <v>5634</v>
      </c>
      <c r="D257" s="26" t="s">
        <v>5762</v>
      </c>
      <c r="E257" s="25" t="s">
        <v>5763</v>
      </c>
      <c r="F257" s="25" t="s">
        <v>5764</v>
      </c>
      <c r="G257" s="86" t="e">
        <f>HYPERLINK("https://www.acquisition.gov/content/part-19-small-business-programs#id1617MD010BM","FAR 19.705-6(f) Postaward responsibilities of the contracting officer [responsibilities of the contracting officer under the subcontracting assistance program].  FAR 19.705-7 Liquidated damages [responsibilities of the contracting officer under the subcon"&amp;"tracting assistance program]")</f>
        <v>#VALUE!</v>
      </c>
      <c r="H257" s="57" t="str">
        <f>HYPERLINK("https://www.acquisition.gov/sites/default/files/current/gsam/html/Part519.html#wp1858356","GSAM 519.705-6 and 519.705-7")</f>
        <v>GSAM 519.705-6 and 519.705-7</v>
      </c>
      <c r="I257" s="34"/>
      <c r="J257" s="37" t="s">
        <v>463</v>
      </c>
      <c r="K257" s="37" t="s">
        <v>5765</v>
      </c>
      <c r="L257" s="79" t="s">
        <v>5766</v>
      </c>
      <c r="M257" s="25" t="s">
        <v>5767</v>
      </c>
      <c r="N257" s="25" t="s">
        <v>5768</v>
      </c>
      <c r="O257" s="64"/>
      <c r="P257" s="45" t="b">
        <f t="shared" si="39"/>
        <v>0</v>
      </c>
      <c r="Q257" s="45">
        <f t="shared" si="40"/>
        <v>0</v>
      </c>
      <c r="R257" s="45">
        <f t="shared" si="41"/>
        <v>0</v>
      </c>
      <c r="S257" s="24"/>
      <c r="T257" s="24"/>
      <c r="U257" s="24"/>
      <c r="V257" s="24"/>
      <c r="W257" s="24"/>
      <c r="X257" s="24"/>
      <c r="Y257" s="24"/>
      <c r="Z257" s="24"/>
      <c r="AA257" s="24"/>
      <c r="AB257" s="24"/>
      <c r="AC257" s="24"/>
    </row>
    <row r="258" spans="1:29" ht="86.95">
      <c r="A258" s="26" t="s">
        <v>5632</v>
      </c>
      <c r="B258" s="26" t="s">
        <v>5633</v>
      </c>
      <c r="C258" s="26" t="s">
        <v>5634</v>
      </c>
      <c r="D258" s="26" t="s">
        <v>5769</v>
      </c>
      <c r="E258" s="25" t="s">
        <v>5770</v>
      </c>
      <c r="F258" s="25" t="s">
        <v>5771</v>
      </c>
      <c r="G258" s="86" t="str">
        <f>HYPERLINK("https://www.acquisition.gov/content/part-19-small-business-programs#i1100447","FAR 19.705-7(e) Liquidated damages [responsibilities of the contracting officer under the subcontracting assistance program].")</f>
        <v>FAR 19.705-7(e) Liquidated damages [responsibilities of the contracting officer under the subcontracting assistance program].</v>
      </c>
      <c r="H258" s="57" t="str">
        <f>HYPERLINK("https://www.acquisition.gov/sites/default/files/current/gsam/html/Part519.html#wp1858371","GSAM 519.705-7")</f>
        <v>GSAM 519.705-7</v>
      </c>
      <c r="I258" s="34"/>
      <c r="J258" s="37" t="s">
        <v>463</v>
      </c>
      <c r="K258" s="37" t="s">
        <v>5772</v>
      </c>
      <c r="L258" s="79" t="s">
        <v>5773</v>
      </c>
      <c r="M258" s="25" t="s">
        <v>5767</v>
      </c>
      <c r="N258" s="25" t="s">
        <v>5768</v>
      </c>
      <c r="O258" s="64"/>
      <c r="P258" s="45" t="b">
        <f t="shared" si="39"/>
        <v>0</v>
      </c>
      <c r="Q258" s="45">
        <f t="shared" si="40"/>
        <v>0</v>
      </c>
      <c r="R258" s="45">
        <f t="shared" si="41"/>
        <v>0</v>
      </c>
      <c r="S258" s="24"/>
      <c r="T258" s="24"/>
      <c r="U258" s="24"/>
      <c r="V258" s="24"/>
      <c r="W258" s="24"/>
      <c r="X258" s="24"/>
      <c r="Y258" s="24"/>
      <c r="Z258" s="24"/>
      <c r="AA258" s="24"/>
      <c r="AB258" s="24"/>
      <c r="AC258" s="24"/>
    </row>
    <row r="259" spans="1:29" ht="86.95">
      <c r="A259" s="26" t="s">
        <v>5632</v>
      </c>
      <c r="B259" s="26" t="s">
        <v>5633</v>
      </c>
      <c r="C259" s="26" t="s">
        <v>5634</v>
      </c>
      <c r="D259" s="26" t="s">
        <v>5774</v>
      </c>
      <c r="E259" s="25" t="s">
        <v>5775</v>
      </c>
      <c r="F259" s="25" t="s">
        <v>5776</v>
      </c>
      <c r="G259" s="86" t="str">
        <f>HYPERLINK("https://www.acquisition.gov/content/part-19-small-business-programs#id1617MD0106V","FAR 19.705-1 General support of the program [responsibilities of the contracting officer under the subcontracting assistance program]. FAR 52.219-10 Incentive Subcontracting Program.")</f>
        <v>FAR 19.705-1 General support of the program [responsibilities of the contracting officer under the subcontracting assistance program]. FAR 52.219-10 Incentive Subcontracting Program.</v>
      </c>
      <c r="H259" s="54"/>
      <c r="I259" s="34"/>
      <c r="J259" s="37" t="s">
        <v>463</v>
      </c>
      <c r="K259" s="37" t="s">
        <v>5777</v>
      </c>
      <c r="L259" s="79" t="s">
        <v>5778</v>
      </c>
      <c r="M259" s="25" t="s">
        <v>5779</v>
      </c>
      <c r="N259" s="25" t="s">
        <v>5780</v>
      </c>
      <c r="O259" s="64"/>
      <c r="P259" s="45" t="b">
        <f t="shared" si="39"/>
        <v>0</v>
      </c>
      <c r="Q259" s="45">
        <f t="shared" si="40"/>
        <v>0</v>
      </c>
      <c r="R259" s="45">
        <f t="shared" si="41"/>
        <v>0</v>
      </c>
      <c r="S259" s="24"/>
      <c r="T259" s="24"/>
      <c r="U259" s="24"/>
      <c r="V259" s="24"/>
      <c r="W259" s="24"/>
      <c r="X259" s="24"/>
      <c r="Y259" s="24"/>
      <c r="Z259" s="24"/>
      <c r="AA259" s="24"/>
      <c r="AB259" s="24"/>
      <c r="AC259" s="24"/>
    </row>
    <row r="260" spans="1:29" ht="217.4">
      <c r="A260" s="66" t="s">
        <v>5632</v>
      </c>
      <c r="B260" s="66" t="s">
        <v>5633</v>
      </c>
      <c r="C260" s="66" t="s">
        <v>5634</v>
      </c>
      <c r="D260" s="66" t="s">
        <v>5781</v>
      </c>
      <c r="E260" s="25" t="s">
        <v>5782</v>
      </c>
      <c r="F260" s="25" t="s">
        <v>5783</v>
      </c>
      <c r="G260" s="57" t="str">
        <f>HYPERLINK("https://www.acquisition.gov/content/part-42-contract-administration-and-audit-services#i1075705","FAR 42.302 Contract administration functions")</f>
        <v>FAR 42.302 Contract administration functions</v>
      </c>
      <c r="H260" s="57" t="str">
        <f>HYPERLINK("https://www.acquisition.gov/sites/default/files/current/gsam/html/Part542.html#wp1858116","GSAM 542.302")</f>
        <v>GSAM 542.302</v>
      </c>
      <c r="I260" s="34" t="s">
        <v>5784</v>
      </c>
      <c r="J260" s="37" t="s">
        <v>1566</v>
      </c>
      <c r="K260" s="37" t="s">
        <v>5785</v>
      </c>
      <c r="L260" s="25" t="s">
        <v>5786</v>
      </c>
      <c r="M260" s="25" t="s">
        <v>5787</v>
      </c>
      <c r="N260" s="25" t="s">
        <v>5788</v>
      </c>
      <c r="O260" s="64"/>
      <c r="P260" s="45" t="b">
        <f t="shared" si="39"/>
        <v>0</v>
      </c>
      <c r="Q260" s="45">
        <f t="shared" si="40"/>
        <v>3</v>
      </c>
      <c r="R260" s="45">
        <f t="shared" si="41"/>
        <v>0</v>
      </c>
      <c r="S260" s="24"/>
      <c r="T260" s="24"/>
      <c r="U260" s="24"/>
      <c r="V260" s="24"/>
      <c r="W260" s="24"/>
      <c r="X260" s="24"/>
      <c r="Y260" s="24"/>
      <c r="Z260" s="24"/>
      <c r="AA260" s="24"/>
      <c r="AB260" s="24"/>
      <c r="AC260" s="24"/>
    </row>
    <row r="261" spans="1:29" ht="163.05000000000001">
      <c r="A261" s="26" t="s">
        <v>5632</v>
      </c>
      <c r="B261" s="26" t="s">
        <v>5633</v>
      </c>
      <c r="C261" s="26" t="s">
        <v>5634</v>
      </c>
      <c r="D261" s="26" t="s">
        <v>5789</v>
      </c>
      <c r="E261" s="25" t="s">
        <v>5790</v>
      </c>
      <c r="F261" s="25" t="s">
        <v>5676</v>
      </c>
      <c r="G261" s="57" t="str">
        <f>HYPERLINK("https://www.acquisition.gov/browse/index/far","FAR 11.302 Policy [acceptable material]. FAR 22.103-4 Approvals [overtime].")</f>
        <v>FAR 11.302 Policy [acceptable material]. FAR 22.103-4 Approvals [overtime].</v>
      </c>
      <c r="H261" s="57" t="str">
        <f>HYPERLINK("https://www.acquisition.gov/sites/default/files/current/gsam/html/Part522.html#wp1858106","GSAM 522.103-4")</f>
        <v>GSAM 522.103-4</v>
      </c>
      <c r="I261" s="34"/>
      <c r="J261" s="37" t="s">
        <v>463</v>
      </c>
      <c r="K261" s="37" t="s">
        <v>5791</v>
      </c>
      <c r="L261" s="25" t="s">
        <v>5792</v>
      </c>
      <c r="M261" s="25" t="s">
        <v>5793</v>
      </c>
      <c r="N261" s="41" t="s">
        <v>5794</v>
      </c>
      <c r="O261" s="64"/>
      <c r="P261" s="45" t="b">
        <f t="shared" si="39"/>
        <v>0</v>
      </c>
      <c r="Q261" s="45">
        <f t="shared" si="40"/>
        <v>0</v>
      </c>
      <c r="R261" s="45">
        <f t="shared" si="41"/>
        <v>0</v>
      </c>
      <c r="S261" s="24"/>
      <c r="T261" s="24"/>
      <c r="U261" s="24"/>
      <c r="V261" s="24"/>
      <c r="W261" s="24"/>
      <c r="X261" s="24"/>
      <c r="Y261" s="24"/>
      <c r="Z261" s="24"/>
      <c r="AA261" s="24"/>
      <c r="AB261" s="24"/>
      <c r="AC261" s="24"/>
    </row>
    <row r="262" spans="1:29" ht="152.15">
      <c r="A262" s="26" t="s">
        <v>5632</v>
      </c>
      <c r="B262" s="26" t="s">
        <v>5633</v>
      </c>
      <c r="C262" s="26" t="s">
        <v>5634</v>
      </c>
      <c r="D262" s="26" t="s">
        <v>5795</v>
      </c>
      <c r="E262" s="25" t="s">
        <v>5796</v>
      </c>
      <c r="F262" s="25" t="s">
        <v>5797</v>
      </c>
      <c r="G262" s="57" t="str">
        <f>HYPERLINK("https://www.acquisition.gov/content/part-9-contractor-qualifications#id1617MD00QS0","FAR 9.307 Government administration procedures [first article testing and approval]")</f>
        <v>FAR 9.307 Government administration procedures [first article testing and approval]</v>
      </c>
      <c r="H262" s="54"/>
      <c r="I262" s="34"/>
      <c r="J262" s="37" t="s">
        <v>463</v>
      </c>
      <c r="K262" s="37" t="s">
        <v>5798</v>
      </c>
      <c r="L262" s="25" t="s">
        <v>5799</v>
      </c>
      <c r="M262" s="25" t="s">
        <v>5800</v>
      </c>
      <c r="N262" s="41" t="s">
        <v>5801</v>
      </c>
      <c r="O262" s="64"/>
      <c r="P262" s="45" t="b">
        <f t="shared" si="39"/>
        <v>0</v>
      </c>
      <c r="Q262" s="45">
        <f t="shared" si="40"/>
        <v>0</v>
      </c>
      <c r="R262" s="45">
        <f t="shared" si="41"/>
        <v>0</v>
      </c>
      <c r="S262" s="24"/>
      <c r="T262" s="24"/>
      <c r="U262" s="24"/>
      <c r="V262" s="24"/>
      <c r="W262" s="24"/>
      <c r="X262" s="24"/>
      <c r="Y262" s="24"/>
      <c r="Z262" s="24"/>
      <c r="AA262" s="24"/>
      <c r="AB262" s="24"/>
      <c r="AC262" s="24"/>
    </row>
    <row r="263" spans="1:29" ht="108.7">
      <c r="A263" s="26" t="s">
        <v>5632</v>
      </c>
      <c r="B263" s="26" t="s">
        <v>5633</v>
      </c>
      <c r="C263" s="26" t="s">
        <v>5634</v>
      </c>
      <c r="D263" s="26" t="s">
        <v>5802</v>
      </c>
      <c r="E263" s="25" t="s">
        <v>5803</v>
      </c>
      <c r="F263" s="25" t="s">
        <v>3659</v>
      </c>
      <c r="G263" s="57" t="str">
        <f>HYPERLINK("https://www.acquisition.gov/content/part-42-contract-administration-and-audit-services","FAR 42.302 Contract administration functions.  FAR 42.4 Correspondence and visits [contract management]. FAR 42.1106 Reporting requirements [production surveillance and reporting].")</f>
        <v>FAR 42.302 Contract administration functions.  FAR 42.4 Correspondence and visits [contract management]. FAR 42.1106 Reporting requirements [production surveillance and reporting].</v>
      </c>
      <c r="H263" s="57" t="str">
        <f t="shared" ref="H263:H264" si="43">HYPERLINK("https://www.acquisition.gov/sites/default/files/current/gsam/html/Part542.html#wp1858116","GSAM 542.302")</f>
        <v>GSAM 542.302</v>
      </c>
      <c r="I263" s="34" t="s">
        <v>3805</v>
      </c>
      <c r="J263" s="37" t="s">
        <v>1566</v>
      </c>
      <c r="K263" s="37" t="s">
        <v>5804</v>
      </c>
      <c r="L263" s="25" t="s">
        <v>5805</v>
      </c>
      <c r="M263" s="25" t="s">
        <v>5806</v>
      </c>
      <c r="N263" s="41" t="s">
        <v>5807</v>
      </c>
      <c r="O263" s="64"/>
      <c r="P263" s="45" t="b">
        <f t="shared" si="39"/>
        <v>0</v>
      </c>
      <c r="Q263" s="45">
        <f t="shared" si="40"/>
        <v>3</v>
      </c>
      <c r="R263" s="45">
        <f t="shared" si="41"/>
        <v>0</v>
      </c>
      <c r="S263" s="24"/>
      <c r="T263" s="24"/>
      <c r="U263" s="24"/>
      <c r="V263" s="24"/>
      <c r="W263" s="24"/>
      <c r="X263" s="24"/>
      <c r="Y263" s="24"/>
      <c r="Z263" s="24"/>
      <c r="AA263" s="24"/>
      <c r="AB263" s="24"/>
      <c r="AC263" s="24"/>
    </row>
    <row r="264" spans="1:29" ht="108.7">
      <c r="A264" s="26" t="s">
        <v>5632</v>
      </c>
      <c r="B264" s="26" t="s">
        <v>5633</v>
      </c>
      <c r="C264" s="26" t="s">
        <v>5634</v>
      </c>
      <c r="D264" s="26" t="s">
        <v>5808</v>
      </c>
      <c r="E264" s="25" t="s">
        <v>5809</v>
      </c>
      <c r="F264" s="25" t="s">
        <v>3659</v>
      </c>
      <c r="G264" s="57" t="str">
        <f>HYPERLINK("https://www.acquisition.gov/content/part-42-contract-administration-and-audit-services#i1075705","FAR 42.302 Contract administration functions")</f>
        <v>FAR 42.302 Contract administration functions</v>
      </c>
      <c r="H264" s="57" t="str">
        <f t="shared" si="43"/>
        <v>GSAM 542.302</v>
      </c>
      <c r="I264" s="34" t="s">
        <v>3805</v>
      </c>
      <c r="J264" s="37" t="s">
        <v>1566</v>
      </c>
      <c r="K264" s="37" t="s">
        <v>5810</v>
      </c>
      <c r="L264" s="25" t="s">
        <v>5811</v>
      </c>
      <c r="M264" s="25" t="s">
        <v>5806</v>
      </c>
      <c r="N264" s="41" t="s">
        <v>5807</v>
      </c>
      <c r="O264" s="64"/>
      <c r="P264" s="45" t="b">
        <f t="shared" si="39"/>
        <v>0</v>
      </c>
      <c r="Q264" s="45">
        <f t="shared" si="40"/>
        <v>3</v>
      </c>
      <c r="R264" s="45">
        <f t="shared" si="41"/>
        <v>0</v>
      </c>
      <c r="S264" s="24"/>
      <c r="T264" s="24"/>
      <c r="U264" s="24"/>
      <c r="V264" s="24"/>
      <c r="W264" s="24"/>
      <c r="X264" s="24"/>
      <c r="Y264" s="24"/>
      <c r="Z264" s="24"/>
      <c r="AA264" s="24"/>
      <c r="AB264" s="24"/>
      <c r="AC264" s="24"/>
    </row>
    <row r="265" spans="1:29" ht="130.44999999999999">
      <c r="A265" s="26" t="s">
        <v>5632</v>
      </c>
      <c r="B265" s="26" t="s">
        <v>5633</v>
      </c>
      <c r="C265" s="26" t="s">
        <v>5634</v>
      </c>
      <c r="D265" s="26" t="s">
        <v>5812</v>
      </c>
      <c r="E265" s="25" t="s">
        <v>5813</v>
      </c>
      <c r="F265" s="25" t="s">
        <v>5814</v>
      </c>
      <c r="G265" s="178" t="str">
        <f>HYPERLINK("https://www.acquisition.gov/content/part-46-quality-assurance","FAR 46.103 Contracting office responsibilities [quality assurance]. FAR 46.203 Criteria for use of contract quality requirements")</f>
        <v>FAR 46.103 Contracting office responsibilities [quality assurance]. FAR 46.203 Criteria for use of contract quality requirements</v>
      </c>
      <c r="H265" s="54"/>
      <c r="I265" s="34" t="s">
        <v>3805</v>
      </c>
      <c r="J265" s="37" t="s">
        <v>1566</v>
      </c>
      <c r="K265" s="37" t="s">
        <v>5815</v>
      </c>
      <c r="L265" s="25" t="s">
        <v>5816</v>
      </c>
      <c r="M265" s="25" t="s">
        <v>5817</v>
      </c>
      <c r="N265" s="41" t="s">
        <v>5818</v>
      </c>
      <c r="O265" s="64"/>
      <c r="P265" s="45" t="b">
        <f t="shared" si="39"/>
        <v>0</v>
      </c>
      <c r="Q265" s="45">
        <f t="shared" si="40"/>
        <v>3</v>
      </c>
      <c r="R265" s="45">
        <f t="shared" si="41"/>
        <v>0</v>
      </c>
      <c r="S265" s="24"/>
      <c r="T265" s="24"/>
      <c r="U265" s="24"/>
      <c r="V265" s="24"/>
      <c r="W265" s="24"/>
      <c r="X265" s="24"/>
      <c r="Y265" s="24"/>
      <c r="Z265" s="24"/>
      <c r="AA265" s="24"/>
      <c r="AB265" s="24"/>
      <c r="AC265" s="24"/>
    </row>
    <row r="266" spans="1:29" ht="108.7">
      <c r="A266" s="26" t="s">
        <v>5632</v>
      </c>
      <c r="B266" s="26" t="s">
        <v>5633</v>
      </c>
      <c r="C266" s="26" t="s">
        <v>5634</v>
      </c>
      <c r="D266" s="26" t="s">
        <v>5819</v>
      </c>
      <c r="E266" s="25" t="s">
        <v>5820</v>
      </c>
      <c r="F266" s="25" t="s">
        <v>5821</v>
      </c>
      <c r="G266" s="104" t="str">
        <f>HYPERLINK("https://www.acquisition.gov/browse/index/far","FAR 42.302 Contract administration functions.  FAR 43.1 General [contract modifications]")</f>
        <v>FAR 42.302 Contract administration functions.  FAR 43.1 General [contract modifications]</v>
      </c>
      <c r="H266" s="57" t="str">
        <f>HYPERLINK("https://www.acquisition.gov/sites/default/files/current/gsam/html/Part542.html#wp1858116","GSAM 542.302")</f>
        <v>GSAM 542.302</v>
      </c>
      <c r="I266" s="34"/>
      <c r="J266" s="37" t="s">
        <v>463</v>
      </c>
      <c r="K266" s="37" t="s">
        <v>5822</v>
      </c>
      <c r="L266" s="25" t="s">
        <v>5823</v>
      </c>
      <c r="M266" s="25" t="s">
        <v>5824</v>
      </c>
      <c r="N266" s="41" t="s">
        <v>5825</v>
      </c>
      <c r="O266" s="64"/>
      <c r="P266" s="45" t="b">
        <f t="shared" si="39"/>
        <v>0</v>
      </c>
      <c r="Q266" s="45">
        <f t="shared" si="40"/>
        <v>0</v>
      </c>
      <c r="R266" s="45">
        <f t="shared" si="41"/>
        <v>0</v>
      </c>
      <c r="S266" s="24"/>
      <c r="T266" s="24"/>
      <c r="U266" s="24"/>
      <c r="V266" s="24"/>
      <c r="W266" s="24"/>
      <c r="X266" s="24"/>
      <c r="Y266" s="24"/>
      <c r="Z266" s="24"/>
      <c r="AA266" s="24"/>
      <c r="AB266" s="24"/>
      <c r="AC266" s="24"/>
    </row>
    <row r="267" spans="1:29" ht="108.7">
      <c r="A267" s="26" t="s">
        <v>5632</v>
      </c>
      <c r="B267" s="26" t="s">
        <v>5633</v>
      </c>
      <c r="C267" s="26" t="s">
        <v>5634</v>
      </c>
      <c r="D267" s="26" t="s">
        <v>5826</v>
      </c>
      <c r="E267" s="25" t="s">
        <v>5827</v>
      </c>
      <c r="F267" s="25" t="s">
        <v>5828</v>
      </c>
      <c r="G267" s="25" t="s">
        <v>1091</v>
      </c>
      <c r="H267" s="54"/>
      <c r="I267" s="34" t="s">
        <v>3805</v>
      </c>
      <c r="J267" s="37" t="s">
        <v>1566</v>
      </c>
      <c r="K267" s="37" t="s">
        <v>5829</v>
      </c>
      <c r="L267" s="25" t="s">
        <v>5830</v>
      </c>
      <c r="M267" s="25" t="s">
        <v>5831</v>
      </c>
      <c r="N267" s="41" t="s">
        <v>5832</v>
      </c>
      <c r="O267" s="64"/>
      <c r="P267" s="45" t="b">
        <f t="shared" si="39"/>
        <v>0</v>
      </c>
      <c r="Q267" s="45">
        <f t="shared" si="40"/>
        <v>3</v>
      </c>
      <c r="R267" s="45">
        <f t="shared" si="41"/>
        <v>0</v>
      </c>
      <c r="S267" s="24"/>
      <c r="T267" s="24"/>
      <c r="U267" s="24"/>
      <c r="V267" s="24"/>
      <c r="W267" s="24"/>
      <c r="X267" s="24"/>
      <c r="Y267" s="24"/>
      <c r="Z267" s="24"/>
      <c r="AA267" s="24"/>
      <c r="AB267" s="24"/>
      <c r="AC267" s="24"/>
    </row>
    <row r="268" spans="1:29" ht="108.7">
      <c r="A268" s="26" t="s">
        <v>5632</v>
      </c>
      <c r="B268" s="26" t="s">
        <v>5633</v>
      </c>
      <c r="C268" s="26" t="s">
        <v>5634</v>
      </c>
      <c r="D268" s="26" t="s">
        <v>5833</v>
      </c>
      <c r="E268" s="25" t="s">
        <v>5834</v>
      </c>
      <c r="F268" s="25" t="s">
        <v>3659</v>
      </c>
      <c r="G268" s="57" t="str">
        <f>HYPERLINK("https://www.acquisition.gov/content/part-42-contract-administration-and-audit-services#id1617MA0D03L","FAR 42.11 Production surveillance and reporting")</f>
        <v>FAR 42.11 Production surveillance and reporting</v>
      </c>
      <c r="H268" s="57" t="str">
        <f>HYPERLINK("https://www.acquisition.gov/sites/default/files/current/gsam/html/Part542.html#wp1859456","GSAM 542.11")</f>
        <v>GSAM 542.11</v>
      </c>
      <c r="I268" s="34" t="s">
        <v>3805</v>
      </c>
      <c r="J268" s="37" t="s">
        <v>1566</v>
      </c>
      <c r="K268" s="37" t="s">
        <v>5835</v>
      </c>
      <c r="L268" s="25" t="s">
        <v>5836</v>
      </c>
      <c r="M268" s="25" t="s">
        <v>5837</v>
      </c>
      <c r="N268" s="41" t="s">
        <v>5838</v>
      </c>
      <c r="O268" s="64"/>
      <c r="P268" s="45" t="b">
        <f t="shared" si="39"/>
        <v>0</v>
      </c>
      <c r="Q268" s="45">
        <f t="shared" si="40"/>
        <v>3</v>
      </c>
      <c r="R268" s="45">
        <f t="shared" si="41"/>
        <v>0</v>
      </c>
      <c r="S268" s="24"/>
      <c r="T268" s="24"/>
      <c r="U268" s="24"/>
      <c r="V268" s="24"/>
      <c r="W268" s="24"/>
      <c r="X268" s="24"/>
      <c r="Y268" s="24"/>
      <c r="Z268" s="24"/>
      <c r="AA268" s="24"/>
      <c r="AB268" s="24"/>
      <c r="AC268" s="24"/>
    </row>
    <row r="269" spans="1:29" ht="108.7">
      <c r="A269" s="26" t="s">
        <v>5632</v>
      </c>
      <c r="B269" s="26" t="s">
        <v>5633</v>
      </c>
      <c r="C269" s="26" t="s">
        <v>5634</v>
      </c>
      <c r="D269" s="26" t="s">
        <v>5839</v>
      </c>
      <c r="E269" s="25" t="s">
        <v>5840</v>
      </c>
      <c r="F269" s="25" t="s">
        <v>3659</v>
      </c>
      <c r="G269" s="57" t="e">
        <f>HYPERLINK("https://www.acquisition.gov/browse/index/far","FAR 42.302 Contract administration functions.  FAR 42.4 Correspondence and visits [contract management]. FAR 42.1106 Reporting requirements [production surveillance and reporting]. FAR 52.212-4 (f) Contract Terms and Conditions –Commercial Items, Excusabl"&amp;"e Delays. FAR 52.213-4 (e) Terms and Conditions – Simplified Acquisitions (Other Than Commercial Items), Excusable Delays")</f>
        <v>#VALUE!</v>
      </c>
      <c r="H269" s="54"/>
      <c r="I269" s="34" t="s">
        <v>3805</v>
      </c>
      <c r="J269" s="37" t="s">
        <v>1566</v>
      </c>
      <c r="K269" s="37" t="s">
        <v>5841</v>
      </c>
      <c r="L269" s="25" t="s">
        <v>5842</v>
      </c>
      <c r="M269" s="25" t="s">
        <v>5843</v>
      </c>
      <c r="N269" s="41" t="s">
        <v>5844</v>
      </c>
      <c r="O269" s="64"/>
      <c r="P269" s="45" t="b">
        <f t="shared" si="39"/>
        <v>0</v>
      </c>
      <c r="Q269" s="45">
        <f t="shared" si="40"/>
        <v>3</v>
      </c>
      <c r="R269" s="45">
        <f t="shared" si="41"/>
        <v>0</v>
      </c>
      <c r="S269" s="24"/>
      <c r="T269" s="24"/>
      <c r="U269" s="24"/>
      <c r="V269" s="24"/>
      <c r="W269" s="24"/>
      <c r="X269" s="24"/>
      <c r="Y269" s="24"/>
      <c r="Z269" s="24"/>
      <c r="AA269" s="24"/>
      <c r="AB269" s="24"/>
      <c r="AC269" s="24"/>
    </row>
    <row r="270" spans="1:29" ht="97.85">
      <c r="A270" s="26" t="s">
        <v>5632</v>
      </c>
      <c r="B270" s="26" t="s">
        <v>5633</v>
      </c>
      <c r="C270" s="26" t="s">
        <v>5634</v>
      </c>
      <c r="D270" s="26" t="s">
        <v>5845</v>
      </c>
      <c r="E270" s="25" t="s">
        <v>5846</v>
      </c>
      <c r="F270" s="25" t="s">
        <v>5847</v>
      </c>
      <c r="G270" s="57" t="str">
        <f>HYPERLINK("https://www.acquisition.gov/browse/index/far","FAR 42.1304 Government delay of work. FAR 52.242-17 Government delay of work.")</f>
        <v>FAR 42.1304 Government delay of work. FAR 52.242-17 Government delay of work.</v>
      </c>
      <c r="H270" s="54"/>
      <c r="I270" s="34" t="s">
        <v>3805</v>
      </c>
      <c r="J270" s="37" t="s">
        <v>1566</v>
      </c>
      <c r="K270" s="37" t="s">
        <v>5848</v>
      </c>
      <c r="L270" s="25" t="s">
        <v>5849</v>
      </c>
      <c r="M270" s="25" t="s">
        <v>5850</v>
      </c>
      <c r="N270" s="25" t="s">
        <v>5851</v>
      </c>
      <c r="O270" s="64"/>
      <c r="P270" s="45" t="b">
        <f t="shared" si="39"/>
        <v>0</v>
      </c>
      <c r="Q270" s="45">
        <f t="shared" si="40"/>
        <v>3</v>
      </c>
      <c r="R270" s="45">
        <f t="shared" si="41"/>
        <v>0</v>
      </c>
      <c r="S270" s="24"/>
      <c r="T270" s="24"/>
      <c r="U270" s="24"/>
      <c r="V270" s="24"/>
      <c r="W270" s="24"/>
      <c r="X270" s="24"/>
      <c r="Y270" s="24"/>
      <c r="Z270" s="24"/>
      <c r="AA270" s="24"/>
      <c r="AB270" s="24"/>
      <c r="AC270" s="24"/>
    </row>
    <row r="271" spans="1:29" ht="97.85">
      <c r="A271" s="26" t="s">
        <v>5632</v>
      </c>
      <c r="B271" s="26" t="s">
        <v>5633</v>
      </c>
      <c r="C271" s="26" t="s">
        <v>5634</v>
      </c>
      <c r="D271" s="26" t="s">
        <v>5852</v>
      </c>
      <c r="E271" s="179" t="s">
        <v>5853</v>
      </c>
      <c r="F271" s="25" t="s">
        <v>5854</v>
      </c>
      <c r="G271" s="57" t="e">
        <f>HYPERLINK("https://www.acquisition.gov/browse/index/far","FAR 52.212-4 (f) Contract Terms and Conditions –Commercial Items, Excusable Delays. FAR 52.213-4 (e) Terms and Conditions – Simplified Acquisitions (Other Than Commercial Items), Excusable Delays. FAR 52.249-8 Default (Fixed-Price Supply and Service).  FA"&amp;"R 52.249-14 Default (Fixed-Price Research and Development).  FAR 52.249-14 Excusable Delays")</f>
        <v>#VALUE!</v>
      </c>
      <c r="H271" s="54"/>
      <c r="I271" s="34" t="s">
        <v>3805</v>
      </c>
      <c r="J271" s="37" t="s">
        <v>1566</v>
      </c>
      <c r="K271" s="37" t="s">
        <v>5855</v>
      </c>
      <c r="L271" s="25" t="s">
        <v>5856</v>
      </c>
      <c r="M271" s="25" t="s">
        <v>5857</v>
      </c>
      <c r="N271" s="25" t="s">
        <v>5858</v>
      </c>
      <c r="O271" s="64"/>
      <c r="P271" s="45" t="b">
        <f t="shared" si="39"/>
        <v>0</v>
      </c>
      <c r="Q271" s="45">
        <f t="shared" si="40"/>
        <v>3</v>
      </c>
      <c r="R271" s="45">
        <f t="shared" si="41"/>
        <v>0</v>
      </c>
      <c r="S271" s="24"/>
      <c r="T271" s="24"/>
      <c r="U271" s="24"/>
      <c r="V271" s="24"/>
      <c r="W271" s="24"/>
      <c r="X271" s="24"/>
      <c r="Y271" s="24"/>
      <c r="Z271" s="24"/>
      <c r="AA271" s="24"/>
      <c r="AB271" s="24"/>
      <c r="AC271" s="24"/>
    </row>
    <row r="272" spans="1:29" ht="119.55">
      <c r="A272" s="180" t="s">
        <v>5632</v>
      </c>
      <c r="B272" s="181" t="s">
        <v>5633</v>
      </c>
      <c r="C272" s="181" t="s">
        <v>5634</v>
      </c>
      <c r="D272" s="144" t="s">
        <v>5859</v>
      </c>
      <c r="E272" s="70" t="s">
        <v>5860</v>
      </c>
      <c r="F272" s="25" t="s">
        <v>5861</v>
      </c>
      <c r="G272" s="57" t="str">
        <f>HYPERLINK("https://www.acquisition.gov/browse/index/far","FAR 42.4 Correspondence and visits [contract management]. FAR 4.803 Contents of contract files.")</f>
        <v>FAR 42.4 Correspondence and visits [contract management]. FAR 4.803 Contents of contract files.</v>
      </c>
      <c r="H272" s="57" t="str">
        <f>HYPERLINK("https://www.acquisition.gov/sites/default/files/current/gsam/html/Part504.html#wp1858232","GSAM 504.803")</f>
        <v>GSAM 504.803</v>
      </c>
      <c r="I272" s="34"/>
      <c r="J272" s="37" t="s">
        <v>463</v>
      </c>
      <c r="K272" s="37" t="s">
        <v>5862</v>
      </c>
      <c r="L272" s="25" t="s">
        <v>5863</v>
      </c>
      <c r="M272" s="25" t="s">
        <v>5864</v>
      </c>
      <c r="N272" s="25" t="s">
        <v>5865</v>
      </c>
      <c r="O272" s="64"/>
      <c r="P272" s="45" t="b">
        <f t="shared" si="39"/>
        <v>0</v>
      </c>
      <c r="Q272" s="45">
        <f t="shared" si="40"/>
        <v>0</v>
      </c>
      <c r="R272" s="45">
        <f t="shared" si="41"/>
        <v>0</v>
      </c>
      <c r="S272" s="24"/>
      <c r="T272" s="24"/>
      <c r="U272" s="24"/>
      <c r="V272" s="24"/>
      <c r="W272" s="24"/>
      <c r="X272" s="24"/>
      <c r="Y272" s="24"/>
      <c r="Z272" s="24"/>
      <c r="AA272" s="24"/>
      <c r="AB272" s="24"/>
      <c r="AC272" s="24"/>
    </row>
    <row r="273" spans="1:29" ht="119.55">
      <c r="A273" s="180" t="s">
        <v>5632</v>
      </c>
      <c r="B273" s="181" t="s">
        <v>5633</v>
      </c>
      <c r="C273" s="181" t="s">
        <v>5634</v>
      </c>
      <c r="D273" s="144" t="s">
        <v>5866</v>
      </c>
      <c r="E273" s="25" t="s">
        <v>5867</v>
      </c>
      <c r="F273" s="25" t="s">
        <v>5868</v>
      </c>
      <c r="G273" s="57" t="str">
        <f>HYPERLINK("https://www.acquisition.gov/browse/index/far","FAR 42.302 Contract administration functions.  FAR 43.1 General [contract modifications].")</f>
        <v>FAR 42.302 Contract administration functions.  FAR 43.1 General [contract modifications].</v>
      </c>
      <c r="H273" s="57" t="str">
        <f>HYPERLINK("https://www.acquisition.gov/sites/default/files/current/gsam/html/Part542.html#wp1858116","GSAM 542.302")</f>
        <v>GSAM 542.302</v>
      </c>
      <c r="I273" s="34" t="s">
        <v>5869</v>
      </c>
      <c r="J273" s="37" t="s">
        <v>1566</v>
      </c>
      <c r="K273" s="37" t="s">
        <v>5870</v>
      </c>
      <c r="L273" s="25" t="s">
        <v>5871</v>
      </c>
      <c r="M273" s="25" t="s">
        <v>5872</v>
      </c>
      <c r="N273" s="25" t="s">
        <v>5873</v>
      </c>
      <c r="O273" s="64"/>
      <c r="P273" s="45" t="b">
        <f t="shared" si="39"/>
        <v>0</v>
      </c>
      <c r="Q273" s="45">
        <f t="shared" si="40"/>
        <v>3</v>
      </c>
      <c r="R273" s="45">
        <f t="shared" si="41"/>
        <v>0</v>
      </c>
      <c r="S273" s="24"/>
      <c r="T273" s="24"/>
      <c r="U273" s="24"/>
      <c r="V273" s="24"/>
      <c r="W273" s="24"/>
      <c r="X273" s="24"/>
      <c r="Y273" s="24"/>
      <c r="Z273" s="24"/>
      <c r="AA273" s="24"/>
      <c r="AB273" s="24"/>
      <c r="AC273" s="24"/>
    </row>
    <row r="274" spans="1:29" ht="163.05000000000001">
      <c r="A274" s="180" t="s">
        <v>5632</v>
      </c>
      <c r="B274" s="181" t="s">
        <v>5633</v>
      </c>
      <c r="C274" s="181" t="s">
        <v>5634</v>
      </c>
      <c r="D274" s="144" t="s">
        <v>5874</v>
      </c>
      <c r="E274" s="25" t="s">
        <v>5875</v>
      </c>
      <c r="F274" s="25" t="s">
        <v>4930</v>
      </c>
      <c r="G274" s="57" t="str">
        <f>HYPERLINK("https://www.acquisition.gov/content/part-43-contract-modifications#id1617MA0D0XL","FAR 43.1 General [contract modifications]")</f>
        <v>FAR 43.1 General [contract modifications]</v>
      </c>
      <c r="H274" s="54"/>
      <c r="I274" s="34" t="s">
        <v>4347</v>
      </c>
      <c r="J274" s="37" t="s">
        <v>1566</v>
      </c>
      <c r="K274" s="37" t="s">
        <v>5876</v>
      </c>
      <c r="L274" s="25" t="s">
        <v>5877</v>
      </c>
      <c r="M274" s="25" t="s">
        <v>5878</v>
      </c>
      <c r="N274" s="79" t="s">
        <v>5879</v>
      </c>
      <c r="O274" s="64"/>
      <c r="P274" s="45" t="b">
        <f t="shared" si="39"/>
        <v>0</v>
      </c>
      <c r="Q274" s="45">
        <f t="shared" si="40"/>
        <v>3</v>
      </c>
      <c r="R274" s="45">
        <f t="shared" si="41"/>
        <v>0</v>
      </c>
      <c r="S274" s="24"/>
      <c r="T274" s="24"/>
      <c r="U274" s="24"/>
      <c r="V274" s="24"/>
      <c r="W274" s="24"/>
      <c r="X274" s="24"/>
      <c r="Y274" s="24"/>
      <c r="Z274" s="24"/>
      <c r="AA274" s="24"/>
      <c r="AB274" s="24"/>
      <c r="AC274" s="24"/>
    </row>
    <row r="275" spans="1:29" ht="163.05000000000001">
      <c r="A275" s="180" t="s">
        <v>5632</v>
      </c>
      <c r="B275" s="181" t="s">
        <v>5633</v>
      </c>
      <c r="C275" s="181" t="s">
        <v>5634</v>
      </c>
      <c r="D275" s="144" t="s">
        <v>5880</v>
      </c>
      <c r="E275" s="25" t="s">
        <v>5881</v>
      </c>
      <c r="F275" s="25" t="s">
        <v>5882</v>
      </c>
      <c r="G275" s="57" t="str">
        <f>HYPERLINK("https://www.acquisition.gov/browse/index/far","FAR 42.1304 Government delay of work. FAR 52.242-17 Government delay of work. FAR 52.243-1 Changes-Fixed Price. FAR 52.243-2 Changes-Cost Reimbursement. FAR 52.243-3 Changes-Time-and Materials or Labor-Hour.")</f>
        <v>FAR 42.1304 Government delay of work. FAR 52.242-17 Government delay of work. FAR 52.243-1 Changes-Fixed Price. FAR 52.243-2 Changes-Cost Reimbursement. FAR 52.243-3 Changes-Time-and Materials or Labor-Hour.</v>
      </c>
      <c r="H275" s="54"/>
      <c r="I275" s="34" t="s">
        <v>5869</v>
      </c>
      <c r="J275" s="37" t="s">
        <v>1566</v>
      </c>
      <c r="K275" s="37" t="s">
        <v>5883</v>
      </c>
      <c r="L275" s="25" t="s">
        <v>5884</v>
      </c>
      <c r="M275" s="25" t="s">
        <v>5885</v>
      </c>
      <c r="N275" s="79" t="s">
        <v>5879</v>
      </c>
      <c r="O275" s="64"/>
      <c r="P275" s="45" t="b">
        <f t="shared" si="39"/>
        <v>0</v>
      </c>
      <c r="Q275" s="45">
        <f t="shared" si="40"/>
        <v>3</v>
      </c>
      <c r="R275" s="45">
        <f t="shared" si="41"/>
        <v>0</v>
      </c>
      <c r="S275" s="24"/>
      <c r="T275" s="24"/>
      <c r="U275" s="24"/>
      <c r="V275" s="24"/>
      <c r="W275" s="24"/>
      <c r="X275" s="24"/>
      <c r="Y275" s="24"/>
      <c r="Z275" s="24"/>
      <c r="AA275" s="24"/>
      <c r="AB275" s="24"/>
      <c r="AC275" s="24"/>
    </row>
    <row r="276" spans="1:29" ht="163.05000000000001">
      <c r="A276" s="180" t="s">
        <v>5632</v>
      </c>
      <c r="B276" s="181" t="s">
        <v>5633</v>
      </c>
      <c r="C276" s="181" t="s">
        <v>5634</v>
      </c>
      <c r="D276" s="144" t="s">
        <v>5886</v>
      </c>
      <c r="E276" s="25" t="s">
        <v>5887</v>
      </c>
      <c r="F276" s="25" t="s">
        <v>5281</v>
      </c>
      <c r="G276" s="57" t="str">
        <f>HYPERLINK("https://www.acquisition.gov/content/part-43-contract-modifications#id1617MA0D0NZ","FAR Part 43 Contract modifications.")</f>
        <v>FAR Part 43 Contract modifications.</v>
      </c>
      <c r="H276" s="57" t="str">
        <f>HYPERLINK("https://www.acquisition.gov/sites/default/files/current/gsam/html/Part543.html#wp1858424","GSAM 543")</f>
        <v>GSAM 543</v>
      </c>
      <c r="I276" s="34" t="s">
        <v>4347</v>
      </c>
      <c r="J276" s="37" t="s">
        <v>1566</v>
      </c>
      <c r="K276" s="37" t="s">
        <v>5888</v>
      </c>
      <c r="L276" s="25" t="s">
        <v>5884</v>
      </c>
      <c r="M276" s="25" t="s">
        <v>5885</v>
      </c>
      <c r="N276" s="79" t="s">
        <v>5879</v>
      </c>
      <c r="O276" s="64"/>
      <c r="P276" s="45" t="b">
        <f t="shared" si="39"/>
        <v>0</v>
      </c>
      <c r="Q276" s="45">
        <f t="shared" si="40"/>
        <v>3</v>
      </c>
      <c r="R276" s="45">
        <f t="shared" si="41"/>
        <v>0</v>
      </c>
      <c r="S276" s="24"/>
      <c r="T276" s="24"/>
      <c r="U276" s="24"/>
      <c r="V276" s="24"/>
      <c r="W276" s="24"/>
      <c r="X276" s="24"/>
      <c r="Y276" s="24"/>
      <c r="Z276" s="24"/>
      <c r="AA276" s="24"/>
      <c r="AB276" s="24"/>
      <c r="AC276" s="24"/>
    </row>
    <row r="277" spans="1:29" ht="163.05000000000001">
      <c r="A277" s="180" t="s">
        <v>5632</v>
      </c>
      <c r="B277" s="181" t="s">
        <v>5633</v>
      </c>
      <c r="C277" s="181" t="s">
        <v>5634</v>
      </c>
      <c r="D277" s="144" t="s">
        <v>5889</v>
      </c>
      <c r="E277" s="25" t="s">
        <v>5890</v>
      </c>
      <c r="F277" s="25" t="s">
        <v>275</v>
      </c>
      <c r="G277" s="57" t="str">
        <f>HYPERLINK("https://www.acquisition.gov/content/part-42-contract-administration-and-audit-services#id1617MD0L0MF","FAR 42.1304(d) Government delay of work.")</f>
        <v>FAR 42.1304(d) Government delay of work.</v>
      </c>
      <c r="H277" s="54"/>
      <c r="I277" s="34" t="s">
        <v>3387</v>
      </c>
      <c r="J277" s="37" t="s">
        <v>1566</v>
      </c>
      <c r="K277" s="37" t="s">
        <v>5891</v>
      </c>
      <c r="L277" s="25" t="s">
        <v>5884</v>
      </c>
      <c r="M277" s="25" t="s">
        <v>5885</v>
      </c>
      <c r="N277" s="79" t="s">
        <v>5879</v>
      </c>
      <c r="O277" s="64"/>
      <c r="P277" s="45" t="b">
        <f t="shared" si="39"/>
        <v>0</v>
      </c>
      <c r="Q277" s="45">
        <f t="shared" si="40"/>
        <v>3</v>
      </c>
      <c r="R277" s="45">
        <f t="shared" si="41"/>
        <v>0</v>
      </c>
      <c r="S277" s="24"/>
      <c r="T277" s="24"/>
      <c r="U277" s="24"/>
      <c r="V277" s="24"/>
      <c r="W277" s="24"/>
      <c r="X277" s="24"/>
      <c r="Y277" s="24"/>
      <c r="Z277" s="24"/>
      <c r="AA277" s="24"/>
      <c r="AB277" s="24"/>
      <c r="AC277" s="24"/>
    </row>
    <row r="278" spans="1:29" ht="86.95">
      <c r="A278" s="180" t="s">
        <v>5632</v>
      </c>
      <c r="B278" s="181" t="s">
        <v>5633</v>
      </c>
      <c r="C278" s="181" t="s">
        <v>5634</v>
      </c>
      <c r="D278" s="144" t="s">
        <v>5892</v>
      </c>
      <c r="E278" s="25" t="s">
        <v>5893</v>
      </c>
      <c r="F278" s="25" t="s">
        <v>5894</v>
      </c>
      <c r="G278" s="57" t="str">
        <f>HYPERLINK("https://www.acquisition.gov/content/part-42-contract-administration-and-audit-services#id1617MD0L00G","FAR 42.1303(a) Stop-work orders.")</f>
        <v>FAR 42.1303(a) Stop-work orders.</v>
      </c>
      <c r="H278" s="54"/>
      <c r="I278" s="34" t="s">
        <v>1565</v>
      </c>
      <c r="J278" s="37" t="s">
        <v>1566</v>
      </c>
      <c r="K278" s="37" t="s">
        <v>5895</v>
      </c>
      <c r="L278" s="25" t="s">
        <v>5896</v>
      </c>
      <c r="M278" s="25" t="s">
        <v>5897</v>
      </c>
      <c r="N278" s="25" t="s">
        <v>5898</v>
      </c>
      <c r="O278" s="64"/>
      <c r="P278" s="45" t="b">
        <f t="shared" si="39"/>
        <v>0</v>
      </c>
      <c r="Q278" s="45">
        <f t="shared" si="40"/>
        <v>3</v>
      </c>
      <c r="R278" s="45">
        <f t="shared" si="41"/>
        <v>0</v>
      </c>
      <c r="S278" s="24"/>
      <c r="T278" s="24"/>
      <c r="U278" s="24"/>
      <c r="V278" s="24"/>
      <c r="W278" s="24"/>
      <c r="X278" s="24"/>
      <c r="Y278" s="24"/>
      <c r="Z278" s="24"/>
      <c r="AA278" s="24"/>
      <c r="AB278" s="24"/>
      <c r="AC278" s="24"/>
    </row>
    <row r="279" spans="1:29" ht="65.25">
      <c r="A279" s="180" t="s">
        <v>5632</v>
      </c>
      <c r="B279" s="181" t="s">
        <v>5633</v>
      </c>
      <c r="C279" s="181" t="s">
        <v>5634</v>
      </c>
      <c r="D279" s="144" t="s">
        <v>5899</v>
      </c>
      <c r="E279" s="25" t="s">
        <v>5900</v>
      </c>
      <c r="F279" s="25" t="s">
        <v>5901</v>
      </c>
      <c r="G279" s="57" t="str">
        <f>HYPERLINK("https://www.acquisition.gov/browse/index/far","FAR 42.1305(b) Contract clauses [suspension of work, stop-work orders, and government delay of work]. FAR 52.242-15(a) Stop-work order.")</f>
        <v>FAR 42.1305(b) Contract clauses [suspension of work, stop-work orders, and government delay of work]. FAR 52.242-15(a) Stop-work order.</v>
      </c>
      <c r="H279" s="54"/>
      <c r="I279" s="34"/>
      <c r="J279" s="37" t="s">
        <v>463</v>
      </c>
      <c r="K279" s="37" t="s">
        <v>5902</v>
      </c>
      <c r="L279" s="25" t="s">
        <v>5903</v>
      </c>
      <c r="M279" s="25" t="s">
        <v>5903</v>
      </c>
      <c r="N279" s="25" t="s">
        <v>5903</v>
      </c>
      <c r="O279" s="64"/>
      <c r="P279" s="45" t="b">
        <f t="shared" si="39"/>
        <v>0</v>
      </c>
      <c r="Q279" s="45">
        <f t="shared" si="40"/>
        <v>0</v>
      </c>
      <c r="R279" s="45">
        <f t="shared" si="41"/>
        <v>0</v>
      </c>
      <c r="S279" s="24"/>
      <c r="T279" s="24"/>
      <c r="U279" s="24"/>
      <c r="V279" s="24"/>
      <c r="W279" s="24"/>
      <c r="X279" s="24"/>
      <c r="Y279" s="24"/>
      <c r="Z279" s="24"/>
      <c r="AA279" s="24"/>
      <c r="AB279" s="24"/>
      <c r="AC279" s="24"/>
    </row>
    <row r="280" spans="1:29" ht="65.25">
      <c r="A280" s="180" t="s">
        <v>5632</v>
      </c>
      <c r="B280" s="181" t="s">
        <v>5633</v>
      </c>
      <c r="C280" s="181" t="s">
        <v>5634</v>
      </c>
      <c r="D280" s="144" t="s">
        <v>5904</v>
      </c>
      <c r="E280" s="25" t="s">
        <v>5905</v>
      </c>
      <c r="F280" s="25" t="s">
        <v>5906</v>
      </c>
      <c r="G280" s="57" t="str">
        <f>HYPERLINK("https://www.acquisition.gov/content/part-42-contract-administration-and-audit-services#id1617MD0L00G","FAR 42.1303(b) Stop-work orders. ")</f>
        <v xml:space="preserve">FAR 42.1303(b) Stop-work orders. </v>
      </c>
      <c r="H280" s="54"/>
      <c r="I280" s="34"/>
      <c r="J280" s="37" t="s">
        <v>463</v>
      </c>
      <c r="K280" s="37" t="s">
        <v>5907</v>
      </c>
      <c r="L280" s="25" t="s">
        <v>5903</v>
      </c>
      <c r="M280" s="25" t="s">
        <v>5903</v>
      </c>
      <c r="N280" s="25" t="s">
        <v>5903</v>
      </c>
      <c r="O280" s="64"/>
      <c r="P280" s="45" t="b">
        <f t="shared" si="39"/>
        <v>0</v>
      </c>
      <c r="Q280" s="45">
        <f t="shared" si="40"/>
        <v>0</v>
      </c>
      <c r="R280" s="45">
        <f t="shared" si="41"/>
        <v>0</v>
      </c>
      <c r="S280" s="24"/>
      <c r="T280" s="24"/>
      <c r="U280" s="24"/>
      <c r="V280" s="24"/>
      <c r="W280" s="24"/>
      <c r="X280" s="24"/>
      <c r="Y280" s="24"/>
      <c r="Z280" s="24"/>
      <c r="AA280" s="24"/>
      <c r="AB280" s="24"/>
      <c r="AC280" s="24"/>
    </row>
    <row r="281" spans="1:29" ht="65.25">
      <c r="A281" s="180" t="s">
        <v>5632</v>
      </c>
      <c r="B281" s="181" t="s">
        <v>5633</v>
      </c>
      <c r="C281" s="181" t="s">
        <v>5634</v>
      </c>
      <c r="D281" s="144" t="s">
        <v>5908</v>
      </c>
      <c r="E281" s="25" t="s">
        <v>5909</v>
      </c>
      <c r="F281" s="25" t="s">
        <v>5910</v>
      </c>
      <c r="G281" s="57" t="str">
        <f>HYPERLINK("https://www.acquisition.gov/content/part-42-contract-administration-and-audit-services#id1617MD0L00G","FAR 42.1303(c) Stop-work orders.")</f>
        <v>FAR 42.1303(c) Stop-work orders.</v>
      </c>
      <c r="H281" s="54"/>
      <c r="I281" s="34"/>
      <c r="J281" s="37" t="s">
        <v>463</v>
      </c>
      <c r="K281" s="37" t="s">
        <v>5911</v>
      </c>
      <c r="L281" s="25" t="s">
        <v>5903</v>
      </c>
      <c r="M281" s="25" t="s">
        <v>5903</v>
      </c>
      <c r="N281" s="25" t="s">
        <v>5903</v>
      </c>
      <c r="O281" s="64"/>
      <c r="P281" s="45" t="b">
        <f t="shared" si="39"/>
        <v>0</v>
      </c>
      <c r="Q281" s="45">
        <f t="shared" si="40"/>
        <v>0</v>
      </c>
      <c r="R281" s="45">
        <f t="shared" si="41"/>
        <v>0</v>
      </c>
      <c r="S281" s="24"/>
      <c r="T281" s="24"/>
      <c r="U281" s="24"/>
      <c r="V281" s="24"/>
      <c r="W281" s="24"/>
      <c r="X281" s="24"/>
      <c r="Y281" s="24"/>
      <c r="Z281" s="24"/>
      <c r="AA281" s="24"/>
      <c r="AB281" s="24"/>
      <c r="AC281" s="24"/>
    </row>
    <row r="282" spans="1:29" ht="86.95">
      <c r="A282" s="180" t="s">
        <v>5632</v>
      </c>
      <c r="B282" s="181" t="s">
        <v>5633</v>
      </c>
      <c r="C282" s="181" t="s">
        <v>5634</v>
      </c>
      <c r="D282" s="144" t="s">
        <v>5912</v>
      </c>
      <c r="E282" s="25" t="s">
        <v>5913</v>
      </c>
      <c r="F282" s="25" t="s">
        <v>5914</v>
      </c>
      <c r="G282" s="57" t="str">
        <f>HYPERLINK("https://www.acquisition.gov/content/part-42-contract-administration-and-audit-services#id1617MD0L00G","FAR 42.1303(d) Stop-work orders.")</f>
        <v>FAR 42.1303(d) Stop-work orders.</v>
      </c>
      <c r="H282" s="54"/>
      <c r="I282" s="34"/>
      <c r="J282" s="37" t="s">
        <v>463</v>
      </c>
      <c r="K282" s="37" t="s">
        <v>5915</v>
      </c>
      <c r="L282" s="25" t="s">
        <v>5916</v>
      </c>
      <c r="M282" s="25" t="s">
        <v>5917</v>
      </c>
      <c r="N282" s="25" t="s">
        <v>5918</v>
      </c>
      <c r="O282" s="64"/>
      <c r="P282" s="45" t="b">
        <f t="shared" si="39"/>
        <v>0</v>
      </c>
      <c r="Q282" s="45">
        <f t="shared" si="40"/>
        <v>0</v>
      </c>
      <c r="R282" s="45">
        <f t="shared" si="41"/>
        <v>0</v>
      </c>
      <c r="S282" s="24"/>
      <c r="T282" s="24"/>
      <c r="U282" s="24"/>
      <c r="V282" s="24"/>
      <c r="W282" s="24"/>
      <c r="X282" s="24"/>
      <c r="Y282" s="24"/>
      <c r="Z282" s="24"/>
      <c r="AA282" s="24"/>
      <c r="AB282" s="24"/>
      <c r="AC282" s="24"/>
    </row>
    <row r="283" spans="1:29" ht="65.25">
      <c r="A283" s="180" t="s">
        <v>5632</v>
      </c>
      <c r="B283" s="181" t="s">
        <v>5633</v>
      </c>
      <c r="C283" s="181" t="s">
        <v>5634</v>
      </c>
      <c r="D283" s="144" t="s">
        <v>5919</v>
      </c>
      <c r="E283" s="25" t="s">
        <v>5920</v>
      </c>
      <c r="F283" s="25" t="s">
        <v>5921</v>
      </c>
      <c r="G283" s="57" t="str">
        <f>HYPERLINK("https://www.acquisition.gov/content/part-42-contract-administration-and-audit-services#id1617MD0L00G","FAR 42.1303(e) Stop-work orders. ")</f>
        <v xml:space="preserve">FAR 42.1303(e) Stop-work orders. </v>
      </c>
      <c r="H283" s="54"/>
      <c r="I283" s="34"/>
      <c r="J283" s="37" t="s">
        <v>463</v>
      </c>
      <c r="K283" s="37" t="s">
        <v>5922</v>
      </c>
      <c r="L283" s="25" t="s">
        <v>5923</v>
      </c>
      <c r="M283" s="25" t="s">
        <v>5923</v>
      </c>
      <c r="N283" s="25" t="s">
        <v>5923</v>
      </c>
      <c r="O283" s="64"/>
      <c r="P283" s="45" t="b">
        <f t="shared" si="39"/>
        <v>0</v>
      </c>
      <c r="Q283" s="45">
        <f t="shared" si="40"/>
        <v>0</v>
      </c>
      <c r="R283" s="45">
        <f t="shared" si="41"/>
        <v>0</v>
      </c>
      <c r="S283" s="24"/>
      <c r="T283" s="24"/>
      <c r="U283" s="24"/>
      <c r="V283" s="24"/>
      <c r="W283" s="24"/>
      <c r="X283" s="24"/>
      <c r="Y283" s="24"/>
      <c r="Z283" s="24"/>
      <c r="AA283" s="24"/>
      <c r="AB283" s="24"/>
      <c r="AC283" s="24"/>
    </row>
    <row r="284" spans="1:29" ht="65.25">
      <c r="A284" s="180" t="s">
        <v>5632</v>
      </c>
      <c r="B284" s="181" t="s">
        <v>5633</v>
      </c>
      <c r="C284" s="181" t="s">
        <v>5634</v>
      </c>
      <c r="D284" s="144" t="s">
        <v>5924</v>
      </c>
      <c r="E284" s="25" t="s">
        <v>5925</v>
      </c>
      <c r="F284" s="25" t="s">
        <v>275</v>
      </c>
      <c r="G284" s="57" t="str">
        <f>HYPERLINK("https://www.acquisition.gov/content/part-42-contract-administration-and-audit-services#id1617MD0L0MF","FAR 42.1304(d) Government delay of work.")</f>
        <v>FAR 42.1304(d) Government delay of work.</v>
      </c>
      <c r="H284" s="54"/>
      <c r="I284" s="34" t="s">
        <v>3387</v>
      </c>
      <c r="J284" s="37" t="s">
        <v>1566</v>
      </c>
      <c r="K284" s="37" t="s">
        <v>5926</v>
      </c>
      <c r="L284" s="25" t="s">
        <v>5923</v>
      </c>
      <c r="M284" s="25" t="s">
        <v>5923</v>
      </c>
      <c r="N284" s="25" t="s">
        <v>5923</v>
      </c>
      <c r="O284" s="64"/>
      <c r="P284" s="45" t="b">
        <f t="shared" si="39"/>
        <v>0</v>
      </c>
      <c r="Q284" s="45">
        <f t="shared" si="40"/>
        <v>3</v>
      </c>
      <c r="R284" s="45">
        <f t="shared" si="41"/>
        <v>0</v>
      </c>
      <c r="S284" s="24"/>
      <c r="T284" s="24"/>
      <c r="U284" s="24"/>
      <c r="V284" s="24"/>
      <c r="W284" s="24"/>
      <c r="X284" s="24"/>
      <c r="Y284" s="24"/>
      <c r="Z284" s="24"/>
      <c r="AA284" s="24"/>
      <c r="AB284" s="24"/>
      <c r="AC284" s="24"/>
    </row>
    <row r="285" spans="1:29" ht="173.9">
      <c r="A285" s="180" t="s">
        <v>5632</v>
      </c>
      <c r="B285" s="181" t="s">
        <v>5633</v>
      </c>
      <c r="C285" s="181" t="s">
        <v>5634</v>
      </c>
      <c r="D285" s="144" t="s">
        <v>5927</v>
      </c>
      <c r="E285" s="25" t="s">
        <v>5928</v>
      </c>
      <c r="F285" s="25" t="s">
        <v>5929</v>
      </c>
      <c r="G285" s="57" t="str">
        <f>HYPERLINK("https://www.acquisition.gov/content/part-42-contract-administration-and-audit-services","FAR 42.1302 Suspension of work. FAR 52.242-14 Suspension of work. ")</f>
        <v xml:space="preserve">FAR 42.1302 Suspension of work. FAR 52.242-14 Suspension of work. </v>
      </c>
      <c r="H285" s="54"/>
      <c r="I285" s="34" t="s">
        <v>3805</v>
      </c>
      <c r="J285" s="37" t="s">
        <v>1566</v>
      </c>
      <c r="K285" s="37" t="s">
        <v>5936</v>
      </c>
      <c r="L285" s="25" t="s">
        <v>5937</v>
      </c>
      <c r="M285" s="89" t="s">
        <v>5938</v>
      </c>
      <c r="N285" s="89" t="s">
        <v>5939</v>
      </c>
      <c r="O285" s="64"/>
      <c r="P285" s="45" t="b">
        <f t="shared" si="39"/>
        <v>0</v>
      </c>
      <c r="Q285" s="45">
        <f t="shared" si="40"/>
        <v>3</v>
      </c>
      <c r="R285" s="45">
        <f t="shared" si="41"/>
        <v>0</v>
      </c>
      <c r="S285" s="24"/>
      <c r="T285" s="24"/>
      <c r="U285" s="24"/>
      <c r="V285" s="24"/>
      <c r="W285" s="24"/>
      <c r="X285" s="24"/>
      <c r="Y285" s="24"/>
      <c r="Z285" s="24"/>
      <c r="AA285" s="24"/>
      <c r="AB285" s="24"/>
      <c r="AC285" s="24"/>
    </row>
    <row r="286" spans="1:29" ht="65.25">
      <c r="A286" s="180" t="s">
        <v>5632</v>
      </c>
      <c r="B286" s="181" t="s">
        <v>5633</v>
      </c>
      <c r="C286" s="181" t="s">
        <v>5634</v>
      </c>
      <c r="D286" s="144" t="s">
        <v>5940</v>
      </c>
      <c r="E286" s="25" t="s">
        <v>5941</v>
      </c>
      <c r="F286" s="25" t="s">
        <v>5942</v>
      </c>
      <c r="G286" s="57" t="str">
        <f>HYPERLINK("https://www.acquisition.gov/content/part-42-contract-administration-and-audit-services","FAR 42.1305 Suspension of work. FAR 52.242-14 Suspension of work")</f>
        <v>FAR 42.1305 Suspension of work. FAR 52.242-14 Suspension of work</v>
      </c>
      <c r="H286" s="54"/>
      <c r="I286" s="34"/>
      <c r="J286" s="37" t="s">
        <v>463</v>
      </c>
      <c r="K286" s="37" t="s">
        <v>5943</v>
      </c>
      <c r="L286" s="25" t="s">
        <v>5944</v>
      </c>
      <c r="M286" s="25" t="s">
        <v>5944</v>
      </c>
      <c r="N286" s="25" t="s">
        <v>5944</v>
      </c>
      <c r="O286" s="64"/>
      <c r="P286" s="45" t="b">
        <f t="shared" si="39"/>
        <v>0</v>
      </c>
      <c r="Q286" s="45">
        <f t="shared" si="40"/>
        <v>0</v>
      </c>
      <c r="R286" s="45">
        <f t="shared" si="41"/>
        <v>0</v>
      </c>
      <c r="S286" s="24"/>
      <c r="T286" s="24"/>
      <c r="U286" s="24"/>
      <c r="V286" s="24"/>
      <c r="W286" s="24"/>
      <c r="X286" s="24"/>
      <c r="Y286" s="24"/>
      <c r="Z286" s="24"/>
      <c r="AA286" s="24"/>
      <c r="AB286" s="24"/>
      <c r="AC286" s="24"/>
    </row>
    <row r="287" spans="1:29" ht="76.099999999999994">
      <c r="A287" s="180" t="s">
        <v>5632</v>
      </c>
      <c r="B287" s="181" t="s">
        <v>5633</v>
      </c>
      <c r="C287" s="181" t="s">
        <v>5634</v>
      </c>
      <c r="D287" s="144" t="s">
        <v>5945</v>
      </c>
      <c r="E287" s="25" t="s">
        <v>5946</v>
      </c>
      <c r="F287" s="25" t="s">
        <v>5947</v>
      </c>
      <c r="G287" s="57" t="str">
        <f>HYPERLINK("https://www.acquisition.gov/content/part-52-solicitation-provisions-and-contract-clauses#i1048092","FAR 52.242-14 Suspension of work.")</f>
        <v>FAR 52.242-14 Suspension of work.</v>
      </c>
      <c r="H287" s="54"/>
      <c r="I287" s="34" t="s">
        <v>4347</v>
      </c>
      <c r="J287" s="37" t="s">
        <v>1566</v>
      </c>
      <c r="K287" s="37" t="s">
        <v>5948</v>
      </c>
      <c r="L287" s="25" t="s">
        <v>5944</v>
      </c>
      <c r="M287" s="25" t="s">
        <v>5944</v>
      </c>
      <c r="N287" s="25" t="s">
        <v>5944</v>
      </c>
      <c r="O287" s="64"/>
      <c r="P287" s="45" t="b">
        <f t="shared" si="39"/>
        <v>0</v>
      </c>
      <c r="Q287" s="45">
        <f t="shared" si="40"/>
        <v>3</v>
      </c>
      <c r="R287" s="45">
        <f t="shared" si="41"/>
        <v>0</v>
      </c>
      <c r="S287" s="24"/>
      <c r="T287" s="24"/>
      <c r="U287" s="24"/>
      <c r="V287" s="24"/>
      <c r="W287" s="24"/>
      <c r="X287" s="24"/>
      <c r="Y287" s="24"/>
      <c r="Z287" s="24"/>
      <c r="AA287" s="24"/>
      <c r="AB287" s="24"/>
      <c r="AC287" s="24"/>
    </row>
    <row r="288" spans="1:29" ht="65.25">
      <c r="A288" s="180" t="s">
        <v>5632</v>
      </c>
      <c r="B288" s="181" t="s">
        <v>5633</v>
      </c>
      <c r="C288" s="181" t="s">
        <v>5634</v>
      </c>
      <c r="D288" s="144" t="s">
        <v>5949</v>
      </c>
      <c r="E288" s="25" t="s">
        <v>5925</v>
      </c>
      <c r="F288" s="25" t="s">
        <v>275</v>
      </c>
      <c r="G288" s="57" t="str">
        <f>HYPERLINK("https://www.acquisition.gov/content/part-42-contract-administration-and-audit-services#id1617MD0L0MF","FAR 42.1304(d) Government delay of work. ")</f>
        <v xml:space="preserve">FAR 42.1304(d) Government delay of work. </v>
      </c>
      <c r="H288" s="54"/>
      <c r="I288" s="34" t="s">
        <v>3387</v>
      </c>
      <c r="J288" s="37" t="s">
        <v>1566</v>
      </c>
      <c r="K288" s="37" t="s">
        <v>5950</v>
      </c>
      <c r="L288" s="25" t="s">
        <v>5944</v>
      </c>
      <c r="M288" s="25" t="s">
        <v>5944</v>
      </c>
      <c r="N288" s="25" t="s">
        <v>5944</v>
      </c>
      <c r="O288" s="64"/>
      <c r="P288" s="45" t="b">
        <f t="shared" si="39"/>
        <v>0</v>
      </c>
      <c r="Q288" s="45">
        <f t="shared" si="40"/>
        <v>3</v>
      </c>
      <c r="R288" s="45">
        <f t="shared" si="41"/>
        <v>0</v>
      </c>
      <c r="S288" s="24"/>
      <c r="T288" s="24"/>
      <c r="U288" s="24"/>
      <c r="V288" s="24"/>
      <c r="W288" s="24"/>
      <c r="X288" s="24"/>
      <c r="Y288" s="24"/>
      <c r="Z288" s="24"/>
      <c r="AA288" s="24"/>
      <c r="AB288" s="24"/>
      <c r="AC288" s="24"/>
    </row>
    <row r="289" spans="1:29" ht="195.65">
      <c r="A289" s="180" t="s">
        <v>5632</v>
      </c>
      <c r="B289" s="181" t="s">
        <v>5633</v>
      </c>
      <c r="C289" s="181" t="s">
        <v>5634</v>
      </c>
      <c r="D289" s="144" t="s">
        <v>5953</v>
      </c>
      <c r="E289" s="25" t="s">
        <v>5954</v>
      </c>
      <c r="F289" s="25" t="s">
        <v>3659</v>
      </c>
      <c r="G289" s="57" t="e">
        <f>HYPERLINK("https://www.acquisition.gov/browse/index/far","FAR 8.406-2 Inspection and acceptance [ordering activity responsibilities]. FAR 8.406-3(a) Remedies for nonconformance [ordering activity responsibilities]. FAR 12.402 Acceptance [unique requirements regarding terms and conditions for commercial items]. F"&amp;"AR 46.1 General [quality assurance]. FAR 46.407 Nonconforming supplies or services [government contract quality assurance]. ")</f>
        <v>#VALUE!</v>
      </c>
      <c r="H289" s="54"/>
      <c r="I289" s="34" t="s">
        <v>3805</v>
      </c>
      <c r="J289" s="37" t="s">
        <v>1566</v>
      </c>
      <c r="K289" s="37" t="s">
        <v>5959</v>
      </c>
      <c r="L289" s="25" t="s">
        <v>5960</v>
      </c>
      <c r="M289" s="25" t="s">
        <v>5961</v>
      </c>
      <c r="N289" s="25" t="s">
        <v>5962</v>
      </c>
      <c r="O289" s="64"/>
      <c r="P289" s="45" t="b">
        <f t="shared" si="39"/>
        <v>0</v>
      </c>
      <c r="Q289" s="45">
        <f t="shared" si="40"/>
        <v>3</v>
      </c>
      <c r="R289" s="45">
        <f t="shared" si="41"/>
        <v>0</v>
      </c>
      <c r="S289" s="24"/>
      <c r="T289" s="24"/>
      <c r="U289" s="24"/>
      <c r="V289" s="24"/>
      <c r="W289" s="24"/>
      <c r="X289" s="24"/>
      <c r="Y289" s="24"/>
      <c r="Z289" s="24"/>
      <c r="AA289" s="24"/>
      <c r="AB289" s="24"/>
      <c r="AC289" s="24"/>
    </row>
    <row r="290" spans="1:29" ht="76.099999999999994">
      <c r="A290" s="180" t="s">
        <v>5632</v>
      </c>
      <c r="B290" s="181" t="s">
        <v>5633</v>
      </c>
      <c r="C290" s="181" t="s">
        <v>5634</v>
      </c>
      <c r="D290" s="144" t="s">
        <v>5963</v>
      </c>
      <c r="E290" s="25" t="s">
        <v>5964</v>
      </c>
      <c r="F290" s="25" t="s">
        <v>5965</v>
      </c>
      <c r="G290" s="57" t="e">
        <f>HYPERLINK("https://www.acquisition.gov/browse/index/far","FAR 8.406-2 Inspection and acceptance [ordering activity responsibilities]. FAR 8.406-3(a) Remedies for nonconformance [ordering activity responsibilities]. FAR 12.402 Acceptance [commercial items]. FAR 46.1 General [quality assurance]. FAR 46.407 Nonconf"&amp;"orming supplies or services [government contract quality assurance].")</f>
        <v>#VALUE!</v>
      </c>
      <c r="H290" s="54"/>
      <c r="I290" s="34" t="s">
        <v>3805</v>
      </c>
      <c r="J290" s="37" t="s">
        <v>1566</v>
      </c>
      <c r="K290" s="37" t="s">
        <v>5970</v>
      </c>
      <c r="L290" s="25" t="s">
        <v>5971</v>
      </c>
      <c r="M290" s="25" t="s">
        <v>5971</v>
      </c>
      <c r="N290" s="25" t="s">
        <v>5971</v>
      </c>
      <c r="O290" s="64"/>
      <c r="P290" s="45" t="b">
        <f t="shared" si="39"/>
        <v>0</v>
      </c>
      <c r="Q290" s="45">
        <f t="shared" si="40"/>
        <v>3</v>
      </c>
      <c r="R290" s="45">
        <f t="shared" si="41"/>
        <v>0</v>
      </c>
      <c r="S290" s="24"/>
      <c r="T290" s="24"/>
      <c r="U290" s="24"/>
      <c r="V290" s="24"/>
      <c r="W290" s="24"/>
      <c r="X290" s="24"/>
      <c r="Y290" s="24"/>
      <c r="Z290" s="24"/>
      <c r="AA290" s="24"/>
      <c r="AB290" s="24"/>
      <c r="AC290" s="24"/>
    </row>
    <row r="291" spans="1:29" ht="76.099999999999994">
      <c r="A291" s="180" t="s">
        <v>5632</v>
      </c>
      <c r="B291" s="181" t="s">
        <v>5633</v>
      </c>
      <c r="C291" s="181" t="s">
        <v>5634</v>
      </c>
      <c r="D291" s="144" t="s">
        <v>5972</v>
      </c>
      <c r="E291" s="25" t="s">
        <v>5973</v>
      </c>
      <c r="F291" s="25" t="s">
        <v>5974</v>
      </c>
      <c r="G291" s="57" t="e">
        <f>HYPERLINK("https://www.acquisition.gov/browse/index/far","FAR 2.101 Warranty [definitions]. FAR 8.406-3(b) Remedies for nonconformance [ordering activity responsibilities]. FAR 8.406-5 Termination for the Government’s convenience. FAR 12.403(c) Termination for cause [unique requirements regarding terms and condi"&amp;"tions for commercial items]. FAR 12.404 Warranties [unique requirements regarding terms and conditions for commercial items]. FAR 46.7 Warranties. FAR 49.607(a) Cure notice [delinquency notices]. ")</f>
        <v>#VALUE!</v>
      </c>
      <c r="H291" s="57" t="str">
        <f>HYPERLINK("https://www.acquisition.gov/sites/default/files/current/gsam/html/Part546.html#wp1859106","GSAM 546.7")</f>
        <v>GSAM 546.7</v>
      </c>
      <c r="I291" s="34"/>
      <c r="J291" s="37" t="s">
        <v>463</v>
      </c>
      <c r="K291" s="37" t="s">
        <v>5979</v>
      </c>
      <c r="L291" s="25" t="s">
        <v>5971</v>
      </c>
      <c r="M291" s="25" t="s">
        <v>5971</v>
      </c>
      <c r="N291" s="25" t="s">
        <v>5971</v>
      </c>
      <c r="O291" s="64"/>
      <c r="P291" s="45" t="b">
        <f t="shared" si="39"/>
        <v>0</v>
      </c>
      <c r="Q291" s="45">
        <f t="shared" si="40"/>
        <v>0</v>
      </c>
      <c r="R291" s="45">
        <f t="shared" si="41"/>
        <v>0</v>
      </c>
      <c r="S291" s="24"/>
      <c r="T291" s="24"/>
      <c r="U291" s="24"/>
      <c r="V291" s="24"/>
      <c r="W291" s="24"/>
      <c r="X291" s="24"/>
      <c r="Y291" s="24"/>
      <c r="Z291" s="24"/>
      <c r="AA291" s="24"/>
      <c r="AB291" s="24"/>
      <c r="AC291" s="24"/>
    </row>
    <row r="292" spans="1:29" ht="86.95">
      <c r="A292" s="180" t="s">
        <v>5632</v>
      </c>
      <c r="B292" s="181" t="s">
        <v>5633</v>
      </c>
      <c r="C292" s="181" t="s">
        <v>5634</v>
      </c>
      <c r="D292" s="144" t="s">
        <v>5980</v>
      </c>
      <c r="E292" s="25" t="s">
        <v>5981</v>
      </c>
      <c r="F292" s="25" t="s">
        <v>1317</v>
      </c>
      <c r="G292" s="57" t="str">
        <f>HYPERLINK("https://www.acquisition.gov/content/part-52-solicitation-provisions-and-contract-clauses#i1060971","FAR 52.212-4(a) Contract Terms and Conditions-Commercial Items, Inspection and Acceptance.  FAR 52.213-4 Terms and Conditions Simplified Acquisitions (Other than commercial items).")</f>
        <v>FAR 52.212-4(a) Contract Terms and Conditions-Commercial Items, Inspection and Acceptance.  FAR 52.213-4 Terms and Conditions Simplified Acquisitions (Other than commercial items).</v>
      </c>
      <c r="H292" s="54"/>
      <c r="I292" s="34"/>
      <c r="J292" s="37" t="s">
        <v>463</v>
      </c>
      <c r="K292" s="37" t="s">
        <v>5990</v>
      </c>
      <c r="L292" s="25" t="s">
        <v>5971</v>
      </c>
      <c r="M292" s="25" t="s">
        <v>5971</v>
      </c>
      <c r="N292" s="25" t="s">
        <v>5971</v>
      </c>
      <c r="O292" s="64"/>
      <c r="P292" s="45" t="b">
        <f t="shared" si="39"/>
        <v>0</v>
      </c>
      <c r="Q292" s="45">
        <f t="shared" si="40"/>
        <v>0</v>
      </c>
      <c r="R292" s="45">
        <f t="shared" si="41"/>
        <v>0</v>
      </c>
      <c r="S292" s="24"/>
      <c r="T292" s="24"/>
      <c r="U292" s="24"/>
      <c r="V292" s="24"/>
      <c r="W292" s="24"/>
      <c r="X292" s="24"/>
      <c r="Y292" s="24"/>
      <c r="Z292" s="24"/>
      <c r="AA292" s="24"/>
      <c r="AB292" s="24"/>
      <c r="AC292" s="24"/>
    </row>
    <row r="293" spans="1:29" ht="86.95">
      <c r="A293" s="180" t="s">
        <v>5632</v>
      </c>
      <c r="B293" s="181" t="s">
        <v>5633</v>
      </c>
      <c r="C293" s="181" t="s">
        <v>5634</v>
      </c>
      <c r="D293" s="144" t="s">
        <v>5995</v>
      </c>
      <c r="E293" s="25" t="s">
        <v>5996</v>
      </c>
      <c r="F293" s="25" t="s">
        <v>5997</v>
      </c>
      <c r="G293" s="57" t="str">
        <f>HYPERLINK("https://www.acquisition.gov/browse/index/far","FAR 12.403(c) Termination for cause [unique requirements regarding terms and conditions for commercial items]. FAR 49.4 Termination for default. FAR 49.607(a) Cure notice [delinquency notice].")</f>
        <v>FAR 12.403(c) Termination for cause [unique requirements regarding terms and conditions for commercial items]. FAR 49.4 Termination for default. FAR 49.607(a) Cure notice [delinquency notice].</v>
      </c>
      <c r="H293" s="57" t="str">
        <f t="shared" ref="H293:H294" si="44">HYPERLINK("https://www.acquisition.gov/sites/default/files/current/gsam/html/Part549.html#wp1858093","GSAM 549.4")</f>
        <v>GSAM 549.4</v>
      </c>
      <c r="I293" s="34" t="s">
        <v>3805</v>
      </c>
      <c r="J293" s="37" t="s">
        <v>1566</v>
      </c>
      <c r="K293" s="37" t="s">
        <v>6006</v>
      </c>
      <c r="L293" s="25" t="s">
        <v>5971</v>
      </c>
      <c r="M293" s="25" t="s">
        <v>5971</v>
      </c>
      <c r="N293" s="25" t="s">
        <v>5971</v>
      </c>
      <c r="O293" s="64"/>
      <c r="P293" s="45" t="b">
        <f t="shared" si="39"/>
        <v>0</v>
      </c>
      <c r="Q293" s="45">
        <f t="shared" si="40"/>
        <v>3</v>
      </c>
      <c r="R293" s="45">
        <f t="shared" si="41"/>
        <v>0</v>
      </c>
      <c r="S293" s="24"/>
      <c r="T293" s="24"/>
      <c r="U293" s="24"/>
      <c r="V293" s="24"/>
      <c r="W293" s="24"/>
      <c r="X293" s="24"/>
      <c r="Y293" s="24"/>
      <c r="Z293" s="24"/>
      <c r="AA293" s="24"/>
      <c r="AB293" s="24"/>
      <c r="AC293" s="24"/>
    </row>
    <row r="294" spans="1:29" ht="65.25">
      <c r="A294" s="180" t="s">
        <v>5632</v>
      </c>
      <c r="B294" s="181" t="s">
        <v>5633</v>
      </c>
      <c r="C294" s="181" t="s">
        <v>5634</v>
      </c>
      <c r="D294" s="144" t="s">
        <v>6011</v>
      </c>
      <c r="E294" s="25" t="s">
        <v>6012</v>
      </c>
      <c r="F294" s="25" t="s">
        <v>6013</v>
      </c>
      <c r="G294" s="57" t="str">
        <f>HYPERLINK("https://www.acquisition.gov/content/part-49-termination-contracts","FAR 49.607(a) Cure notice [delinquency notices]. FAR 49.402-3 Procedures for default")</f>
        <v>FAR 49.607(a) Cure notice [delinquency notices]. FAR 49.402-3 Procedures for default</v>
      </c>
      <c r="H294" s="57" t="str">
        <f t="shared" si="44"/>
        <v>GSAM 549.4</v>
      </c>
      <c r="I294" s="34" t="s">
        <v>3805</v>
      </c>
      <c r="J294" s="37" t="s">
        <v>1566</v>
      </c>
      <c r="K294" s="37" t="s">
        <v>6018</v>
      </c>
      <c r="L294" s="25" t="s">
        <v>5971</v>
      </c>
      <c r="M294" s="25" t="s">
        <v>5971</v>
      </c>
      <c r="N294" s="25" t="s">
        <v>5971</v>
      </c>
      <c r="O294" s="64"/>
      <c r="P294" s="45" t="b">
        <f t="shared" si="39"/>
        <v>0</v>
      </c>
      <c r="Q294" s="45">
        <f t="shared" si="40"/>
        <v>3</v>
      </c>
      <c r="R294" s="45">
        <f t="shared" si="41"/>
        <v>0</v>
      </c>
      <c r="S294" s="24"/>
      <c r="T294" s="24"/>
      <c r="U294" s="24"/>
      <c r="V294" s="24"/>
      <c r="W294" s="24"/>
      <c r="X294" s="24"/>
      <c r="Y294" s="24"/>
      <c r="Z294" s="24"/>
      <c r="AA294" s="24"/>
      <c r="AB294" s="24"/>
      <c r="AC294" s="24"/>
    </row>
    <row r="295" spans="1:29" ht="141.30000000000001">
      <c r="A295" s="180" t="s">
        <v>5632</v>
      </c>
      <c r="B295" s="181" t="s">
        <v>5633</v>
      </c>
      <c r="C295" s="181" t="s">
        <v>5634</v>
      </c>
      <c r="D295" s="144" t="s">
        <v>6023</v>
      </c>
      <c r="E295" s="25" t="s">
        <v>6024</v>
      </c>
      <c r="F295" s="25" t="s">
        <v>6025</v>
      </c>
      <c r="G295" s="57" t="str">
        <f>HYPERLINK("https://www.acquisition.gov/content/part-49-termination-contracts#i1068020","FAR 49.402-3 Procedures for default.")</f>
        <v>FAR 49.402-3 Procedures for default.</v>
      </c>
      <c r="H295" s="54"/>
      <c r="I295" s="34" t="s">
        <v>3805</v>
      </c>
      <c r="J295" s="37" t="s">
        <v>1566</v>
      </c>
      <c r="K295" s="37" t="s">
        <v>6030</v>
      </c>
      <c r="L295" s="25" t="s">
        <v>6032</v>
      </c>
      <c r="M295" s="25" t="s">
        <v>6034</v>
      </c>
      <c r="N295" s="25" t="s">
        <v>6036</v>
      </c>
      <c r="O295" s="64"/>
      <c r="P295" s="45" t="b">
        <f t="shared" si="39"/>
        <v>0</v>
      </c>
      <c r="Q295" s="45">
        <f t="shared" si="40"/>
        <v>3</v>
      </c>
      <c r="R295" s="45">
        <f t="shared" si="41"/>
        <v>0</v>
      </c>
      <c r="S295" s="24"/>
      <c r="T295" s="24"/>
      <c r="U295" s="24"/>
      <c r="V295" s="24"/>
      <c r="W295" s="24"/>
      <c r="X295" s="24"/>
      <c r="Y295" s="24"/>
      <c r="Z295" s="24"/>
      <c r="AA295" s="24"/>
      <c r="AB295" s="24"/>
      <c r="AC295" s="24"/>
    </row>
    <row r="296" spans="1:29" ht="65.25">
      <c r="A296" s="180" t="s">
        <v>5632</v>
      </c>
      <c r="B296" s="181" t="s">
        <v>5633</v>
      </c>
      <c r="C296" s="181" t="s">
        <v>5634</v>
      </c>
      <c r="D296" s="144" t="s">
        <v>6041</v>
      </c>
      <c r="E296" s="25" t="s">
        <v>6043</v>
      </c>
      <c r="F296" s="25" t="s">
        <v>6044</v>
      </c>
      <c r="G296" s="57" t="e">
        <f>HYPERLINK("https://www.acquisition.gov/browse/index/far","FAR 12.403(e) Termination for cause. FAR Part 43 Contract Modifications. FAR 49.4 Termination for default.  FAR 52.212-4(m) Contract Terms and Conditions-Commercial Items [termination for cause]. FAR 52.213-4(g) Terms and Conditions Simplified Acquisition"&amp;"s (Other than commercial items) [termination for cause]. ")</f>
        <v>#VALUE!</v>
      </c>
      <c r="H296" s="54"/>
      <c r="I296" s="34"/>
      <c r="J296" s="37" t="s">
        <v>463</v>
      </c>
      <c r="K296" s="37" t="s">
        <v>6061</v>
      </c>
      <c r="L296" s="25" t="s">
        <v>6062</v>
      </c>
      <c r="M296" s="25" t="s">
        <v>6062</v>
      </c>
      <c r="N296" s="25" t="s">
        <v>6062</v>
      </c>
      <c r="O296" s="64"/>
      <c r="P296" s="45" t="b">
        <f t="shared" si="39"/>
        <v>0</v>
      </c>
      <c r="Q296" s="45">
        <f t="shared" si="40"/>
        <v>0</v>
      </c>
      <c r="R296" s="45">
        <f t="shared" si="41"/>
        <v>0</v>
      </c>
      <c r="S296" s="24"/>
      <c r="T296" s="24"/>
      <c r="U296" s="24"/>
      <c r="V296" s="24"/>
      <c r="W296" s="24"/>
      <c r="X296" s="24"/>
      <c r="Y296" s="24"/>
      <c r="Z296" s="24"/>
      <c r="AA296" s="24"/>
      <c r="AB296" s="24"/>
      <c r="AC296" s="24"/>
    </row>
    <row r="297" spans="1:29" ht="76.099999999999994">
      <c r="A297" s="180" t="s">
        <v>5632</v>
      </c>
      <c r="B297" s="181" t="s">
        <v>5633</v>
      </c>
      <c r="C297" s="181" t="s">
        <v>5634</v>
      </c>
      <c r="D297" s="144" t="s">
        <v>6067</v>
      </c>
      <c r="E297" s="25" t="s">
        <v>6069</v>
      </c>
      <c r="F297" s="25" t="s">
        <v>6071</v>
      </c>
      <c r="G297" s="57" t="str">
        <f>HYPERLINK("https://www.acquisition.gov/content/part-49-termination-contracts#i1068020","FAR 49.402-3 Procedures for default.")</f>
        <v>FAR 49.402-3 Procedures for default.</v>
      </c>
      <c r="H297" s="54"/>
      <c r="I297" s="34"/>
      <c r="J297" s="37" t="s">
        <v>463</v>
      </c>
      <c r="K297" s="37" t="s">
        <v>6078</v>
      </c>
      <c r="L297" s="25" t="s">
        <v>6062</v>
      </c>
      <c r="M297" s="25" t="s">
        <v>6062</v>
      </c>
      <c r="N297" s="25" t="s">
        <v>6062</v>
      </c>
      <c r="O297" s="64"/>
      <c r="P297" s="45" t="b">
        <f t="shared" si="39"/>
        <v>0</v>
      </c>
      <c r="Q297" s="45">
        <f t="shared" si="40"/>
        <v>0</v>
      </c>
      <c r="R297" s="45">
        <f t="shared" si="41"/>
        <v>0</v>
      </c>
      <c r="S297" s="24"/>
      <c r="T297" s="24"/>
      <c r="U297" s="24"/>
      <c r="V297" s="24"/>
      <c r="W297" s="24"/>
      <c r="X297" s="24"/>
      <c r="Y297" s="24"/>
      <c r="Z297" s="24"/>
      <c r="AA297" s="24"/>
      <c r="AB297" s="24"/>
      <c r="AC297" s="24"/>
    </row>
    <row r="298" spans="1:29" ht="65.25">
      <c r="A298" s="180" t="s">
        <v>5632</v>
      </c>
      <c r="B298" s="181" t="s">
        <v>5633</v>
      </c>
      <c r="C298" s="181" t="s">
        <v>5634</v>
      </c>
      <c r="D298" s="144" t="s">
        <v>6079</v>
      </c>
      <c r="E298" s="25" t="s">
        <v>6080</v>
      </c>
      <c r="F298" s="25" t="s">
        <v>4930</v>
      </c>
      <c r="G298" s="57" t="str">
        <f>HYPERLINK("https://www.acquisition.gov/content/part-43-contract-modifications#id1617MA0D0NZ","FAR Part 43 Contract modifications.")</f>
        <v>FAR Part 43 Contract modifications.</v>
      </c>
      <c r="H298" s="57" t="str">
        <f>HYPERLINK("https://www.acquisition.gov/sites/default/files/current/gsam/html/GSAMTOC543.html#wp434199","GSAM 543")</f>
        <v>GSAM 543</v>
      </c>
      <c r="I298" s="34" t="s">
        <v>4347</v>
      </c>
      <c r="J298" s="37" t="s">
        <v>1566</v>
      </c>
      <c r="K298" s="37" t="s">
        <v>6089</v>
      </c>
      <c r="L298" s="25" t="s">
        <v>6062</v>
      </c>
      <c r="M298" s="25" t="s">
        <v>6062</v>
      </c>
      <c r="N298" s="25" t="s">
        <v>6062</v>
      </c>
      <c r="O298" s="64"/>
      <c r="P298" s="45" t="b">
        <f t="shared" si="39"/>
        <v>0</v>
      </c>
      <c r="Q298" s="45">
        <f t="shared" si="40"/>
        <v>3</v>
      </c>
      <c r="R298" s="45">
        <f t="shared" si="41"/>
        <v>0</v>
      </c>
      <c r="S298" s="24"/>
      <c r="T298" s="24"/>
      <c r="U298" s="24"/>
      <c r="V298" s="24"/>
      <c r="W298" s="24"/>
      <c r="X298" s="24"/>
      <c r="Y298" s="24"/>
      <c r="Z298" s="24"/>
      <c r="AA298" s="24"/>
      <c r="AB298" s="24"/>
      <c r="AC298" s="24"/>
    </row>
    <row r="299" spans="1:29" ht="65.25">
      <c r="A299" s="180" t="s">
        <v>5632</v>
      </c>
      <c r="B299" s="181" t="s">
        <v>5633</v>
      </c>
      <c r="C299" s="181" t="s">
        <v>5634</v>
      </c>
      <c r="D299" s="144" t="s">
        <v>6090</v>
      </c>
      <c r="E299" s="25" t="s">
        <v>6091</v>
      </c>
      <c r="F299" s="25" t="s">
        <v>6092</v>
      </c>
      <c r="G299" s="57" t="str">
        <f>HYPERLINK("https://www.acquisition.gov/browse/index/far","FAR 12.403 Termination [commercial items]. FAR Part 49 Termination of contracts. ")</f>
        <v xml:space="preserve">FAR 12.403 Termination [commercial items]. FAR Part 49 Termination of contracts. </v>
      </c>
      <c r="H299" s="57" t="str">
        <f>HYPERLINK("https://www.acquisition.gov/sites/default/files/current/gsam/html/GSAMTOC549.html#wp434199","GSAM 549")</f>
        <v>GSAM 549</v>
      </c>
      <c r="I299" s="34"/>
      <c r="J299" s="37" t="s">
        <v>463</v>
      </c>
      <c r="K299" s="37" t="s">
        <v>6102</v>
      </c>
      <c r="L299" s="25" t="s">
        <v>6062</v>
      </c>
      <c r="M299" s="25" t="s">
        <v>6062</v>
      </c>
      <c r="N299" s="25" t="s">
        <v>6062</v>
      </c>
      <c r="O299" s="64"/>
      <c r="P299" s="45" t="b">
        <f t="shared" si="39"/>
        <v>0</v>
      </c>
      <c r="Q299" s="45">
        <f t="shared" si="40"/>
        <v>0</v>
      </c>
      <c r="R299" s="45">
        <f t="shared" si="41"/>
        <v>0</v>
      </c>
      <c r="S299" s="24"/>
      <c r="T299" s="24"/>
      <c r="U299" s="24"/>
      <c r="V299" s="24"/>
      <c r="W299" s="24"/>
      <c r="X299" s="24"/>
      <c r="Y299" s="24"/>
      <c r="Z299" s="24"/>
      <c r="AA299" s="24"/>
      <c r="AB299" s="24"/>
      <c r="AC299" s="24"/>
    </row>
    <row r="300" spans="1:29" ht="65.25">
      <c r="A300" s="180" t="s">
        <v>5632</v>
      </c>
      <c r="B300" s="181" t="s">
        <v>5633</v>
      </c>
      <c r="C300" s="181" t="s">
        <v>5634</v>
      </c>
      <c r="D300" s="144" t="s">
        <v>6107</v>
      </c>
      <c r="E300" s="25" t="s">
        <v>3065</v>
      </c>
      <c r="F300" s="25" t="s">
        <v>275</v>
      </c>
      <c r="G300" s="57" t="str">
        <f>HYPERLINK("https://www.acquisition.gov/content/part-4-administrative-matters#i1122357","FAR 4.803 Contents of contract files")</f>
        <v>FAR 4.803 Contents of contract files</v>
      </c>
      <c r="H300" s="57" t="str">
        <f>HYPERLINK("https://www.acquisition.gov/sites/default/files/current/gsam/html/Part504.html#wp1863182","GSAR 504.8")</f>
        <v>GSAR 504.8</v>
      </c>
      <c r="I300" s="34" t="s">
        <v>3387</v>
      </c>
      <c r="J300" s="37" t="s">
        <v>1566</v>
      </c>
      <c r="K300" s="37" t="s">
        <v>6116</v>
      </c>
      <c r="L300" s="25" t="s">
        <v>6062</v>
      </c>
      <c r="M300" s="25" t="s">
        <v>6062</v>
      </c>
      <c r="N300" s="25" t="s">
        <v>6062</v>
      </c>
      <c r="O300" s="64"/>
      <c r="P300" s="45" t="b">
        <f t="shared" si="39"/>
        <v>0</v>
      </c>
      <c r="Q300" s="45">
        <f t="shared" si="40"/>
        <v>3</v>
      </c>
      <c r="R300" s="45">
        <f t="shared" si="41"/>
        <v>0</v>
      </c>
      <c r="S300" s="24"/>
      <c r="T300" s="24"/>
      <c r="U300" s="24"/>
      <c r="V300" s="24"/>
      <c r="W300" s="24"/>
      <c r="X300" s="24"/>
      <c r="Y300" s="24"/>
      <c r="Z300" s="24"/>
      <c r="AA300" s="24"/>
      <c r="AB300" s="24"/>
      <c r="AC300" s="24"/>
    </row>
    <row r="301" spans="1:29" ht="108.7">
      <c r="A301" s="180" t="s">
        <v>5632</v>
      </c>
      <c r="B301" s="181" t="s">
        <v>5633</v>
      </c>
      <c r="C301" s="181" t="s">
        <v>5634</v>
      </c>
      <c r="D301" s="144" t="s">
        <v>6121</v>
      </c>
      <c r="E301" s="25" t="s">
        <v>5954</v>
      </c>
      <c r="F301" s="25" t="s">
        <v>3659</v>
      </c>
      <c r="G301" s="57" t="str">
        <f t="shared" ref="G301:G302" si="45">HYPERLINK("https://www.acquisition.gov/content/part-46-quality-assurance","FAR 46.1 General [quality assurance]. FAR 46.407 Nonconforming supplies or services [government contract quality assurance]")</f>
        <v>FAR 46.1 General [quality assurance]. FAR 46.407 Nonconforming supplies or services [government contract quality assurance]</v>
      </c>
      <c r="H301" s="54"/>
      <c r="I301" s="34" t="s">
        <v>3805</v>
      </c>
      <c r="J301" s="37" t="s">
        <v>1566</v>
      </c>
      <c r="K301" s="37" t="s">
        <v>6130</v>
      </c>
      <c r="L301" s="25" t="s">
        <v>6131</v>
      </c>
      <c r="M301" s="25" t="s">
        <v>6132</v>
      </c>
      <c r="N301" s="25" t="s">
        <v>6133</v>
      </c>
      <c r="O301" s="64"/>
      <c r="P301" s="45" t="b">
        <f t="shared" si="39"/>
        <v>0</v>
      </c>
      <c r="Q301" s="45">
        <f t="shared" si="40"/>
        <v>3</v>
      </c>
      <c r="R301" s="45">
        <f t="shared" si="41"/>
        <v>0</v>
      </c>
      <c r="S301" s="24"/>
      <c r="T301" s="24"/>
      <c r="U301" s="24"/>
      <c r="V301" s="24"/>
      <c r="W301" s="24"/>
      <c r="X301" s="24"/>
      <c r="Y301" s="24"/>
      <c r="Z301" s="24"/>
      <c r="AA301" s="24"/>
      <c r="AB301" s="24"/>
      <c r="AC301" s="24"/>
    </row>
    <row r="302" spans="1:29" ht="65.25">
      <c r="A302" s="180" t="s">
        <v>5632</v>
      </c>
      <c r="B302" s="181" t="s">
        <v>5633</v>
      </c>
      <c r="C302" s="181" t="s">
        <v>5634</v>
      </c>
      <c r="D302" s="144" t="s">
        <v>6134</v>
      </c>
      <c r="E302" s="25" t="s">
        <v>5964</v>
      </c>
      <c r="F302" s="25" t="s">
        <v>6135</v>
      </c>
      <c r="G302" s="57" t="str">
        <f t="shared" si="45"/>
        <v>FAR 46.1 General [quality assurance]. FAR 46.407 Nonconforming supplies or services [government contract quality assurance]</v>
      </c>
      <c r="H302" s="54"/>
      <c r="I302" s="34" t="s">
        <v>3805</v>
      </c>
      <c r="J302" s="37" t="s">
        <v>1566</v>
      </c>
      <c r="K302" s="37" t="s">
        <v>6137</v>
      </c>
      <c r="L302" s="25" t="s">
        <v>5971</v>
      </c>
      <c r="M302" s="25" t="s">
        <v>5971</v>
      </c>
      <c r="N302" s="25" t="s">
        <v>5971</v>
      </c>
      <c r="O302" s="64"/>
      <c r="P302" s="45" t="b">
        <f t="shared" si="39"/>
        <v>0</v>
      </c>
      <c r="Q302" s="45">
        <f t="shared" si="40"/>
        <v>3</v>
      </c>
      <c r="R302" s="45">
        <f t="shared" si="41"/>
        <v>0</v>
      </c>
      <c r="S302" s="24"/>
      <c r="T302" s="24"/>
      <c r="U302" s="24"/>
      <c r="V302" s="24"/>
      <c r="W302" s="24"/>
      <c r="X302" s="24"/>
      <c r="Y302" s="24"/>
      <c r="Z302" s="24"/>
      <c r="AA302" s="24"/>
      <c r="AB302" s="24"/>
      <c r="AC302" s="24"/>
    </row>
    <row r="303" spans="1:29" ht="65.25">
      <c r="A303" s="180" t="s">
        <v>5632</v>
      </c>
      <c r="B303" s="181" t="s">
        <v>5633</v>
      </c>
      <c r="C303" s="181" t="s">
        <v>5634</v>
      </c>
      <c r="D303" s="144" t="s">
        <v>6141</v>
      </c>
      <c r="E303" s="25" t="s">
        <v>6142</v>
      </c>
      <c r="F303" s="25" t="s">
        <v>6143</v>
      </c>
      <c r="G303" s="57" t="str">
        <f>HYPERLINK("https://www.acquisition.gov/browse/index/far","FAR 2.101 Warranty [definitions]. FAR 46.7 Warranties. FAR 49.607(a) Cure notice [delinquency notices].")</f>
        <v>FAR 2.101 Warranty [definitions]. FAR 46.7 Warranties. FAR 49.607(a) Cure notice [delinquency notices].</v>
      </c>
      <c r="H303" s="57" t="str">
        <f>HYPERLINK("https://www.acquisition.gov/sites/default/files/current/gsam/html/Part546.html#wp1859106","GSAM 546.7")</f>
        <v>GSAM 546.7</v>
      </c>
      <c r="I303" s="34"/>
      <c r="J303" s="37" t="s">
        <v>463</v>
      </c>
      <c r="K303" s="37" t="s">
        <v>6148</v>
      </c>
      <c r="L303" s="25" t="s">
        <v>5971</v>
      </c>
      <c r="M303" s="25" t="s">
        <v>5971</v>
      </c>
      <c r="N303" s="25" t="s">
        <v>5971</v>
      </c>
      <c r="O303" s="64"/>
      <c r="P303" s="45" t="b">
        <f t="shared" si="39"/>
        <v>0</v>
      </c>
      <c r="Q303" s="45">
        <f t="shared" si="40"/>
        <v>0</v>
      </c>
      <c r="R303" s="45">
        <f t="shared" si="41"/>
        <v>0</v>
      </c>
      <c r="S303" s="24"/>
      <c r="T303" s="24"/>
      <c r="U303" s="24"/>
      <c r="V303" s="24"/>
      <c r="W303" s="24"/>
      <c r="X303" s="24"/>
      <c r="Y303" s="24"/>
      <c r="Z303" s="24"/>
      <c r="AA303" s="24"/>
      <c r="AB303" s="24"/>
      <c r="AC303" s="24"/>
    </row>
    <row r="304" spans="1:29" ht="65.25">
      <c r="A304" s="180" t="s">
        <v>5632</v>
      </c>
      <c r="B304" s="181" t="s">
        <v>5633</v>
      </c>
      <c r="C304" s="181" t="s">
        <v>5634</v>
      </c>
      <c r="D304" s="144" t="s">
        <v>6150</v>
      </c>
      <c r="E304" s="25" t="s">
        <v>5981</v>
      </c>
      <c r="F304" s="25" t="s">
        <v>1317</v>
      </c>
      <c r="G304" s="57" t="e">
        <f>HYPERLINK("https://www.acquisition.gov/browse/index/far","FAR 52.246-2 Inspection of supplies Fixed-Price. FAR 52.246-3 Inspection of supplies Cost-Reimbursement.  FAR 52.246-4 Inspection of services Fixed-Price. FAR 52.246-5 Inspection of services Cost-Reimbursement.  FAR 52.246-6 Inspection-Time-and Material a"&amp;"nd Labor-Hour.  FAR 52.246-7 Inspection of research and development - Fixed-Price. FAR 52.246-8 Inspection of research and development - Cost-Reimbursement. FAR 52.246-9 Inspection of research and development (short form). ")</f>
        <v>#VALUE!</v>
      </c>
      <c r="H304" s="54"/>
      <c r="I304" s="34" t="s">
        <v>3433</v>
      </c>
      <c r="J304" s="37" t="s">
        <v>1566</v>
      </c>
      <c r="K304" s="37" t="s">
        <v>6161</v>
      </c>
      <c r="L304" s="25" t="s">
        <v>5971</v>
      </c>
      <c r="M304" s="25" t="s">
        <v>5971</v>
      </c>
      <c r="N304" s="25" t="s">
        <v>5971</v>
      </c>
      <c r="O304" s="64"/>
      <c r="P304" s="45" t="b">
        <f t="shared" si="39"/>
        <v>0</v>
      </c>
      <c r="Q304" s="45">
        <f t="shared" si="40"/>
        <v>3</v>
      </c>
      <c r="R304" s="45">
        <f t="shared" si="41"/>
        <v>0</v>
      </c>
      <c r="S304" s="24"/>
      <c r="T304" s="24"/>
      <c r="U304" s="24"/>
      <c r="V304" s="24"/>
      <c r="W304" s="24"/>
      <c r="X304" s="24"/>
      <c r="Y304" s="24"/>
      <c r="Z304" s="24"/>
      <c r="AA304" s="24"/>
      <c r="AB304" s="24"/>
      <c r="AC304" s="24"/>
    </row>
    <row r="305" spans="1:29" ht="65.25">
      <c r="A305" s="180" t="s">
        <v>5632</v>
      </c>
      <c r="B305" s="181" t="s">
        <v>5633</v>
      </c>
      <c r="C305" s="181" t="s">
        <v>5634</v>
      </c>
      <c r="D305" s="144" t="s">
        <v>6162</v>
      </c>
      <c r="E305" s="25" t="s">
        <v>5996</v>
      </c>
      <c r="F305" s="25" t="s">
        <v>6163</v>
      </c>
      <c r="G305" s="57" t="str">
        <f>HYPERLINK("https://www.acquisition.gov/content/part-49-termination-contracts","FAR 49.4 Termination for default. FAR 49.607(a) Cure notice [delinquency notice].")</f>
        <v>FAR 49.4 Termination for default. FAR 49.607(a) Cure notice [delinquency notice].</v>
      </c>
      <c r="H305" s="57" t="str">
        <f t="shared" ref="H305:H307" si="46">HYPERLINK("https://www.acquisition.gov/sites/default/files/current/gsam/html/Part549.html#wp1858093","GSAM 549.4")</f>
        <v>GSAM 549.4</v>
      </c>
      <c r="I305" s="34"/>
      <c r="J305" s="37" t="s">
        <v>463</v>
      </c>
      <c r="K305" s="37" t="s">
        <v>6172</v>
      </c>
      <c r="L305" s="25" t="s">
        <v>5971</v>
      </c>
      <c r="M305" s="25" t="s">
        <v>5971</v>
      </c>
      <c r="N305" s="25" t="s">
        <v>5971</v>
      </c>
      <c r="O305" s="64"/>
      <c r="P305" s="45" t="b">
        <f t="shared" si="39"/>
        <v>0</v>
      </c>
      <c r="Q305" s="45">
        <f t="shared" si="40"/>
        <v>0</v>
      </c>
      <c r="R305" s="45">
        <f t="shared" si="41"/>
        <v>0</v>
      </c>
      <c r="S305" s="24"/>
      <c r="T305" s="24"/>
      <c r="U305" s="24"/>
      <c r="V305" s="24"/>
      <c r="W305" s="24"/>
      <c r="X305" s="24"/>
      <c r="Y305" s="24"/>
      <c r="Z305" s="24"/>
      <c r="AA305" s="24"/>
      <c r="AB305" s="24"/>
      <c r="AC305" s="24"/>
    </row>
    <row r="306" spans="1:29" ht="65.25">
      <c r="A306" s="180" t="s">
        <v>5632</v>
      </c>
      <c r="B306" s="181" t="s">
        <v>5633</v>
      </c>
      <c r="C306" s="181" t="s">
        <v>5634</v>
      </c>
      <c r="D306" s="144" t="s">
        <v>6178</v>
      </c>
      <c r="E306" s="25" t="s">
        <v>6181</v>
      </c>
      <c r="F306" s="25" t="s">
        <v>6013</v>
      </c>
      <c r="G306" s="57" t="str">
        <f>HYPERLINK("https://www.acquisition.gov/content/part-49-termination-contracts","FAR 49.607(a) Cure notice [delinquency notices]. FAR 49.402-3 Procedures for default.")</f>
        <v>FAR 49.607(a) Cure notice [delinquency notices]. FAR 49.402-3 Procedures for default.</v>
      </c>
      <c r="H306" s="57" t="str">
        <f t="shared" si="46"/>
        <v>GSAM 549.4</v>
      </c>
      <c r="I306" s="34"/>
      <c r="J306" s="37" t="s">
        <v>463</v>
      </c>
      <c r="K306" s="37" t="s">
        <v>6191</v>
      </c>
      <c r="L306" s="25" t="s">
        <v>5971</v>
      </c>
      <c r="M306" s="25" t="s">
        <v>5971</v>
      </c>
      <c r="N306" s="25" t="s">
        <v>5971</v>
      </c>
      <c r="O306" s="64"/>
      <c r="P306" s="45" t="b">
        <f t="shared" si="39"/>
        <v>0</v>
      </c>
      <c r="Q306" s="45">
        <f t="shared" si="40"/>
        <v>0</v>
      </c>
      <c r="R306" s="45">
        <f t="shared" si="41"/>
        <v>0</v>
      </c>
      <c r="S306" s="24"/>
      <c r="T306" s="24"/>
      <c r="U306" s="24"/>
      <c r="V306" s="24"/>
      <c r="W306" s="24"/>
      <c r="X306" s="24"/>
      <c r="Y306" s="24"/>
      <c r="Z306" s="24"/>
      <c r="AA306" s="24"/>
      <c r="AB306" s="24"/>
      <c r="AC306" s="24"/>
    </row>
    <row r="307" spans="1:29" ht="65.25">
      <c r="A307" s="180" t="s">
        <v>5632</v>
      </c>
      <c r="B307" s="181" t="s">
        <v>5633</v>
      </c>
      <c r="C307" s="181" t="s">
        <v>5634</v>
      </c>
      <c r="D307" s="144" t="s">
        <v>6195</v>
      </c>
      <c r="E307" s="25" t="s">
        <v>6196</v>
      </c>
      <c r="F307" s="25" t="s">
        <v>6025</v>
      </c>
      <c r="G307" s="57" t="str">
        <f>HYPERLINK("https://www.acquisition.gov/content/part-49-termination-contracts#i1068020","FAR 49.402-3 Procedures for default.")</f>
        <v>FAR 49.402-3 Procedures for default.</v>
      </c>
      <c r="H307" s="57" t="str">
        <f t="shared" si="46"/>
        <v>GSAM 549.4</v>
      </c>
      <c r="I307" s="34"/>
      <c r="J307" s="37" t="s">
        <v>463</v>
      </c>
      <c r="K307" s="37" t="s">
        <v>6205</v>
      </c>
      <c r="L307" s="25" t="s">
        <v>6062</v>
      </c>
      <c r="M307" s="25" t="s">
        <v>6062</v>
      </c>
      <c r="N307" s="25" t="s">
        <v>6062</v>
      </c>
      <c r="O307" s="64"/>
      <c r="P307" s="45" t="b">
        <f t="shared" si="39"/>
        <v>0</v>
      </c>
      <c r="Q307" s="45">
        <f t="shared" si="40"/>
        <v>0</v>
      </c>
      <c r="R307" s="45">
        <f t="shared" si="41"/>
        <v>0</v>
      </c>
      <c r="S307" s="24"/>
      <c r="T307" s="24"/>
      <c r="U307" s="24"/>
      <c r="V307" s="24"/>
      <c r="W307" s="24"/>
      <c r="X307" s="24"/>
      <c r="Y307" s="24"/>
      <c r="Z307" s="24"/>
      <c r="AA307" s="24"/>
      <c r="AB307" s="24"/>
      <c r="AC307" s="24"/>
    </row>
    <row r="308" spans="1:29" ht="65.25">
      <c r="A308" s="180" t="s">
        <v>5632</v>
      </c>
      <c r="B308" s="181" t="s">
        <v>5633</v>
      </c>
      <c r="C308" s="181" t="s">
        <v>5634</v>
      </c>
      <c r="D308" s="144" t="s">
        <v>6210</v>
      </c>
      <c r="E308" s="25" t="s">
        <v>6211</v>
      </c>
      <c r="F308" s="25" t="s">
        <v>6044</v>
      </c>
      <c r="G308" s="57" t="str">
        <f>HYPERLINK("https://www.acquisition.gov/browse/index/far","FAR Part 43 Contract modifications. FAR 49.4 Termination for default")</f>
        <v>FAR Part 43 Contract modifications. FAR 49.4 Termination for default</v>
      </c>
      <c r="H308" s="57" t="str">
        <f>HYPERLINK("https://www.acquisition.gov/sites/default/files/current/gsam/html/GSAMTOC.html","GSAM 543; 549.4")</f>
        <v>GSAM 543; 549.4</v>
      </c>
      <c r="I308" s="34"/>
      <c r="J308" s="37" t="s">
        <v>463</v>
      </c>
      <c r="K308" s="37" t="s">
        <v>6220</v>
      </c>
      <c r="L308" s="25" t="s">
        <v>6062</v>
      </c>
      <c r="M308" s="25" t="s">
        <v>6062</v>
      </c>
      <c r="N308" s="25" t="s">
        <v>6062</v>
      </c>
      <c r="O308" s="64"/>
      <c r="P308" s="45" t="b">
        <f t="shared" si="39"/>
        <v>0</v>
      </c>
      <c r="Q308" s="45">
        <f t="shared" si="40"/>
        <v>0</v>
      </c>
      <c r="R308" s="45">
        <f t="shared" si="41"/>
        <v>0</v>
      </c>
      <c r="S308" s="24"/>
      <c r="T308" s="24"/>
      <c r="U308" s="24"/>
      <c r="V308" s="24"/>
      <c r="W308" s="24"/>
      <c r="X308" s="24"/>
      <c r="Y308" s="24"/>
      <c r="Z308" s="24"/>
      <c r="AA308" s="24"/>
      <c r="AB308" s="24"/>
      <c r="AC308" s="24"/>
    </row>
    <row r="309" spans="1:29" ht="76.099999999999994">
      <c r="A309" s="180" t="s">
        <v>5632</v>
      </c>
      <c r="B309" s="181" t="s">
        <v>5633</v>
      </c>
      <c r="C309" s="181" t="s">
        <v>5634</v>
      </c>
      <c r="D309" s="144" t="s">
        <v>6225</v>
      </c>
      <c r="E309" s="25" t="s">
        <v>6069</v>
      </c>
      <c r="F309" s="25" t="s">
        <v>6071</v>
      </c>
      <c r="G309" s="57" t="str">
        <f>HYPERLINK("https://www.acquisition.gov/content/part-49-termination-contracts#i1068020","FAR 49.402-3 Procedures for default.")</f>
        <v>FAR 49.402-3 Procedures for default.</v>
      </c>
      <c r="H309" s="57" t="str">
        <f>HYPERLINK("https://www.acquisition.gov/sites/default/files/current/gsam/html/Part549.html#wp1858093","GSAM 549.4")</f>
        <v>GSAM 549.4</v>
      </c>
      <c r="I309" s="34"/>
      <c r="J309" s="37" t="s">
        <v>463</v>
      </c>
      <c r="K309" s="37" t="s">
        <v>6235</v>
      </c>
      <c r="L309" s="25" t="s">
        <v>6062</v>
      </c>
      <c r="M309" s="25" t="s">
        <v>6062</v>
      </c>
      <c r="N309" s="25" t="s">
        <v>6062</v>
      </c>
      <c r="O309" s="64"/>
      <c r="P309" s="45" t="b">
        <f t="shared" si="39"/>
        <v>0</v>
      </c>
      <c r="Q309" s="45">
        <f t="shared" si="40"/>
        <v>0</v>
      </c>
      <c r="R309" s="45">
        <f t="shared" si="41"/>
        <v>0</v>
      </c>
      <c r="S309" s="24"/>
      <c r="T309" s="24"/>
      <c r="U309" s="24"/>
      <c r="V309" s="24"/>
      <c r="W309" s="24"/>
      <c r="X309" s="24"/>
      <c r="Y309" s="24"/>
      <c r="Z309" s="24"/>
      <c r="AA309" s="24"/>
      <c r="AB309" s="24"/>
      <c r="AC309" s="24"/>
    </row>
    <row r="310" spans="1:29" ht="65.25">
      <c r="A310" s="180" t="s">
        <v>5632</v>
      </c>
      <c r="B310" s="181" t="s">
        <v>5633</v>
      </c>
      <c r="C310" s="181" t="s">
        <v>5634</v>
      </c>
      <c r="D310" s="144" t="s">
        <v>6242</v>
      </c>
      <c r="E310" s="25" t="s">
        <v>6080</v>
      </c>
      <c r="F310" s="25" t="s">
        <v>4930</v>
      </c>
      <c r="G310" s="57" t="str">
        <f>HYPERLINK("https://www.acquisition.gov/content/part-43-contract-modifications#id1617MA0D0NZ","FAR Part 43 Contract modifications.")</f>
        <v>FAR Part 43 Contract modifications.</v>
      </c>
      <c r="H310" s="57" t="str">
        <f>HYPERLINK("https://www.acquisition.gov/sites/default/files/current/gsam/html/GSAMTOC543.html#wp434199","GSAM 543")</f>
        <v>GSAM 543</v>
      </c>
      <c r="I310" s="34" t="s">
        <v>4347</v>
      </c>
      <c r="J310" s="37" t="s">
        <v>1566</v>
      </c>
      <c r="K310" s="37" t="s">
        <v>6255</v>
      </c>
      <c r="L310" s="25" t="s">
        <v>6062</v>
      </c>
      <c r="M310" s="25" t="s">
        <v>6062</v>
      </c>
      <c r="N310" s="25" t="s">
        <v>6062</v>
      </c>
      <c r="O310" s="64"/>
      <c r="P310" s="45" t="b">
        <f t="shared" si="39"/>
        <v>0</v>
      </c>
      <c r="Q310" s="45">
        <f t="shared" si="40"/>
        <v>3</v>
      </c>
      <c r="R310" s="45">
        <f t="shared" si="41"/>
        <v>0</v>
      </c>
      <c r="S310" s="24"/>
      <c r="T310" s="24"/>
      <c r="U310" s="24"/>
      <c r="V310" s="24"/>
      <c r="W310" s="24"/>
      <c r="X310" s="24"/>
      <c r="Y310" s="24"/>
      <c r="Z310" s="24"/>
      <c r="AA310" s="24"/>
      <c r="AB310" s="24"/>
      <c r="AC310" s="24"/>
    </row>
    <row r="311" spans="1:29" ht="65.25">
      <c r="A311" s="180" t="s">
        <v>5632</v>
      </c>
      <c r="B311" s="181" t="s">
        <v>5633</v>
      </c>
      <c r="C311" s="181" t="s">
        <v>5634</v>
      </c>
      <c r="D311" s="144" t="s">
        <v>6264</v>
      </c>
      <c r="E311" s="25" t="s">
        <v>6091</v>
      </c>
      <c r="F311" s="25" t="s">
        <v>6092</v>
      </c>
      <c r="G311" s="57" t="str">
        <f>HYPERLINK("https://www.acquisition.gov/browse/index/far","FAR 12.403 Termination [commercial items]. FAR Part 49 Termination of contracts. ")</f>
        <v xml:space="preserve">FAR 12.403 Termination [commercial items]. FAR Part 49 Termination of contracts. </v>
      </c>
      <c r="H311" s="57" t="str">
        <f>HYPERLINK("https://www.acquisition.gov/sites/default/files/current/gsam/html/GSAMTOC549.html#wp434199","GSAM 549")</f>
        <v>GSAM 549</v>
      </c>
      <c r="I311" s="34"/>
      <c r="J311" s="37" t="s">
        <v>463</v>
      </c>
      <c r="K311" s="37" t="s">
        <v>6275</v>
      </c>
      <c r="L311" s="25" t="s">
        <v>6062</v>
      </c>
      <c r="M311" s="25" t="s">
        <v>6062</v>
      </c>
      <c r="N311" s="25" t="s">
        <v>6062</v>
      </c>
      <c r="O311" s="64"/>
      <c r="P311" s="45" t="b">
        <f t="shared" si="39"/>
        <v>0</v>
      </c>
      <c r="Q311" s="45">
        <f t="shared" si="40"/>
        <v>0</v>
      </c>
      <c r="R311" s="45">
        <f t="shared" si="41"/>
        <v>0</v>
      </c>
      <c r="S311" s="24"/>
      <c r="T311" s="24"/>
      <c r="U311" s="24"/>
      <c r="V311" s="24"/>
      <c r="W311" s="24"/>
      <c r="X311" s="24"/>
      <c r="Y311" s="24"/>
      <c r="Z311" s="24"/>
      <c r="AA311" s="24"/>
      <c r="AB311" s="24"/>
      <c r="AC311" s="24"/>
    </row>
    <row r="312" spans="1:29" ht="65.25">
      <c r="A312" s="180" t="s">
        <v>5632</v>
      </c>
      <c r="B312" s="181" t="s">
        <v>5633</v>
      </c>
      <c r="C312" s="181" t="s">
        <v>5634</v>
      </c>
      <c r="D312" s="144" t="s">
        <v>6280</v>
      </c>
      <c r="E312" s="25" t="s">
        <v>3065</v>
      </c>
      <c r="F312" s="25" t="s">
        <v>275</v>
      </c>
      <c r="G312" s="57" t="str">
        <f>HYPERLINK("https://www.acquisition.gov/content/part-4-administrative-matters#i1122357","FAR 4.803 Contents of contract files")</f>
        <v>FAR 4.803 Contents of contract files</v>
      </c>
      <c r="H312" s="57" t="str">
        <f>HYPERLINK("https://www.acquisition.gov/sites/default/files/current/gsam/html/Part504.html#wp1863182","GSAR 504.8")</f>
        <v>GSAR 504.8</v>
      </c>
      <c r="I312" s="34" t="s">
        <v>3387</v>
      </c>
      <c r="J312" s="37" t="s">
        <v>1566</v>
      </c>
      <c r="K312" s="37" t="s">
        <v>6302</v>
      </c>
      <c r="L312" s="25" t="s">
        <v>6062</v>
      </c>
      <c r="M312" s="25" t="s">
        <v>6062</v>
      </c>
      <c r="N312" s="25" t="s">
        <v>6062</v>
      </c>
      <c r="O312" s="64"/>
      <c r="P312" s="45" t="b">
        <f t="shared" si="39"/>
        <v>0</v>
      </c>
      <c r="Q312" s="45">
        <f t="shared" si="40"/>
        <v>3</v>
      </c>
      <c r="R312" s="45">
        <f t="shared" si="41"/>
        <v>0</v>
      </c>
      <c r="S312" s="24"/>
      <c r="T312" s="24"/>
      <c r="U312" s="24"/>
      <c r="V312" s="24"/>
      <c r="W312" s="24"/>
      <c r="X312" s="24"/>
      <c r="Y312" s="24"/>
      <c r="Z312" s="24"/>
      <c r="AA312" s="24"/>
      <c r="AB312" s="24"/>
      <c r="AC312" s="24"/>
    </row>
    <row r="313" spans="1:29" ht="97.85">
      <c r="A313" s="180" t="s">
        <v>5632</v>
      </c>
      <c r="B313" s="181" t="s">
        <v>5633</v>
      </c>
      <c r="C313" s="181" t="s">
        <v>5634</v>
      </c>
      <c r="D313" s="144" t="s">
        <v>6310</v>
      </c>
      <c r="E313" s="25" t="s">
        <v>6311</v>
      </c>
      <c r="F313" s="25" t="s">
        <v>6312</v>
      </c>
      <c r="G313" s="57" t="e">
        <f>HYPERLINK("https://www.acquisition.gov/browse/index/far","FAR 11.5 Liquidated damages [describing agency needs]. FAR 52.211-11 Liquidated Damages – Supplies, Services, or Research and Development. FAR 52.219-16 Liquidated Damages – Subcontracting Plan. FAR 52.222-4 Contract Work Hours and Safety Standards Act – "&amp;"Overtime Compensation. ")</f>
        <v>#VALUE!</v>
      </c>
      <c r="H313" s="54"/>
      <c r="I313" s="34"/>
      <c r="J313" s="37" t="s">
        <v>463</v>
      </c>
      <c r="K313" s="37" t="s">
        <v>6332</v>
      </c>
      <c r="L313" s="25" t="s">
        <v>6333</v>
      </c>
      <c r="M313" s="25" t="s">
        <v>6334</v>
      </c>
      <c r="N313" s="25" t="s">
        <v>6335</v>
      </c>
      <c r="O313" s="64"/>
      <c r="P313" s="45" t="b">
        <f t="shared" si="39"/>
        <v>0</v>
      </c>
      <c r="Q313" s="45">
        <f t="shared" si="40"/>
        <v>0</v>
      </c>
      <c r="R313" s="45">
        <f t="shared" si="41"/>
        <v>0</v>
      </c>
      <c r="S313" s="24"/>
      <c r="T313" s="24"/>
      <c r="U313" s="24"/>
      <c r="V313" s="24"/>
      <c r="W313" s="24"/>
      <c r="X313" s="24"/>
      <c r="Y313" s="24"/>
      <c r="Z313" s="24"/>
      <c r="AA313" s="24"/>
      <c r="AB313" s="24"/>
      <c r="AC313" s="24"/>
    </row>
    <row r="314" spans="1:29" ht="97.85">
      <c r="A314" s="180" t="s">
        <v>5632</v>
      </c>
      <c r="B314" s="181" t="s">
        <v>5633</v>
      </c>
      <c r="C314" s="181" t="s">
        <v>5634</v>
      </c>
      <c r="D314" s="144" t="s">
        <v>6340</v>
      </c>
      <c r="E314" s="25" t="s">
        <v>6341</v>
      </c>
      <c r="F314" s="25" t="s">
        <v>6343</v>
      </c>
      <c r="G314" s="57" t="str">
        <f>HYPERLINK("https://www.acquisition.gov/browse/index/far","FAR 52.211-11 Liquidated Damages – Supplies, Services, or Research and Development. FAR 52.219-16 Liquidated Damages – Subcontracting Plan. FAR 52.222-4 Contract Work Hours and Safety Standards Act – Overtime Compensation. ")</f>
        <v xml:space="preserve">FAR 52.211-11 Liquidated Damages – Supplies, Services, or Research and Development. FAR 52.219-16 Liquidated Damages – Subcontracting Plan. FAR 52.222-4 Contract Work Hours and Safety Standards Act – Overtime Compensation. </v>
      </c>
      <c r="H314" s="54"/>
      <c r="I314" s="34"/>
      <c r="J314" s="37" t="s">
        <v>463</v>
      </c>
      <c r="K314" s="37" t="s">
        <v>6351</v>
      </c>
      <c r="L314" s="25" t="s">
        <v>6353</v>
      </c>
      <c r="M314" s="25" t="s">
        <v>6356</v>
      </c>
      <c r="N314" s="25" t="s">
        <v>6357</v>
      </c>
      <c r="O314" s="64"/>
      <c r="P314" s="45" t="b">
        <f t="shared" si="39"/>
        <v>0</v>
      </c>
      <c r="Q314" s="45">
        <f t="shared" si="40"/>
        <v>0</v>
      </c>
      <c r="R314" s="45">
        <f t="shared" si="41"/>
        <v>0</v>
      </c>
      <c r="S314" s="24"/>
      <c r="T314" s="24"/>
      <c r="U314" s="24"/>
      <c r="V314" s="24"/>
      <c r="W314" s="24"/>
      <c r="X314" s="24"/>
      <c r="Y314" s="24"/>
      <c r="Z314" s="24"/>
      <c r="AA314" s="24"/>
      <c r="AB314" s="24"/>
      <c r="AC314" s="24"/>
    </row>
    <row r="315" spans="1:29" ht="65.25">
      <c r="A315" s="180" t="s">
        <v>5632</v>
      </c>
      <c r="B315" s="181" t="s">
        <v>5633</v>
      </c>
      <c r="C315" s="181" t="s">
        <v>5634</v>
      </c>
      <c r="D315" s="144" t="s">
        <v>6362</v>
      </c>
      <c r="E315" s="25" t="s">
        <v>6363</v>
      </c>
      <c r="F315" s="25" t="s">
        <v>6364</v>
      </c>
      <c r="G315" s="57" t="e">
        <f>HYPERLINK("https://www.acquisition.gov/browse/index/far","FAR 11.5 Liquidated damages [describing agency needs]. FAR 52.211-11 Liquidated Damages – Supplies, Services, or Research and Development. FAR 52.219-16 Liquidated Damages – Subcontracting Plan. FAR 52.222-4 Contract Work Hours and Safety Standards Act – "&amp;"Overtime Compensation.")</f>
        <v>#VALUE!</v>
      </c>
      <c r="H315" s="54"/>
      <c r="I315" s="34"/>
      <c r="J315" s="37" t="s">
        <v>463</v>
      </c>
      <c r="K315" s="37" t="s">
        <v>6377</v>
      </c>
      <c r="L315" s="25" t="s">
        <v>6378</v>
      </c>
      <c r="M315" s="25" t="s">
        <v>6379</v>
      </c>
      <c r="N315" s="25" t="s">
        <v>6380</v>
      </c>
      <c r="O315" s="64"/>
      <c r="P315" s="45" t="b">
        <f t="shared" si="39"/>
        <v>0</v>
      </c>
      <c r="Q315" s="45">
        <f t="shared" si="40"/>
        <v>0</v>
      </c>
      <c r="R315" s="45">
        <f t="shared" si="41"/>
        <v>0</v>
      </c>
      <c r="S315" s="24"/>
      <c r="T315" s="24"/>
      <c r="U315" s="24"/>
      <c r="V315" s="24"/>
      <c r="W315" s="24"/>
      <c r="X315" s="24"/>
      <c r="Y315" s="24"/>
      <c r="Z315" s="24"/>
      <c r="AA315" s="24"/>
      <c r="AB315" s="24"/>
      <c r="AC315" s="24"/>
    </row>
    <row r="316" spans="1:29" ht="65.25">
      <c r="A316" s="180" t="s">
        <v>5632</v>
      </c>
      <c r="B316" s="181" t="s">
        <v>5633</v>
      </c>
      <c r="C316" s="181" t="s">
        <v>5634</v>
      </c>
      <c r="D316" s="144" t="s">
        <v>6389</v>
      </c>
      <c r="E316" s="25" t="s">
        <v>6390</v>
      </c>
      <c r="F316" s="25" t="s">
        <v>3617</v>
      </c>
      <c r="G316" s="57" t="str">
        <f t="shared" ref="G316:G317" si="47">HYPERLINK("https://www.acquisition.gov/browse/index/far","FAR 11.5 Liquidated damages [describing agency needs]. FAR 49.402-7 Other damages [termination of fixed-price contracts for default].")</f>
        <v>FAR 11.5 Liquidated damages [describing agency needs]. FAR 49.402-7 Other damages [termination of fixed-price contracts for default].</v>
      </c>
      <c r="H316" s="57" t="str">
        <f t="shared" ref="H316:H317" si="48">HYPERLINK("https://www.acquisition.gov/sites/default/files/current/gsam/html/Part549.html#wp1858098","GSAM 549.402-7")</f>
        <v>GSAM 549.402-7</v>
      </c>
      <c r="I316" s="34"/>
      <c r="J316" s="37" t="s">
        <v>463</v>
      </c>
      <c r="K316" s="37" t="s">
        <v>6403</v>
      </c>
      <c r="L316" s="25" t="s">
        <v>6378</v>
      </c>
      <c r="M316" s="25" t="s">
        <v>6404</v>
      </c>
      <c r="N316" s="25" t="s">
        <v>6380</v>
      </c>
      <c r="O316" s="64"/>
      <c r="P316" s="45" t="b">
        <f t="shared" si="39"/>
        <v>0</v>
      </c>
      <c r="Q316" s="45">
        <f t="shared" si="40"/>
        <v>0</v>
      </c>
      <c r="R316" s="45">
        <f t="shared" si="41"/>
        <v>0</v>
      </c>
      <c r="S316" s="24"/>
      <c r="T316" s="24"/>
      <c r="U316" s="24"/>
      <c r="V316" s="24"/>
      <c r="W316" s="24"/>
      <c r="X316" s="24"/>
      <c r="Y316" s="24"/>
      <c r="Z316" s="24"/>
      <c r="AA316" s="24"/>
      <c r="AB316" s="24"/>
      <c r="AC316" s="24"/>
    </row>
    <row r="317" spans="1:29" ht="65.25">
      <c r="A317" s="180" t="s">
        <v>5632</v>
      </c>
      <c r="B317" s="181" t="s">
        <v>5633</v>
      </c>
      <c r="C317" s="181" t="s">
        <v>5634</v>
      </c>
      <c r="D317" s="144" t="s">
        <v>6411</v>
      </c>
      <c r="E317" s="25" t="s">
        <v>6413</v>
      </c>
      <c r="F317" s="25" t="s">
        <v>6415</v>
      </c>
      <c r="G317" s="57" t="str">
        <f t="shared" si="47"/>
        <v>FAR 11.5 Liquidated damages [describing agency needs]. FAR 49.402-7 Other damages [termination of fixed-price contracts for default].</v>
      </c>
      <c r="H317" s="57" t="str">
        <f t="shared" si="48"/>
        <v>GSAM 549.402-7</v>
      </c>
      <c r="I317" s="34"/>
      <c r="J317" s="37" t="s">
        <v>463</v>
      </c>
      <c r="K317" s="37" t="s">
        <v>6420</v>
      </c>
      <c r="L317" s="25" t="s">
        <v>6378</v>
      </c>
      <c r="M317" s="25" t="s">
        <v>6421</v>
      </c>
      <c r="N317" s="25" t="s">
        <v>6380</v>
      </c>
      <c r="O317" s="64"/>
      <c r="P317" s="45" t="b">
        <f t="shared" si="39"/>
        <v>0</v>
      </c>
      <c r="Q317" s="45">
        <f t="shared" si="40"/>
        <v>0</v>
      </c>
      <c r="R317" s="45">
        <f t="shared" si="41"/>
        <v>0</v>
      </c>
      <c r="S317" s="24"/>
      <c r="T317" s="24"/>
      <c r="U317" s="24"/>
      <c r="V317" s="24"/>
      <c r="W317" s="24"/>
      <c r="X317" s="24"/>
      <c r="Y317" s="24"/>
      <c r="Z317" s="24"/>
      <c r="AA317" s="24"/>
      <c r="AB317" s="24"/>
      <c r="AC317" s="24"/>
    </row>
    <row r="318" spans="1:29" ht="97.85">
      <c r="A318" s="180" t="s">
        <v>5632</v>
      </c>
      <c r="B318" s="181" t="s">
        <v>5633</v>
      </c>
      <c r="C318" s="181" t="s">
        <v>5634</v>
      </c>
      <c r="D318" s="144" t="s">
        <v>6430</v>
      </c>
      <c r="E318" s="25" t="s">
        <v>6431</v>
      </c>
      <c r="F318" s="25" t="s">
        <v>6432</v>
      </c>
      <c r="G318" s="57" t="str">
        <f>HYPERLINK("https://www.acquisition.gov/browse/index/far","FAR 52.211-11 Liquidated Damages – Supplies, Services, or Research and Development. FAR 52.219-16 Liquidated Damages – Subcontracting Plan. FAR 52.222-4 Contract Work Hours and Safety Standards Act – Overtime.")</f>
        <v>FAR 52.211-11 Liquidated Damages – Supplies, Services, or Research and Development. FAR 52.219-16 Liquidated Damages – Subcontracting Plan. FAR 52.222-4 Contract Work Hours and Safety Standards Act – Overtime.</v>
      </c>
      <c r="H318" s="54"/>
      <c r="I318" s="34"/>
      <c r="J318" s="37" t="s">
        <v>463</v>
      </c>
      <c r="K318" s="37" t="s">
        <v>6438</v>
      </c>
      <c r="L318" s="25" t="s">
        <v>6378</v>
      </c>
      <c r="M318" s="25" t="s">
        <v>6421</v>
      </c>
      <c r="N318" s="25" t="s">
        <v>6380</v>
      </c>
      <c r="O318" s="64"/>
      <c r="P318" s="45" t="b">
        <f t="shared" si="39"/>
        <v>0</v>
      </c>
      <c r="Q318" s="45">
        <f t="shared" si="40"/>
        <v>0</v>
      </c>
      <c r="R318" s="45">
        <f t="shared" si="41"/>
        <v>0</v>
      </c>
      <c r="S318" s="24"/>
      <c r="T318" s="24"/>
      <c r="U318" s="24"/>
      <c r="V318" s="24"/>
      <c r="W318" s="24"/>
      <c r="X318" s="24"/>
      <c r="Y318" s="24"/>
      <c r="Z318" s="24"/>
      <c r="AA318" s="24"/>
      <c r="AB318" s="24"/>
      <c r="AC318" s="24"/>
    </row>
    <row r="319" spans="1:29" ht="65.25">
      <c r="A319" s="180" t="s">
        <v>5632</v>
      </c>
      <c r="B319" s="181" t="s">
        <v>5633</v>
      </c>
      <c r="C319" s="181" t="s">
        <v>5634</v>
      </c>
      <c r="D319" s="144" t="s">
        <v>6446</v>
      </c>
      <c r="E319" s="25" t="s">
        <v>6447</v>
      </c>
      <c r="F319" s="25" t="s">
        <v>6448</v>
      </c>
      <c r="G319" s="57" t="str">
        <f>HYPERLINK("https://www.acquisition.gov/browse/index/far","FAR 49.402-7 Other damages [termination of fixed-price contracts for default]. FAR 32.6 Contract debts")</f>
        <v>FAR 49.402-7 Other damages [termination of fixed-price contracts for default]. FAR 32.6 Contract debts</v>
      </c>
      <c r="H319" s="57" t="str">
        <f>HYPERLINK("https://www.acquisition.gov/sites/default/files/current/gsam/html/GSAMTOC.html","GSAM 549.402-7; 532.6")</f>
        <v>GSAM 549.402-7; 532.6</v>
      </c>
      <c r="I319" s="34"/>
      <c r="J319" s="37" t="s">
        <v>463</v>
      </c>
      <c r="K319" s="37" t="s">
        <v>6455</v>
      </c>
      <c r="L319" s="25" t="s">
        <v>6456</v>
      </c>
      <c r="M319" s="25" t="s">
        <v>6457</v>
      </c>
      <c r="N319" s="25" t="s">
        <v>6460</v>
      </c>
      <c r="O319" s="64"/>
      <c r="P319" s="45" t="b">
        <f t="shared" si="39"/>
        <v>0</v>
      </c>
      <c r="Q319" s="45">
        <f t="shared" si="40"/>
        <v>0</v>
      </c>
      <c r="R319" s="45">
        <f t="shared" si="41"/>
        <v>0</v>
      </c>
      <c r="S319" s="24"/>
      <c r="T319" s="24"/>
      <c r="U319" s="24"/>
      <c r="V319" s="24"/>
      <c r="W319" s="24"/>
      <c r="X319" s="24"/>
      <c r="Y319" s="24"/>
      <c r="Z319" s="24"/>
      <c r="AA319" s="24"/>
      <c r="AB319" s="24"/>
      <c r="AC319" s="24"/>
    </row>
    <row r="320" spans="1:29" ht="97.85">
      <c r="A320" s="180" t="s">
        <v>5632</v>
      </c>
      <c r="B320" s="181" t="s">
        <v>5633</v>
      </c>
      <c r="C320" s="181" t="s">
        <v>5634</v>
      </c>
      <c r="D320" s="144" t="s">
        <v>6465</v>
      </c>
      <c r="E320" s="25" t="s">
        <v>6466</v>
      </c>
      <c r="F320" s="25" t="s">
        <v>6467</v>
      </c>
      <c r="G320" s="57" t="e">
        <f t="shared" ref="G320:G321" si="49">HYPERLINK("https://www.acquisition.gov/browse/index/far","FAR 52.246-2 Inspection of supplies Fixed-Price. FAR 52.246-3 Inspection of supplies Cost-Reimbursement. FAR 52.246-4 Inspection of services Fixed-Price. FAR 52.246-5 Inspection of services Cost-Reimbursement.  FAR 52.246-6 Inspection -Time-and Material a"&amp;"nd Labor-Hour.  FAR 52.246-7 Inspection of research and development - Fixed-Price. FAR 52.246-8 Inspection of research and development - Cost-Reimbursement. FAR 52.246-9 Inspection of research and development (short form).")</f>
        <v>#VALUE!</v>
      </c>
      <c r="H320" s="54"/>
      <c r="I320" s="34" t="s">
        <v>3805</v>
      </c>
      <c r="J320" s="37" t="s">
        <v>1566</v>
      </c>
      <c r="K320" s="37" t="s">
        <v>6480</v>
      </c>
      <c r="L320" s="25" t="s">
        <v>6481</v>
      </c>
      <c r="M320" s="25" t="s">
        <v>6482</v>
      </c>
      <c r="N320" s="25" t="s">
        <v>6483</v>
      </c>
      <c r="O320" s="64"/>
      <c r="P320" s="45" t="b">
        <f t="shared" si="39"/>
        <v>0</v>
      </c>
      <c r="Q320" s="45">
        <f t="shared" si="40"/>
        <v>3</v>
      </c>
      <c r="R320" s="45">
        <f t="shared" si="41"/>
        <v>0</v>
      </c>
      <c r="S320" s="24"/>
      <c r="T320" s="24"/>
      <c r="U320" s="24"/>
      <c r="V320" s="24"/>
      <c r="W320" s="24"/>
      <c r="X320" s="24"/>
      <c r="Y320" s="24"/>
      <c r="Z320" s="24"/>
      <c r="AA320" s="24"/>
      <c r="AB320" s="24"/>
      <c r="AC320" s="24"/>
    </row>
    <row r="321" spans="1:29" ht="108.7">
      <c r="A321" s="180" t="s">
        <v>5632</v>
      </c>
      <c r="B321" s="181" t="s">
        <v>5633</v>
      </c>
      <c r="C321" s="181" t="s">
        <v>5634</v>
      </c>
      <c r="D321" s="144" t="s">
        <v>6488</v>
      </c>
      <c r="E321" s="25" t="s">
        <v>6489</v>
      </c>
      <c r="F321" s="25" t="s">
        <v>6490</v>
      </c>
      <c r="G321" s="57" t="e">
        <f t="shared" si="49"/>
        <v>#VALUE!</v>
      </c>
      <c r="H321" s="54"/>
      <c r="I321" s="34"/>
      <c r="J321" s="37" t="s">
        <v>463</v>
      </c>
      <c r="K321" s="37" t="s">
        <v>6495</v>
      </c>
      <c r="L321" s="25" t="s">
        <v>6496</v>
      </c>
      <c r="M321" s="25" t="s">
        <v>6497</v>
      </c>
      <c r="N321" s="25" t="s">
        <v>6483</v>
      </c>
      <c r="O321" s="64"/>
      <c r="P321" s="45" t="b">
        <f t="shared" si="39"/>
        <v>0</v>
      </c>
      <c r="Q321" s="45">
        <f t="shared" si="40"/>
        <v>0</v>
      </c>
      <c r="R321" s="45">
        <f t="shared" si="41"/>
        <v>0</v>
      </c>
      <c r="S321" s="24"/>
      <c r="T321" s="24"/>
      <c r="U321" s="24"/>
      <c r="V321" s="24"/>
      <c r="W321" s="24"/>
      <c r="X321" s="24"/>
      <c r="Y321" s="24"/>
      <c r="Z321" s="24"/>
      <c r="AA321" s="24"/>
      <c r="AB321" s="24"/>
      <c r="AC321" s="24"/>
    </row>
    <row r="322" spans="1:29" ht="86.95">
      <c r="A322" s="180" t="s">
        <v>5632</v>
      </c>
      <c r="B322" s="181" t="s">
        <v>5633</v>
      </c>
      <c r="C322" s="181" t="s">
        <v>5634</v>
      </c>
      <c r="D322" s="144" t="s">
        <v>6498</v>
      </c>
      <c r="E322" s="25" t="s">
        <v>6499</v>
      </c>
      <c r="F322" s="25" t="s">
        <v>6500</v>
      </c>
      <c r="G322" s="57" t="e">
        <f>HYPERLINK("https://www.acquisition.gov/sites/default/files/current/far/html/FARMTOC.html","FAR 52.246-2 Inspection of supplies Fixed-Price. FAR 52.246-3 Inspection of supplies Cost-Reimbursement. FAR 52.246-4 Inspection of services Fixed-Price. FAR 52.246-5 Inspection of services Cost-Reimbursement.  FAR 52.246-6 Inspection -Time-and Material a"&amp;"nd Labor-Hour.  FAR 52.246-7 Inspection of research and development - Fixed-Price. FAR 52.246-8 Inspection of research and development - Cost-Reimbursement. FAR 52.246-9 Inspection of research and development (short form).")</f>
        <v>#VALUE!</v>
      </c>
      <c r="H322" s="54"/>
      <c r="I322" s="34"/>
      <c r="J322" s="37" t="s">
        <v>463</v>
      </c>
      <c r="K322" s="37" t="s">
        <v>6504</v>
      </c>
      <c r="L322" s="25" t="s">
        <v>6496</v>
      </c>
      <c r="M322" s="25" t="s">
        <v>6505</v>
      </c>
      <c r="N322" s="25" t="s">
        <v>6506</v>
      </c>
      <c r="O322" s="64"/>
      <c r="P322" s="45" t="b">
        <f t="shared" si="39"/>
        <v>0</v>
      </c>
      <c r="Q322" s="45">
        <f t="shared" si="40"/>
        <v>0</v>
      </c>
      <c r="R322" s="45">
        <f t="shared" si="41"/>
        <v>0</v>
      </c>
      <c r="S322" s="24"/>
      <c r="T322" s="24"/>
      <c r="U322" s="24"/>
      <c r="V322" s="24"/>
      <c r="W322" s="24"/>
      <c r="X322" s="24"/>
      <c r="Y322" s="24"/>
      <c r="Z322" s="24"/>
      <c r="AA322" s="24"/>
      <c r="AB322" s="24"/>
      <c r="AC322" s="24"/>
    </row>
    <row r="323" spans="1:29" ht="86.95">
      <c r="A323" s="180" t="s">
        <v>5632</v>
      </c>
      <c r="B323" s="181" t="s">
        <v>5633</v>
      </c>
      <c r="C323" s="181" t="s">
        <v>5634</v>
      </c>
      <c r="D323" s="144" t="s">
        <v>6508</v>
      </c>
      <c r="E323" s="25" t="s">
        <v>6509</v>
      </c>
      <c r="F323" s="25" t="s">
        <v>6510</v>
      </c>
      <c r="G323" s="57" t="e">
        <f>HYPERLINK("https://www.acquisition.gov/browse/index/far","FAR 49.4 Termination for default. FAR 52.246-2 Inspection of supplies Fixed-Price. FAR 52.246-3 Inspection of supplies Cost-Reimbursement.  FAR 52.246-4 Inspection of services Fixed-Price. FAR 52.246-5 Inspection of services Cost-Reimbursement.  FAR 52.24"&amp;"6-6 Inspection - Time- and Material and Labor-Hour.  FAR 52.246-7 Inspection of research and development - Fixed-Price. FAR 52.246-8 Inspection of research and development -Cost-Reimbursement. FAR 52.246-9 Inspection of research and development (short for"&amp;"m)")</f>
        <v>#VALUE!</v>
      </c>
      <c r="H323" s="57" t="str">
        <f>HYPERLINK("https://www.acquisition.gov/sites/default/files/current/gsam/html/Part546.html#wp1859106","GSAM 546.7")</f>
        <v>GSAM 546.7</v>
      </c>
      <c r="I323" s="34"/>
      <c r="J323" s="37" t="s">
        <v>463</v>
      </c>
      <c r="K323" s="37" t="s">
        <v>6527</v>
      </c>
      <c r="L323" s="25" t="s">
        <v>6528</v>
      </c>
      <c r="M323" s="25" t="s">
        <v>6529</v>
      </c>
      <c r="N323" s="25" t="s">
        <v>6506</v>
      </c>
      <c r="O323" s="64"/>
      <c r="P323" s="45" t="b">
        <f t="shared" si="39"/>
        <v>0</v>
      </c>
      <c r="Q323" s="45">
        <f t="shared" si="40"/>
        <v>0</v>
      </c>
      <c r="R323" s="45">
        <f t="shared" si="41"/>
        <v>0</v>
      </c>
      <c r="S323" s="24"/>
      <c r="T323" s="24"/>
      <c r="U323" s="24"/>
      <c r="V323" s="24"/>
      <c r="W323" s="24"/>
      <c r="X323" s="24"/>
      <c r="Y323" s="24"/>
      <c r="Z323" s="24"/>
      <c r="AA323" s="24"/>
      <c r="AB323" s="24"/>
      <c r="AC323" s="24"/>
    </row>
    <row r="324" spans="1:29" ht="65.25">
      <c r="A324" s="180" t="s">
        <v>5632</v>
      </c>
      <c r="B324" s="181" t="s">
        <v>5633</v>
      </c>
      <c r="C324" s="181" t="s">
        <v>5634</v>
      </c>
      <c r="D324" s="144" t="s">
        <v>6532</v>
      </c>
      <c r="E324" s="25" t="s">
        <v>6533</v>
      </c>
      <c r="F324" s="25" t="s">
        <v>6534</v>
      </c>
      <c r="G324" s="57" t="str">
        <f>HYPERLINK("https://www.acquisition.gov/content/part-42-contract-administration-and-audit-services#i42_1502","FAR 42.1502 Policy [contractor performance information].")</f>
        <v>FAR 42.1502 Policy [contractor performance information].</v>
      </c>
      <c r="H324" s="54"/>
      <c r="I324" s="34" t="s">
        <v>4746</v>
      </c>
      <c r="J324" s="37" t="s">
        <v>1566</v>
      </c>
      <c r="K324" s="37" t="s">
        <v>6537</v>
      </c>
      <c r="L324" s="25" t="s">
        <v>6539</v>
      </c>
      <c r="M324" s="25" t="s">
        <v>6540</v>
      </c>
      <c r="N324" s="25" t="s">
        <v>6542</v>
      </c>
      <c r="O324" s="64"/>
      <c r="P324" s="45" t="b">
        <f t="shared" si="39"/>
        <v>0</v>
      </c>
      <c r="Q324" s="45">
        <f t="shared" si="40"/>
        <v>3</v>
      </c>
      <c r="R324" s="45">
        <f t="shared" si="41"/>
        <v>0</v>
      </c>
      <c r="S324" s="24"/>
      <c r="T324" s="24"/>
      <c r="U324" s="24"/>
      <c r="V324" s="24"/>
      <c r="W324" s="24"/>
      <c r="X324" s="24"/>
      <c r="Y324" s="24"/>
      <c r="Z324" s="24"/>
      <c r="AA324" s="24"/>
      <c r="AB324" s="24"/>
      <c r="AC324" s="24"/>
    </row>
    <row r="325" spans="1:29" ht="65.25">
      <c r="A325" s="180" t="s">
        <v>5632</v>
      </c>
      <c r="B325" s="181" t="s">
        <v>5633</v>
      </c>
      <c r="C325" s="181" t="s">
        <v>5634</v>
      </c>
      <c r="D325" s="144" t="s">
        <v>6549</v>
      </c>
      <c r="E325" s="25" t="s">
        <v>6550</v>
      </c>
      <c r="F325" s="25" t="s">
        <v>6551</v>
      </c>
      <c r="G325" s="57" t="str">
        <f>HYPERLINK("https://www.acquisition.gov/content/part-42-contract-administration-and-audit-services#i42_1503","FAR 42.1503(a) Procedures [contractor performance information].")</f>
        <v>FAR 42.1503(a) Procedures [contractor performance information].</v>
      </c>
      <c r="H325" s="57" t="str">
        <f>HYPERLINK("https://www.acquisition.gov/sites/default/files/current/gsam/html/Part542.html#wp1859931","GSAM 542.1503")</f>
        <v>GSAM 542.1503</v>
      </c>
      <c r="I325" s="34" t="s">
        <v>4746</v>
      </c>
      <c r="J325" s="37" t="s">
        <v>1566</v>
      </c>
      <c r="K325" s="37" t="s">
        <v>6552</v>
      </c>
      <c r="L325" s="25" t="s">
        <v>6553</v>
      </c>
      <c r="M325" s="25" t="s">
        <v>6554</v>
      </c>
      <c r="N325" s="25" t="s">
        <v>6555</v>
      </c>
      <c r="O325" s="64"/>
      <c r="P325" s="45" t="b">
        <f t="shared" si="39"/>
        <v>0</v>
      </c>
      <c r="Q325" s="45">
        <f t="shared" si="40"/>
        <v>3</v>
      </c>
      <c r="R325" s="45">
        <f t="shared" si="41"/>
        <v>0</v>
      </c>
      <c r="S325" s="24"/>
      <c r="T325" s="24"/>
      <c r="U325" s="24"/>
      <c r="V325" s="24"/>
      <c r="W325" s="24"/>
      <c r="X325" s="24"/>
      <c r="Y325" s="24"/>
      <c r="Z325" s="24"/>
      <c r="AA325" s="24"/>
      <c r="AB325" s="24"/>
      <c r="AC325" s="24"/>
    </row>
    <row r="326" spans="1:29" ht="108.7">
      <c r="A326" s="180" t="s">
        <v>5632</v>
      </c>
      <c r="B326" s="181" t="s">
        <v>5633</v>
      </c>
      <c r="C326" s="181" t="s">
        <v>5634</v>
      </c>
      <c r="D326" s="144" t="s">
        <v>6556</v>
      </c>
      <c r="E326" s="25" t="s">
        <v>6557</v>
      </c>
      <c r="F326" s="25" t="s">
        <v>6558</v>
      </c>
      <c r="G326" s="57" t="str">
        <f>HYPERLINK("https://www.acquisition.gov/content/part-42-contract-administration-and-audit-services#id1617MD0L0LE","FAR 42.1501 General [contractor performance information]")</f>
        <v>FAR 42.1501 General [contractor performance information]</v>
      </c>
      <c r="H326" s="54"/>
      <c r="I326" s="34" t="s">
        <v>3805</v>
      </c>
      <c r="J326" s="37" t="s">
        <v>1566</v>
      </c>
      <c r="K326" s="37" t="s">
        <v>6559</v>
      </c>
      <c r="L326" s="25" t="s">
        <v>6560</v>
      </c>
      <c r="M326" s="25" t="s">
        <v>6561</v>
      </c>
      <c r="N326" s="25" t="s">
        <v>6562</v>
      </c>
      <c r="O326" s="64"/>
      <c r="P326" s="45" t="b">
        <f t="shared" si="39"/>
        <v>0</v>
      </c>
      <c r="Q326" s="45">
        <f t="shared" si="40"/>
        <v>3</v>
      </c>
      <c r="R326" s="45">
        <f t="shared" si="41"/>
        <v>0</v>
      </c>
      <c r="S326" s="24"/>
      <c r="T326" s="24"/>
      <c r="U326" s="24"/>
      <c r="V326" s="24"/>
      <c r="W326" s="24"/>
      <c r="X326" s="24"/>
      <c r="Y326" s="24"/>
      <c r="Z326" s="24"/>
      <c r="AA326" s="24"/>
      <c r="AB326" s="24"/>
      <c r="AC326" s="24"/>
    </row>
    <row r="327" spans="1:29" ht="108.7">
      <c r="A327" s="180" t="s">
        <v>5632</v>
      </c>
      <c r="B327" s="181" t="s">
        <v>5633</v>
      </c>
      <c r="C327" s="181" t="s">
        <v>5634</v>
      </c>
      <c r="D327" s="144" t="s">
        <v>6563</v>
      </c>
      <c r="E327" s="25" t="s">
        <v>6564</v>
      </c>
      <c r="F327" s="25" t="s">
        <v>6558</v>
      </c>
      <c r="G327" s="194" t="str">
        <f>HYPERLINK("https://www.acquisition.gov/content/part-42-contract-administration-and-audit-services#i1074222","FAR 42.1502(a) Policy [contractor performance information]. FAR 42.1503(b) Procedures [contractor performance information]. FAR 42.1503(f) Procedures [contractor performance information].")</f>
        <v>FAR 42.1502(a) Policy [contractor performance information]. FAR 42.1503(b) Procedures [contractor performance information]. FAR 42.1503(f) Procedures [contractor performance information].</v>
      </c>
      <c r="H327" s="57" t="str">
        <f t="shared" ref="H327:H329" si="50">HYPERLINK("https://www.acquisition.gov/sites/default/files/current/gsam/html/Part542.html#wp1859931","GSAM 542.1503")</f>
        <v>GSAM 542.1503</v>
      </c>
      <c r="I327" s="34" t="s">
        <v>4746</v>
      </c>
      <c r="J327" s="37" t="s">
        <v>1566</v>
      </c>
      <c r="K327" s="37" t="s">
        <v>6565</v>
      </c>
      <c r="L327" s="25" t="s">
        <v>6560</v>
      </c>
      <c r="M327" s="25" t="s">
        <v>6561</v>
      </c>
      <c r="N327" s="25" t="s">
        <v>6562</v>
      </c>
      <c r="O327" s="64"/>
      <c r="P327" s="45" t="b">
        <f t="shared" si="39"/>
        <v>0</v>
      </c>
      <c r="Q327" s="45">
        <f t="shared" si="40"/>
        <v>3</v>
      </c>
      <c r="R327" s="45">
        <f t="shared" si="41"/>
        <v>0</v>
      </c>
      <c r="S327" s="24"/>
      <c r="T327" s="24"/>
      <c r="U327" s="24"/>
      <c r="V327" s="24"/>
      <c r="W327" s="24"/>
      <c r="X327" s="24"/>
      <c r="Y327" s="24"/>
      <c r="Z327" s="24"/>
      <c r="AA327" s="24"/>
      <c r="AB327" s="24"/>
      <c r="AC327" s="24"/>
    </row>
    <row r="328" spans="1:29" ht="108.7">
      <c r="A328" s="180" t="s">
        <v>5632</v>
      </c>
      <c r="B328" s="181" t="s">
        <v>5633</v>
      </c>
      <c r="C328" s="181" t="s">
        <v>5634</v>
      </c>
      <c r="D328" s="144" t="s">
        <v>6566</v>
      </c>
      <c r="E328" s="25" t="s">
        <v>6567</v>
      </c>
      <c r="F328" s="25" t="s">
        <v>6558</v>
      </c>
      <c r="G328" s="57" t="str">
        <f>HYPERLINK("https://www.acquisition.gov/content/part-42-contract-administration-and-audit-services#i42_1503","FAR 42.1503(d) Procedures [contractor performance information].")</f>
        <v>FAR 42.1503(d) Procedures [contractor performance information].</v>
      </c>
      <c r="H328" s="57" t="str">
        <f t="shared" si="50"/>
        <v>GSAM 542.1503</v>
      </c>
      <c r="I328" s="34" t="s">
        <v>4746</v>
      </c>
      <c r="J328" s="37" t="s">
        <v>1566</v>
      </c>
      <c r="K328" s="37" t="s">
        <v>6568</v>
      </c>
      <c r="L328" s="25" t="s">
        <v>6560</v>
      </c>
      <c r="M328" s="25" t="s">
        <v>6561</v>
      </c>
      <c r="N328" s="25" t="s">
        <v>6562</v>
      </c>
      <c r="O328" s="64"/>
      <c r="P328" s="45" t="b">
        <f t="shared" si="39"/>
        <v>0</v>
      </c>
      <c r="Q328" s="45">
        <f t="shared" si="40"/>
        <v>3</v>
      </c>
      <c r="R328" s="45">
        <f t="shared" si="41"/>
        <v>0</v>
      </c>
      <c r="S328" s="24"/>
      <c r="T328" s="24"/>
      <c r="U328" s="24"/>
      <c r="V328" s="24"/>
      <c r="W328" s="24"/>
      <c r="X328" s="24"/>
      <c r="Y328" s="24"/>
      <c r="Z328" s="24"/>
      <c r="AA328" s="24"/>
      <c r="AB328" s="24"/>
      <c r="AC328" s="24"/>
    </row>
    <row r="329" spans="1:29" ht="76.099999999999994">
      <c r="A329" s="180" t="s">
        <v>5632</v>
      </c>
      <c r="B329" s="181" t="s">
        <v>5633</v>
      </c>
      <c r="C329" s="181" t="s">
        <v>5634</v>
      </c>
      <c r="D329" s="144" t="s">
        <v>6569</v>
      </c>
      <c r="E329" s="25" t="s">
        <v>6570</v>
      </c>
      <c r="F329" s="25" t="s">
        <v>6558</v>
      </c>
      <c r="G329" s="57" t="str">
        <f>HYPERLINK("https://www.acquisition.gov/content/part-42-contract-administration-and-audit-services#i42_1503","FAR 42.1503 Procedures [contractor performance information].")</f>
        <v>FAR 42.1503 Procedures [contractor performance information].</v>
      </c>
      <c r="H329" s="57" t="str">
        <f t="shared" si="50"/>
        <v>GSAM 542.1503</v>
      </c>
      <c r="I329" s="34" t="s">
        <v>4746</v>
      </c>
      <c r="J329" s="37" t="s">
        <v>1566</v>
      </c>
      <c r="K329" s="37" t="s">
        <v>6571</v>
      </c>
      <c r="L329" s="79" t="s">
        <v>6572</v>
      </c>
      <c r="M329" s="25" t="s">
        <v>6573</v>
      </c>
      <c r="N329" s="25" t="s">
        <v>6574</v>
      </c>
      <c r="O329" s="64"/>
      <c r="P329" s="45" t="b">
        <f t="shared" si="39"/>
        <v>0</v>
      </c>
      <c r="Q329" s="45">
        <f t="shared" si="40"/>
        <v>3</v>
      </c>
      <c r="R329" s="45">
        <f t="shared" si="41"/>
        <v>0</v>
      </c>
      <c r="S329" s="24"/>
      <c r="T329" s="24"/>
      <c r="U329" s="24"/>
      <c r="V329" s="24"/>
      <c r="W329" s="24"/>
      <c r="X329" s="24"/>
      <c r="Y329" s="24"/>
      <c r="Z329" s="24"/>
      <c r="AA329" s="24"/>
      <c r="AB329" s="24"/>
      <c r="AC329" s="24"/>
    </row>
    <row r="330" spans="1:29" ht="86.95">
      <c r="A330" s="180" t="s">
        <v>5632</v>
      </c>
      <c r="B330" s="181" t="s">
        <v>5633</v>
      </c>
      <c r="C330" s="181" t="s">
        <v>5634</v>
      </c>
      <c r="D330" s="144" t="s">
        <v>6575</v>
      </c>
      <c r="E330" s="25" t="s">
        <v>6576</v>
      </c>
      <c r="F330" s="25" t="s">
        <v>6577</v>
      </c>
      <c r="G330" s="57" t="str">
        <f>HYPERLINK("https://www.acquisition.gov/content/part-9-contractor-qualifications#i1115300","FAR 9.406 Debarment")</f>
        <v>FAR 9.406 Debarment</v>
      </c>
      <c r="H330" s="57" t="str">
        <f>HYPERLINK("https://www.acquisition.gov/sites/default/files/current/gsam/html/Part509.html#wp1859692","GSAM 509.406")</f>
        <v>GSAM 509.406</v>
      </c>
      <c r="I330" s="34"/>
      <c r="J330" s="37" t="s">
        <v>463</v>
      </c>
      <c r="K330" s="37" t="s">
        <v>6578</v>
      </c>
      <c r="L330" s="25" t="s">
        <v>6579</v>
      </c>
      <c r="M330" s="25" t="s">
        <v>6580</v>
      </c>
      <c r="N330" s="25" t="s">
        <v>6581</v>
      </c>
      <c r="O330" s="64"/>
      <c r="P330" s="45" t="b">
        <f t="shared" si="39"/>
        <v>0</v>
      </c>
      <c r="Q330" s="45">
        <f t="shared" si="40"/>
        <v>0</v>
      </c>
      <c r="R330" s="45">
        <f t="shared" si="41"/>
        <v>0</v>
      </c>
      <c r="S330" s="24"/>
      <c r="T330" s="24"/>
      <c r="U330" s="24"/>
      <c r="V330" s="24"/>
      <c r="W330" s="24"/>
      <c r="X330" s="24"/>
      <c r="Y330" s="24"/>
      <c r="Z330" s="24"/>
      <c r="AA330" s="24"/>
      <c r="AB330" s="24"/>
      <c r="AC330" s="24"/>
    </row>
    <row r="331" spans="1:29" ht="141.30000000000001">
      <c r="A331" s="180" t="s">
        <v>5632</v>
      </c>
      <c r="B331" s="181" t="s">
        <v>5633</v>
      </c>
      <c r="C331" s="181" t="s">
        <v>5634</v>
      </c>
      <c r="D331" s="26" t="s">
        <v>6582</v>
      </c>
      <c r="E331" s="25" t="s">
        <v>6583</v>
      </c>
      <c r="F331" s="25" t="s">
        <v>6584</v>
      </c>
      <c r="G331" s="86" t="str">
        <f>HYPERLINK("https://www.acquisition.gov/content/part-28-bonds-and-insurance#i1088865","FAR 28.106-5 Consent of surety [administration]. ")</f>
        <v xml:space="preserve">FAR 28.106-5 Consent of surety [administration]. </v>
      </c>
      <c r="H331" s="54"/>
      <c r="I331" s="34"/>
      <c r="J331" s="37" t="s">
        <v>463</v>
      </c>
      <c r="K331" s="37" t="s">
        <v>6585</v>
      </c>
      <c r="L331" s="79" t="s">
        <v>6586</v>
      </c>
      <c r="M331" s="25" t="s">
        <v>6587</v>
      </c>
      <c r="N331" s="25" t="s">
        <v>6588</v>
      </c>
      <c r="O331" s="64"/>
      <c r="P331" s="45" t="b">
        <f t="shared" si="39"/>
        <v>0</v>
      </c>
      <c r="Q331" s="45">
        <f t="shared" si="40"/>
        <v>0</v>
      </c>
      <c r="R331" s="45">
        <f t="shared" si="41"/>
        <v>0</v>
      </c>
      <c r="S331" s="24"/>
      <c r="T331" s="24"/>
      <c r="U331" s="24"/>
      <c r="V331" s="24"/>
      <c r="W331" s="24"/>
      <c r="X331" s="24"/>
      <c r="Y331" s="24"/>
      <c r="Z331" s="24"/>
      <c r="AA331" s="24"/>
      <c r="AB331" s="24"/>
      <c r="AC331" s="24"/>
    </row>
    <row r="332" spans="1:29" ht="86.95">
      <c r="A332" s="180" t="s">
        <v>5632</v>
      </c>
      <c r="B332" s="181" t="s">
        <v>5633</v>
      </c>
      <c r="C332" s="181" t="s">
        <v>5634</v>
      </c>
      <c r="D332" s="26" t="s">
        <v>6589</v>
      </c>
      <c r="E332" s="25" t="s">
        <v>6590</v>
      </c>
      <c r="F332" s="25" t="s">
        <v>6591</v>
      </c>
      <c r="G332" s="86" t="str">
        <f>HYPERLINK("https://www.acquisition.gov/content/part-28-bonds-and-insurance#i1088884","FAR 28.106-6 Furnishing information [administration]. ")</f>
        <v xml:space="preserve">FAR 28.106-6 Furnishing information [administration]. </v>
      </c>
      <c r="H332" s="57" t="str">
        <f>HYPERLINK("https://www.acquisition.gov/sites/default/files/current/gsam/html/Part528.html#wp1858116","GSAM 528.106-6")</f>
        <v>GSAM 528.106-6</v>
      </c>
      <c r="I332" s="34"/>
      <c r="J332" s="37" t="s">
        <v>463</v>
      </c>
      <c r="K332" s="37" t="s">
        <v>6592</v>
      </c>
      <c r="L332" s="25" t="s">
        <v>6593</v>
      </c>
      <c r="M332" s="25" t="s">
        <v>6594</v>
      </c>
      <c r="N332" s="25" t="s">
        <v>6595</v>
      </c>
      <c r="O332" s="64"/>
      <c r="P332" s="45" t="b">
        <f t="shared" si="39"/>
        <v>0</v>
      </c>
      <c r="Q332" s="45">
        <f t="shared" si="40"/>
        <v>0</v>
      </c>
      <c r="R332" s="45">
        <f t="shared" si="41"/>
        <v>0</v>
      </c>
      <c r="S332" s="24"/>
      <c r="T332" s="24"/>
      <c r="U332" s="24"/>
      <c r="V332" s="24"/>
      <c r="W332" s="24"/>
      <c r="X332" s="24"/>
      <c r="Y332" s="24"/>
      <c r="Z332" s="24"/>
      <c r="AA332" s="24"/>
      <c r="AB332" s="24"/>
      <c r="AC332" s="24"/>
    </row>
    <row r="333" spans="1:29" ht="130.44999999999999">
      <c r="A333" s="180" t="s">
        <v>5632</v>
      </c>
      <c r="B333" s="181" t="s">
        <v>5633</v>
      </c>
      <c r="C333" s="181" t="s">
        <v>5634</v>
      </c>
      <c r="D333" s="26" t="s">
        <v>6596</v>
      </c>
      <c r="E333" s="25" t="s">
        <v>6597</v>
      </c>
      <c r="F333" s="25" t="s">
        <v>6598</v>
      </c>
      <c r="G333" s="86" t="str">
        <f>HYPERLINK("https://www.acquisition.gov/content/part-49-termination-contracts#i1068020","FAR 49.402-3 Procedure for default [termination of fixed-price contracts for default]. ")</f>
        <v xml:space="preserve">FAR 49.402-3 Procedure for default [termination of fixed-price contracts for default]. </v>
      </c>
      <c r="H333" s="54"/>
      <c r="I333" s="34"/>
      <c r="J333" s="37" t="s">
        <v>463</v>
      </c>
      <c r="K333" s="37" t="s">
        <v>6599</v>
      </c>
      <c r="L333" s="79" t="s">
        <v>6600</v>
      </c>
      <c r="M333" s="25" t="s">
        <v>6601</v>
      </c>
      <c r="N333" s="25" t="s">
        <v>6602</v>
      </c>
      <c r="O333" s="64"/>
      <c r="P333" s="45" t="b">
        <f t="shared" si="39"/>
        <v>0</v>
      </c>
      <c r="Q333" s="45">
        <f t="shared" si="40"/>
        <v>0</v>
      </c>
      <c r="R333" s="45">
        <f t="shared" si="41"/>
        <v>0</v>
      </c>
      <c r="S333" s="24"/>
      <c r="T333" s="24"/>
      <c r="U333" s="24"/>
      <c r="V333" s="24"/>
      <c r="W333" s="24"/>
      <c r="X333" s="24"/>
      <c r="Y333" s="24"/>
      <c r="Z333" s="24"/>
      <c r="AA333" s="24"/>
      <c r="AB333" s="24"/>
      <c r="AC333" s="24"/>
    </row>
    <row r="334" spans="1:29" ht="195.65">
      <c r="A334" s="180" t="s">
        <v>5632</v>
      </c>
      <c r="B334" s="181" t="s">
        <v>5633</v>
      </c>
      <c r="C334" s="181" t="s">
        <v>5634</v>
      </c>
      <c r="D334" s="26" t="s">
        <v>6603</v>
      </c>
      <c r="E334" s="25" t="s">
        <v>6604</v>
      </c>
      <c r="F334" s="25" t="s">
        <v>6605</v>
      </c>
      <c r="G334" s="86" t="str">
        <f>HYPERLINK("https://www.acquisition.gov/content/part-49-termination-contracts#i1067972","FAR 49.402-4 Procedure in lieu of termination for default [termination of fixed-price contracts for default].  FAR 49.404 Surety–takeover agreements [termination for default].")</f>
        <v>FAR 49.402-4 Procedure in lieu of termination for default [termination of fixed-price contracts for default].  FAR 49.404 Surety–takeover agreements [termination for default].</v>
      </c>
      <c r="H334" s="54"/>
      <c r="I334" s="34"/>
      <c r="J334" s="37" t="s">
        <v>463</v>
      </c>
      <c r="K334" s="37" t="s">
        <v>6606</v>
      </c>
      <c r="L334" s="25" t="s">
        <v>6607</v>
      </c>
      <c r="M334" s="25" t="s">
        <v>6608</v>
      </c>
      <c r="N334" s="25" t="s">
        <v>6609</v>
      </c>
      <c r="O334" s="64"/>
      <c r="P334" s="45" t="b">
        <f t="shared" si="39"/>
        <v>0</v>
      </c>
      <c r="Q334" s="45">
        <f t="shared" si="40"/>
        <v>0</v>
      </c>
      <c r="R334" s="45">
        <f t="shared" si="41"/>
        <v>0</v>
      </c>
      <c r="S334" s="24"/>
      <c r="T334" s="24"/>
      <c r="U334" s="24"/>
      <c r="V334" s="24"/>
      <c r="W334" s="24"/>
      <c r="X334" s="24"/>
      <c r="Y334" s="24"/>
      <c r="Z334" s="24"/>
      <c r="AA334" s="24"/>
      <c r="AB334" s="24"/>
      <c r="AC334" s="24"/>
    </row>
    <row r="335" spans="1:29" ht="76.099999999999994">
      <c r="A335" s="180" t="s">
        <v>5632</v>
      </c>
      <c r="B335" s="181" t="s">
        <v>5633</v>
      </c>
      <c r="C335" s="181" t="s">
        <v>5634</v>
      </c>
      <c r="D335" s="26" t="s">
        <v>6610</v>
      </c>
      <c r="E335" s="25" t="s">
        <v>6611</v>
      </c>
      <c r="F335" s="25" t="s">
        <v>6612</v>
      </c>
      <c r="G335" s="86" t="str">
        <f>HYPERLINK("https://www.acquisition.gov/content/part-49-termination-contracts#i1067972","FAR 49.405 Completion by another contractor [termination for default].  FAR 49.406 Liquidation of liability [termination for default].")</f>
        <v>FAR 49.405 Completion by another contractor [termination for default].  FAR 49.406 Liquidation of liability [termination for default].</v>
      </c>
      <c r="H335" s="57" t="str">
        <f>HYPERLINK("https://www.acquisition.gov/sites/default/files/current/gsam/html/Part549.html#wp1858094","GSAM 549.406")</f>
        <v>GSAM 549.406</v>
      </c>
      <c r="I335" s="34"/>
      <c r="J335" s="37" t="s">
        <v>463</v>
      </c>
      <c r="K335" s="37" t="s">
        <v>6613</v>
      </c>
      <c r="L335" s="25" t="s">
        <v>6614</v>
      </c>
      <c r="M335" s="25" t="s">
        <v>6615</v>
      </c>
      <c r="N335" s="25" t="s">
        <v>6616</v>
      </c>
      <c r="O335" s="64"/>
      <c r="P335" s="45" t="b">
        <f t="shared" si="39"/>
        <v>0</v>
      </c>
      <c r="Q335" s="45">
        <f t="shared" si="40"/>
        <v>0</v>
      </c>
      <c r="R335" s="45">
        <f t="shared" si="41"/>
        <v>0</v>
      </c>
      <c r="S335" s="24"/>
      <c r="T335" s="24"/>
      <c r="U335" s="24"/>
      <c r="V335" s="24"/>
      <c r="W335" s="24"/>
      <c r="X335" s="24"/>
      <c r="Y335" s="24"/>
      <c r="Z335" s="24"/>
      <c r="AA335" s="24"/>
      <c r="AB335" s="24"/>
      <c r="AC335" s="24"/>
    </row>
    <row r="336" spans="1:29" ht="108.7">
      <c r="A336" s="180" t="s">
        <v>5632</v>
      </c>
      <c r="B336" s="181" t="s">
        <v>5633</v>
      </c>
      <c r="C336" s="181" t="s">
        <v>5634</v>
      </c>
      <c r="D336" s="26" t="s">
        <v>6617</v>
      </c>
      <c r="E336" s="25" t="s">
        <v>6618</v>
      </c>
      <c r="F336" s="25" t="s">
        <v>6619</v>
      </c>
      <c r="G336" s="86" t="str">
        <f>HYPERLINK("https://www.acquisition.gov/content/part-28-bonds-and-insurance#i1088277","FAR 28.203-7 Exclusion of individual sureties. ")</f>
        <v xml:space="preserve">FAR 28.203-7 Exclusion of individual sureties. </v>
      </c>
      <c r="H336" s="57" t="str">
        <f>HYPERLINK("https://www.acquisition.gov/sites/default/files/current/gsam/html/Part528.html#wp1858129","GSAM 528.203-7")</f>
        <v>GSAM 528.203-7</v>
      </c>
      <c r="I336" s="34"/>
      <c r="J336" s="37" t="s">
        <v>463</v>
      </c>
      <c r="K336" s="37" t="s">
        <v>6620</v>
      </c>
      <c r="L336" s="79" t="s">
        <v>6621</v>
      </c>
      <c r="M336" s="25" t="s">
        <v>6622</v>
      </c>
      <c r="N336" s="25" t="s">
        <v>6623</v>
      </c>
      <c r="O336" s="64"/>
      <c r="P336" s="45" t="b">
        <f t="shared" si="39"/>
        <v>0</v>
      </c>
      <c r="Q336" s="45">
        <f t="shared" si="40"/>
        <v>0</v>
      </c>
      <c r="R336" s="45">
        <f t="shared" si="41"/>
        <v>0</v>
      </c>
      <c r="S336" s="24"/>
      <c r="T336" s="24"/>
      <c r="U336" s="24"/>
      <c r="V336" s="24"/>
      <c r="W336" s="24"/>
      <c r="X336" s="24"/>
      <c r="Y336" s="24"/>
      <c r="Z336" s="24"/>
      <c r="AA336" s="24"/>
      <c r="AB336" s="24"/>
      <c r="AC336" s="24"/>
    </row>
    <row r="337" spans="1:29" ht="76.099999999999994">
      <c r="A337" s="180" t="s">
        <v>5632</v>
      </c>
      <c r="B337" s="181" t="s">
        <v>5633</v>
      </c>
      <c r="C337" s="181" t="s">
        <v>5634</v>
      </c>
      <c r="D337" s="144" t="s">
        <v>6624</v>
      </c>
      <c r="E337" s="25" t="s">
        <v>6625</v>
      </c>
      <c r="F337" s="25" t="s">
        <v>1427</v>
      </c>
      <c r="G337" s="25" t="s">
        <v>1331</v>
      </c>
      <c r="H337" s="54"/>
      <c r="I337" s="34" t="s">
        <v>3387</v>
      </c>
      <c r="J337" s="37" t="s">
        <v>1566</v>
      </c>
      <c r="K337" s="37" t="s">
        <v>6626</v>
      </c>
      <c r="L337" s="79" t="s">
        <v>6627</v>
      </c>
      <c r="M337" s="25" t="s">
        <v>6628</v>
      </c>
      <c r="N337" s="25" t="s">
        <v>6629</v>
      </c>
      <c r="O337" s="64"/>
      <c r="P337" s="45" t="b">
        <f t="shared" si="39"/>
        <v>0</v>
      </c>
      <c r="Q337" s="45">
        <f t="shared" si="40"/>
        <v>3</v>
      </c>
      <c r="R337" s="45">
        <f t="shared" si="41"/>
        <v>0</v>
      </c>
      <c r="S337" s="24"/>
      <c r="T337" s="24"/>
      <c r="U337" s="24"/>
      <c r="V337" s="24"/>
      <c r="W337" s="24"/>
      <c r="X337" s="24"/>
      <c r="Y337" s="24"/>
      <c r="Z337" s="24"/>
      <c r="AA337" s="24"/>
      <c r="AB337" s="24"/>
      <c r="AC337" s="24"/>
    </row>
    <row r="338" spans="1:29" ht="65.25">
      <c r="A338" s="180" t="s">
        <v>5632</v>
      </c>
      <c r="B338" s="181" t="s">
        <v>5633</v>
      </c>
      <c r="C338" s="181" t="s">
        <v>5634</v>
      </c>
      <c r="D338" s="144" t="s">
        <v>6630</v>
      </c>
      <c r="E338" s="25" t="s">
        <v>6631</v>
      </c>
      <c r="F338" s="25" t="s">
        <v>4164</v>
      </c>
      <c r="G338" s="57" t="e">
        <f>HYPERLINK("https://www.acquisition.gov/browse/index/far","FAR 3.203 Reporting suspected violations of the gratuities clause [contractor gratuities to government personnel]. FAR 3.303 Reporting suspected antitrust violations. FAR 3.405 Misrepresentation or violations of the covenant against contingent fees. FAR 3"&amp;".806 Processing suspected violations [limitation on the payment of funds to influence federal transactions]. FAR 49.106 Fraud or other criminal conduct [termination of contracts].")</f>
        <v>#VALUE!</v>
      </c>
      <c r="H338" s="57" t="str">
        <f>HYPERLINK("https://www.acquisition.gov/sites/default/files/current/gsam/html/GSAMTOC503.html#wp434343","GSAM 503.203; 503.303; 503.806")</f>
        <v>GSAM 503.203; 503.303; 503.806</v>
      </c>
      <c r="I338" s="34" t="s">
        <v>3805</v>
      </c>
      <c r="J338" s="37" t="s">
        <v>1566</v>
      </c>
      <c r="K338" s="37" t="s">
        <v>6632</v>
      </c>
      <c r="L338" s="79" t="s">
        <v>6633</v>
      </c>
      <c r="M338" s="25" t="s">
        <v>6628</v>
      </c>
      <c r="N338" s="25" t="s">
        <v>6629</v>
      </c>
      <c r="O338" s="64"/>
      <c r="P338" s="45" t="b">
        <f t="shared" si="39"/>
        <v>0</v>
      </c>
      <c r="Q338" s="45">
        <f t="shared" si="40"/>
        <v>3</v>
      </c>
      <c r="R338" s="45">
        <f t="shared" si="41"/>
        <v>0</v>
      </c>
      <c r="S338" s="24"/>
      <c r="T338" s="24"/>
      <c r="U338" s="24"/>
      <c r="V338" s="24"/>
      <c r="W338" s="24"/>
      <c r="X338" s="24"/>
      <c r="Y338" s="24"/>
      <c r="Z338" s="24"/>
      <c r="AA338" s="24"/>
      <c r="AB338" s="24"/>
      <c r="AC338" s="24"/>
    </row>
    <row r="339" spans="1:29" ht="65.25">
      <c r="A339" s="180" t="s">
        <v>5632</v>
      </c>
      <c r="B339" s="181" t="s">
        <v>5633</v>
      </c>
      <c r="C339" s="181" t="s">
        <v>5634</v>
      </c>
      <c r="D339" s="144" t="s">
        <v>6634</v>
      </c>
      <c r="E339" s="25" t="s">
        <v>6635</v>
      </c>
      <c r="F339" s="25" t="s">
        <v>6636</v>
      </c>
      <c r="G339" s="57" t="str">
        <f>HYPERLINK("https://www.acquisition.gov/content/part-3-improper-business-practices-and-personal-conflicts-interest#id1617MA00Z5U","FAR Subpart 3.9 Whistleblower protections for contractor employees.")</f>
        <v>FAR Subpart 3.9 Whistleblower protections for contractor employees.</v>
      </c>
      <c r="H339" s="54"/>
      <c r="I339" s="34" t="s">
        <v>3387</v>
      </c>
      <c r="J339" s="37" t="s">
        <v>1566</v>
      </c>
      <c r="K339" s="37" t="s">
        <v>6637</v>
      </c>
      <c r="L339" s="25" t="s">
        <v>6638</v>
      </c>
      <c r="M339" s="25" t="s">
        <v>6639</v>
      </c>
      <c r="N339" s="25" t="s">
        <v>6640</v>
      </c>
      <c r="O339" s="64"/>
      <c r="P339" s="45" t="b">
        <f t="shared" si="39"/>
        <v>0</v>
      </c>
      <c r="Q339" s="45">
        <f t="shared" si="40"/>
        <v>3</v>
      </c>
      <c r="R339" s="45">
        <f t="shared" si="41"/>
        <v>0</v>
      </c>
      <c r="S339" s="24"/>
      <c r="T339" s="24"/>
      <c r="U339" s="24"/>
      <c r="V339" s="24"/>
      <c r="W339" s="24"/>
      <c r="X339" s="24"/>
      <c r="Y339" s="24"/>
      <c r="Z339" s="24"/>
      <c r="AA339" s="24"/>
      <c r="AB339" s="24"/>
      <c r="AC339" s="24"/>
    </row>
    <row r="340" spans="1:29" ht="76.099999999999994">
      <c r="A340" s="180" t="s">
        <v>5632</v>
      </c>
      <c r="B340" s="181" t="s">
        <v>5633</v>
      </c>
      <c r="C340" s="181" t="s">
        <v>5634</v>
      </c>
      <c r="D340" s="144" t="s">
        <v>6641</v>
      </c>
      <c r="E340" s="25" t="s">
        <v>6642</v>
      </c>
      <c r="F340" s="25" t="s">
        <v>6643</v>
      </c>
      <c r="G340" s="57" t="str">
        <f>HYPERLINK("https://www.acquisition.gov/content/part-3-improper-business-practices-and-personal-conflicts-interest#id1617MD00IWE","FAR 3.907-3 Procedures for filing complaints [Whistleblower Protections Under the American Recovery and Reinvestment Act of 2009 (the Recovery Act)].")</f>
        <v>FAR 3.907-3 Procedures for filing complaints [Whistleblower Protections Under the American Recovery and Reinvestment Act of 2009 (the Recovery Act)].</v>
      </c>
      <c r="H340" s="54"/>
      <c r="I340" s="34" t="s">
        <v>3387</v>
      </c>
      <c r="J340" s="37" t="s">
        <v>1566</v>
      </c>
      <c r="K340" s="37" t="s">
        <v>6644</v>
      </c>
      <c r="L340" s="79" t="s">
        <v>6645</v>
      </c>
      <c r="M340" s="25" t="s">
        <v>6646</v>
      </c>
      <c r="N340" s="25" t="s">
        <v>6629</v>
      </c>
      <c r="O340" s="64"/>
      <c r="P340" s="45" t="b">
        <f t="shared" si="39"/>
        <v>0</v>
      </c>
      <c r="Q340" s="45">
        <f t="shared" si="40"/>
        <v>3</v>
      </c>
      <c r="R340" s="45">
        <f t="shared" si="41"/>
        <v>0</v>
      </c>
      <c r="S340" s="24"/>
      <c r="T340" s="24"/>
      <c r="U340" s="24"/>
      <c r="V340" s="24"/>
      <c r="W340" s="24"/>
      <c r="X340" s="24"/>
      <c r="Y340" s="24"/>
      <c r="Z340" s="24"/>
      <c r="AA340" s="24"/>
      <c r="AB340" s="24"/>
      <c r="AC340" s="24"/>
    </row>
    <row r="341" spans="1:29" ht="65.25">
      <c r="A341" s="180" t="s">
        <v>5632</v>
      </c>
      <c r="B341" s="181" t="s">
        <v>5633</v>
      </c>
      <c r="C341" s="181" t="s">
        <v>5634</v>
      </c>
      <c r="D341" s="144" t="s">
        <v>6647</v>
      </c>
      <c r="E341" s="25" t="s">
        <v>6648</v>
      </c>
      <c r="F341" s="25" t="s">
        <v>6649</v>
      </c>
      <c r="G341" s="25" t="s">
        <v>1331</v>
      </c>
      <c r="H341" s="54"/>
      <c r="I341" s="34" t="s">
        <v>3387</v>
      </c>
      <c r="J341" s="37" t="s">
        <v>1566</v>
      </c>
      <c r="K341" s="37" t="s">
        <v>6650</v>
      </c>
      <c r="L341" s="79" t="s">
        <v>6651</v>
      </c>
      <c r="M341" s="25" t="s">
        <v>6652</v>
      </c>
      <c r="N341" s="25" t="s">
        <v>6629</v>
      </c>
      <c r="O341" s="64"/>
      <c r="P341" s="45" t="b">
        <f t="shared" si="39"/>
        <v>0</v>
      </c>
      <c r="Q341" s="45">
        <f t="shared" si="40"/>
        <v>3</v>
      </c>
      <c r="R341" s="45">
        <f t="shared" si="41"/>
        <v>0</v>
      </c>
      <c r="S341" s="24"/>
      <c r="T341" s="24"/>
      <c r="U341" s="24"/>
      <c r="V341" s="24"/>
      <c r="W341" s="24"/>
      <c r="X341" s="24"/>
      <c r="Y341" s="24"/>
      <c r="Z341" s="24"/>
      <c r="AA341" s="24"/>
      <c r="AB341" s="24"/>
      <c r="AC341" s="24"/>
    </row>
    <row r="342" spans="1:29" ht="65.25">
      <c r="A342" s="180" t="s">
        <v>5632</v>
      </c>
      <c r="B342" s="181" t="s">
        <v>5633</v>
      </c>
      <c r="C342" s="181" t="s">
        <v>5634</v>
      </c>
      <c r="D342" s="144" t="s">
        <v>6653</v>
      </c>
      <c r="E342" s="25" t="s">
        <v>6654</v>
      </c>
      <c r="F342" s="25" t="s">
        <v>6655</v>
      </c>
      <c r="G342" s="57" t="str">
        <f>HYPERLINK("https://www.acquisition.gov/content/part-22-application-labor-laws-government-acquisitions","FAR Part 22 Application of labor laws to government acquisitions. ")</f>
        <v xml:space="preserve">FAR Part 22 Application of labor laws to government acquisitions. </v>
      </c>
      <c r="H342" s="57" t="str">
        <f>HYPERLINK("https://www.acquisition.gov/sites/default/files/current/gsam/html/GSAMTOC522.html#wp434179","GSAM 522")</f>
        <v>GSAM 522</v>
      </c>
      <c r="I342" s="34" t="s">
        <v>3805</v>
      </c>
      <c r="J342" s="37" t="s">
        <v>1566</v>
      </c>
      <c r="K342" s="37" t="s">
        <v>6656</v>
      </c>
      <c r="L342" s="79" t="s">
        <v>6657</v>
      </c>
      <c r="M342" s="25" t="s">
        <v>6658</v>
      </c>
      <c r="N342" s="25" t="s">
        <v>6629</v>
      </c>
      <c r="O342" s="64"/>
      <c r="P342" s="45" t="b">
        <f t="shared" si="39"/>
        <v>0</v>
      </c>
      <c r="Q342" s="45">
        <f t="shared" si="40"/>
        <v>3</v>
      </c>
      <c r="R342" s="45">
        <f t="shared" si="41"/>
        <v>0</v>
      </c>
      <c r="S342" s="24"/>
      <c r="T342" s="24"/>
      <c r="U342" s="24"/>
      <c r="V342" s="24"/>
      <c r="W342" s="24"/>
      <c r="X342" s="24"/>
      <c r="Y342" s="24"/>
      <c r="Z342" s="24"/>
      <c r="AA342" s="24"/>
      <c r="AB342" s="24"/>
      <c r="AC342" s="24"/>
    </row>
    <row r="343" spans="1:29" ht="108.7">
      <c r="A343" s="180" t="s">
        <v>5632</v>
      </c>
      <c r="B343" s="181" t="s">
        <v>5633</v>
      </c>
      <c r="C343" s="181" t="s">
        <v>5634</v>
      </c>
      <c r="D343" s="144" t="s">
        <v>6659</v>
      </c>
      <c r="E343" s="25" t="s">
        <v>6660</v>
      </c>
      <c r="F343" s="25" t="s">
        <v>5676</v>
      </c>
      <c r="G343" s="57" t="str">
        <f>HYPERLINK("https://www.acquisition.gov/browse/index/far","FAR Subpart 22.3 Contract Work Hours and Safety Standards Act. FAR 52.222-2 Payment for Overtime Premiums. ")</f>
        <v xml:space="preserve">FAR Subpart 22.3 Contract Work Hours and Safety Standards Act. FAR 52.222-2 Payment for Overtime Premiums. </v>
      </c>
      <c r="H343" s="57" t="str">
        <f>HYPERLINK("https://www.acquisition.gov/sites/default/files/current/gsam/html/Part522.html#wp1858110","GSAM 522.3")</f>
        <v>GSAM 522.3</v>
      </c>
      <c r="I343" s="34"/>
      <c r="J343" s="37" t="s">
        <v>463</v>
      </c>
      <c r="K343" s="37" t="s">
        <v>6661</v>
      </c>
      <c r="L343" s="79" t="s">
        <v>6662</v>
      </c>
      <c r="M343" s="25" t="s">
        <v>6663</v>
      </c>
      <c r="N343" s="25" t="s">
        <v>6664</v>
      </c>
      <c r="O343" s="64"/>
      <c r="P343" s="45" t="b">
        <f t="shared" si="39"/>
        <v>0</v>
      </c>
      <c r="Q343" s="45">
        <f t="shared" si="40"/>
        <v>0</v>
      </c>
      <c r="R343" s="45">
        <f t="shared" si="41"/>
        <v>0</v>
      </c>
      <c r="S343" s="24"/>
      <c r="T343" s="24"/>
      <c r="U343" s="24"/>
      <c r="V343" s="24"/>
      <c r="W343" s="24"/>
      <c r="X343" s="24"/>
      <c r="Y343" s="24"/>
      <c r="Z343" s="24"/>
      <c r="AA343" s="24"/>
      <c r="AB343" s="24"/>
      <c r="AC343" s="24"/>
    </row>
    <row r="344" spans="1:29" ht="76.099999999999994">
      <c r="A344" s="180" t="s">
        <v>5632</v>
      </c>
      <c r="B344" s="181" t="s">
        <v>5633</v>
      </c>
      <c r="C344" s="181" t="s">
        <v>5634</v>
      </c>
      <c r="D344" s="144" t="s">
        <v>6665</v>
      </c>
      <c r="E344" s="25" t="s">
        <v>6666</v>
      </c>
      <c r="F344" s="25" t="s">
        <v>6655</v>
      </c>
      <c r="G344" s="57" t="str">
        <f>HYPERLINK("https://www.acquisition.gov/browse/index/far","FAR Subpart 23.3 Hazardous material identification and material safety data. FAR Subpart 23.5 Drug-free workplace. FAR Subpart 24.1 Protection of individual privacy. ")</f>
        <v xml:space="preserve">FAR Subpart 23.3 Hazardous material identification and material safety data. FAR Subpart 23.5 Drug-free workplace. FAR Subpart 24.1 Protection of individual privacy. </v>
      </c>
      <c r="H344" s="57" t="str">
        <f>HYPERLINK("https://www.acquisition.gov/sites/default/files/current/gsam/html/GSAMTOC.html","GSAM 523.3; 524.1")</f>
        <v>GSAM 523.3; 524.1</v>
      </c>
      <c r="I344" s="34" t="s">
        <v>3387</v>
      </c>
      <c r="J344" s="37" t="s">
        <v>1566</v>
      </c>
      <c r="K344" s="37" t="s">
        <v>6667</v>
      </c>
      <c r="L344" s="79" t="s">
        <v>6668</v>
      </c>
      <c r="M344" s="25" t="s">
        <v>6669</v>
      </c>
      <c r="N344" s="25" t="s">
        <v>6629</v>
      </c>
      <c r="O344" s="64"/>
      <c r="P344" s="45" t="b">
        <f t="shared" si="39"/>
        <v>0</v>
      </c>
      <c r="Q344" s="45">
        <f t="shared" si="40"/>
        <v>3</v>
      </c>
      <c r="R344" s="45">
        <f t="shared" si="41"/>
        <v>0</v>
      </c>
      <c r="S344" s="24"/>
      <c r="T344" s="24"/>
      <c r="U344" s="24"/>
      <c r="V344" s="24"/>
      <c r="W344" s="24"/>
      <c r="X344" s="24"/>
      <c r="Y344" s="24"/>
      <c r="Z344" s="24"/>
      <c r="AA344" s="24"/>
      <c r="AB344" s="24"/>
      <c r="AC344" s="24"/>
    </row>
    <row r="345" spans="1:29" ht="86.95">
      <c r="A345" s="180" t="s">
        <v>5632</v>
      </c>
      <c r="B345" s="181" t="s">
        <v>5633</v>
      </c>
      <c r="C345" s="181" t="s">
        <v>5634</v>
      </c>
      <c r="D345" s="144" t="s">
        <v>6670</v>
      </c>
      <c r="E345" s="25" t="s">
        <v>6671</v>
      </c>
      <c r="F345" s="25" t="s">
        <v>6672</v>
      </c>
      <c r="G345" s="57" t="str">
        <f>HYPERLINK("https://www.acquisition.gov/content/part-28-bonds-and-insurance#i1087862","FAR 28.3 Insurance")</f>
        <v>FAR 28.3 Insurance</v>
      </c>
      <c r="H345" s="57" t="str">
        <f>HYPERLINK("https://www.acquisition.gov/sites/default/files/current/gsam/html/Part528.html#wp1858501","GSAM 528.3")</f>
        <v>GSAM 528.3</v>
      </c>
      <c r="I345" s="34"/>
      <c r="J345" s="37" t="s">
        <v>463</v>
      </c>
      <c r="K345" s="37" t="s">
        <v>6673</v>
      </c>
      <c r="L345" s="25" t="s">
        <v>6674</v>
      </c>
      <c r="M345" s="25" t="s">
        <v>6675</v>
      </c>
      <c r="N345" s="25" t="s">
        <v>6676</v>
      </c>
      <c r="O345" s="64"/>
      <c r="P345" s="45" t="b">
        <f t="shared" si="39"/>
        <v>0</v>
      </c>
      <c r="Q345" s="45">
        <f t="shared" si="40"/>
        <v>0</v>
      </c>
      <c r="R345" s="45">
        <f t="shared" si="41"/>
        <v>0</v>
      </c>
      <c r="S345" s="24"/>
      <c r="T345" s="24"/>
      <c r="U345" s="24"/>
      <c r="V345" s="24"/>
      <c r="W345" s="24"/>
      <c r="X345" s="24"/>
      <c r="Y345" s="24"/>
      <c r="Z345" s="24"/>
      <c r="AA345" s="24"/>
      <c r="AB345" s="24"/>
      <c r="AC345" s="24"/>
    </row>
    <row r="346" spans="1:29" ht="86.95">
      <c r="A346" s="180" t="s">
        <v>5632</v>
      </c>
      <c r="B346" s="181" t="s">
        <v>5633</v>
      </c>
      <c r="C346" s="181" t="s">
        <v>5634</v>
      </c>
      <c r="D346" s="144" t="s">
        <v>6677</v>
      </c>
      <c r="E346" s="25" t="s">
        <v>6678</v>
      </c>
      <c r="F346" s="25" t="s">
        <v>6655</v>
      </c>
      <c r="G346" s="57" t="str">
        <f>HYPERLINK("https://www.acquisition.gov/content/part-52-solicitation-provisions-and-contract-clauses#i1063713","FAR 52.204-2 Security Requirements")</f>
        <v>FAR 52.204-2 Security Requirements</v>
      </c>
      <c r="H346" s="57" t="str">
        <f>HYPERLINK("https://www.esd.whs.mil/Portals/54/Documents/DD/forms/dd/dd0441_2017.pdf","DD Form 441")</f>
        <v>DD Form 441</v>
      </c>
      <c r="I346" s="34" t="s">
        <v>3805</v>
      </c>
      <c r="J346" s="37" t="s">
        <v>1566</v>
      </c>
      <c r="K346" s="37" t="s">
        <v>6679</v>
      </c>
      <c r="L346" s="25" t="s">
        <v>6680</v>
      </c>
      <c r="M346" s="25" t="s">
        <v>6681</v>
      </c>
      <c r="N346" s="25" t="s">
        <v>6682</v>
      </c>
      <c r="O346" s="64"/>
      <c r="P346" s="45" t="b">
        <f t="shared" si="39"/>
        <v>0</v>
      </c>
      <c r="Q346" s="45">
        <f t="shared" si="40"/>
        <v>3</v>
      </c>
      <c r="R346" s="45">
        <f t="shared" si="41"/>
        <v>0</v>
      </c>
      <c r="S346" s="24"/>
      <c r="T346" s="24"/>
      <c r="U346" s="24"/>
      <c r="V346" s="24"/>
      <c r="W346" s="24"/>
      <c r="X346" s="24"/>
      <c r="Y346" s="24"/>
      <c r="Z346" s="24"/>
      <c r="AA346" s="24"/>
      <c r="AB346" s="24"/>
      <c r="AC346" s="24"/>
    </row>
    <row r="347" spans="1:29" ht="65.25">
      <c r="A347" s="180" t="s">
        <v>5632</v>
      </c>
      <c r="B347" s="181" t="s">
        <v>5633</v>
      </c>
      <c r="C347" s="181" t="s">
        <v>5634</v>
      </c>
      <c r="D347" s="144" t="s">
        <v>6683</v>
      </c>
      <c r="E347" s="25" t="s">
        <v>6684</v>
      </c>
      <c r="F347" s="25" t="s">
        <v>6685</v>
      </c>
      <c r="G347" s="57" t="str">
        <f>HYPERLINK("https://www.acquisition.gov/content/part-25-foreign-acquisition#id1617MA080D9","FAR Subpart 25.9 Customs and duties")</f>
        <v>FAR Subpart 25.9 Customs and duties</v>
      </c>
      <c r="H347" s="54"/>
      <c r="I347" s="34"/>
      <c r="J347" s="37" t="s">
        <v>463</v>
      </c>
      <c r="K347" s="37" t="s">
        <v>6686</v>
      </c>
      <c r="L347" s="25" t="s">
        <v>6687</v>
      </c>
      <c r="M347" s="25" t="s">
        <v>6688</v>
      </c>
      <c r="N347" s="25" t="s">
        <v>6689</v>
      </c>
      <c r="O347" s="64"/>
      <c r="P347" s="45" t="b">
        <f t="shared" si="39"/>
        <v>0</v>
      </c>
      <c r="Q347" s="45">
        <f t="shared" si="40"/>
        <v>0</v>
      </c>
      <c r="R347" s="45">
        <f t="shared" si="41"/>
        <v>0</v>
      </c>
      <c r="S347" s="24"/>
      <c r="T347" s="24"/>
      <c r="U347" s="24"/>
      <c r="V347" s="24"/>
      <c r="W347" s="24"/>
      <c r="X347" s="24"/>
      <c r="Y347" s="24"/>
      <c r="Z347" s="24"/>
      <c r="AA347" s="24"/>
      <c r="AB347" s="24"/>
      <c r="AC347" s="24"/>
    </row>
    <row r="348" spans="1:29" ht="97.85">
      <c r="A348" s="180" t="s">
        <v>5632</v>
      </c>
      <c r="B348" s="181" t="s">
        <v>5633</v>
      </c>
      <c r="C348" s="181" t="s">
        <v>5634</v>
      </c>
      <c r="D348" s="144" t="s">
        <v>6690</v>
      </c>
      <c r="E348" s="25" t="s">
        <v>6691</v>
      </c>
      <c r="F348" s="25" t="s">
        <v>4700</v>
      </c>
      <c r="G348" s="57" t="str">
        <f>HYPERLINK("https://www.acquisition.gov/content/part-45-government-property#id1617MD0M0NG","FAR 45.105(a) Contractors’ property management system compliance.")</f>
        <v>FAR 45.105(a) Contractors’ property management system compliance.</v>
      </c>
      <c r="H348" s="54"/>
      <c r="I348" s="34"/>
      <c r="J348" s="37" t="s">
        <v>463</v>
      </c>
      <c r="K348" s="37" t="s">
        <v>6692</v>
      </c>
      <c r="L348" s="79" t="s">
        <v>6693</v>
      </c>
      <c r="M348" s="79" t="s">
        <v>6694</v>
      </c>
      <c r="N348" s="25" t="s">
        <v>6695</v>
      </c>
      <c r="O348" s="64"/>
      <c r="P348" s="45" t="b">
        <f t="shared" si="39"/>
        <v>0</v>
      </c>
      <c r="Q348" s="45">
        <f t="shared" si="40"/>
        <v>0</v>
      </c>
      <c r="R348" s="45">
        <f t="shared" si="41"/>
        <v>0</v>
      </c>
      <c r="S348" s="24"/>
      <c r="T348" s="24"/>
      <c r="U348" s="24"/>
      <c r="V348" s="24"/>
      <c r="W348" s="24"/>
      <c r="X348" s="24"/>
      <c r="Y348" s="24"/>
      <c r="Z348" s="24"/>
      <c r="AA348" s="24"/>
      <c r="AB348" s="24"/>
      <c r="AC348" s="24"/>
    </row>
    <row r="349" spans="1:29" ht="108.7">
      <c r="A349" s="180" t="s">
        <v>5632</v>
      </c>
      <c r="B349" s="181" t="s">
        <v>5633</v>
      </c>
      <c r="C349" s="181" t="s">
        <v>5634</v>
      </c>
      <c r="D349" s="144" t="s">
        <v>6696</v>
      </c>
      <c r="E349" s="25" t="s">
        <v>6697</v>
      </c>
      <c r="F349" s="25" t="s">
        <v>3617</v>
      </c>
      <c r="G349" s="57" t="str">
        <f t="shared" ref="G349:G350" si="51">HYPERLINK("https://www.acquisition.gov/content/part-45-government-property#id1617MD0M0NG","FAR 45.105(b) Contractors’ property management system compliance")</f>
        <v>FAR 45.105(b) Contractors’ property management system compliance</v>
      </c>
      <c r="H349" s="54"/>
      <c r="I349" s="34"/>
      <c r="J349" s="37" t="s">
        <v>463</v>
      </c>
      <c r="K349" s="37" t="s">
        <v>6698</v>
      </c>
      <c r="L349" s="79" t="s">
        <v>6699</v>
      </c>
      <c r="M349" s="79" t="s">
        <v>6700</v>
      </c>
      <c r="N349" s="25" t="s">
        <v>6701</v>
      </c>
      <c r="O349" s="64"/>
      <c r="P349" s="45" t="b">
        <f t="shared" si="39"/>
        <v>0</v>
      </c>
      <c r="Q349" s="45">
        <f t="shared" si="40"/>
        <v>0</v>
      </c>
      <c r="R349" s="45">
        <f t="shared" si="41"/>
        <v>0</v>
      </c>
      <c r="S349" s="24"/>
      <c r="T349" s="24"/>
      <c r="U349" s="24"/>
      <c r="V349" s="24"/>
      <c r="W349" s="24"/>
      <c r="X349" s="24"/>
      <c r="Y349" s="24"/>
      <c r="Z349" s="24"/>
      <c r="AA349" s="24"/>
      <c r="AB349" s="24"/>
      <c r="AC349" s="24"/>
    </row>
    <row r="350" spans="1:29" ht="108.7">
      <c r="A350" s="180" t="s">
        <v>5632</v>
      </c>
      <c r="B350" s="181" t="s">
        <v>5633</v>
      </c>
      <c r="C350" s="181" t="s">
        <v>5634</v>
      </c>
      <c r="D350" s="144" t="s">
        <v>6702</v>
      </c>
      <c r="E350" s="25" t="s">
        <v>6703</v>
      </c>
      <c r="F350" s="25" t="s">
        <v>3617</v>
      </c>
      <c r="G350" s="57" t="str">
        <f t="shared" si="51"/>
        <v>FAR 45.105(b) Contractors’ property management system compliance</v>
      </c>
      <c r="H350" s="54"/>
      <c r="I350" s="34"/>
      <c r="J350" s="37" t="s">
        <v>463</v>
      </c>
      <c r="K350" s="37" t="s">
        <v>6704</v>
      </c>
      <c r="L350" s="79" t="s">
        <v>6699</v>
      </c>
      <c r="M350" s="79" t="s">
        <v>6705</v>
      </c>
      <c r="N350" s="25" t="s">
        <v>6706</v>
      </c>
      <c r="O350" s="64"/>
      <c r="P350" s="45" t="b">
        <f t="shared" si="39"/>
        <v>0</v>
      </c>
      <c r="Q350" s="45">
        <f t="shared" si="40"/>
        <v>0</v>
      </c>
      <c r="R350" s="45">
        <f t="shared" si="41"/>
        <v>0</v>
      </c>
      <c r="S350" s="24"/>
      <c r="T350" s="24"/>
      <c r="U350" s="24"/>
      <c r="V350" s="24"/>
      <c r="W350" s="24"/>
      <c r="X350" s="24"/>
      <c r="Y350" s="24"/>
      <c r="Z350" s="24"/>
      <c r="AA350" s="24"/>
      <c r="AB350" s="24"/>
      <c r="AC350" s="24"/>
    </row>
    <row r="351" spans="1:29" ht="65.25">
      <c r="A351" s="180" t="s">
        <v>5632</v>
      </c>
      <c r="B351" s="181" t="s">
        <v>5633</v>
      </c>
      <c r="C351" s="181" t="s">
        <v>5634</v>
      </c>
      <c r="D351" s="144" t="s">
        <v>6707</v>
      </c>
      <c r="E351" s="25" t="s">
        <v>6708</v>
      </c>
      <c r="F351" s="25" t="s">
        <v>4663</v>
      </c>
      <c r="G351" s="57" t="str">
        <f>HYPERLINK("https://www.acquisition.gov/content/part-45-government-property#id1617MD0M0TC","FAR 45.106 Transferring accountability [government property].")</f>
        <v>FAR 45.106 Transferring accountability [government property].</v>
      </c>
      <c r="H351" s="54"/>
      <c r="I351" s="34"/>
      <c r="J351" s="37" t="s">
        <v>463</v>
      </c>
      <c r="K351" s="37" t="s">
        <v>6709</v>
      </c>
      <c r="L351" s="79" t="s">
        <v>6710</v>
      </c>
      <c r="M351" s="79" t="s">
        <v>6711</v>
      </c>
      <c r="N351" s="25" t="s">
        <v>6712</v>
      </c>
      <c r="O351" s="64"/>
      <c r="P351" s="45" t="b">
        <f t="shared" si="39"/>
        <v>0</v>
      </c>
      <c r="Q351" s="45">
        <f t="shared" si="40"/>
        <v>0</v>
      </c>
      <c r="R351" s="45">
        <f t="shared" si="41"/>
        <v>0</v>
      </c>
      <c r="S351" s="24"/>
      <c r="T351" s="24"/>
      <c r="U351" s="24"/>
      <c r="V351" s="24"/>
      <c r="W351" s="24"/>
      <c r="X351" s="24"/>
      <c r="Y351" s="24"/>
      <c r="Z351" s="24"/>
      <c r="AA351" s="24"/>
      <c r="AB351" s="24"/>
      <c r="AC351" s="24"/>
    </row>
    <row r="352" spans="1:29" ht="86.95">
      <c r="A352" s="180" t="s">
        <v>5632</v>
      </c>
      <c r="B352" s="181" t="s">
        <v>5633</v>
      </c>
      <c r="C352" s="181" t="s">
        <v>5634</v>
      </c>
      <c r="D352" s="144" t="s">
        <v>6713</v>
      </c>
      <c r="E352" s="25" t="s">
        <v>6714</v>
      </c>
      <c r="F352" s="25" t="s">
        <v>4745</v>
      </c>
      <c r="G352" s="57" t="str">
        <f>HYPERLINK("https://www.acquisition.gov/content/part-45-government-property#id1617MD0M0BU","FAR 45.402 Title to contractor-acquired property")</f>
        <v>FAR 45.402 Title to contractor-acquired property</v>
      </c>
      <c r="H352" s="54"/>
      <c r="I352" s="34"/>
      <c r="J352" s="37" t="s">
        <v>463</v>
      </c>
      <c r="K352" s="37" t="s">
        <v>6715</v>
      </c>
      <c r="L352" s="79" t="s">
        <v>6716</v>
      </c>
      <c r="M352" s="79" t="s">
        <v>6717</v>
      </c>
      <c r="N352" s="25" t="s">
        <v>6718</v>
      </c>
      <c r="O352" s="64"/>
      <c r="P352" s="45" t="b">
        <f t="shared" si="39"/>
        <v>0</v>
      </c>
      <c r="Q352" s="45">
        <f t="shared" si="40"/>
        <v>0</v>
      </c>
      <c r="R352" s="45">
        <f t="shared" si="41"/>
        <v>0</v>
      </c>
      <c r="S352" s="24"/>
      <c r="T352" s="24"/>
      <c r="U352" s="24"/>
      <c r="V352" s="24"/>
      <c r="W352" s="24"/>
      <c r="X352" s="24"/>
      <c r="Y352" s="24"/>
      <c r="Z352" s="24"/>
      <c r="AA352" s="24"/>
      <c r="AB352" s="24"/>
      <c r="AC352" s="24"/>
    </row>
    <row r="353" spans="1:29" ht="76.099999999999994">
      <c r="A353" s="180" t="s">
        <v>5632</v>
      </c>
      <c r="B353" s="181" t="s">
        <v>5633</v>
      </c>
      <c r="C353" s="181" t="s">
        <v>5634</v>
      </c>
      <c r="D353" s="144" t="s">
        <v>6719</v>
      </c>
      <c r="E353" s="25" t="s">
        <v>6720</v>
      </c>
      <c r="F353" s="25" t="s">
        <v>4164</v>
      </c>
      <c r="G353" s="57" t="str">
        <f>HYPERLINK("https://www.acquisition.gov/content/part-45-government-property#i1072877","FAR 45.605 Inventory disposal reports [government property]. ")</f>
        <v xml:space="preserve">FAR 45.605 Inventory disposal reports [government property]. </v>
      </c>
      <c r="H353" s="54"/>
      <c r="I353" s="34"/>
      <c r="J353" s="37" t="s">
        <v>463</v>
      </c>
      <c r="K353" s="37" t="s">
        <v>6721</v>
      </c>
      <c r="L353" s="79" t="s">
        <v>6722</v>
      </c>
      <c r="M353" s="79" t="s">
        <v>6723</v>
      </c>
      <c r="N353" s="25" t="s">
        <v>6724</v>
      </c>
      <c r="O353" s="64"/>
      <c r="P353" s="45" t="b">
        <f t="shared" si="39"/>
        <v>0</v>
      </c>
      <c r="Q353" s="45">
        <f t="shared" si="40"/>
        <v>0</v>
      </c>
      <c r="R353" s="45">
        <f t="shared" si="41"/>
        <v>0</v>
      </c>
      <c r="S353" s="24"/>
      <c r="T353" s="24"/>
      <c r="U353" s="24"/>
      <c r="V353" s="24"/>
      <c r="W353" s="24"/>
      <c r="X353" s="24"/>
      <c r="Y353" s="24"/>
      <c r="Z353" s="24"/>
      <c r="AA353" s="24"/>
      <c r="AB353" s="24"/>
      <c r="AC353" s="24"/>
    </row>
    <row r="354" spans="1:29" ht="76.099999999999994">
      <c r="A354" s="180" t="s">
        <v>5632</v>
      </c>
      <c r="B354" s="181" t="s">
        <v>5633</v>
      </c>
      <c r="C354" s="181" t="s">
        <v>5634</v>
      </c>
      <c r="D354" s="144" t="s">
        <v>6725</v>
      </c>
      <c r="E354" s="25" t="s">
        <v>6726</v>
      </c>
      <c r="F354" s="25" t="s">
        <v>6727</v>
      </c>
      <c r="G354" s="57" t="str">
        <f>HYPERLINK("https://www.acquisition.gov/content/part-45-government-property#i1073000","FAR 45.301 Use and rental [authorizing the use and rental of government property].")</f>
        <v>FAR 45.301 Use and rental [authorizing the use and rental of government property].</v>
      </c>
      <c r="H354" s="54"/>
      <c r="I354" s="34"/>
      <c r="J354" s="37" t="s">
        <v>463</v>
      </c>
      <c r="K354" s="37" t="s">
        <v>6728</v>
      </c>
      <c r="L354" s="25" t="s">
        <v>6729</v>
      </c>
      <c r="M354" s="25" t="s">
        <v>6730</v>
      </c>
      <c r="N354" s="25" t="s">
        <v>6731</v>
      </c>
      <c r="O354" s="64"/>
      <c r="P354" s="45" t="b">
        <f t="shared" si="39"/>
        <v>0</v>
      </c>
      <c r="Q354" s="45">
        <f t="shared" si="40"/>
        <v>0</v>
      </c>
      <c r="R354" s="45">
        <f t="shared" si="41"/>
        <v>0</v>
      </c>
      <c r="S354" s="24"/>
      <c r="T354" s="24"/>
      <c r="U354" s="24"/>
      <c r="V354" s="24"/>
      <c r="W354" s="24"/>
      <c r="X354" s="24"/>
      <c r="Y354" s="24"/>
      <c r="Z354" s="24"/>
      <c r="AA354" s="24"/>
      <c r="AB354" s="24"/>
      <c r="AC354" s="24"/>
    </row>
    <row r="355" spans="1:29" ht="65.25">
      <c r="A355" s="180" t="s">
        <v>5632</v>
      </c>
      <c r="B355" s="181" t="s">
        <v>5633</v>
      </c>
      <c r="C355" s="181" t="s">
        <v>5634</v>
      </c>
      <c r="D355" s="144" t="s">
        <v>6732</v>
      </c>
      <c r="E355" s="25" t="s">
        <v>6733</v>
      </c>
      <c r="F355" s="25" t="s">
        <v>1427</v>
      </c>
      <c r="G355" s="57" t="str">
        <f>HYPERLINK("https://www.acquisition.gov/content/part-27-patents-data-and-copyrights","FAR Part 27 Patents, Data, and Copyrights.")</f>
        <v>FAR Part 27 Patents, Data, and Copyrights.</v>
      </c>
      <c r="H355" s="57" t="str">
        <f>HYPERLINK("https://www.acquisition.gov/sites/default/files/current/far/html/FARTOCP27.html#wp224991","GSAM 527")</f>
        <v>GSAM 527</v>
      </c>
      <c r="I355" s="34" t="s">
        <v>3805</v>
      </c>
      <c r="J355" s="37" t="s">
        <v>1566</v>
      </c>
      <c r="K355" s="37" t="s">
        <v>6734</v>
      </c>
      <c r="L355" s="25" t="s">
        <v>6735</v>
      </c>
      <c r="M355" s="25" t="s">
        <v>6736</v>
      </c>
      <c r="N355" s="25" t="s">
        <v>6629</v>
      </c>
      <c r="O355" s="64"/>
      <c r="P355" s="45" t="b">
        <f t="shared" si="39"/>
        <v>0</v>
      </c>
      <c r="Q355" s="45">
        <f t="shared" si="40"/>
        <v>3</v>
      </c>
      <c r="R355" s="45">
        <f t="shared" si="41"/>
        <v>0</v>
      </c>
      <c r="S355" s="24"/>
      <c r="T355" s="24"/>
      <c r="U355" s="24"/>
      <c r="V355" s="24"/>
      <c r="W355" s="24"/>
      <c r="X355" s="24"/>
      <c r="Y355" s="24"/>
      <c r="Z355" s="24"/>
      <c r="AA355" s="24"/>
      <c r="AB355" s="24"/>
      <c r="AC355" s="24"/>
    </row>
    <row r="356" spans="1:29" ht="65.25">
      <c r="A356" s="180" t="s">
        <v>5632</v>
      </c>
      <c r="B356" s="181" t="s">
        <v>5633</v>
      </c>
      <c r="C356" s="181" t="s">
        <v>5634</v>
      </c>
      <c r="D356" s="144" t="s">
        <v>6737</v>
      </c>
      <c r="E356" s="25" t="s">
        <v>6738</v>
      </c>
      <c r="F356" s="25" t="s">
        <v>1427</v>
      </c>
      <c r="G356" s="57" t="str">
        <f>HYPERLINK("https://www.acquisition.gov/content/part-27-patents-data-and-copyrights","FAR 27.2 and FAR 27.4.")</f>
        <v>FAR 27.2 and FAR 27.4.</v>
      </c>
      <c r="H356" s="57" t="str">
        <f>HYPERLINK("https://www.acquisition.gov/sites/default/files/current/gsam/html/Part527.html#wp1858353","GSAM 527.4")</f>
        <v>GSAM 527.4</v>
      </c>
      <c r="I356" s="34" t="s">
        <v>3387</v>
      </c>
      <c r="J356" s="37" t="s">
        <v>1566</v>
      </c>
      <c r="K356" s="37" t="s">
        <v>6739</v>
      </c>
      <c r="L356" s="25" t="s">
        <v>6735</v>
      </c>
      <c r="M356" s="25" t="s">
        <v>6736</v>
      </c>
      <c r="N356" s="25" t="s">
        <v>6629</v>
      </c>
      <c r="O356" s="64"/>
      <c r="P356" s="45" t="b">
        <f t="shared" si="39"/>
        <v>0</v>
      </c>
      <c r="Q356" s="45">
        <f t="shared" si="40"/>
        <v>3</v>
      </c>
      <c r="R356" s="45">
        <f t="shared" si="41"/>
        <v>0</v>
      </c>
      <c r="S356" s="24"/>
      <c r="T356" s="24"/>
      <c r="U356" s="24"/>
      <c r="V356" s="24"/>
      <c r="W356" s="24"/>
      <c r="X356" s="24"/>
      <c r="Y356" s="24"/>
      <c r="Z356" s="24"/>
      <c r="AA356" s="24"/>
      <c r="AB356" s="24"/>
      <c r="AC356" s="24"/>
    </row>
    <row r="357" spans="1:29" ht="76.099999999999994">
      <c r="A357" s="180" t="s">
        <v>5632</v>
      </c>
      <c r="B357" s="181" t="s">
        <v>5633</v>
      </c>
      <c r="C357" s="181" t="s">
        <v>5634</v>
      </c>
      <c r="D357" s="144" t="s">
        <v>6740</v>
      </c>
      <c r="E357" s="25" t="s">
        <v>6741</v>
      </c>
      <c r="F357" s="25" t="s">
        <v>6742</v>
      </c>
      <c r="G357" s="57" t="str">
        <f>HYPERLINK("https://www.acquisition.gov/browse/index/far","FAR 2.101 Claim [definitions]. FAR 52.233-1 Disputes. ")</f>
        <v xml:space="preserve">FAR 2.101 Claim [definitions]. FAR 52.233-1 Disputes. </v>
      </c>
      <c r="H357" s="54"/>
      <c r="I357" s="34"/>
      <c r="J357" s="37" t="s">
        <v>463</v>
      </c>
      <c r="K357" s="37" t="s">
        <v>6743</v>
      </c>
      <c r="L357" s="25" t="s">
        <v>6744</v>
      </c>
      <c r="M357" s="25" t="s">
        <v>6745</v>
      </c>
      <c r="N357" s="25" t="s">
        <v>6746</v>
      </c>
      <c r="O357" s="64"/>
      <c r="P357" s="45" t="b">
        <f t="shared" si="39"/>
        <v>0</v>
      </c>
      <c r="Q357" s="45">
        <f t="shared" si="40"/>
        <v>0</v>
      </c>
      <c r="R357" s="45">
        <f t="shared" si="41"/>
        <v>0</v>
      </c>
      <c r="S357" s="24"/>
      <c r="T357" s="24"/>
      <c r="U357" s="24"/>
      <c r="V357" s="24"/>
      <c r="W357" s="24"/>
      <c r="X357" s="24"/>
      <c r="Y357" s="24"/>
      <c r="Z357" s="24"/>
      <c r="AA357" s="24"/>
      <c r="AB357" s="24"/>
      <c r="AC357" s="24"/>
    </row>
    <row r="358" spans="1:29" ht="97.85">
      <c r="A358" s="180" t="s">
        <v>5632</v>
      </c>
      <c r="B358" s="181" t="s">
        <v>5633</v>
      </c>
      <c r="C358" s="181" t="s">
        <v>5634</v>
      </c>
      <c r="D358" s="144" t="s">
        <v>6747</v>
      </c>
      <c r="E358" s="25" t="s">
        <v>6748</v>
      </c>
      <c r="F358" s="25" t="s">
        <v>6749</v>
      </c>
      <c r="G358" s="57" t="str">
        <f>HYPERLINK("https://www.acquisition.gov/content/part-33-protests-disputes-and-appeals#i1080209","FAR 33.204 Policy [disputes and appeals] ")</f>
        <v xml:space="preserve">FAR 33.204 Policy [disputes and appeals] </v>
      </c>
      <c r="H358" s="195" t="s">
        <v>6750</v>
      </c>
      <c r="I358" s="34"/>
      <c r="J358" s="37" t="s">
        <v>463</v>
      </c>
      <c r="K358" s="37" t="s">
        <v>6751</v>
      </c>
      <c r="L358" s="25" t="s">
        <v>6752</v>
      </c>
      <c r="M358" s="25" t="s">
        <v>6753</v>
      </c>
      <c r="N358" s="25" t="s">
        <v>6754</v>
      </c>
      <c r="O358" s="64"/>
      <c r="P358" s="45" t="b">
        <f t="shared" si="39"/>
        <v>0</v>
      </c>
      <c r="Q358" s="45">
        <f t="shared" si="40"/>
        <v>0</v>
      </c>
      <c r="R358" s="45">
        <f t="shared" si="41"/>
        <v>0</v>
      </c>
      <c r="S358" s="24"/>
      <c r="T358" s="24"/>
      <c r="U358" s="24"/>
      <c r="V358" s="24"/>
      <c r="W358" s="24"/>
      <c r="X358" s="24"/>
      <c r="Y358" s="24"/>
      <c r="Z358" s="24"/>
      <c r="AA358" s="24"/>
      <c r="AB358" s="24"/>
      <c r="AC358" s="24"/>
    </row>
    <row r="359" spans="1:29" ht="76.099999999999994">
      <c r="A359" s="180" t="s">
        <v>5632</v>
      </c>
      <c r="B359" s="181" t="s">
        <v>5633</v>
      </c>
      <c r="C359" s="181" t="s">
        <v>5634</v>
      </c>
      <c r="D359" s="144" t="s">
        <v>6755</v>
      </c>
      <c r="E359" s="25" t="s">
        <v>6756</v>
      </c>
      <c r="F359" s="25" t="s">
        <v>6757</v>
      </c>
      <c r="G359" s="57" t="str">
        <f>HYPERLINK("https://www.acquisition.gov/browse/index/far","FAR 33.206(a) Initiation of a claim. FAR 52.233-1(d)(1) Disputes clause. ")</f>
        <v xml:space="preserve">FAR 33.206(a) Initiation of a claim. FAR 52.233-1(d)(1) Disputes clause. </v>
      </c>
      <c r="H359" s="54"/>
      <c r="I359" s="34"/>
      <c r="J359" s="37" t="s">
        <v>463</v>
      </c>
      <c r="K359" s="37" t="s">
        <v>6758</v>
      </c>
      <c r="L359" s="79" t="s">
        <v>6759</v>
      </c>
      <c r="M359" s="25" t="s">
        <v>6760</v>
      </c>
      <c r="N359" s="25" t="s">
        <v>6761</v>
      </c>
      <c r="O359" s="64"/>
      <c r="P359" s="45" t="b">
        <f t="shared" si="39"/>
        <v>0</v>
      </c>
      <c r="Q359" s="45">
        <f t="shared" si="40"/>
        <v>0</v>
      </c>
      <c r="R359" s="45">
        <f t="shared" si="41"/>
        <v>0</v>
      </c>
      <c r="S359" s="24"/>
      <c r="T359" s="24"/>
      <c r="U359" s="24"/>
      <c r="V359" s="24"/>
      <c r="W359" s="24"/>
      <c r="X359" s="24"/>
      <c r="Y359" s="24"/>
      <c r="Z359" s="24"/>
      <c r="AA359" s="24"/>
      <c r="AB359" s="24"/>
      <c r="AC359" s="24"/>
    </row>
    <row r="360" spans="1:29" ht="65.25">
      <c r="A360" s="180" t="s">
        <v>5632</v>
      </c>
      <c r="B360" s="181" t="s">
        <v>5633</v>
      </c>
      <c r="C360" s="181" t="s">
        <v>5634</v>
      </c>
      <c r="D360" s="144" t="s">
        <v>6762</v>
      </c>
      <c r="E360" s="25" t="s">
        <v>6763</v>
      </c>
      <c r="F360" s="25" t="s">
        <v>5868</v>
      </c>
      <c r="G360" s="57" t="str">
        <f>HYPERLINK("https://www.acquisition.gov/content/part-33-protests-disputes-and-appeals#i1080231","FAR 33.206(b) Initiation of a claim.")</f>
        <v>FAR 33.206(b) Initiation of a claim.</v>
      </c>
      <c r="H360" s="54"/>
      <c r="I360" s="34"/>
      <c r="J360" s="37" t="s">
        <v>463</v>
      </c>
      <c r="K360" s="37" t="s">
        <v>6764</v>
      </c>
      <c r="L360" s="25" t="s">
        <v>6765</v>
      </c>
      <c r="M360" s="25" t="s">
        <v>6766</v>
      </c>
      <c r="N360" s="25" t="s">
        <v>6767</v>
      </c>
      <c r="O360" s="64"/>
      <c r="P360" s="45" t="b">
        <f t="shared" si="39"/>
        <v>0</v>
      </c>
      <c r="Q360" s="45">
        <f t="shared" si="40"/>
        <v>0</v>
      </c>
      <c r="R360" s="45">
        <f t="shared" si="41"/>
        <v>0</v>
      </c>
      <c r="S360" s="24"/>
      <c r="T360" s="24"/>
      <c r="U360" s="24"/>
      <c r="V360" s="24"/>
      <c r="W360" s="24"/>
      <c r="X360" s="24"/>
      <c r="Y360" s="24"/>
      <c r="Z360" s="24"/>
      <c r="AA360" s="24"/>
      <c r="AB360" s="24"/>
      <c r="AC360" s="24"/>
    </row>
    <row r="361" spans="1:29" ht="97.85">
      <c r="A361" s="180" t="s">
        <v>5632</v>
      </c>
      <c r="B361" s="181" t="s">
        <v>5633</v>
      </c>
      <c r="C361" s="181" t="s">
        <v>5634</v>
      </c>
      <c r="D361" s="144" t="s">
        <v>6768</v>
      </c>
      <c r="E361" s="25" t="s">
        <v>6769</v>
      </c>
      <c r="F361" s="25" t="s">
        <v>6770</v>
      </c>
      <c r="G361" s="57" t="str">
        <f>HYPERLINK("https://www.acquisition.gov/content/part-33-protests-disputes-and-appeals","FAR 33.204 Policy [disputes and appeals] FAR 33.210 Contracting officer’s authority [disputes and appeals]. FAR 33.214 Alternative dispute resolution (ADR).")</f>
        <v>FAR 33.204 Policy [disputes and appeals] FAR 33.210 Contracting officer’s authority [disputes and appeals]. FAR 33.214 Alternative dispute resolution (ADR).</v>
      </c>
      <c r="H361" s="54"/>
      <c r="I361" s="34"/>
      <c r="J361" s="37" t="s">
        <v>463</v>
      </c>
      <c r="K361" s="37" t="s">
        <v>6771</v>
      </c>
      <c r="L361" s="25" t="s">
        <v>6752</v>
      </c>
      <c r="M361" s="25" t="s">
        <v>6753</v>
      </c>
      <c r="N361" s="25" t="s">
        <v>6754</v>
      </c>
      <c r="O361" s="64"/>
      <c r="P361" s="45" t="b">
        <f t="shared" si="39"/>
        <v>0</v>
      </c>
      <c r="Q361" s="45">
        <f t="shared" si="40"/>
        <v>0</v>
      </c>
      <c r="R361" s="45">
        <f t="shared" si="41"/>
        <v>0</v>
      </c>
      <c r="S361" s="24"/>
      <c r="T361" s="24"/>
      <c r="U361" s="24"/>
      <c r="V361" s="24"/>
      <c r="W361" s="24"/>
      <c r="X361" s="24"/>
      <c r="Y361" s="24"/>
      <c r="Z361" s="24"/>
      <c r="AA361" s="24"/>
      <c r="AB361" s="24"/>
      <c r="AC361" s="24"/>
    </row>
    <row r="362" spans="1:29" ht="76.099999999999994">
      <c r="A362" s="180" t="s">
        <v>5632</v>
      </c>
      <c r="B362" s="181" t="s">
        <v>5633</v>
      </c>
      <c r="C362" s="181" t="s">
        <v>5634</v>
      </c>
      <c r="D362" s="144" t="s">
        <v>6772</v>
      </c>
      <c r="E362" s="25" t="s">
        <v>6773</v>
      </c>
      <c r="F362" s="25" t="s">
        <v>6774</v>
      </c>
      <c r="G362" s="57" t="str">
        <f>HYPERLINK("https://www.acquisition.gov/browse/index/far","FAR 1.602-2 Responsibilities [contracting officers]. FAR 33.211 Contracting officer’s decision [disputes and appeals].")</f>
        <v>FAR 1.602-2 Responsibilities [contracting officers]. FAR 33.211 Contracting officer’s decision [disputes and appeals].</v>
      </c>
      <c r="H362" s="57" t="str">
        <f>HYPERLINK("https://www.acquisition.gov/sites/default/files/current/gsam/html/GSAMTOC.html","GSAM 501.602-2; 533.211")</f>
        <v>GSAM 501.602-2; 533.211</v>
      </c>
      <c r="I362" s="34"/>
      <c r="J362" s="37" t="s">
        <v>463</v>
      </c>
      <c r="K362" s="37" t="s">
        <v>6775</v>
      </c>
      <c r="L362" s="25" t="s">
        <v>6776</v>
      </c>
      <c r="M362" s="25" t="s">
        <v>6777</v>
      </c>
      <c r="N362" s="25" t="s">
        <v>6778</v>
      </c>
      <c r="O362" s="64"/>
      <c r="P362" s="45" t="b">
        <f t="shared" si="39"/>
        <v>0</v>
      </c>
      <c r="Q362" s="45">
        <f t="shared" si="40"/>
        <v>0</v>
      </c>
      <c r="R362" s="45">
        <f t="shared" si="41"/>
        <v>0</v>
      </c>
      <c r="S362" s="24"/>
      <c r="T362" s="24"/>
      <c r="U362" s="24"/>
      <c r="V362" s="24"/>
      <c r="W362" s="24"/>
      <c r="X362" s="24"/>
      <c r="Y362" s="24"/>
      <c r="Z362" s="24"/>
      <c r="AA362" s="24"/>
      <c r="AB362" s="24"/>
      <c r="AC362" s="24"/>
    </row>
    <row r="363" spans="1:29" ht="130.44999999999999">
      <c r="A363" s="180" t="s">
        <v>5632</v>
      </c>
      <c r="B363" s="181" t="s">
        <v>5633</v>
      </c>
      <c r="C363" s="181" t="s">
        <v>5634</v>
      </c>
      <c r="D363" s="144" t="s">
        <v>6779</v>
      </c>
      <c r="E363" s="25" t="s">
        <v>6780</v>
      </c>
      <c r="F363" s="25" t="s">
        <v>6781</v>
      </c>
      <c r="G363" s="57" t="str">
        <f>HYPERLINK("https://www.acquisition.gov/content/part-33-protests-disputes-and-appeals#i1080268","FAR 33.211 Contracting officer’s decision [disputes and appeals].")</f>
        <v>FAR 33.211 Contracting officer’s decision [disputes and appeals].</v>
      </c>
      <c r="H363" s="57" t="str">
        <f>HYPERLINK("https://www.acquisition.gov/sites/default/files/current/gsam/html/Part533.html#wp1860546","GSAM 533.211")</f>
        <v>GSAM 533.211</v>
      </c>
      <c r="I363" s="34"/>
      <c r="J363" s="37" t="s">
        <v>463</v>
      </c>
      <c r="K363" s="37" t="s">
        <v>6782</v>
      </c>
      <c r="L363" s="79" t="s">
        <v>6783</v>
      </c>
      <c r="M363" s="25" t="s">
        <v>6784</v>
      </c>
      <c r="N363" s="25" t="s">
        <v>6785</v>
      </c>
      <c r="O363" s="64"/>
      <c r="P363" s="45" t="b">
        <f t="shared" si="39"/>
        <v>0</v>
      </c>
      <c r="Q363" s="45">
        <f t="shared" si="40"/>
        <v>0</v>
      </c>
      <c r="R363" s="45">
        <f t="shared" si="41"/>
        <v>0</v>
      </c>
      <c r="S363" s="24"/>
      <c r="T363" s="24"/>
      <c r="U363" s="24"/>
      <c r="V363" s="24"/>
      <c r="W363" s="24"/>
      <c r="X363" s="24"/>
      <c r="Y363" s="24"/>
      <c r="Z363" s="24"/>
      <c r="AA363" s="24"/>
      <c r="AB363" s="24"/>
      <c r="AC363" s="24"/>
    </row>
    <row r="364" spans="1:29" ht="130.44999999999999">
      <c r="A364" s="180" t="s">
        <v>5632</v>
      </c>
      <c r="B364" s="181" t="s">
        <v>5633</v>
      </c>
      <c r="C364" s="181" t="s">
        <v>5634</v>
      </c>
      <c r="D364" s="144" t="s">
        <v>6786</v>
      </c>
      <c r="E364" s="25" t="s">
        <v>6787</v>
      </c>
      <c r="F364" s="25" t="s">
        <v>6788</v>
      </c>
      <c r="G364" s="57" t="str">
        <f>HYPERLINK("https://www.acquisition.gov/content/part-33-protests-disputes-and-appeals#id1617MD0H06V","FAR 33.212 Contracting officer’s duties upon appeal. ")</f>
        <v xml:space="preserve">FAR 33.212 Contracting officer’s duties upon appeal. </v>
      </c>
      <c r="H364" s="57" t="str">
        <f>HYPERLINK("https://www.acquisition.gov/sites/default/files/current/gsam/html/Part533.html#wp1858227","GSAM 533.212")</f>
        <v>GSAM 533.212</v>
      </c>
      <c r="I364" s="34"/>
      <c r="J364" s="37" t="s">
        <v>463</v>
      </c>
      <c r="K364" s="37" t="s">
        <v>6789</v>
      </c>
      <c r="L364" s="25" t="s">
        <v>6790</v>
      </c>
      <c r="M364" s="25" t="s">
        <v>6791</v>
      </c>
      <c r="N364" s="25" t="s">
        <v>6792</v>
      </c>
      <c r="O364" s="64"/>
      <c r="P364" s="45" t="b">
        <f t="shared" si="39"/>
        <v>0</v>
      </c>
      <c r="Q364" s="45">
        <f t="shared" si="40"/>
        <v>0</v>
      </c>
      <c r="R364" s="45">
        <f t="shared" si="41"/>
        <v>0</v>
      </c>
      <c r="S364" s="24"/>
      <c r="T364" s="24"/>
      <c r="U364" s="24"/>
      <c r="V364" s="24"/>
      <c r="W364" s="24"/>
      <c r="X364" s="24"/>
      <c r="Y364" s="24"/>
      <c r="Z364" s="24"/>
      <c r="AA364" s="24"/>
      <c r="AB364" s="24"/>
      <c r="AC364" s="24"/>
    </row>
    <row r="365" spans="1:29" ht="130.44999999999999">
      <c r="A365" s="180" t="s">
        <v>5632</v>
      </c>
      <c r="B365" s="181" t="s">
        <v>5633</v>
      </c>
      <c r="C365" s="181" t="s">
        <v>5634</v>
      </c>
      <c r="D365" s="144" t="s">
        <v>6793</v>
      </c>
      <c r="E365" s="25" t="s">
        <v>6794</v>
      </c>
      <c r="F365" s="25" t="s">
        <v>6788</v>
      </c>
      <c r="G365" s="93" t="str">
        <f>HYPERLINK("http://www.uscfc.uscourts.gov/rcfc","United States Court of Federal Claims Rules (RCFC) 8, 12, and 13")</f>
        <v>United States Court of Federal Claims Rules (RCFC) 8, 12, and 13</v>
      </c>
      <c r="H365" s="54"/>
      <c r="I365" s="34"/>
      <c r="J365" s="37" t="s">
        <v>463</v>
      </c>
      <c r="K365" s="37" t="s">
        <v>6795</v>
      </c>
      <c r="L365" s="25" t="s">
        <v>6790</v>
      </c>
      <c r="M365" s="25" t="s">
        <v>6791</v>
      </c>
      <c r="N365" s="25" t="s">
        <v>6792</v>
      </c>
      <c r="O365" s="64"/>
      <c r="P365" s="45" t="b">
        <f t="shared" si="39"/>
        <v>0</v>
      </c>
      <c r="Q365" s="45">
        <f t="shared" si="40"/>
        <v>0</v>
      </c>
      <c r="R365" s="45">
        <f t="shared" si="41"/>
        <v>0</v>
      </c>
      <c r="S365" s="24"/>
      <c r="T365" s="24"/>
      <c r="U365" s="24"/>
      <c r="V365" s="24"/>
      <c r="W365" s="24"/>
      <c r="X365" s="24"/>
      <c r="Y365" s="24"/>
      <c r="Z365" s="24"/>
      <c r="AA365" s="24"/>
      <c r="AB365" s="24"/>
      <c r="AC365" s="24"/>
    </row>
    <row r="366" spans="1:29" ht="65.25">
      <c r="A366" s="180" t="s">
        <v>5632</v>
      </c>
      <c r="B366" s="181" t="s">
        <v>5633</v>
      </c>
      <c r="C366" s="181" t="s">
        <v>5634</v>
      </c>
      <c r="D366" s="144" t="s">
        <v>6796</v>
      </c>
      <c r="E366" s="25" t="s">
        <v>6797</v>
      </c>
      <c r="F366" s="25" t="s">
        <v>6798</v>
      </c>
      <c r="G366" s="57" t="str">
        <f>HYPERLINK("https://www.acquisition.gov/content/part-33-protests-disputes-and-appeals#id1617MD0H06V","FAR 33.212 Contracting officer’s duties upon appeal. ")</f>
        <v xml:space="preserve">FAR 33.212 Contracting officer’s duties upon appeal. </v>
      </c>
      <c r="H366" s="57" t="str">
        <f>HYPERLINK("https://www.acquisition.gov/sites/default/files/current/gsam/html/Part533.html#wp1858227","GSAM 533.212")</f>
        <v>GSAM 533.212</v>
      </c>
      <c r="I366" s="34" t="s">
        <v>3387</v>
      </c>
      <c r="J366" s="37" t="s">
        <v>1566</v>
      </c>
      <c r="K366" s="37" t="s">
        <v>6799</v>
      </c>
      <c r="L366" s="25" t="s">
        <v>6800</v>
      </c>
      <c r="M366" s="25" t="s">
        <v>3390</v>
      </c>
      <c r="N366" s="25" t="s">
        <v>617</v>
      </c>
      <c r="O366" s="64"/>
      <c r="P366" s="45" t="b">
        <f t="shared" si="39"/>
        <v>0</v>
      </c>
      <c r="Q366" s="45">
        <f t="shared" si="40"/>
        <v>3</v>
      </c>
      <c r="R366" s="45">
        <f t="shared" si="41"/>
        <v>0</v>
      </c>
      <c r="S366" s="24"/>
      <c r="T366" s="24"/>
      <c r="U366" s="24"/>
      <c r="V366" s="24"/>
      <c r="W366" s="24"/>
      <c r="X366" s="24"/>
      <c r="Y366" s="24"/>
      <c r="Z366" s="24"/>
      <c r="AA366" s="24"/>
      <c r="AB366" s="24"/>
      <c r="AC366" s="24"/>
    </row>
    <row r="367" spans="1:29" ht="65.25">
      <c r="A367" s="180" t="s">
        <v>5632</v>
      </c>
      <c r="B367" s="181" t="s">
        <v>5633</v>
      </c>
      <c r="C367" s="181" t="s">
        <v>5634</v>
      </c>
      <c r="D367" s="144" t="s">
        <v>6801</v>
      </c>
      <c r="E367" s="25" t="s">
        <v>6802</v>
      </c>
      <c r="F367" s="25" t="s">
        <v>6803</v>
      </c>
      <c r="G367" s="25" t="s">
        <v>1331</v>
      </c>
      <c r="H367" s="54"/>
      <c r="I367" s="34" t="s">
        <v>3387</v>
      </c>
      <c r="J367" s="37" t="s">
        <v>1566</v>
      </c>
      <c r="K367" s="37" t="s">
        <v>6804</v>
      </c>
      <c r="L367" s="25" t="s">
        <v>6805</v>
      </c>
      <c r="M367" s="25" t="s">
        <v>3390</v>
      </c>
      <c r="N367" s="25" t="s">
        <v>617</v>
      </c>
      <c r="O367" s="64"/>
      <c r="P367" s="45" t="b">
        <f t="shared" si="39"/>
        <v>0</v>
      </c>
      <c r="Q367" s="45">
        <f t="shared" si="40"/>
        <v>3</v>
      </c>
      <c r="R367" s="45">
        <f t="shared" si="41"/>
        <v>0</v>
      </c>
      <c r="S367" s="24"/>
      <c r="T367" s="24"/>
      <c r="U367" s="24"/>
      <c r="V367" s="24"/>
      <c r="W367" s="24"/>
      <c r="X367" s="24"/>
      <c r="Y367" s="24"/>
      <c r="Z367" s="24"/>
      <c r="AA367" s="24"/>
      <c r="AB367" s="24"/>
      <c r="AC367" s="24"/>
    </row>
    <row r="368" spans="1:29" ht="65.25">
      <c r="A368" s="180" t="s">
        <v>5632</v>
      </c>
      <c r="B368" s="181" t="s">
        <v>5633</v>
      </c>
      <c r="C368" s="181" t="s">
        <v>5634</v>
      </c>
      <c r="D368" s="144" t="s">
        <v>6806</v>
      </c>
      <c r="E368" s="25" t="s">
        <v>6807</v>
      </c>
      <c r="F368" s="25" t="s">
        <v>4338</v>
      </c>
      <c r="G368" s="25" t="s">
        <v>1331</v>
      </c>
      <c r="H368" s="54"/>
      <c r="I368" s="34" t="s">
        <v>3387</v>
      </c>
      <c r="J368" s="37" t="s">
        <v>1566</v>
      </c>
      <c r="K368" s="37" t="s">
        <v>6808</v>
      </c>
      <c r="L368" s="25" t="s">
        <v>6809</v>
      </c>
      <c r="M368" s="25" t="s">
        <v>3390</v>
      </c>
      <c r="N368" s="25" t="s">
        <v>617</v>
      </c>
      <c r="O368" s="64"/>
      <c r="P368" s="45" t="b">
        <f t="shared" si="39"/>
        <v>0</v>
      </c>
      <c r="Q368" s="45">
        <f t="shared" si="40"/>
        <v>3</v>
      </c>
      <c r="R368" s="45">
        <f t="shared" si="41"/>
        <v>0</v>
      </c>
      <c r="S368" s="24"/>
      <c r="T368" s="24"/>
      <c r="U368" s="24"/>
      <c r="V368" s="24"/>
      <c r="W368" s="24"/>
      <c r="X368" s="24"/>
      <c r="Y368" s="24"/>
      <c r="Z368" s="24"/>
      <c r="AA368" s="24"/>
      <c r="AB368" s="24"/>
      <c r="AC368" s="24"/>
    </row>
    <row r="369" spans="1:29" ht="65.25">
      <c r="A369" s="180" t="s">
        <v>5632</v>
      </c>
      <c r="B369" s="181" t="s">
        <v>5633</v>
      </c>
      <c r="C369" s="181" t="s">
        <v>5634</v>
      </c>
      <c r="D369" s="144" t="s">
        <v>6810</v>
      </c>
      <c r="E369" s="25" t="s">
        <v>6811</v>
      </c>
      <c r="F369" s="25" t="s">
        <v>6812</v>
      </c>
      <c r="G369" s="25" t="s">
        <v>1331</v>
      </c>
      <c r="H369" s="54"/>
      <c r="I369" s="34" t="s">
        <v>3387</v>
      </c>
      <c r="J369" s="37" t="s">
        <v>1566</v>
      </c>
      <c r="K369" s="37" t="s">
        <v>6813</v>
      </c>
      <c r="L369" s="25" t="s">
        <v>6814</v>
      </c>
      <c r="M369" s="25" t="s">
        <v>3390</v>
      </c>
      <c r="N369" s="25" t="s">
        <v>617</v>
      </c>
      <c r="O369" s="64"/>
      <c r="P369" s="45" t="b">
        <f t="shared" si="39"/>
        <v>0</v>
      </c>
      <c r="Q369" s="45">
        <f t="shared" si="40"/>
        <v>3</v>
      </c>
      <c r="R369" s="45">
        <f t="shared" si="41"/>
        <v>0</v>
      </c>
      <c r="S369" s="24"/>
      <c r="T369" s="24"/>
      <c r="U369" s="24"/>
      <c r="V369" s="24"/>
      <c r="W369" s="24"/>
      <c r="X369" s="24"/>
      <c r="Y369" s="24"/>
      <c r="Z369" s="24"/>
      <c r="AA369" s="24"/>
      <c r="AB369" s="24"/>
      <c r="AC369" s="24"/>
    </row>
    <row r="370" spans="1:29" ht="76.099999999999994">
      <c r="A370" s="180" t="s">
        <v>5632</v>
      </c>
      <c r="B370" s="181" t="s">
        <v>5633</v>
      </c>
      <c r="C370" s="181" t="s">
        <v>5634</v>
      </c>
      <c r="D370" s="144" t="s">
        <v>6815</v>
      </c>
      <c r="E370" s="25" t="s">
        <v>6816</v>
      </c>
      <c r="F370" s="25" t="s">
        <v>3573</v>
      </c>
      <c r="G370" s="57" t="e">
        <f>HYPERLINK("https://www.acquisition.gov/browse/index/far","FAR 2.101 Termination for convenience [definitions]. FAR 12.403(a) General [termination]. FAR 8.406-5 Termination for the Government’s convenience [ordering activity responsibilities].  FAR 49.101(a) Authorities and responsibilities [termination of contra"&amp;"cts]. ")</f>
        <v>#VALUE!</v>
      </c>
      <c r="H370" s="54"/>
      <c r="I370" s="34"/>
      <c r="J370" s="37" t="s">
        <v>463</v>
      </c>
      <c r="K370" s="37" t="s">
        <v>6817</v>
      </c>
      <c r="L370" s="79" t="s">
        <v>6818</v>
      </c>
      <c r="M370" s="25" t="s">
        <v>6819</v>
      </c>
      <c r="N370" s="25" t="s">
        <v>6820</v>
      </c>
      <c r="O370" s="64"/>
      <c r="P370" s="45" t="b">
        <f t="shared" si="39"/>
        <v>0</v>
      </c>
      <c r="Q370" s="45">
        <f t="shared" si="40"/>
        <v>0</v>
      </c>
      <c r="R370" s="45">
        <f t="shared" si="41"/>
        <v>0</v>
      </c>
      <c r="S370" s="24"/>
      <c r="T370" s="24"/>
      <c r="U370" s="24"/>
      <c r="V370" s="24"/>
      <c r="W370" s="24"/>
      <c r="X370" s="24"/>
      <c r="Y370" s="24"/>
      <c r="Z370" s="24"/>
      <c r="AA370" s="24"/>
      <c r="AB370" s="24"/>
      <c r="AC370" s="24"/>
    </row>
    <row r="371" spans="1:29" ht="130.44999999999999">
      <c r="A371" s="180" t="s">
        <v>5632</v>
      </c>
      <c r="B371" s="181" t="s">
        <v>5633</v>
      </c>
      <c r="C371" s="181" t="s">
        <v>5634</v>
      </c>
      <c r="D371" s="144" t="s">
        <v>6821</v>
      </c>
      <c r="E371" s="25" t="s">
        <v>6822</v>
      </c>
      <c r="F371" s="25" t="s">
        <v>6823</v>
      </c>
      <c r="G371" s="57" t="e">
        <f>HYPERLINK("https://www.acquisition.gov/browse/index/far","FAR 12.403(c)(1) Termination. FAR 49.102(a) General [notice of termination]. FAR 49.601 Notice of termination for convenience. FAR 52.212-4(l) Contract Terms and Conditions - Commercial Items.  FAR 52.21304(f) Terms and Conditions – Simplified Acquisition"&amp;"s (Other Than Commercial Items).")</f>
        <v>#VALUE!</v>
      </c>
      <c r="H371" s="54"/>
      <c r="I371" s="34"/>
      <c r="J371" s="37" t="s">
        <v>463</v>
      </c>
      <c r="K371" s="37" t="s">
        <v>6824</v>
      </c>
      <c r="L371" s="79" t="s">
        <v>6825</v>
      </c>
      <c r="M371" s="25" t="s">
        <v>6826</v>
      </c>
      <c r="N371" s="25" t="s">
        <v>6827</v>
      </c>
      <c r="O371" s="64"/>
      <c r="P371" s="45" t="b">
        <f t="shared" si="39"/>
        <v>0</v>
      </c>
      <c r="Q371" s="45">
        <f t="shared" si="40"/>
        <v>0</v>
      </c>
      <c r="R371" s="45">
        <f t="shared" si="41"/>
        <v>0</v>
      </c>
      <c r="S371" s="24"/>
      <c r="T371" s="24"/>
      <c r="U371" s="24"/>
      <c r="V371" s="24"/>
      <c r="W371" s="24"/>
      <c r="X371" s="24"/>
      <c r="Y371" s="24"/>
      <c r="Z371" s="24"/>
      <c r="AA371" s="24"/>
      <c r="AB371" s="24"/>
      <c r="AC371" s="24"/>
    </row>
    <row r="372" spans="1:29" ht="65.25">
      <c r="A372" s="180" t="s">
        <v>5632</v>
      </c>
      <c r="B372" s="181" t="s">
        <v>5633</v>
      </c>
      <c r="C372" s="181" t="s">
        <v>5634</v>
      </c>
      <c r="D372" s="144" t="s">
        <v>6828</v>
      </c>
      <c r="E372" s="25" t="s">
        <v>6829</v>
      </c>
      <c r="F372" s="25" t="s">
        <v>6830</v>
      </c>
      <c r="G372" s="57" t="str">
        <f>HYPERLINK("https://www.acquisition.gov/content/part-49-termination-contracts#i1068636","FAR 49.105 Duties of termination contracting officer after issuance of notice of termination")</f>
        <v>FAR 49.105 Duties of termination contracting officer after issuance of notice of termination</v>
      </c>
      <c r="H372" s="54"/>
      <c r="I372" s="34"/>
      <c r="J372" s="37" t="s">
        <v>463</v>
      </c>
      <c r="K372" s="37" t="s">
        <v>6831</v>
      </c>
      <c r="L372" s="79" t="s">
        <v>6832</v>
      </c>
      <c r="M372" s="25" t="s">
        <v>6833</v>
      </c>
      <c r="N372" s="25" t="s">
        <v>6834</v>
      </c>
      <c r="O372" s="64"/>
      <c r="P372" s="45" t="b">
        <f t="shared" si="39"/>
        <v>0</v>
      </c>
      <c r="Q372" s="45">
        <f t="shared" si="40"/>
        <v>0</v>
      </c>
      <c r="R372" s="45">
        <f t="shared" si="41"/>
        <v>0</v>
      </c>
      <c r="S372" s="24"/>
      <c r="T372" s="24"/>
      <c r="U372" s="24"/>
      <c r="V372" s="24"/>
      <c r="W372" s="24"/>
      <c r="X372" s="24"/>
      <c r="Y372" s="24"/>
      <c r="Z372" s="24"/>
      <c r="AA372" s="24"/>
      <c r="AB372" s="24"/>
      <c r="AC372" s="24"/>
    </row>
    <row r="373" spans="1:29" ht="119.55">
      <c r="A373" s="180" t="s">
        <v>5632</v>
      </c>
      <c r="B373" s="181" t="s">
        <v>5633</v>
      </c>
      <c r="C373" s="181" t="s">
        <v>5634</v>
      </c>
      <c r="D373" s="144" t="s">
        <v>6835</v>
      </c>
      <c r="E373" s="25" t="s">
        <v>6836</v>
      </c>
      <c r="F373" s="25" t="s">
        <v>6837</v>
      </c>
      <c r="G373" s="57" t="str">
        <f>HYPERLINK("https://www.acquisition.gov/browse/index/far","FAR 12.403(c)(4) Termination for cause. FAR 49.105 Duties of termination contracting officer after issuance of notice of termination")</f>
        <v>FAR 12.403(c)(4) Termination for cause. FAR 49.105 Duties of termination contracting officer after issuance of notice of termination</v>
      </c>
      <c r="H373" s="54"/>
      <c r="I373" s="34"/>
      <c r="J373" s="37" t="s">
        <v>463</v>
      </c>
      <c r="K373" s="37" t="s">
        <v>6838</v>
      </c>
      <c r="L373" s="79" t="s">
        <v>6839</v>
      </c>
      <c r="M373" s="25" t="s">
        <v>6840</v>
      </c>
      <c r="N373" s="25" t="s">
        <v>6841</v>
      </c>
      <c r="O373" s="64"/>
      <c r="P373" s="45" t="b">
        <f t="shared" si="39"/>
        <v>0</v>
      </c>
      <c r="Q373" s="45">
        <f t="shared" si="40"/>
        <v>0</v>
      </c>
      <c r="R373" s="45">
        <f t="shared" si="41"/>
        <v>0</v>
      </c>
      <c r="S373" s="24"/>
      <c r="T373" s="24"/>
      <c r="U373" s="24"/>
      <c r="V373" s="24"/>
      <c r="W373" s="24"/>
      <c r="X373" s="24"/>
      <c r="Y373" s="24"/>
      <c r="Z373" s="24"/>
      <c r="AA373" s="24"/>
      <c r="AB373" s="24"/>
      <c r="AC373" s="24"/>
    </row>
    <row r="374" spans="1:29" ht="80.349999999999994" customHeight="1">
      <c r="A374" s="180" t="s">
        <v>5632</v>
      </c>
      <c r="B374" s="181" t="s">
        <v>5633</v>
      </c>
      <c r="C374" s="181" t="s">
        <v>5634</v>
      </c>
      <c r="D374" s="144" t="s">
        <v>6842</v>
      </c>
      <c r="E374" s="25" t="s">
        <v>6843</v>
      </c>
      <c r="F374" s="25" t="s">
        <v>1058</v>
      </c>
      <c r="G374" s="57" t="str">
        <f>HYPERLINK("https://www.acquisition.gov/content/part-49-termination-contracts#i1068398","FAR 49.205 Completed end items")</f>
        <v>FAR 49.205 Completed end items</v>
      </c>
      <c r="H374" s="54"/>
      <c r="I374" s="34" t="s">
        <v>6844</v>
      </c>
      <c r="J374" s="37" t="s">
        <v>1566</v>
      </c>
      <c r="K374" s="37" t="s">
        <v>6845</v>
      </c>
      <c r="L374" s="25" t="s">
        <v>6846</v>
      </c>
      <c r="M374" s="25" t="s">
        <v>6847</v>
      </c>
      <c r="N374" s="25" t="s">
        <v>6848</v>
      </c>
      <c r="O374" s="64"/>
      <c r="P374" s="45" t="b">
        <f t="shared" si="39"/>
        <v>0</v>
      </c>
      <c r="Q374" s="45">
        <f t="shared" si="40"/>
        <v>3</v>
      </c>
      <c r="R374" s="45">
        <f t="shared" si="41"/>
        <v>0</v>
      </c>
      <c r="S374" s="24"/>
      <c r="T374" s="24"/>
      <c r="U374" s="24"/>
      <c r="V374" s="24"/>
      <c r="W374" s="24"/>
      <c r="X374" s="24"/>
      <c r="Y374" s="24"/>
      <c r="Z374" s="24"/>
      <c r="AA374" s="24"/>
      <c r="AB374" s="24"/>
      <c r="AC374" s="24"/>
    </row>
    <row r="375" spans="1:29" ht="106.5" customHeight="1">
      <c r="A375" s="180" t="s">
        <v>5632</v>
      </c>
      <c r="B375" s="181" t="s">
        <v>5633</v>
      </c>
      <c r="C375" s="181" t="s">
        <v>5634</v>
      </c>
      <c r="D375" s="144" t="s">
        <v>6849</v>
      </c>
      <c r="E375" s="25" t="s">
        <v>6850</v>
      </c>
      <c r="F375" s="25" t="s">
        <v>1058</v>
      </c>
      <c r="G375" s="57" t="str">
        <f>HYPERLINK("https://www.acquisition.gov/browse/index/far","FAR 12.403(d) Termination. FAR 49.206 -1 Submission of settlement proposals (fixed price contracts). FAR 49.303-1 Submission of settlement proposal (cost reimbursement contracts). ")</f>
        <v xml:space="preserve">FAR 12.403(d) Termination. FAR 49.206 -1 Submission of settlement proposals (fixed price contracts). FAR 49.303-1 Submission of settlement proposal (cost reimbursement contracts). </v>
      </c>
      <c r="H375" s="54"/>
      <c r="I375" s="34"/>
      <c r="J375" s="37" t="s">
        <v>463</v>
      </c>
      <c r="K375" s="37" t="s">
        <v>6851</v>
      </c>
      <c r="L375" s="25" t="s">
        <v>6852</v>
      </c>
      <c r="M375" s="25" t="s">
        <v>6853</v>
      </c>
      <c r="N375" s="25" t="s">
        <v>6854</v>
      </c>
      <c r="O375" s="64"/>
      <c r="P375" s="45" t="b">
        <f t="shared" si="39"/>
        <v>0</v>
      </c>
      <c r="Q375" s="45">
        <f t="shared" si="40"/>
        <v>0</v>
      </c>
      <c r="R375" s="45">
        <f t="shared" si="41"/>
        <v>0</v>
      </c>
      <c r="S375" s="24"/>
      <c r="T375" s="24"/>
      <c r="U375" s="24"/>
      <c r="V375" s="24"/>
      <c r="W375" s="24"/>
      <c r="X375" s="24"/>
      <c r="Y375" s="24"/>
      <c r="Z375" s="24"/>
      <c r="AA375" s="24"/>
      <c r="AB375" s="24"/>
      <c r="AC375" s="24"/>
    </row>
    <row r="376" spans="1:29" ht="65.25">
      <c r="A376" s="180" t="s">
        <v>5632</v>
      </c>
      <c r="B376" s="181" t="s">
        <v>5633</v>
      </c>
      <c r="C376" s="181" t="s">
        <v>5634</v>
      </c>
      <c r="D376" s="144" t="s">
        <v>6855</v>
      </c>
      <c r="E376" s="25" t="s">
        <v>6856</v>
      </c>
      <c r="F376" s="25" t="s">
        <v>4505</v>
      </c>
      <c r="G376" s="57" t="str">
        <f>HYPERLINK("https://www.acquisition.gov/content/part-49-termination-contracts#id1617ME002ME","FAR 49.109-4 No-cost settlement")</f>
        <v>FAR 49.109-4 No-cost settlement</v>
      </c>
      <c r="H376" s="54"/>
      <c r="I376" s="34" t="s">
        <v>6857</v>
      </c>
      <c r="J376" s="37" t="s">
        <v>1566</v>
      </c>
      <c r="K376" s="37" t="s">
        <v>6858</v>
      </c>
      <c r="L376" s="25" t="s">
        <v>6859</v>
      </c>
      <c r="M376" s="25" t="s">
        <v>6860</v>
      </c>
      <c r="N376" s="25" t="s">
        <v>6861</v>
      </c>
      <c r="O376" s="64"/>
      <c r="P376" s="45" t="b">
        <f t="shared" si="39"/>
        <v>0</v>
      </c>
      <c r="Q376" s="45">
        <f t="shared" si="40"/>
        <v>3</v>
      </c>
      <c r="R376" s="45">
        <f t="shared" si="41"/>
        <v>0</v>
      </c>
      <c r="S376" s="24"/>
      <c r="T376" s="24"/>
      <c r="U376" s="24"/>
      <c r="V376" s="24"/>
      <c r="W376" s="24"/>
      <c r="X376" s="24"/>
      <c r="Y376" s="24"/>
      <c r="Z376" s="24"/>
      <c r="AA376" s="24"/>
      <c r="AB376" s="24"/>
      <c r="AC376" s="24"/>
    </row>
    <row r="377" spans="1:29" ht="86.95">
      <c r="A377" s="180" t="s">
        <v>5632</v>
      </c>
      <c r="B377" s="181" t="s">
        <v>5633</v>
      </c>
      <c r="C377" s="181" t="s">
        <v>5634</v>
      </c>
      <c r="D377" s="144" t="s">
        <v>6862</v>
      </c>
      <c r="E377" s="25" t="s">
        <v>6863</v>
      </c>
      <c r="F377" s="25" t="s">
        <v>6864</v>
      </c>
      <c r="G377" s="57" t="str">
        <f>HYPERLINK("https://www.acquisition.gov/content/part-49-termination-contracts#i1068636","FAR 49.105 Duties of termination contracting officer after issuance of notice of termination")</f>
        <v>FAR 49.105 Duties of termination contracting officer after issuance of notice of termination</v>
      </c>
      <c r="H377" s="54"/>
      <c r="I377" s="34"/>
      <c r="J377" s="37" t="s">
        <v>463</v>
      </c>
      <c r="K377" s="37" t="s">
        <v>6865</v>
      </c>
      <c r="L377" s="25" t="s">
        <v>6866</v>
      </c>
      <c r="M377" s="25" t="s">
        <v>6867</v>
      </c>
      <c r="N377" s="25" t="s">
        <v>6868</v>
      </c>
      <c r="O377" s="64"/>
      <c r="P377" s="45" t="b">
        <f t="shared" si="39"/>
        <v>0</v>
      </c>
      <c r="Q377" s="45">
        <f t="shared" si="40"/>
        <v>0</v>
      </c>
      <c r="R377" s="45">
        <f t="shared" si="41"/>
        <v>0</v>
      </c>
      <c r="S377" s="24"/>
      <c r="T377" s="24"/>
      <c r="U377" s="24"/>
      <c r="V377" s="24"/>
      <c r="W377" s="24"/>
      <c r="X377" s="24"/>
      <c r="Y377" s="24"/>
      <c r="Z377" s="24"/>
      <c r="AA377" s="24"/>
      <c r="AB377" s="24"/>
      <c r="AC377" s="24"/>
    </row>
    <row r="378" spans="1:29" ht="76.099999999999994">
      <c r="A378" s="180" t="s">
        <v>5632</v>
      </c>
      <c r="B378" s="181" t="s">
        <v>5633</v>
      </c>
      <c r="C378" s="181" t="s">
        <v>5634</v>
      </c>
      <c r="D378" s="144" t="s">
        <v>6869</v>
      </c>
      <c r="E378" s="25" t="s">
        <v>6870</v>
      </c>
      <c r="F378" s="25" t="s">
        <v>532</v>
      </c>
      <c r="G378" s="57" t="str">
        <f>HYPERLINK("https://www.acquisition.gov/browse/index/far","FAR 12.403(d) Termination. FAR 49.206-2 Basis for settlement proposals")</f>
        <v>FAR 12.403(d) Termination. FAR 49.206-2 Basis for settlement proposals</v>
      </c>
      <c r="H378" s="54"/>
      <c r="I378" s="34" t="s">
        <v>5089</v>
      </c>
      <c r="J378" s="37" t="s">
        <v>1566</v>
      </c>
      <c r="K378" s="37" t="s">
        <v>6871</v>
      </c>
      <c r="L378" s="25" t="s">
        <v>6872</v>
      </c>
      <c r="M378" s="25" t="s">
        <v>6873</v>
      </c>
      <c r="N378" s="25" t="s">
        <v>6874</v>
      </c>
      <c r="O378" s="64"/>
      <c r="P378" s="45" t="b">
        <f t="shared" si="39"/>
        <v>0</v>
      </c>
      <c r="Q378" s="45">
        <f t="shared" si="40"/>
        <v>3</v>
      </c>
      <c r="R378" s="45">
        <f t="shared" si="41"/>
        <v>0</v>
      </c>
      <c r="S378" s="24"/>
      <c r="T378" s="24"/>
      <c r="U378" s="24"/>
      <c r="V378" s="24"/>
      <c r="W378" s="24"/>
      <c r="X378" s="24"/>
      <c r="Y378" s="24"/>
      <c r="Z378" s="24"/>
      <c r="AA378" s="24"/>
      <c r="AB378" s="24"/>
      <c r="AC378" s="24"/>
    </row>
    <row r="379" spans="1:29" ht="97.85">
      <c r="A379" s="180" t="s">
        <v>5632</v>
      </c>
      <c r="B379" s="181" t="s">
        <v>5633</v>
      </c>
      <c r="C379" s="181" t="s">
        <v>5634</v>
      </c>
      <c r="D379" s="144" t="s">
        <v>6875</v>
      </c>
      <c r="E379" s="25" t="s">
        <v>6876</v>
      </c>
      <c r="F379" s="25" t="s">
        <v>1058</v>
      </c>
      <c r="G379" s="57" t="str">
        <f>HYPERLINK("https://www.acquisition.gov/content/part-49-termination-contracts#i1068773","FAR 49.108-4 Authorization for subcontract settlements without approval or ratification")</f>
        <v>FAR 49.108-4 Authorization for subcontract settlements without approval or ratification</v>
      </c>
      <c r="H379" s="54"/>
      <c r="I379" s="34"/>
      <c r="J379" s="37" t="s">
        <v>463</v>
      </c>
      <c r="K379" s="37" t="s">
        <v>6877</v>
      </c>
      <c r="L379" s="25" t="s">
        <v>6878</v>
      </c>
      <c r="M379" s="25" t="s">
        <v>6879</v>
      </c>
      <c r="N379" s="25" t="s">
        <v>6880</v>
      </c>
      <c r="O379" s="64"/>
      <c r="P379" s="45" t="b">
        <f t="shared" si="39"/>
        <v>0</v>
      </c>
      <c r="Q379" s="45">
        <f t="shared" si="40"/>
        <v>0</v>
      </c>
      <c r="R379" s="45">
        <f t="shared" si="41"/>
        <v>0</v>
      </c>
      <c r="S379" s="24"/>
      <c r="T379" s="24"/>
      <c r="U379" s="24"/>
      <c r="V379" s="24"/>
      <c r="W379" s="24"/>
      <c r="X379" s="24"/>
      <c r="Y379" s="24"/>
      <c r="Z379" s="24"/>
      <c r="AA379" s="24"/>
      <c r="AB379" s="24"/>
      <c r="AC379" s="24"/>
    </row>
    <row r="380" spans="1:29" ht="239.1">
      <c r="A380" s="180" t="s">
        <v>5632</v>
      </c>
      <c r="B380" s="181" t="s">
        <v>5633</v>
      </c>
      <c r="C380" s="181" t="s">
        <v>5634</v>
      </c>
      <c r="D380" s="144" t="s">
        <v>6881</v>
      </c>
      <c r="E380" s="25" t="s">
        <v>6882</v>
      </c>
      <c r="F380" s="25" t="s">
        <v>6883</v>
      </c>
      <c r="G380" s="57" t="str">
        <f>HYPERLINK("https://www.acquisition.gov/content/part-49-termination-contracts#i1068740","FAR 49.108-3(c) Settlement procedures")</f>
        <v>FAR 49.108-3(c) Settlement procedures</v>
      </c>
      <c r="H380" s="54"/>
      <c r="I380" s="34"/>
      <c r="J380" s="37" t="s">
        <v>463</v>
      </c>
      <c r="K380" s="37" t="s">
        <v>6884</v>
      </c>
      <c r="L380" s="25" t="s">
        <v>6885</v>
      </c>
      <c r="M380" s="25" t="s">
        <v>6886</v>
      </c>
      <c r="N380" s="25" t="s">
        <v>6887</v>
      </c>
      <c r="O380" s="64"/>
      <c r="P380" s="45" t="b">
        <f t="shared" si="39"/>
        <v>0</v>
      </c>
      <c r="Q380" s="45">
        <f t="shared" si="40"/>
        <v>0</v>
      </c>
      <c r="R380" s="45">
        <f t="shared" si="41"/>
        <v>0</v>
      </c>
      <c r="S380" s="24"/>
      <c r="T380" s="24"/>
      <c r="U380" s="24"/>
      <c r="V380" s="24"/>
      <c r="W380" s="24"/>
      <c r="X380" s="24"/>
      <c r="Y380" s="24"/>
      <c r="Z380" s="24"/>
      <c r="AA380" s="24"/>
      <c r="AB380" s="24"/>
      <c r="AC380" s="24"/>
    </row>
    <row r="381" spans="1:29" ht="195.65">
      <c r="A381" s="180" t="s">
        <v>5632</v>
      </c>
      <c r="B381" s="181" t="s">
        <v>5633</v>
      </c>
      <c r="C381" s="181" t="s">
        <v>5634</v>
      </c>
      <c r="D381" s="144" t="s">
        <v>6888</v>
      </c>
      <c r="E381" s="25" t="s">
        <v>6889</v>
      </c>
      <c r="F381" s="25"/>
      <c r="G381" s="57" t="str">
        <f>HYPERLINK("https://www.acquisition.gov/content/part-49-termination-contracts#i1068724","FAR 49.108-6 Delay in settling subcontractor settlement proposals. FAR 49.108-7 Government assistance in settling subcontracts. FAR 49.108-8 Assignment of rights under subcontract. FAR 49.108-5 Recognition of judgments and arbitration awards")</f>
        <v>FAR 49.108-6 Delay in settling subcontractor settlement proposals. FAR 49.108-7 Government assistance in settling subcontracts. FAR 49.108-8 Assignment of rights under subcontract. FAR 49.108-5 Recognition of judgments and arbitration awards</v>
      </c>
      <c r="H381" s="54"/>
      <c r="I381" s="34"/>
      <c r="J381" s="37" t="s">
        <v>463</v>
      </c>
      <c r="K381" s="37" t="s">
        <v>6890</v>
      </c>
      <c r="L381" s="25" t="s">
        <v>6891</v>
      </c>
      <c r="M381" s="25" t="s">
        <v>6892</v>
      </c>
      <c r="N381" s="25" t="s">
        <v>6893</v>
      </c>
      <c r="O381" s="64"/>
      <c r="P381" s="45" t="b">
        <f t="shared" si="39"/>
        <v>0</v>
      </c>
      <c r="Q381" s="45">
        <f t="shared" si="40"/>
        <v>0</v>
      </c>
      <c r="R381" s="45">
        <f t="shared" si="41"/>
        <v>0</v>
      </c>
      <c r="S381" s="24"/>
      <c r="T381" s="24"/>
      <c r="U381" s="24"/>
      <c r="V381" s="24"/>
      <c r="W381" s="24"/>
      <c r="X381" s="24"/>
      <c r="Y381" s="24"/>
      <c r="Z381" s="24"/>
      <c r="AA381" s="24"/>
      <c r="AB381" s="24"/>
      <c r="AC381" s="24"/>
    </row>
    <row r="382" spans="1:29" ht="76.099999999999994">
      <c r="A382" s="180" t="s">
        <v>5632</v>
      </c>
      <c r="B382" s="181" t="s">
        <v>5633</v>
      </c>
      <c r="C382" s="181" t="s">
        <v>5634</v>
      </c>
      <c r="D382" s="144" t="s">
        <v>6894</v>
      </c>
      <c r="E382" s="25" t="s">
        <v>6895</v>
      </c>
      <c r="F382" s="25" t="s">
        <v>3051</v>
      </c>
      <c r="G382" s="57" t="str">
        <f>HYPERLINK("https://www.acquisition.gov/browse/index/far","FAR 15.406 Prenegotiation objectives. FAR 49.105 Duties of termination contracting officer after issuance of notice of termination")</f>
        <v>FAR 15.406 Prenegotiation objectives. FAR 49.105 Duties of termination contracting officer after issuance of notice of termination</v>
      </c>
      <c r="H382" s="54"/>
      <c r="I382" s="34" t="s">
        <v>5089</v>
      </c>
      <c r="J382" s="37" t="s">
        <v>1566</v>
      </c>
      <c r="K382" s="37" t="s">
        <v>6896</v>
      </c>
      <c r="L382" s="25" t="s">
        <v>6897</v>
      </c>
      <c r="M382" s="25" t="s">
        <v>6898</v>
      </c>
      <c r="N382" s="25" t="s">
        <v>6899</v>
      </c>
      <c r="O382" s="64"/>
      <c r="P382" s="45" t="b">
        <f t="shared" si="39"/>
        <v>0</v>
      </c>
      <c r="Q382" s="45">
        <f t="shared" si="40"/>
        <v>3</v>
      </c>
      <c r="R382" s="45">
        <f t="shared" si="41"/>
        <v>0</v>
      </c>
      <c r="S382" s="24"/>
      <c r="T382" s="24"/>
      <c r="U382" s="24"/>
      <c r="V382" s="24"/>
      <c r="W382" s="24"/>
      <c r="X382" s="24"/>
      <c r="Y382" s="24"/>
      <c r="Z382" s="24"/>
      <c r="AA382" s="24"/>
      <c r="AB382" s="24"/>
      <c r="AC382" s="24"/>
    </row>
    <row r="383" spans="1:29" ht="217.4">
      <c r="A383" s="180" t="s">
        <v>5632</v>
      </c>
      <c r="B383" s="181" t="s">
        <v>5633</v>
      </c>
      <c r="C383" s="181" t="s">
        <v>5634</v>
      </c>
      <c r="D383" s="144" t="s">
        <v>6900</v>
      </c>
      <c r="E383" s="25" t="s">
        <v>6901</v>
      </c>
      <c r="F383" s="25" t="s">
        <v>6902</v>
      </c>
      <c r="G383" s="57" t="str">
        <f>HYPERLINK("https://www.acquisition.gov/content/part-49-termination-contracts#i1068898","FAR 49.109-7 Settlement by determination")</f>
        <v>FAR 49.109-7 Settlement by determination</v>
      </c>
      <c r="H383" s="54"/>
      <c r="I383" s="34" t="s">
        <v>5089</v>
      </c>
      <c r="J383" s="37" t="s">
        <v>1566</v>
      </c>
      <c r="K383" s="37" t="s">
        <v>6903</v>
      </c>
      <c r="L383" s="25" t="s">
        <v>6904</v>
      </c>
      <c r="M383" s="25" t="s">
        <v>6905</v>
      </c>
      <c r="N383" s="25" t="s">
        <v>6906</v>
      </c>
      <c r="O383" s="64"/>
      <c r="P383" s="45" t="b">
        <f t="shared" si="39"/>
        <v>0</v>
      </c>
      <c r="Q383" s="45">
        <f t="shared" si="40"/>
        <v>3</v>
      </c>
      <c r="R383" s="45">
        <f t="shared" si="41"/>
        <v>0</v>
      </c>
      <c r="S383" s="24"/>
      <c r="T383" s="24"/>
      <c r="U383" s="24"/>
      <c r="V383" s="24"/>
      <c r="W383" s="24"/>
      <c r="X383" s="24"/>
      <c r="Y383" s="24"/>
      <c r="Z383" s="24"/>
      <c r="AA383" s="24"/>
      <c r="AB383" s="24"/>
      <c r="AC383" s="24"/>
    </row>
    <row r="384" spans="1:29" ht="76.099999999999994">
      <c r="A384" s="180" t="s">
        <v>5632</v>
      </c>
      <c r="B384" s="181" t="s">
        <v>5633</v>
      </c>
      <c r="C384" s="181" t="s">
        <v>5634</v>
      </c>
      <c r="D384" s="144" t="s">
        <v>6907</v>
      </c>
      <c r="E384" s="25" t="s">
        <v>6908</v>
      </c>
      <c r="F384" s="25" t="s">
        <v>6909</v>
      </c>
      <c r="G384" s="57" t="str">
        <f>HYPERLINK("https://www.acquisition.gov/content/part-49-termination-contracts#i1068938","FAR 49.111 Settlement negotiation memorandum")</f>
        <v>FAR 49.111 Settlement negotiation memorandum</v>
      </c>
      <c r="H384" s="57" t="str">
        <f t="shared" ref="H384:H385" si="52">HYPERLINK("https://www.acquisition.gov/sites/default/files/current/gsam/html/Part549.html#wp1858091","GSAM 549.111")</f>
        <v>GSAM 549.111</v>
      </c>
      <c r="I384" s="34" t="s">
        <v>5089</v>
      </c>
      <c r="J384" s="37" t="s">
        <v>1566</v>
      </c>
      <c r="K384" s="37" t="s">
        <v>6910</v>
      </c>
      <c r="L384" s="25" t="s">
        <v>6897</v>
      </c>
      <c r="M384" s="25" t="s">
        <v>6898</v>
      </c>
      <c r="N384" s="25" t="s">
        <v>6899</v>
      </c>
      <c r="O384" s="64"/>
      <c r="P384" s="45" t="b">
        <f t="shared" si="39"/>
        <v>0</v>
      </c>
      <c r="Q384" s="45">
        <f t="shared" si="40"/>
        <v>3</v>
      </c>
      <c r="R384" s="45">
        <f t="shared" si="41"/>
        <v>0</v>
      </c>
      <c r="S384" s="24"/>
      <c r="T384" s="24"/>
      <c r="U384" s="24"/>
      <c r="V384" s="24"/>
      <c r="W384" s="24"/>
      <c r="X384" s="24"/>
      <c r="Y384" s="24"/>
      <c r="Z384" s="24"/>
      <c r="AA384" s="24"/>
      <c r="AB384" s="24"/>
      <c r="AC384" s="24"/>
    </row>
    <row r="385" spans="1:29" ht="65.25">
      <c r="A385" s="180" t="s">
        <v>5632</v>
      </c>
      <c r="B385" s="181" t="s">
        <v>5633</v>
      </c>
      <c r="C385" s="181" t="s">
        <v>5634</v>
      </c>
      <c r="D385" s="144" t="s">
        <v>6911</v>
      </c>
      <c r="E385" s="25" t="s">
        <v>6912</v>
      </c>
      <c r="F385" s="25" t="s">
        <v>6913</v>
      </c>
      <c r="G385" s="57" t="str">
        <f>HYPERLINK("https://www.acquisition.gov/content/part-49-termination-contracts#i1068938","FAR 49.111 Review of proposed settlements")</f>
        <v>FAR 49.111 Review of proposed settlements</v>
      </c>
      <c r="H385" s="57" t="str">
        <f t="shared" si="52"/>
        <v>GSAM 549.111</v>
      </c>
      <c r="I385" s="34" t="s">
        <v>6916</v>
      </c>
      <c r="J385" s="37" t="s">
        <v>1566</v>
      </c>
      <c r="K385" s="37" t="s">
        <v>6917</v>
      </c>
      <c r="L385" s="25" t="s">
        <v>6918</v>
      </c>
      <c r="M385" s="25" t="s">
        <v>6919</v>
      </c>
      <c r="N385" s="25" t="s">
        <v>6920</v>
      </c>
      <c r="O385" s="64"/>
      <c r="P385" s="45" t="b">
        <f t="shared" si="39"/>
        <v>0</v>
      </c>
      <c r="Q385" s="45">
        <f t="shared" si="40"/>
        <v>3</v>
      </c>
      <c r="R385" s="45">
        <f t="shared" si="41"/>
        <v>0</v>
      </c>
      <c r="S385" s="24"/>
      <c r="T385" s="24"/>
      <c r="U385" s="24"/>
      <c r="V385" s="24"/>
      <c r="W385" s="24"/>
      <c r="X385" s="24"/>
      <c r="Y385" s="24"/>
      <c r="Z385" s="24"/>
      <c r="AA385" s="24"/>
      <c r="AB385" s="24"/>
      <c r="AC385" s="24"/>
    </row>
    <row r="386" spans="1:29" ht="195.65">
      <c r="A386" s="180" t="s">
        <v>5632</v>
      </c>
      <c r="B386" s="181" t="s">
        <v>5633</v>
      </c>
      <c r="C386" s="181" t="s">
        <v>5634</v>
      </c>
      <c r="D386" s="144" t="s">
        <v>6923</v>
      </c>
      <c r="E386" s="25" t="s">
        <v>6924</v>
      </c>
      <c r="F386" s="25" t="s">
        <v>3429</v>
      </c>
      <c r="G386" s="57" t="str">
        <f>HYPERLINK("https://www.acquisition.gov/content/part-49-termination-contracts#id1617ME002DG","FAR 49.112-1 Partial payments. FAR 49.112-2 Final payment")</f>
        <v>FAR 49.112-1 Partial payments. FAR 49.112-2 Final payment</v>
      </c>
      <c r="H386" s="54"/>
      <c r="I386" s="34" t="s">
        <v>4213</v>
      </c>
      <c r="J386" s="37" t="s">
        <v>1566</v>
      </c>
      <c r="K386" s="37" t="s">
        <v>6926</v>
      </c>
      <c r="L386" s="25" t="s">
        <v>6927</v>
      </c>
      <c r="M386" s="25" t="s">
        <v>6928</v>
      </c>
      <c r="N386" s="25" t="s">
        <v>6929</v>
      </c>
      <c r="O386" s="64"/>
      <c r="P386" s="45" t="b">
        <f t="shared" si="39"/>
        <v>0</v>
      </c>
      <c r="Q386" s="45">
        <f t="shared" si="40"/>
        <v>3</v>
      </c>
      <c r="R386" s="45">
        <f t="shared" si="41"/>
        <v>0</v>
      </c>
      <c r="S386" s="24"/>
      <c r="T386" s="24"/>
      <c r="U386" s="24"/>
      <c r="V386" s="24"/>
      <c r="W386" s="24"/>
      <c r="X386" s="24"/>
      <c r="Y386" s="24"/>
      <c r="Z386" s="24"/>
      <c r="AA386" s="24"/>
      <c r="AB386" s="24"/>
      <c r="AC386" s="24"/>
    </row>
    <row r="387" spans="1:29" ht="76.099999999999994">
      <c r="A387" s="180" t="s">
        <v>5632</v>
      </c>
      <c r="B387" s="181" t="s">
        <v>5633</v>
      </c>
      <c r="C387" s="181" t="s">
        <v>5634</v>
      </c>
      <c r="D387" s="144" t="s">
        <v>6930</v>
      </c>
      <c r="E387" s="25" t="s">
        <v>6931</v>
      </c>
      <c r="F387" s="25" t="s">
        <v>6932</v>
      </c>
      <c r="G387" s="57" t="str">
        <f>HYPERLINK("https://www.acquisition.gov/content/part-49-termination-contracts#i1067646","FAR 49.604 Release of excess funds under terminated contracts")</f>
        <v>FAR 49.604 Release of excess funds under terminated contracts</v>
      </c>
      <c r="H387" s="54"/>
      <c r="I387" s="34"/>
      <c r="J387" s="37" t="s">
        <v>463</v>
      </c>
      <c r="K387" s="37" t="s">
        <v>6933</v>
      </c>
      <c r="L387" s="25" t="s">
        <v>6934</v>
      </c>
      <c r="M387" s="25" t="s">
        <v>6935</v>
      </c>
      <c r="N387" s="25" t="s">
        <v>6936</v>
      </c>
      <c r="O387" s="64"/>
      <c r="P387" s="45" t="b">
        <f t="shared" si="39"/>
        <v>0</v>
      </c>
      <c r="Q387" s="45">
        <f t="shared" si="40"/>
        <v>0</v>
      </c>
      <c r="R387" s="45">
        <f t="shared" si="41"/>
        <v>0</v>
      </c>
      <c r="S387" s="24"/>
      <c r="T387" s="24"/>
      <c r="U387" s="24"/>
      <c r="V387" s="24"/>
      <c r="W387" s="24"/>
      <c r="X387" s="24"/>
      <c r="Y387" s="24"/>
      <c r="Z387" s="24"/>
      <c r="AA387" s="24"/>
      <c r="AB387" s="24"/>
      <c r="AC387" s="24"/>
    </row>
    <row r="388" spans="1:29" ht="250">
      <c r="A388" s="180" t="s">
        <v>5632</v>
      </c>
      <c r="B388" s="181" t="s">
        <v>5633</v>
      </c>
      <c r="C388" s="181" t="s">
        <v>5634</v>
      </c>
      <c r="D388" s="144" t="s">
        <v>6937</v>
      </c>
      <c r="E388" s="25" t="s">
        <v>6938</v>
      </c>
      <c r="F388" s="25" t="s">
        <v>4663</v>
      </c>
      <c r="G388" s="57" t="str">
        <f>HYPERLINK("https://www.acquisition.gov/content/part-15-contracting-negotiation#i1106135","FAR 15.404-1 Proposal analysis techniques")</f>
        <v>FAR 15.404-1 Proposal analysis techniques</v>
      </c>
      <c r="H388" s="54"/>
      <c r="I388" s="34" t="s">
        <v>4347</v>
      </c>
      <c r="J388" s="37" t="s">
        <v>1566</v>
      </c>
      <c r="K388" s="37" t="s">
        <v>6940</v>
      </c>
      <c r="L388" s="25" t="s">
        <v>6941</v>
      </c>
      <c r="M388" s="25" t="s">
        <v>6942</v>
      </c>
      <c r="N388" s="25" t="s">
        <v>6943</v>
      </c>
      <c r="O388" s="64"/>
      <c r="P388" s="45" t="b">
        <f t="shared" si="39"/>
        <v>0</v>
      </c>
      <c r="Q388" s="45">
        <f t="shared" si="40"/>
        <v>3</v>
      </c>
      <c r="R388" s="45">
        <f t="shared" si="41"/>
        <v>0</v>
      </c>
      <c r="S388" s="24"/>
      <c r="T388" s="24"/>
      <c r="U388" s="24"/>
      <c r="V388" s="24"/>
      <c r="W388" s="24"/>
      <c r="X388" s="24"/>
      <c r="Y388" s="24"/>
      <c r="Z388" s="24"/>
      <c r="AA388" s="24"/>
      <c r="AB388" s="24"/>
      <c r="AC388" s="24"/>
    </row>
    <row r="389" spans="1:29" ht="141.30000000000001">
      <c r="A389" s="180" t="s">
        <v>5632</v>
      </c>
      <c r="B389" s="181" t="s">
        <v>5633</v>
      </c>
      <c r="C389" s="181" t="s">
        <v>5634</v>
      </c>
      <c r="D389" s="144" t="s">
        <v>6945</v>
      </c>
      <c r="E389" s="25" t="s">
        <v>6946</v>
      </c>
      <c r="F389" s="25" t="s">
        <v>6909</v>
      </c>
      <c r="G389" s="57" t="e">
        <f>HYPERLINK("https://www.acquisition.gov/browse/index/far","FAR 2.101 Termination for default [definitions]. FAR 8.406-4 Termination for cause [ordering activity responsibility].  FAR 12.403(b) Policy [termination]. FAR 22.1023 Termination for default [service contract labor standards]. FAR 49.401 General [termina"&amp;"tion for default]. ")</f>
        <v>#VALUE!</v>
      </c>
      <c r="H389" s="54"/>
      <c r="I389" s="34" t="s">
        <v>6949</v>
      </c>
      <c r="J389" s="37" t="s">
        <v>1566</v>
      </c>
      <c r="K389" s="37" t="s">
        <v>6950</v>
      </c>
      <c r="L389" s="25" t="s">
        <v>6951</v>
      </c>
      <c r="M389" s="25" t="s">
        <v>6952</v>
      </c>
      <c r="N389" s="25" t="s">
        <v>6953</v>
      </c>
      <c r="O389" s="64"/>
      <c r="P389" s="45" t="b">
        <f t="shared" si="39"/>
        <v>0</v>
      </c>
      <c r="Q389" s="45">
        <f t="shared" si="40"/>
        <v>3</v>
      </c>
      <c r="R389" s="45">
        <f t="shared" si="41"/>
        <v>0</v>
      </c>
      <c r="S389" s="24"/>
      <c r="T389" s="24"/>
      <c r="U389" s="24"/>
      <c r="V389" s="24"/>
      <c r="W389" s="24"/>
      <c r="X389" s="24"/>
      <c r="Y389" s="24"/>
      <c r="Z389" s="24"/>
      <c r="AA389" s="24"/>
      <c r="AB389" s="24"/>
      <c r="AC389" s="24"/>
    </row>
    <row r="390" spans="1:29" ht="108.7">
      <c r="A390" s="180" t="s">
        <v>5632</v>
      </c>
      <c r="B390" s="181" t="s">
        <v>5633</v>
      </c>
      <c r="C390" s="181" t="s">
        <v>5634</v>
      </c>
      <c r="D390" s="144" t="s">
        <v>6954</v>
      </c>
      <c r="E390" s="25" t="s">
        <v>6955</v>
      </c>
      <c r="F390" s="25" t="s">
        <v>4680</v>
      </c>
      <c r="G390" s="57" t="str">
        <f>HYPERLINK("https://www.acquisition.gov/browse/index/far","FAR 8.406-4 Termination for cause [ordering activity responsibility].  FAR 12.403(b) Policy [termination]. FAR 49.401 General [termination for default]. FAR 49.402-3(a) Procedure for default [termination of fixed-price contracts for default]. ")</f>
        <v xml:space="preserve">FAR 8.406-4 Termination for cause [ordering activity responsibility].  FAR 12.403(b) Policy [termination]. FAR 49.401 General [termination for default]. FAR 49.402-3(a) Procedure for default [termination of fixed-price contracts for default]. </v>
      </c>
      <c r="H390" s="25"/>
      <c r="I390" s="34"/>
      <c r="J390" s="37" t="s">
        <v>463</v>
      </c>
      <c r="K390" s="37" t="s">
        <v>6961</v>
      </c>
      <c r="L390" s="25" t="s">
        <v>6962</v>
      </c>
      <c r="M390" s="25" t="s">
        <v>6963</v>
      </c>
      <c r="N390" s="25" t="s">
        <v>6964</v>
      </c>
      <c r="O390" s="64"/>
      <c r="P390" s="45" t="b">
        <f t="shared" si="39"/>
        <v>0</v>
      </c>
      <c r="Q390" s="45">
        <f t="shared" si="40"/>
        <v>0</v>
      </c>
      <c r="R390" s="45">
        <f t="shared" si="41"/>
        <v>0</v>
      </c>
      <c r="S390" s="24"/>
      <c r="T390" s="24"/>
      <c r="U390" s="24"/>
      <c r="V390" s="24"/>
      <c r="W390" s="24"/>
      <c r="X390" s="24"/>
      <c r="Y390" s="24"/>
      <c r="Z390" s="24"/>
      <c r="AA390" s="24"/>
      <c r="AB390" s="24"/>
      <c r="AC390" s="24"/>
    </row>
    <row r="391" spans="1:29" ht="239.1">
      <c r="A391" s="180" t="s">
        <v>5632</v>
      </c>
      <c r="B391" s="181" t="s">
        <v>5633</v>
      </c>
      <c r="C391" s="181" t="s">
        <v>5634</v>
      </c>
      <c r="D391" s="144" t="s">
        <v>6965</v>
      </c>
      <c r="E391" s="25" t="s">
        <v>6966</v>
      </c>
      <c r="F391" s="25" t="s">
        <v>6967</v>
      </c>
      <c r="G391" s="57" t="str">
        <f>HYPERLINK("https://www.acquisition.gov/browse/index/far","FAR 12.403(c)(1) &amp; (3) Termination for cause. FAR 49.607 Show cause notice [delinquency notices]")</f>
        <v>FAR 12.403(c)(1) &amp; (3) Termination for cause. FAR 49.607 Show cause notice [delinquency notices]</v>
      </c>
      <c r="H391" s="54"/>
      <c r="I391" s="34"/>
      <c r="J391" s="37" t="s">
        <v>463</v>
      </c>
      <c r="K391" s="37" t="s">
        <v>6974</v>
      </c>
      <c r="L391" s="25" t="s">
        <v>6975</v>
      </c>
      <c r="M391" s="25" t="s">
        <v>6976</v>
      </c>
      <c r="N391" s="25" t="s">
        <v>6977</v>
      </c>
      <c r="O391" s="64"/>
      <c r="P391" s="45" t="b">
        <f t="shared" si="39"/>
        <v>0</v>
      </c>
      <c r="Q391" s="45">
        <f t="shared" si="40"/>
        <v>0</v>
      </c>
      <c r="R391" s="45">
        <f t="shared" si="41"/>
        <v>0</v>
      </c>
      <c r="S391" s="24"/>
      <c r="T391" s="24"/>
      <c r="U391" s="24"/>
      <c r="V391" s="24"/>
      <c r="W391" s="24"/>
      <c r="X391" s="24"/>
      <c r="Y391" s="24"/>
      <c r="Z391" s="24"/>
      <c r="AA391" s="24"/>
      <c r="AB391" s="24"/>
      <c r="AC391" s="24"/>
    </row>
    <row r="392" spans="1:29" ht="86.95">
      <c r="A392" s="180" t="s">
        <v>5632</v>
      </c>
      <c r="B392" s="181" t="s">
        <v>5633</v>
      </c>
      <c r="C392" s="181" t="s">
        <v>5634</v>
      </c>
      <c r="D392" s="144" t="s">
        <v>6978</v>
      </c>
      <c r="E392" s="25" t="s">
        <v>6979</v>
      </c>
      <c r="F392" s="25" t="s">
        <v>6980</v>
      </c>
      <c r="G392" s="57" t="str">
        <f>HYPERLINK("https://www.acquisition.gov/browse/index/far","FAR 12.403(c)(4) Termination for cause. FAR 49.402-3 Procedure for default")</f>
        <v>FAR 12.403(c)(4) Termination for cause. FAR 49.402-3 Procedure for default</v>
      </c>
      <c r="H392" s="54"/>
      <c r="I392" s="34"/>
      <c r="J392" s="37" t="s">
        <v>463</v>
      </c>
      <c r="K392" s="37" t="s">
        <v>6981</v>
      </c>
      <c r="L392" s="25" t="s">
        <v>6982</v>
      </c>
      <c r="M392" s="25" t="s">
        <v>6983</v>
      </c>
      <c r="N392" s="25" t="s">
        <v>6984</v>
      </c>
      <c r="O392" s="64"/>
      <c r="P392" s="45" t="b">
        <f t="shared" si="39"/>
        <v>0</v>
      </c>
      <c r="Q392" s="45">
        <f t="shared" si="40"/>
        <v>0</v>
      </c>
      <c r="R392" s="45">
        <f t="shared" si="41"/>
        <v>0</v>
      </c>
      <c r="S392" s="24"/>
      <c r="T392" s="24"/>
      <c r="U392" s="24"/>
      <c r="V392" s="24"/>
      <c r="W392" s="24"/>
      <c r="X392" s="24"/>
      <c r="Y392" s="24"/>
      <c r="Z392" s="24"/>
      <c r="AA392" s="24"/>
      <c r="AB392" s="24"/>
      <c r="AC392" s="24"/>
    </row>
    <row r="393" spans="1:29" ht="65.25">
      <c r="A393" s="180" t="s">
        <v>5632</v>
      </c>
      <c r="B393" s="181" t="s">
        <v>5633</v>
      </c>
      <c r="C393" s="181" t="s">
        <v>5634</v>
      </c>
      <c r="D393" s="144" t="s">
        <v>6985</v>
      </c>
      <c r="E393" s="25" t="s">
        <v>6986</v>
      </c>
      <c r="F393" s="25" t="s">
        <v>4680</v>
      </c>
      <c r="G393" s="57" t="str">
        <f>HYPERLINK("https://www.acquisition.gov/content/part-49-termination-contracts#i1068020","FAR 49.402-3 Procedure for default.")</f>
        <v>FAR 49.402-3 Procedure for default.</v>
      </c>
      <c r="H393" s="54"/>
      <c r="I393" s="34"/>
      <c r="J393" s="37" t="s">
        <v>463</v>
      </c>
      <c r="K393" s="37" t="s">
        <v>6987</v>
      </c>
      <c r="L393" s="25" t="s">
        <v>6988</v>
      </c>
      <c r="M393" s="25" t="s">
        <v>6989</v>
      </c>
      <c r="N393" s="25" t="s">
        <v>6990</v>
      </c>
      <c r="O393" s="64"/>
      <c r="P393" s="45" t="b">
        <f t="shared" si="39"/>
        <v>0</v>
      </c>
      <c r="Q393" s="45">
        <f t="shared" si="40"/>
        <v>0</v>
      </c>
      <c r="R393" s="45">
        <f t="shared" si="41"/>
        <v>0</v>
      </c>
      <c r="S393" s="24"/>
      <c r="T393" s="24"/>
      <c r="U393" s="24"/>
      <c r="V393" s="24"/>
      <c r="W393" s="24"/>
      <c r="X393" s="24"/>
      <c r="Y393" s="24"/>
      <c r="Z393" s="24"/>
      <c r="AA393" s="24"/>
      <c r="AB393" s="24"/>
      <c r="AC393" s="24"/>
    </row>
    <row r="394" spans="1:29" ht="141.30000000000001">
      <c r="A394" s="180" t="s">
        <v>5632</v>
      </c>
      <c r="B394" s="181" t="s">
        <v>5633</v>
      </c>
      <c r="C394" s="181" t="s">
        <v>5634</v>
      </c>
      <c r="D394" s="144" t="s">
        <v>6995</v>
      </c>
      <c r="E394" s="25" t="s">
        <v>6836</v>
      </c>
      <c r="F394" s="25" t="s">
        <v>6996</v>
      </c>
      <c r="G394" s="57" t="str">
        <f>HYPERLINK("https://www.acquisition.gov/browse/index/far","FAR 12.403(c)(4) Termination for cause. FAR 49.401 General")</f>
        <v>FAR 12.403(c)(4) Termination for cause. FAR 49.401 General</v>
      </c>
      <c r="H394" s="54"/>
      <c r="I394" s="34"/>
      <c r="J394" s="37" t="s">
        <v>463</v>
      </c>
      <c r="K394" s="37" t="s">
        <v>6997</v>
      </c>
      <c r="L394" s="25" t="s">
        <v>6998</v>
      </c>
      <c r="M394" s="25" t="s">
        <v>6999</v>
      </c>
      <c r="N394" s="25" t="s">
        <v>7000</v>
      </c>
      <c r="O394" s="64"/>
      <c r="P394" s="45" t="b">
        <f t="shared" si="39"/>
        <v>0</v>
      </c>
      <c r="Q394" s="45">
        <f t="shared" si="40"/>
        <v>0</v>
      </c>
      <c r="R394" s="45">
        <f t="shared" si="41"/>
        <v>0</v>
      </c>
      <c r="S394" s="24"/>
      <c r="T394" s="24"/>
      <c r="U394" s="24"/>
      <c r="V394" s="24"/>
      <c r="W394" s="24"/>
      <c r="X394" s="24"/>
      <c r="Y394" s="24"/>
      <c r="Z394" s="24"/>
      <c r="AA394" s="24"/>
      <c r="AB394" s="24"/>
      <c r="AC394" s="24"/>
    </row>
    <row r="395" spans="1:29" ht="86.95">
      <c r="A395" s="180" t="s">
        <v>5632</v>
      </c>
      <c r="B395" s="181" t="s">
        <v>5633</v>
      </c>
      <c r="C395" s="181" t="s">
        <v>5634</v>
      </c>
      <c r="D395" s="144" t="s">
        <v>7002</v>
      </c>
      <c r="E395" s="25" t="s">
        <v>7003</v>
      </c>
      <c r="F395" s="25" t="s">
        <v>4505</v>
      </c>
      <c r="G395" s="57" t="str">
        <f>HYPERLINK("https://www.acquisition.gov/content/part-49-termination-contracts#id1617ME003H7","FAR 49-403 Termination of costreimbursement contracts for default")</f>
        <v>FAR 49-403 Termination of costreimbursement contracts for default</v>
      </c>
      <c r="H395" s="54"/>
      <c r="I395" s="34"/>
      <c r="J395" s="37" t="s">
        <v>463</v>
      </c>
      <c r="K395" s="37" t="s">
        <v>7008</v>
      </c>
      <c r="L395" s="25" t="s">
        <v>7009</v>
      </c>
      <c r="M395" s="25" t="s">
        <v>7011</v>
      </c>
      <c r="N395" s="25" t="s">
        <v>7013</v>
      </c>
      <c r="O395" s="64"/>
      <c r="P395" s="45" t="b">
        <f t="shared" si="39"/>
        <v>0</v>
      </c>
      <c r="Q395" s="45">
        <f t="shared" si="40"/>
        <v>0</v>
      </c>
      <c r="R395" s="45">
        <f t="shared" si="41"/>
        <v>0</v>
      </c>
      <c r="S395" s="24"/>
      <c r="T395" s="24"/>
      <c r="U395" s="24"/>
      <c r="V395" s="24"/>
      <c r="W395" s="24"/>
      <c r="X395" s="24"/>
      <c r="Y395" s="24"/>
      <c r="Z395" s="24"/>
      <c r="AA395" s="24"/>
      <c r="AB395" s="24"/>
      <c r="AC395" s="24"/>
    </row>
    <row r="396" spans="1:29" ht="119.55">
      <c r="A396" s="180" t="s">
        <v>5632</v>
      </c>
      <c r="B396" s="181" t="s">
        <v>5633</v>
      </c>
      <c r="C396" s="181" t="s">
        <v>5634</v>
      </c>
      <c r="D396" s="144" t="s">
        <v>7015</v>
      </c>
      <c r="E396" s="25" t="s">
        <v>7016</v>
      </c>
      <c r="F396" s="25" t="s">
        <v>7017</v>
      </c>
      <c r="G396" s="57" t="str">
        <f>HYPERLINK("https://www.acquisition.gov/content/part-49-termination-contracts#id1617ME002H9","FAR 49.402-1 The Government’s right.")</f>
        <v>FAR 49.402-1 The Government’s right.</v>
      </c>
      <c r="H396" s="54"/>
      <c r="I396" s="34"/>
      <c r="J396" s="37" t="s">
        <v>463</v>
      </c>
      <c r="K396" s="37" t="s">
        <v>7020</v>
      </c>
      <c r="L396" s="25" t="s">
        <v>7021</v>
      </c>
      <c r="M396" s="25" t="s">
        <v>7022</v>
      </c>
      <c r="N396" s="25" t="s">
        <v>7023</v>
      </c>
      <c r="O396" s="64"/>
      <c r="P396" s="45" t="b">
        <f t="shared" si="39"/>
        <v>0</v>
      </c>
      <c r="Q396" s="45">
        <f t="shared" si="40"/>
        <v>0</v>
      </c>
      <c r="R396" s="45">
        <f t="shared" si="41"/>
        <v>0</v>
      </c>
      <c r="S396" s="24"/>
      <c r="T396" s="24"/>
      <c r="U396" s="24"/>
      <c r="V396" s="24"/>
      <c r="W396" s="24"/>
      <c r="X396" s="24"/>
      <c r="Y396" s="24"/>
      <c r="Z396" s="24"/>
      <c r="AA396" s="24"/>
      <c r="AB396" s="24"/>
      <c r="AC396" s="24"/>
    </row>
    <row r="397" spans="1:29" ht="97.85">
      <c r="A397" s="180" t="s">
        <v>5632</v>
      </c>
      <c r="B397" s="181" t="s">
        <v>5633</v>
      </c>
      <c r="C397" s="181" t="s">
        <v>5634</v>
      </c>
      <c r="D397" s="144" t="s">
        <v>7026</v>
      </c>
      <c r="E397" s="25" t="s">
        <v>7027</v>
      </c>
      <c r="F397" s="25" t="s">
        <v>7028</v>
      </c>
      <c r="G397" s="57" t="str">
        <f t="shared" ref="G397:G398" si="53">HYPERLINK("https://www.acquisition.gov/content/part-49-termination-contracts#id1617ME00240","FAR 49.402-2 Effect of termination for default")</f>
        <v>FAR 49.402-2 Effect of termination for default</v>
      </c>
      <c r="H397" s="54"/>
      <c r="I397" s="34" t="s">
        <v>7029</v>
      </c>
      <c r="J397" s="37"/>
      <c r="K397" s="37" t="s">
        <v>7030</v>
      </c>
      <c r="L397" s="25" t="s">
        <v>7031</v>
      </c>
      <c r="M397" s="25" t="s">
        <v>7032</v>
      </c>
      <c r="N397" s="25" t="s">
        <v>7033</v>
      </c>
      <c r="O397" s="64"/>
      <c r="P397" s="45" t="b">
        <f t="shared" si="39"/>
        <v>0</v>
      </c>
      <c r="Q397" s="45">
        <f t="shared" si="40"/>
        <v>3</v>
      </c>
      <c r="R397" s="45">
        <f t="shared" si="41"/>
        <v>0</v>
      </c>
      <c r="S397" s="24"/>
      <c r="T397" s="24"/>
      <c r="U397" s="24"/>
      <c r="V397" s="24"/>
      <c r="W397" s="24"/>
      <c r="X397" s="24"/>
      <c r="Y397" s="24"/>
      <c r="Z397" s="24"/>
      <c r="AA397" s="24"/>
      <c r="AB397" s="24"/>
      <c r="AC397" s="24"/>
    </row>
    <row r="398" spans="1:29" ht="86.95">
      <c r="A398" s="180" t="s">
        <v>5632</v>
      </c>
      <c r="B398" s="181" t="s">
        <v>5633</v>
      </c>
      <c r="C398" s="181" t="s">
        <v>5634</v>
      </c>
      <c r="D398" s="144" t="s">
        <v>7034</v>
      </c>
      <c r="E398" s="25" t="s">
        <v>7036</v>
      </c>
      <c r="F398" s="25" t="s">
        <v>4380</v>
      </c>
      <c r="G398" s="57" t="str">
        <f t="shared" si="53"/>
        <v>FAR 49.402-2 Effect of termination for default</v>
      </c>
      <c r="H398" s="54"/>
      <c r="I398" s="34" t="s">
        <v>5089</v>
      </c>
      <c r="J398" s="37" t="s">
        <v>1566</v>
      </c>
      <c r="K398" s="37" t="s">
        <v>7040</v>
      </c>
      <c r="L398" s="25" t="s">
        <v>7041</v>
      </c>
      <c r="M398" s="25" t="s">
        <v>7042</v>
      </c>
      <c r="N398" s="25" t="s">
        <v>7033</v>
      </c>
      <c r="O398" s="64"/>
      <c r="P398" s="45" t="b">
        <f t="shared" si="39"/>
        <v>0</v>
      </c>
      <c r="Q398" s="45">
        <f t="shared" si="40"/>
        <v>3</v>
      </c>
      <c r="R398" s="45">
        <f t="shared" si="41"/>
        <v>0</v>
      </c>
      <c r="S398" s="24"/>
      <c r="T398" s="24"/>
      <c r="U398" s="24"/>
      <c r="V398" s="24"/>
      <c r="W398" s="24"/>
      <c r="X398" s="24"/>
      <c r="Y398" s="24"/>
      <c r="Z398" s="24"/>
      <c r="AA398" s="24"/>
      <c r="AB398" s="24"/>
      <c r="AC398" s="24"/>
    </row>
    <row r="399" spans="1:29" ht="76.099999999999994">
      <c r="A399" s="180" t="s">
        <v>5632</v>
      </c>
      <c r="B399" s="181" t="s">
        <v>5633</v>
      </c>
      <c r="C399" s="181" t="s">
        <v>5634</v>
      </c>
      <c r="D399" s="144" t="s">
        <v>7047</v>
      </c>
      <c r="E399" s="25" t="s">
        <v>7048</v>
      </c>
      <c r="F399" s="25" t="s">
        <v>7049</v>
      </c>
      <c r="G399" s="57" t="str">
        <f>HYPERLINK("https://www.acquisition.gov/browse/index/far","FAR 12.403(c)((3)(iv) Termination for cause. FAR 49.402-3 Procedure for default")</f>
        <v>FAR 12.403(c)((3)(iv) Termination for cause. FAR 49.402-3 Procedure for default</v>
      </c>
      <c r="H399" s="54"/>
      <c r="I399" s="34"/>
      <c r="J399" s="37" t="s">
        <v>463</v>
      </c>
      <c r="K399" s="37" t="s">
        <v>7051</v>
      </c>
      <c r="L399" s="25" t="s">
        <v>7053</v>
      </c>
      <c r="M399" s="25" t="s">
        <v>7055</v>
      </c>
      <c r="N399" s="25" t="s">
        <v>7057</v>
      </c>
      <c r="O399" s="64"/>
      <c r="P399" s="45" t="b">
        <f t="shared" si="39"/>
        <v>0</v>
      </c>
      <c r="Q399" s="45">
        <f t="shared" si="40"/>
        <v>0</v>
      </c>
      <c r="R399" s="45">
        <f t="shared" si="41"/>
        <v>0</v>
      </c>
      <c r="S399" s="24"/>
      <c r="T399" s="24"/>
      <c r="U399" s="24"/>
      <c r="V399" s="24"/>
      <c r="W399" s="24"/>
      <c r="X399" s="24"/>
      <c r="Y399" s="24"/>
      <c r="Z399" s="24"/>
      <c r="AA399" s="24"/>
      <c r="AB399" s="24"/>
      <c r="AC399" s="24"/>
    </row>
    <row r="400" spans="1:29" ht="76.099999999999994">
      <c r="A400" s="180" t="s">
        <v>5632</v>
      </c>
      <c r="B400" s="181" t="s">
        <v>5633</v>
      </c>
      <c r="C400" s="181" t="s">
        <v>5634</v>
      </c>
      <c r="D400" s="144" t="s">
        <v>7058</v>
      </c>
      <c r="E400" s="25" t="s">
        <v>7059</v>
      </c>
      <c r="F400" s="25" t="s">
        <v>7060</v>
      </c>
      <c r="G400" s="57" t="str">
        <f>HYPERLINK("https://www.acquisition.gov/content/part-49-termination-contracts#i1068020","FAR 49.402-3 Procedure for default. ")</f>
        <v xml:space="preserve">FAR 49.402-3 Procedure for default. </v>
      </c>
      <c r="H400" s="54"/>
      <c r="I400" s="34"/>
      <c r="J400" s="37" t="s">
        <v>463</v>
      </c>
      <c r="K400" s="37" t="s">
        <v>7066</v>
      </c>
      <c r="L400" s="25" t="s">
        <v>7067</v>
      </c>
      <c r="M400" s="25" t="s">
        <v>7068</v>
      </c>
      <c r="N400" s="25" t="s">
        <v>7069</v>
      </c>
      <c r="O400" s="64"/>
      <c r="P400" s="45" t="b">
        <f t="shared" si="39"/>
        <v>0</v>
      </c>
      <c r="Q400" s="45">
        <f t="shared" si="40"/>
        <v>0</v>
      </c>
      <c r="R400" s="45">
        <f t="shared" si="41"/>
        <v>0</v>
      </c>
      <c r="S400" s="24"/>
      <c r="T400" s="24"/>
      <c r="U400" s="24"/>
      <c r="V400" s="24"/>
      <c r="W400" s="24"/>
      <c r="X400" s="24"/>
      <c r="Y400" s="24"/>
      <c r="Z400" s="24"/>
      <c r="AA400" s="24"/>
      <c r="AB400" s="24"/>
      <c r="AC400" s="24"/>
    </row>
    <row r="401" spans="1:29" ht="65.25">
      <c r="A401" s="180" t="s">
        <v>5632</v>
      </c>
      <c r="B401" s="181" t="s">
        <v>5633</v>
      </c>
      <c r="C401" s="181" t="s">
        <v>5634</v>
      </c>
      <c r="D401" s="144" t="s">
        <v>7070</v>
      </c>
      <c r="E401" s="25" t="s">
        <v>7071</v>
      </c>
      <c r="F401" s="25" t="s">
        <v>7072</v>
      </c>
      <c r="G401" s="57" t="str">
        <f>HYPERLINK("https://www.acquisition.gov/browse/index/far","FAR 12.403(c)(2) Termination for cause. FAR 49.402-3 Procedure for default. ")</f>
        <v xml:space="preserve">FAR 12.403(c)(2) Termination for cause. FAR 49.402-3 Procedure for default. </v>
      </c>
      <c r="H401" s="54"/>
      <c r="I401" s="34" t="s">
        <v>7073</v>
      </c>
      <c r="J401" s="37" t="s">
        <v>463</v>
      </c>
      <c r="K401" s="37" t="s">
        <v>7074</v>
      </c>
      <c r="L401" s="25" t="s">
        <v>7075</v>
      </c>
      <c r="M401" s="25" t="s">
        <v>7076</v>
      </c>
      <c r="N401" s="25" t="s">
        <v>7069</v>
      </c>
      <c r="O401" s="64"/>
      <c r="P401" s="45" t="b">
        <f t="shared" si="39"/>
        <v>0</v>
      </c>
      <c r="Q401" s="45">
        <f t="shared" si="40"/>
        <v>0</v>
      </c>
      <c r="R401" s="45">
        <f t="shared" si="41"/>
        <v>0</v>
      </c>
      <c r="S401" s="24"/>
      <c r="T401" s="24"/>
      <c r="U401" s="24"/>
      <c r="V401" s="24"/>
      <c r="W401" s="24"/>
      <c r="X401" s="24"/>
      <c r="Y401" s="24"/>
      <c r="Z401" s="24"/>
      <c r="AA401" s="24"/>
      <c r="AB401" s="24"/>
      <c r="AC401" s="24"/>
    </row>
    <row r="402" spans="1:29" ht="130.44999999999999">
      <c r="A402" s="180" t="s">
        <v>5632</v>
      </c>
      <c r="B402" s="181" t="s">
        <v>5633</v>
      </c>
      <c r="C402" s="181" t="s">
        <v>5634</v>
      </c>
      <c r="D402" s="144" t="s">
        <v>7079</v>
      </c>
      <c r="E402" s="25" t="s">
        <v>7080</v>
      </c>
      <c r="F402" s="25" t="s">
        <v>7081</v>
      </c>
      <c r="G402" s="57" t="str">
        <f>HYPERLINK("https://www.acquisition.gov/browse/index/far","FAR 8.406-4(c)(1) Termination for cause [ordering activity responsibilities]. FAR 12.403(c)(2) Termination for cause. FAR 49.402-6 Repurchase against contractor’s account [termination of fixed-price contracts for default].")</f>
        <v>FAR 8.406-4(c)(1) Termination for cause [ordering activity responsibilities]. FAR 12.403(c)(2) Termination for cause. FAR 49.402-6 Repurchase against contractor’s account [termination of fixed-price contracts for default].</v>
      </c>
      <c r="H402" s="57" t="str">
        <f>HYPERLINK("https://www.acquisition.gov/sites/default/files/current/gsam/html/Part549.html#wp1858481","GSAM 549.402-6")</f>
        <v>GSAM 549.402-6</v>
      </c>
      <c r="I402" s="34" t="s">
        <v>7073</v>
      </c>
      <c r="J402" s="37" t="s">
        <v>463</v>
      </c>
      <c r="K402" s="37" t="s">
        <v>7084</v>
      </c>
      <c r="L402" s="25" t="s">
        <v>7085</v>
      </c>
      <c r="M402" s="25" t="s">
        <v>7086</v>
      </c>
      <c r="N402" s="25" t="s">
        <v>7087</v>
      </c>
      <c r="O402" s="64"/>
      <c r="P402" s="45" t="b">
        <f t="shared" si="39"/>
        <v>0</v>
      </c>
      <c r="Q402" s="45">
        <f t="shared" si="40"/>
        <v>0</v>
      </c>
      <c r="R402" s="45">
        <f t="shared" si="41"/>
        <v>0</v>
      </c>
      <c r="S402" s="24"/>
      <c r="T402" s="24"/>
      <c r="U402" s="24"/>
      <c r="V402" s="24"/>
      <c r="W402" s="24"/>
      <c r="X402" s="24"/>
      <c r="Y402" s="24"/>
      <c r="Z402" s="24"/>
      <c r="AA402" s="24"/>
      <c r="AB402" s="24"/>
      <c r="AC402" s="24"/>
    </row>
    <row r="403" spans="1:29" ht="76.099999999999994">
      <c r="A403" s="180" t="s">
        <v>5632</v>
      </c>
      <c r="B403" s="181" t="s">
        <v>5633</v>
      </c>
      <c r="C403" s="181" t="s">
        <v>5634</v>
      </c>
      <c r="D403" s="144" t="s">
        <v>7090</v>
      </c>
      <c r="E403" s="25" t="s">
        <v>7091</v>
      </c>
      <c r="F403" s="25" t="s">
        <v>4712</v>
      </c>
      <c r="G403" s="57" t="str">
        <f>HYPERLINK("https://www.acquisition.gov/browse/index/far","FAR 12.403(c)(2) Termination for cause. FAR 49.402-7 Other damages [termination of fixed-price contracts for default]. ")</f>
        <v xml:space="preserve">FAR 12.403(c)(2) Termination for cause. FAR 49.402-7 Other damages [termination of fixed-price contracts for default]. </v>
      </c>
      <c r="H403" s="57" t="str">
        <f>HYPERLINK("https://www.acquisition.gov/sites/default/files/current/gsam/html/Part549.html#wp1858098","GSAM 549.402-7")</f>
        <v>GSAM 549.402-7</v>
      </c>
      <c r="I403" s="34"/>
      <c r="J403" s="37" t="s">
        <v>463</v>
      </c>
      <c r="K403" s="37" t="s">
        <v>7099</v>
      </c>
      <c r="L403" s="25" t="s">
        <v>7100</v>
      </c>
      <c r="M403" s="25" t="s">
        <v>7101</v>
      </c>
      <c r="N403" s="25" t="s">
        <v>7102</v>
      </c>
      <c r="O403" s="64"/>
      <c r="P403" s="45" t="b">
        <f t="shared" si="39"/>
        <v>0</v>
      </c>
      <c r="Q403" s="45">
        <f t="shared" si="40"/>
        <v>0</v>
      </c>
      <c r="R403" s="45">
        <f t="shared" si="41"/>
        <v>0</v>
      </c>
      <c r="S403" s="24"/>
      <c r="T403" s="24"/>
      <c r="U403" s="24"/>
      <c r="V403" s="24"/>
      <c r="W403" s="24"/>
      <c r="X403" s="24"/>
      <c r="Y403" s="24"/>
      <c r="Z403" s="24"/>
      <c r="AA403" s="24"/>
      <c r="AB403" s="24"/>
      <c r="AC403" s="24"/>
    </row>
    <row r="404" spans="1:29" ht="76.099999999999994">
      <c r="A404" s="180" t="s">
        <v>5632</v>
      </c>
      <c r="B404" s="181" t="s">
        <v>5633</v>
      </c>
      <c r="C404" s="181" t="s">
        <v>5634</v>
      </c>
      <c r="D404" s="144" t="s">
        <v>7104</v>
      </c>
      <c r="E404" s="25" t="s">
        <v>7105</v>
      </c>
      <c r="F404" s="25" t="s">
        <v>1427</v>
      </c>
      <c r="G404" s="57" t="str">
        <f>HYPERLINK("https://www.acquisition.gov/browse/index/far","FAR 8.406-4 Termination for cause. FAR 49.402-5 Memorandum by the contracting officer [termination of fixed price contracts for default]. ")</f>
        <v xml:space="preserve">FAR 8.406-4 Termination for cause. FAR 49.402-5 Memorandum by the contracting officer [termination of fixed price contracts for default]. </v>
      </c>
      <c r="H404" s="54"/>
      <c r="I404" s="34"/>
      <c r="J404" s="37" t="s">
        <v>463</v>
      </c>
      <c r="K404" s="37" t="s">
        <v>7110</v>
      </c>
      <c r="L404" s="25" t="s">
        <v>7111</v>
      </c>
      <c r="M404" s="25" t="s">
        <v>7112</v>
      </c>
      <c r="N404" s="25" t="s">
        <v>7069</v>
      </c>
      <c r="O404" s="64"/>
      <c r="P404" s="45" t="b">
        <f t="shared" si="39"/>
        <v>0</v>
      </c>
      <c r="Q404" s="45">
        <f t="shared" si="40"/>
        <v>0</v>
      </c>
      <c r="R404" s="45">
        <f t="shared" si="41"/>
        <v>0</v>
      </c>
      <c r="S404" s="24"/>
      <c r="T404" s="24"/>
      <c r="U404" s="24"/>
      <c r="V404" s="24"/>
      <c r="W404" s="24"/>
      <c r="X404" s="24"/>
      <c r="Y404" s="24"/>
      <c r="Z404" s="24"/>
      <c r="AA404" s="24"/>
      <c r="AB404" s="24"/>
      <c r="AC404" s="24"/>
    </row>
    <row r="405" spans="1:29" ht="86.95">
      <c r="A405" s="180" t="s">
        <v>5632</v>
      </c>
      <c r="B405" s="181" t="s">
        <v>5633</v>
      </c>
      <c r="C405" s="181" t="s">
        <v>5634</v>
      </c>
      <c r="D405" s="144" t="s">
        <v>7117</v>
      </c>
      <c r="E405" s="25" t="s">
        <v>7118</v>
      </c>
      <c r="F405" s="25" t="s">
        <v>7119</v>
      </c>
      <c r="G405" s="57" t="str">
        <f>HYPERLINK("https://www.acquisition.gov/browse/index/far","FAR 8.406-4(e) Reporting [termination for cause]. FAR 12.403(c)(4) Termination for cause. FAR 42.1503(h), Procedures; FAR 49.402-8 Reporting information [termination of fixed-price contracts for default].")</f>
        <v>FAR 8.406-4(e) Reporting [termination for cause]. FAR 12.403(c)(4) Termination for cause. FAR 42.1503(h), Procedures; FAR 49.402-8 Reporting information [termination of fixed-price contracts for default].</v>
      </c>
      <c r="H405" s="54"/>
      <c r="I405" s="34" t="s">
        <v>4746</v>
      </c>
      <c r="J405" s="37" t="s">
        <v>1566</v>
      </c>
      <c r="K405" s="37" t="s">
        <v>7124</v>
      </c>
      <c r="L405" s="25" t="s">
        <v>7125</v>
      </c>
      <c r="M405" s="25" t="s">
        <v>7127</v>
      </c>
      <c r="N405" s="25" t="s">
        <v>7128</v>
      </c>
      <c r="O405" s="64"/>
      <c r="P405" s="45" t="b">
        <f t="shared" si="39"/>
        <v>0</v>
      </c>
      <c r="Q405" s="45">
        <f t="shared" si="40"/>
        <v>3</v>
      </c>
      <c r="R405" s="45">
        <f t="shared" si="41"/>
        <v>0</v>
      </c>
      <c r="S405" s="24"/>
      <c r="T405" s="24"/>
      <c r="U405" s="24"/>
      <c r="V405" s="24"/>
      <c r="W405" s="24"/>
      <c r="X405" s="24"/>
      <c r="Y405" s="24"/>
      <c r="Z405" s="24"/>
      <c r="AA405" s="24"/>
      <c r="AB405" s="24"/>
      <c r="AC405" s="24"/>
    </row>
    <row r="406" spans="1:29" ht="4.5999999999999996" customHeight="1">
      <c r="A406" s="55"/>
      <c r="B406" s="55"/>
      <c r="C406" s="56"/>
      <c r="D406" s="56"/>
      <c r="E406" s="55"/>
      <c r="F406" s="55"/>
      <c r="G406" s="72"/>
      <c r="H406" s="72"/>
      <c r="I406" s="133"/>
      <c r="J406" s="55"/>
      <c r="K406" s="63"/>
      <c r="L406" s="63"/>
      <c r="M406" s="63"/>
      <c r="N406" s="63"/>
      <c r="O406" s="64"/>
      <c r="P406" s="45"/>
      <c r="Q406" s="45"/>
      <c r="R406" s="45"/>
      <c r="S406" s="24"/>
      <c r="T406" s="24"/>
      <c r="U406" s="24"/>
      <c r="V406" s="24"/>
      <c r="W406" s="24"/>
      <c r="X406" s="24"/>
      <c r="Y406" s="24"/>
      <c r="Z406" s="24"/>
      <c r="AA406" s="24"/>
      <c r="AB406" s="24"/>
      <c r="AC406" s="24"/>
    </row>
    <row r="407" spans="1:29" ht="195.65">
      <c r="A407" s="26" t="s">
        <v>7132</v>
      </c>
      <c r="B407" s="26" t="s">
        <v>7133</v>
      </c>
      <c r="C407" s="26" t="s">
        <v>7134</v>
      </c>
      <c r="D407" s="26" t="s">
        <v>7135</v>
      </c>
      <c r="E407" s="25" t="s">
        <v>7136</v>
      </c>
      <c r="F407" s="25" t="s">
        <v>7138</v>
      </c>
      <c r="G407" s="57" t="str">
        <f>HYPERLINK("https://www.acquisition.gov/content/part-4-administrative-matters#i1122822","FAR 4.603 Policy [contract reporting]. ")</f>
        <v xml:space="preserve">FAR 4.603 Policy [contract reporting]. </v>
      </c>
      <c r="H407" s="54"/>
      <c r="I407" s="34" t="s">
        <v>7142</v>
      </c>
      <c r="J407" s="37" t="s">
        <v>1566</v>
      </c>
      <c r="K407" s="37" t="s">
        <v>7143</v>
      </c>
      <c r="L407" s="25" t="s">
        <v>7144</v>
      </c>
      <c r="M407" s="25" t="s">
        <v>7145</v>
      </c>
      <c r="N407" s="25" t="s">
        <v>7146</v>
      </c>
      <c r="O407" s="64"/>
      <c r="P407" s="45" t="b">
        <f t="shared" ref="P407:P429" si="54">IF(AND(O407="Meet the requirements traceability “out of the box”"), 10, IF(AND(O407="Can meet the requirements traceability with configuration or through the use of another commercial product “out of the box” or other arrangement as part of the service offering quoted (i.e. at no additional cost)"), 8, IF(AND(O407="Can meet the requirements traceability with customization at additional cost"), 3, IF(AND(O407="Cannot meet the requirements traceability requirement"), 0))))</f>
        <v>0</v>
      </c>
      <c r="Q407" s="45">
        <f t="shared" ref="Q407:Q429" si="55">IF(J407="Unidentified",0,3)</f>
        <v>3</v>
      </c>
      <c r="R407" s="45">
        <f t="shared" ref="R407:R429" si="56">IF(P407=FALSE,0,IF(P407&gt;4,(P407+Q407),P407))</f>
        <v>0</v>
      </c>
      <c r="S407" s="24"/>
      <c r="T407" s="24"/>
      <c r="U407" s="24"/>
      <c r="V407" s="24"/>
      <c r="W407" s="24"/>
      <c r="X407" s="24"/>
      <c r="Y407" s="24"/>
      <c r="Z407" s="24"/>
      <c r="AA407" s="24"/>
      <c r="AB407" s="24"/>
      <c r="AC407" s="24"/>
    </row>
    <row r="408" spans="1:29" ht="108.7">
      <c r="A408" s="26" t="s">
        <v>7132</v>
      </c>
      <c r="B408" s="26" t="s">
        <v>7133</v>
      </c>
      <c r="C408" s="26" t="s">
        <v>7134</v>
      </c>
      <c r="D408" s="26" t="s">
        <v>7151</v>
      </c>
      <c r="E408" s="85" t="s">
        <v>7152</v>
      </c>
      <c r="F408" s="85" t="s">
        <v>7138</v>
      </c>
      <c r="G408" s="57" t="str">
        <f t="shared" ref="G408:G409" si="57">HYPERLINK("https://www.acquisition.gov/content/part-4-administrative-matters#i1122822","FAR 4.603 Policy. ")</f>
        <v xml:space="preserve">FAR 4.603 Policy. </v>
      </c>
      <c r="H408" s="54"/>
      <c r="I408" s="34" t="s">
        <v>7142</v>
      </c>
      <c r="J408" s="37" t="s">
        <v>1566</v>
      </c>
      <c r="K408" s="37" t="s">
        <v>7153</v>
      </c>
      <c r="L408" s="25" t="s">
        <v>7154</v>
      </c>
      <c r="M408" s="25" t="s">
        <v>7155</v>
      </c>
      <c r="N408" s="25" t="s">
        <v>7156</v>
      </c>
      <c r="O408" s="64"/>
      <c r="P408" s="45" t="b">
        <f t="shared" si="54"/>
        <v>0</v>
      </c>
      <c r="Q408" s="45">
        <f t="shared" si="55"/>
        <v>3</v>
      </c>
      <c r="R408" s="45">
        <f t="shared" si="56"/>
        <v>0</v>
      </c>
      <c r="S408" s="24"/>
      <c r="T408" s="24"/>
      <c r="U408" s="24"/>
      <c r="V408" s="24"/>
      <c r="W408" s="24"/>
      <c r="X408" s="24"/>
      <c r="Y408" s="24"/>
      <c r="Z408" s="24"/>
      <c r="AA408" s="24"/>
      <c r="AB408" s="24"/>
      <c r="AC408" s="24"/>
    </row>
    <row r="409" spans="1:29" ht="119.55">
      <c r="A409" s="26" t="s">
        <v>7132</v>
      </c>
      <c r="B409" s="26" t="s">
        <v>7133</v>
      </c>
      <c r="C409" s="26" t="s">
        <v>7134</v>
      </c>
      <c r="D409" s="26" t="s">
        <v>7161</v>
      </c>
      <c r="E409" s="85" t="s">
        <v>7162</v>
      </c>
      <c r="F409" s="85" t="s">
        <v>7138</v>
      </c>
      <c r="G409" s="86" t="str">
        <f t="shared" si="57"/>
        <v xml:space="preserve">FAR 4.603 Policy. </v>
      </c>
      <c r="H409" s="54"/>
      <c r="I409" s="34" t="s">
        <v>7142</v>
      </c>
      <c r="J409" s="37" t="s">
        <v>1566</v>
      </c>
      <c r="K409" s="37" t="s">
        <v>7163</v>
      </c>
      <c r="L409" s="25" t="s">
        <v>7164</v>
      </c>
      <c r="M409" s="25" t="s">
        <v>7165</v>
      </c>
      <c r="N409" s="25" t="s">
        <v>7166</v>
      </c>
      <c r="O409" s="64"/>
      <c r="P409" s="45" t="b">
        <f t="shared" si="54"/>
        <v>0</v>
      </c>
      <c r="Q409" s="45">
        <f t="shared" si="55"/>
        <v>3</v>
      </c>
      <c r="R409" s="45">
        <f t="shared" si="56"/>
        <v>0</v>
      </c>
      <c r="S409" s="24"/>
      <c r="T409" s="24"/>
      <c r="U409" s="24"/>
      <c r="V409" s="24"/>
      <c r="W409" s="24"/>
      <c r="X409" s="24"/>
      <c r="Y409" s="24"/>
      <c r="Z409" s="24"/>
      <c r="AA409" s="24"/>
      <c r="AB409" s="24"/>
      <c r="AC409" s="24"/>
    </row>
    <row r="410" spans="1:29" ht="97.85">
      <c r="A410" s="26" t="s">
        <v>7132</v>
      </c>
      <c r="B410" s="26" t="s">
        <v>7133</v>
      </c>
      <c r="C410" s="26" t="s">
        <v>7134</v>
      </c>
      <c r="D410" s="26" t="s">
        <v>7168</v>
      </c>
      <c r="E410" s="25" t="s">
        <v>7169</v>
      </c>
      <c r="F410" s="25" t="s">
        <v>7138</v>
      </c>
      <c r="G410" s="57" t="str">
        <f>HYPERLINK("https://www.acquisition.gov/content/part-4-administrative-matters#i1122822","FAR 4.603 Policy [contract reporting]. ")</f>
        <v xml:space="preserve">FAR 4.603 Policy [contract reporting]. </v>
      </c>
      <c r="H410" s="54"/>
      <c r="I410" s="34" t="s">
        <v>7142</v>
      </c>
      <c r="J410" s="37" t="s">
        <v>1566</v>
      </c>
      <c r="K410" s="37" t="s">
        <v>7173</v>
      </c>
      <c r="L410" s="25" t="s">
        <v>7144</v>
      </c>
      <c r="M410" s="25" t="s">
        <v>7145</v>
      </c>
      <c r="N410" s="25" t="s">
        <v>7146</v>
      </c>
      <c r="O410" s="64"/>
      <c r="P410" s="45" t="b">
        <f t="shared" si="54"/>
        <v>0</v>
      </c>
      <c r="Q410" s="45">
        <f t="shared" si="55"/>
        <v>3</v>
      </c>
      <c r="R410" s="45">
        <f t="shared" si="56"/>
        <v>0</v>
      </c>
      <c r="S410" s="24"/>
      <c r="T410" s="24"/>
      <c r="U410" s="24"/>
      <c r="V410" s="24"/>
      <c r="W410" s="24"/>
      <c r="X410" s="24"/>
      <c r="Y410" s="24"/>
      <c r="Z410" s="24"/>
      <c r="AA410" s="24"/>
      <c r="AB410" s="24"/>
      <c r="AC410" s="24"/>
    </row>
    <row r="411" spans="1:29" ht="97.85">
      <c r="A411" s="26" t="s">
        <v>7132</v>
      </c>
      <c r="B411" s="26" t="s">
        <v>7133</v>
      </c>
      <c r="C411" s="26" t="s">
        <v>7134</v>
      </c>
      <c r="D411" s="26" t="s">
        <v>7174</v>
      </c>
      <c r="E411" s="25" t="s">
        <v>7175</v>
      </c>
      <c r="F411" s="25" t="s">
        <v>7138</v>
      </c>
      <c r="G411" s="57" t="str">
        <f>HYPERLINK("https://www.acquisition.gov/content/part-4-administrative-matters#i1122822","FAR 4.603 Policy [contract reporting].")</f>
        <v>FAR 4.603 Policy [contract reporting].</v>
      </c>
      <c r="H411" s="54"/>
      <c r="I411" s="34" t="s">
        <v>7142</v>
      </c>
      <c r="J411" s="37" t="s">
        <v>1566</v>
      </c>
      <c r="K411" s="37" t="s">
        <v>7180</v>
      </c>
      <c r="L411" s="25" t="s">
        <v>7144</v>
      </c>
      <c r="M411" s="25" t="s">
        <v>7145</v>
      </c>
      <c r="N411" s="25" t="s">
        <v>7146</v>
      </c>
      <c r="O411" s="64"/>
      <c r="P411" s="45" t="b">
        <f t="shared" si="54"/>
        <v>0</v>
      </c>
      <c r="Q411" s="45">
        <f t="shared" si="55"/>
        <v>3</v>
      </c>
      <c r="R411" s="45">
        <f t="shared" si="56"/>
        <v>0</v>
      </c>
      <c r="S411" s="24"/>
      <c r="T411" s="24"/>
      <c r="U411" s="24"/>
      <c r="V411" s="24"/>
      <c r="W411" s="24"/>
      <c r="X411" s="24"/>
      <c r="Y411" s="24"/>
      <c r="Z411" s="24"/>
      <c r="AA411" s="24"/>
      <c r="AB411" s="24"/>
      <c r="AC411" s="24"/>
    </row>
    <row r="412" spans="1:29" ht="97.85">
      <c r="A412" s="26" t="s">
        <v>7132</v>
      </c>
      <c r="B412" s="26" t="s">
        <v>7133</v>
      </c>
      <c r="C412" s="26" t="s">
        <v>7134</v>
      </c>
      <c r="D412" s="26" t="s">
        <v>7185</v>
      </c>
      <c r="E412" s="25" t="s">
        <v>7186</v>
      </c>
      <c r="F412" s="25" t="s">
        <v>7138</v>
      </c>
      <c r="G412" s="57" t="str">
        <f>HYPERLINK("https://www.acquisition.gov/content/part-4-administrative-matters#i1122822","FAR 4.603 Policy [contract reporting]. ")</f>
        <v xml:space="preserve">FAR 4.603 Policy [contract reporting]. </v>
      </c>
      <c r="H412" s="54"/>
      <c r="I412" s="34" t="s">
        <v>7142</v>
      </c>
      <c r="J412" s="37" t="s">
        <v>1566</v>
      </c>
      <c r="K412" s="37" t="s">
        <v>7187</v>
      </c>
      <c r="L412" s="25" t="s">
        <v>7144</v>
      </c>
      <c r="M412" s="25" t="s">
        <v>7145</v>
      </c>
      <c r="N412" s="25" t="s">
        <v>7146</v>
      </c>
      <c r="O412" s="64"/>
      <c r="P412" s="45" t="b">
        <f t="shared" si="54"/>
        <v>0</v>
      </c>
      <c r="Q412" s="45">
        <f t="shared" si="55"/>
        <v>3</v>
      </c>
      <c r="R412" s="45">
        <f t="shared" si="56"/>
        <v>0</v>
      </c>
      <c r="S412" s="24"/>
      <c r="T412" s="24"/>
      <c r="U412" s="24"/>
      <c r="V412" s="24"/>
      <c r="W412" s="24"/>
      <c r="X412" s="24"/>
      <c r="Y412" s="24"/>
      <c r="Z412" s="24"/>
      <c r="AA412" s="24"/>
      <c r="AB412" s="24"/>
      <c r="AC412" s="24"/>
    </row>
    <row r="413" spans="1:29" ht="97.85">
      <c r="A413" s="26" t="s">
        <v>7132</v>
      </c>
      <c r="B413" s="26" t="s">
        <v>7133</v>
      </c>
      <c r="C413" s="26" t="s">
        <v>7134</v>
      </c>
      <c r="D413" s="66" t="s">
        <v>7192</v>
      </c>
      <c r="E413" s="25" t="s">
        <v>7193</v>
      </c>
      <c r="F413" s="25" t="s">
        <v>7194</v>
      </c>
      <c r="G413" s="57" t="str">
        <f>HYPERLINK("https://www.acquisition.gov/content/part-4-administrative-matters#i1122822","FAR 4.603 Policy.")</f>
        <v>FAR 4.603 Policy.</v>
      </c>
      <c r="H413" s="54"/>
      <c r="I413" s="34" t="s">
        <v>7142</v>
      </c>
      <c r="J413" s="37" t="s">
        <v>1566</v>
      </c>
      <c r="K413" s="37" t="s">
        <v>7195</v>
      </c>
      <c r="L413" s="25" t="s">
        <v>7144</v>
      </c>
      <c r="M413" s="25" t="s">
        <v>7145</v>
      </c>
      <c r="N413" s="25" t="s">
        <v>7146</v>
      </c>
      <c r="O413" s="64"/>
      <c r="P413" s="45" t="b">
        <f t="shared" si="54"/>
        <v>0</v>
      </c>
      <c r="Q413" s="45">
        <f t="shared" si="55"/>
        <v>3</v>
      </c>
      <c r="R413" s="45">
        <f t="shared" si="56"/>
        <v>0</v>
      </c>
      <c r="S413" s="24"/>
      <c r="T413" s="24"/>
      <c r="U413" s="24"/>
      <c r="V413" s="24"/>
      <c r="W413" s="24"/>
      <c r="X413" s="24"/>
      <c r="Y413" s="24"/>
      <c r="Z413" s="24"/>
      <c r="AA413" s="24"/>
      <c r="AB413" s="24"/>
      <c r="AC413" s="24"/>
    </row>
    <row r="414" spans="1:29" ht="97.85">
      <c r="A414" s="26" t="s">
        <v>7132</v>
      </c>
      <c r="B414" s="26" t="s">
        <v>7133</v>
      </c>
      <c r="C414" s="26" t="s">
        <v>7134</v>
      </c>
      <c r="D414" s="26" t="s">
        <v>7198</v>
      </c>
      <c r="E414" s="25" t="s">
        <v>7200</v>
      </c>
      <c r="F414" s="25" t="s">
        <v>7138</v>
      </c>
      <c r="G414" s="57" t="str">
        <f>HYPERLINK("https://www.acquisition.gov/content/part-4-administrative-matters#i1122822","FAR 4.603 Policy [contract reporting].")</f>
        <v>FAR 4.603 Policy [contract reporting].</v>
      </c>
      <c r="H414" s="54"/>
      <c r="I414" s="34" t="s">
        <v>7142</v>
      </c>
      <c r="J414" s="37" t="s">
        <v>1566</v>
      </c>
      <c r="K414" s="37" t="s">
        <v>7201</v>
      </c>
      <c r="L414" s="25" t="s">
        <v>7144</v>
      </c>
      <c r="M414" s="25" t="s">
        <v>7145</v>
      </c>
      <c r="N414" s="25" t="s">
        <v>7146</v>
      </c>
      <c r="O414" s="64"/>
      <c r="P414" s="45" t="b">
        <f t="shared" si="54"/>
        <v>0</v>
      </c>
      <c r="Q414" s="45">
        <f t="shared" si="55"/>
        <v>3</v>
      </c>
      <c r="R414" s="45">
        <f t="shared" si="56"/>
        <v>0</v>
      </c>
      <c r="S414" s="24"/>
      <c r="T414" s="24"/>
      <c r="U414" s="24"/>
      <c r="V414" s="24"/>
      <c r="W414" s="24"/>
      <c r="X414" s="24"/>
      <c r="Y414" s="24"/>
      <c r="Z414" s="24"/>
      <c r="AA414" s="24"/>
      <c r="AB414" s="24"/>
      <c r="AC414" s="24"/>
    </row>
    <row r="415" spans="1:29" ht="108.7">
      <c r="A415" s="26" t="s">
        <v>7132</v>
      </c>
      <c r="B415" s="26" t="s">
        <v>7133</v>
      </c>
      <c r="C415" s="26" t="s">
        <v>7134</v>
      </c>
      <c r="D415" s="26" t="s">
        <v>7202</v>
      </c>
      <c r="E415" s="25" t="s">
        <v>7203</v>
      </c>
      <c r="F415" s="25" t="s">
        <v>7204</v>
      </c>
      <c r="G415" s="57" t="str">
        <f>HYPERLINK("https://www.acquisition.gov/content/part-24-protection-privacy-and-freedom-information#id1617MD070BQ","FAR 24.2 Freedom of Information Act [protection of privacy and freedom of information]. Department of Justice Guide to the Freedom of Information Act (2013 Edition). ")</f>
        <v xml:space="preserve">FAR 24.2 Freedom of Information Act [protection of privacy and freedom of information]. Department of Justice Guide to the Freedom of Information Act (2013 Edition). </v>
      </c>
      <c r="H415" s="57" t="str">
        <f>HYPERLINK("https://www.acquisition.gov/sites/default/files/current/gsam/html/Part524.html#wp1858093","GSA 524.2")</f>
        <v>GSA 524.2</v>
      </c>
      <c r="I415" s="34" t="s">
        <v>4746</v>
      </c>
      <c r="J415" s="37" t="s">
        <v>1566</v>
      </c>
      <c r="K415" s="37" t="s">
        <v>7206</v>
      </c>
      <c r="L415" s="25" t="s">
        <v>7207</v>
      </c>
      <c r="M415" s="25" t="s">
        <v>7208</v>
      </c>
      <c r="N415" s="25" t="s">
        <v>7209</v>
      </c>
      <c r="O415" s="64"/>
      <c r="P415" s="45" t="b">
        <f t="shared" si="54"/>
        <v>0</v>
      </c>
      <c r="Q415" s="45">
        <f t="shared" si="55"/>
        <v>3</v>
      </c>
      <c r="R415" s="45">
        <f t="shared" si="56"/>
        <v>0</v>
      </c>
      <c r="S415" s="24"/>
      <c r="T415" s="24"/>
      <c r="U415" s="24"/>
      <c r="V415" s="24"/>
      <c r="W415" s="24"/>
      <c r="X415" s="24"/>
      <c r="Y415" s="24"/>
      <c r="Z415" s="24"/>
      <c r="AA415" s="24"/>
      <c r="AB415" s="24"/>
      <c r="AC415" s="24"/>
    </row>
    <row r="416" spans="1:29" ht="86.95">
      <c r="A416" s="26" t="s">
        <v>7132</v>
      </c>
      <c r="B416" s="26" t="s">
        <v>7133</v>
      </c>
      <c r="C416" s="26" t="s">
        <v>7134</v>
      </c>
      <c r="D416" s="26" t="s">
        <v>7210</v>
      </c>
      <c r="E416" s="25" t="s">
        <v>7211</v>
      </c>
      <c r="F416" s="25" t="s">
        <v>7212</v>
      </c>
      <c r="G416" s="57" t="str">
        <f>HYPERLINK("https://www.justice.gov/oip/blog/us-department-justice-guide-freedom-information-act-2013-edition","FOIA Post, “OIP Guidance: Assigning Tracking Numbers and Providing Status Information for Requests.” Department of Justice Guide to the Freedom of Information Act (2013 Edition)")</f>
        <v>FOIA Post, “OIP Guidance: Assigning Tracking Numbers and Providing Status Information for Requests.” Department of Justice Guide to the Freedom of Information Act (2013 Edition)</v>
      </c>
      <c r="H416" s="54"/>
      <c r="I416" s="34"/>
      <c r="J416" s="37" t="s">
        <v>463</v>
      </c>
      <c r="K416" s="37" t="s">
        <v>7214</v>
      </c>
      <c r="L416" s="25" t="s">
        <v>7215</v>
      </c>
      <c r="M416" s="25" t="s">
        <v>7216</v>
      </c>
      <c r="N416" s="25" t="s">
        <v>7217</v>
      </c>
      <c r="O416" s="64"/>
      <c r="P416" s="45" t="b">
        <f t="shared" si="54"/>
        <v>0</v>
      </c>
      <c r="Q416" s="45">
        <f t="shared" si="55"/>
        <v>0</v>
      </c>
      <c r="R416" s="45">
        <f t="shared" si="56"/>
        <v>0</v>
      </c>
      <c r="S416" s="24"/>
      <c r="T416" s="24"/>
      <c r="U416" s="24"/>
      <c r="V416" s="24"/>
      <c r="W416" s="24"/>
      <c r="X416" s="24"/>
      <c r="Y416" s="24"/>
      <c r="Z416" s="24"/>
      <c r="AA416" s="24"/>
      <c r="AB416" s="24"/>
      <c r="AC416" s="24"/>
    </row>
    <row r="417" spans="1:29" ht="108.7">
      <c r="A417" s="26" t="s">
        <v>7132</v>
      </c>
      <c r="B417" s="26" t="s">
        <v>7133</v>
      </c>
      <c r="C417" s="26" t="s">
        <v>7134</v>
      </c>
      <c r="D417" s="26" t="s">
        <v>7218</v>
      </c>
      <c r="E417" s="25" t="s">
        <v>7219</v>
      </c>
      <c r="F417" s="25" t="s">
        <v>7220</v>
      </c>
      <c r="G417" s="57" t="str">
        <f t="shared" ref="G417:G424" si="58">HYPERLINK("https://www.justice.gov/oip/blog/us-department-justice-guide-freedom-information-act-2013-edition","Department of Justice Guide to the Freedom of Information Act (2013 Edition).")</f>
        <v>Department of Justice Guide to the Freedom of Information Act (2013 Edition).</v>
      </c>
      <c r="H417" s="54"/>
      <c r="I417" s="34"/>
      <c r="J417" s="37" t="s">
        <v>463</v>
      </c>
      <c r="K417" s="37" t="s">
        <v>7221</v>
      </c>
      <c r="L417" s="25" t="s">
        <v>7207</v>
      </c>
      <c r="M417" s="25" t="s">
        <v>7208</v>
      </c>
      <c r="N417" s="25" t="s">
        <v>7209</v>
      </c>
      <c r="O417" s="64"/>
      <c r="P417" s="45" t="b">
        <f t="shared" si="54"/>
        <v>0</v>
      </c>
      <c r="Q417" s="45">
        <f t="shared" si="55"/>
        <v>0</v>
      </c>
      <c r="R417" s="45">
        <f t="shared" si="56"/>
        <v>0</v>
      </c>
      <c r="S417" s="24"/>
      <c r="T417" s="24"/>
      <c r="U417" s="24"/>
      <c r="V417" s="24"/>
      <c r="W417" s="24"/>
      <c r="X417" s="24"/>
      <c r="Y417" s="24"/>
      <c r="Z417" s="24"/>
      <c r="AA417" s="24"/>
      <c r="AB417" s="24"/>
      <c r="AC417" s="24"/>
    </row>
    <row r="418" spans="1:29" ht="108.7">
      <c r="A418" s="26" t="s">
        <v>7132</v>
      </c>
      <c r="B418" s="26" t="s">
        <v>7133</v>
      </c>
      <c r="C418" s="26" t="s">
        <v>7134</v>
      </c>
      <c r="D418" s="26" t="s">
        <v>7225</v>
      </c>
      <c r="E418" s="25" t="s">
        <v>7227</v>
      </c>
      <c r="F418" s="25" t="s">
        <v>7228</v>
      </c>
      <c r="G418" s="57" t="str">
        <f t="shared" si="58"/>
        <v>Department of Justice Guide to the Freedom of Information Act (2013 Edition).</v>
      </c>
      <c r="H418" s="54"/>
      <c r="I418" s="34"/>
      <c r="J418" s="37" t="s">
        <v>463</v>
      </c>
      <c r="K418" s="37" t="s">
        <v>7229</v>
      </c>
      <c r="L418" s="25" t="s">
        <v>7207</v>
      </c>
      <c r="M418" s="25" t="s">
        <v>7208</v>
      </c>
      <c r="N418" s="25" t="s">
        <v>7209</v>
      </c>
      <c r="O418" s="64"/>
      <c r="P418" s="45" t="b">
        <f t="shared" si="54"/>
        <v>0</v>
      </c>
      <c r="Q418" s="45">
        <f t="shared" si="55"/>
        <v>0</v>
      </c>
      <c r="R418" s="45">
        <f t="shared" si="56"/>
        <v>0</v>
      </c>
      <c r="S418" s="24"/>
      <c r="T418" s="24"/>
      <c r="U418" s="24"/>
      <c r="V418" s="24"/>
      <c r="W418" s="24"/>
      <c r="X418" s="24"/>
      <c r="Y418" s="24"/>
      <c r="Z418" s="24"/>
      <c r="AA418" s="24"/>
      <c r="AB418" s="24"/>
      <c r="AC418" s="24"/>
    </row>
    <row r="419" spans="1:29" ht="108.7">
      <c r="A419" s="26" t="s">
        <v>7132</v>
      </c>
      <c r="B419" s="26" t="s">
        <v>7133</v>
      </c>
      <c r="C419" s="26" t="s">
        <v>7134</v>
      </c>
      <c r="D419" s="26" t="s">
        <v>7235</v>
      </c>
      <c r="E419" s="25" t="s">
        <v>7236</v>
      </c>
      <c r="F419" s="25" t="s">
        <v>7237</v>
      </c>
      <c r="G419" s="57" t="str">
        <f t="shared" si="58"/>
        <v>Department of Justice Guide to the Freedom of Information Act (2013 Edition).</v>
      </c>
      <c r="H419" s="54"/>
      <c r="I419" s="34"/>
      <c r="J419" s="37" t="s">
        <v>463</v>
      </c>
      <c r="K419" s="37" t="s">
        <v>7238</v>
      </c>
      <c r="L419" s="25" t="s">
        <v>7207</v>
      </c>
      <c r="M419" s="25" t="s">
        <v>7208</v>
      </c>
      <c r="N419" s="25" t="s">
        <v>7209</v>
      </c>
      <c r="O419" s="64"/>
      <c r="P419" s="45" t="b">
        <f t="shared" si="54"/>
        <v>0</v>
      </c>
      <c r="Q419" s="45">
        <f t="shared" si="55"/>
        <v>0</v>
      </c>
      <c r="R419" s="45">
        <f t="shared" si="56"/>
        <v>0</v>
      </c>
      <c r="S419" s="24"/>
      <c r="T419" s="24"/>
      <c r="U419" s="24"/>
      <c r="V419" s="24"/>
      <c r="W419" s="24"/>
      <c r="X419" s="24"/>
      <c r="Y419" s="24"/>
      <c r="Z419" s="24"/>
      <c r="AA419" s="24"/>
      <c r="AB419" s="24"/>
      <c r="AC419" s="24"/>
    </row>
    <row r="420" spans="1:29" ht="108.7">
      <c r="A420" s="26" t="s">
        <v>7132</v>
      </c>
      <c r="B420" s="26" t="s">
        <v>7133</v>
      </c>
      <c r="C420" s="26" t="s">
        <v>7134</v>
      </c>
      <c r="D420" s="26" t="s">
        <v>7241</v>
      </c>
      <c r="E420" s="25" t="s">
        <v>7242</v>
      </c>
      <c r="F420" s="25" t="s">
        <v>7243</v>
      </c>
      <c r="G420" s="57" t="str">
        <f t="shared" si="58"/>
        <v>Department of Justice Guide to the Freedom of Information Act (2013 Edition).</v>
      </c>
      <c r="H420" s="54"/>
      <c r="I420" s="34"/>
      <c r="J420" s="37" t="s">
        <v>463</v>
      </c>
      <c r="K420" s="37" t="s">
        <v>7245</v>
      </c>
      <c r="L420" s="25" t="s">
        <v>7207</v>
      </c>
      <c r="M420" s="25" t="s">
        <v>7208</v>
      </c>
      <c r="N420" s="25" t="s">
        <v>7209</v>
      </c>
      <c r="O420" s="64"/>
      <c r="P420" s="45" t="b">
        <f t="shared" si="54"/>
        <v>0</v>
      </c>
      <c r="Q420" s="45">
        <f t="shared" si="55"/>
        <v>0</v>
      </c>
      <c r="R420" s="45">
        <f t="shared" si="56"/>
        <v>0</v>
      </c>
      <c r="S420" s="24"/>
      <c r="T420" s="24"/>
      <c r="U420" s="24"/>
      <c r="V420" s="24"/>
      <c r="W420" s="24"/>
      <c r="X420" s="24"/>
      <c r="Y420" s="24"/>
      <c r="Z420" s="24"/>
      <c r="AA420" s="24"/>
      <c r="AB420" s="24"/>
      <c r="AC420" s="24"/>
    </row>
    <row r="421" spans="1:29" ht="108.7">
      <c r="A421" s="26" t="s">
        <v>7132</v>
      </c>
      <c r="B421" s="26" t="s">
        <v>7133</v>
      </c>
      <c r="C421" s="26" t="s">
        <v>7134</v>
      </c>
      <c r="D421" s="26" t="s">
        <v>7253</v>
      </c>
      <c r="E421" s="25" t="s">
        <v>7254</v>
      </c>
      <c r="F421" s="25" t="s">
        <v>7255</v>
      </c>
      <c r="G421" s="57" t="str">
        <f t="shared" si="58"/>
        <v>Department of Justice Guide to the Freedom of Information Act (2013 Edition).</v>
      </c>
      <c r="H421" s="54"/>
      <c r="I421" s="34"/>
      <c r="J421" s="37" t="s">
        <v>463</v>
      </c>
      <c r="K421" s="37" t="s">
        <v>7261</v>
      </c>
      <c r="L421" s="25" t="s">
        <v>7207</v>
      </c>
      <c r="M421" s="25" t="s">
        <v>7208</v>
      </c>
      <c r="N421" s="25" t="s">
        <v>7209</v>
      </c>
      <c r="O421" s="64"/>
      <c r="P421" s="45" t="b">
        <f t="shared" si="54"/>
        <v>0</v>
      </c>
      <c r="Q421" s="45">
        <f t="shared" si="55"/>
        <v>0</v>
      </c>
      <c r="R421" s="45">
        <f t="shared" si="56"/>
        <v>0</v>
      </c>
      <c r="S421" s="24"/>
      <c r="T421" s="24"/>
      <c r="U421" s="24"/>
      <c r="V421" s="24"/>
      <c r="W421" s="24"/>
      <c r="X421" s="24"/>
      <c r="Y421" s="24"/>
      <c r="Z421" s="24"/>
      <c r="AA421" s="24"/>
      <c r="AB421" s="24"/>
      <c r="AC421" s="24"/>
    </row>
    <row r="422" spans="1:29" ht="108.7">
      <c r="A422" s="26" t="s">
        <v>7132</v>
      </c>
      <c r="B422" s="26" t="s">
        <v>7133</v>
      </c>
      <c r="C422" s="26" t="s">
        <v>7134</v>
      </c>
      <c r="D422" s="26" t="s">
        <v>7267</v>
      </c>
      <c r="E422" s="25" t="s">
        <v>7268</v>
      </c>
      <c r="F422" s="25" t="s">
        <v>7269</v>
      </c>
      <c r="G422" s="57" t="str">
        <f t="shared" si="58"/>
        <v>Department of Justice Guide to the Freedom of Information Act (2013 Edition).</v>
      </c>
      <c r="H422" s="54"/>
      <c r="I422" s="34"/>
      <c r="J422" s="37" t="s">
        <v>463</v>
      </c>
      <c r="K422" s="37" t="s">
        <v>7272</v>
      </c>
      <c r="L422" s="25" t="s">
        <v>7207</v>
      </c>
      <c r="M422" s="25" t="s">
        <v>7208</v>
      </c>
      <c r="N422" s="25" t="s">
        <v>7209</v>
      </c>
      <c r="O422" s="64"/>
      <c r="P422" s="45" t="b">
        <f t="shared" si="54"/>
        <v>0</v>
      </c>
      <c r="Q422" s="45">
        <f t="shared" si="55"/>
        <v>0</v>
      </c>
      <c r="R422" s="45">
        <f t="shared" si="56"/>
        <v>0</v>
      </c>
      <c r="S422" s="24"/>
      <c r="T422" s="24"/>
      <c r="U422" s="24"/>
      <c r="V422" s="24"/>
      <c r="W422" s="24"/>
      <c r="X422" s="24"/>
      <c r="Y422" s="24"/>
      <c r="Z422" s="24"/>
      <c r="AA422" s="24"/>
      <c r="AB422" s="24"/>
      <c r="AC422" s="24"/>
    </row>
    <row r="423" spans="1:29" ht="108.7">
      <c r="A423" s="26" t="s">
        <v>7132</v>
      </c>
      <c r="B423" s="26" t="s">
        <v>7133</v>
      </c>
      <c r="C423" s="26" t="s">
        <v>7134</v>
      </c>
      <c r="D423" s="26" t="s">
        <v>7276</v>
      </c>
      <c r="E423" s="25" t="s">
        <v>7277</v>
      </c>
      <c r="F423" s="25" t="s">
        <v>7278</v>
      </c>
      <c r="G423" s="57" t="str">
        <f t="shared" si="58"/>
        <v>Department of Justice Guide to the Freedom of Information Act (2013 Edition).</v>
      </c>
      <c r="H423" s="54"/>
      <c r="I423" s="34"/>
      <c r="J423" s="37" t="s">
        <v>463</v>
      </c>
      <c r="K423" s="37" t="s">
        <v>7281</v>
      </c>
      <c r="L423" s="25" t="s">
        <v>7207</v>
      </c>
      <c r="M423" s="25" t="s">
        <v>7208</v>
      </c>
      <c r="N423" s="25" t="s">
        <v>7209</v>
      </c>
      <c r="O423" s="64"/>
      <c r="P423" s="45" t="b">
        <f t="shared" si="54"/>
        <v>0</v>
      </c>
      <c r="Q423" s="45">
        <f t="shared" si="55"/>
        <v>0</v>
      </c>
      <c r="R423" s="45">
        <f t="shared" si="56"/>
        <v>0</v>
      </c>
      <c r="S423" s="24"/>
      <c r="T423" s="24"/>
      <c r="U423" s="24"/>
      <c r="V423" s="24"/>
      <c r="W423" s="24"/>
      <c r="X423" s="24"/>
      <c r="Y423" s="24"/>
      <c r="Z423" s="24"/>
      <c r="AA423" s="24"/>
      <c r="AB423" s="24"/>
      <c r="AC423" s="24"/>
    </row>
    <row r="424" spans="1:29" ht="108.7">
      <c r="A424" s="26" t="s">
        <v>7132</v>
      </c>
      <c r="B424" s="26" t="s">
        <v>7133</v>
      </c>
      <c r="C424" s="26" t="s">
        <v>7134</v>
      </c>
      <c r="D424" s="26" t="s">
        <v>7285</v>
      </c>
      <c r="E424" s="25" t="s">
        <v>7286</v>
      </c>
      <c r="F424" s="25" t="s">
        <v>7287</v>
      </c>
      <c r="G424" s="57" t="str">
        <f t="shared" si="58"/>
        <v>Department of Justice Guide to the Freedom of Information Act (2013 Edition).</v>
      </c>
      <c r="H424" s="54"/>
      <c r="I424" s="34"/>
      <c r="J424" s="37" t="s">
        <v>463</v>
      </c>
      <c r="K424" s="37" t="s">
        <v>7291</v>
      </c>
      <c r="L424" s="25" t="s">
        <v>7207</v>
      </c>
      <c r="M424" s="25" t="s">
        <v>7208</v>
      </c>
      <c r="N424" s="25" t="s">
        <v>7209</v>
      </c>
      <c r="O424" s="64"/>
      <c r="P424" s="45" t="b">
        <f t="shared" si="54"/>
        <v>0</v>
      </c>
      <c r="Q424" s="45">
        <f t="shared" si="55"/>
        <v>0</v>
      </c>
      <c r="R424" s="45">
        <f t="shared" si="56"/>
        <v>0</v>
      </c>
      <c r="S424" s="24"/>
      <c r="T424" s="24"/>
      <c r="U424" s="24"/>
      <c r="V424" s="24"/>
      <c r="W424" s="24"/>
      <c r="X424" s="24"/>
      <c r="Y424" s="24"/>
      <c r="Z424" s="24"/>
      <c r="AA424" s="24"/>
      <c r="AB424" s="24"/>
      <c r="AC424" s="24"/>
    </row>
    <row r="425" spans="1:29" ht="108.7">
      <c r="A425" s="26" t="s">
        <v>7132</v>
      </c>
      <c r="B425" s="26" t="s">
        <v>7133</v>
      </c>
      <c r="C425" s="26" t="s">
        <v>7134</v>
      </c>
      <c r="D425" s="26" t="s">
        <v>7297</v>
      </c>
      <c r="E425" s="25" t="s">
        <v>7298</v>
      </c>
      <c r="F425" s="25" t="s">
        <v>7299</v>
      </c>
      <c r="G425" s="57" t="str">
        <f>HYPERLINK("https://www.acquisition.gov/sites/default/files/current/gsam/html/Part524.html#wp1858093","FAR 24.2 Freedom of Information Act [protection of privacy and freedom of information]. Department of Justice Guide to the Freedom of Information Act (2013 Edition). ")</f>
        <v xml:space="preserve">FAR 24.2 Freedom of Information Act [protection of privacy and freedom of information]. Department of Justice Guide to the Freedom of Information Act (2013 Edition). </v>
      </c>
      <c r="H425" s="54"/>
      <c r="I425" s="34"/>
      <c r="J425" s="37" t="s">
        <v>463</v>
      </c>
      <c r="K425" s="37" t="s">
        <v>7305</v>
      </c>
      <c r="L425" s="25" t="s">
        <v>7207</v>
      </c>
      <c r="M425" s="25" t="s">
        <v>7208</v>
      </c>
      <c r="N425" s="25" t="s">
        <v>7209</v>
      </c>
      <c r="O425" s="64"/>
      <c r="P425" s="45" t="b">
        <f t="shared" si="54"/>
        <v>0</v>
      </c>
      <c r="Q425" s="45">
        <f t="shared" si="55"/>
        <v>0</v>
      </c>
      <c r="R425" s="45">
        <f t="shared" si="56"/>
        <v>0</v>
      </c>
      <c r="S425" s="24"/>
      <c r="T425" s="24"/>
      <c r="U425" s="24"/>
      <c r="V425" s="24"/>
      <c r="W425" s="24"/>
      <c r="X425" s="24"/>
      <c r="Y425" s="24"/>
      <c r="Z425" s="24"/>
      <c r="AA425" s="24"/>
      <c r="AB425" s="24"/>
      <c r="AC425" s="24"/>
    </row>
    <row r="426" spans="1:29" ht="108.7">
      <c r="A426" s="26" t="s">
        <v>7132</v>
      </c>
      <c r="B426" s="26" t="s">
        <v>7133</v>
      </c>
      <c r="C426" s="26" t="s">
        <v>7134</v>
      </c>
      <c r="D426" s="26" t="s">
        <v>7308</v>
      </c>
      <c r="E426" s="25" t="s">
        <v>7309</v>
      </c>
      <c r="F426" s="25" t="s">
        <v>7287</v>
      </c>
      <c r="G426" s="57" t="str">
        <f t="shared" ref="G426:G429" si="59">HYPERLINK("https://www.justice.gov/oip/blog/us-department-justice-guide-freedom-information-act-2013-edition","Department of Justice Guide to the Freedom of Information Act (2013 Edition).")</f>
        <v>Department of Justice Guide to the Freedom of Information Act (2013 Edition).</v>
      </c>
      <c r="H426" s="54"/>
      <c r="I426" s="34"/>
      <c r="J426" s="37" t="s">
        <v>463</v>
      </c>
      <c r="K426" s="37" t="s">
        <v>7313</v>
      </c>
      <c r="L426" s="25" t="s">
        <v>7207</v>
      </c>
      <c r="M426" s="25" t="s">
        <v>7208</v>
      </c>
      <c r="N426" s="25" t="s">
        <v>7209</v>
      </c>
      <c r="O426" s="64"/>
      <c r="P426" s="45" t="b">
        <f t="shared" si="54"/>
        <v>0</v>
      </c>
      <c r="Q426" s="45">
        <f t="shared" si="55"/>
        <v>0</v>
      </c>
      <c r="R426" s="45">
        <f t="shared" si="56"/>
        <v>0</v>
      </c>
      <c r="S426" s="24"/>
      <c r="T426" s="24"/>
      <c r="U426" s="24"/>
      <c r="V426" s="24"/>
      <c r="W426" s="24"/>
      <c r="X426" s="24"/>
      <c r="Y426" s="24"/>
      <c r="Z426" s="24"/>
      <c r="AA426" s="24"/>
      <c r="AB426" s="24"/>
      <c r="AC426" s="24"/>
    </row>
    <row r="427" spans="1:29" ht="76.099999999999994">
      <c r="A427" s="26" t="s">
        <v>7132</v>
      </c>
      <c r="B427" s="26" t="s">
        <v>7133</v>
      </c>
      <c r="C427" s="26" t="s">
        <v>7134</v>
      </c>
      <c r="D427" s="26" t="s">
        <v>7315</v>
      </c>
      <c r="E427" s="25" t="s">
        <v>7317</v>
      </c>
      <c r="F427" s="25" t="s">
        <v>7318</v>
      </c>
      <c r="G427" s="57" t="str">
        <f t="shared" si="59"/>
        <v>Department of Justice Guide to the Freedom of Information Act (2013 Edition).</v>
      </c>
      <c r="H427" s="54"/>
      <c r="I427" s="34"/>
      <c r="J427" s="37" t="s">
        <v>463</v>
      </c>
      <c r="K427" s="37" t="s">
        <v>7324</v>
      </c>
      <c r="L427" s="25" t="s">
        <v>7326</v>
      </c>
      <c r="M427" s="25" t="s">
        <v>7329</v>
      </c>
      <c r="N427" s="25" t="s">
        <v>7330</v>
      </c>
      <c r="O427" s="64"/>
      <c r="P427" s="45" t="b">
        <f t="shared" si="54"/>
        <v>0</v>
      </c>
      <c r="Q427" s="45">
        <f t="shared" si="55"/>
        <v>0</v>
      </c>
      <c r="R427" s="45">
        <f t="shared" si="56"/>
        <v>0</v>
      </c>
      <c r="S427" s="24"/>
      <c r="T427" s="24"/>
      <c r="U427" s="24"/>
      <c r="V427" s="24"/>
      <c r="W427" s="24"/>
      <c r="X427" s="24"/>
      <c r="Y427" s="24"/>
      <c r="Z427" s="24"/>
      <c r="AA427" s="24"/>
      <c r="AB427" s="24"/>
      <c r="AC427" s="24"/>
    </row>
    <row r="428" spans="1:29" ht="108.7">
      <c r="A428" s="26" t="s">
        <v>7132</v>
      </c>
      <c r="B428" s="26" t="s">
        <v>7133</v>
      </c>
      <c r="C428" s="26" t="s">
        <v>7134</v>
      </c>
      <c r="D428" s="26" t="s">
        <v>7331</v>
      </c>
      <c r="E428" s="25" t="s">
        <v>7332</v>
      </c>
      <c r="F428" s="25" t="s">
        <v>1254</v>
      </c>
      <c r="G428" s="57" t="str">
        <f t="shared" si="59"/>
        <v>Department of Justice Guide to the Freedom of Information Act (2013 Edition).</v>
      </c>
      <c r="H428" s="54"/>
      <c r="I428" s="34"/>
      <c r="J428" s="37" t="s">
        <v>463</v>
      </c>
      <c r="K428" s="37" t="s">
        <v>7337</v>
      </c>
      <c r="L428" s="25" t="s">
        <v>7338</v>
      </c>
      <c r="M428" s="25" t="s">
        <v>7339</v>
      </c>
      <c r="N428" s="25" t="s">
        <v>7340</v>
      </c>
      <c r="O428" s="64"/>
      <c r="P428" s="45" t="b">
        <f t="shared" si="54"/>
        <v>0</v>
      </c>
      <c r="Q428" s="45">
        <f t="shared" si="55"/>
        <v>0</v>
      </c>
      <c r="R428" s="45">
        <f t="shared" si="56"/>
        <v>0</v>
      </c>
      <c r="S428" s="24"/>
      <c r="T428" s="24"/>
      <c r="U428" s="24"/>
      <c r="V428" s="24"/>
      <c r="W428" s="24"/>
      <c r="X428" s="24"/>
      <c r="Y428" s="24"/>
      <c r="Z428" s="24"/>
      <c r="AA428" s="24"/>
      <c r="AB428" s="24"/>
      <c r="AC428" s="24"/>
    </row>
    <row r="429" spans="1:29" ht="76.099999999999994">
      <c r="A429" s="26" t="s">
        <v>7132</v>
      </c>
      <c r="B429" s="26" t="s">
        <v>7133</v>
      </c>
      <c r="C429" s="26" t="s">
        <v>7134</v>
      </c>
      <c r="D429" s="26" t="s">
        <v>7341</v>
      </c>
      <c r="E429" s="25" t="s">
        <v>7344</v>
      </c>
      <c r="F429" s="25" t="s">
        <v>7228</v>
      </c>
      <c r="G429" s="57" t="str">
        <f t="shared" si="59"/>
        <v>Department of Justice Guide to the Freedom of Information Act (2013 Edition).</v>
      </c>
      <c r="H429" s="54"/>
      <c r="I429" s="34"/>
      <c r="J429" s="37" t="s">
        <v>463</v>
      </c>
      <c r="K429" s="37" t="s">
        <v>7348</v>
      </c>
      <c r="L429" s="25" t="s">
        <v>7349</v>
      </c>
      <c r="M429" s="25" t="s">
        <v>7350</v>
      </c>
      <c r="N429" s="25" t="s">
        <v>7351</v>
      </c>
      <c r="O429" s="64"/>
      <c r="P429" s="45" t="b">
        <f t="shared" si="54"/>
        <v>0</v>
      </c>
      <c r="Q429" s="45">
        <f t="shared" si="55"/>
        <v>0</v>
      </c>
      <c r="R429" s="45">
        <f t="shared" si="56"/>
        <v>0</v>
      </c>
      <c r="S429" s="24"/>
      <c r="T429" s="24"/>
      <c r="U429" s="24"/>
      <c r="V429" s="24"/>
      <c r="W429" s="24"/>
      <c r="X429" s="24"/>
      <c r="Y429" s="24"/>
      <c r="Z429" s="24"/>
      <c r="AA429" s="24"/>
      <c r="AB429" s="24"/>
      <c r="AC429" s="24"/>
    </row>
    <row r="430" spans="1:29" ht="4.5999999999999996" customHeight="1">
      <c r="A430" s="55"/>
      <c r="B430" s="55"/>
      <c r="C430" s="56"/>
      <c r="D430" s="56"/>
      <c r="E430" s="55"/>
      <c r="F430" s="55"/>
      <c r="G430" s="72"/>
      <c r="H430" s="72"/>
      <c r="I430" s="133"/>
      <c r="J430" s="55"/>
      <c r="K430" s="63"/>
      <c r="L430" s="63"/>
      <c r="M430" s="63"/>
      <c r="N430" s="63"/>
      <c r="O430" s="64"/>
      <c r="P430" s="64"/>
      <c r="Q430" s="64"/>
      <c r="R430" s="64"/>
      <c r="S430" s="24"/>
      <c r="T430" s="24"/>
      <c r="U430" s="24"/>
      <c r="V430" s="24"/>
      <c r="W430" s="24"/>
      <c r="X430" s="24"/>
      <c r="Y430" s="24"/>
      <c r="Z430" s="24"/>
      <c r="AA430" s="24"/>
      <c r="AB430" s="24"/>
      <c r="AC430" s="24"/>
    </row>
    <row r="431" spans="1:29" ht="97.85">
      <c r="A431" s="26" t="s">
        <v>7352</v>
      </c>
      <c r="B431" s="26" t="s">
        <v>7353</v>
      </c>
      <c r="C431" s="26" t="s">
        <v>7354</v>
      </c>
      <c r="D431" s="66" t="s">
        <v>179</v>
      </c>
      <c r="E431" s="54"/>
      <c r="F431" s="54"/>
      <c r="G431" s="57" t="str">
        <f>HYPERLINK("https://www.acquisition.gov/content/part-7-acquisition-planning#i1118821","FAR 7.103(t)")</f>
        <v>FAR 7.103(t)</v>
      </c>
      <c r="H431" s="57" t="str">
        <f>HYPERLINK("https://www.acquisition.gov/sites/default/files/current/gsam/html/Part507.html#wp1859250","GSAM 507.103")</f>
        <v>GSAM 507.103</v>
      </c>
      <c r="I431" s="34"/>
      <c r="J431" s="37" t="s">
        <v>463</v>
      </c>
      <c r="K431" s="37" t="s">
        <v>7355</v>
      </c>
      <c r="L431" s="25" t="s">
        <v>7356</v>
      </c>
      <c r="M431" s="25" t="s">
        <v>7357</v>
      </c>
      <c r="N431" s="25" t="s">
        <v>7358</v>
      </c>
      <c r="O431" s="64"/>
      <c r="P431" s="45" t="b">
        <f t="shared" ref="P431:P432" si="60">IF(AND(O431="Meet the requirements traceability “out of the box”"), 10, IF(AND(O431="Can meet the requirements traceability with configuration or through the use of another commercial product “out of the box” or other arrangement as part of the service offering quoted (i.e. at no additional cost)"), 8, IF(AND(O431="Can meet the requirements traceability with customization at additional cost"), 3, IF(AND(O431="Cannot meet the requirements traceability requirement"), 0))))</f>
        <v>0</v>
      </c>
      <c r="Q431" s="45">
        <f t="shared" ref="Q431:Q432" si="61">IF(J431="Unidentified",0,3)</f>
        <v>0</v>
      </c>
      <c r="R431" s="45">
        <f t="shared" ref="R431:R432" si="62">IF(P431=FALSE,0,IF(P431&gt;4,(P431+Q431),P431))</f>
        <v>0</v>
      </c>
      <c r="S431" s="24"/>
      <c r="T431" s="24"/>
      <c r="U431" s="24"/>
      <c r="V431" s="24"/>
      <c r="W431" s="24"/>
      <c r="X431" s="24"/>
      <c r="Y431" s="24"/>
      <c r="Z431" s="24"/>
      <c r="AA431" s="24"/>
      <c r="AB431" s="24"/>
      <c r="AC431" s="24"/>
    </row>
    <row r="432" spans="1:29" ht="65.25">
      <c r="A432" s="26" t="s">
        <v>7352</v>
      </c>
      <c r="B432" s="26" t="s">
        <v>7353</v>
      </c>
      <c r="C432" s="26" t="s">
        <v>7354</v>
      </c>
      <c r="D432" s="66" t="s">
        <v>179</v>
      </c>
      <c r="E432" s="85" t="s">
        <v>1612</v>
      </c>
      <c r="F432" s="85" t="s">
        <v>1613</v>
      </c>
      <c r="G432" s="86" t="str">
        <f>HYPERLINK("https://www.acquisition.gov/content/part-24-protection-privacy-and-freedom-information#id1617MD070BQ","FAR 24.203 and Department of Justice website")</f>
        <v>FAR 24.203 and Department of Justice website</v>
      </c>
      <c r="H432" s="57" t="str">
        <f>HYPERLINK("https://www.acquisition.gov/content/part-524-protection-privacy-and-freedom-information#CKJXDNCH","GSAM 524.203")</f>
        <v>GSAM 524.203</v>
      </c>
      <c r="I432" s="34" t="s">
        <v>1622</v>
      </c>
      <c r="J432" s="37" t="s">
        <v>203</v>
      </c>
      <c r="K432" s="37" t="s">
        <v>7359</v>
      </c>
      <c r="L432" s="25" t="s">
        <v>7360</v>
      </c>
      <c r="M432" s="25" t="s">
        <v>7361</v>
      </c>
      <c r="N432" s="25" t="s">
        <v>1626</v>
      </c>
      <c r="O432" s="64"/>
      <c r="P432" s="45" t="b">
        <f t="shared" si="60"/>
        <v>0</v>
      </c>
      <c r="Q432" s="45">
        <f t="shared" si="61"/>
        <v>3</v>
      </c>
      <c r="R432" s="45">
        <f t="shared" si="62"/>
        <v>0</v>
      </c>
      <c r="S432" s="24"/>
      <c r="T432" s="24"/>
      <c r="U432" s="24"/>
      <c r="V432" s="24"/>
      <c r="W432" s="24"/>
      <c r="X432" s="24"/>
      <c r="Y432" s="24"/>
      <c r="Z432" s="24"/>
      <c r="AA432" s="24"/>
      <c r="AB432" s="24"/>
      <c r="AC432" s="24"/>
    </row>
    <row r="433" spans="1:29" ht="12.9">
      <c r="A433" s="221"/>
      <c r="B433" s="221"/>
      <c r="C433" s="221"/>
      <c r="D433" s="221"/>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row>
    <row r="434" spans="1:29" ht="16.3">
      <c r="A434" s="221"/>
      <c r="B434" s="221"/>
      <c r="C434" s="221"/>
      <c r="D434" s="221"/>
      <c r="E434" s="24"/>
      <c r="F434" s="24"/>
      <c r="G434" s="24"/>
      <c r="H434" s="24"/>
      <c r="I434" s="24"/>
      <c r="J434" s="24"/>
      <c r="K434" s="24"/>
      <c r="L434" s="24"/>
      <c r="M434" s="24"/>
      <c r="N434" s="24"/>
      <c r="O434" s="24"/>
      <c r="P434" s="24"/>
      <c r="Q434" s="24"/>
      <c r="R434" s="114">
        <f>SUM(R3:R432)</f>
        <v>0</v>
      </c>
      <c r="S434" s="24"/>
      <c r="T434" s="24"/>
      <c r="U434" s="24"/>
      <c r="V434" s="24"/>
      <c r="W434" s="24"/>
      <c r="X434" s="24"/>
      <c r="Y434" s="24"/>
      <c r="Z434" s="24"/>
      <c r="AA434" s="24"/>
      <c r="AB434" s="24"/>
      <c r="AC434" s="24"/>
    </row>
    <row r="435" spans="1:29" ht="12.9">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row>
    <row r="436" spans="1:29" ht="12.9">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row>
    <row r="437" spans="1:29" ht="12.9">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row>
    <row r="438" spans="1:29" ht="12.9">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row>
    <row r="439" spans="1:29" ht="12.9">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row>
    <row r="440" spans="1:29" ht="12.9">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row>
    <row r="441" spans="1:29" ht="12.9">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row>
    <row r="442" spans="1:29" ht="12.9">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row>
    <row r="443" spans="1:29" ht="12.9">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row>
    <row r="444" spans="1:29" ht="12.9">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row>
    <row r="445" spans="1:29" ht="12.9">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row>
    <row r="446" spans="1:29" ht="12.9">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row>
    <row r="447" spans="1:29" ht="12.9">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row>
    <row r="448" spans="1:29" ht="12.9">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row>
    <row r="449" spans="1:29" ht="12.9">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row>
    <row r="450" spans="1:29" ht="12.9">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row>
    <row r="451" spans="1:29" ht="12.9">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row>
    <row r="452" spans="1:29" ht="12.9">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row>
    <row r="453" spans="1:29" ht="12.9">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row>
    <row r="454" spans="1:29" ht="12.9">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row>
    <row r="455" spans="1:29" ht="12.9">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row>
    <row r="456" spans="1:29" ht="12.9">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row>
    <row r="457" spans="1:29" ht="12.9">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row>
    <row r="458" spans="1:29" ht="12.9">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row>
    <row r="459" spans="1:29" ht="12.9">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row>
    <row r="460" spans="1:29" ht="12.9">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row>
    <row r="461" spans="1:29" ht="12.9">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row>
    <row r="462" spans="1:29" ht="12.9">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row>
    <row r="463" spans="1:29" ht="12.9">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row>
    <row r="464" spans="1:29" ht="12.9">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row>
    <row r="465" spans="1:29" ht="12.9">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row>
    <row r="466" spans="1:29" ht="12.9">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row>
    <row r="467" spans="1:29" ht="12.9">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row>
    <row r="468" spans="1:29" ht="12.9">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row>
    <row r="469" spans="1:29" ht="12.9">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row>
    <row r="470" spans="1:29" ht="12.9">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row>
    <row r="471" spans="1:29" ht="12.9">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row>
    <row r="472" spans="1:29" ht="12.9">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row>
    <row r="473" spans="1:29" ht="12.9">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row>
    <row r="474" spans="1:29" ht="12.9">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row>
    <row r="475" spans="1:29" ht="12.9">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row>
    <row r="476" spans="1:29" ht="12.9">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row>
    <row r="477" spans="1:29" ht="12.9">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row>
    <row r="478" spans="1:29" ht="12.9">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row>
    <row r="479" spans="1:29" ht="12.9">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row>
    <row r="480" spans="1:29" ht="12.9">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row>
    <row r="481" spans="1:29" ht="12.9">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row>
    <row r="482" spans="1:29" ht="12.9">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row>
    <row r="483" spans="1:29" ht="12.9">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row>
    <row r="484" spans="1:29" ht="12.9">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row>
    <row r="485" spans="1:29" ht="12.9">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row>
    <row r="486" spans="1:29" ht="12.9">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row>
    <row r="487" spans="1:29" ht="12.9">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row>
    <row r="488" spans="1:29" ht="12.9">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row>
    <row r="489" spans="1:29" ht="12.9">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row>
    <row r="490" spans="1:29" ht="12.9">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row>
    <row r="491" spans="1:29" ht="12.9">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row>
    <row r="492" spans="1:29" ht="12.9">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row>
    <row r="493" spans="1:29" ht="12.9">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row>
    <row r="494" spans="1:29" ht="12.9">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row>
    <row r="495" spans="1:29" ht="12.9">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row>
    <row r="496" spans="1:29" ht="12.9">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row>
    <row r="497" spans="1:29" ht="12.9">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row>
    <row r="498" spans="1:29" ht="12.9">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row>
    <row r="499" spans="1:29" ht="12.9">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row>
    <row r="500" spans="1:29" ht="12.9">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row>
    <row r="501" spans="1:29" ht="12.9">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row>
    <row r="502" spans="1:29" ht="12.9">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row>
    <row r="503" spans="1:29" ht="12.9">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row>
    <row r="504" spans="1:29" ht="12.9">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row>
    <row r="505" spans="1:29" ht="12.9">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row>
    <row r="506" spans="1:29" ht="12.9">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row>
    <row r="507" spans="1:29" ht="12.9">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row>
    <row r="508" spans="1:29" ht="12.9">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row>
    <row r="509" spans="1:29" ht="12.9">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row>
    <row r="510" spans="1:29" ht="12.9">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row>
    <row r="511" spans="1:29" ht="12.9">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row>
    <row r="512" spans="1:29" ht="12.9">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row>
    <row r="513" spans="1:29" ht="12.9">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row>
    <row r="514" spans="1:29" ht="12.9">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row>
    <row r="515" spans="1:29" ht="12.9">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row>
    <row r="516" spans="1:29" ht="12.9">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row>
    <row r="517" spans="1:29" ht="12.9">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row>
    <row r="518" spans="1:29" ht="12.9">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row>
    <row r="519" spans="1:29" ht="12.9">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row>
    <row r="520" spans="1:29" ht="12.9">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row>
    <row r="521" spans="1:29" ht="12.9">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row>
    <row r="522" spans="1:29" ht="12.9">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row>
    <row r="523" spans="1:29" ht="12.9">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row>
    <row r="524" spans="1:29" ht="12.9">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row>
    <row r="525" spans="1:29" ht="12.9">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row>
    <row r="526" spans="1:29" ht="12.9">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row>
    <row r="527" spans="1:29" ht="12.9">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row>
    <row r="528" spans="1:29" ht="12.9">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row>
    <row r="529" spans="1:29" ht="12.9">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row>
    <row r="530" spans="1:29" ht="12.9">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row>
    <row r="531" spans="1:29" ht="12.9">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row>
    <row r="532" spans="1:29" ht="12.9">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row>
    <row r="533" spans="1:29" ht="12.9">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row>
    <row r="534" spans="1:29" ht="12.9">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row>
    <row r="535" spans="1:29" ht="12.9">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row>
    <row r="536" spans="1:29" ht="12.9">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row>
    <row r="537" spans="1:29" ht="12.9">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row>
    <row r="538" spans="1:29" ht="12.9">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row>
    <row r="539" spans="1:29" ht="12.9">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row>
    <row r="540" spans="1:29" ht="12.9">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row>
    <row r="541" spans="1:29" ht="12.9">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row>
    <row r="542" spans="1:29" ht="12.9">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row>
    <row r="543" spans="1:29" ht="12.9">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row>
    <row r="544" spans="1:29" ht="12.9">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row>
    <row r="545" spans="1:29" ht="12.9">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row>
    <row r="546" spans="1:29" ht="12.9">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row>
    <row r="547" spans="1:29" ht="12.9">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row>
    <row r="548" spans="1:29" ht="12.9">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row>
    <row r="549" spans="1:29" ht="12.9">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row>
    <row r="550" spans="1:29" ht="12.9">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row>
    <row r="551" spans="1:29" ht="12.9">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row>
    <row r="552" spans="1:29" ht="12.9">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row>
    <row r="553" spans="1:29" ht="12.9">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row>
    <row r="554" spans="1:29" ht="12.9">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row>
    <row r="555" spans="1:29" ht="12.9">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row>
    <row r="556" spans="1:29" ht="12.9">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row>
    <row r="557" spans="1:29" ht="12.9">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row>
    <row r="558" spans="1:29" ht="12.9">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row>
    <row r="559" spans="1:29" ht="12.9">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row>
    <row r="560" spans="1:29" ht="12.9">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row>
    <row r="561" spans="1:29" ht="12.9">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row>
    <row r="562" spans="1:29" ht="12.9">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row>
    <row r="563" spans="1:29" ht="12.9">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row>
    <row r="564" spans="1:29" ht="12.9">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row>
    <row r="565" spans="1:29" ht="12.9">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row>
    <row r="566" spans="1:29" ht="12.9">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row>
    <row r="567" spans="1:29" ht="12.9">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row>
    <row r="568" spans="1:29" ht="12.9">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row>
    <row r="569" spans="1:29" ht="12.9">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row>
    <row r="570" spans="1:29" ht="12.9">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row>
    <row r="571" spans="1:29" ht="12.9">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row>
    <row r="572" spans="1:29" ht="12.9">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row>
    <row r="573" spans="1:29" ht="12.9">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row>
    <row r="574" spans="1:29" ht="12.9">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row>
    <row r="575" spans="1:29" ht="12.9">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row>
    <row r="576" spans="1:29" ht="12.9">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row>
    <row r="577" spans="1:29" ht="12.9">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row>
    <row r="578" spans="1:29" ht="12.9">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row>
    <row r="579" spans="1:29" ht="12.9">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row>
    <row r="580" spans="1:29" ht="12.9">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row>
    <row r="581" spans="1:29" ht="12.9">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row>
    <row r="582" spans="1:29" ht="12.9">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row>
    <row r="583" spans="1:29" ht="12.9">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row>
    <row r="584" spans="1:29" ht="12.9">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row>
    <row r="585" spans="1:29" ht="12.9">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row>
    <row r="586" spans="1:29" ht="12.9">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row>
    <row r="587" spans="1:29" ht="12.9">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row>
    <row r="588" spans="1:29" ht="12.9">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row>
    <row r="589" spans="1:29" ht="12.9">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row>
    <row r="590" spans="1:29" ht="12.9">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row>
    <row r="591" spans="1:29" ht="12.9">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row>
    <row r="592" spans="1:29" ht="12.9">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row>
    <row r="593" spans="1:29" ht="12.9">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row>
    <row r="594" spans="1:29" ht="12.9">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row>
    <row r="595" spans="1:29" ht="12.9">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row>
    <row r="596" spans="1:29" ht="12.9">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row>
    <row r="597" spans="1:29" ht="12.9">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row>
    <row r="598" spans="1:29" ht="12.9">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row>
    <row r="599" spans="1:29" ht="12.9">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row>
    <row r="600" spans="1:29" ht="12.9">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row>
    <row r="601" spans="1:29" ht="12.9">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row>
    <row r="602" spans="1:29" ht="12.9">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row>
    <row r="603" spans="1:29" ht="12.9">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row>
    <row r="604" spans="1:29" ht="12.9">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row>
    <row r="605" spans="1:29" ht="12.9">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row>
    <row r="606" spans="1:29" ht="12.9">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row>
    <row r="607" spans="1:29" ht="12.9">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row>
    <row r="608" spans="1:29" ht="12.9">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row>
    <row r="609" spans="1:29" ht="12.9">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row>
    <row r="610" spans="1:29" ht="12.9">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row>
    <row r="611" spans="1:29" ht="12.9">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row>
    <row r="612" spans="1:29" ht="12.9">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row>
    <row r="613" spans="1:29" ht="12.9">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row>
    <row r="614" spans="1:29" ht="12.9">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row>
    <row r="615" spans="1:29" ht="12.9">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row>
    <row r="616" spans="1:29" ht="12.9">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row>
    <row r="617" spans="1:29" ht="12.9">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row>
    <row r="618" spans="1:29" ht="12.9">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row>
    <row r="619" spans="1:29" ht="12.9">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row>
    <row r="620" spans="1:29" ht="12.9">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row>
    <row r="621" spans="1:29" ht="12.9">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row>
    <row r="622" spans="1:29" ht="12.9">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row>
    <row r="623" spans="1:29" ht="12.9">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row>
    <row r="624" spans="1:29" ht="12.9">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row>
    <row r="625" spans="1:29" ht="12.9">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row>
    <row r="626" spans="1:29" ht="12.9">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row>
    <row r="627" spans="1:29" ht="12.9">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row>
    <row r="628" spans="1:29" ht="12.9">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row>
    <row r="629" spans="1:29" ht="12.9">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row>
    <row r="630" spans="1:29" ht="12.9">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row>
    <row r="631" spans="1:29" ht="12.9">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row>
    <row r="632" spans="1:29" ht="12.9">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row>
    <row r="633" spans="1:29" ht="12.9">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row>
    <row r="634" spans="1:29" ht="12.9">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row>
    <row r="635" spans="1:29" ht="12.9">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row>
    <row r="636" spans="1:29" ht="12.9">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row>
    <row r="637" spans="1:29" ht="12.9">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row>
    <row r="638" spans="1:29" ht="12.9">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row>
    <row r="639" spans="1:29" ht="12.9">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row>
    <row r="640" spans="1:29" ht="12.9">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row>
    <row r="641" spans="1:29" ht="12.9">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row>
    <row r="642" spans="1:29" ht="12.9">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row>
    <row r="643" spans="1:29" ht="12.9">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row>
    <row r="644" spans="1:29" ht="12.9">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row>
    <row r="645" spans="1:29" ht="12.9">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row>
    <row r="646" spans="1:29" ht="12.9">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row>
    <row r="647" spans="1:29" ht="12.9">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row>
    <row r="648" spans="1:29" ht="12.9">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row>
    <row r="649" spans="1:29" ht="12.9">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row>
    <row r="650" spans="1:29" ht="12.9">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row>
    <row r="651" spans="1:29" ht="12.9">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row>
    <row r="652" spans="1:29" ht="12.9">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row>
    <row r="653" spans="1:29" ht="12.9">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row>
    <row r="654" spans="1:29" ht="12.9">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row>
    <row r="655" spans="1:29" ht="12.9">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row>
    <row r="656" spans="1:29" ht="12.9">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row>
    <row r="657" spans="1:29" ht="12.9">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row>
    <row r="658" spans="1:29" ht="12.9">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row>
    <row r="659" spans="1:29" ht="12.9">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row>
    <row r="660" spans="1:29" ht="12.9">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row>
    <row r="661" spans="1:29" ht="12.9">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row>
    <row r="662" spans="1:29" ht="12.9">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row>
    <row r="663" spans="1:29" ht="12.9">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row>
    <row r="664" spans="1:29" ht="12.9">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row>
    <row r="665" spans="1:29" ht="12.9">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row>
    <row r="666" spans="1:29" ht="12.9">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row>
    <row r="667" spans="1:29" ht="12.9">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row>
    <row r="668" spans="1:29" ht="12.9">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row>
    <row r="669" spans="1:29" ht="12.9">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row>
    <row r="670" spans="1:29" ht="12.9">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row>
    <row r="671" spans="1:29" ht="12.9">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row>
    <row r="672" spans="1:29" ht="12.9">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row>
    <row r="673" spans="1:29" ht="12.9">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row>
    <row r="674" spans="1:29" ht="12.9">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row>
    <row r="675" spans="1:29" ht="12.9">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row>
    <row r="676" spans="1:29" ht="12.9">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row>
    <row r="677" spans="1:29" ht="12.9">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row>
    <row r="678" spans="1:29" ht="12.9">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row>
    <row r="679" spans="1:29" ht="12.9">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row>
    <row r="680" spans="1:29" ht="12.9">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row>
    <row r="681" spans="1:29" ht="12.9">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row>
    <row r="682" spans="1:29" ht="12.9">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row>
    <row r="683" spans="1:29" ht="12.9">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row>
    <row r="684" spans="1:29" ht="12.9">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row>
    <row r="685" spans="1:29" ht="12.9">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row>
    <row r="686" spans="1:29" ht="12.9">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row>
    <row r="687" spans="1:29" ht="12.9">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row>
    <row r="688" spans="1:29" ht="12.9">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row>
    <row r="689" spans="1:29" ht="12.9">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row>
    <row r="690" spans="1:29" ht="12.9">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row>
    <row r="691" spans="1:29" ht="12.9">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row>
    <row r="692" spans="1:29" ht="12.9">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row>
    <row r="693" spans="1:29" ht="12.9">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row>
    <row r="694" spans="1:29" ht="12.9">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row>
    <row r="695" spans="1:29" ht="12.9">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row>
    <row r="696" spans="1:29" ht="12.9">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row>
    <row r="697" spans="1:29" ht="12.9">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row>
    <row r="698" spans="1:29" ht="12.9">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row>
    <row r="699" spans="1:29" ht="12.9">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row>
    <row r="700" spans="1:29" ht="12.9">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row>
    <row r="701" spans="1:29" ht="12.9">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row>
    <row r="702" spans="1:29" ht="12.9">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row>
    <row r="703" spans="1:29" ht="12.9">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row>
    <row r="704" spans="1:29" ht="12.9">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row>
    <row r="705" spans="1:29" ht="12.9">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row>
    <row r="706" spans="1:29" ht="12.9">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row>
    <row r="707" spans="1:29" ht="12.9">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row>
    <row r="708" spans="1:29" ht="12.9">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row>
    <row r="709" spans="1:29" ht="12.9">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row>
    <row r="710" spans="1:29" ht="12.9">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row>
    <row r="711" spans="1:29" ht="12.9">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row>
    <row r="712" spans="1:29" ht="12.9">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row>
    <row r="713" spans="1:29" ht="12.9">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row>
    <row r="714" spans="1:29" ht="12.9">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row>
    <row r="715" spans="1:29" ht="12.9">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row>
    <row r="716" spans="1:29" ht="12.9">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row>
    <row r="717" spans="1:29" ht="12.9">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row>
    <row r="718" spans="1:29" ht="12.9">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row>
    <row r="719" spans="1:29" ht="12.9">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row>
    <row r="720" spans="1:29" ht="12.9">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row>
    <row r="721" spans="1:29" ht="12.9">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row>
    <row r="722" spans="1:29" ht="12.9">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row>
    <row r="723" spans="1:29" ht="12.9">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row>
    <row r="724" spans="1:29" ht="12.9">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row>
    <row r="725" spans="1:29" ht="12.9">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row>
    <row r="726" spans="1:29" ht="12.9">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row>
    <row r="727" spans="1:29" ht="12.9">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row>
    <row r="728" spans="1:29" ht="12.9">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row>
    <row r="729" spans="1:29" ht="12.9">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row>
    <row r="730" spans="1:29" ht="12.9">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row>
    <row r="731" spans="1:29" ht="12.9">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row>
    <row r="732" spans="1:29" ht="12.9">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row>
    <row r="733" spans="1:29" ht="12.9">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row>
    <row r="734" spans="1:29" ht="12.9">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row>
    <row r="735" spans="1:29" ht="12.9">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row>
    <row r="736" spans="1:29" ht="12.9">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row>
    <row r="737" spans="1:29" ht="12.9">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row>
    <row r="738" spans="1:29" ht="12.9">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row>
    <row r="739" spans="1:29" ht="12.9">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row>
    <row r="740" spans="1:29" ht="12.9">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row>
    <row r="741" spans="1:29" ht="12.9">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row>
    <row r="742" spans="1:29" ht="12.9">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row>
    <row r="743" spans="1:29" ht="12.9">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row>
    <row r="744" spans="1:29" ht="12.9">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row>
    <row r="745" spans="1:29" ht="12.9">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row>
    <row r="746" spans="1:29" ht="12.9">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row>
    <row r="747" spans="1:29" ht="12.9">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row>
    <row r="748" spans="1:29" ht="12.9">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row>
    <row r="749" spans="1:29" ht="12.9">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row>
    <row r="750" spans="1:29" ht="12.9">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row>
    <row r="751" spans="1:29" ht="12.9">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row>
    <row r="752" spans="1:29" ht="12.9">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row>
    <row r="753" spans="1:29" ht="12.9">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row>
    <row r="754" spans="1:29" ht="12.9">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row>
    <row r="755" spans="1:29" ht="12.9">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row>
    <row r="756" spans="1:29" ht="12.9">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row>
    <row r="757" spans="1:29" ht="12.9">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row>
    <row r="758" spans="1:29" ht="12.9">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row>
    <row r="759" spans="1:29" ht="12.9">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row>
    <row r="760" spans="1:29" ht="12.9">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row>
    <row r="761" spans="1:29" ht="12.9">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row>
    <row r="762" spans="1:29" ht="12.9">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row>
    <row r="763" spans="1:29" ht="12.9">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row>
    <row r="764" spans="1:29" ht="12.9">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row>
    <row r="765" spans="1:29" ht="12.9">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row>
    <row r="766" spans="1:29" ht="12.9">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row>
    <row r="767" spans="1:29" ht="12.9">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row>
    <row r="768" spans="1:29" ht="12.9">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row>
    <row r="769" spans="1:29" ht="12.9">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row>
    <row r="770" spans="1:29" ht="12.9">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row>
    <row r="771" spans="1:29" ht="12.9">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row>
    <row r="772" spans="1:29" ht="12.9">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row>
    <row r="773" spans="1:29" ht="12.9">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row>
    <row r="774" spans="1:29" ht="12.9">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row>
    <row r="775" spans="1:29" ht="12.9">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row>
    <row r="776" spans="1:29" ht="12.9">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row>
    <row r="777" spans="1:29" ht="12.9">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row>
    <row r="778" spans="1:29" ht="12.9">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row>
    <row r="779" spans="1:29" ht="12.9">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row>
    <row r="780" spans="1:29" ht="12.9">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row>
    <row r="781" spans="1:29" ht="12.9">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row>
    <row r="782" spans="1:29" ht="12.9">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row>
    <row r="783" spans="1:29" ht="12.9">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row>
    <row r="784" spans="1:29" ht="12.9">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row>
    <row r="785" spans="1:29" ht="12.9">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row>
    <row r="786" spans="1:29" ht="12.9">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row>
    <row r="787" spans="1:29" ht="12.9">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row>
    <row r="788" spans="1:29" ht="12.9">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row>
    <row r="789" spans="1:29" ht="12.9">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row>
    <row r="790" spans="1:29" ht="12.9">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row>
    <row r="791" spans="1:29" ht="12.9">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row>
    <row r="792" spans="1:29" ht="12.9">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row>
    <row r="793" spans="1:29" ht="12.9">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row>
    <row r="794" spans="1:29" ht="12.9">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row>
    <row r="795" spans="1:29" ht="12.9">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row>
    <row r="796" spans="1:29" ht="12.9">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row>
    <row r="797" spans="1:29" ht="12.9">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row>
    <row r="798" spans="1:29" ht="12.9">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row>
    <row r="799" spans="1:29" ht="12.9">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row>
    <row r="800" spans="1:29" ht="12.9">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row>
    <row r="801" spans="1:29" ht="12.9">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row>
    <row r="802" spans="1:29" ht="12.9">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row>
    <row r="803" spans="1:29" ht="12.9">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row>
    <row r="804" spans="1:29" ht="12.9">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row>
    <row r="805" spans="1:29" ht="12.9">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row>
    <row r="806" spans="1:29" ht="12.9">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row>
    <row r="807" spans="1:29" ht="12.9">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row>
    <row r="808" spans="1:29" ht="12.9">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row>
    <row r="809" spans="1:29" ht="12.9">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row>
    <row r="810" spans="1:29" ht="12.9">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row>
    <row r="811" spans="1:29" ht="12.9">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row>
    <row r="812" spans="1:29" ht="12.9">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row>
    <row r="813" spans="1:29" ht="12.9">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row>
    <row r="814" spans="1:29" ht="12.9">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row>
    <row r="815" spans="1:29" ht="12.9">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row>
    <row r="816" spans="1:29" ht="12.9">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row>
    <row r="817" spans="1:29" ht="12.9">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row>
    <row r="818" spans="1:29" ht="12.9">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row>
    <row r="819" spans="1:29" ht="12.9">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row>
    <row r="820" spans="1:29" ht="12.9">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row>
    <row r="821" spans="1:29" ht="12.9">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row>
    <row r="822" spans="1:29" ht="12.9">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row>
    <row r="823" spans="1:29" ht="12.9">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row>
    <row r="824" spans="1:29" ht="12.9">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row>
    <row r="825" spans="1:29" ht="12.9">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row>
    <row r="826" spans="1:29" ht="12.9">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row>
    <row r="827" spans="1:29" ht="12.9">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row>
    <row r="828" spans="1:29" ht="12.9">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row>
    <row r="829" spans="1:29" ht="12.9">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row>
    <row r="830" spans="1:29" ht="12.9">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row>
    <row r="831" spans="1:29" ht="12.9">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row>
    <row r="832" spans="1:29" ht="12.9">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row>
    <row r="833" spans="1:29" ht="12.9">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row>
    <row r="834" spans="1:29" ht="12.9">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row>
    <row r="835" spans="1:29" ht="12.9">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row>
    <row r="836" spans="1:29" ht="12.9">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row>
    <row r="837" spans="1:29" ht="12.9">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row>
    <row r="838" spans="1:29" ht="12.9">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row>
    <row r="839" spans="1:29" ht="12.9">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row>
    <row r="840" spans="1:29" ht="12.9">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row>
    <row r="841" spans="1:29" ht="12.9">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row>
    <row r="842" spans="1:29" ht="12.9">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row>
    <row r="843" spans="1:29" ht="12.9">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row>
    <row r="844" spans="1:29" ht="12.9">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row>
    <row r="845" spans="1:29" ht="12.9">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row>
    <row r="846" spans="1:29" ht="12.9">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row>
    <row r="847" spans="1:29" ht="12.9">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row>
    <row r="848" spans="1:29" ht="12.9">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row>
    <row r="849" spans="1:29" ht="12.9">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row>
    <row r="850" spans="1:29" ht="12.9">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row>
    <row r="851" spans="1:29" ht="12.9">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row>
    <row r="852" spans="1:29" ht="12.9">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row>
    <row r="853" spans="1:29" ht="12.9">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row>
    <row r="854" spans="1:29" ht="12.9">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row>
    <row r="855" spans="1:29" ht="12.9">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row>
    <row r="856" spans="1:29" ht="12.9">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row>
    <row r="857" spans="1:29" ht="12.9">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row>
    <row r="858" spans="1:29" ht="12.9">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row>
    <row r="859" spans="1:29" ht="12.9">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row>
    <row r="860" spans="1:29" ht="12.9">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row>
    <row r="861" spans="1:29" ht="12.9">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row>
    <row r="862" spans="1:29" ht="12.9">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row>
    <row r="863" spans="1:29" ht="12.9">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row>
    <row r="864" spans="1:29" ht="12.9">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row>
    <row r="865" spans="1:29" ht="12.9">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row>
    <row r="866" spans="1:29" ht="12.9">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row>
    <row r="867" spans="1:29" ht="12.9">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row>
    <row r="868" spans="1:29" ht="12.9">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row>
    <row r="869" spans="1:29" ht="12.9">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row>
    <row r="870" spans="1:29" ht="12.9">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row>
    <row r="871" spans="1:29" ht="12.9">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row>
    <row r="872" spans="1:29" ht="12.9">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row>
    <row r="873" spans="1:29" ht="12.9">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row>
    <row r="874" spans="1:29" ht="12.9">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row>
    <row r="875" spans="1:29" ht="12.9">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row>
    <row r="876" spans="1:29" ht="12.9">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row>
    <row r="877" spans="1:29" ht="12.9">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row>
    <row r="878" spans="1:29" ht="12.9">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row>
    <row r="879" spans="1:29" ht="12.9">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row>
    <row r="880" spans="1:29" ht="12.9">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row>
    <row r="881" spans="1:29" ht="12.9">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row>
    <row r="882" spans="1:29" ht="12.9">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row>
    <row r="883" spans="1:29" ht="12.9">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row>
    <row r="884" spans="1:29" ht="12.9">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row>
    <row r="885" spans="1:29" ht="12.9">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row>
    <row r="886" spans="1:29" ht="12.9">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row>
    <row r="887" spans="1:29" ht="12.9">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row>
    <row r="888" spans="1:29" ht="12.9">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row>
    <row r="889" spans="1:29" ht="12.9">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row>
    <row r="890" spans="1:29" ht="12.9">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row>
    <row r="891" spans="1:29" ht="12.9">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row>
    <row r="892" spans="1:29" ht="12.9">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row>
    <row r="893" spans="1:29" ht="12.9">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row>
    <row r="894" spans="1:29" ht="12.9">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row>
    <row r="895" spans="1:29" ht="12.9">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row>
    <row r="896" spans="1:29" ht="12.9">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row>
    <row r="897" spans="1:29" ht="12.9">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row>
    <row r="898" spans="1:29" ht="12.9">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row>
    <row r="899" spans="1:29" ht="12.9">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row>
    <row r="900" spans="1:29" ht="12.9">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row>
    <row r="901" spans="1:29" ht="12.9">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row>
    <row r="902" spans="1:29" ht="12.9">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row>
    <row r="903" spans="1:29" ht="12.9">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row>
    <row r="904" spans="1:29" ht="12.9">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row>
    <row r="905" spans="1:29" ht="12.9">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row>
    <row r="906" spans="1:29" ht="12.9">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row>
    <row r="907" spans="1:29" ht="12.9">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row>
    <row r="908" spans="1:29" ht="12.9">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row>
    <row r="909" spans="1:29" ht="12.9">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row>
    <row r="910" spans="1:29" ht="12.9">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row>
    <row r="911" spans="1:29" ht="12.9">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row>
    <row r="912" spans="1:29" ht="12.9">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row>
    <row r="913" spans="1:29" ht="12.9">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row>
    <row r="914" spans="1:29" ht="12.9">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row>
    <row r="915" spans="1:29" ht="12.9">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row>
    <row r="916" spans="1:29" ht="12.9">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row>
    <row r="917" spans="1:29" ht="12.9">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row>
    <row r="918" spans="1:29" ht="12.9">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row>
    <row r="919" spans="1:29" ht="12.9">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row>
    <row r="920" spans="1:29" ht="12.9">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row>
    <row r="921" spans="1:29" ht="12.9">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row>
    <row r="922" spans="1:29" ht="12.9">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row>
    <row r="923" spans="1:29" ht="12.9">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row>
    <row r="924" spans="1:29" ht="12.9">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row>
    <row r="925" spans="1:29" ht="12.9">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row>
    <row r="926" spans="1:29" ht="12.9">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row>
    <row r="927" spans="1:29" ht="12.9">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row>
    <row r="928" spans="1:29" ht="12.9">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row>
    <row r="929" spans="1:29" ht="12.9">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row>
    <row r="930" spans="1:29" ht="12.9">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row>
    <row r="931" spans="1:29" ht="12.9">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row>
    <row r="932" spans="1:29" ht="12.9">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row>
    <row r="933" spans="1:29" ht="12.9">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row>
    <row r="934" spans="1:29" ht="12.9">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row>
    <row r="935" spans="1:29" ht="12.9">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row>
    <row r="936" spans="1:29" ht="12.9">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row>
    <row r="937" spans="1:29" ht="12.9">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row>
    <row r="938" spans="1:29" ht="12.9">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row>
    <row r="939" spans="1:29" ht="12.9">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row>
    <row r="940" spans="1:29" ht="12.9">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row>
    <row r="941" spans="1:29" ht="12.9">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row>
    <row r="942" spans="1:29" ht="12.9">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row>
    <row r="943" spans="1:29" ht="12.9">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row>
    <row r="944" spans="1:29" ht="12.9">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row>
    <row r="945" spans="1:29" ht="12.9">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row>
    <row r="946" spans="1:29" ht="12.9">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row>
    <row r="947" spans="1:29" ht="12.9">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row>
    <row r="948" spans="1:29" ht="12.9">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row>
    <row r="949" spans="1:29" ht="12.9">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row>
    <row r="950" spans="1:29" ht="12.9">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row>
    <row r="951" spans="1:29" ht="12.9">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row>
    <row r="952" spans="1:29" ht="12.9">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row>
    <row r="953" spans="1:29" ht="12.9">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row>
    <row r="954" spans="1:29" ht="12.9">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row>
    <row r="955" spans="1:29" ht="12.9">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row>
    <row r="956" spans="1:29" ht="12.9">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row>
    <row r="957" spans="1:29" ht="12.9">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row>
    <row r="958" spans="1:29" ht="12.9">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row>
    <row r="959" spans="1:29" ht="12.9">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row>
    <row r="960" spans="1:29" ht="12.9">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row>
    <row r="961" spans="1:29" ht="12.9">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row>
    <row r="962" spans="1:29" ht="12.9">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row>
    <row r="963" spans="1:29" ht="12.9">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row>
    <row r="964" spans="1:29" ht="12.9">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row>
    <row r="965" spans="1:29" ht="12.9">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row>
    <row r="966" spans="1:29" ht="12.9">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row>
    <row r="967" spans="1:29" ht="12.9">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row>
    <row r="968" spans="1:29" ht="12.9">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row>
    <row r="969" spans="1:29" ht="12.9">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row>
    <row r="970" spans="1:29" ht="12.9">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row>
    <row r="971" spans="1:29" ht="12.9">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row>
    <row r="972" spans="1:29" ht="12.9">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row>
    <row r="973" spans="1:29" ht="12.9">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row>
    <row r="974" spans="1:29" ht="12.9">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row>
    <row r="975" spans="1:29" ht="12.9">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row>
    <row r="976" spans="1:29" ht="12.9">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row>
    <row r="977" spans="1:29" ht="12.9">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row>
    <row r="978" spans="1:29" ht="12.9">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row>
    <row r="979" spans="1:29" ht="12.9">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row>
    <row r="980" spans="1:29" ht="12.9">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row>
    <row r="981" spans="1:29" ht="12.9">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row>
    <row r="982" spans="1:29" ht="12.9">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row>
    <row r="983" spans="1:29" ht="12.9">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row>
    <row r="984" spans="1:29" ht="12.9">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row>
    <row r="985" spans="1:29" ht="12.9">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row>
    <row r="986" spans="1:29" ht="12.9">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row>
    <row r="987" spans="1:29" ht="12.9">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row>
    <row r="988" spans="1:29" ht="12.9">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row>
    <row r="989" spans="1:29" ht="12.9">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row>
    <row r="990" spans="1:29" ht="12.9">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row>
    <row r="991" spans="1:29" ht="12.9">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row>
    <row r="992" spans="1:29" ht="12.9">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row>
    <row r="993" spans="1:29" ht="12.9">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row>
    <row r="994" spans="1:29" ht="12.9">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row>
    <row r="995" spans="1:29" ht="12.9">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row>
    <row r="996" spans="1:29" ht="12.9">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row>
    <row r="997" spans="1:29" ht="12.9">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row>
    <row r="998" spans="1:29" ht="12.9">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row>
    <row r="999" spans="1:29" ht="12.9">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row>
    <row r="1000" spans="1:29" ht="12.9">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row>
    <row r="1001" spans="1:29" ht="12.9">
      <c r="A1001" s="24"/>
      <c r="B1001" s="24"/>
      <c r="C1001" s="24"/>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row>
    <row r="1002" spans="1:29" ht="12.9">
      <c r="A1002" s="24"/>
      <c r="B1002" s="24"/>
      <c r="C1002" s="24"/>
      <c r="D1002" s="24"/>
      <c r="E1002" s="24"/>
      <c r="F1002" s="24"/>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row>
    <row r="1003" spans="1:29" ht="12.9">
      <c r="A1003" s="24"/>
      <c r="B1003" s="24"/>
      <c r="C1003" s="24"/>
      <c r="D1003" s="24"/>
      <c r="E1003" s="24"/>
      <c r="F1003" s="24"/>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row>
    <row r="1004" spans="1:29" ht="12.9">
      <c r="A1004" s="24"/>
      <c r="B1004" s="24"/>
      <c r="C1004" s="24"/>
      <c r="D1004" s="24"/>
      <c r="E1004" s="24"/>
      <c r="F1004" s="24"/>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row>
    <row r="1005" spans="1:29" ht="12.9">
      <c r="A1005" s="24"/>
      <c r="B1005" s="24"/>
      <c r="C1005" s="24"/>
      <c r="D1005" s="24"/>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row>
    <row r="1006" spans="1:29" ht="12.9">
      <c r="A1006" s="24"/>
      <c r="B1006" s="24"/>
      <c r="C1006" s="24"/>
      <c r="D1006" s="24"/>
      <c r="E1006" s="24"/>
      <c r="F1006" s="24"/>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row>
    <row r="1007" spans="1:29" ht="12.9">
      <c r="A1007" s="24"/>
      <c r="B1007" s="24"/>
      <c r="C1007" s="24"/>
      <c r="D1007" s="24"/>
      <c r="E1007" s="24"/>
      <c r="F1007" s="24"/>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row>
    <row r="1008" spans="1:29" ht="12.9">
      <c r="A1008" s="24"/>
      <c r="B1008" s="24"/>
      <c r="C1008" s="24"/>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row>
    <row r="1009" spans="1:29" ht="12.9">
      <c r="A1009" s="24"/>
      <c r="B1009" s="24"/>
      <c r="C1009" s="24"/>
      <c r="D1009" s="24"/>
      <c r="E1009" s="24"/>
      <c r="F1009" s="24"/>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row>
    <row r="1010" spans="1:29" ht="12.9">
      <c r="A1010" s="24"/>
      <c r="B1010" s="24"/>
      <c r="C1010" s="24"/>
      <c r="D1010" s="24"/>
      <c r="E1010" s="24"/>
      <c r="F1010" s="24"/>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row>
    <row r="1011" spans="1:29" ht="12.9">
      <c r="A1011" s="24"/>
      <c r="B1011" s="24"/>
      <c r="C1011" s="24"/>
      <c r="D1011" s="24"/>
      <c r="E1011" s="24"/>
      <c r="F1011" s="24"/>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row>
    <row r="1012" spans="1:29" ht="12.9">
      <c r="A1012" s="24"/>
      <c r="B1012" s="24"/>
      <c r="C1012" s="24"/>
      <c r="D1012" s="24"/>
      <c r="E1012" s="24"/>
      <c r="F1012" s="24"/>
      <c r="G1012" s="24"/>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row>
    <row r="1013" spans="1:29" ht="12.9">
      <c r="A1013" s="24"/>
      <c r="B1013" s="24"/>
      <c r="C1013" s="24"/>
      <c r="D1013" s="24"/>
      <c r="E1013" s="24"/>
      <c r="F1013" s="24"/>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row>
    <row r="1014" spans="1:29" ht="12.9">
      <c r="A1014" s="24"/>
      <c r="B1014" s="24"/>
      <c r="C1014" s="24"/>
      <c r="D1014" s="24"/>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row>
    <row r="1015" spans="1:29" ht="12.9">
      <c r="A1015" s="24"/>
      <c r="B1015" s="24"/>
      <c r="C1015" s="24"/>
      <c r="D1015" s="24"/>
      <c r="E1015" s="24"/>
      <c r="F1015" s="24"/>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row>
    <row r="1016" spans="1:29" ht="12.9">
      <c r="A1016" s="24"/>
      <c r="B1016" s="24"/>
      <c r="C1016" s="24"/>
      <c r="D1016" s="24"/>
      <c r="E1016" s="24"/>
      <c r="F1016" s="24"/>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row>
    <row r="1017" spans="1:29" ht="12.9">
      <c r="A1017" s="24"/>
      <c r="B1017" s="24"/>
      <c r="C1017" s="24"/>
      <c r="D1017" s="24"/>
      <c r="E1017" s="24"/>
      <c r="F1017" s="24"/>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row>
    <row r="1018" spans="1:29" ht="12.9">
      <c r="A1018" s="24"/>
      <c r="B1018" s="24"/>
      <c r="C1018" s="24"/>
      <c r="D1018" s="24"/>
      <c r="E1018" s="24"/>
      <c r="F1018" s="24"/>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row>
    <row r="1019" spans="1:29" ht="12.9">
      <c r="A1019" s="24"/>
      <c r="B1019" s="24"/>
      <c r="C1019" s="24"/>
      <c r="D1019" s="24"/>
      <c r="E1019" s="24"/>
      <c r="F1019" s="24"/>
      <c r="G1019" s="24"/>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row>
    <row r="1020" spans="1:29" ht="12.9">
      <c r="A1020" s="24"/>
      <c r="B1020" s="24"/>
      <c r="C1020" s="24"/>
      <c r="D1020" s="24"/>
      <c r="E1020" s="24"/>
      <c r="F1020" s="24"/>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row>
    <row r="1021" spans="1:29" ht="12.9">
      <c r="A1021" s="24"/>
      <c r="B1021" s="24"/>
      <c r="C1021" s="24"/>
      <c r="D1021" s="24"/>
      <c r="E1021" s="24"/>
      <c r="F1021" s="24"/>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row>
    <row r="1022" spans="1:29" ht="12.9">
      <c r="A1022" s="24"/>
      <c r="B1022" s="24"/>
      <c r="C1022" s="24"/>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row>
    <row r="1023" spans="1:29" ht="12.9">
      <c r="A1023" s="24"/>
      <c r="B1023" s="24"/>
      <c r="C1023" s="24"/>
      <c r="D1023" s="24"/>
      <c r="E1023" s="24"/>
      <c r="F1023" s="24"/>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row>
    <row r="1024" spans="1:29" ht="12.9">
      <c r="A1024" s="24"/>
      <c r="B1024" s="24"/>
      <c r="C1024" s="24"/>
      <c r="D1024" s="24"/>
      <c r="E1024" s="24"/>
      <c r="F1024" s="24"/>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row>
    <row r="1025" spans="1:29" ht="12.9">
      <c r="A1025" s="24"/>
      <c r="B1025" s="24"/>
      <c r="C1025" s="24"/>
      <c r="D1025" s="24"/>
      <c r="E1025" s="24"/>
      <c r="F1025" s="24"/>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row>
    <row r="1026" spans="1:29" ht="12.9">
      <c r="A1026" s="24"/>
      <c r="B1026" s="24"/>
      <c r="C1026" s="24"/>
      <c r="D1026" s="24"/>
      <c r="E1026" s="24"/>
      <c r="F1026" s="24"/>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row>
    <row r="1027" spans="1:29" ht="12.9">
      <c r="A1027" s="24"/>
      <c r="B1027" s="24"/>
      <c r="C1027" s="24"/>
      <c r="D1027" s="24"/>
      <c r="E1027" s="24"/>
      <c r="F1027" s="24"/>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row>
    <row r="1028" spans="1:29" ht="12.9">
      <c r="A1028" s="24"/>
      <c r="B1028" s="24"/>
      <c r="C1028" s="24"/>
      <c r="D1028" s="24"/>
      <c r="E1028" s="24"/>
      <c r="F1028" s="24"/>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row>
    <row r="1029" spans="1:29" ht="12.9">
      <c r="A1029" s="24"/>
      <c r="B1029" s="24"/>
      <c r="C1029" s="24"/>
      <c r="D1029" s="24"/>
      <c r="E1029" s="24"/>
      <c r="F1029" s="24"/>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row>
    <row r="1030" spans="1:29" ht="12.9">
      <c r="A1030" s="24"/>
      <c r="B1030" s="24"/>
      <c r="C1030" s="24"/>
      <c r="D1030" s="24"/>
      <c r="E1030" s="24"/>
      <c r="F1030" s="24"/>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row>
    <row r="1031" spans="1:29" ht="12.9">
      <c r="A1031" s="24"/>
      <c r="B1031" s="24"/>
      <c r="C1031" s="24"/>
      <c r="D1031" s="24"/>
      <c r="E1031" s="24"/>
      <c r="F1031" s="24"/>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row>
    <row r="1032" spans="1:29" ht="12.9">
      <c r="A1032" s="24"/>
      <c r="B1032" s="24"/>
      <c r="C1032" s="24"/>
      <c r="D1032" s="24"/>
      <c r="E1032" s="24"/>
      <c r="F1032" s="24"/>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row>
    <row r="1033" spans="1:29" ht="12.9">
      <c r="A1033" s="24"/>
      <c r="B1033" s="24"/>
      <c r="C1033" s="24"/>
      <c r="D1033" s="24"/>
      <c r="E1033" s="24"/>
      <c r="F1033" s="24"/>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row>
    <row r="1034" spans="1:29" ht="12.9">
      <c r="A1034" s="24"/>
      <c r="B1034" s="24"/>
      <c r="C1034" s="24"/>
      <c r="D1034" s="24"/>
      <c r="E1034" s="24"/>
      <c r="F1034" s="24"/>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row>
    <row r="1035" spans="1:29" ht="12.9">
      <c r="A1035" s="24"/>
      <c r="B1035" s="24"/>
      <c r="C1035" s="24"/>
      <c r="D1035" s="24"/>
      <c r="E1035" s="24"/>
      <c r="F1035" s="24"/>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row>
    <row r="1036" spans="1:29" ht="12.9">
      <c r="A1036" s="24"/>
      <c r="B1036" s="24"/>
      <c r="C1036" s="24"/>
      <c r="D1036" s="24"/>
      <c r="E1036" s="24"/>
      <c r="F1036" s="24"/>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row>
    <row r="1037" spans="1:29" ht="12.9">
      <c r="A1037" s="24"/>
      <c r="B1037" s="24"/>
      <c r="C1037" s="24"/>
      <c r="D1037" s="24"/>
      <c r="E1037" s="24"/>
      <c r="F1037" s="24"/>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row>
    <row r="1038" spans="1:29" ht="12.9">
      <c r="A1038" s="24"/>
      <c r="B1038" s="24"/>
      <c r="C1038" s="24"/>
      <c r="D1038" s="24"/>
      <c r="E1038" s="24"/>
      <c r="F1038" s="24"/>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row>
    <row r="1039" spans="1:29" ht="12.9">
      <c r="A1039" s="24"/>
      <c r="B1039" s="24"/>
      <c r="C1039" s="24"/>
      <c r="D1039" s="24"/>
      <c r="E1039" s="24"/>
      <c r="F1039" s="24"/>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row>
    <row r="1040" spans="1:29" ht="12.9">
      <c r="A1040" s="24"/>
      <c r="B1040" s="24"/>
      <c r="C1040" s="24"/>
      <c r="D1040" s="24"/>
      <c r="E1040" s="24"/>
      <c r="F1040" s="24"/>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row>
    <row r="1041" spans="1:29" ht="12.9">
      <c r="A1041" s="24"/>
      <c r="B1041" s="24"/>
      <c r="C1041" s="24"/>
      <c r="D1041" s="24"/>
      <c r="E1041" s="24"/>
      <c r="F1041" s="24"/>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row>
    <row r="1042" spans="1:29" ht="12.9">
      <c r="A1042" s="24"/>
      <c r="B1042" s="24"/>
      <c r="C1042" s="24"/>
      <c r="D1042" s="24"/>
      <c r="E1042" s="24"/>
      <c r="F1042" s="24"/>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row>
    <row r="1043" spans="1:29" ht="12.9">
      <c r="A1043" s="24"/>
      <c r="B1043" s="24"/>
      <c r="C1043" s="24"/>
      <c r="D1043" s="24"/>
      <c r="E1043" s="24"/>
      <c r="F1043" s="24"/>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row>
    <row r="1044" spans="1:29" ht="12.9">
      <c r="A1044" s="24"/>
      <c r="B1044" s="24"/>
      <c r="C1044" s="24"/>
      <c r="D1044" s="24"/>
      <c r="E1044" s="24"/>
      <c r="F1044" s="24"/>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row>
    <row r="1045" spans="1:29" ht="12.9">
      <c r="A1045" s="24"/>
      <c r="B1045" s="24"/>
      <c r="C1045" s="24"/>
      <c r="D1045" s="24"/>
      <c r="E1045" s="24"/>
      <c r="F1045" s="24"/>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row>
    <row r="1046" spans="1:29" ht="12.9">
      <c r="A1046" s="24"/>
      <c r="B1046" s="24"/>
      <c r="C1046" s="24"/>
      <c r="D1046" s="24"/>
      <c r="E1046" s="24"/>
      <c r="F1046" s="24"/>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row>
    <row r="1047" spans="1:29" ht="12.9">
      <c r="A1047" s="24"/>
      <c r="B1047" s="24"/>
      <c r="C1047" s="24"/>
      <c r="D1047" s="24"/>
      <c r="E1047" s="24"/>
      <c r="F1047" s="24"/>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row>
    <row r="1048" spans="1:29" ht="12.9">
      <c r="A1048" s="24"/>
      <c r="B1048" s="24"/>
      <c r="C1048" s="24"/>
      <c r="D1048" s="24"/>
      <c r="E1048" s="24"/>
      <c r="F1048" s="24"/>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row>
    <row r="1049" spans="1:29" ht="12.9">
      <c r="A1049" s="24"/>
      <c r="B1049" s="24"/>
      <c r="C1049" s="24"/>
      <c r="D1049" s="24"/>
      <c r="E1049" s="24"/>
      <c r="F1049" s="24"/>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row>
    <row r="1050" spans="1:29" ht="12.9">
      <c r="A1050" s="24"/>
      <c r="B1050" s="24"/>
      <c r="C1050" s="24"/>
      <c r="D1050" s="24"/>
      <c r="E1050" s="24"/>
      <c r="F1050" s="24"/>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row>
    <row r="1051" spans="1:29" ht="12.9">
      <c r="A1051" s="24"/>
      <c r="B1051" s="24"/>
      <c r="C1051" s="24"/>
      <c r="D1051" s="24"/>
      <c r="E1051" s="24"/>
      <c r="F1051" s="24"/>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row>
    <row r="1052" spans="1:29" ht="12.9">
      <c r="A1052" s="24"/>
      <c r="B1052" s="24"/>
      <c r="C1052" s="24"/>
      <c r="D1052" s="24"/>
      <c r="E1052" s="24"/>
      <c r="F1052" s="24"/>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row>
    <row r="1053" spans="1:29" ht="12.9">
      <c r="A1053" s="24"/>
      <c r="B1053" s="24"/>
      <c r="C1053" s="24"/>
      <c r="D1053" s="24"/>
      <c r="E1053" s="24"/>
      <c r="F1053" s="24"/>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row>
    <row r="1054" spans="1:29" ht="12.9">
      <c r="A1054" s="24"/>
      <c r="B1054" s="24"/>
      <c r="C1054" s="24"/>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row>
    <row r="1055" spans="1:29" ht="12.9">
      <c r="A1055" s="24"/>
      <c r="B1055" s="24"/>
      <c r="C1055" s="24"/>
      <c r="D1055" s="24"/>
      <c r="E1055" s="24"/>
      <c r="F1055" s="24"/>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row>
    <row r="1056" spans="1:29" ht="12.9">
      <c r="A1056" s="24"/>
      <c r="B1056" s="24"/>
      <c r="C1056" s="24"/>
      <c r="D1056" s="24"/>
      <c r="E1056" s="24"/>
      <c r="F1056" s="24"/>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row>
    <row r="1057" spans="1:29" ht="12.9">
      <c r="A1057" s="24"/>
      <c r="B1057" s="24"/>
      <c r="C1057" s="24"/>
      <c r="D1057" s="24"/>
      <c r="E1057" s="24"/>
      <c r="F1057" s="24"/>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row>
    <row r="1058" spans="1:29" ht="12.9">
      <c r="A1058" s="24"/>
      <c r="B1058" s="24"/>
      <c r="C1058" s="24"/>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row>
    <row r="1059" spans="1:29" ht="12.9">
      <c r="A1059" s="24"/>
      <c r="B1059" s="24"/>
      <c r="C1059" s="24"/>
      <c r="D1059" s="24"/>
      <c r="E1059" s="24"/>
      <c r="F1059" s="24"/>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row>
    <row r="1060" spans="1:29" ht="12.9">
      <c r="A1060" s="24"/>
      <c r="B1060" s="24"/>
      <c r="C1060" s="24"/>
      <c r="D1060" s="24"/>
      <c r="E1060" s="24"/>
      <c r="F1060" s="24"/>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row>
    <row r="1061" spans="1:29" ht="12.9">
      <c r="A1061" s="24"/>
      <c r="B1061" s="24"/>
      <c r="C1061" s="24"/>
      <c r="D1061" s="24"/>
      <c r="E1061" s="24"/>
      <c r="F1061" s="24"/>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row>
    <row r="1062" spans="1:29" ht="12.9">
      <c r="A1062" s="24"/>
      <c r="B1062" s="24"/>
      <c r="C1062" s="24"/>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row>
    <row r="1063" spans="1:29" ht="12.9">
      <c r="A1063" s="24"/>
      <c r="B1063" s="24"/>
      <c r="C1063" s="24"/>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row>
    <row r="1064" spans="1:29" ht="12.9">
      <c r="A1064" s="24"/>
      <c r="B1064" s="24"/>
      <c r="C1064" s="24"/>
      <c r="D1064" s="24"/>
      <c r="E1064" s="24"/>
      <c r="F1064" s="24"/>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row>
    <row r="1065" spans="1:29" ht="12.9">
      <c r="A1065" s="24"/>
      <c r="B1065" s="24"/>
      <c r="C1065" s="24"/>
      <c r="D1065" s="24"/>
      <c r="E1065" s="24"/>
      <c r="F1065" s="24"/>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row>
    <row r="1066" spans="1:29" ht="12.9">
      <c r="A1066" s="24"/>
      <c r="B1066" s="24"/>
      <c r="C1066" s="24"/>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row>
    <row r="1067" spans="1:29" ht="12.9">
      <c r="A1067" s="24"/>
      <c r="B1067" s="24"/>
      <c r="C1067" s="24"/>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row>
    <row r="1068" spans="1:29" ht="12.9">
      <c r="A1068" s="24"/>
      <c r="B1068" s="24"/>
      <c r="C1068" s="24"/>
      <c r="D1068" s="24"/>
      <c r="E1068" s="24"/>
      <c r="F1068" s="24"/>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row>
    <row r="1069" spans="1:29" ht="12.9">
      <c r="A1069" s="24"/>
      <c r="B1069" s="24"/>
      <c r="C1069" s="24"/>
      <c r="D1069" s="24"/>
      <c r="E1069" s="24"/>
      <c r="F1069" s="24"/>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row>
    <row r="1070" spans="1:29" ht="12.9">
      <c r="A1070" s="24"/>
      <c r="B1070" s="24"/>
      <c r="C1070" s="24"/>
      <c r="D1070" s="24"/>
      <c r="E1070" s="24"/>
      <c r="F1070" s="24"/>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row>
    <row r="1071" spans="1:29" ht="12.9">
      <c r="A1071" s="24"/>
      <c r="B1071" s="24"/>
      <c r="C1071" s="24"/>
      <c r="D1071" s="24"/>
      <c r="E1071" s="24"/>
      <c r="F1071" s="24"/>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row>
    <row r="1072" spans="1:29" ht="12.9">
      <c r="A1072" s="24"/>
      <c r="B1072" s="24"/>
      <c r="C1072" s="24"/>
      <c r="D1072" s="24"/>
      <c r="E1072" s="24"/>
      <c r="F1072" s="24"/>
      <c r="G1072" s="24"/>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row>
    <row r="1073" spans="1:29" ht="12.9">
      <c r="A1073" s="24"/>
      <c r="B1073" s="24"/>
      <c r="C1073" s="24"/>
      <c r="D1073" s="24"/>
      <c r="E1073" s="24"/>
      <c r="F1073" s="24"/>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row>
    <row r="1074" spans="1:29" ht="12.9">
      <c r="A1074" s="24"/>
      <c r="B1074" s="24"/>
      <c r="C1074" s="24"/>
      <c r="D1074" s="24"/>
      <c r="E1074" s="24"/>
      <c r="F1074" s="24"/>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row>
    <row r="1075" spans="1:29" ht="12.9">
      <c r="A1075" s="24"/>
      <c r="B1075" s="24"/>
      <c r="C1075" s="24"/>
      <c r="D1075" s="24"/>
      <c r="E1075" s="24"/>
      <c r="F1075" s="24"/>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row>
    <row r="1076" spans="1:29" ht="12.9">
      <c r="A1076" s="24"/>
      <c r="B1076" s="24"/>
      <c r="C1076" s="24"/>
      <c r="D1076" s="24"/>
      <c r="E1076" s="24"/>
      <c r="F1076" s="24"/>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row>
    <row r="1077" spans="1:29" ht="12.9">
      <c r="A1077" s="24"/>
      <c r="B1077" s="24"/>
      <c r="C1077" s="24"/>
      <c r="D1077" s="24"/>
      <c r="E1077" s="24"/>
      <c r="F1077" s="24"/>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row>
    <row r="1078" spans="1:29" ht="12.9">
      <c r="A1078" s="24"/>
      <c r="B1078" s="24"/>
      <c r="C1078" s="24"/>
      <c r="D1078" s="24"/>
      <c r="E1078" s="24"/>
      <c r="F1078" s="24"/>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row>
    <row r="1079" spans="1:29" ht="12.9">
      <c r="A1079" s="24"/>
      <c r="B1079" s="24"/>
      <c r="C1079" s="24"/>
      <c r="D1079" s="24"/>
      <c r="E1079" s="24"/>
      <c r="F1079" s="24"/>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row>
    <row r="1080" spans="1:29" ht="12.9">
      <c r="A1080" s="24"/>
      <c r="B1080" s="24"/>
      <c r="C1080" s="24"/>
      <c r="D1080" s="24"/>
      <c r="E1080" s="24"/>
      <c r="F1080" s="24"/>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row>
    <row r="1081" spans="1:29" ht="12.9">
      <c r="A1081" s="24"/>
      <c r="B1081" s="24"/>
      <c r="C1081" s="24"/>
      <c r="D1081" s="24"/>
      <c r="E1081" s="24"/>
      <c r="F1081" s="24"/>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row>
    <row r="1082" spans="1:29" ht="12.9">
      <c r="A1082" s="24"/>
      <c r="B1082" s="24"/>
      <c r="C1082" s="24"/>
      <c r="D1082" s="24"/>
      <c r="E1082" s="24"/>
      <c r="F1082" s="24"/>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row>
    <row r="1083" spans="1:29" ht="12.9">
      <c r="A1083" s="24"/>
      <c r="B1083" s="24"/>
      <c r="C1083" s="24"/>
      <c r="D1083" s="24"/>
      <c r="E1083" s="24"/>
      <c r="F1083" s="24"/>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row>
    <row r="1084" spans="1:29" ht="12.9">
      <c r="A1084" s="24"/>
      <c r="B1084" s="24"/>
      <c r="C1084" s="24"/>
      <c r="D1084" s="24"/>
      <c r="E1084" s="24"/>
      <c r="F1084" s="24"/>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row>
    <row r="1085" spans="1:29" ht="12.9">
      <c r="A1085" s="24"/>
      <c r="B1085" s="24"/>
      <c r="C1085" s="24"/>
      <c r="D1085" s="24"/>
      <c r="E1085" s="24"/>
      <c r="F1085" s="24"/>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row>
    <row r="1086" spans="1:29" ht="12.9">
      <c r="A1086" s="24"/>
      <c r="B1086" s="24"/>
      <c r="C1086" s="24"/>
      <c r="D1086" s="24"/>
      <c r="E1086" s="24"/>
      <c r="F1086" s="24"/>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row>
    <row r="1087" spans="1:29" ht="12.9">
      <c r="A1087" s="24"/>
      <c r="B1087" s="24"/>
      <c r="C1087" s="24"/>
      <c r="D1087" s="24"/>
      <c r="E1087" s="24"/>
      <c r="F1087" s="24"/>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row>
    <row r="1088" spans="1:29" ht="12.9">
      <c r="A1088" s="24"/>
      <c r="B1088" s="24"/>
      <c r="C1088" s="24"/>
      <c r="D1088" s="24"/>
      <c r="E1088" s="24"/>
      <c r="F1088" s="24"/>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row>
    <row r="1089" spans="1:29" ht="12.9">
      <c r="A1089" s="24"/>
      <c r="B1089" s="24"/>
      <c r="C1089" s="24"/>
      <c r="D1089" s="24"/>
      <c r="E1089" s="24"/>
      <c r="F1089" s="24"/>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row>
    <row r="1090" spans="1:29" ht="12.9">
      <c r="A1090" s="24"/>
      <c r="B1090" s="24"/>
      <c r="C1090" s="24"/>
      <c r="D1090" s="24"/>
      <c r="E1090" s="24"/>
      <c r="F1090" s="24"/>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row>
    <row r="1091" spans="1:29" ht="12.9">
      <c r="A1091" s="24"/>
      <c r="B1091" s="24"/>
      <c r="C1091" s="24"/>
      <c r="D1091" s="24"/>
      <c r="E1091" s="24"/>
      <c r="F1091" s="24"/>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row>
    <row r="1092" spans="1:29" ht="12.9">
      <c r="A1092" s="24"/>
      <c r="B1092" s="24"/>
      <c r="C1092" s="24"/>
      <c r="D1092" s="24"/>
      <c r="E1092" s="24"/>
      <c r="F1092" s="24"/>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row>
    <row r="1093" spans="1:29" ht="12.9">
      <c r="A1093" s="24"/>
      <c r="B1093" s="24"/>
      <c r="C1093" s="24"/>
      <c r="D1093" s="24"/>
      <c r="E1093" s="24"/>
      <c r="F1093" s="24"/>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row>
    <row r="1094" spans="1:29" ht="12.9">
      <c r="A1094" s="24"/>
      <c r="B1094" s="24"/>
      <c r="C1094" s="24"/>
      <c r="D1094" s="24"/>
      <c r="E1094" s="24"/>
      <c r="F1094" s="24"/>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row>
    <row r="1095" spans="1:29" ht="12.9">
      <c r="A1095" s="24"/>
      <c r="B1095" s="24"/>
      <c r="C1095" s="24"/>
      <c r="D1095" s="24"/>
      <c r="E1095" s="24"/>
      <c r="F1095" s="24"/>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row>
    <row r="1096" spans="1:29" ht="12.9">
      <c r="A1096" s="24"/>
      <c r="B1096" s="24"/>
      <c r="C1096" s="24"/>
      <c r="D1096" s="24"/>
      <c r="E1096" s="24"/>
      <c r="F1096" s="24"/>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row>
    <row r="1097" spans="1:29" ht="12.9">
      <c r="A1097" s="24"/>
      <c r="B1097" s="24"/>
      <c r="C1097" s="24"/>
      <c r="D1097" s="24"/>
      <c r="E1097" s="24"/>
      <c r="F1097" s="24"/>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row>
    <row r="1098" spans="1:29" ht="12.9">
      <c r="A1098" s="24"/>
      <c r="B1098" s="24"/>
      <c r="C1098" s="24"/>
      <c r="D1098" s="24"/>
      <c r="E1098" s="24"/>
      <c r="F1098" s="24"/>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row>
    <row r="1099" spans="1:29" ht="12.9">
      <c r="A1099" s="24"/>
      <c r="B1099" s="24"/>
      <c r="C1099" s="24"/>
      <c r="D1099" s="24"/>
      <c r="E1099" s="24"/>
      <c r="F1099" s="24"/>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row>
    <row r="1100" spans="1:29" ht="12.9">
      <c r="A1100" s="24"/>
      <c r="B1100" s="24"/>
      <c r="C1100" s="24"/>
      <c r="D1100" s="24"/>
      <c r="E1100" s="24"/>
      <c r="F1100" s="24"/>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row>
    <row r="1101" spans="1:29" ht="12.9">
      <c r="A1101" s="24"/>
      <c r="B1101" s="24"/>
      <c r="C1101" s="24"/>
      <c r="D1101" s="24"/>
      <c r="E1101" s="24"/>
      <c r="F1101" s="24"/>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row>
    <row r="1102" spans="1:29" ht="12.9">
      <c r="A1102" s="24"/>
      <c r="B1102" s="24"/>
      <c r="C1102" s="24"/>
      <c r="D1102" s="24"/>
      <c r="E1102" s="24"/>
      <c r="F1102" s="24"/>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row>
    <row r="1103" spans="1:29" ht="12.9">
      <c r="A1103" s="24"/>
      <c r="B1103" s="24"/>
      <c r="C1103" s="24"/>
      <c r="D1103" s="24"/>
      <c r="E1103" s="24"/>
      <c r="F1103" s="24"/>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row>
    <row r="1104" spans="1:29" ht="12.9">
      <c r="A1104" s="24"/>
      <c r="B1104" s="24"/>
      <c r="C1104" s="24"/>
      <c r="D1104" s="24"/>
      <c r="E1104" s="24"/>
      <c r="F1104" s="24"/>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row>
    <row r="1105" spans="1:29" ht="12.9">
      <c r="A1105" s="24"/>
      <c r="B1105" s="24"/>
      <c r="C1105" s="24"/>
      <c r="D1105" s="24"/>
      <c r="E1105" s="24"/>
      <c r="F1105" s="24"/>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row>
    <row r="1106" spans="1:29" ht="12.9">
      <c r="A1106" s="24"/>
      <c r="B1106" s="24"/>
      <c r="C1106" s="24"/>
      <c r="D1106" s="24"/>
      <c r="E1106" s="24"/>
      <c r="F1106" s="24"/>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row>
    <row r="1107" spans="1:29" ht="12.9">
      <c r="A1107" s="24"/>
      <c r="B1107" s="24"/>
      <c r="C1107" s="24"/>
      <c r="D1107" s="24"/>
      <c r="E1107" s="24"/>
      <c r="F1107" s="24"/>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row>
    <row r="1108" spans="1:29" ht="12.9">
      <c r="A1108" s="24"/>
      <c r="B1108" s="24"/>
      <c r="C1108" s="24"/>
      <c r="D1108" s="24"/>
      <c r="E1108" s="24"/>
      <c r="F1108" s="24"/>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row>
    <row r="1109" spans="1:29" ht="12.9">
      <c r="A1109" s="24"/>
      <c r="B1109" s="24"/>
      <c r="C1109" s="24"/>
      <c r="D1109" s="24"/>
      <c r="E1109" s="24"/>
      <c r="F1109" s="24"/>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row>
    <row r="1110" spans="1:29" ht="12.9">
      <c r="A1110" s="24"/>
      <c r="B1110" s="24"/>
      <c r="C1110" s="24"/>
      <c r="D1110" s="24"/>
      <c r="E1110" s="24"/>
      <c r="F1110" s="24"/>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row>
    <row r="1111" spans="1:29" ht="12.9">
      <c r="A1111" s="24"/>
      <c r="B1111" s="24"/>
      <c r="C1111" s="24"/>
      <c r="D1111" s="24"/>
      <c r="E1111" s="24"/>
      <c r="F1111" s="24"/>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row>
    <row r="1112" spans="1:29" ht="12.9">
      <c r="A1112" s="24"/>
      <c r="B1112" s="24"/>
      <c r="C1112" s="24"/>
      <c r="D1112" s="24"/>
      <c r="E1112" s="24"/>
      <c r="F1112" s="24"/>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row>
    <row r="1113" spans="1:29" ht="12.9">
      <c r="A1113" s="24"/>
      <c r="B1113" s="24"/>
      <c r="C1113" s="24"/>
      <c r="D1113" s="24"/>
      <c r="E1113" s="24"/>
      <c r="F1113" s="24"/>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row>
    <row r="1114" spans="1:29" ht="12.9">
      <c r="A1114" s="24"/>
      <c r="B1114" s="24"/>
      <c r="C1114" s="24"/>
      <c r="D1114" s="24"/>
      <c r="E1114" s="24"/>
      <c r="F1114" s="24"/>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row>
    <row r="1115" spans="1:29" ht="12.9">
      <c r="A1115" s="24"/>
      <c r="B1115" s="24"/>
      <c r="C1115" s="24"/>
      <c r="D1115" s="24"/>
      <c r="E1115" s="24"/>
      <c r="F1115" s="24"/>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row>
    <row r="1116" spans="1:29" ht="12.9">
      <c r="A1116" s="24"/>
      <c r="B1116" s="24"/>
      <c r="C1116" s="24"/>
      <c r="D1116" s="24"/>
      <c r="E1116" s="24"/>
      <c r="F1116" s="24"/>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row>
    <row r="1117" spans="1:29" ht="12.9">
      <c r="A1117" s="24"/>
      <c r="B1117" s="24"/>
      <c r="C1117" s="24"/>
      <c r="D1117" s="24"/>
      <c r="E1117" s="24"/>
      <c r="F1117" s="24"/>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row>
    <row r="1118" spans="1:29" ht="12.9">
      <c r="A1118" s="24"/>
      <c r="B1118" s="24"/>
      <c r="C1118" s="24"/>
      <c r="D1118" s="24"/>
      <c r="E1118" s="24"/>
      <c r="F1118" s="24"/>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row>
    <row r="1119" spans="1:29" ht="12.9">
      <c r="A1119" s="24"/>
      <c r="B1119" s="24"/>
      <c r="C1119" s="24"/>
      <c r="D1119" s="24"/>
      <c r="E1119" s="24"/>
      <c r="F1119" s="24"/>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row>
    <row r="1120" spans="1:29" ht="12.9">
      <c r="A1120" s="24"/>
      <c r="B1120" s="24"/>
      <c r="C1120" s="24"/>
      <c r="D1120" s="24"/>
      <c r="E1120" s="24"/>
      <c r="F1120" s="24"/>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row>
    <row r="1121" spans="1:29" ht="12.9">
      <c r="A1121" s="24"/>
      <c r="B1121" s="24"/>
      <c r="C1121" s="24"/>
      <c r="D1121" s="24"/>
      <c r="E1121" s="24"/>
      <c r="F1121" s="24"/>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row>
    <row r="1122" spans="1:29" ht="12.9">
      <c r="A1122" s="24"/>
      <c r="B1122" s="24"/>
      <c r="C1122" s="24"/>
      <c r="D1122" s="24"/>
      <c r="E1122" s="24"/>
      <c r="F1122" s="24"/>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row>
    <row r="1123" spans="1:29" ht="12.9">
      <c r="A1123" s="24"/>
      <c r="B1123" s="24"/>
      <c r="C1123" s="24"/>
      <c r="D1123" s="24"/>
      <c r="E1123" s="24"/>
      <c r="F1123" s="24"/>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row>
    <row r="1124" spans="1:29" ht="12.9">
      <c r="A1124" s="24"/>
      <c r="B1124" s="24"/>
      <c r="C1124" s="24"/>
      <c r="D1124" s="24"/>
      <c r="E1124" s="24"/>
      <c r="F1124" s="24"/>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row>
    <row r="1125" spans="1:29" ht="12.9">
      <c r="A1125" s="24"/>
      <c r="B1125" s="24"/>
      <c r="C1125" s="24"/>
      <c r="D1125" s="24"/>
      <c r="E1125" s="24"/>
      <c r="F1125" s="24"/>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row>
    <row r="1126" spans="1:29" ht="12.9">
      <c r="A1126" s="24"/>
      <c r="B1126" s="24"/>
      <c r="C1126" s="24"/>
      <c r="D1126" s="24"/>
      <c r="E1126" s="24"/>
      <c r="F1126" s="24"/>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row>
    <row r="1127" spans="1:29" ht="12.9">
      <c r="A1127" s="24"/>
      <c r="B1127" s="24"/>
      <c r="C1127" s="24"/>
      <c r="D1127" s="24"/>
      <c r="E1127" s="24"/>
      <c r="F1127" s="24"/>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row>
    <row r="1128" spans="1:29" ht="12.9">
      <c r="A1128" s="24"/>
      <c r="B1128" s="24"/>
      <c r="C1128" s="24"/>
      <c r="D1128" s="24"/>
      <c r="E1128" s="24"/>
      <c r="F1128" s="24"/>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row>
    <row r="1129" spans="1:29" ht="12.9">
      <c r="A1129" s="24"/>
      <c r="B1129" s="24"/>
      <c r="C1129" s="24"/>
      <c r="D1129" s="24"/>
      <c r="E1129" s="24"/>
      <c r="F1129" s="24"/>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row>
    <row r="1130" spans="1:29" ht="12.9">
      <c r="A1130" s="24"/>
      <c r="B1130" s="24"/>
      <c r="C1130" s="24"/>
      <c r="D1130" s="24"/>
      <c r="E1130" s="24"/>
      <c r="F1130" s="24"/>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row>
    <row r="1131" spans="1:29" ht="12.9">
      <c r="A1131" s="24"/>
      <c r="B1131" s="24"/>
      <c r="C1131" s="24"/>
      <c r="D1131" s="24"/>
      <c r="E1131" s="24"/>
      <c r="F1131" s="24"/>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row>
    <row r="1132" spans="1:29" ht="12.9">
      <c r="A1132" s="24"/>
      <c r="B1132" s="24"/>
      <c r="C1132" s="24"/>
      <c r="D1132" s="24"/>
      <c r="E1132" s="24"/>
      <c r="F1132" s="24"/>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row>
    <row r="1133" spans="1:29" ht="12.9">
      <c r="A1133" s="24"/>
      <c r="B1133" s="24"/>
      <c r="C1133" s="24"/>
      <c r="D1133" s="24"/>
      <c r="E1133" s="24"/>
      <c r="F1133" s="24"/>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row>
    <row r="1134" spans="1:29" ht="12.9">
      <c r="A1134" s="24"/>
      <c r="B1134" s="24"/>
      <c r="C1134" s="24"/>
      <c r="D1134" s="24"/>
      <c r="E1134" s="24"/>
      <c r="F1134" s="24"/>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row>
    <row r="1135" spans="1:29" ht="12.9">
      <c r="A1135" s="24"/>
      <c r="B1135" s="24"/>
      <c r="C1135" s="24"/>
      <c r="D1135" s="24"/>
      <c r="E1135" s="24"/>
      <c r="F1135" s="24"/>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row>
    <row r="1136" spans="1:29" ht="12.9">
      <c r="A1136" s="24"/>
      <c r="B1136" s="24"/>
      <c r="C1136" s="24"/>
      <c r="D1136" s="24"/>
      <c r="E1136" s="24"/>
      <c r="F1136" s="24"/>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row>
    <row r="1137" spans="1:29" ht="12.9">
      <c r="A1137" s="24"/>
      <c r="B1137" s="24"/>
      <c r="C1137" s="24"/>
      <c r="D1137" s="24"/>
      <c r="E1137" s="24"/>
      <c r="F1137" s="24"/>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row>
    <row r="1138" spans="1:29" ht="12.9">
      <c r="A1138" s="24"/>
      <c r="B1138" s="24"/>
      <c r="C1138" s="24"/>
      <c r="D1138" s="24"/>
      <c r="E1138" s="24"/>
      <c r="F1138" s="24"/>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row>
    <row r="1139" spans="1:29" ht="12.9">
      <c r="A1139" s="24"/>
      <c r="B1139" s="24"/>
      <c r="C1139" s="24"/>
      <c r="D1139" s="24"/>
      <c r="E1139" s="24"/>
      <c r="F1139" s="24"/>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row>
    <row r="1140" spans="1:29" ht="12.9">
      <c r="A1140" s="24"/>
      <c r="B1140" s="24"/>
      <c r="C1140" s="24"/>
      <c r="D1140" s="24"/>
      <c r="E1140" s="24"/>
      <c r="F1140" s="24"/>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row>
    <row r="1141" spans="1:29" ht="12.9">
      <c r="A1141" s="24"/>
      <c r="B1141" s="24"/>
      <c r="C1141" s="24"/>
      <c r="D1141" s="24"/>
      <c r="E1141" s="24"/>
      <c r="F1141" s="24"/>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row>
    <row r="1142" spans="1:29" ht="12.9">
      <c r="A1142" s="24"/>
      <c r="B1142" s="24"/>
      <c r="C1142" s="24"/>
      <c r="D1142" s="24"/>
      <c r="E1142" s="24"/>
      <c r="F1142" s="24"/>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row>
    <row r="1143" spans="1:29" ht="12.9">
      <c r="A1143" s="24"/>
      <c r="B1143" s="24"/>
      <c r="C1143" s="24"/>
      <c r="D1143" s="24"/>
      <c r="E1143" s="24"/>
      <c r="F1143" s="24"/>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row>
    <row r="1144" spans="1:29" ht="12.9">
      <c r="A1144" s="24"/>
      <c r="B1144" s="24"/>
      <c r="C1144" s="24"/>
      <c r="D1144" s="24"/>
      <c r="E1144" s="24"/>
      <c r="F1144" s="24"/>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row>
    <row r="1145" spans="1:29" ht="12.9">
      <c r="A1145" s="24"/>
      <c r="B1145" s="24"/>
      <c r="C1145" s="24"/>
      <c r="D1145" s="24"/>
      <c r="E1145" s="24"/>
      <c r="F1145" s="24"/>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row>
    <row r="1146" spans="1:29" ht="12.9">
      <c r="A1146" s="24"/>
      <c r="B1146" s="24"/>
      <c r="C1146" s="24"/>
      <c r="D1146" s="24"/>
      <c r="E1146" s="24"/>
      <c r="F1146" s="24"/>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row>
    <row r="1147" spans="1:29" ht="12.9">
      <c r="A1147" s="24"/>
      <c r="B1147" s="24"/>
      <c r="C1147" s="24"/>
      <c r="D1147" s="24"/>
      <c r="E1147" s="24"/>
      <c r="F1147" s="24"/>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row>
    <row r="1148" spans="1:29" ht="12.9">
      <c r="A1148" s="24"/>
      <c r="B1148" s="24"/>
      <c r="C1148" s="24"/>
      <c r="D1148" s="24"/>
      <c r="E1148" s="24"/>
      <c r="F1148" s="24"/>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row>
    <row r="1149" spans="1:29" ht="12.9">
      <c r="A1149" s="24"/>
      <c r="B1149" s="24"/>
      <c r="C1149" s="24"/>
      <c r="D1149" s="24"/>
      <c r="E1149" s="24"/>
      <c r="F1149" s="24"/>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row>
    <row r="1150" spans="1:29" ht="12.9">
      <c r="A1150" s="24"/>
      <c r="B1150" s="24"/>
      <c r="C1150" s="24"/>
      <c r="D1150" s="24"/>
      <c r="E1150" s="24"/>
      <c r="F1150" s="24"/>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row>
    <row r="1151" spans="1:29" ht="12.9">
      <c r="A1151" s="24"/>
      <c r="B1151" s="24"/>
      <c r="C1151" s="24"/>
      <c r="D1151" s="24"/>
      <c r="E1151" s="24"/>
      <c r="F1151" s="24"/>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row>
    <row r="1152" spans="1:29" ht="12.9">
      <c r="A1152" s="24"/>
      <c r="B1152" s="24"/>
      <c r="C1152" s="24"/>
      <c r="D1152" s="24"/>
      <c r="E1152" s="24"/>
      <c r="F1152" s="24"/>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row>
    <row r="1153" spans="1:29" ht="12.9">
      <c r="A1153" s="24"/>
      <c r="B1153" s="24"/>
      <c r="C1153" s="24"/>
      <c r="D1153" s="24"/>
      <c r="E1153" s="24"/>
      <c r="F1153" s="24"/>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row>
    <row r="1154" spans="1:29" ht="12.9">
      <c r="A1154" s="24"/>
      <c r="B1154" s="24"/>
      <c r="C1154" s="24"/>
      <c r="D1154" s="24"/>
      <c r="E1154" s="24"/>
      <c r="F1154" s="24"/>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row>
    <row r="1155" spans="1:29" ht="12.9">
      <c r="A1155" s="24"/>
      <c r="B1155" s="24"/>
      <c r="C1155" s="24"/>
      <c r="D1155" s="24"/>
      <c r="E1155" s="24"/>
      <c r="F1155" s="24"/>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row>
    <row r="1156" spans="1:29" ht="12.9">
      <c r="A1156" s="24"/>
      <c r="B1156" s="24"/>
      <c r="C1156" s="24"/>
      <c r="D1156" s="24"/>
      <c r="E1156" s="24"/>
      <c r="F1156" s="24"/>
      <c r="G1156" s="24"/>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row>
    <row r="1157" spans="1:29" ht="12.9">
      <c r="A1157" s="24"/>
      <c r="B1157" s="24"/>
      <c r="C1157" s="24"/>
      <c r="D1157" s="24"/>
      <c r="E1157" s="24"/>
      <c r="F1157" s="24"/>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row>
    <row r="1158" spans="1:29" ht="12.9">
      <c r="A1158" s="24"/>
      <c r="B1158" s="24"/>
      <c r="C1158" s="24"/>
      <c r="D1158" s="24"/>
      <c r="E1158" s="24"/>
      <c r="F1158" s="24"/>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row>
    <row r="1159" spans="1:29" ht="12.9">
      <c r="A1159" s="24"/>
      <c r="B1159" s="24"/>
      <c r="C1159" s="24"/>
      <c r="D1159" s="24"/>
      <c r="E1159" s="24"/>
      <c r="F1159" s="24"/>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row>
    <row r="1160" spans="1:29" ht="12.9">
      <c r="A1160" s="24"/>
      <c r="B1160" s="24"/>
      <c r="C1160" s="24"/>
      <c r="D1160" s="24"/>
      <c r="E1160" s="24"/>
      <c r="F1160" s="24"/>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row>
    <row r="1161" spans="1:29" ht="12.9">
      <c r="A1161" s="24"/>
      <c r="B1161" s="24"/>
      <c r="C1161" s="24"/>
      <c r="D1161" s="24"/>
      <c r="E1161" s="24"/>
      <c r="F1161" s="24"/>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row>
    <row r="1162" spans="1:29" ht="12.9">
      <c r="A1162" s="24"/>
      <c r="B1162" s="24"/>
      <c r="C1162" s="24"/>
      <c r="D1162" s="24"/>
      <c r="E1162" s="24"/>
      <c r="F1162" s="24"/>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row>
    <row r="1163" spans="1:29" ht="12.9">
      <c r="A1163" s="24"/>
      <c r="B1163" s="24"/>
      <c r="C1163" s="24"/>
      <c r="D1163" s="24"/>
      <c r="E1163" s="24"/>
      <c r="F1163" s="24"/>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row>
    <row r="1164" spans="1:29" ht="12.9">
      <c r="A1164" s="24"/>
      <c r="B1164" s="24"/>
      <c r="C1164" s="24"/>
      <c r="D1164" s="24"/>
      <c r="E1164" s="24"/>
      <c r="F1164" s="24"/>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row>
    <row r="1165" spans="1:29" ht="12.9">
      <c r="A1165" s="24"/>
      <c r="B1165" s="24"/>
      <c r="C1165" s="24"/>
      <c r="D1165" s="24"/>
      <c r="E1165" s="24"/>
      <c r="F1165" s="24"/>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row>
    <row r="1166" spans="1:29" ht="12.9">
      <c r="A1166" s="24"/>
      <c r="B1166" s="24"/>
      <c r="C1166" s="24"/>
      <c r="D1166" s="24"/>
      <c r="E1166" s="24"/>
      <c r="F1166" s="24"/>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row>
    <row r="1167" spans="1:29" ht="12.9">
      <c r="A1167" s="24"/>
      <c r="B1167" s="24"/>
      <c r="C1167" s="24"/>
      <c r="D1167" s="24"/>
      <c r="E1167" s="24"/>
      <c r="F1167" s="24"/>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row>
    <row r="1168" spans="1:29" ht="12.9">
      <c r="A1168" s="24"/>
      <c r="B1168" s="24"/>
      <c r="C1168" s="24"/>
      <c r="D1168" s="24"/>
      <c r="E1168" s="24"/>
      <c r="F1168" s="24"/>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row>
    <row r="1169" spans="1:29" ht="12.9">
      <c r="A1169" s="24"/>
      <c r="B1169" s="24"/>
      <c r="C1169" s="24"/>
      <c r="D1169" s="24"/>
      <c r="E1169" s="24"/>
      <c r="F1169" s="24"/>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row>
    <row r="1170" spans="1:29" ht="12.9">
      <c r="A1170" s="24"/>
      <c r="B1170" s="24"/>
      <c r="C1170" s="24"/>
      <c r="D1170" s="24"/>
      <c r="E1170" s="24"/>
      <c r="F1170" s="24"/>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row>
    <row r="1171" spans="1:29" ht="12.9">
      <c r="A1171" s="24"/>
      <c r="B1171" s="24"/>
      <c r="C1171" s="24"/>
      <c r="D1171" s="24"/>
      <c r="E1171" s="24"/>
      <c r="F1171" s="24"/>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row>
    <row r="1172" spans="1:29" ht="12.9">
      <c r="A1172" s="24"/>
      <c r="B1172" s="24"/>
      <c r="C1172" s="24"/>
      <c r="D1172" s="24"/>
      <c r="E1172" s="24"/>
      <c r="F1172" s="24"/>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row>
    <row r="1173" spans="1:29" ht="12.9">
      <c r="A1173" s="24"/>
      <c r="B1173" s="24"/>
      <c r="C1173" s="24"/>
      <c r="D1173" s="24"/>
      <c r="E1173" s="24"/>
      <c r="F1173" s="24"/>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row>
    <row r="1174" spans="1:29" ht="12.9">
      <c r="A1174" s="24"/>
      <c r="B1174" s="24"/>
      <c r="C1174" s="24"/>
      <c r="D1174" s="24"/>
      <c r="E1174" s="24"/>
      <c r="F1174" s="24"/>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row>
    <row r="1175" spans="1:29" ht="12.9">
      <c r="A1175" s="24"/>
      <c r="B1175" s="24"/>
      <c r="C1175" s="24"/>
      <c r="D1175" s="24"/>
      <c r="E1175" s="24"/>
      <c r="F1175" s="24"/>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row>
    <row r="1176" spans="1:29" ht="12.9">
      <c r="A1176" s="24"/>
      <c r="B1176" s="24"/>
      <c r="C1176" s="24"/>
      <c r="D1176" s="24"/>
      <c r="E1176" s="24"/>
      <c r="F1176" s="24"/>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row>
    <row r="1177" spans="1:29" ht="12.9">
      <c r="A1177" s="24"/>
      <c r="B1177" s="24"/>
      <c r="C1177" s="24"/>
      <c r="D1177" s="24"/>
      <c r="E1177" s="24"/>
      <c r="F1177" s="24"/>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row>
    <row r="1178" spans="1:29" ht="12.9">
      <c r="A1178" s="24"/>
      <c r="B1178" s="24"/>
      <c r="C1178" s="24"/>
      <c r="D1178" s="24"/>
      <c r="E1178" s="24"/>
      <c r="F1178" s="24"/>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row>
    <row r="1179" spans="1:29" ht="12.9">
      <c r="A1179" s="24"/>
      <c r="B1179" s="24"/>
      <c r="C1179" s="24"/>
      <c r="D1179" s="24"/>
      <c r="E1179" s="24"/>
      <c r="F1179" s="24"/>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row>
    <row r="1180" spans="1:29" ht="12.9">
      <c r="A1180" s="24"/>
      <c r="B1180" s="24"/>
      <c r="C1180" s="24"/>
      <c r="D1180" s="24"/>
      <c r="E1180" s="24"/>
      <c r="F1180" s="24"/>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row>
    <row r="1181" spans="1:29" ht="12.9">
      <c r="A1181" s="24"/>
      <c r="B1181" s="24"/>
      <c r="C1181" s="24"/>
      <c r="D1181" s="24"/>
      <c r="E1181" s="24"/>
      <c r="F1181" s="24"/>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row>
    <row r="1182" spans="1:29" ht="12.9">
      <c r="A1182" s="24"/>
      <c r="B1182" s="24"/>
      <c r="C1182" s="24"/>
      <c r="D1182" s="24"/>
      <c r="E1182" s="24"/>
      <c r="F1182" s="24"/>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row>
    <row r="1183" spans="1:29" ht="12.9">
      <c r="A1183" s="24"/>
      <c r="B1183" s="24"/>
      <c r="C1183" s="24"/>
      <c r="D1183" s="24"/>
      <c r="E1183" s="24"/>
      <c r="F1183" s="24"/>
      <c r="G1183" s="24"/>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row>
    <row r="1184" spans="1:29" ht="12.9">
      <c r="A1184" s="24"/>
      <c r="B1184" s="24"/>
      <c r="C1184" s="24"/>
      <c r="D1184" s="24"/>
      <c r="E1184" s="24"/>
      <c r="F1184" s="24"/>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row>
    <row r="1185" spans="1:29" ht="12.9">
      <c r="A1185" s="24"/>
      <c r="B1185" s="24"/>
      <c r="C1185" s="24"/>
      <c r="D1185" s="24"/>
      <c r="E1185" s="24"/>
      <c r="F1185" s="24"/>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row>
    <row r="1186" spans="1:29" ht="12.9">
      <c r="A1186" s="24"/>
      <c r="B1186" s="24"/>
      <c r="C1186" s="24"/>
      <c r="D1186" s="24"/>
      <c r="E1186" s="24"/>
      <c r="F1186" s="24"/>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row>
    <row r="1187" spans="1:29" ht="12.9">
      <c r="A1187" s="24"/>
      <c r="B1187" s="24"/>
      <c r="C1187" s="24"/>
      <c r="D1187" s="24"/>
      <c r="E1187" s="24"/>
      <c r="F1187" s="24"/>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row>
    <row r="1188" spans="1:29" ht="12.9">
      <c r="A1188" s="24"/>
      <c r="B1188" s="24"/>
      <c r="C1188" s="24"/>
      <c r="D1188" s="24"/>
      <c r="E1188" s="24"/>
      <c r="F1188" s="24"/>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row>
    <row r="1189" spans="1:29" ht="12.9">
      <c r="A1189" s="24"/>
      <c r="B1189" s="24"/>
      <c r="C1189" s="24"/>
      <c r="D1189" s="24"/>
      <c r="E1189" s="24"/>
      <c r="F1189" s="24"/>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row>
    <row r="1190" spans="1:29" ht="12.9">
      <c r="A1190" s="24"/>
      <c r="B1190" s="24"/>
      <c r="C1190" s="24"/>
      <c r="D1190" s="24"/>
      <c r="E1190" s="24"/>
      <c r="F1190" s="24"/>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row>
    <row r="1191" spans="1:29" ht="12.9">
      <c r="A1191" s="24"/>
      <c r="B1191" s="24"/>
      <c r="C1191" s="24"/>
      <c r="D1191" s="24"/>
      <c r="E1191" s="24"/>
      <c r="F1191" s="24"/>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row>
    <row r="1192" spans="1:29" ht="12.9">
      <c r="A1192" s="24"/>
      <c r="B1192" s="24"/>
      <c r="C1192" s="24"/>
      <c r="D1192" s="24"/>
      <c r="E1192" s="24"/>
      <c r="F1192" s="24"/>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row>
    <row r="1193" spans="1:29" ht="12.9">
      <c r="A1193" s="24"/>
      <c r="B1193" s="24"/>
      <c r="C1193" s="24"/>
      <c r="D1193" s="24"/>
      <c r="E1193" s="24"/>
      <c r="F1193" s="24"/>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row>
    <row r="1194" spans="1:29" ht="12.9">
      <c r="A1194" s="24"/>
      <c r="B1194" s="24"/>
      <c r="C1194" s="24"/>
      <c r="D1194" s="24"/>
      <c r="E1194" s="24"/>
      <c r="F1194" s="24"/>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row>
    <row r="1195" spans="1:29" ht="12.9">
      <c r="A1195" s="24"/>
      <c r="B1195" s="24"/>
      <c r="C1195" s="24"/>
      <c r="D1195" s="24"/>
      <c r="E1195" s="24"/>
      <c r="F1195" s="24"/>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row>
    <row r="1196" spans="1:29" ht="12.9">
      <c r="A1196" s="24"/>
      <c r="B1196" s="24"/>
      <c r="C1196" s="24"/>
      <c r="D1196" s="24"/>
      <c r="E1196" s="24"/>
      <c r="F1196" s="24"/>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row>
    <row r="1197" spans="1:29" ht="12.9">
      <c r="A1197" s="24"/>
      <c r="B1197" s="24"/>
      <c r="C1197" s="24"/>
      <c r="D1197" s="24"/>
      <c r="E1197" s="24"/>
      <c r="F1197" s="24"/>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row>
    <row r="1198" spans="1:29" ht="12.9">
      <c r="A1198" s="24"/>
      <c r="B1198" s="24"/>
      <c r="C1198" s="24"/>
      <c r="D1198" s="24"/>
      <c r="E1198" s="24"/>
      <c r="F1198" s="24"/>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row>
    <row r="1199" spans="1:29" ht="12.9">
      <c r="A1199" s="24"/>
      <c r="B1199" s="24"/>
      <c r="C1199" s="24"/>
      <c r="D1199" s="24"/>
      <c r="E1199" s="24"/>
      <c r="F1199" s="24"/>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row>
    <row r="1200" spans="1:29" ht="12.9">
      <c r="A1200" s="24"/>
      <c r="B1200" s="24"/>
      <c r="C1200" s="24"/>
      <c r="D1200" s="24"/>
      <c r="E1200" s="24"/>
      <c r="F1200" s="24"/>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row>
    <row r="1201" spans="1:29" ht="12.9">
      <c r="A1201" s="24"/>
      <c r="B1201" s="24"/>
      <c r="C1201" s="24"/>
      <c r="D1201" s="24"/>
      <c r="E1201" s="24"/>
      <c r="F1201" s="24"/>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row>
    <row r="1202" spans="1:29" ht="12.9">
      <c r="A1202" s="24"/>
      <c r="B1202" s="24"/>
      <c r="C1202" s="24"/>
      <c r="D1202" s="24"/>
      <c r="E1202" s="24"/>
      <c r="F1202" s="24"/>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row>
    <row r="1203" spans="1:29" ht="12.9">
      <c r="A1203" s="24"/>
      <c r="B1203" s="24"/>
      <c r="C1203" s="24"/>
      <c r="D1203" s="24"/>
      <c r="E1203" s="24"/>
      <c r="F1203" s="24"/>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row>
    <row r="1204" spans="1:29" ht="12.9">
      <c r="A1204" s="24"/>
      <c r="B1204" s="24"/>
      <c r="C1204" s="24"/>
      <c r="D1204" s="24"/>
      <c r="E1204" s="24"/>
      <c r="F1204" s="24"/>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row>
    <row r="1205" spans="1:29" ht="12.9">
      <c r="A1205" s="24"/>
      <c r="B1205" s="24"/>
      <c r="C1205" s="24"/>
      <c r="D1205" s="24"/>
      <c r="E1205" s="24"/>
      <c r="F1205" s="24"/>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row>
    <row r="1206" spans="1:29" ht="12.9">
      <c r="A1206" s="24"/>
      <c r="B1206" s="24"/>
      <c r="C1206" s="24"/>
      <c r="D1206" s="24"/>
      <c r="E1206" s="24"/>
      <c r="F1206" s="24"/>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row>
    <row r="1207" spans="1:29" ht="12.9">
      <c r="A1207" s="24"/>
      <c r="B1207" s="24"/>
      <c r="C1207" s="24"/>
      <c r="D1207" s="24"/>
      <c r="E1207" s="24"/>
      <c r="F1207" s="24"/>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row>
    <row r="1208" spans="1:29" ht="12.9">
      <c r="A1208" s="24"/>
      <c r="B1208" s="24"/>
      <c r="C1208" s="24"/>
      <c r="D1208" s="24"/>
      <c r="E1208" s="24"/>
      <c r="F1208" s="24"/>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row>
    <row r="1209" spans="1:29" ht="12.9">
      <c r="A1209" s="24"/>
      <c r="B1209" s="24"/>
      <c r="C1209" s="24"/>
      <c r="D1209" s="24"/>
      <c r="E1209" s="24"/>
      <c r="F1209" s="24"/>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row>
    <row r="1210" spans="1:29" ht="12.9">
      <c r="A1210" s="24"/>
      <c r="B1210" s="24"/>
      <c r="C1210" s="24"/>
      <c r="D1210" s="24"/>
      <c r="E1210" s="24"/>
      <c r="F1210" s="24"/>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row>
    <row r="1211" spans="1:29" ht="12.9">
      <c r="A1211" s="24"/>
      <c r="B1211" s="24"/>
      <c r="C1211" s="24"/>
      <c r="D1211" s="24"/>
      <c r="E1211" s="24"/>
      <c r="F1211" s="24"/>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row>
    <row r="1212" spans="1:29" ht="12.9">
      <c r="A1212" s="24"/>
      <c r="B1212" s="24"/>
      <c r="C1212" s="24"/>
      <c r="D1212" s="24"/>
      <c r="E1212" s="24"/>
      <c r="F1212" s="24"/>
      <c r="G1212" s="24"/>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row>
    <row r="1213" spans="1:29" ht="12.9">
      <c r="A1213" s="24"/>
      <c r="B1213" s="24"/>
      <c r="C1213" s="24"/>
      <c r="D1213" s="24"/>
      <c r="E1213" s="24"/>
      <c r="F1213" s="24"/>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row>
    <row r="1214" spans="1:29" ht="12.9">
      <c r="A1214" s="24"/>
      <c r="B1214" s="24"/>
      <c r="C1214" s="24"/>
      <c r="D1214" s="24"/>
      <c r="E1214" s="24"/>
      <c r="F1214" s="24"/>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row>
    <row r="1215" spans="1:29" ht="12.9">
      <c r="A1215" s="24"/>
      <c r="B1215" s="24"/>
      <c r="C1215" s="24"/>
      <c r="D1215" s="24"/>
      <c r="E1215" s="24"/>
      <c r="F1215" s="24"/>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row>
    <row r="1216" spans="1:29" ht="12.9">
      <c r="A1216" s="24"/>
      <c r="B1216" s="24"/>
      <c r="C1216" s="24"/>
      <c r="D1216" s="24"/>
      <c r="E1216" s="24"/>
      <c r="F1216" s="24"/>
      <c r="G1216" s="24"/>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row>
    <row r="1217" spans="1:29" ht="12.9">
      <c r="A1217" s="24"/>
      <c r="B1217" s="24"/>
      <c r="C1217" s="24"/>
      <c r="D1217" s="24"/>
      <c r="E1217" s="24"/>
      <c r="F1217" s="24"/>
      <c r="G1217" s="24"/>
      <c r="H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row>
    <row r="1218" spans="1:29" ht="12.9">
      <c r="A1218" s="24"/>
      <c r="B1218" s="24"/>
      <c r="C1218" s="24"/>
      <c r="D1218" s="24"/>
      <c r="E1218" s="24"/>
      <c r="F1218" s="24"/>
      <c r="G1218" s="24"/>
      <c r="H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row>
    <row r="1219" spans="1:29" ht="12.9">
      <c r="A1219" s="24"/>
      <c r="B1219" s="24"/>
      <c r="C1219" s="24"/>
      <c r="D1219" s="24"/>
      <c r="E1219" s="24"/>
      <c r="F1219" s="24"/>
      <c r="G1219" s="24"/>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row>
    <row r="1220" spans="1:29" ht="12.9">
      <c r="A1220" s="24"/>
      <c r="B1220" s="24"/>
      <c r="C1220" s="24"/>
      <c r="D1220" s="24"/>
      <c r="E1220" s="24"/>
      <c r="F1220" s="24"/>
      <c r="G1220" s="24"/>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row>
    <row r="1221" spans="1:29" ht="12.9">
      <c r="A1221" s="24"/>
      <c r="B1221" s="24"/>
      <c r="C1221" s="24"/>
      <c r="D1221" s="24"/>
      <c r="E1221" s="24"/>
      <c r="F1221" s="24"/>
      <c r="G1221" s="24"/>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row>
    <row r="1222" spans="1:29" ht="12.9">
      <c r="A1222" s="24"/>
      <c r="B1222" s="24"/>
      <c r="C1222" s="24"/>
      <c r="D1222" s="24"/>
      <c r="E1222" s="24"/>
      <c r="F1222" s="24"/>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row>
    <row r="1223" spans="1:29" ht="12.9">
      <c r="A1223" s="24"/>
      <c r="B1223" s="24"/>
      <c r="C1223" s="24"/>
      <c r="D1223" s="24"/>
      <c r="E1223" s="24"/>
      <c r="F1223" s="24"/>
      <c r="G1223" s="24"/>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row>
    <row r="1224" spans="1:29" ht="12.9">
      <c r="A1224" s="24"/>
      <c r="B1224" s="24"/>
      <c r="C1224" s="24"/>
      <c r="D1224" s="24"/>
      <c r="E1224" s="24"/>
      <c r="F1224" s="24"/>
      <c r="G1224" s="24"/>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row>
    <row r="1225" spans="1:29" ht="12.9">
      <c r="A1225" s="24"/>
      <c r="B1225" s="24"/>
      <c r="C1225" s="24"/>
      <c r="D1225" s="24"/>
      <c r="E1225" s="24"/>
      <c r="F1225" s="24"/>
      <c r="G1225" s="24"/>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row>
    <row r="1226" spans="1:29" ht="12.9">
      <c r="A1226" s="24"/>
      <c r="B1226" s="24"/>
      <c r="C1226" s="24"/>
      <c r="D1226" s="24"/>
      <c r="E1226" s="24"/>
      <c r="F1226" s="24"/>
      <c r="G1226" s="24"/>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row>
    <row r="1227" spans="1:29" ht="12.9">
      <c r="A1227" s="24"/>
      <c r="B1227" s="24"/>
      <c r="C1227" s="24"/>
      <c r="D1227" s="24"/>
      <c r="E1227" s="24"/>
      <c r="F1227" s="24"/>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row>
    <row r="1228" spans="1:29" ht="12.9">
      <c r="A1228" s="24"/>
      <c r="B1228" s="24"/>
      <c r="C1228" s="24"/>
      <c r="D1228" s="24"/>
      <c r="E1228" s="24"/>
      <c r="F1228" s="24"/>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row>
    <row r="1229" spans="1:29" ht="12.9">
      <c r="A1229" s="24"/>
      <c r="B1229" s="24"/>
      <c r="C1229" s="24"/>
      <c r="D1229" s="24"/>
      <c r="E1229" s="24"/>
      <c r="F1229" s="24"/>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row>
    <row r="1230" spans="1:29" ht="12.9">
      <c r="A1230" s="24"/>
      <c r="B1230" s="24"/>
      <c r="C1230" s="24"/>
      <c r="D1230" s="24"/>
      <c r="E1230" s="24"/>
      <c r="F1230" s="24"/>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row>
    <row r="1231" spans="1:29" ht="12.9">
      <c r="A1231" s="24"/>
      <c r="B1231" s="24"/>
      <c r="C1231" s="24"/>
      <c r="D1231" s="24"/>
      <c r="E1231" s="24"/>
      <c r="F1231" s="24"/>
      <c r="G1231" s="24"/>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row>
    <row r="1232" spans="1:29" ht="12.9">
      <c r="A1232" s="24"/>
      <c r="B1232" s="24"/>
      <c r="C1232" s="24"/>
      <c r="D1232" s="24"/>
      <c r="E1232" s="24"/>
      <c r="F1232" s="24"/>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row>
    <row r="1233" spans="1:29" ht="12.9">
      <c r="A1233" s="24"/>
      <c r="B1233" s="24"/>
      <c r="C1233" s="24"/>
      <c r="D1233" s="24"/>
      <c r="E1233" s="24"/>
      <c r="F1233" s="24"/>
      <c r="G1233" s="24"/>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row>
    <row r="1234" spans="1:29" ht="12.9">
      <c r="A1234" s="24"/>
      <c r="B1234" s="24"/>
      <c r="C1234" s="24"/>
      <c r="D1234" s="24"/>
      <c r="E1234" s="24"/>
      <c r="F1234" s="24"/>
      <c r="G1234" s="24"/>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row>
    <row r="1235" spans="1:29" ht="12.9">
      <c r="A1235" s="24"/>
      <c r="B1235" s="24"/>
      <c r="C1235" s="24"/>
      <c r="D1235" s="24"/>
      <c r="E1235" s="24"/>
      <c r="F1235" s="24"/>
      <c r="G1235" s="24"/>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row>
    <row r="1236" spans="1:29" ht="12.9">
      <c r="A1236" s="24"/>
      <c r="B1236" s="24"/>
      <c r="C1236" s="24"/>
      <c r="D1236" s="24"/>
      <c r="E1236" s="24"/>
      <c r="F1236" s="24"/>
      <c r="G1236" s="24"/>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row>
    <row r="1237" spans="1:29" ht="12.9">
      <c r="A1237" s="24"/>
      <c r="B1237" s="24"/>
      <c r="C1237" s="24"/>
      <c r="D1237" s="24"/>
      <c r="E1237" s="24"/>
      <c r="F1237" s="24"/>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row>
    <row r="1238" spans="1:29" ht="12.9">
      <c r="A1238" s="24"/>
      <c r="B1238" s="24"/>
      <c r="C1238" s="24"/>
      <c r="D1238" s="24"/>
      <c r="E1238" s="24"/>
      <c r="F1238" s="24"/>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row>
    <row r="1239" spans="1:29" ht="12.9">
      <c r="A1239" s="24"/>
      <c r="B1239" s="24"/>
      <c r="C1239" s="24"/>
      <c r="D1239" s="24"/>
      <c r="E1239" s="24"/>
      <c r="F1239" s="24"/>
      <c r="G1239" s="24"/>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row>
    <row r="1240" spans="1:29" ht="12.9">
      <c r="A1240" s="24"/>
      <c r="B1240" s="24"/>
      <c r="C1240" s="24"/>
      <c r="D1240" s="24"/>
      <c r="E1240" s="24"/>
      <c r="F1240" s="24"/>
      <c r="G1240" s="24"/>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row>
    <row r="1241" spans="1:29" ht="12.9">
      <c r="A1241" s="24"/>
      <c r="B1241" s="24"/>
      <c r="C1241" s="24"/>
      <c r="D1241" s="24"/>
      <c r="E1241" s="24"/>
      <c r="F1241" s="24"/>
      <c r="G1241" s="24"/>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row>
    <row r="1242" spans="1:29" ht="12.9">
      <c r="A1242" s="24"/>
      <c r="B1242" s="24"/>
      <c r="C1242" s="24"/>
      <c r="D1242" s="24"/>
      <c r="E1242" s="24"/>
      <c r="F1242" s="24"/>
      <c r="G1242" s="24"/>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row>
    <row r="1243" spans="1:29" ht="12.9">
      <c r="A1243" s="24"/>
      <c r="B1243" s="24"/>
      <c r="C1243" s="24"/>
      <c r="D1243" s="24"/>
      <c r="E1243" s="24"/>
      <c r="F1243" s="24"/>
      <c r="G1243" s="24"/>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row>
    <row r="1244" spans="1:29" ht="12.9">
      <c r="A1244" s="24"/>
      <c r="B1244" s="24"/>
      <c r="C1244" s="24"/>
      <c r="D1244" s="24"/>
      <c r="E1244" s="24"/>
      <c r="F1244" s="24"/>
      <c r="G1244" s="24"/>
      <c r="H1244" s="24"/>
      <c r="I1244" s="24"/>
      <c r="J1244" s="24"/>
      <c r="K1244" s="24"/>
      <c r="L1244" s="24"/>
      <c r="M1244" s="24"/>
      <c r="N1244" s="24"/>
      <c r="O1244" s="24"/>
      <c r="P1244" s="24"/>
      <c r="Q1244" s="24"/>
      <c r="R1244" s="24"/>
      <c r="S1244" s="24"/>
      <c r="T1244" s="24"/>
      <c r="U1244" s="24"/>
      <c r="V1244" s="24"/>
      <c r="W1244" s="24"/>
      <c r="X1244" s="24"/>
      <c r="Y1244" s="24"/>
      <c r="Z1244" s="24"/>
      <c r="AA1244" s="24"/>
      <c r="AB1244" s="24"/>
      <c r="AC1244" s="24"/>
    </row>
    <row r="1245" spans="1:29" ht="12.9">
      <c r="A1245" s="24"/>
      <c r="B1245" s="24"/>
      <c r="C1245" s="24"/>
      <c r="D1245" s="24"/>
      <c r="E1245" s="24"/>
      <c r="F1245" s="24"/>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row>
    <row r="1246" spans="1:29" ht="12.9">
      <c r="A1246" s="24"/>
      <c r="B1246" s="24"/>
      <c r="C1246" s="24"/>
      <c r="D1246" s="24"/>
      <c r="E1246" s="24"/>
      <c r="F1246" s="24"/>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row>
    <row r="1247" spans="1:29" ht="12.9">
      <c r="A1247" s="24"/>
      <c r="B1247" s="24"/>
      <c r="C1247" s="24"/>
      <c r="D1247" s="24"/>
      <c r="E1247" s="24"/>
      <c r="F1247" s="24"/>
      <c r="G1247" s="24"/>
      <c r="H1247" s="24"/>
      <c r="I1247" s="24"/>
      <c r="J1247" s="24"/>
      <c r="K1247" s="24"/>
      <c r="L1247" s="24"/>
      <c r="M1247" s="24"/>
      <c r="N1247" s="24"/>
      <c r="O1247" s="24"/>
      <c r="P1247" s="24"/>
      <c r="Q1247" s="24"/>
      <c r="R1247" s="24"/>
      <c r="S1247" s="24"/>
      <c r="T1247" s="24"/>
      <c r="U1247" s="24"/>
      <c r="V1247" s="24"/>
      <c r="W1247" s="24"/>
      <c r="X1247" s="24"/>
      <c r="Y1247" s="24"/>
      <c r="Z1247" s="24"/>
      <c r="AA1247" s="24"/>
      <c r="AB1247" s="24"/>
      <c r="AC1247" s="24"/>
    </row>
    <row r="1248" spans="1:29" ht="12.9">
      <c r="A1248" s="24"/>
      <c r="B1248" s="24"/>
      <c r="C1248" s="24"/>
      <c r="D1248" s="24"/>
      <c r="E1248" s="24"/>
      <c r="F1248" s="24"/>
      <c r="G1248" s="24"/>
      <c r="H1248" s="24"/>
      <c r="I1248" s="24"/>
      <c r="J1248" s="24"/>
      <c r="K1248" s="24"/>
      <c r="L1248" s="24"/>
      <c r="M1248" s="24"/>
      <c r="N1248" s="24"/>
      <c r="O1248" s="24"/>
      <c r="P1248" s="24"/>
      <c r="Q1248" s="24"/>
      <c r="R1248" s="24"/>
      <c r="S1248" s="24"/>
      <c r="T1248" s="24"/>
      <c r="U1248" s="24"/>
      <c r="V1248" s="24"/>
      <c r="W1248" s="24"/>
      <c r="X1248" s="24"/>
      <c r="Y1248" s="24"/>
      <c r="Z1248" s="24"/>
      <c r="AA1248" s="24"/>
      <c r="AB1248" s="24"/>
      <c r="AC1248" s="24"/>
    </row>
    <row r="1249" spans="1:29" ht="12.9">
      <c r="A1249" s="24"/>
      <c r="B1249" s="24"/>
      <c r="C1249" s="24"/>
      <c r="D1249" s="24"/>
      <c r="E1249" s="24"/>
      <c r="F1249" s="24"/>
      <c r="G1249" s="24"/>
      <c r="H1249" s="24"/>
      <c r="I1249" s="24"/>
      <c r="J1249" s="24"/>
      <c r="K1249" s="24"/>
      <c r="L1249" s="24"/>
      <c r="M1249" s="24"/>
      <c r="N1249" s="24"/>
      <c r="O1249" s="24"/>
      <c r="P1249" s="24"/>
      <c r="Q1249" s="24"/>
      <c r="R1249" s="24"/>
      <c r="S1249" s="24"/>
      <c r="T1249" s="24"/>
      <c r="U1249" s="24"/>
      <c r="V1249" s="24"/>
      <c r="W1249" s="24"/>
      <c r="X1249" s="24"/>
      <c r="Y1249" s="24"/>
      <c r="Z1249" s="24"/>
      <c r="AA1249" s="24"/>
      <c r="AB1249" s="24"/>
      <c r="AC1249" s="24"/>
    </row>
    <row r="1250" spans="1:29" ht="12.9">
      <c r="A1250" s="24"/>
      <c r="B1250" s="24"/>
      <c r="C1250" s="24"/>
      <c r="D1250" s="24"/>
      <c r="E1250" s="24"/>
      <c r="F1250" s="24"/>
      <c r="G1250" s="24"/>
      <c r="H1250" s="24"/>
      <c r="I1250" s="24"/>
      <c r="J1250" s="24"/>
      <c r="K1250" s="24"/>
      <c r="L1250" s="24"/>
      <c r="M1250" s="24"/>
      <c r="N1250" s="24"/>
      <c r="O1250" s="24"/>
      <c r="P1250" s="24"/>
      <c r="Q1250" s="24"/>
      <c r="R1250" s="24"/>
      <c r="S1250" s="24"/>
      <c r="T1250" s="24"/>
      <c r="U1250" s="24"/>
      <c r="V1250" s="24"/>
      <c r="W1250" s="24"/>
      <c r="X1250" s="24"/>
      <c r="Y1250" s="24"/>
      <c r="Z1250" s="24"/>
      <c r="AA1250" s="24"/>
      <c r="AB1250" s="24"/>
      <c r="AC1250" s="24"/>
    </row>
    <row r="1251" spans="1:29" ht="12.9">
      <c r="A1251" s="24"/>
      <c r="B1251" s="24"/>
      <c r="C1251" s="24"/>
      <c r="D1251" s="24"/>
      <c r="E1251" s="24"/>
      <c r="F1251" s="24"/>
      <c r="G1251" s="24"/>
      <c r="H1251" s="24"/>
      <c r="I1251" s="24"/>
      <c r="J1251" s="24"/>
      <c r="K1251" s="24"/>
      <c r="L1251" s="24"/>
      <c r="M1251" s="24"/>
      <c r="N1251" s="24"/>
      <c r="O1251" s="24"/>
      <c r="P1251" s="24"/>
      <c r="Q1251" s="24"/>
      <c r="R1251" s="24"/>
      <c r="S1251" s="24"/>
      <c r="T1251" s="24"/>
      <c r="U1251" s="24"/>
      <c r="V1251" s="24"/>
      <c r="W1251" s="24"/>
      <c r="X1251" s="24"/>
      <c r="Y1251" s="24"/>
      <c r="Z1251" s="24"/>
      <c r="AA1251" s="24"/>
      <c r="AB1251" s="24"/>
      <c r="AC1251" s="24"/>
    </row>
    <row r="1252" spans="1:29" ht="12.9">
      <c r="A1252" s="24"/>
      <c r="B1252" s="24"/>
      <c r="C1252" s="24"/>
      <c r="D1252" s="24"/>
      <c r="E1252" s="24"/>
      <c r="F1252" s="24"/>
      <c r="G1252" s="24"/>
      <c r="H1252" s="24"/>
      <c r="I1252" s="24"/>
      <c r="J1252" s="24"/>
      <c r="K1252" s="24"/>
      <c r="L1252" s="24"/>
      <c r="M1252" s="24"/>
      <c r="N1252" s="24"/>
      <c r="O1252" s="24"/>
      <c r="P1252" s="24"/>
      <c r="Q1252" s="24"/>
      <c r="R1252" s="24"/>
      <c r="S1252" s="24"/>
      <c r="T1252" s="24"/>
      <c r="U1252" s="24"/>
      <c r="V1252" s="24"/>
      <c r="W1252" s="24"/>
      <c r="X1252" s="24"/>
      <c r="Y1252" s="24"/>
      <c r="Z1252" s="24"/>
      <c r="AA1252" s="24"/>
      <c r="AB1252" s="24"/>
      <c r="AC1252" s="24"/>
    </row>
    <row r="1253" spans="1:29" ht="12.9">
      <c r="A1253" s="24"/>
      <c r="B1253" s="24"/>
      <c r="C1253" s="24"/>
      <c r="D1253" s="24"/>
      <c r="E1253" s="24"/>
      <c r="F1253" s="24"/>
      <c r="G1253" s="24"/>
      <c r="H1253" s="24"/>
      <c r="I1253" s="24"/>
      <c r="J1253" s="24"/>
      <c r="K1253" s="24"/>
      <c r="L1253" s="24"/>
      <c r="M1253" s="24"/>
      <c r="N1253" s="24"/>
      <c r="O1253" s="24"/>
      <c r="P1253" s="24"/>
      <c r="Q1253" s="24"/>
      <c r="R1253" s="24"/>
      <c r="S1253" s="24"/>
      <c r="T1253" s="24"/>
      <c r="U1253" s="24"/>
      <c r="V1253" s="24"/>
      <c r="W1253" s="24"/>
      <c r="X1253" s="24"/>
      <c r="Y1253" s="24"/>
      <c r="Z1253" s="24"/>
      <c r="AA1253" s="24"/>
      <c r="AB1253" s="24"/>
      <c r="AC1253" s="24"/>
    </row>
    <row r="1254" spans="1:29" ht="12.9">
      <c r="A1254" s="24"/>
      <c r="B1254" s="24"/>
      <c r="C1254" s="24"/>
      <c r="D1254" s="24"/>
      <c r="E1254" s="24"/>
      <c r="F1254" s="24"/>
      <c r="G1254" s="24"/>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row>
    <row r="1255" spans="1:29" ht="12.9">
      <c r="A1255" s="24"/>
      <c r="B1255" s="24"/>
      <c r="C1255" s="24"/>
      <c r="D1255" s="24"/>
      <c r="E1255" s="24"/>
      <c r="F1255" s="24"/>
      <c r="G1255" s="24"/>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row>
    <row r="1256" spans="1:29" ht="12.9">
      <c r="A1256" s="24"/>
      <c r="B1256" s="24"/>
      <c r="C1256" s="24"/>
      <c r="D1256" s="24"/>
      <c r="E1256" s="24"/>
      <c r="F1256" s="24"/>
      <c r="G1256" s="24"/>
      <c r="H1256" s="24"/>
      <c r="I1256" s="24"/>
      <c r="J1256" s="24"/>
      <c r="K1256" s="24"/>
      <c r="L1256" s="24"/>
      <c r="M1256" s="24"/>
      <c r="N1256" s="24"/>
      <c r="O1256" s="24"/>
      <c r="P1256" s="24"/>
      <c r="Q1256" s="24"/>
      <c r="R1256" s="24"/>
      <c r="S1256" s="24"/>
      <c r="T1256" s="24"/>
      <c r="U1256" s="24"/>
      <c r="V1256" s="24"/>
      <c r="W1256" s="24"/>
      <c r="X1256" s="24"/>
      <c r="Y1256" s="24"/>
      <c r="Z1256" s="24"/>
      <c r="AA1256" s="24"/>
      <c r="AB1256" s="24"/>
      <c r="AC1256" s="24"/>
    </row>
    <row r="1257" spans="1:29" ht="12.9">
      <c r="A1257" s="24"/>
      <c r="B1257" s="24"/>
      <c r="C1257" s="24"/>
      <c r="D1257" s="24"/>
      <c r="E1257" s="24"/>
      <c r="F1257" s="24"/>
      <c r="G1257" s="24"/>
      <c r="H1257" s="24"/>
      <c r="I1257" s="24"/>
      <c r="J1257" s="24"/>
      <c r="K1257" s="24"/>
      <c r="L1257" s="24"/>
      <c r="M1257" s="24"/>
      <c r="N1257" s="24"/>
      <c r="O1257" s="24"/>
      <c r="P1257" s="24"/>
      <c r="Q1257" s="24"/>
      <c r="R1257" s="24"/>
      <c r="S1257" s="24"/>
      <c r="T1257" s="24"/>
      <c r="U1257" s="24"/>
      <c r="V1257" s="24"/>
      <c r="W1257" s="24"/>
      <c r="X1257" s="24"/>
      <c r="Y1257" s="24"/>
      <c r="Z1257" s="24"/>
      <c r="AA1257" s="24"/>
      <c r="AB1257" s="24"/>
      <c r="AC1257" s="24"/>
    </row>
    <row r="1258" spans="1:29" ht="12.9">
      <c r="A1258" s="24"/>
      <c r="B1258" s="24"/>
      <c r="C1258" s="24"/>
      <c r="D1258" s="24"/>
      <c r="E1258" s="24"/>
      <c r="F1258" s="24"/>
      <c r="G1258" s="24"/>
      <c r="H1258" s="24"/>
      <c r="I1258" s="24"/>
      <c r="J1258" s="24"/>
      <c r="K1258" s="24"/>
      <c r="L1258" s="24"/>
      <c r="M1258" s="24"/>
      <c r="N1258" s="24"/>
      <c r="O1258" s="24"/>
      <c r="P1258" s="24"/>
      <c r="Q1258" s="24"/>
      <c r="R1258" s="24"/>
      <c r="S1258" s="24"/>
      <c r="T1258" s="24"/>
      <c r="U1258" s="24"/>
      <c r="V1258" s="24"/>
      <c r="W1258" s="24"/>
      <c r="X1258" s="24"/>
      <c r="Y1258" s="24"/>
      <c r="Z1258" s="24"/>
      <c r="AA1258" s="24"/>
      <c r="AB1258" s="24"/>
      <c r="AC1258" s="24"/>
    </row>
    <row r="1259" spans="1:29" ht="12.9">
      <c r="A1259" s="24"/>
      <c r="B1259" s="24"/>
      <c r="C1259" s="24"/>
      <c r="D1259" s="24"/>
      <c r="E1259" s="24"/>
      <c r="F1259" s="24"/>
      <c r="G1259" s="24"/>
      <c r="H1259" s="24"/>
      <c r="I1259" s="24"/>
      <c r="J1259" s="24"/>
      <c r="K1259" s="24"/>
      <c r="L1259" s="24"/>
      <c r="M1259" s="24"/>
      <c r="N1259" s="24"/>
      <c r="O1259" s="24"/>
      <c r="P1259" s="24"/>
      <c r="Q1259" s="24"/>
      <c r="R1259" s="24"/>
      <c r="S1259" s="24"/>
      <c r="T1259" s="24"/>
      <c r="U1259" s="24"/>
      <c r="V1259" s="24"/>
      <c r="W1259" s="24"/>
      <c r="X1259" s="24"/>
      <c r="Y1259" s="24"/>
      <c r="Z1259" s="24"/>
      <c r="AA1259" s="24"/>
      <c r="AB1259" s="24"/>
      <c r="AC1259" s="24"/>
    </row>
    <row r="1260" spans="1:29" ht="12.9">
      <c r="A1260" s="24"/>
      <c r="B1260" s="24"/>
      <c r="C1260" s="24"/>
      <c r="D1260" s="24"/>
      <c r="E1260" s="24"/>
      <c r="F1260" s="24"/>
      <c r="G1260" s="24"/>
      <c r="H1260" s="24"/>
      <c r="I1260" s="24"/>
      <c r="J1260" s="24"/>
      <c r="K1260" s="24"/>
      <c r="L1260" s="24"/>
      <c r="M1260" s="24"/>
      <c r="N1260" s="24"/>
      <c r="O1260" s="24"/>
      <c r="P1260" s="24"/>
      <c r="Q1260" s="24"/>
      <c r="R1260" s="24"/>
      <c r="S1260" s="24"/>
      <c r="T1260" s="24"/>
      <c r="U1260" s="24"/>
      <c r="V1260" s="24"/>
      <c r="W1260" s="24"/>
      <c r="X1260" s="24"/>
      <c r="Y1260" s="24"/>
      <c r="Z1260" s="24"/>
      <c r="AA1260" s="24"/>
      <c r="AB1260" s="24"/>
      <c r="AC1260" s="24"/>
    </row>
    <row r="1261" spans="1:29" ht="12.9">
      <c r="A1261" s="24"/>
      <c r="B1261" s="24"/>
      <c r="C1261" s="24"/>
      <c r="D1261" s="24"/>
      <c r="E1261" s="24"/>
      <c r="F1261" s="24"/>
      <c r="G1261" s="24"/>
      <c r="H1261" s="24"/>
      <c r="I1261" s="24"/>
      <c r="J1261" s="24"/>
      <c r="K1261" s="24"/>
      <c r="L1261" s="24"/>
      <c r="M1261" s="24"/>
      <c r="N1261" s="24"/>
      <c r="O1261" s="24"/>
      <c r="P1261" s="24"/>
      <c r="Q1261" s="24"/>
      <c r="R1261" s="24"/>
      <c r="S1261" s="24"/>
      <c r="T1261" s="24"/>
      <c r="U1261" s="24"/>
      <c r="V1261" s="24"/>
      <c r="W1261" s="24"/>
      <c r="X1261" s="24"/>
      <c r="Y1261" s="24"/>
      <c r="Z1261" s="24"/>
      <c r="AA1261" s="24"/>
      <c r="AB1261" s="24"/>
      <c r="AC1261" s="24"/>
    </row>
    <row r="1262" spans="1:29" ht="12.9">
      <c r="A1262" s="24"/>
      <c r="B1262" s="24"/>
      <c r="C1262" s="24"/>
      <c r="D1262" s="24"/>
      <c r="E1262" s="24"/>
      <c r="F1262" s="24"/>
      <c r="G1262" s="24"/>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row>
    <row r="1263" spans="1:29" ht="12.9">
      <c r="A1263" s="24"/>
      <c r="B1263" s="24"/>
      <c r="C1263" s="24"/>
      <c r="D1263" s="24"/>
      <c r="E1263" s="24"/>
      <c r="F1263" s="24"/>
      <c r="G1263" s="24"/>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row>
    <row r="1264" spans="1:29" ht="12.9">
      <c r="A1264" s="24"/>
      <c r="B1264" s="24"/>
      <c r="C1264" s="24"/>
      <c r="D1264" s="24"/>
      <c r="E1264" s="24"/>
      <c r="F1264" s="24"/>
      <c r="G1264" s="24"/>
      <c r="H1264" s="24"/>
      <c r="I1264" s="24"/>
      <c r="J1264" s="24"/>
      <c r="K1264" s="24"/>
      <c r="L1264" s="24"/>
      <c r="M1264" s="24"/>
      <c r="N1264" s="24"/>
      <c r="O1264" s="24"/>
      <c r="P1264" s="24"/>
      <c r="Q1264" s="24"/>
      <c r="R1264" s="24"/>
      <c r="S1264" s="24"/>
      <c r="T1264" s="24"/>
      <c r="U1264" s="24"/>
      <c r="V1264" s="24"/>
      <c r="W1264" s="24"/>
      <c r="X1264" s="24"/>
      <c r="Y1264" s="24"/>
      <c r="Z1264" s="24"/>
      <c r="AA1264" s="24"/>
      <c r="AB1264" s="24"/>
      <c r="AC1264" s="24"/>
    </row>
    <row r="1265" spans="1:29" ht="12.9">
      <c r="A1265" s="24"/>
      <c r="B1265" s="24"/>
      <c r="C1265" s="24"/>
      <c r="D1265" s="24"/>
      <c r="E1265" s="24"/>
      <c r="F1265" s="24"/>
      <c r="G1265" s="24"/>
      <c r="H1265" s="24"/>
      <c r="I1265" s="24"/>
      <c r="J1265" s="24"/>
      <c r="K1265" s="24"/>
      <c r="L1265" s="24"/>
      <c r="M1265" s="24"/>
      <c r="N1265" s="24"/>
      <c r="O1265" s="24"/>
      <c r="P1265" s="24"/>
      <c r="Q1265" s="24"/>
      <c r="R1265" s="24"/>
      <c r="S1265" s="24"/>
      <c r="T1265" s="24"/>
      <c r="U1265" s="24"/>
      <c r="V1265" s="24"/>
      <c r="W1265" s="24"/>
      <c r="X1265" s="24"/>
      <c r="Y1265" s="24"/>
      <c r="Z1265" s="24"/>
      <c r="AA1265" s="24"/>
      <c r="AB1265" s="24"/>
      <c r="AC1265" s="24"/>
    </row>
    <row r="1266" spans="1:29" ht="12.9">
      <c r="A1266" s="24"/>
      <c r="B1266" s="24"/>
      <c r="C1266" s="24"/>
      <c r="D1266" s="24"/>
      <c r="E1266" s="24"/>
      <c r="F1266" s="24"/>
      <c r="G1266" s="24"/>
      <c r="H1266" s="24"/>
      <c r="I1266" s="24"/>
      <c r="J1266" s="24"/>
      <c r="K1266" s="24"/>
      <c r="L1266" s="24"/>
      <c r="M1266" s="24"/>
      <c r="N1266" s="24"/>
      <c r="O1266" s="24"/>
      <c r="P1266" s="24"/>
      <c r="Q1266" s="24"/>
      <c r="R1266" s="24"/>
      <c r="S1266" s="24"/>
      <c r="T1266" s="24"/>
      <c r="U1266" s="24"/>
      <c r="V1266" s="24"/>
      <c r="W1266" s="24"/>
      <c r="X1266" s="24"/>
      <c r="Y1266" s="24"/>
      <c r="Z1266" s="24"/>
      <c r="AA1266" s="24"/>
      <c r="AB1266" s="24"/>
      <c r="AC1266" s="24"/>
    </row>
    <row r="1267" spans="1:29" ht="12.9">
      <c r="A1267" s="24"/>
      <c r="B1267" s="24"/>
      <c r="C1267" s="24"/>
      <c r="D1267" s="24"/>
      <c r="E1267" s="24"/>
      <c r="F1267" s="24"/>
      <c r="G1267" s="24"/>
      <c r="H1267" s="24"/>
      <c r="I1267" s="24"/>
      <c r="J1267" s="24"/>
      <c r="K1267" s="24"/>
      <c r="L1267" s="24"/>
      <c r="M1267" s="24"/>
      <c r="N1267" s="24"/>
      <c r="O1267" s="24"/>
      <c r="P1267" s="24"/>
      <c r="Q1267" s="24"/>
      <c r="R1267" s="24"/>
      <c r="S1267" s="24"/>
      <c r="T1267" s="24"/>
      <c r="U1267" s="24"/>
      <c r="V1267" s="24"/>
      <c r="W1267" s="24"/>
      <c r="X1267" s="24"/>
      <c r="Y1267" s="24"/>
      <c r="Z1267" s="24"/>
      <c r="AA1267" s="24"/>
      <c r="AB1267" s="24"/>
      <c r="AC1267" s="24"/>
    </row>
    <row r="1268" spans="1:29" ht="12.9">
      <c r="A1268" s="24"/>
      <c r="B1268" s="24"/>
      <c r="C1268" s="24"/>
      <c r="D1268" s="24"/>
      <c r="E1268" s="24"/>
      <c r="F1268" s="24"/>
      <c r="G1268" s="24"/>
      <c r="H1268" s="24"/>
      <c r="I1268" s="24"/>
      <c r="J1268" s="24"/>
      <c r="K1268" s="24"/>
      <c r="L1268" s="24"/>
      <c r="M1268" s="24"/>
      <c r="N1268" s="24"/>
      <c r="O1268" s="24"/>
      <c r="P1268" s="24"/>
      <c r="Q1268" s="24"/>
      <c r="R1268" s="24"/>
      <c r="S1268" s="24"/>
      <c r="T1268" s="24"/>
      <c r="U1268" s="24"/>
      <c r="V1268" s="24"/>
      <c r="W1268" s="24"/>
      <c r="X1268" s="24"/>
      <c r="Y1268" s="24"/>
      <c r="Z1268" s="24"/>
      <c r="AA1268" s="24"/>
      <c r="AB1268" s="24"/>
      <c r="AC1268" s="24"/>
    </row>
    <row r="1269" spans="1:29" ht="12.9">
      <c r="A1269" s="24"/>
      <c r="B1269" s="24"/>
      <c r="C1269" s="24"/>
      <c r="D1269" s="24"/>
      <c r="E1269" s="24"/>
      <c r="F1269" s="24"/>
      <c r="G1269" s="24"/>
      <c r="H1269" s="24"/>
      <c r="I1269" s="24"/>
      <c r="J1269" s="24"/>
      <c r="K1269" s="24"/>
      <c r="L1269" s="24"/>
      <c r="M1269" s="24"/>
      <c r="N1269" s="24"/>
      <c r="O1269" s="24"/>
      <c r="P1269" s="24"/>
      <c r="Q1269" s="24"/>
      <c r="R1269" s="24"/>
      <c r="S1269" s="24"/>
      <c r="T1269" s="24"/>
      <c r="U1269" s="24"/>
      <c r="V1269" s="24"/>
      <c r="W1269" s="24"/>
      <c r="X1269" s="24"/>
      <c r="Y1269" s="24"/>
      <c r="Z1269" s="24"/>
      <c r="AA1269" s="24"/>
      <c r="AB1269" s="24"/>
      <c r="AC1269" s="24"/>
    </row>
    <row r="1270" spans="1:29" ht="12.9">
      <c r="A1270" s="24"/>
      <c r="B1270" s="24"/>
      <c r="C1270" s="24"/>
      <c r="D1270" s="24"/>
      <c r="E1270" s="24"/>
      <c r="F1270" s="24"/>
      <c r="G1270" s="24"/>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row>
    <row r="1271" spans="1:29" ht="12.9">
      <c r="A1271" s="24"/>
      <c r="B1271" s="24"/>
      <c r="C1271" s="24"/>
      <c r="D1271" s="24"/>
      <c r="E1271" s="24"/>
      <c r="F1271" s="24"/>
      <c r="G1271" s="24"/>
      <c r="H1271" s="24"/>
      <c r="I1271" s="24"/>
      <c r="J1271" s="24"/>
      <c r="K1271" s="24"/>
      <c r="L1271" s="24"/>
      <c r="M1271" s="24"/>
      <c r="N1271" s="24"/>
      <c r="O1271" s="24"/>
      <c r="P1271" s="24"/>
      <c r="Q1271" s="24"/>
      <c r="R1271" s="24"/>
      <c r="S1271" s="24"/>
      <c r="T1271" s="24"/>
      <c r="U1271" s="24"/>
      <c r="V1271" s="24"/>
      <c r="W1271" s="24"/>
      <c r="X1271" s="24"/>
      <c r="Y1271" s="24"/>
      <c r="Z1271" s="24"/>
      <c r="AA1271" s="24"/>
      <c r="AB1271" s="24"/>
      <c r="AC1271" s="24"/>
    </row>
    <row r="1272" spans="1:29" ht="12.9">
      <c r="A1272" s="24"/>
      <c r="B1272" s="24"/>
      <c r="C1272" s="24"/>
      <c r="D1272" s="24"/>
      <c r="E1272" s="24"/>
      <c r="F1272" s="24"/>
      <c r="G1272" s="24"/>
      <c r="H1272" s="24"/>
      <c r="I1272" s="24"/>
      <c r="J1272" s="24"/>
      <c r="K1272" s="24"/>
      <c r="L1272" s="24"/>
      <c r="M1272" s="24"/>
      <c r="N1272" s="24"/>
      <c r="O1272" s="24"/>
      <c r="P1272" s="24"/>
      <c r="Q1272" s="24"/>
      <c r="R1272" s="24"/>
      <c r="S1272" s="24"/>
      <c r="T1272" s="24"/>
      <c r="U1272" s="24"/>
      <c r="V1272" s="24"/>
      <c r="W1272" s="24"/>
      <c r="X1272" s="24"/>
      <c r="Y1272" s="24"/>
      <c r="Z1272" s="24"/>
      <c r="AA1272" s="24"/>
      <c r="AB1272" s="24"/>
      <c r="AC1272" s="24"/>
    </row>
    <row r="1273" spans="1:29" ht="12.9">
      <c r="A1273" s="24"/>
      <c r="B1273" s="24"/>
      <c r="C1273" s="24"/>
      <c r="D1273" s="24"/>
      <c r="E1273" s="24"/>
      <c r="F1273" s="24"/>
      <c r="G1273" s="24"/>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row>
    <row r="1274" spans="1:29" ht="12.9">
      <c r="A1274" s="24"/>
      <c r="B1274" s="24"/>
      <c r="C1274" s="24"/>
      <c r="D1274" s="24"/>
      <c r="E1274" s="24"/>
      <c r="F1274" s="24"/>
      <c r="G1274" s="24"/>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row>
    <row r="1275" spans="1:29" ht="12.9">
      <c r="A1275" s="24"/>
      <c r="B1275" s="24"/>
      <c r="C1275" s="24"/>
      <c r="D1275" s="24"/>
      <c r="E1275" s="24"/>
      <c r="F1275" s="24"/>
      <c r="G1275" s="24"/>
      <c r="H1275" s="24"/>
      <c r="I1275" s="24"/>
      <c r="J1275" s="24"/>
      <c r="K1275" s="24"/>
      <c r="L1275" s="24"/>
      <c r="M1275" s="24"/>
      <c r="N1275" s="24"/>
      <c r="O1275" s="24"/>
      <c r="P1275" s="24"/>
      <c r="Q1275" s="24"/>
      <c r="R1275" s="24"/>
      <c r="S1275" s="24"/>
      <c r="T1275" s="24"/>
      <c r="U1275" s="24"/>
      <c r="V1275" s="24"/>
      <c r="W1275" s="24"/>
      <c r="X1275" s="24"/>
      <c r="Y1275" s="24"/>
      <c r="Z1275" s="24"/>
      <c r="AA1275" s="24"/>
      <c r="AB1275" s="24"/>
      <c r="AC1275" s="24"/>
    </row>
    <row r="1276" spans="1:29" ht="12.9">
      <c r="A1276" s="24"/>
      <c r="B1276" s="24"/>
      <c r="C1276" s="24"/>
      <c r="D1276" s="24"/>
      <c r="E1276" s="24"/>
      <c r="F1276" s="24"/>
      <c r="G1276" s="24"/>
      <c r="H1276" s="24"/>
      <c r="I1276" s="24"/>
      <c r="J1276" s="24"/>
      <c r="K1276" s="24"/>
      <c r="L1276" s="24"/>
      <c r="M1276" s="24"/>
      <c r="N1276" s="24"/>
      <c r="O1276" s="24"/>
      <c r="P1276" s="24"/>
      <c r="Q1276" s="24"/>
      <c r="R1276" s="24"/>
      <c r="S1276" s="24"/>
      <c r="T1276" s="24"/>
      <c r="U1276" s="24"/>
      <c r="V1276" s="24"/>
      <c r="W1276" s="24"/>
      <c r="X1276" s="24"/>
      <c r="Y1276" s="24"/>
      <c r="Z1276" s="24"/>
      <c r="AA1276" s="24"/>
      <c r="AB1276" s="24"/>
      <c r="AC1276" s="24"/>
    </row>
    <row r="1277" spans="1:29" ht="12.9">
      <c r="A1277" s="24"/>
      <c r="B1277" s="24"/>
      <c r="C1277" s="24"/>
      <c r="D1277" s="24"/>
      <c r="E1277" s="24"/>
      <c r="F1277" s="24"/>
      <c r="G1277" s="24"/>
      <c r="H1277" s="24"/>
      <c r="I1277" s="24"/>
      <c r="J1277" s="24"/>
      <c r="K1277" s="24"/>
      <c r="L1277" s="24"/>
      <c r="M1277" s="24"/>
      <c r="N1277" s="24"/>
      <c r="O1277" s="24"/>
      <c r="P1277" s="24"/>
      <c r="Q1277" s="24"/>
      <c r="R1277" s="24"/>
      <c r="S1277" s="24"/>
      <c r="T1277" s="24"/>
      <c r="U1277" s="24"/>
      <c r="V1277" s="24"/>
      <c r="W1277" s="24"/>
      <c r="X1277" s="24"/>
      <c r="Y1277" s="24"/>
      <c r="Z1277" s="24"/>
      <c r="AA1277" s="24"/>
      <c r="AB1277" s="24"/>
      <c r="AC1277" s="24"/>
    </row>
    <row r="1278" spans="1:29" ht="12.9">
      <c r="A1278" s="24"/>
      <c r="B1278" s="24"/>
      <c r="C1278" s="24"/>
      <c r="D1278" s="24"/>
      <c r="E1278" s="24"/>
      <c r="F1278" s="24"/>
      <c r="G1278" s="24"/>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row>
    <row r="1279" spans="1:29" ht="12.9">
      <c r="A1279" s="24"/>
      <c r="B1279" s="24"/>
      <c r="C1279" s="24"/>
      <c r="D1279" s="24"/>
      <c r="E1279" s="24"/>
      <c r="F1279" s="24"/>
      <c r="G1279" s="24"/>
      <c r="H1279" s="24"/>
      <c r="I1279" s="24"/>
      <c r="J1279" s="24"/>
      <c r="K1279" s="24"/>
      <c r="L1279" s="24"/>
      <c r="M1279" s="24"/>
      <c r="N1279" s="24"/>
      <c r="O1279" s="24"/>
      <c r="P1279" s="24"/>
      <c r="Q1279" s="24"/>
      <c r="R1279" s="24"/>
      <c r="S1279" s="24"/>
      <c r="T1279" s="24"/>
      <c r="U1279" s="24"/>
      <c r="V1279" s="24"/>
      <c r="W1279" s="24"/>
      <c r="X1279" s="24"/>
      <c r="Y1279" s="24"/>
      <c r="Z1279" s="24"/>
      <c r="AA1279" s="24"/>
      <c r="AB1279" s="24"/>
      <c r="AC1279" s="24"/>
    </row>
    <row r="1280" spans="1:29" ht="12.9">
      <c r="A1280" s="24"/>
      <c r="B1280" s="24"/>
      <c r="C1280" s="24"/>
      <c r="D1280" s="24"/>
      <c r="E1280" s="24"/>
      <c r="F1280" s="24"/>
      <c r="G1280" s="24"/>
      <c r="H1280" s="24"/>
      <c r="I1280" s="24"/>
      <c r="J1280" s="24"/>
      <c r="K1280" s="24"/>
      <c r="L1280" s="24"/>
      <c r="M1280" s="24"/>
      <c r="N1280" s="24"/>
      <c r="O1280" s="24"/>
      <c r="P1280" s="24"/>
      <c r="Q1280" s="24"/>
      <c r="R1280" s="24"/>
      <c r="S1280" s="24"/>
      <c r="T1280" s="24"/>
      <c r="U1280" s="24"/>
      <c r="V1280" s="24"/>
      <c r="W1280" s="24"/>
      <c r="X1280" s="24"/>
      <c r="Y1280" s="24"/>
      <c r="Z1280" s="24"/>
      <c r="AA1280" s="24"/>
      <c r="AB1280" s="24"/>
      <c r="AC1280" s="24"/>
    </row>
    <row r="1281" spans="1:29" ht="12.9">
      <c r="A1281" s="24"/>
      <c r="B1281" s="24"/>
      <c r="C1281" s="24"/>
      <c r="D1281" s="24"/>
      <c r="E1281" s="24"/>
      <c r="F1281" s="24"/>
      <c r="G1281" s="24"/>
      <c r="H1281" s="24"/>
      <c r="I1281" s="24"/>
      <c r="J1281" s="24"/>
      <c r="K1281" s="24"/>
      <c r="L1281" s="24"/>
      <c r="M1281" s="24"/>
      <c r="N1281" s="24"/>
      <c r="O1281" s="24"/>
      <c r="P1281" s="24"/>
      <c r="Q1281" s="24"/>
      <c r="R1281" s="24"/>
      <c r="S1281" s="24"/>
      <c r="T1281" s="24"/>
      <c r="U1281" s="24"/>
      <c r="V1281" s="24"/>
      <c r="W1281" s="24"/>
      <c r="X1281" s="24"/>
      <c r="Y1281" s="24"/>
      <c r="Z1281" s="24"/>
      <c r="AA1281" s="24"/>
      <c r="AB1281" s="24"/>
      <c r="AC1281" s="24"/>
    </row>
    <row r="1282" spans="1:29" ht="12.9">
      <c r="A1282" s="24"/>
      <c r="B1282" s="24"/>
      <c r="C1282" s="24"/>
      <c r="D1282" s="24"/>
      <c r="E1282" s="24"/>
      <c r="F1282" s="24"/>
      <c r="G1282" s="24"/>
      <c r="H1282" s="24"/>
      <c r="I1282" s="24"/>
      <c r="J1282" s="24"/>
      <c r="K1282" s="24"/>
      <c r="L1282" s="24"/>
      <c r="M1282" s="24"/>
      <c r="N1282" s="24"/>
      <c r="O1282" s="24"/>
      <c r="P1282" s="24"/>
      <c r="Q1282" s="24"/>
      <c r="R1282" s="24"/>
      <c r="S1282" s="24"/>
      <c r="T1282" s="24"/>
      <c r="U1282" s="24"/>
      <c r="V1282" s="24"/>
      <c r="W1282" s="24"/>
      <c r="X1282" s="24"/>
      <c r="Y1282" s="24"/>
      <c r="Z1282" s="24"/>
      <c r="AA1282" s="24"/>
      <c r="AB1282" s="24"/>
      <c r="AC1282" s="24"/>
    </row>
    <row r="1283" spans="1:29" ht="12.9">
      <c r="A1283" s="24"/>
      <c r="B1283" s="24"/>
      <c r="C1283" s="24"/>
      <c r="D1283" s="24"/>
      <c r="E1283" s="24"/>
      <c r="F1283" s="24"/>
      <c r="G1283" s="24"/>
      <c r="H1283" s="24"/>
      <c r="I1283" s="24"/>
      <c r="J1283" s="24"/>
      <c r="K1283" s="24"/>
      <c r="L1283" s="24"/>
      <c r="M1283" s="24"/>
      <c r="N1283" s="24"/>
      <c r="O1283" s="24"/>
      <c r="P1283" s="24"/>
      <c r="Q1283" s="24"/>
      <c r="R1283" s="24"/>
      <c r="S1283" s="24"/>
      <c r="T1283" s="24"/>
      <c r="U1283" s="24"/>
      <c r="V1283" s="24"/>
      <c r="W1283" s="24"/>
      <c r="X1283" s="24"/>
      <c r="Y1283" s="24"/>
      <c r="Z1283" s="24"/>
      <c r="AA1283" s="24"/>
      <c r="AB1283" s="24"/>
      <c r="AC1283" s="24"/>
    </row>
    <row r="1284" spans="1:29" ht="12.9">
      <c r="A1284" s="24"/>
      <c r="B1284" s="24"/>
      <c r="C1284" s="24"/>
      <c r="D1284" s="24"/>
      <c r="E1284" s="24"/>
      <c r="F1284" s="24"/>
      <c r="G1284" s="24"/>
      <c r="H1284" s="24"/>
      <c r="I1284" s="24"/>
      <c r="J1284" s="24"/>
      <c r="K1284" s="24"/>
      <c r="L1284" s="24"/>
      <c r="M1284" s="24"/>
      <c r="N1284" s="24"/>
      <c r="O1284" s="24"/>
      <c r="P1284" s="24"/>
      <c r="Q1284" s="24"/>
      <c r="R1284" s="24"/>
      <c r="S1284" s="24"/>
      <c r="T1284" s="24"/>
      <c r="U1284" s="24"/>
      <c r="V1284" s="24"/>
      <c r="W1284" s="24"/>
      <c r="X1284" s="24"/>
      <c r="Y1284" s="24"/>
      <c r="Z1284" s="24"/>
      <c r="AA1284" s="24"/>
      <c r="AB1284" s="24"/>
      <c r="AC1284" s="24"/>
    </row>
    <row r="1285" spans="1:29" ht="12.9">
      <c r="A1285" s="24"/>
      <c r="B1285" s="24"/>
      <c r="C1285" s="24"/>
      <c r="D1285" s="24"/>
      <c r="E1285" s="24"/>
      <c r="F1285" s="24"/>
      <c r="G1285" s="24"/>
      <c r="H1285" s="24"/>
      <c r="I1285" s="24"/>
      <c r="J1285" s="24"/>
      <c r="K1285" s="24"/>
      <c r="L1285" s="24"/>
      <c r="M1285" s="24"/>
      <c r="N1285" s="24"/>
      <c r="O1285" s="24"/>
      <c r="P1285" s="24"/>
      <c r="Q1285" s="24"/>
      <c r="R1285" s="24"/>
      <c r="S1285" s="24"/>
      <c r="T1285" s="24"/>
      <c r="U1285" s="24"/>
      <c r="V1285" s="24"/>
      <c r="W1285" s="24"/>
      <c r="X1285" s="24"/>
      <c r="Y1285" s="24"/>
      <c r="Z1285" s="24"/>
      <c r="AA1285" s="24"/>
      <c r="AB1285" s="24"/>
      <c r="AC1285" s="24"/>
    </row>
    <row r="1286" spans="1:29" ht="12.9">
      <c r="A1286" s="24"/>
      <c r="B1286" s="24"/>
      <c r="C1286" s="24"/>
      <c r="D1286" s="24"/>
      <c r="E1286" s="24"/>
      <c r="F1286" s="24"/>
      <c r="G1286" s="24"/>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row>
    <row r="1287" spans="1:29" ht="12.9">
      <c r="A1287" s="24"/>
      <c r="B1287" s="24"/>
      <c r="C1287" s="24"/>
      <c r="D1287" s="24"/>
      <c r="E1287" s="24"/>
      <c r="F1287" s="24"/>
      <c r="G1287" s="24"/>
      <c r="H1287" s="24"/>
      <c r="I1287" s="24"/>
      <c r="J1287" s="24"/>
      <c r="K1287" s="24"/>
      <c r="L1287" s="24"/>
      <c r="M1287" s="24"/>
      <c r="N1287" s="24"/>
      <c r="O1287" s="24"/>
      <c r="P1287" s="24"/>
      <c r="Q1287" s="24"/>
      <c r="R1287" s="24"/>
      <c r="S1287" s="24"/>
      <c r="T1287" s="24"/>
      <c r="U1287" s="24"/>
      <c r="V1287" s="24"/>
      <c r="W1287" s="24"/>
      <c r="X1287" s="24"/>
      <c r="Y1287" s="24"/>
      <c r="Z1287" s="24"/>
      <c r="AA1287" s="24"/>
      <c r="AB1287" s="24"/>
      <c r="AC1287" s="24"/>
    </row>
    <row r="1288" spans="1:29" ht="12.9">
      <c r="A1288" s="24"/>
      <c r="B1288" s="24"/>
      <c r="C1288" s="24"/>
      <c r="D1288" s="24"/>
      <c r="E1288" s="24"/>
      <c r="F1288" s="24"/>
      <c r="G1288" s="24"/>
      <c r="H1288" s="24"/>
      <c r="I1288" s="24"/>
      <c r="J1288" s="24"/>
      <c r="K1288" s="24"/>
      <c r="L1288" s="24"/>
      <c r="M1288" s="24"/>
      <c r="N1288" s="24"/>
      <c r="O1288" s="24"/>
      <c r="P1288" s="24"/>
      <c r="Q1288" s="24"/>
      <c r="R1288" s="24"/>
      <c r="S1288" s="24"/>
      <c r="T1288" s="24"/>
      <c r="U1288" s="24"/>
      <c r="V1288" s="24"/>
      <c r="W1288" s="24"/>
      <c r="X1288" s="24"/>
      <c r="Y1288" s="24"/>
      <c r="Z1288" s="24"/>
      <c r="AA1288" s="24"/>
      <c r="AB1288" s="24"/>
      <c r="AC1288" s="24"/>
    </row>
    <row r="1289" spans="1:29" ht="12.9">
      <c r="A1289" s="24"/>
      <c r="B1289" s="24"/>
      <c r="C1289" s="24"/>
      <c r="D1289" s="24"/>
      <c r="E1289" s="24"/>
      <c r="F1289" s="24"/>
      <c r="G1289" s="24"/>
      <c r="H1289" s="24"/>
      <c r="I1289" s="24"/>
      <c r="J1289" s="24"/>
      <c r="K1289" s="24"/>
      <c r="L1289" s="24"/>
      <c r="M1289" s="24"/>
      <c r="N1289" s="24"/>
      <c r="O1289" s="24"/>
      <c r="P1289" s="24"/>
      <c r="Q1289" s="24"/>
      <c r="R1289" s="24"/>
      <c r="S1289" s="24"/>
      <c r="T1289" s="24"/>
      <c r="U1289" s="24"/>
      <c r="V1289" s="24"/>
      <c r="W1289" s="24"/>
      <c r="X1289" s="24"/>
      <c r="Y1289" s="24"/>
      <c r="Z1289" s="24"/>
      <c r="AA1289" s="24"/>
      <c r="AB1289" s="24"/>
      <c r="AC1289" s="24"/>
    </row>
    <row r="1290" spans="1:29" ht="12.9">
      <c r="A1290" s="24"/>
      <c r="B1290" s="24"/>
      <c r="C1290" s="24"/>
      <c r="D1290" s="24"/>
      <c r="E1290" s="24"/>
      <c r="F1290" s="24"/>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row>
    <row r="1291" spans="1:29" ht="12.9">
      <c r="A1291" s="24"/>
      <c r="B1291" s="24"/>
      <c r="C1291" s="24"/>
      <c r="D1291" s="24"/>
      <c r="E1291" s="24"/>
      <c r="F1291" s="24"/>
      <c r="G1291" s="24"/>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row>
    <row r="1292" spans="1:29" ht="12.9">
      <c r="A1292" s="24"/>
      <c r="B1292" s="24"/>
      <c r="C1292" s="24"/>
      <c r="D1292" s="24"/>
      <c r="E1292" s="24"/>
      <c r="F1292" s="24"/>
      <c r="G1292" s="24"/>
      <c r="H1292" s="24"/>
      <c r="I1292" s="24"/>
      <c r="J1292" s="24"/>
      <c r="K1292" s="24"/>
      <c r="L1292" s="24"/>
      <c r="M1292" s="24"/>
      <c r="N1292" s="24"/>
      <c r="O1292" s="24"/>
      <c r="P1292" s="24"/>
      <c r="Q1292" s="24"/>
      <c r="R1292" s="24"/>
      <c r="S1292" s="24"/>
      <c r="T1292" s="24"/>
      <c r="U1292" s="24"/>
      <c r="V1292" s="24"/>
      <c r="W1292" s="24"/>
      <c r="X1292" s="24"/>
      <c r="Y1292" s="24"/>
      <c r="Z1292" s="24"/>
      <c r="AA1292" s="24"/>
      <c r="AB1292" s="24"/>
      <c r="AC1292" s="24"/>
    </row>
    <row r="1293" spans="1:29" ht="12.9">
      <c r="A1293" s="24"/>
      <c r="B1293" s="24"/>
      <c r="C1293" s="24"/>
      <c r="D1293" s="24"/>
      <c r="E1293" s="24"/>
      <c r="F1293" s="24"/>
      <c r="G1293" s="24"/>
      <c r="H1293" s="24"/>
      <c r="I1293" s="24"/>
      <c r="J1293" s="24"/>
      <c r="K1293" s="24"/>
      <c r="L1293" s="24"/>
      <c r="M1293" s="24"/>
      <c r="N1293" s="24"/>
      <c r="O1293" s="24"/>
      <c r="P1293" s="24"/>
      <c r="Q1293" s="24"/>
      <c r="R1293" s="24"/>
      <c r="S1293" s="24"/>
      <c r="T1293" s="24"/>
      <c r="U1293" s="24"/>
      <c r="V1293" s="24"/>
      <c r="W1293" s="24"/>
      <c r="X1293" s="24"/>
      <c r="Y1293" s="24"/>
      <c r="Z1293" s="24"/>
      <c r="AA1293" s="24"/>
      <c r="AB1293" s="24"/>
      <c r="AC1293" s="24"/>
    </row>
    <row r="1294" spans="1:29" ht="12.9">
      <c r="A1294" s="24"/>
      <c r="B1294" s="24"/>
      <c r="C1294" s="24"/>
      <c r="D1294" s="24"/>
      <c r="E1294" s="24"/>
      <c r="F1294" s="24"/>
      <c r="G1294" s="24"/>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row>
    <row r="1295" spans="1:29" ht="12.9">
      <c r="A1295" s="24"/>
      <c r="B1295" s="24"/>
      <c r="C1295" s="24"/>
      <c r="D1295" s="24"/>
      <c r="E1295" s="24"/>
      <c r="F1295" s="24"/>
      <c r="G1295" s="24"/>
      <c r="H1295" s="24"/>
      <c r="I1295" s="24"/>
      <c r="J1295" s="24"/>
      <c r="K1295" s="24"/>
      <c r="L1295" s="24"/>
      <c r="M1295" s="24"/>
      <c r="N1295" s="24"/>
      <c r="O1295" s="24"/>
      <c r="P1295" s="24"/>
      <c r="Q1295" s="24"/>
      <c r="R1295" s="24"/>
      <c r="S1295" s="24"/>
      <c r="T1295" s="24"/>
      <c r="U1295" s="24"/>
      <c r="V1295" s="24"/>
      <c r="W1295" s="24"/>
      <c r="X1295" s="24"/>
      <c r="Y1295" s="24"/>
      <c r="Z1295" s="24"/>
      <c r="AA1295" s="24"/>
      <c r="AB1295" s="24"/>
      <c r="AC1295" s="24"/>
    </row>
    <row r="1296" spans="1:29" ht="12.9">
      <c r="A1296" s="24"/>
      <c r="B1296" s="24"/>
      <c r="C1296" s="24"/>
      <c r="D1296" s="24"/>
      <c r="E1296" s="24"/>
      <c r="F1296" s="24"/>
      <c r="G1296" s="24"/>
      <c r="H1296" s="24"/>
      <c r="I1296" s="24"/>
      <c r="J1296" s="24"/>
      <c r="K1296" s="24"/>
      <c r="L1296" s="24"/>
      <c r="M1296" s="24"/>
      <c r="N1296" s="24"/>
      <c r="O1296" s="24"/>
      <c r="P1296" s="24"/>
      <c r="Q1296" s="24"/>
      <c r="R1296" s="24"/>
      <c r="S1296" s="24"/>
      <c r="T1296" s="24"/>
      <c r="U1296" s="24"/>
      <c r="V1296" s="24"/>
      <c r="W1296" s="24"/>
      <c r="X1296" s="24"/>
      <c r="Y1296" s="24"/>
      <c r="Z1296" s="24"/>
      <c r="AA1296" s="24"/>
      <c r="AB1296" s="24"/>
      <c r="AC1296" s="24"/>
    </row>
    <row r="1297" spans="1:29" ht="12.9">
      <c r="A1297" s="24"/>
      <c r="B1297" s="24"/>
      <c r="C1297" s="24"/>
      <c r="D1297" s="24"/>
      <c r="E1297" s="24"/>
      <c r="F1297" s="24"/>
      <c r="G1297" s="24"/>
      <c r="H1297" s="24"/>
      <c r="I1297" s="24"/>
      <c r="J1297" s="24"/>
      <c r="K1297" s="24"/>
      <c r="L1297" s="24"/>
      <c r="M1297" s="24"/>
      <c r="N1297" s="24"/>
      <c r="O1297" s="24"/>
      <c r="P1297" s="24"/>
      <c r="Q1297" s="24"/>
      <c r="R1297" s="24"/>
      <c r="S1297" s="24"/>
      <c r="T1297" s="24"/>
      <c r="U1297" s="24"/>
      <c r="V1297" s="24"/>
      <c r="W1297" s="24"/>
      <c r="X1297" s="24"/>
      <c r="Y1297" s="24"/>
      <c r="Z1297" s="24"/>
      <c r="AA1297" s="24"/>
      <c r="AB1297" s="24"/>
      <c r="AC1297" s="24"/>
    </row>
    <row r="1298" spans="1:29" ht="12.9">
      <c r="A1298" s="24"/>
      <c r="B1298" s="24"/>
      <c r="C1298" s="24"/>
      <c r="D1298" s="24"/>
      <c r="E1298" s="24"/>
      <c r="F1298" s="24"/>
      <c r="G1298" s="24"/>
      <c r="H1298" s="24"/>
      <c r="I1298" s="24"/>
      <c r="J1298" s="24"/>
      <c r="K1298" s="24"/>
      <c r="L1298" s="24"/>
      <c r="M1298" s="24"/>
      <c r="N1298" s="24"/>
      <c r="O1298" s="24"/>
      <c r="P1298" s="24"/>
      <c r="Q1298" s="24"/>
      <c r="R1298" s="24"/>
      <c r="S1298" s="24"/>
      <c r="T1298" s="24"/>
      <c r="U1298" s="24"/>
      <c r="V1298" s="24"/>
      <c r="W1298" s="24"/>
      <c r="X1298" s="24"/>
      <c r="Y1298" s="24"/>
      <c r="Z1298" s="24"/>
      <c r="AA1298" s="24"/>
      <c r="AB1298" s="24"/>
      <c r="AC1298" s="24"/>
    </row>
    <row r="1299" spans="1:29" ht="12.9">
      <c r="A1299" s="24"/>
      <c r="B1299" s="24"/>
      <c r="C1299" s="24"/>
      <c r="D1299" s="24"/>
      <c r="E1299" s="24"/>
      <c r="F1299" s="24"/>
      <c r="G1299" s="24"/>
      <c r="H1299" s="24"/>
      <c r="I1299" s="24"/>
      <c r="J1299" s="24"/>
      <c r="K1299" s="24"/>
      <c r="L1299" s="24"/>
      <c r="M1299" s="24"/>
      <c r="N1299" s="24"/>
      <c r="O1299" s="24"/>
      <c r="P1299" s="24"/>
      <c r="Q1299" s="24"/>
      <c r="R1299" s="24"/>
      <c r="S1299" s="24"/>
      <c r="T1299" s="24"/>
      <c r="U1299" s="24"/>
      <c r="V1299" s="24"/>
      <c r="W1299" s="24"/>
      <c r="X1299" s="24"/>
      <c r="Y1299" s="24"/>
      <c r="Z1299" s="24"/>
      <c r="AA1299" s="24"/>
      <c r="AB1299" s="24"/>
      <c r="AC1299" s="24"/>
    </row>
    <row r="1300" spans="1:29" ht="12.9">
      <c r="A1300" s="24"/>
      <c r="B1300" s="24"/>
      <c r="C1300" s="24"/>
      <c r="D1300" s="24"/>
      <c r="E1300" s="24"/>
      <c r="F1300" s="24"/>
      <c r="G1300" s="24"/>
      <c r="H1300" s="24"/>
      <c r="I1300" s="24"/>
      <c r="J1300" s="24"/>
      <c r="K1300" s="24"/>
      <c r="L1300" s="24"/>
      <c r="M1300" s="24"/>
      <c r="N1300" s="24"/>
      <c r="O1300" s="24"/>
      <c r="P1300" s="24"/>
      <c r="Q1300" s="24"/>
      <c r="R1300" s="24"/>
      <c r="S1300" s="24"/>
      <c r="T1300" s="24"/>
      <c r="U1300" s="24"/>
      <c r="V1300" s="24"/>
      <c r="W1300" s="24"/>
      <c r="X1300" s="24"/>
      <c r="Y1300" s="24"/>
      <c r="Z1300" s="24"/>
      <c r="AA1300" s="24"/>
      <c r="AB1300" s="24"/>
      <c r="AC1300" s="24"/>
    </row>
    <row r="1301" spans="1:29" ht="12.9">
      <c r="A1301" s="24"/>
      <c r="B1301" s="24"/>
      <c r="C1301" s="24"/>
      <c r="D1301" s="24"/>
      <c r="E1301" s="24"/>
      <c r="F1301" s="24"/>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row>
    <row r="1302" spans="1:29" ht="12.9">
      <c r="A1302" s="24"/>
      <c r="B1302" s="24"/>
      <c r="C1302" s="24"/>
      <c r="D1302" s="24"/>
      <c r="E1302" s="24"/>
      <c r="F1302" s="24"/>
      <c r="G1302" s="24"/>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row>
    <row r="1303" spans="1:29" ht="12.9">
      <c r="A1303" s="24"/>
      <c r="B1303" s="24"/>
      <c r="C1303" s="24"/>
      <c r="D1303" s="24"/>
      <c r="E1303" s="24"/>
      <c r="F1303" s="24"/>
      <c r="G1303" s="24"/>
      <c r="H1303" s="24"/>
      <c r="I1303" s="24"/>
      <c r="J1303" s="24"/>
      <c r="K1303" s="24"/>
      <c r="L1303" s="24"/>
      <c r="M1303" s="24"/>
      <c r="N1303" s="24"/>
      <c r="O1303" s="24"/>
      <c r="P1303" s="24"/>
      <c r="Q1303" s="24"/>
      <c r="R1303" s="24"/>
      <c r="S1303" s="24"/>
      <c r="T1303" s="24"/>
      <c r="U1303" s="24"/>
      <c r="V1303" s="24"/>
      <c r="W1303" s="24"/>
      <c r="X1303" s="24"/>
      <c r="Y1303" s="24"/>
      <c r="Z1303" s="24"/>
      <c r="AA1303" s="24"/>
      <c r="AB1303" s="24"/>
      <c r="AC1303" s="24"/>
    </row>
    <row r="1304" spans="1:29" ht="12.9">
      <c r="A1304" s="24"/>
      <c r="B1304" s="24"/>
      <c r="C1304" s="24"/>
      <c r="D1304" s="24"/>
      <c r="E1304" s="24"/>
      <c r="F1304" s="24"/>
      <c r="G1304" s="24"/>
      <c r="H1304" s="24"/>
      <c r="I1304" s="24"/>
      <c r="J1304" s="24"/>
      <c r="K1304" s="24"/>
      <c r="L1304" s="24"/>
      <c r="M1304" s="24"/>
      <c r="N1304" s="24"/>
      <c r="O1304" s="24"/>
      <c r="P1304" s="24"/>
      <c r="Q1304" s="24"/>
      <c r="R1304" s="24"/>
      <c r="S1304" s="24"/>
      <c r="T1304" s="24"/>
      <c r="U1304" s="24"/>
      <c r="V1304" s="24"/>
      <c r="W1304" s="24"/>
      <c r="X1304" s="24"/>
      <c r="Y1304" s="24"/>
      <c r="Z1304" s="24"/>
      <c r="AA1304" s="24"/>
      <c r="AB1304" s="24"/>
      <c r="AC1304" s="24"/>
    </row>
    <row r="1305" spans="1:29" ht="12.9">
      <c r="A1305" s="24"/>
      <c r="B1305" s="24"/>
      <c r="C1305" s="24"/>
      <c r="D1305" s="24"/>
      <c r="E1305" s="24"/>
      <c r="F1305" s="24"/>
      <c r="G1305" s="24"/>
      <c r="H1305" s="24"/>
      <c r="I1305" s="24"/>
      <c r="J1305" s="24"/>
      <c r="K1305" s="24"/>
      <c r="L1305" s="24"/>
      <c r="M1305" s="24"/>
      <c r="N1305" s="24"/>
      <c r="O1305" s="24"/>
      <c r="P1305" s="24"/>
      <c r="Q1305" s="24"/>
      <c r="R1305" s="24"/>
      <c r="S1305" s="24"/>
      <c r="T1305" s="24"/>
      <c r="U1305" s="24"/>
      <c r="V1305" s="24"/>
      <c r="W1305" s="24"/>
      <c r="X1305" s="24"/>
      <c r="Y1305" s="24"/>
      <c r="Z1305" s="24"/>
      <c r="AA1305" s="24"/>
      <c r="AB1305" s="24"/>
      <c r="AC1305" s="24"/>
    </row>
    <row r="1306" spans="1:29" ht="12.9">
      <c r="A1306" s="24"/>
      <c r="B1306" s="24"/>
      <c r="C1306" s="24"/>
      <c r="D1306" s="24"/>
      <c r="E1306" s="24"/>
      <c r="F1306" s="24"/>
      <c r="G1306" s="24"/>
      <c r="H1306" s="24"/>
      <c r="I1306" s="24"/>
      <c r="J1306" s="24"/>
      <c r="K1306" s="24"/>
      <c r="L1306" s="24"/>
      <c r="M1306" s="24"/>
      <c r="N1306" s="24"/>
      <c r="O1306" s="24"/>
      <c r="P1306" s="24"/>
      <c r="Q1306" s="24"/>
      <c r="R1306" s="24"/>
      <c r="S1306" s="24"/>
      <c r="T1306" s="24"/>
      <c r="U1306" s="24"/>
      <c r="V1306" s="24"/>
      <c r="W1306" s="24"/>
      <c r="X1306" s="24"/>
      <c r="Y1306" s="24"/>
      <c r="Z1306" s="24"/>
      <c r="AA1306" s="24"/>
      <c r="AB1306" s="24"/>
      <c r="AC1306" s="24"/>
    </row>
    <row r="1307" spans="1:29" ht="12.9">
      <c r="A1307" s="24"/>
      <c r="B1307" s="24"/>
      <c r="C1307" s="24"/>
      <c r="D1307" s="24"/>
      <c r="E1307" s="24"/>
      <c r="F1307" s="24"/>
      <c r="G1307" s="24"/>
      <c r="H1307" s="24"/>
      <c r="I1307" s="24"/>
      <c r="J1307" s="24"/>
      <c r="K1307" s="24"/>
      <c r="L1307" s="24"/>
      <c r="M1307" s="24"/>
      <c r="N1307" s="24"/>
      <c r="O1307" s="24"/>
      <c r="P1307" s="24"/>
      <c r="Q1307" s="24"/>
      <c r="R1307" s="24"/>
      <c r="S1307" s="24"/>
      <c r="T1307" s="24"/>
      <c r="U1307" s="24"/>
      <c r="V1307" s="24"/>
      <c r="W1307" s="24"/>
      <c r="X1307" s="24"/>
      <c r="Y1307" s="24"/>
      <c r="Z1307" s="24"/>
      <c r="AA1307" s="24"/>
      <c r="AB1307" s="24"/>
      <c r="AC1307" s="24"/>
    </row>
    <row r="1308" spans="1:29" ht="12.9">
      <c r="A1308" s="24"/>
      <c r="B1308" s="24"/>
      <c r="C1308" s="24"/>
      <c r="D1308" s="24"/>
      <c r="E1308" s="24"/>
      <c r="F1308" s="24"/>
      <c r="G1308" s="24"/>
      <c r="H1308" s="24"/>
      <c r="I1308" s="24"/>
      <c r="J1308" s="24"/>
      <c r="K1308" s="24"/>
      <c r="L1308" s="24"/>
      <c r="M1308" s="24"/>
      <c r="N1308" s="24"/>
      <c r="O1308" s="24"/>
      <c r="P1308" s="24"/>
      <c r="Q1308" s="24"/>
      <c r="R1308" s="24"/>
      <c r="S1308" s="24"/>
      <c r="T1308" s="24"/>
      <c r="U1308" s="24"/>
      <c r="V1308" s="24"/>
      <c r="W1308" s="24"/>
      <c r="X1308" s="24"/>
      <c r="Y1308" s="24"/>
      <c r="Z1308" s="24"/>
      <c r="AA1308" s="24"/>
      <c r="AB1308" s="24"/>
      <c r="AC1308" s="24"/>
    </row>
    <row r="1309" spans="1:29" ht="12.9">
      <c r="A1309" s="24"/>
      <c r="B1309" s="24"/>
      <c r="C1309" s="24"/>
      <c r="D1309" s="24"/>
      <c r="E1309" s="24"/>
      <c r="F1309" s="24"/>
      <c r="G1309" s="24"/>
      <c r="H1309" s="24"/>
      <c r="I1309" s="24"/>
      <c r="J1309" s="24"/>
      <c r="K1309" s="24"/>
      <c r="L1309" s="24"/>
      <c r="M1309" s="24"/>
      <c r="N1309" s="24"/>
      <c r="O1309" s="24"/>
      <c r="P1309" s="24"/>
      <c r="Q1309" s="24"/>
      <c r="R1309" s="24"/>
      <c r="S1309" s="24"/>
      <c r="T1309" s="24"/>
      <c r="U1309" s="24"/>
      <c r="V1309" s="24"/>
      <c r="W1309" s="24"/>
      <c r="X1309" s="24"/>
      <c r="Y1309" s="24"/>
      <c r="Z1309" s="24"/>
      <c r="AA1309" s="24"/>
      <c r="AB1309" s="24"/>
      <c r="AC1309" s="24"/>
    </row>
    <row r="1310" spans="1:29" ht="12.9">
      <c r="A1310" s="24"/>
      <c r="B1310" s="24"/>
      <c r="C1310" s="24"/>
      <c r="D1310" s="24"/>
      <c r="E1310" s="24"/>
      <c r="F1310" s="24"/>
      <c r="G1310" s="24"/>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row>
    <row r="1311" spans="1:29" ht="12.9">
      <c r="A1311" s="24"/>
      <c r="B1311" s="24"/>
      <c r="C1311" s="24"/>
      <c r="D1311" s="24"/>
      <c r="E1311" s="24"/>
      <c r="F1311" s="24"/>
      <c r="G1311" s="24"/>
      <c r="H1311" s="24"/>
      <c r="I1311" s="24"/>
      <c r="J1311" s="24"/>
      <c r="K1311" s="24"/>
      <c r="L1311" s="24"/>
      <c r="M1311" s="24"/>
      <c r="N1311" s="24"/>
      <c r="O1311" s="24"/>
      <c r="P1311" s="24"/>
      <c r="Q1311" s="24"/>
      <c r="R1311" s="24"/>
      <c r="S1311" s="24"/>
      <c r="T1311" s="24"/>
      <c r="U1311" s="24"/>
      <c r="V1311" s="24"/>
      <c r="W1311" s="24"/>
      <c r="X1311" s="24"/>
      <c r="Y1311" s="24"/>
      <c r="Z1311" s="24"/>
      <c r="AA1311" s="24"/>
      <c r="AB1311" s="24"/>
      <c r="AC1311" s="24"/>
    </row>
    <row r="1312" spans="1:29" ht="12.9">
      <c r="A1312" s="24"/>
      <c r="B1312" s="24"/>
      <c r="C1312" s="24"/>
      <c r="D1312" s="24"/>
      <c r="E1312" s="24"/>
      <c r="F1312" s="24"/>
      <c r="G1312" s="24"/>
      <c r="H1312" s="24"/>
      <c r="I1312" s="24"/>
      <c r="J1312" s="24"/>
      <c r="K1312" s="24"/>
      <c r="L1312" s="24"/>
      <c r="M1312" s="24"/>
      <c r="N1312" s="24"/>
      <c r="O1312" s="24"/>
      <c r="P1312" s="24"/>
      <c r="Q1312" s="24"/>
      <c r="R1312" s="24"/>
      <c r="S1312" s="24"/>
      <c r="T1312" s="24"/>
      <c r="U1312" s="24"/>
      <c r="V1312" s="24"/>
      <c r="W1312" s="24"/>
      <c r="X1312" s="24"/>
      <c r="Y1312" s="24"/>
      <c r="Z1312" s="24"/>
      <c r="AA1312" s="24"/>
      <c r="AB1312" s="24"/>
      <c r="AC1312" s="24"/>
    </row>
    <row r="1313" spans="1:29" ht="12.9">
      <c r="A1313" s="24"/>
      <c r="B1313" s="24"/>
      <c r="C1313" s="24"/>
      <c r="D1313" s="24"/>
      <c r="E1313" s="24"/>
      <c r="F1313" s="24"/>
      <c r="G1313" s="24"/>
      <c r="H1313" s="24"/>
      <c r="I1313" s="24"/>
      <c r="J1313" s="24"/>
      <c r="K1313" s="24"/>
      <c r="L1313" s="24"/>
      <c r="M1313" s="24"/>
      <c r="N1313" s="24"/>
      <c r="O1313" s="24"/>
      <c r="P1313" s="24"/>
      <c r="Q1313" s="24"/>
      <c r="R1313" s="24"/>
      <c r="S1313" s="24"/>
      <c r="T1313" s="24"/>
      <c r="U1313" s="24"/>
      <c r="V1313" s="24"/>
      <c r="W1313" s="24"/>
      <c r="X1313" s="24"/>
      <c r="Y1313" s="24"/>
      <c r="Z1313" s="24"/>
      <c r="AA1313" s="24"/>
      <c r="AB1313" s="24"/>
      <c r="AC1313" s="24"/>
    </row>
    <row r="1314" spans="1:29" ht="12.9">
      <c r="A1314" s="24"/>
      <c r="B1314" s="24"/>
      <c r="C1314" s="24"/>
      <c r="D1314" s="24"/>
      <c r="E1314" s="24"/>
      <c r="F1314" s="24"/>
      <c r="G1314" s="24"/>
      <c r="H1314" s="24"/>
      <c r="I1314" s="24"/>
      <c r="J1314" s="24"/>
      <c r="K1314" s="24"/>
      <c r="L1314" s="24"/>
      <c r="M1314" s="24"/>
      <c r="N1314" s="24"/>
      <c r="O1314" s="24"/>
      <c r="P1314" s="24"/>
      <c r="Q1314" s="24"/>
      <c r="R1314" s="24"/>
      <c r="S1314" s="24"/>
      <c r="T1314" s="24"/>
      <c r="U1314" s="24"/>
      <c r="V1314" s="24"/>
      <c r="W1314" s="24"/>
      <c r="X1314" s="24"/>
      <c r="Y1314" s="24"/>
      <c r="Z1314" s="24"/>
      <c r="AA1314" s="24"/>
      <c r="AB1314" s="24"/>
      <c r="AC1314" s="24"/>
    </row>
    <row r="1315" spans="1:29" ht="12.9">
      <c r="A1315" s="24"/>
      <c r="B1315" s="24"/>
      <c r="C1315" s="24"/>
      <c r="D1315" s="24"/>
      <c r="E1315" s="24"/>
      <c r="F1315" s="24"/>
      <c r="G1315" s="24"/>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row>
    <row r="1316" spans="1:29" ht="12.9">
      <c r="A1316" s="24"/>
      <c r="B1316" s="24"/>
      <c r="C1316" s="24"/>
      <c r="D1316" s="24"/>
      <c r="E1316" s="24"/>
      <c r="F1316" s="24"/>
      <c r="G1316" s="24"/>
      <c r="H1316" s="24"/>
      <c r="I1316" s="24"/>
      <c r="J1316" s="24"/>
      <c r="K1316" s="24"/>
      <c r="L1316" s="24"/>
      <c r="M1316" s="24"/>
      <c r="N1316" s="24"/>
      <c r="O1316" s="24"/>
      <c r="P1316" s="24"/>
      <c r="Q1316" s="24"/>
      <c r="R1316" s="24"/>
      <c r="S1316" s="24"/>
      <c r="T1316" s="24"/>
      <c r="U1316" s="24"/>
      <c r="V1316" s="24"/>
      <c r="W1316" s="24"/>
      <c r="X1316" s="24"/>
      <c r="Y1316" s="24"/>
      <c r="Z1316" s="24"/>
      <c r="AA1316" s="24"/>
      <c r="AB1316" s="24"/>
      <c r="AC1316" s="24"/>
    </row>
    <row r="1317" spans="1:29" ht="12.9">
      <c r="A1317" s="24"/>
      <c r="B1317" s="24"/>
      <c r="C1317" s="24"/>
      <c r="D1317" s="24"/>
      <c r="E1317" s="24"/>
      <c r="F1317" s="24"/>
      <c r="G1317" s="24"/>
      <c r="H1317" s="24"/>
      <c r="I1317" s="24"/>
      <c r="J1317" s="24"/>
      <c r="K1317" s="24"/>
      <c r="L1317" s="24"/>
      <c r="M1317" s="24"/>
      <c r="N1317" s="24"/>
      <c r="O1317" s="24"/>
      <c r="P1317" s="24"/>
      <c r="Q1317" s="24"/>
      <c r="R1317" s="24"/>
      <c r="S1317" s="24"/>
      <c r="T1317" s="24"/>
      <c r="U1317" s="24"/>
      <c r="V1317" s="24"/>
      <c r="W1317" s="24"/>
      <c r="X1317" s="24"/>
      <c r="Y1317" s="24"/>
      <c r="Z1317" s="24"/>
      <c r="AA1317" s="24"/>
      <c r="AB1317" s="24"/>
      <c r="AC1317" s="24"/>
    </row>
    <row r="1318" spans="1:29" ht="12.9">
      <c r="A1318" s="24"/>
      <c r="B1318" s="24"/>
      <c r="C1318" s="24"/>
      <c r="D1318" s="24"/>
      <c r="E1318" s="24"/>
      <c r="F1318" s="24"/>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row>
    <row r="1319" spans="1:29" ht="12.9">
      <c r="A1319" s="24"/>
      <c r="B1319" s="24"/>
      <c r="C1319" s="24"/>
      <c r="D1319" s="24"/>
      <c r="E1319" s="24"/>
      <c r="F1319" s="24"/>
      <c r="G1319" s="24"/>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row>
    <row r="1320" spans="1:29" ht="12.9">
      <c r="A1320" s="24"/>
      <c r="B1320" s="24"/>
      <c r="C1320" s="24"/>
      <c r="D1320" s="24"/>
      <c r="E1320" s="24"/>
      <c r="F1320" s="24"/>
      <c r="G1320" s="24"/>
      <c r="H1320" s="24"/>
      <c r="I1320" s="24"/>
      <c r="J1320" s="24"/>
      <c r="K1320" s="24"/>
      <c r="L1320" s="24"/>
      <c r="M1320" s="24"/>
      <c r="N1320" s="24"/>
      <c r="O1320" s="24"/>
      <c r="P1320" s="24"/>
      <c r="Q1320" s="24"/>
      <c r="R1320" s="24"/>
      <c r="S1320" s="24"/>
      <c r="T1320" s="24"/>
      <c r="U1320" s="24"/>
      <c r="V1320" s="24"/>
      <c r="W1320" s="24"/>
      <c r="X1320" s="24"/>
      <c r="Y1320" s="24"/>
      <c r="Z1320" s="24"/>
      <c r="AA1320" s="24"/>
      <c r="AB1320" s="24"/>
      <c r="AC1320" s="24"/>
    </row>
    <row r="1321" spans="1:29" ht="12.9">
      <c r="A1321" s="24"/>
      <c r="B1321" s="24"/>
      <c r="C1321" s="24"/>
      <c r="D1321" s="24"/>
      <c r="E1321" s="24"/>
      <c r="F1321" s="24"/>
      <c r="G1321" s="24"/>
      <c r="H1321" s="24"/>
      <c r="I1321" s="24"/>
      <c r="J1321" s="24"/>
      <c r="K1321" s="24"/>
      <c r="L1321" s="24"/>
      <c r="M1321" s="24"/>
      <c r="N1321" s="24"/>
      <c r="O1321" s="24"/>
      <c r="P1321" s="24"/>
      <c r="Q1321" s="24"/>
      <c r="R1321" s="24"/>
      <c r="S1321" s="24"/>
      <c r="T1321" s="24"/>
      <c r="U1321" s="24"/>
      <c r="V1321" s="24"/>
      <c r="W1321" s="24"/>
      <c r="X1321" s="24"/>
      <c r="Y1321" s="24"/>
      <c r="Z1321" s="24"/>
      <c r="AA1321" s="24"/>
      <c r="AB1321" s="24"/>
      <c r="AC1321" s="24"/>
    </row>
    <row r="1322" spans="1:29" ht="12.9">
      <c r="A1322" s="24"/>
      <c r="B1322" s="24"/>
      <c r="C1322" s="24"/>
      <c r="D1322" s="24"/>
      <c r="E1322" s="24"/>
      <c r="F1322" s="24"/>
      <c r="G1322" s="24"/>
      <c r="H1322" s="24"/>
      <c r="I1322" s="24"/>
      <c r="J1322" s="24"/>
      <c r="K1322" s="24"/>
      <c r="L1322" s="24"/>
      <c r="M1322" s="24"/>
      <c r="N1322" s="24"/>
      <c r="O1322" s="24"/>
      <c r="P1322" s="24"/>
      <c r="Q1322" s="24"/>
      <c r="R1322" s="24"/>
      <c r="S1322" s="24"/>
      <c r="T1322" s="24"/>
      <c r="U1322" s="24"/>
      <c r="V1322" s="24"/>
      <c r="W1322" s="24"/>
      <c r="X1322" s="24"/>
      <c r="Y1322" s="24"/>
      <c r="Z1322" s="24"/>
      <c r="AA1322" s="24"/>
      <c r="AB1322" s="24"/>
      <c r="AC1322" s="24"/>
    </row>
    <row r="1323" spans="1:29" ht="12.9">
      <c r="A1323" s="24"/>
      <c r="B1323" s="24"/>
      <c r="C1323" s="24"/>
      <c r="D1323" s="24"/>
      <c r="E1323" s="24"/>
      <c r="F1323" s="24"/>
      <c r="G1323" s="24"/>
      <c r="H1323" s="24"/>
      <c r="I1323" s="24"/>
      <c r="J1323" s="24"/>
      <c r="K1323" s="24"/>
      <c r="L1323" s="24"/>
      <c r="M1323" s="24"/>
      <c r="N1323" s="24"/>
      <c r="O1323" s="24"/>
      <c r="P1323" s="24"/>
      <c r="Q1323" s="24"/>
      <c r="R1323" s="24"/>
      <c r="S1323" s="24"/>
      <c r="T1323" s="24"/>
      <c r="U1323" s="24"/>
      <c r="V1323" s="24"/>
      <c r="W1323" s="24"/>
      <c r="X1323" s="24"/>
      <c r="Y1323" s="24"/>
      <c r="Z1323" s="24"/>
      <c r="AA1323" s="24"/>
      <c r="AB1323" s="24"/>
      <c r="AC1323" s="24"/>
    </row>
    <row r="1324" spans="1:29" ht="12.9">
      <c r="A1324" s="24"/>
      <c r="B1324" s="24"/>
      <c r="C1324" s="24"/>
      <c r="D1324" s="24"/>
      <c r="E1324" s="24"/>
      <c r="F1324" s="24"/>
      <c r="G1324" s="24"/>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row>
    <row r="1325" spans="1:29" ht="12.9">
      <c r="A1325" s="24"/>
      <c r="B1325" s="24"/>
      <c r="C1325" s="24"/>
      <c r="D1325" s="24"/>
      <c r="E1325" s="24"/>
      <c r="F1325" s="24"/>
      <c r="G1325" s="24"/>
      <c r="H1325" s="24"/>
      <c r="I1325" s="24"/>
      <c r="J1325" s="24"/>
      <c r="K1325" s="24"/>
      <c r="L1325" s="24"/>
      <c r="M1325" s="24"/>
      <c r="N1325" s="24"/>
      <c r="O1325" s="24"/>
      <c r="P1325" s="24"/>
      <c r="Q1325" s="24"/>
      <c r="R1325" s="24"/>
      <c r="S1325" s="24"/>
      <c r="T1325" s="24"/>
      <c r="U1325" s="24"/>
      <c r="V1325" s="24"/>
      <c r="W1325" s="24"/>
      <c r="X1325" s="24"/>
      <c r="Y1325" s="24"/>
      <c r="Z1325" s="24"/>
      <c r="AA1325" s="24"/>
      <c r="AB1325" s="24"/>
      <c r="AC1325" s="24"/>
    </row>
    <row r="1326" spans="1:29" ht="12.9">
      <c r="A1326" s="24"/>
      <c r="B1326" s="24"/>
      <c r="C1326" s="24"/>
      <c r="D1326" s="24"/>
      <c r="E1326" s="24"/>
      <c r="F1326" s="24"/>
      <c r="G1326" s="24"/>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row>
    <row r="1327" spans="1:29" ht="12.9">
      <c r="A1327" s="24"/>
      <c r="B1327" s="24"/>
      <c r="C1327" s="24"/>
      <c r="D1327" s="24"/>
      <c r="E1327" s="24"/>
      <c r="F1327" s="24"/>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row>
    <row r="1328" spans="1:29" ht="12.9">
      <c r="A1328" s="24"/>
      <c r="B1328" s="24"/>
      <c r="C1328" s="24"/>
      <c r="D1328" s="24"/>
      <c r="E1328" s="24"/>
      <c r="F1328" s="24"/>
      <c r="G1328" s="24"/>
      <c r="H1328" s="24"/>
      <c r="I1328" s="24"/>
      <c r="J1328" s="24"/>
      <c r="K1328" s="24"/>
      <c r="L1328" s="24"/>
      <c r="M1328" s="24"/>
      <c r="N1328" s="24"/>
      <c r="O1328" s="24"/>
      <c r="P1328" s="24"/>
      <c r="Q1328" s="24"/>
      <c r="R1328" s="24"/>
      <c r="S1328" s="24"/>
      <c r="T1328" s="24"/>
      <c r="U1328" s="24"/>
      <c r="V1328" s="24"/>
      <c r="W1328" s="24"/>
      <c r="X1328" s="24"/>
      <c r="Y1328" s="24"/>
      <c r="Z1328" s="24"/>
      <c r="AA1328" s="24"/>
      <c r="AB1328" s="24"/>
      <c r="AC1328" s="24"/>
    </row>
    <row r="1329" spans="1:29" ht="12.9">
      <c r="A1329" s="24"/>
      <c r="B1329" s="24"/>
      <c r="C1329" s="24"/>
      <c r="D1329" s="24"/>
      <c r="E1329" s="24"/>
      <c r="F1329" s="24"/>
      <c r="G1329" s="24"/>
      <c r="H1329" s="24"/>
      <c r="I1329" s="24"/>
      <c r="J1329" s="24"/>
      <c r="K1329" s="24"/>
      <c r="L1329" s="24"/>
      <c r="M1329" s="24"/>
      <c r="N1329" s="24"/>
      <c r="O1329" s="24"/>
      <c r="P1329" s="24"/>
      <c r="Q1329" s="24"/>
      <c r="R1329" s="24"/>
      <c r="S1329" s="24"/>
      <c r="T1329" s="24"/>
      <c r="U1329" s="24"/>
      <c r="V1329" s="24"/>
      <c r="W1329" s="24"/>
      <c r="X1329" s="24"/>
      <c r="Y1329" s="24"/>
      <c r="Z1329" s="24"/>
      <c r="AA1329" s="24"/>
      <c r="AB1329" s="24"/>
      <c r="AC1329" s="24"/>
    </row>
    <row r="1330" spans="1:29" ht="12.9">
      <c r="A1330" s="24"/>
      <c r="B1330" s="24"/>
      <c r="C1330" s="24"/>
      <c r="D1330" s="24"/>
      <c r="E1330" s="24"/>
      <c r="F1330" s="24"/>
      <c r="G1330" s="24"/>
      <c r="H1330" s="24"/>
      <c r="I1330" s="24"/>
      <c r="J1330" s="24"/>
      <c r="K1330" s="24"/>
      <c r="L1330" s="24"/>
      <c r="M1330" s="24"/>
      <c r="N1330" s="24"/>
      <c r="O1330" s="24"/>
      <c r="P1330" s="24"/>
      <c r="Q1330" s="24"/>
      <c r="R1330" s="24"/>
      <c r="S1330" s="24"/>
      <c r="T1330" s="24"/>
      <c r="U1330" s="24"/>
      <c r="V1330" s="24"/>
      <c r="W1330" s="24"/>
      <c r="X1330" s="24"/>
      <c r="Y1330" s="24"/>
      <c r="Z1330" s="24"/>
      <c r="AA1330" s="24"/>
      <c r="AB1330" s="24"/>
      <c r="AC1330" s="24"/>
    </row>
    <row r="1331" spans="1:29" ht="12.9">
      <c r="A1331" s="24"/>
      <c r="B1331" s="24"/>
      <c r="C1331" s="24"/>
      <c r="D1331" s="24"/>
      <c r="E1331" s="24"/>
      <c r="F1331" s="24"/>
      <c r="G1331" s="24"/>
      <c r="H1331" s="24"/>
      <c r="I1331" s="24"/>
      <c r="J1331" s="24"/>
      <c r="K1331" s="24"/>
      <c r="L1331" s="24"/>
      <c r="M1331" s="24"/>
      <c r="N1331" s="24"/>
      <c r="O1331" s="24"/>
      <c r="P1331" s="24"/>
      <c r="Q1331" s="24"/>
      <c r="R1331" s="24"/>
      <c r="S1331" s="24"/>
      <c r="T1331" s="24"/>
      <c r="U1331" s="24"/>
      <c r="V1331" s="24"/>
      <c r="W1331" s="24"/>
      <c r="X1331" s="24"/>
      <c r="Y1331" s="24"/>
      <c r="Z1331" s="24"/>
      <c r="AA1331" s="24"/>
      <c r="AB1331" s="24"/>
      <c r="AC1331" s="24"/>
    </row>
    <row r="1332" spans="1:29" ht="12.9">
      <c r="A1332" s="24"/>
      <c r="B1332" s="24"/>
      <c r="C1332" s="24"/>
      <c r="D1332" s="24"/>
      <c r="E1332" s="24"/>
      <c r="F1332" s="24"/>
      <c r="G1332" s="24"/>
      <c r="H1332" s="24"/>
      <c r="I1332" s="24"/>
      <c r="J1332" s="24"/>
      <c r="K1332" s="24"/>
      <c r="L1332" s="24"/>
      <c r="M1332" s="24"/>
      <c r="N1332" s="24"/>
      <c r="O1332" s="24"/>
      <c r="P1332" s="24"/>
      <c r="Q1332" s="24"/>
      <c r="R1332" s="24"/>
      <c r="S1332" s="24"/>
      <c r="T1332" s="24"/>
      <c r="U1332" s="24"/>
      <c r="V1332" s="24"/>
      <c r="W1332" s="24"/>
      <c r="X1332" s="24"/>
      <c r="Y1332" s="24"/>
      <c r="Z1332" s="24"/>
      <c r="AA1332" s="24"/>
      <c r="AB1332" s="24"/>
      <c r="AC1332" s="24"/>
    </row>
    <row r="1333" spans="1:29" ht="12.9">
      <c r="A1333" s="24"/>
      <c r="B1333" s="24"/>
      <c r="C1333" s="24"/>
      <c r="D1333" s="24"/>
      <c r="E1333" s="24"/>
      <c r="F1333" s="24"/>
      <c r="G1333" s="24"/>
      <c r="H1333" s="24"/>
      <c r="I1333" s="24"/>
      <c r="J1333" s="24"/>
      <c r="K1333" s="24"/>
      <c r="L1333" s="24"/>
      <c r="M1333" s="24"/>
      <c r="N1333" s="24"/>
      <c r="O1333" s="24"/>
      <c r="P1333" s="24"/>
      <c r="Q1333" s="24"/>
      <c r="R1333" s="24"/>
      <c r="S1333" s="24"/>
      <c r="T1333" s="24"/>
      <c r="U1333" s="24"/>
      <c r="V1333" s="24"/>
      <c r="W1333" s="24"/>
      <c r="X1333" s="24"/>
      <c r="Y1333" s="24"/>
      <c r="Z1333" s="24"/>
      <c r="AA1333" s="24"/>
      <c r="AB1333" s="24"/>
      <c r="AC1333" s="24"/>
    </row>
    <row r="1334" spans="1:29" ht="12.9">
      <c r="A1334" s="24"/>
      <c r="B1334" s="24"/>
      <c r="C1334" s="24"/>
      <c r="D1334" s="24"/>
      <c r="E1334" s="24"/>
      <c r="F1334" s="24"/>
      <c r="G1334" s="24"/>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row>
    <row r="1335" spans="1:29" ht="12.9">
      <c r="A1335" s="24"/>
      <c r="B1335" s="24"/>
      <c r="C1335" s="24"/>
      <c r="D1335" s="24"/>
      <c r="E1335" s="24"/>
      <c r="F1335" s="24"/>
      <c r="G1335" s="24"/>
      <c r="H1335" s="24"/>
      <c r="I1335" s="24"/>
      <c r="J1335" s="24"/>
      <c r="K1335" s="24"/>
      <c r="L1335" s="24"/>
      <c r="M1335" s="24"/>
      <c r="N1335" s="24"/>
      <c r="O1335" s="24"/>
      <c r="P1335" s="24"/>
      <c r="Q1335" s="24"/>
      <c r="R1335" s="24"/>
      <c r="S1335" s="24"/>
      <c r="T1335" s="24"/>
      <c r="U1335" s="24"/>
      <c r="V1335" s="24"/>
      <c r="W1335" s="24"/>
      <c r="X1335" s="24"/>
      <c r="Y1335" s="24"/>
      <c r="Z1335" s="24"/>
      <c r="AA1335" s="24"/>
      <c r="AB1335" s="24"/>
      <c r="AC1335" s="24"/>
    </row>
    <row r="1336" spans="1:29" ht="12.9">
      <c r="A1336" s="24"/>
      <c r="B1336" s="24"/>
      <c r="C1336" s="24"/>
      <c r="D1336" s="24"/>
      <c r="E1336" s="24"/>
      <c r="F1336" s="24"/>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row>
    <row r="1337" spans="1:29" ht="12.9">
      <c r="A1337" s="24"/>
      <c r="B1337" s="24"/>
      <c r="C1337" s="24"/>
      <c r="D1337" s="24"/>
      <c r="E1337" s="24"/>
      <c r="F1337" s="24"/>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24"/>
      <c r="AC1337" s="24"/>
    </row>
    <row r="1338" spans="1:29" ht="12.9">
      <c r="A1338" s="24"/>
      <c r="B1338" s="24"/>
      <c r="C1338" s="24"/>
      <c r="D1338" s="24"/>
      <c r="E1338" s="24"/>
      <c r="F1338" s="24"/>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24"/>
      <c r="AC1338" s="24"/>
    </row>
    <row r="1339" spans="1:29" ht="12.9">
      <c r="A1339" s="24"/>
      <c r="B1339" s="24"/>
      <c r="C1339" s="24"/>
      <c r="D1339" s="24"/>
      <c r="E1339" s="24"/>
      <c r="F1339" s="24"/>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24"/>
      <c r="AC1339" s="24"/>
    </row>
    <row r="1340" spans="1:29" ht="12.9">
      <c r="A1340" s="24"/>
      <c r="B1340" s="24"/>
      <c r="C1340" s="24"/>
      <c r="D1340" s="24"/>
      <c r="E1340" s="24"/>
      <c r="F1340" s="24"/>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24"/>
      <c r="AC1340" s="24"/>
    </row>
    <row r="1341" spans="1:29" ht="12.9">
      <c r="A1341" s="24"/>
      <c r="B1341" s="24"/>
      <c r="C1341" s="24"/>
      <c r="D1341" s="24"/>
      <c r="E1341" s="24"/>
      <c r="F1341" s="24"/>
      <c r="G1341" s="24"/>
      <c r="H1341" s="24"/>
      <c r="I1341" s="24"/>
      <c r="J1341" s="24"/>
      <c r="K1341" s="24"/>
      <c r="L1341" s="24"/>
      <c r="M1341" s="24"/>
      <c r="N1341" s="24"/>
      <c r="O1341" s="24"/>
      <c r="P1341" s="24"/>
      <c r="Q1341" s="24"/>
      <c r="R1341" s="24"/>
      <c r="S1341" s="24"/>
      <c r="T1341" s="24"/>
      <c r="U1341" s="24"/>
      <c r="V1341" s="24"/>
      <c r="W1341" s="24"/>
      <c r="X1341" s="24"/>
      <c r="Y1341" s="24"/>
      <c r="Z1341" s="24"/>
      <c r="AA1341" s="24"/>
      <c r="AB1341" s="24"/>
      <c r="AC1341" s="24"/>
    </row>
    <row r="1342" spans="1:29" ht="12.9">
      <c r="A1342" s="24"/>
      <c r="B1342" s="24"/>
      <c r="C1342" s="24"/>
      <c r="D1342" s="24"/>
      <c r="E1342" s="24"/>
      <c r="F1342" s="24"/>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row>
    <row r="1343" spans="1:29" ht="12.9">
      <c r="A1343" s="24"/>
      <c r="B1343" s="24"/>
      <c r="C1343" s="24"/>
      <c r="D1343" s="24"/>
      <c r="E1343" s="24"/>
      <c r="F1343" s="24"/>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4"/>
      <c r="AC1343" s="24"/>
    </row>
    <row r="1344" spans="1:29" ht="12.9">
      <c r="A1344" s="24"/>
      <c r="B1344" s="24"/>
      <c r="C1344" s="24"/>
      <c r="D1344" s="24"/>
      <c r="E1344" s="24"/>
      <c r="F1344" s="24"/>
      <c r="G1344" s="24"/>
      <c r="H1344" s="24"/>
      <c r="I1344" s="24"/>
      <c r="J1344" s="24"/>
      <c r="K1344" s="24"/>
      <c r="L1344" s="24"/>
      <c r="M1344" s="24"/>
      <c r="N1344" s="24"/>
      <c r="O1344" s="24"/>
      <c r="P1344" s="24"/>
      <c r="Q1344" s="24"/>
      <c r="R1344" s="24"/>
      <c r="S1344" s="24"/>
      <c r="T1344" s="24"/>
      <c r="U1344" s="24"/>
      <c r="V1344" s="24"/>
      <c r="W1344" s="24"/>
      <c r="X1344" s="24"/>
      <c r="Y1344" s="24"/>
      <c r="Z1344" s="24"/>
      <c r="AA1344" s="24"/>
      <c r="AB1344" s="24"/>
      <c r="AC1344" s="24"/>
    </row>
    <row r="1345" spans="1:29" ht="12.9">
      <c r="A1345" s="24"/>
      <c r="B1345" s="24"/>
      <c r="C1345" s="24"/>
      <c r="D1345" s="24"/>
      <c r="E1345" s="24"/>
      <c r="F1345" s="24"/>
      <c r="G1345" s="24"/>
      <c r="H1345" s="24"/>
      <c r="I1345" s="24"/>
      <c r="J1345" s="24"/>
      <c r="K1345" s="24"/>
      <c r="L1345" s="24"/>
      <c r="M1345" s="24"/>
      <c r="N1345" s="24"/>
      <c r="O1345" s="24"/>
      <c r="P1345" s="24"/>
      <c r="Q1345" s="24"/>
      <c r="R1345" s="24"/>
      <c r="S1345" s="24"/>
      <c r="T1345" s="24"/>
      <c r="U1345" s="24"/>
      <c r="V1345" s="24"/>
      <c r="W1345" s="24"/>
      <c r="X1345" s="24"/>
      <c r="Y1345" s="24"/>
      <c r="Z1345" s="24"/>
      <c r="AA1345" s="24"/>
      <c r="AB1345" s="24"/>
      <c r="AC1345" s="24"/>
    </row>
    <row r="1346" spans="1:29" ht="12.9">
      <c r="A1346" s="24"/>
      <c r="B1346" s="24"/>
      <c r="C1346" s="24"/>
      <c r="D1346" s="24"/>
      <c r="E1346" s="24"/>
      <c r="F1346" s="24"/>
      <c r="G1346" s="24"/>
      <c r="H1346" s="24"/>
      <c r="I1346" s="24"/>
      <c r="J1346" s="24"/>
      <c r="K1346" s="24"/>
      <c r="L1346" s="24"/>
      <c r="M1346" s="24"/>
      <c r="N1346" s="24"/>
      <c r="O1346" s="24"/>
      <c r="P1346" s="24"/>
      <c r="Q1346" s="24"/>
      <c r="R1346" s="24"/>
      <c r="S1346" s="24"/>
      <c r="T1346" s="24"/>
      <c r="U1346" s="24"/>
      <c r="V1346" s="24"/>
      <c r="W1346" s="24"/>
      <c r="X1346" s="24"/>
      <c r="Y1346" s="24"/>
      <c r="Z1346" s="24"/>
      <c r="AA1346" s="24"/>
      <c r="AB1346" s="24"/>
      <c r="AC1346" s="24"/>
    </row>
    <row r="1347" spans="1:29" ht="12.9">
      <c r="A1347" s="24"/>
      <c r="B1347" s="24"/>
      <c r="C1347" s="24"/>
      <c r="D1347" s="24"/>
      <c r="E1347" s="24"/>
      <c r="F1347" s="24"/>
      <c r="G1347" s="24"/>
      <c r="H1347" s="24"/>
      <c r="I1347" s="24"/>
      <c r="J1347" s="24"/>
      <c r="K1347" s="24"/>
      <c r="L1347" s="24"/>
      <c r="M1347" s="24"/>
      <c r="N1347" s="24"/>
      <c r="O1347" s="24"/>
      <c r="P1347" s="24"/>
      <c r="Q1347" s="24"/>
      <c r="R1347" s="24"/>
      <c r="S1347" s="24"/>
      <c r="T1347" s="24"/>
      <c r="U1347" s="24"/>
      <c r="V1347" s="24"/>
      <c r="W1347" s="24"/>
      <c r="X1347" s="24"/>
      <c r="Y1347" s="24"/>
      <c r="Z1347" s="24"/>
      <c r="AA1347" s="24"/>
      <c r="AB1347" s="24"/>
      <c r="AC1347" s="24"/>
    </row>
    <row r="1348" spans="1:29" ht="12.9">
      <c r="A1348" s="24"/>
      <c r="B1348" s="24"/>
      <c r="C1348" s="24"/>
      <c r="D1348" s="24"/>
      <c r="E1348" s="24"/>
      <c r="F1348" s="24"/>
      <c r="G1348" s="24"/>
      <c r="H1348" s="24"/>
      <c r="I1348" s="24"/>
      <c r="J1348" s="24"/>
      <c r="K1348" s="24"/>
      <c r="L1348" s="24"/>
      <c r="M1348" s="24"/>
      <c r="N1348" s="24"/>
      <c r="O1348" s="24"/>
      <c r="P1348" s="24"/>
      <c r="Q1348" s="24"/>
      <c r="R1348" s="24"/>
      <c r="S1348" s="24"/>
      <c r="T1348" s="24"/>
      <c r="U1348" s="24"/>
      <c r="V1348" s="24"/>
      <c r="W1348" s="24"/>
      <c r="X1348" s="24"/>
      <c r="Y1348" s="24"/>
      <c r="Z1348" s="24"/>
      <c r="AA1348" s="24"/>
      <c r="AB1348" s="24"/>
      <c r="AC1348" s="24"/>
    </row>
    <row r="1349" spans="1:29" ht="12.9">
      <c r="A1349" s="24"/>
      <c r="B1349" s="24"/>
      <c r="C1349" s="24"/>
      <c r="D1349" s="24"/>
      <c r="E1349" s="24"/>
      <c r="F1349" s="24"/>
      <c r="G1349" s="24"/>
      <c r="H1349" s="24"/>
      <c r="I1349" s="24"/>
      <c r="J1349" s="24"/>
      <c r="K1349" s="24"/>
      <c r="L1349" s="24"/>
      <c r="M1349" s="24"/>
      <c r="N1349" s="24"/>
      <c r="O1349" s="24"/>
      <c r="P1349" s="24"/>
      <c r="Q1349" s="24"/>
      <c r="R1349" s="24"/>
      <c r="S1349" s="24"/>
      <c r="T1349" s="24"/>
      <c r="U1349" s="24"/>
      <c r="V1349" s="24"/>
      <c r="W1349" s="24"/>
      <c r="X1349" s="24"/>
      <c r="Y1349" s="24"/>
      <c r="Z1349" s="24"/>
      <c r="AA1349" s="24"/>
      <c r="AB1349" s="24"/>
      <c r="AC1349" s="24"/>
    </row>
    <row r="1350" spans="1:29" ht="12.9">
      <c r="A1350" s="24"/>
      <c r="B1350" s="24"/>
      <c r="C1350" s="24"/>
      <c r="D1350" s="24"/>
      <c r="E1350" s="24"/>
      <c r="F1350" s="24"/>
      <c r="G1350" s="24"/>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row>
    <row r="1351" spans="1:29" ht="12.9">
      <c r="A1351" s="24"/>
      <c r="B1351" s="24"/>
      <c r="C1351" s="24"/>
      <c r="D1351" s="24"/>
      <c r="E1351" s="24"/>
      <c r="F1351" s="24"/>
      <c r="G1351" s="24"/>
      <c r="H1351" s="24"/>
      <c r="I1351" s="24"/>
      <c r="J1351" s="24"/>
      <c r="K1351" s="24"/>
      <c r="L1351" s="24"/>
      <c r="M1351" s="24"/>
      <c r="N1351" s="24"/>
      <c r="O1351" s="24"/>
      <c r="P1351" s="24"/>
      <c r="Q1351" s="24"/>
      <c r="R1351" s="24"/>
      <c r="S1351" s="24"/>
      <c r="T1351" s="24"/>
      <c r="U1351" s="24"/>
      <c r="V1351" s="24"/>
      <c r="W1351" s="24"/>
      <c r="X1351" s="24"/>
      <c r="Y1351" s="24"/>
      <c r="Z1351" s="24"/>
      <c r="AA1351" s="24"/>
      <c r="AB1351" s="24"/>
      <c r="AC1351" s="24"/>
    </row>
    <row r="1352" spans="1:29" ht="12.9">
      <c r="A1352" s="24"/>
      <c r="B1352" s="24"/>
      <c r="C1352" s="24"/>
      <c r="D1352" s="24"/>
      <c r="E1352" s="24"/>
      <c r="F1352" s="24"/>
      <c r="G1352" s="24"/>
      <c r="H1352" s="24"/>
      <c r="I1352" s="24"/>
      <c r="J1352" s="24"/>
      <c r="K1352" s="24"/>
      <c r="L1352" s="24"/>
      <c r="M1352" s="24"/>
      <c r="N1352" s="24"/>
      <c r="O1352" s="24"/>
      <c r="P1352" s="24"/>
      <c r="Q1352" s="24"/>
      <c r="R1352" s="24"/>
      <c r="S1352" s="24"/>
      <c r="T1352" s="24"/>
      <c r="U1352" s="24"/>
      <c r="V1352" s="24"/>
      <c r="W1352" s="24"/>
      <c r="X1352" s="24"/>
      <c r="Y1352" s="24"/>
      <c r="Z1352" s="24"/>
      <c r="AA1352" s="24"/>
      <c r="AB1352" s="24"/>
      <c r="AC1352" s="24"/>
    </row>
    <row r="1353" spans="1:29" ht="12.9">
      <c r="A1353" s="24"/>
      <c r="B1353" s="24"/>
      <c r="C1353" s="24"/>
      <c r="D1353" s="24"/>
      <c r="E1353" s="24"/>
      <c r="F1353" s="24"/>
      <c r="G1353" s="24"/>
      <c r="H1353" s="24"/>
      <c r="I1353" s="24"/>
      <c r="J1353" s="24"/>
      <c r="K1353" s="24"/>
      <c r="L1353" s="24"/>
      <c r="M1353" s="24"/>
      <c r="N1353" s="24"/>
      <c r="O1353" s="24"/>
      <c r="P1353" s="24"/>
      <c r="Q1353" s="24"/>
      <c r="R1353" s="24"/>
      <c r="S1353" s="24"/>
      <c r="T1353" s="24"/>
      <c r="U1353" s="24"/>
      <c r="V1353" s="24"/>
      <c r="W1353" s="24"/>
      <c r="X1353" s="24"/>
      <c r="Y1353" s="24"/>
      <c r="Z1353" s="24"/>
      <c r="AA1353" s="24"/>
      <c r="AB1353" s="24"/>
      <c r="AC1353" s="24"/>
    </row>
    <row r="1354" spans="1:29" ht="12.9">
      <c r="A1354" s="24"/>
      <c r="B1354" s="24"/>
      <c r="C1354" s="24"/>
      <c r="D1354" s="24"/>
      <c r="E1354" s="24"/>
      <c r="F1354" s="24"/>
      <c r="G1354" s="24"/>
      <c r="H1354" s="24"/>
      <c r="I1354" s="24"/>
      <c r="J1354" s="24"/>
      <c r="K1354" s="24"/>
      <c r="L1354" s="24"/>
      <c r="M1354" s="24"/>
      <c r="N1354" s="24"/>
      <c r="O1354" s="24"/>
      <c r="P1354" s="24"/>
      <c r="Q1354" s="24"/>
      <c r="R1354" s="24"/>
      <c r="S1354" s="24"/>
      <c r="T1354" s="24"/>
      <c r="U1354" s="24"/>
      <c r="V1354" s="24"/>
      <c r="W1354" s="24"/>
      <c r="X1354" s="24"/>
      <c r="Y1354" s="24"/>
      <c r="Z1354" s="24"/>
      <c r="AA1354" s="24"/>
      <c r="AB1354" s="24"/>
      <c r="AC1354" s="24"/>
    </row>
    <row r="1355" spans="1:29" ht="12.9">
      <c r="A1355" s="24"/>
      <c r="B1355" s="24"/>
      <c r="C1355" s="24"/>
      <c r="D1355" s="24"/>
      <c r="E1355" s="24"/>
      <c r="F1355" s="24"/>
      <c r="G1355" s="24"/>
      <c r="H1355" s="24"/>
      <c r="I1355" s="24"/>
      <c r="J1355" s="24"/>
      <c r="K1355" s="24"/>
      <c r="L1355" s="24"/>
      <c r="M1355" s="24"/>
      <c r="N1355" s="24"/>
      <c r="O1355" s="24"/>
      <c r="P1355" s="24"/>
      <c r="Q1355" s="24"/>
      <c r="R1355" s="24"/>
      <c r="S1355" s="24"/>
      <c r="T1355" s="24"/>
      <c r="U1355" s="24"/>
      <c r="V1355" s="24"/>
      <c r="W1355" s="24"/>
      <c r="X1355" s="24"/>
      <c r="Y1355" s="24"/>
      <c r="Z1355" s="24"/>
      <c r="AA1355" s="24"/>
      <c r="AB1355" s="24"/>
      <c r="AC1355" s="24"/>
    </row>
    <row r="1356" spans="1:29" ht="12.9">
      <c r="A1356" s="24"/>
      <c r="B1356" s="24"/>
      <c r="C1356" s="24"/>
      <c r="D1356" s="24"/>
      <c r="E1356" s="24"/>
      <c r="F1356" s="24"/>
      <c r="G1356" s="24"/>
      <c r="H1356" s="24"/>
      <c r="I1356" s="24"/>
      <c r="J1356" s="24"/>
      <c r="K1356" s="24"/>
      <c r="L1356" s="24"/>
      <c r="M1356" s="24"/>
      <c r="N1356" s="24"/>
      <c r="O1356" s="24"/>
      <c r="P1356" s="24"/>
      <c r="Q1356" s="24"/>
      <c r="R1356" s="24"/>
      <c r="S1356" s="24"/>
      <c r="T1356" s="24"/>
      <c r="U1356" s="24"/>
      <c r="V1356" s="24"/>
      <c r="W1356" s="24"/>
      <c r="X1356" s="24"/>
      <c r="Y1356" s="24"/>
      <c r="Z1356" s="24"/>
      <c r="AA1356" s="24"/>
      <c r="AB1356" s="24"/>
      <c r="AC1356" s="24"/>
    </row>
    <row r="1357" spans="1:29" ht="12.9">
      <c r="A1357" s="24"/>
      <c r="B1357" s="24"/>
      <c r="C1357" s="24"/>
      <c r="D1357" s="24"/>
      <c r="E1357" s="24"/>
      <c r="F1357" s="24"/>
      <c r="G1357" s="24"/>
      <c r="H1357" s="24"/>
      <c r="I1357" s="24"/>
      <c r="J1357" s="24"/>
      <c r="K1357" s="24"/>
      <c r="L1357" s="24"/>
      <c r="M1357" s="24"/>
      <c r="N1357" s="24"/>
      <c r="O1357" s="24"/>
      <c r="P1357" s="24"/>
      <c r="Q1357" s="24"/>
      <c r="R1357" s="24"/>
      <c r="S1357" s="24"/>
      <c r="T1357" s="24"/>
      <c r="U1357" s="24"/>
      <c r="V1357" s="24"/>
      <c r="W1357" s="24"/>
      <c r="X1357" s="24"/>
      <c r="Y1357" s="24"/>
      <c r="Z1357" s="24"/>
      <c r="AA1357" s="24"/>
      <c r="AB1357" s="24"/>
      <c r="AC1357" s="24"/>
    </row>
    <row r="1358" spans="1:29" ht="12.9">
      <c r="A1358" s="24"/>
      <c r="B1358" s="24"/>
      <c r="C1358" s="24"/>
      <c r="D1358" s="24"/>
      <c r="E1358" s="24"/>
      <c r="F1358" s="24"/>
      <c r="G1358" s="24"/>
      <c r="H1358" s="24"/>
      <c r="I1358" s="24"/>
      <c r="J1358" s="24"/>
      <c r="K1358" s="24"/>
      <c r="L1358" s="24"/>
      <c r="M1358" s="24"/>
      <c r="N1358" s="24"/>
      <c r="O1358" s="24"/>
      <c r="P1358" s="24"/>
      <c r="Q1358" s="24"/>
      <c r="R1358" s="24"/>
      <c r="S1358" s="24"/>
      <c r="T1358" s="24"/>
      <c r="U1358" s="24"/>
      <c r="V1358" s="24"/>
      <c r="W1358" s="24"/>
      <c r="X1358" s="24"/>
      <c r="Y1358" s="24"/>
      <c r="Z1358" s="24"/>
      <c r="AA1358" s="24"/>
      <c r="AB1358" s="24"/>
      <c r="AC1358" s="24"/>
    </row>
    <row r="1359" spans="1:29" ht="12.9">
      <c r="A1359" s="24"/>
      <c r="B1359" s="24"/>
      <c r="C1359" s="24"/>
      <c r="D1359" s="24"/>
      <c r="E1359" s="24"/>
      <c r="F1359" s="24"/>
      <c r="G1359" s="24"/>
      <c r="H1359" s="24"/>
      <c r="I1359" s="24"/>
      <c r="J1359" s="24"/>
      <c r="K1359" s="24"/>
      <c r="L1359" s="24"/>
      <c r="M1359" s="24"/>
      <c r="N1359" s="24"/>
      <c r="O1359" s="24"/>
      <c r="P1359" s="24"/>
      <c r="Q1359" s="24"/>
      <c r="R1359" s="24"/>
      <c r="S1359" s="24"/>
      <c r="T1359" s="24"/>
      <c r="U1359" s="24"/>
      <c r="V1359" s="24"/>
      <c r="W1359" s="24"/>
      <c r="X1359" s="24"/>
      <c r="Y1359" s="24"/>
      <c r="Z1359" s="24"/>
      <c r="AA1359" s="24"/>
      <c r="AB1359" s="24"/>
      <c r="AC1359" s="24"/>
    </row>
    <row r="1360" spans="1:29" ht="12.9">
      <c r="A1360" s="24"/>
      <c r="B1360" s="24"/>
      <c r="C1360" s="24"/>
      <c r="D1360" s="24"/>
      <c r="E1360" s="24"/>
      <c r="F1360" s="24"/>
      <c r="G1360" s="24"/>
      <c r="H1360" s="24"/>
      <c r="I1360" s="24"/>
      <c r="J1360" s="24"/>
      <c r="K1360" s="24"/>
      <c r="L1360" s="24"/>
      <c r="M1360" s="24"/>
      <c r="N1360" s="24"/>
      <c r="O1360" s="24"/>
      <c r="P1360" s="24"/>
      <c r="Q1360" s="24"/>
      <c r="R1360" s="24"/>
      <c r="S1360" s="24"/>
      <c r="T1360" s="24"/>
      <c r="U1360" s="24"/>
      <c r="V1360" s="24"/>
      <c r="W1360" s="24"/>
      <c r="X1360" s="24"/>
      <c r="Y1360" s="24"/>
      <c r="Z1360" s="24"/>
      <c r="AA1360" s="24"/>
      <c r="AB1360" s="24"/>
      <c r="AC1360" s="24"/>
    </row>
    <row r="1361" spans="1:29" ht="12.9">
      <c r="A1361" s="24"/>
      <c r="B1361" s="24"/>
      <c r="C1361" s="24"/>
      <c r="D1361" s="24"/>
      <c r="E1361" s="24"/>
      <c r="F1361" s="24"/>
      <c r="G1361" s="24"/>
      <c r="H1361" s="24"/>
      <c r="I1361" s="24"/>
      <c r="J1361" s="24"/>
      <c r="K1361" s="24"/>
      <c r="L1361" s="24"/>
      <c r="M1361" s="24"/>
      <c r="N1361" s="24"/>
      <c r="O1361" s="24"/>
      <c r="P1361" s="24"/>
      <c r="Q1361" s="24"/>
      <c r="R1361" s="24"/>
      <c r="S1361" s="24"/>
      <c r="T1361" s="24"/>
      <c r="U1361" s="24"/>
      <c r="V1361" s="24"/>
      <c r="W1361" s="24"/>
      <c r="X1361" s="24"/>
      <c r="Y1361" s="24"/>
      <c r="Z1361" s="24"/>
      <c r="AA1361" s="24"/>
      <c r="AB1361" s="24"/>
      <c r="AC1361" s="24"/>
    </row>
    <row r="1362" spans="1:29" ht="12.9">
      <c r="A1362" s="24"/>
      <c r="B1362" s="24"/>
      <c r="C1362" s="24"/>
      <c r="D1362" s="24"/>
      <c r="E1362" s="24"/>
      <c r="F1362" s="24"/>
      <c r="G1362" s="24"/>
      <c r="H1362" s="24"/>
      <c r="I1362" s="24"/>
      <c r="J1362" s="24"/>
      <c r="K1362" s="24"/>
      <c r="L1362" s="24"/>
      <c r="M1362" s="24"/>
      <c r="N1362" s="24"/>
      <c r="O1362" s="24"/>
      <c r="P1362" s="24"/>
      <c r="Q1362" s="24"/>
      <c r="R1362" s="24"/>
      <c r="S1362" s="24"/>
      <c r="T1362" s="24"/>
      <c r="U1362" s="24"/>
      <c r="V1362" s="24"/>
      <c r="W1362" s="24"/>
      <c r="X1362" s="24"/>
      <c r="Y1362" s="24"/>
      <c r="Z1362" s="24"/>
      <c r="AA1362" s="24"/>
      <c r="AB1362" s="24"/>
      <c r="AC1362" s="24"/>
    </row>
    <row r="1363" spans="1:29" ht="12.9">
      <c r="A1363" s="24"/>
      <c r="B1363" s="24"/>
      <c r="C1363" s="24"/>
      <c r="D1363" s="24"/>
      <c r="E1363" s="24"/>
      <c r="F1363" s="24"/>
      <c r="G1363" s="24"/>
      <c r="H1363" s="24"/>
      <c r="I1363" s="24"/>
      <c r="J1363" s="24"/>
      <c r="K1363" s="24"/>
      <c r="L1363" s="24"/>
      <c r="M1363" s="24"/>
      <c r="N1363" s="24"/>
      <c r="O1363" s="24"/>
      <c r="P1363" s="24"/>
      <c r="Q1363" s="24"/>
      <c r="R1363" s="24"/>
      <c r="S1363" s="24"/>
      <c r="T1363" s="24"/>
      <c r="U1363" s="24"/>
      <c r="V1363" s="24"/>
      <c r="W1363" s="24"/>
      <c r="X1363" s="24"/>
      <c r="Y1363" s="24"/>
      <c r="Z1363" s="24"/>
      <c r="AA1363" s="24"/>
      <c r="AB1363" s="24"/>
      <c r="AC1363" s="24"/>
    </row>
    <row r="1364" spans="1:29" ht="12.9">
      <c r="A1364" s="24"/>
      <c r="B1364" s="24"/>
      <c r="C1364" s="24"/>
      <c r="D1364" s="24"/>
      <c r="E1364" s="24"/>
      <c r="F1364" s="24"/>
      <c r="G1364" s="24"/>
      <c r="H1364" s="24"/>
      <c r="I1364" s="24"/>
      <c r="J1364" s="24"/>
      <c r="K1364" s="24"/>
      <c r="L1364" s="24"/>
      <c r="M1364" s="24"/>
      <c r="N1364" s="24"/>
      <c r="O1364" s="24"/>
      <c r="P1364" s="24"/>
      <c r="Q1364" s="24"/>
      <c r="R1364" s="24"/>
      <c r="S1364" s="24"/>
      <c r="T1364" s="24"/>
      <c r="U1364" s="24"/>
      <c r="V1364" s="24"/>
      <c r="W1364" s="24"/>
      <c r="X1364" s="24"/>
      <c r="Y1364" s="24"/>
      <c r="Z1364" s="24"/>
      <c r="AA1364" s="24"/>
      <c r="AB1364" s="24"/>
      <c r="AC1364" s="24"/>
    </row>
    <row r="1365" spans="1:29" ht="12.9">
      <c r="A1365" s="24"/>
      <c r="B1365" s="24"/>
      <c r="C1365" s="24"/>
      <c r="D1365" s="24"/>
      <c r="E1365" s="24"/>
      <c r="F1365" s="24"/>
      <c r="G1365" s="24"/>
      <c r="H1365" s="24"/>
      <c r="I1365" s="24"/>
      <c r="J1365" s="24"/>
      <c r="K1365" s="24"/>
      <c r="L1365" s="24"/>
      <c r="M1365" s="24"/>
      <c r="N1365" s="24"/>
      <c r="O1365" s="24"/>
      <c r="P1365" s="24"/>
      <c r="Q1365" s="24"/>
      <c r="R1365" s="24"/>
      <c r="S1365" s="24"/>
      <c r="T1365" s="24"/>
      <c r="U1365" s="24"/>
      <c r="V1365" s="24"/>
      <c r="W1365" s="24"/>
      <c r="X1365" s="24"/>
      <c r="Y1365" s="24"/>
      <c r="Z1365" s="24"/>
      <c r="AA1365" s="24"/>
      <c r="AB1365" s="24"/>
      <c r="AC1365" s="24"/>
    </row>
    <row r="1366" spans="1:29" ht="12.9">
      <c r="A1366" s="24"/>
      <c r="B1366" s="24"/>
      <c r="C1366" s="24"/>
      <c r="D1366" s="24"/>
      <c r="E1366" s="24"/>
      <c r="F1366" s="24"/>
      <c r="G1366" s="24"/>
      <c r="H1366" s="24"/>
      <c r="I1366" s="24"/>
      <c r="J1366" s="24"/>
      <c r="K1366" s="24"/>
      <c r="L1366" s="24"/>
      <c r="M1366" s="24"/>
      <c r="N1366" s="24"/>
      <c r="O1366" s="24"/>
      <c r="P1366" s="24"/>
      <c r="Q1366" s="24"/>
      <c r="R1366" s="24"/>
      <c r="S1366" s="24"/>
      <c r="T1366" s="24"/>
      <c r="U1366" s="24"/>
      <c r="V1366" s="24"/>
      <c r="W1366" s="24"/>
      <c r="X1366" s="24"/>
      <c r="Y1366" s="24"/>
      <c r="Z1366" s="24"/>
      <c r="AA1366" s="24"/>
      <c r="AB1366" s="24"/>
      <c r="AC1366" s="24"/>
    </row>
    <row r="1367" spans="1:29" ht="12.9">
      <c r="A1367" s="24"/>
      <c r="B1367" s="24"/>
      <c r="C1367" s="24"/>
      <c r="D1367" s="24"/>
      <c r="E1367" s="24"/>
      <c r="F1367" s="24"/>
      <c r="G1367" s="24"/>
      <c r="H1367" s="24"/>
      <c r="I1367" s="24"/>
      <c r="J1367" s="24"/>
      <c r="K1367" s="24"/>
      <c r="L1367" s="24"/>
      <c r="M1367" s="24"/>
      <c r="N1367" s="24"/>
      <c r="O1367" s="24"/>
      <c r="P1367" s="24"/>
      <c r="Q1367" s="24"/>
      <c r="R1367" s="24"/>
      <c r="S1367" s="24"/>
      <c r="T1367" s="24"/>
      <c r="U1367" s="24"/>
      <c r="V1367" s="24"/>
      <c r="W1367" s="24"/>
      <c r="X1367" s="24"/>
      <c r="Y1367" s="24"/>
      <c r="Z1367" s="24"/>
      <c r="AA1367" s="24"/>
      <c r="AB1367" s="24"/>
      <c r="AC1367" s="24"/>
    </row>
    <row r="1368" spans="1:29" ht="12.9">
      <c r="A1368" s="24"/>
      <c r="B1368" s="24"/>
      <c r="C1368" s="24"/>
      <c r="D1368" s="24"/>
      <c r="E1368" s="24"/>
      <c r="F1368" s="24"/>
      <c r="G1368" s="24"/>
      <c r="H1368" s="24"/>
      <c r="I1368" s="24"/>
      <c r="J1368" s="24"/>
      <c r="K1368" s="24"/>
      <c r="L1368" s="24"/>
      <c r="M1368" s="24"/>
      <c r="N1368" s="24"/>
      <c r="O1368" s="24"/>
      <c r="P1368" s="24"/>
      <c r="Q1368" s="24"/>
      <c r="R1368" s="24"/>
      <c r="S1368" s="24"/>
      <c r="T1368" s="24"/>
      <c r="U1368" s="24"/>
      <c r="V1368" s="24"/>
      <c r="W1368" s="24"/>
      <c r="X1368" s="24"/>
      <c r="Y1368" s="24"/>
      <c r="Z1368" s="24"/>
      <c r="AA1368" s="24"/>
      <c r="AB1368" s="24"/>
      <c r="AC1368" s="24"/>
    </row>
    <row r="1369" spans="1:29" ht="12.9">
      <c r="A1369" s="24"/>
      <c r="B1369" s="24"/>
      <c r="C1369" s="24"/>
      <c r="D1369" s="24"/>
      <c r="E1369" s="24"/>
      <c r="F1369" s="24"/>
      <c r="G1369" s="24"/>
      <c r="H1369" s="24"/>
      <c r="I1369" s="24"/>
      <c r="J1369" s="24"/>
      <c r="K1369" s="24"/>
      <c r="L1369" s="24"/>
      <c r="M1369" s="24"/>
      <c r="N1369" s="24"/>
      <c r="O1369" s="24"/>
      <c r="P1369" s="24"/>
      <c r="Q1369" s="24"/>
      <c r="R1369" s="24"/>
      <c r="S1369" s="24"/>
      <c r="T1369" s="24"/>
      <c r="U1369" s="24"/>
      <c r="V1369" s="24"/>
      <c r="W1369" s="24"/>
      <c r="X1369" s="24"/>
      <c r="Y1369" s="24"/>
      <c r="Z1369" s="24"/>
      <c r="AA1369" s="24"/>
      <c r="AB1369" s="24"/>
      <c r="AC1369" s="24"/>
    </row>
    <row r="1370" spans="1:29" ht="12.9">
      <c r="A1370" s="24"/>
      <c r="B1370" s="24"/>
      <c r="C1370" s="24"/>
      <c r="D1370" s="24"/>
      <c r="E1370" s="24"/>
      <c r="F1370" s="24"/>
      <c r="G1370" s="24"/>
      <c r="H1370" s="24"/>
      <c r="I1370" s="24"/>
      <c r="J1370" s="24"/>
      <c r="K1370" s="24"/>
      <c r="L1370" s="24"/>
      <c r="M1370" s="24"/>
      <c r="N1370" s="24"/>
      <c r="O1370" s="24"/>
      <c r="P1370" s="24"/>
      <c r="Q1370" s="24"/>
      <c r="R1370" s="24"/>
      <c r="S1370" s="24"/>
      <c r="T1370" s="24"/>
      <c r="U1370" s="24"/>
      <c r="V1370" s="24"/>
      <c r="W1370" s="24"/>
      <c r="X1370" s="24"/>
      <c r="Y1370" s="24"/>
      <c r="Z1370" s="24"/>
      <c r="AA1370" s="24"/>
      <c r="AB1370" s="24"/>
      <c r="AC1370" s="24"/>
    </row>
    <row r="1371" spans="1:29" ht="12.9">
      <c r="A1371" s="24"/>
      <c r="B1371" s="24"/>
      <c r="C1371" s="24"/>
      <c r="D1371" s="24"/>
      <c r="E1371" s="24"/>
      <c r="F1371" s="24"/>
      <c r="G1371" s="24"/>
      <c r="H1371" s="24"/>
      <c r="I1371" s="24"/>
      <c r="J1371" s="24"/>
      <c r="K1371" s="24"/>
      <c r="L1371" s="24"/>
      <c r="M1371" s="24"/>
      <c r="N1371" s="24"/>
      <c r="O1371" s="24"/>
      <c r="P1371" s="24"/>
      <c r="Q1371" s="24"/>
      <c r="R1371" s="24"/>
      <c r="S1371" s="24"/>
      <c r="T1371" s="24"/>
      <c r="U1371" s="24"/>
      <c r="V1371" s="24"/>
      <c r="W1371" s="24"/>
      <c r="X1371" s="24"/>
      <c r="Y1371" s="24"/>
      <c r="Z1371" s="24"/>
      <c r="AA1371" s="24"/>
      <c r="AB1371" s="24"/>
      <c r="AC1371" s="24"/>
    </row>
    <row r="1372" spans="1:29" ht="12.9">
      <c r="A1372" s="24"/>
      <c r="B1372" s="24"/>
      <c r="C1372" s="24"/>
      <c r="D1372" s="24"/>
      <c r="E1372" s="24"/>
      <c r="F1372" s="24"/>
      <c r="G1372" s="24"/>
      <c r="H1372" s="24"/>
      <c r="I1372" s="24"/>
      <c r="J1372" s="24"/>
      <c r="K1372" s="24"/>
      <c r="L1372" s="24"/>
      <c r="M1372" s="24"/>
      <c r="N1372" s="24"/>
      <c r="O1372" s="24"/>
      <c r="P1372" s="24"/>
      <c r="Q1372" s="24"/>
      <c r="R1372" s="24"/>
      <c r="S1372" s="24"/>
      <c r="T1372" s="24"/>
      <c r="U1372" s="24"/>
      <c r="V1372" s="24"/>
      <c r="W1372" s="24"/>
      <c r="X1372" s="24"/>
      <c r="Y1372" s="24"/>
      <c r="Z1372" s="24"/>
      <c r="AA1372" s="24"/>
      <c r="AB1372" s="24"/>
      <c r="AC1372" s="24"/>
    </row>
    <row r="1373" spans="1:29" ht="12.9">
      <c r="A1373" s="24"/>
      <c r="B1373" s="24"/>
      <c r="C1373" s="24"/>
      <c r="D1373" s="24"/>
      <c r="E1373" s="24"/>
      <c r="F1373" s="24"/>
      <c r="G1373" s="24"/>
      <c r="H1373" s="24"/>
      <c r="I1373" s="24"/>
      <c r="J1373" s="24"/>
      <c r="K1373" s="24"/>
      <c r="L1373" s="24"/>
      <c r="M1373" s="24"/>
      <c r="N1373" s="24"/>
      <c r="O1373" s="24"/>
      <c r="P1373" s="24"/>
      <c r="Q1373" s="24"/>
      <c r="R1373" s="24"/>
      <c r="S1373" s="24"/>
      <c r="T1373" s="24"/>
      <c r="U1373" s="24"/>
      <c r="V1373" s="24"/>
      <c r="W1373" s="24"/>
      <c r="X1373" s="24"/>
      <c r="Y1373" s="24"/>
      <c r="Z1373" s="24"/>
      <c r="AA1373" s="24"/>
      <c r="AB1373" s="24"/>
      <c r="AC1373" s="24"/>
    </row>
    <row r="1374" spans="1:29" ht="12.9">
      <c r="A1374" s="24"/>
      <c r="B1374" s="24"/>
      <c r="C1374" s="24"/>
      <c r="D1374" s="24"/>
      <c r="E1374" s="24"/>
      <c r="F1374" s="24"/>
      <c r="G1374" s="24"/>
      <c r="H1374" s="24"/>
      <c r="I1374" s="24"/>
      <c r="J1374" s="24"/>
      <c r="K1374" s="24"/>
      <c r="L1374" s="24"/>
      <c r="M1374" s="24"/>
      <c r="N1374" s="24"/>
      <c r="O1374" s="24"/>
      <c r="P1374" s="24"/>
      <c r="Q1374" s="24"/>
      <c r="R1374" s="24"/>
      <c r="S1374" s="24"/>
      <c r="T1374" s="24"/>
      <c r="U1374" s="24"/>
      <c r="V1374" s="24"/>
      <c r="W1374" s="24"/>
      <c r="X1374" s="24"/>
      <c r="Y1374" s="24"/>
      <c r="Z1374" s="24"/>
      <c r="AA1374" s="24"/>
      <c r="AB1374" s="24"/>
      <c r="AC1374" s="24"/>
    </row>
    <row r="1375" spans="1:29" ht="12.9">
      <c r="A1375" s="24"/>
      <c r="B1375" s="24"/>
      <c r="C1375" s="24"/>
      <c r="D1375" s="24"/>
      <c r="E1375" s="24"/>
      <c r="F1375" s="24"/>
      <c r="G1375" s="24"/>
      <c r="H1375" s="24"/>
      <c r="I1375" s="24"/>
      <c r="J1375" s="24"/>
      <c r="K1375" s="24"/>
      <c r="L1375" s="24"/>
      <c r="M1375" s="24"/>
      <c r="N1375" s="24"/>
      <c r="O1375" s="24"/>
      <c r="P1375" s="24"/>
      <c r="Q1375" s="24"/>
      <c r="R1375" s="24"/>
      <c r="S1375" s="24"/>
      <c r="T1375" s="24"/>
      <c r="U1375" s="24"/>
      <c r="V1375" s="24"/>
      <c r="W1375" s="24"/>
      <c r="X1375" s="24"/>
      <c r="Y1375" s="24"/>
      <c r="Z1375" s="24"/>
      <c r="AA1375" s="24"/>
      <c r="AB1375" s="24"/>
      <c r="AC1375" s="24"/>
    </row>
    <row r="1376" spans="1:29" ht="12.9">
      <c r="A1376" s="24"/>
      <c r="B1376" s="24"/>
      <c r="C1376" s="24"/>
      <c r="D1376" s="24"/>
      <c r="E1376" s="24"/>
      <c r="F1376" s="24"/>
      <c r="G1376" s="24"/>
      <c r="H1376" s="24"/>
      <c r="I1376" s="24"/>
      <c r="J1376" s="24"/>
      <c r="K1376" s="24"/>
      <c r="L1376" s="24"/>
      <c r="M1376" s="24"/>
      <c r="N1376" s="24"/>
      <c r="O1376" s="24"/>
      <c r="P1376" s="24"/>
      <c r="Q1376" s="24"/>
      <c r="R1376" s="24"/>
      <c r="S1376" s="24"/>
      <c r="T1376" s="24"/>
      <c r="U1376" s="24"/>
      <c r="V1376" s="24"/>
      <c r="W1376" s="24"/>
      <c r="X1376" s="24"/>
      <c r="Y1376" s="24"/>
      <c r="Z1376" s="24"/>
      <c r="AA1376" s="24"/>
      <c r="AB1376" s="24"/>
      <c r="AC1376" s="24"/>
    </row>
    <row r="1377" spans="1:29" ht="12.9">
      <c r="A1377" s="24"/>
      <c r="B1377" s="24"/>
      <c r="C1377" s="24"/>
      <c r="D1377" s="24"/>
      <c r="E1377" s="24"/>
      <c r="F1377" s="24"/>
      <c r="G1377" s="24"/>
      <c r="H1377" s="24"/>
      <c r="I1377" s="24"/>
      <c r="J1377" s="24"/>
      <c r="K1377" s="24"/>
      <c r="L1377" s="24"/>
      <c r="M1377" s="24"/>
      <c r="N1377" s="24"/>
      <c r="O1377" s="24"/>
      <c r="P1377" s="24"/>
      <c r="Q1377" s="24"/>
      <c r="R1377" s="24"/>
      <c r="S1377" s="24"/>
      <c r="T1377" s="24"/>
      <c r="U1377" s="24"/>
      <c r="V1377" s="24"/>
      <c r="W1377" s="24"/>
      <c r="X1377" s="24"/>
      <c r="Y1377" s="24"/>
      <c r="Z1377" s="24"/>
      <c r="AA1377" s="24"/>
      <c r="AB1377" s="24"/>
      <c r="AC1377" s="24"/>
    </row>
    <row r="1378" spans="1:29" ht="12.9">
      <c r="A1378" s="24"/>
      <c r="B1378" s="24"/>
      <c r="C1378" s="24"/>
      <c r="D1378" s="24"/>
      <c r="E1378" s="24"/>
      <c r="F1378" s="24"/>
      <c r="G1378" s="24"/>
      <c r="H1378" s="24"/>
      <c r="I1378" s="24"/>
      <c r="J1378" s="24"/>
      <c r="K1378" s="24"/>
      <c r="L1378" s="24"/>
      <c r="M1378" s="24"/>
      <c r="N1378" s="24"/>
      <c r="O1378" s="24"/>
      <c r="P1378" s="24"/>
      <c r="Q1378" s="24"/>
      <c r="R1378" s="24"/>
      <c r="S1378" s="24"/>
      <c r="T1378" s="24"/>
      <c r="U1378" s="24"/>
      <c r="V1378" s="24"/>
      <c r="W1378" s="24"/>
      <c r="X1378" s="24"/>
      <c r="Y1378" s="24"/>
      <c r="Z1378" s="24"/>
      <c r="AA1378" s="24"/>
      <c r="AB1378" s="24"/>
      <c r="AC1378" s="24"/>
    </row>
    <row r="1379" spans="1:29" ht="12.9">
      <c r="A1379" s="24"/>
      <c r="B1379" s="24"/>
      <c r="C1379" s="24"/>
      <c r="D1379" s="24"/>
      <c r="E1379" s="24"/>
      <c r="F1379" s="24"/>
      <c r="G1379" s="24"/>
      <c r="H1379" s="24"/>
      <c r="I1379" s="24"/>
      <c r="J1379" s="24"/>
      <c r="K1379" s="24"/>
      <c r="L1379" s="24"/>
      <c r="M1379" s="24"/>
      <c r="N1379" s="24"/>
      <c r="O1379" s="24"/>
      <c r="P1379" s="24"/>
      <c r="Q1379" s="24"/>
      <c r="R1379" s="24"/>
      <c r="S1379" s="24"/>
      <c r="T1379" s="24"/>
      <c r="U1379" s="24"/>
      <c r="V1379" s="24"/>
      <c r="W1379" s="24"/>
      <c r="X1379" s="24"/>
      <c r="Y1379" s="24"/>
      <c r="Z1379" s="24"/>
      <c r="AA1379" s="24"/>
      <c r="AB1379" s="24"/>
      <c r="AC1379" s="24"/>
    </row>
    <row r="1380" spans="1:29" ht="12.9">
      <c r="A1380" s="24"/>
      <c r="B1380" s="24"/>
      <c r="C1380" s="24"/>
      <c r="D1380" s="24"/>
      <c r="E1380" s="24"/>
      <c r="F1380" s="24"/>
      <c r="G1380" s="24"/>
      <c r="H1380" s="24"/>
      <c r="I1380" s="24"/>
      <c r="J1380" s="24"/>
      <c r="K1380" s="24"/>
      <c r="L1380" s="24"/>
      <c r="M1380" s="24"/>
      <c r="N1380" s="24"/>
      <c r="O1380" s="24"/>
      <c r="P1380" s="24"/>
      <c r="Q1380" s="24"/>
      <c r="R1380" s="24"/>
      <c r="S1380" s="24"/>
      <c r="T1380" s="24"/>
      <c r="U1380" s="24"/>
      <c r="V1380" s="24"/>
      <c r="W1380" s="24"/>
      <c r="X1380" s="24"/>
      <c r="Y1380" s="24"/>
      <c r="Z1380" s="24"/>
      <c r="AA1380" s="24"/>
      <c r="AB1380" s="24"/>
      <c r="AC1380" s="24"/>
    </row>
    <row r="1381" spans="1:29" ht="12.9">
      <c r="A1381" s="24"/>
      <c r="B1381" s="24"/>
      <c r="C1381" s="24"/>
      <c r="D1381" s="24"/>
      <c r="E1381" s="24"/>
      <c r="F1381" s="24"/>
      <c r="G1381" s="24"/>
      <c r="H1381" s="24"/>
      <c r="I1381" s="24"/>
      <c r="J1381" s="24"/>
      <c r="K1381" s="24"/>
      <c r="L1381" s="24"/>
      <c r="M1381" s="24"/>
      <c r="N1381" s="24"/>
      <c r="O1381" s="24"/>
      <c r="P1381" s="24"/>
      <c r="Q1381" s="24"/>
      <c r="R1381" s="24"/>
      <c r="S1381" s="24"/>
      <c r="T1381" s="24"/>
      <c r="U1381" s="24"/>
      <c r="V1381" s="24"/>
      <c r="W1381" s="24"/>
      <c r="X1381" s="24"/>
      <c r="Y1381" s="24"/>
      <c r="Z1381" s="24"/>
      <c r="AA1381" s="24"/>
      <c r="AB1381" s="24"/>
      <c r="AC1381" s="24"/>
    </row>
    <row r="1382" spans="1:29" ht="12.9">
      <c r="A1382" s="24"/>
      <c r="B1382" s="24"/>
      <c r="C1382" s="24"/>
      <c r="D1382" s="24"/>
      <c r="E1382" s="24"/>
      <c r="F1382" s="24"/>
      <c r="G1382" s="24"/>
      <c r="H1382" s="24"/>
      <c r="I1382" s="24"/>
      <c r="J1382" s="24"/>
      <c r="K1382" s="24"/>
      <c r="L1382" s="24"/>
      <c r="M1382" s="24"/>
      <c r="N1382" s="24"/>
      <c r="O1382" s="24"/>
      <c r="P1382" s="24"/>
      <c r="Q1382" s="24"/>
      <c r="R1382" s="24"/>
      <c r="S1382" s="24"/>
      <c r="T1382" s="24"/>
      <c r="U1382" s="24"/>
      <c r="V1382" s="24"/>
      <c r="W1382" s="24"/>
      <c r="X1382" s="24"/>
      <c r="Y1382" s="24"/>
      <c r="Z1382" s="24"/>
      <c r="AA1382" s="24"/>
      <c r="AB1382" s="24"/>
      <c r="AC1382" s="24"/>
    </row>
    <row r="1383" spans="1:29" ht="12.9">
      <c r="A1383" s="24"/>
      <c r="B1383" s="24"/>
      <c r="C1383" s="24"/>
      <c r="D1383" s="24"/>
      <c r="E1383" s="24"/>
      <c r="F1383" s="24"/>
      <c r="G1383" s="24"/>
      <c r="H1383" s="24"/>
      <c r="I1383" s="24"/>
      <c r="J1383" s="24"/>
      <c r="K1383" s="24"/>
      <c r="L1383" s="24"/>
      <c r="M1383" s="24"/>
      <c r="N1383" s="24"/>
      <c r="O1383" s="24"/>
      <c r="P1383" s="24"/>
      <c r="Q1383" s="24"/>
      <c r="R1383" s="24"/>
      <c r="S1383" s="24"/>
      <c r="T1383" s="24"/>
      <c r="U1383" s="24"/>
      <c r="V1383" s="24"/>
      <c r="W1383" s="24"/>
      <c r="X1383" s="24"/>
      <c r="Y1383" s="24"/>
      <c r="Z1383" s="24"/>
      <c r="AA1383" s="24"/>
      <c r="AB1383" s="24"/>
      <c r="AC1383" s="24"/>
    </row>
    <row r="1384" spans="1:29" ht="12.9">
      <c r="A1384" s="24"/>
      <c r="B1384" s="24"/>
      <c r="C1384" s="24"/>
      <c r="D1384" s="24"/>
      <c r="E1384" s="24"/>
      <c r="F1384" s="24"/>
      <c r="G1384" s="24"/>
      <c r="H1384" s="24"/>
      <c r="I1384" s="24"/>
      <c r="J1384" s="24"/>
      <c r="K1384" s="24"/>
      <c r="L1384" s="24"/>
      <c r="M1384" s="24"/>
      <c r="N1384" s="24"/>
      <c r="O1384" s="24"/>
      <c r="P1384" s="24"/>
      <c r="Q1384" s="24"/>
      <c r="R1384" s="24"/>
      <c r="S1384" s="24"/>
      <c r="T1384" s="24"/>
      <c r="U1384" s="24"/>
      <c r="V1384" s="24"/>
      <c r="W1384" s="24"/>
      <c r="X1384" s="24"/>
      <c r="Y1384" s="24"/>
      <c r="Z1384" s="24"/>
      <c r="AA1384" s="24"/>
      <c r="AB1384" s="24"/>
      <c r="AC1384" s="24"/>
    </row>
    <row r="1385" spans="1:29" ht="12.9">
      <c r="A1385" s="24"/>
      <c r="B1385" s="24"/>
      <c r="C1385" s="24"/>
      <c r="D1385" s="24"/>
      <c r="E1385" s="24"/>
      <c r="F1385" s="24"/>
      <c r="G1385" s="24"/>
      <c r="H1385" s="24"/>
      <c r="I1385" s="24"/>
      <c r="J1385" s="24"/>
      <c r="K1385" s="24"/>
      <c r="L1385" s="24"/>
      <c r="M1385" s="24"/>
      <c r="N1385" s="24"/>
      <c r="O1385" s="24"/>
      <c r="P1385" s="24"/>
      <c r="Q1385" s="24"/>
      <c r="R1385" s="24"/>
      <c r="S1385" s="24"/>
      <c r="T1385" s="24"/>
      <c r="U1385" s="24"/>
      <c r="V1385" s="24"/>
      <c r="W1385" s="24"/>
      <c r="X1385" s="24"/>
      <c r="Y1385" s="24"/>
      <c r="Z1385" s="24"/>
      <c r="AA1385" s="24"/>
      <c r="AB1385" s="24"/>
      <c r="AC1385" s="24"/>
    </row>
    <row r="1386" spans="1:29" ht="12.9">
      <c r="A1386" s="24"/>
      <c r="B1386" s="24"/>
      <c r="C1386" s="24"/>
      <c r="D1386" s="24"/>
      <c r="E1386" s="24"/>
      <c r="F1386" s="24"/>
      <c r="G1386" s="24"/>
      <c r="H1386" s="24"/>
      <c r="I1386" s="24"/>
      <c r="J1386" s="24"/>
      <c r="K1386" s="24"/>
      <c r="L1386" s="24"/>
      <c r="M1386" s="24"/>
      <c r="N1386" s="24"/>
      <c r="O1386" s="24"/>
      <c r="P1386" s="24"/>
      <c r="Q1386" s="24"/>
      <c r="R1386" s="24"/>
      <c r="S1386" s="24"/>
      <c r="T1386" s="24"/>
      <c r="U1386" s="24"/>
      <c r="V1386" s="24"/>
      <c r="W1386" s="24"/>
      <c r="X1386" s="24"/>
      <c r="Y1386" s="24"/>
      <c r="Z1386" s="24"/>
      <c r="AA1386" s="24"/>
      <c r="AB1386" s="24"/>
      <c r="AC1386" s="24"/>
    </row>
    <row r="1387" spans="1:29" ht="12.9">
      <c r="A1387" s="24"/>
      <c r="B1387" s="24"/>
      <c r="C1387" s="24"/>
      <c r="D1387" s="24"/>
      <c r="E1387" s="24"/>
      <c r="F1387" s="24"/>
      <c r="G1387" s="24"/>
      <c r="H1387" s="24"/>
      <c r="I1387" s="24"/>
      <c r="J1387" s="24"/>
      <c r="K1387" s="24"/>
      <c r="L1387" s="24"/>
      <c r="M1387" s="24"/>
      <c r="N1387" s="24"/>
      <c r="O1387" s="24"/>
      <c r="P1387" s="24"/>
      <c r="Q1387" s="24"/>
      <c r="R1387" s="24"/>
      <c r="S1387" s="24"/>
      <c r="T1387" s="24"/>
      <c r="U1387" s="24"/>
      <c r="V1387" s="24"/>
      <c r="W1387" s="24"/>
      <c r="X1387" s="24"/>
      <c r="Y1387" s="24"/>
      <c r="Z1387" s="24"/>
      <c r="AA1387" s="24"/>
      <c r="AB1387" s="24"/>
      <c r="AC1387" s="24"/>
    </row>
    <row r="1388" spans="1:29" ht="12.9">
      <c r="A1388" s="24"/>
      <c r="B1388" s="24"/>
      <c r="C1388" s="24"/>
      <c r="D1388" s="24"/>
      <c r="E1388" s="24"/>
      <c r="F1388" s="24"/>
      <c r="G1388" s="24"/>
      <c r="H1388" s="24"/>
      <c r="I1388" s="24"/>
      <c r="J1388" s="24"/>
      <c r="K1388" s="24"/>
      <c r="L1388" s="24"/>
      <c r="M1388" s="24"/>
      <c r="N1388" s="24"/>
      <c r="O1388" s="24"/>
      <c r="P1388" s="24"/>
      <c r="Q1388" s="24"/>
      <c r="R1388" s="24"/>
      <c r="S1388" s="24"/>
      <c r="T1388" s="24"/>
      <c r="U1388" s="24"/>
      <c r="V1388" s="24"/>
      <c r="W1388" s="24"/>
      <c r="X1388" s="24"/>
      <c r="Y1388" s="24"/>
      <c r="Z1388" s="24"/>
      <c r="AA1388" s="24"/>
      <c r="AB1388" s="24"/>
      <c r="AC1388" s="24"/>
    </row>
    <row r="1389" spans="1:29" ht="12.9">
      <c r="A1389" s="24"/>
      <c r="B1389" s="24"/>
      <c r="C1389" s="24"/>
      <c r="D1389" s="24"/>
      <c r="E1389" s="24"/>
      <c r="F1389" s="24"/>
      <c r="G1389" s="24"/>
      <c r="H1389" s="24"/>
      <c r="I1389" s="24"/>
      <c r="J1389" s="24"/>
      <c r="K1389" s="24"/>
      <c r="L1389" s="24"/>
      <c r="M1389" s="24"/>
      <c r="N1389" s="24"/>
      <c r="O1389" s="24"/>
      <c r="P1389" s="24"/>
      <c r="Q1389" s="24"/>
      <c r="R1389" s="24"/>
      <c r="S1389" s="24"/>
      <c r="T1389" s="24"/>
      <c r="U1389" s="24"/>
      <c r="V1389" s="24"/>
      <c r="W1389" s="24"/>
      <c r="X1389" s="24"/>
      <c r="Y1389" s="24"/>
      <c r="Z1389" s="24"/>
      <c r="AA1389" s="24"/>
      <c r="AB1389" s="24"/>
      <c r="AC1389" s="24"/>
    </row>
    <row r="1390" spans="1:29" ht="12.9">
      <c r="A1390" s="24"/>
      <c r="B1390" s="24"/>
      <c r="C1390" s="24"/>
      <c r="D1390" s="24"/>
      <c r="E1390" s="24"/>
      <c r="F1390" s="24"/>
      <c r="G1390" s="24"/>
      <c r="H1390" s="24"/>
      <c r="I1390" s="24"/>
      <c r="J1390" s="24"/>
      <c r="K1390" s="24"/>
      <c r="L1390" s="24"/>
      <c r="M1390" s="24"/>
      <c r="N1390" s="24"/>
      <c r="O1390" s="24"/>
      <c r="P1390" s="24"/>
      <c r="Q1390" s="24"/>
      <c r="R1390" s="24"/>
      <c r="S1390" s="24"/>
      <c r="T1390" s="24"/>
      <c r="U1390" s="24"/>
      <c r="V1390" s="24"/>
      <c r="W1390" s="24"/>
      <c r="X1390" s="24"/>
      <c r="Y1390" s="24"/>
      <c r="Z1390" s="24"/>
      <c r="AA1390" s="24"/>
      <c r="AB1390" s="24"/>
      <c r="AC1390" s="24"/>
    </row>
    <row r="1391" spans="1:29" ht="12.9">
      <c r="A1391" s="24"/>
      <c r="B1391" s="24"/>
      <c r="C1391" s="24"/>
      <c r="D1391" s="24"/>
      <c r="E1391" s="24"/>
      <c r="F1391" s="24"/>
      <c r="G1391" s="24"/>
      <c r="H1391" s="24"/>
      <c r="I1391" s="24"/>
      <c r="J1391" s="24"/>
      <c r="K1391" s="24"/>
      <c r="L1391" s="24"/>
      <c r="M1391" s="24"/>
      <c r="N1391" s="24"/>
      <c r="O1391" s="24"/>
      <c r="P1391" s="24"/>
      <c r="Q1391" s="24"/>
      <c r="R1391" s="24"/>
      <c r="S1391" s="24"/>
      <c r="T1391" s="24"/>
      <c r="U1391" s="24"/>
      <c r="V1391" s="24"/>
      <c r="W1391" s="24"/>
      <c r="X1391" s="24"/>
      <c r="Y1391" s="24"/>
      <c r="Z1391" s="24"/>
      <c r="AA1391" s="24"/>
      <c r="AB1391" s="24"/>
      <c r="AC1391" s="24"/>
    </row>
    <row r="1392" spans="1:29" ht="12.9">
      <c r="A1392" s="24"/>
      <c r="B1392" s="24"/>
      <c r="C1392" s="24"/>
      <c r="D1392" s="24"/>
      <c r="E1392" s="24"/>
      <c r="F1392" s="24"/>
      <c r="G1392" s="24"/>
      <c r="H1392" s="24"/>
      <c r="I1392" s="24"/>
      <c r="J1392" s="24"/>
      <c r="K1392" s="24"/>
      <c r="L1392" s="24"/>
      <c r="M1392" s="24"/>
      <c r="N1392" s="24"/>
      <c r="O1392" s="24"/>
      <c r="P1392" s="24"/>
      <c r="Q1392" s="24"/>
      <c r="R1392" s="24"/>
      <c r="S1392" s="24"/>
      <c r="T1392" s="24"/>
      <c r="U1392" s="24"/>
      <c r="V1392" s="24"/>
      <c r="W1392" s="24"/>
      <c r="X1392" s="24"/>
      <c r="Y1392" s="24"/>
      <c r="Z1392" s="24"/>
      <c r="AA1392" s="24"/>
      <c r="AB1392" s="24"/>
      <c r="AC1392" s="24"/>
    </row>
    <row r="1393" spans="1:29" ht="12.9">
      <c r="A1393" s="24"/>
      <c r="B1393" s="24"/>
      <c r="C1393" s="24"/>
      <c r="D1393" s="24"/>
      <c r="E1393" s="24"/>
      <c r="F1393" s="24"/>
      <c r="G1393" s="24"/>
      <c r="H1393" s="24"/>
      <c r="I1393" s="24"/>
      <c r="J1393" s="24"/>
      <c r="K1393" s="24"/>
      <c r="L1393" s="24"/>
      <c r="M1393" s="24"/>
      <c r="N1393" s="24"/>
      <c r="O1393" s="24"/>
      <c r="P1393" s="24"/>
      <c r="Q1393" s="24"/>
      <c r="R1393" s="24"/>
      <c r="S1393" s="24"/>
      <c r="T1393" s="24"/>
      <c r="U1393" s="24"/>
      <c r="V1393" s="24"/>
      <c r="W1393" s="24"/>
      <c r="X1393" s="24"/>
      <c r="Y1393" s="24"/>
      <c r="Z1393" s="24"/>
      <c r="AA1393" s="24"/>
      <c r="AB1393" s="24"/>
      <c r="AC1393" s="24"/>
    </row>
    <row r="1394" spans="1:29" ht="12.9">
      <c r="A1394" s="24"/>
      <c r="B1394" s="24"/>
      <c r="C1394" s="24"/>
      <c r="D1394" s="24"/>
      <c r="E1394" s="24"/>
      <c r="F1394" s="24"/>
      <c r="G1394" s="24"/>
      <c r="H1394" s="24"/>
      <c r="I1394" s="24"/>
      <c r="J1394" s="24"/>
      <c r="K1394" s="24"/>
      <c r="L1394" s="24"/>
      <c r="M1394" s="24"/>
      <c r="N1394" s="24"/>
      <c r="O1394" s="24"/>
      <c r="P1394" s="24"/>
      <c r="Q1394" s="24"/>
      <c r="R1394" s="24"/>
      <c r="S1394" s="24"/>
      <c r="T1394" s="24"/>
      <c r="U1394" s="24"/>
      <c r="V1394" s="24"/>
      <c r="W1394" s="24"/>
      <c r="X1394" s="24"/>
      <c r="Y1394" s="24"/>
      <c r="Z1394" s="24"/>
      <c r="AA1394" s="24"/>
      <c r="AB1394" s="24"/>
      <c r="AC1394" s="24"/>
    </row>
    <row r="1395" spans="1:29" ht="12.9">
      <c r="A1395" s="24"/>
      <c r="B1395" s="24"/>
      <c r="C1395" s="24"/>
      <c r="D1395" s="24"/>
      <c r="E1395" s="24"/>
      <c r="F1395" s="24"/>
      <c r="G1395" s="24"/>
      <c r="H1395" s="24"/>
      <c r="I1395" s="24"/>
      <c r="J1395" s="24"/>
      <c r="K1395" s="24"/>
      <c r="L1395" s="24"/>
      <c r="M1395" s="24"/>
      <c r="N1395" s="24"/>
      <c r="O1395" s="24"/>
      <c r="P1395" s="24"/>
      <c r="Q1395" s="24"/>
      <c r="R1395" s="24"/>
      <c r="S1395" s="24"/>
      <c r="T1395" s="24"/>
      <c r="U1395" s="24"/>
      <c r="V1395" s="24"/>
      <c r="W1395" s="24"/>
      <c r="X1395" s="24"/>
      <c r="Y1395" s="24"/>
      <c r="Z1395" s="24"/>
      <c r="AA1395" s="24"/>
      <c r="AB1395" s="24"/>
      <c r="AC1395" s="24"/>
    </row>
    <row r="1396" spans="1:29" ht="12.9">
      <c r="A1396" s="24"/>
      <c r="B1396" s="24"/>
      <c r="C1396" s="24"/>
      <c r="D1396" s="24"/>
      <c r="E1396" s="24"/>
      <c r="F1396" s="24"/>
      <c r="G1396" s="24"/>
      <c r="H1396" s="24"/>
      <c r="I1396" s="24"/>
      <c r="J1396" s="24"/>
      <c r="K1396" s="24"/>
      <c r="L1396" s="24"/>
      <c r="M1396" s="24"/>
      <c r="N1396" s="24"/>
      <c r="O1396" s="24"/>
      <c r="P1396" s="24"/>
      <c r="Q1396" s="24"/>
      <c r="R1396" s="24"/>
      <c r="S1396" s="24"/>
      <c r="T1396" s="24"/>
      <c r="U1396" s="24"/>
      <c r="V1396" s="24"/>
      <c r="W1396" s="24"/>
      <c r="X1396" s="24"/>
      <c r="Y1396" s="24"/>
      <c r="Z1396" s="24"/>
      <c r="AA1396" s="24"/>
      <c r="AB1396" s="24"/>
      <c r="AC1396" s="24"/>
    </row>
    <row r="1397" spans="1:29" ht="12.9">
      <c r="A1397" s="24"/>
      <c r="B1397" s="24"/>
      <c r="C1397" s="24"/>
      <c r="D1397" s="24"/>
      <c r="E1397" s="24"/>
      <c r="F1397" s="24"/>
      <c r="G1397" s="24"/>
      <c r="H1397" s="24"/>
      <c r="I1397" s="24"/>
      <c r="J1397" s="24"/>
      <c r="K1397" s="24"/>
      <c r="L1397" s="24"/>
      <c r="M1397" s="24"/>
      <c r="N1397" s="24"/>
      <c r="O1397" s="24"/>
      <c r="P1397" s="24"/>
      <c r="Q1397" s="24"/>
      <c r="R1397" s="24"/>
      <c r="S1397" s="24"/>
      <c r="T1397" s="24"/>
      <c r="U1397" s="24"/>
      <c r="V1397" s="24"/>
      <c r="W1397" s="24"/>
      <c r="X1397" s="24"/>
      <c r="Y1397" s="24"/>
      <c r="Z1397" s="24"/>
      <c r="AA1397" s="24"/>
      <c r="AB1397" s="24"/>
      <c r="AC1397" s="24"/>
    </row>
    <row r="1398" spans="1:29" ht="12.9">
      <c r="A1398" s="24"/>
      <c r="B1398" s="24"/>
      <c r="C1398" s="24"/>
      <c r="D1398" s="24"/>
      <c r="E1398" s="24"/>
      <c r="F1398" s="24"/>
      <c r="G1398" s="24"/>
      <c r="H1398" s="24"/>
      <c r="I1398" s="24"/>
      <c r="J1398" s="24"/>
      <c r="K1398" s="24"/>
      <c r="L1398" s="24"/>
      <c r="M1398" s="24"/>
      <c r="N1398" s="24"/>
      <c r="O1398" s="24"/>
      <c r="P1398" s="24"/>
      <c r="Q1398" s="24"/>
      <c r="R1398" s="24"/>
      <c r="S1398" s="24"/>
      <c r="T1398" s="24"/>
      <c r="U1398" s="24"/>
      <c r="V1398" s="24"/>
      <c r="W1398" s="24"/>
      <c r="X1398" s="24"/>
      <c r="Y1398" s="24"/>
      <c r="Z1398" s="24"/>
      <c r="AA1398" s="24"/>
      <c r="AB1398" s="24"/>
      <c r="AC1398" s="24"/>
    </row>
    <row r="1399" spans="1:29" ht="12.9">
      <c r="A1399" s="24"/>
      <c r="B1399" s="24"/>
      <c r="C1399" s="24"/>
      <c r="D1399" s="24"/>
      <c r="E1399" s="24"/>
      <c r="F1399" s="24"/>
      <c r="G1399" s="24"/>
      <c r="H1399" s="24"/>
      <c r="I1399" s="24"/>
      <c r="J1399" s="24"/>
      <c r="K1399" s="24"/>
      <c r="L1399" s="24"/>
      <c r="M1399" s="24"/>
      <c r="N1399" s="24"/>
      <c r="O1399" s="24"/>
      <c r="P1399" s="24"/>
      <c r="Q1399" s="24"/>
      <c r="R1399" s="24"/>
      <c r="S1399" s="24"/>
      <c r="T1399" s="24"/>
      <c r="U1399" s="24"/>
      <c r="V1399" s="24"/>
      <c r="W1399" s="24"/>
      <c r="X1399" s="24"/>
      <c r="Y1399" s="24"/>
      <c r="Z1399" s="24"/>
      <c r="AA1399" s="24"/>
      <c r="AB1399" s="24"/>
      <c r="AC1399" s="24"/>
    </row>
    <row r="1400" spans="1:29" ht="12.9">
      <c r="A1400" s="24"/>
      <c r="B1400" s="24"/>
      <c r="C1400" s="24"/>
      <c r="D1400" s="24"/>
      <c r="E1400" s="24"/>
      <c r="F1400" s="24"/>
      <c r="G1400" s="24"/>
      <c r="H1400" s="24"/>
      <c r="I1400" s="24"/>
      <c r="J1400" s="24"/>
      <c r="K1400" s="24"/>
      <c r="L1400" s="24"/>
      <c r="M1400" s="24"/>
      <c r="N1400" s="24"/>
      <c r="O1400" s="24"/>
      <c r="P1400" s="24"/>
      <c r="Q1400" s="24"/>
      <c r="R1400" s="24"/>
      <c r="S1400" s="24"/>
      <c r="T1400" s="24"/>
      <c r="U1400" s="24"/>
      <c r="V1400" s="24"/>
      <c r="W1400" s="24"/>
      <c r="X1400" s="24"/>
      <c r="Y1400" s="24"/>
      <c r="Z1400" s="24"/>
      <c r="AA1400" s="24"/>
      <c r="AB1400" s="24"/>
      <c r="AC1400" s="24"/>
    </row>
    <row r="1401" spans="1:29" ht="12.9">
      <c r="A1401" s="24"/>
      <c r="B1401" s="24"/>
      <c r="C1401" s="24"/>
      <c r="D1401" s="24"/>
      <c r="E1401" s="24"/>
      <c r="F1401" s="24"/>
      <c r="G1401" s="24"/>
      <c r="H1401" s="24"/>
      <c r="I1401" s="24"/>
      <c r="J1401" s="24"/>
      <c r="K1401" s="24"/>
      <c r="L1401" s="24"/>
      <c r="M1401" s="24"/>
      <c r="N1401" s="24"/>
      <c r="O1401" s="24"/>
      <c r="P1401" s="24"/>
      <c r="Q1401" s="24"/>
      <c r="R1401" s="24"/>
      <c r="S1401" s="24"/>
      <c r="T1401" s="24"/>
      <c r="U1401" s="24"/>
      <c r="V1401" s="24"/>
      <c r="W1401" s="24"/>
      <c r="X1401" s="24"/>
      <c r="Y1401" s="24"/>
      <c r="Z1401" s="24"/>
      <c r="AA1401" s="24"/>
      <c r="AB1401" s="24"/>
      <c r="AC1401" s="24"/>
    </row>
    <row r="1402" spans="1:29" ht="12.9">
      <c r="A1402" s="24"/>
      <c r="B1402" s="24"/>
      <c r="C1402" s="24"/>
      <c r="D1402" s="24"/>
      <c r="E1402" s="24"/>
      <c r="F1402" s="24"/>
      <c r="G1402" s="24"/>
      <c r="H1402" s="24"/>
      <c r="I1402" s="24"/>
      <c r="J1402" s="24"/>
      <c r="K1402" s="24"/>
      <c r="L1402" s="24"/>
      <c r="M1402" s="24"/>
      <c r="N1402" s="24"/>
      <c r="O1402" s="24"/>
      <c r="P1402" s="24"/>
      <c r="Q1402" s="24"/>
      <c r="R1402" s="24"/>
      <c r="S1402" s="24"/>
      <c r="T1402" s="24"/>
      <c r="U1402" s="24"/>
      <c r="V1402" s="24"/>
      <c r="W1402" s="24"/>
      <c r="X1402" s="24"/>
      <c r="Y1402" s="24"/>
      <c r="Z1402" s="24"/>
      <c r="AA1402" s="24"/>
      <c r="AB1402" s="24"/>
      <c r="AC1402" s="24"/>
    </row>
    <row r="1403" spans="1:29" ht="12.9">
      <c r="A1403" s="24"/>
      <c r="B1403" s="24"/>
      <c r="C1403" s="24"/>
      <c r="D1403" s="24"/>
      <c r="E1403" s="24"/>
      <c r="F1403" s="24"/>
      <c r="G1403" s="24"/>
      <c r="H1403" s="24"/>
      <c r="I1403" s="24"/>
      <c r="J1403" s="24"/>
      <c r="K1403" s="24"/>
      <c r="L1403" s="24"/>
      <c r="M1403" s="24"/>
      <c r="N1403" s="24"/>
      <c r="O1403" s="24"/>
      <c r="P1403" s="24"/>
      <c r="Q1403" s="24"/>
      <c r="R1403" s="24"/>
      <c r="S1403" s="24"/>
      <c r="T1403" s="24"/>
      <c r="U1403" s="24"/>
      <c r="V1403" s="24"/>
      <c r="W1403" s="24"/>
      <c r="X1403" s="24"/>
      <c r="Y1403" s="24"/>
      <c r="Z1403" s="24"/>
      <c r="AA1403" s="24"/>
      <c r="AB1403" s="24"/>
      <c r="AC1403" s="24"/>
    </row>
    <row r="1404" spans="1:29" ht="12.9">
      <c r="A1404" s="24"/>
      <c r="B1404" s="24"/>
      <c r="C1404" s="24"/>
      <c r="D1404" s="24"/>
      <c r="E1404" s="24"/>
      <c r="F1404" s="24"/>
      <c r="G1404" s="24"/>
      <c r="H1404" s="24"/>
      <c r="I1404" s="24"/>
      <c r="J1404" s="24"/>
      <c r="K1404" s="24"/>
      <c r="L1404" s="24"/>
      <c r="M1404" s="24"/>
      <c r="N1404" s="24"/>
      <c r="O1404" s="24"/>
      <c r="P1404" s="24"/>
      <c r="Q1404" s="24"/>
      <c r="R1404" s="24"/>
      <c r="S1404" s="24"/>
      <c r="T1404" s="24"/>
      <c r="U1404" s="24"/>
      <c r="V1404" s="24"/>
      <c r="W1404" s="24"/>
      <c r="X1404" s="24"/>
      <c r="Y1404" s="24"/>
      <c r="Z1404" s="24"/>
      <c r="AA1404" s="24"/>
      <c r="AB1404" s="24"/>
      <c r="AC1404" s="24"/>
    </row>
    <row r="1405" spans="1:29" ht="12.9">
      <c r="A1405" s="24"/>
      <c r="B1405" s="24"/>
      <c r="C1405" s="24"/>
      <c r="D1405" s="24"/>
      <c r="E1405" s="24"/>
      <c r="F1405" s="24"/>
      <c r="G1405" s="24"/>
      <c r="H1405" s="24"/>
      <c r="I1405" s="24"/>
      <c r="J1405" s="24"/>
      <c r="K1405" s="24"/>
      <c r="L1405" s="24"/>
      <c r="M1405" s="24"/>
      <c r="N1405" s="24"/>
      <c r="O1405" s="24"/>
      <c r="P1405" s="24"/>
      <c r="Q1405" s="24"/>
      <c r="R1405" s="24"/>
      <c r="S1405" s="24"/>
      <c r="T1405" s="24"/>
      <c r="U1405" s="24"/>
      <c r="V1405" s="24"/>
      <c r="W1405" s="24"/>
      <c r="X1405" s="24"/>
      <c r="Y1405" s="24"/>
      <c r="Z1405" s="24"/>
      <c r="AA1405" s="24"/>
      <c r="AB1405" s="24"/>
      <c r="AC1405" s="24"/>
    </row>
    <row r="1406" spans="1:29" ht="12.9">
      <c r="A1406" s="24"/>
      <c r="B1406" s="24"/>
      <c r="C1406" s="24"/>
      <c r="D1406" s="24"/>
      <c r="E1406" s="24"/>
      <c r="F1406" s="24"/>
      <c r="G1406" s="24"/>
      <c r="H1406" s="24"/>
      <c r="I1406" s="24"/>
      <c r="J1406" s="24"/>
      <c r="K1406" s="24"/>
      <c r="L1406" s="24"/>
      <c r="M1406" s="24"/>
      <c r="N1406" s="24"/>
      <c r="O1406" s="24"/>
      <c r="P1406" s="24"/>
      <c r="Q1406" s="24"/>
      <c r="R1406" s="24"/>
      <c r="S1406" s="24"/>
      <c r="T1406" s="24"/>
      <c r="U1406" s="24"/>
      <c r="V1406" s="24"/>
      <c r="W1406" s="24"/>
      <c r="X1406" s="24"/>
      <c r="Y1406" s="24"/>
      <c r="Z1406" s="24"/>
      <c r="AA1406" s="24"/>
      <c r="AB1406" s="24"/>
      <c r="AC1406" s="24"/>
    </row>
    <row r="1407" spans="1:29" ht="12.9">
      <c r="A1407" s="24"/>
      <c r="B1407" s="24"/>
      <c r="C1407" s="24"/>
      <c r="D1407" s="24"/>
      <c r="E1407" s="24"/>
      <c r="F1407" s="24"/>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row>
    <row r="1408" spans="1:29" ht="12.9">
      <c r="A1408" s="24"/>
      <c r="B1408" s="24"/>
      <c r="C1408" s="24"/>
      <c r="D1408" s="24"/>
      <c r="E1408" s="24"/>
      <c r="F1408" s="24"/>
      <c r="G1408" s="24"/>
      <c r="H1408" s="24"/>
      <c r="I1408" s="24"/>
      <c r="J1408" s="24"/>
      <c r="K1408" s="24"/>
      <c r="L1408" s="24"/>
      <c r="M1408" s="24"/>
      <c r="N1408" s="24"/>
      <c r="O1408" s="24"/>
      <c r="P1408" s="24"/>
      <c r="Q1408" s="24"/>
      <c r="R1408" s="24"/>
      <c r="S1408" s="24"/>
      <c r="T1408" s="24"/>
      <c r="U1408" s="24"/>
      <c r="V1408" s="24"/>
      <c r="W1408" s="24"/>
      <c r="X1408" s="24"/>
      <c r="Y1408" s="24"/>
      <c r="Z1408" s="24"/>
      <c r="AA1408" s="24"/>
      <c r="AB1408" s="24"/>
      <c r="AC1408" s="24"/>
    </row>
    <row r="1409" spans="1:29" ht="12.9">
      <c r="A1409" s="24"/>
      <c r="B1409" s="24"/>
      <c r="C1409" s="24"/>
      <c r="D1409" s="24"/>
      <c r="E1409" s="24"/>
      <c r="F1409" s="24"/>
      <c r="G1409" s="24"/>
      <c r="H1409" s="24"/>
      <c r="I1409" s="24"/>
      <c r="J1409" s="24"/>
      <c r="K1409" s="24"/>
      <c r="L1409" s="24"/>
      <c r="M1409" s="24"/>
      <c r="N1409" s="24"/>
      <c r="O1409" s="24"/>
      <c r="P1409" s="24"/>
      <c r="Q1409" s="24"/>
      <c r="R1409" s="24"/>
      <c r="S1409" s="24"/>
      <c r="T1409" s="24"/>
      <c r="U1409" s="24"/>
      <c r="V1409" s="24"/>
      <c r="W1409" s="24"/>
      <c r="X1409" s="24"/>
      <c r="Y1409" s="24"/>
      <c r="Z1409" s="24"/>
      <c r="AA1409" s="24"/>
      <c r="AB1409" s="24"/>
      <c r="AC1409" s="24"/>
    </row>
    <row r="1410" spans="1:29" ht="12.9">
      <c r="A1410" s="24"/>
      <c r="B1410" s="24"/>
      <c r="C1410" s="24"/>
      <c r="D1410" s="24"/>
      <c r="E1410" s="24"/>
      <c r="F1410" s="24"/>
      <c r="G1410" s="24"/>
      <c r="H1410" s="24"/>
      <c r="I1410" s="24"/>
      <c r="J1410" s="24"/>
      <c r="K1410" s="24"/>
      <c r="L1410" s="24"/>
      <c r="M1410" s="24"/>
      <c r="N1410" s="24"/>
      <c r="O1410" s="24"/>
      <c r="P1410" s="24"/>
      <c r="Q1410" s="24"/>
      <c r="R1410" s="24"/>
      <c r="S1410" s="24"/>
      <c r="T1410" s="24"/>
      <c r="U1410" s="24"/>
      <c r="V1410" s="24"/>
      <c r="W1410" s="24"/>
      <c r="X1410" s="24"/>
      <c r="Y1410" s="24"/>
      <c r="Z1410" s="24"/>
      <c r="AA1410" s="24"/>
      <c r="AB1410" s="24"/>
      <c r="AC1410" s="24"/>
    </row>
    <row r="1411" spans="1:29" ht="12.9">
      <c r="A1411" s="24"/>
      <c r="B1411" s="24"/>
      <c r="C1411" s="24"/>
      <c r="D1411" s="24"/>
      <c r="E1411" s="24"/>
      <c r="F1411" s="24"/>
      <c r="G1411" s="24"/>
      <c r="H1411" s="24"/>
      <c r="I1411" s="24"/>
      <c r="J1411" s="24"/>
      <c r="K1411" s="24"/>
      <c r="L1411" s="24"/>
      <c r="M1411" s="24"/>
      <c r="N1411" s="24"/>
      <c r="O1411" s="24"/>
      <c r="P1411" s="24"/>
      <c r="Q1411" s="24"/>
      <c r="R1411" s="24"/>
      <c r="S1411" s="24"/>
      <c r="T1411" s="24"/>
      <c r="U1411" s="24"/>
      <c r="V1411" s="24"/>
      <c r="W1411" s="24"/>
      <c r="X1411" s="24"/>
      <c r="Y1411" s="24"/>
      <c r="Z1411" s="24"/>
      <c r="AA1411" s="24"/>
      <c r="AB1411" s="24"/>
      <c r="AC1411" s="24"/>
    </row>
    <row r="1412" spans="1:29" ht="12.9">
      <c r="A1412" s="24"/>
      <c r="B1412" s="24"/>
      <c r="C1412" s="24"/>
      <c r="D1412" s="24"/>
      <c r="E1412" s="24"/>
      <c r="F1412" s="24"/>
      <c r="G1412" s="24"/>
      <c r="H1412" s="24"/>
      <c r="I1412" s="24"/>
      <c r="J1412" s="24"/>
      <c r="K1412" s="24"/>
      <c r="L1412" s="24"/>
      <c r="M1412" s="24"/>
      <c r="N1412" s="24"/>
      <c r="O1412" s="24"/>
      <c r="P1412" s="24"/>
      <c r="Q1412" s="24"/>
      <c r="R1412" s="24"/>
      <c r="S1412" s="24"/>
      <c r="T1412" s="24"/>
      <c r="U1412" s="24"/>
      <c r="V1412" s="24"/>
      <c r="W1412" s="24"/>
      <c r="X1412" s="24"/>
      <c r="Y1412" s="24"/>
      <c r="Z1412" s="24"/>
      <c r="AA1412" s="24"/>
      <c r="AB1412" s="24"/>
      <c r="AC1412" s="24"/>
    </row>
    <row r="1413" spans="1:29" ht="12.9">
      <c r="A1413" s="24"/>
      <c r="B1413" s="24"/>
      <c r="C1413" s="24"/>
      <c r="D1413" s="24"/>
      <c r="E1413" s="24"/>
      <c r="F1413" s="24"/>
      <c r="G1413" s="24"/>
      <c r="H1413" s="24"/>
      <c r="I1413" s="24"/>
      <c r="J1413" s="24"/>
      <c r="K1413" s="24"/>
      <c r="L1413" s="24"/>
      <c r="M1413" s="24"/>
      <c r="N1413" s="24"/>
      <c r="O1413" s="24"/>
      <c r="P1413" s="24"/>
      <c r="Q1413" s="24"/>
      <c r="R1413" s="24"/>
      <c r="S1413" s="24"/>
      <c r="T1413" s="24"/>
      <c r="U1413" s="24"/>
      <c r="V1413" s="24"/>
      <c r="W1413" s="24"/>
      <c r="X1413" s="24"/>
      <c r="Y1413" s="24"/>
      <c r="Z1413" s="24"/>
      <c r="AA1413" s="24"/>
      <c r="AB1413" s="24"/>
      <c r="AC1413" s="24"/>
    </row>
    <row r="1414" spans="1:29" ht="12.9">
      <c r="A1414" s="24"/>
      <c r="B1414" s="24"/>
      <c r="C1414" s="24"/>
      <c r="D1414" s="24"/>
      <c r="E1414" s="24"/>
      <c r="F1414" s="24"/>
      <c r="G1414" s="24"/>
      <c r="H1414" s="24"/>
      <c r="I1414" s="24"/>
      <c r="J1414" s="24"/>
      <c r="K1414" s="24"/>
      <c r="L1414" s="24"/>
      <c r="M1414" s="24"/>
      <c r="N1414" s="24"/>
      <c r="O1414" s="24"/>
      <c r="P1414" s="24"/>
      <c r="Q1414" s="24"/>
      <c r="R1414" s="24"/>
      <c r="S1414" s="24"/>
      <c r="T1414" s="24"/>
      <c r="U1414" s="24"/>
      <c r="V1414" s="24"/>
      <c r="W1414" s="24"/>
      <c r="X1414" s="24"/>
      <c r="Y1414" s="24"/>
      <c r="Z1414" s="24"/>
      <c r="AA1414" s="24"/>
      <c r="AB1414" s="24"/>
      <c r="AC1414" s="24"/>
    </row>
    <row r="1415" spans="1:29" ht="12.9">
      <c r="A1415" s="24"/>
      <c r="B1415" s="24"/>
      <c r="C1415" s="24"/>
      <c r="D1415" s="24"/>
      <c r="E1415" s="24"/>
      <c r="F1415" s="24"/>
      <c r="G1415" s="24"/>
      <c r="H1415" s="24"/>
      <c r="I1415" s="24"/>
      <c r="J1415" s="24"/>
      <c r="K1415" s="24"/>
      <c r="L1415" s="24"/>
      <c r="M1415" s="24"/>
      <c r="N1415" s="24"/>
      <c r="O1415" s="24"/>
      <c r="P1415" s="24"/>
      <c r="Q1415" s="24"/>
      <c r="R1415" s="24"/>
      <c r="S1415" s="24"/>
      <c r="T1415" s="24"/>
      <c r="U1415" s="24"/>
      <c r="V1415" s="24"/>
      <c r="W1415" s="24"/>
      <c r="X1415" s="24"/>
      <c r="Y1415" s="24"/>
      <c r="Z1415" s="24"/>
      <c r="AA1415" s="24"/>
      <c r="AB1415" s="24"/>
      <c r="AC1415" s="24"/>
    </row>
    <row r="1416" spans="1:29" ht="12.9">
      <c r="A1416" s="24"/>
      <c r="B1416" s="24"/>
      <c r="C1416" s="24"/>
      <c r="D1416" s="24"/>
      <c r="E1416" s="24"/>
      <c r="F1416" s="24"/>
      <c r="G1416" s="24"/>
      <c r="H1416" s="24"/>
      <c r="I1416" s="24"/>
      <c r="J1416" s="24"/>
      <c r="K1416" s="24"/>
      <c r="L1416" s="24"/>
      <c r="M1416" s="24"/>
      <c r="N1416" s="24"/>
      <c r="O1416" s="24"/>
      <c r="P1416" s="24"/>
      <c r="Q1416" s="24"/>
      <c r="R1416" s="24"/>
      <c r="S1416" s="24"/>
      <c r="T1416" s="24"/>
      <c r="U1416" s="24"/>
      <c r="V1416" s="24"/>
      <c r="W1416" s="24"/>
      <c r="X1416" s="24"/>
      <c r="Y1416" s="24"/>
      <c r="Z1416" s="24"/>
      <c r="AA1416" s="24"/>
      <c r="AB1416" s="24"/>
      <c r="AC1416" s="24"/>
    </row>
    <row r="1417" spans="1:29" ht="12.9">
      <c r="A1417" s="24"/>
      <c r="B1417" s="24"/>
      <c r="C1417" s="24"/>
      <c r="D1417" s="24"/>
      <c r="E1417" s="24"/>
      <c r="F1417" s="24"/>
      <c r="G1417" s="24"/>
      <c r="H1417" s="24"/>
      <c r="I1417" s="24"/>
      <c r="J1417" s="24"/>
      <c r="K1417" s="24"/>
      <c r="L1417" s="24"/>
      <c r="M1417" s="24"/>
      <c r="N1417" s="24"/>
      <c r="O1417" s="24"/>
      <c r="P1417" s="24"/>
      <c r="Q1417" s="24"/>
      <c r="R1417" s="24"/>
      <c r="S1417" s="24"/>
      <c r="T1417" s="24"/>
      <c r="U1417" s="24"/>
      <c r="V1417" s="24"/>
      <c r="W1417" s="24"/>
      <c r="X1417" s="24"/>
      <c r="Y1417" s="24"/>
      <c r="Z1417" s="24"/>
      <c r="AA1417" s="24"/>
      <c r="AB1417" s="24"/>
      <c r="AC1417" s="24"/>
    </row>
    <row r="1418" spans="1:29" ht="12.9">
      <c r="A1418" s="24"/>
      <c r="B1418" s="24"/>
      <c r="C1418" s="24"/>
      <c r="D1418" s="24"/>
      <c r="E1418" s="24"/>
      <c r="F1418" s="24"/>
      <c r="G1418" s="24"/>
      <c r="H1418" s="24"/>
      <c r="I1418" s="24"/>
      <c r="J1418" s="24"/>
      <c r="K1418" s="24"/>
      <c r="L1418" s="24"/>
      <c r="M1418" s="24"/>
      <c r="N1418" s="24"/>
      <c r="O1418" s="24"/>
      <c r="P1418" s="24"/>
      <c r="Q1418" s="24"/>
      <c r="R1418" s="24"/>
      <c r="S1418" s="24"/>
      <c r="T1418" s="24"/>
      <c r="U1418" s="24"/>
      <c r="V1418" s="24"/>
      <c r="W1418" s="24"/>
      <c r="X1418" s="24"/>
      <c r="Y1418" s="24"/>
      <c r="Z1418" s="24"/>
      <c r="AA1418" s="24"/>
      <c r="AB1418" s="24"/>
      <c r="AC1418" s="24"/>
    </row>
    <row r="1419" spans="1:29" ht="12.9">
      <c r="A1419" s="24"/>
      <c r="B1419" s="24"/>
      <c r="C1419" s="24"/>
      <c r="D1419" s="24"/>
      <c r="E1419" s="24"/>
      <c r="F1419" s="24"/>
      <c r="G1419" s="24"/>
      <c r="H1419" s="24"/>
      <c r="I1419" s="24"/>
      <c r="J1419" s="24"/>
      <c r="K1419" s="24"/>
      <c r="L1419" s="24"/>
      <c r="M1419" s="24"/>
      <c r="N1419" s="24"/>
      <c r="O1419" s="24"/>
      <c r="P1419" s="24"/>
      <c r="Q1419" s="24"/>
      <c r="R1419" s="24"/>
      <c r="S1419" s="24"/>
      <c r="T1419" s="24"/>
      <c r="U1419" s="24"/>
      <c r="V1419" s="24"/>
      <c r="W1419" s="24"/>
      <c r="X1419" s="24"/>
      <c r="Y1419" s="24"/>
      <c r="Z1419" s="24"/>
      <c r="AA1419" s="24"/>
      <c r="AB1419" s="24"/>
      <c r="AC1419" s="24"/>
    </row>
    <row r="1420" spans="1:29" ht="12.9">
      <c r="A1420" s="24"/>
      <c r="B1420" s="24"/>
      <c r="C1420" s="24"/>
      <c r="D1420" s="24"/>
      <c r="E1420" s="24"/>
      <c r="F1420" s="24"/>
      <c r="G1420" s="24"/>
      <c r="H1420" s="24"/>
      <c r="I1420" s="24"/>
      <c r="J1420" s="24"/>
      <c r="K1420" s="24"/>
      <c r="L1420" s="24"/>
      <c r="M1420" s="24"/>
      <c r="N1420" s="24"/>
      <c r="O1420" s="24"/>
      <c r="P1420" s="24"/>
      <c r="Q1420" s="24"/>
      <c r="R1420" s="24"/>
      <c r="S1420" s="24"/>
      <c r="T1420" s="24"/>
      <c r="U1420" s="24"/>
      <c r="V1420" s="24"/>
      <c r="W1420" s="24"/>
      <c r="X1420" s="24"/>
      <c r="Y1420" s="24"/>
      <c r="Z1420" s="24"/>
      <c r="AA1420" s="24"/>
      <c r="AB1420" s="24"/>
      <c r="AC1420" s="24"/>
    </row>
  </sheetData>
  <mergeCells count="17">
    <mergeCell ref="D1:D2"/>
    <mergeCell ref="C1:C2"/>
    <mergeCell ref="B1:B2"/>
    <mergeCell ref="A1:A2"/>
    <mergeCell ref="K1:K2"/>
    <mergeCell ref="G1:G2"/>
    <mergeCell ref="E1:F1"/>
    <mergeCell ref="J1:J2"/>
    <mergeCell ref="I1:I2"/>
    <mergeCell ref="H1:H2"/>
    <mergeCell ref="Q1:Q2"/>
    <mergeCell ref="R1:R2"/>
    <mergeCell ref="L1:L2"/>
    <mergeCell ref="M1:M2"/>
    <mergeCell ref="N1:N2"/>
    <mergeCell ref="O1:O2"/>
    <mergeCell ref="P1:P2"/>
  </mergeCells>
  <conditionalFormatting sqref="J3:J153 J155:J432">
    <cfRule type="containsText" dxfId="7" priority="1" operator="containsText" text="1.0">
      <formula>NOT(ISERROR(SEARCH(("1.0"),(J3))))</formula>
    </cfRule>
  </conditionalFormatting>
  <conditionalFormatting sqref="J3:J153 J155:J432">
    <cfRule type="containsText" dxfId="6" priority="2" operator="containsText" text="2.0">
      <formula>NOT(ISERROR(SEARCH(("2.0"),(J3))))</formula>
    </cfRule>
  </conditionalFormatting>
  <conditionalFormatting sqref="J3:J153 J155:J432">
    <cfRule type="containsText" dxfId="5" priority="3" operator="containsText" text="3.0">
      <formula>NOT(ISERROR(SEARCH(("3.0"),(J3))))</formula>
    </cfRule>
  </conditionalFormatting>
  <conditionalFormatting sqref="J3:J153 J155:J432">
    <cfRule type="containsText" dxfId="4" priority="4" operator="containsText" text="4.0">
      <formula>NOT(ISERROR(SEARCH(("4.0"),(J3))))</formula>
    </cfRule>
  </conditionalFormatting>
  <conditionalFormatting sqref="J3:J153 J155:J432">
    <cfRule type="containsText" dxfId="3" priority="5" operator="containsText" text="5.0">
      <formula>NOT(ISERROR(SEARCH(("5.0"),(J3))))</formula>
    </cfRule>
  </conditionalFormatting>
  <conditionalFormatting sqref="J3:J153 J155:J432">
    <cfRule type="containsText" dxfId="2" priority="6" operator="containsText" text="6.0">
      <formula>NOT(ISERROR(SEARCH(("6.0"),(J3))))</formula>
    </cfRule>
  </conditionalFormatting>
  <conditionalFormatting sqref="J3:J153 J155:J432">
    <cfRule type="containsText" dxfId="1" priority="7" operator="containsText" text="7.0">
      <formula>NOT(ISERROR(SEARCH(("7.0"),(J3))))</formula>
    </cfRule>
  </conditionalFormatting>
  <conditionalFormatting sqref="J3:J153 J155:J432">
    <cfRule type="containsText" dxfId="0" priority="8" operator="containsText" text="Two or More">
      <formula>NOT(ISERROR(SEARCH(("Two or More"),(J3))))</formula>
    </cfRule>
  </conditionalFormatting>
  <dataValidations count="1">
    <dataValidation type="list" allowBlank="1" sqref="J3:J153 J155:J432">
      <formula1>"1.0 - Requirements Definition,2.0 -  Acq. Planning &amp; Mkt. Research,3.0 - Synopsis &amp; Solicitation,4.0 - Source Selection,5.0 - Award,6.0 - Contract Admin,7.0 - Closeout,Two or more,Unidentified"</formula1>
    </dataValidation>
  </dataValidations>
  <printOptions horizontalCentered="1" gridLines="1"/>
  <pageMargins left="0.7" right="0.7" top="0.75" bottom="0.75" header="0" footer="0"/>
  <pageSetup fitToHeight="0" pageOrder="overThenDown" orientation="landscape" cellComments="atEnd"/>
  <legacyDrawing r:id="rId1"/>
  <extLst>
    <ext xmlns:x14="http://schemas.microsoft.com/office/spreadsheetml/2009/9/main" uri="{CCE6A557-97BC-4b89-ADB6-D9C93CAAB3DF}">
      <x14:dataValidations xmlns:xm="http://schemas.microsoft.com/office/excel/2006/main" count="1">
        <x14:dataValidation type="list" allowBlank="1">
          <x14:formula1>
            <xm:f>'Self Assessment Total Score'!$C$18:$C$21</xm:f>
          </x14:formula1>
          <xm:sqref>O3:O432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983"/>
  <sheetViews>
    <sheetView workbookViewId="0">
      <pane ySplit="1" topLeftCell="A2" activePane="bottomLeft" state="frozen"/>
      <selection pane="bottomLeft" activeCell="H2" sqref="H2"/>
    </sheetView>
  </sheetViews>
  <sheetFormatPr defaultColWidth="14.375" defaultRowHeight="15.8" customHeight="1"/>
  <cols>
    <col min="1" max="1" width="13.625" customWidth="1"/>
    <col min="2" max="2" width="16.25" customWidth="1"/>
    <col min="3" max="3" width="43" customWidth="1"/>
    <col min="4" max="4" width="31.625" customWidth="1"/>
    <col min="5" max="5" width="29.875" customWidth="1"/>
    <col min="6" max="6" width="23.75" customWidth="1"/>
    <col min="7" max="7" width="19.375" customWidth="1"/>
    <col min="8" max="8" width="30.75" customWidth="1"/>
    <col min="9" max="9" width="12" customWidth="1"/>
    <col min="10" max="28" width="62.375" customWidth="1"/>
  </cols>
  <sheetData>
    <row r="1" spans="1:28" ht="15.8" customHeight="1">
      <c r="A1" s="23" t="s">
        <v>3442</v>
      </c>
      <c r="B1" s="23" t="s">
        <v>3443</v>
      </c>
      <c r="C1" s="23" t="s">
        <v>3444</v>
      </c>
      <c r="D1" s="23" t="s">
        <v>36</v>
      </c>
      <c r="E1" s="23" t="s">
        <v>39</v>
      </c>
      <c r="F1" s="23" t="s">
        <v>3445</v>
      </c>
      <c r="G1" s="23" t="s">
        <v>3446</v>
      </c>
      <c r="H1" s="135" t="s">
        <v>44</v>
      </c>
      <c r="I1" s="135" t="s">
        <v>46</v>
      </c>
      <c r="J1" s="136"/>
      <c r="K1" s="136"/>
      <c r="L1" s="136"/>
      <c r="M1" s="136"/>
      <c r="N1" s="136"/>
      <c r="O1" s="136"/>
      <c r="P1" s="24"/>
      <c r="Q1" s="24"/>
      <c r="R1" s="24"/>
      <c r="S1" s="24"/>
      <c r="T1" s="24"/>
      <c r="U1" s="24"/>
      <c r="V1" s="24"/>
      <c r="W1" s="24"/>
      <c r="X1" s="24"/>
      <c r="Y1" s="24"/>
      <c r="Z1" s="24"/>
      <c r="AA1" s="24"/>
      <c r="AB1" s="24"/>
    </row>
    <row r="2" spans="1:28" ht="15.8" customHeight="1">
      <c r="A2" s="121" t="s">
        <v>3458</v>
      </c>
      <c r="B2" s="121" t="s">
        <v>15</v>
      </c>
      <c r="C2" s="25" t="s">
        <v>3459</v>
      </c>
      <c r="D2" s="25" t="s">
        <v>3460</v>
      </c>
      <c r="E2" s="25" t="s">
        <v>3461</v>
      </c>
      <c r="F2" s="57" t="str">
        <f>HYPERLINK("https://www.acquisition.gov/content/part-1-federal-acquisition-regulations-system","FAR 1.108, FAR 1.3")</f>
        <v>FAR 1.108, FAR 1.3</v>
      </c>
      <c r="G2" s="57" t="str">
        <f>HYPERLINK("https://www.acquisition.gov/sites/default/files/current/gsam/html/Part501.html#wp1858554","GSAM 501.171")</f>
        <v>GSAM 501.171</v>
      </c>
      <c r="H2" s="43"/>
      <c r="I2" s="45" t="b">
        <f t="shared" ref="I2:I43" si="0">IF(AND(H2="Meet the requirements traceability “out of the box”"), 10, IF(AND(H2="Can meet the requirements traceability with configuration or through the use of another commercial product “out of the box” or other arrangement as part of the service offering quoted (i.e. at no additional cost)"), 8, IF(AND(H2="Can meet the requirements traceability with customization at additional cost"), 3, IF(AND(H2="Cannot meet the requirements traceability requirement"), 0))))</f>
        <v>0</v>
      </c>
      <c r="J2" s="24"/>
      <c r="K2" s="24"/>
      <c r="L2" s="24"/>
      <c r="M2" s="24"/>
      <c r="N2" s="24"/>
      <c r="O2" s="24"/>
      <c r="P2" s="24"/>
      <c r="Q2" s="24"/>
      <c r="R2" s="24"/>
      <c r="S2" s="24"/>
      <c r="T2" s="24"/>
      <c r="U2" s="24"/>
      <c r="V2" s="24"/>
      <c r="W2" s="24"/>
      <c r="X2" s="24"/>
      <c r="Y2" s="24"/>
      <c r="Z2" s="24"/>
      <c r="AA2" s="24"/>
      <c r="AB2" s="24"/>
    </row>
    <row r="3" spans="1:28" ht="15.8" customHeight="1">
      <c r="A3" s="121" t="s">
        <v>3481</v>
      </c>
      <c r="B3" s="121" t="s">
        <v>15</v>
      </c>
      <c r="C3" s="25" t="s">
        <v>3485</v>
      </c>
      <c r="D3" s="25" t="s">
        <v>3486</v>
      </c>
      <c r="E3" s="25" t="s">
        <v>3487</v>
      </c>
      <c r="F3" s="57" t="str">
        <f>HYPERLINK("https://www.acquisition.gov/content/part-17-special-contracting-methods","FAR 17.502-1(b) and FAR 17.703")</f>
        <v>FAR 17.502-1(b) and FAR 17.703</v>
      </c>
      <c r="G3" s="25"/>
      <c r="H3" s="43"/>
      <c r="I3" s="45" t="b">
        <f t="shared" si="0"/>
        <v>0</v>
      </c>
      <c r="J3" s="24"/>
      <c r="K3" s="24"/>
      <c r="L3" s="24"/>
      <c r="M3" s="24"/>
      <c r="N3" s="24"/>
      <c r="O3" s="24"/>
      <c r="P3" s="24"/>
      <c r="Q3" s="24"/>
      <c r="R3" s="24"/>
      <c r="S3" s="24"/>
      <c r="T3" s="24"/>
      <c r="U3" s="24"/>
      <c r="V3" s="24"/>
      <c r="W3" s="24"/>
      <c r="X3" s="24"/>
      <c r="Y3" s="24"/>
      <c r="Z3" s="24"/>
      <c r="AA3" s="24"/>
      <c r="AB3" s="24"/>
    </row>
    <row r="4" spans="1:28" ht="15.8" customHeight="1">
      <c r="A4" s="121" t="s">
        <v>3495</v>
      </c>
      <c r="B4" s="121" t="s">
        <v>15</v>
      </c>
      <c r="C4" s="94" t="s">
        <v>3496</v>
      </c>
      <c r="D4" s="25" t="s">
        <v>3497</v>
      </c>
      <c r="E4" s="25" t="s">
        <v>3498</v>
      </c>
      <c r="F4" s="57" t="str">
        <f>HYPERLINK("https://www.acquisition.gov/content/part-52-solicitation-provisions-and-contract-clauses","FAR 52.101(f), FAR 52.103")</f>
        <v>FAR 52.101(f), FAR 52.103</v>
      </c>
      <c r="G4" s="57" t="str">
        <f>HYPERLINK("https://www.acquisition.gov/content/part-552-solicitation-provisions-and-contract-clauses#HOQDAINR","GSAM 552.103")</f>
        <v>GSAM 552.103</v>
      </c>
      <c r="H4" s="43"/>
      <c r="I4" s="45" t="b">
        <f t="shared" si="0"/>
        <v>0</v>
      </c>
      <c r="J4" s="24"/>
      <c r="K4" s="24"/>
      <c r="L4" s="24"/>
      <c r="M4" s="24"/>
      <c r="N4" s="24"/>
      <c r="O4" s="24"/>
      <c r="P4" s="24"/>
      <c r="Q4" s="24"/>
      <c r="R4" s="24"/>
      <c r="S4" s="24"/>
      <c r="T4" s="24"/>
      <c r="U4" s="24"/>
      <c r="V4" s="24"/>
      <c r="W4" s="24"/>
      <c r="X4" s="24"/>
      <c r="Y4" s="24"/>
      <c r="Z4" s="24"/>
      <c r="AA4" s="24"/>
      <c r="AB4" s="24"/>
    </row>
    <row r="5" spans="1:28" ht="15.8" customHeight="1">
      <c r="A5" s="121" t="s">
        <v>3505</v>
      </c>
      <c r="B5" s="121" t="s">
        <v>15</v>
      </c>
      <c r="C5" s="94" t="s">
        <v>3507</v>
      </c>
      <c r="D5" s="25" t="s">
        <v>3509</v>
      </c>
      <c r="E5" s="25" t="s">
        <v>3510</v>
      </c>
      <c r="F5" s="131"/>
      <c r="G5" s="131"/>
      <c r="H5" s="43"/>
      <c r="I5" s="45" t="b">
        <f t="shared" si="0"/>
        <v>0</v>
      </c>
      <c r="J5" s="24"/>
      <c r="K5" s="24"/>
      <c r="L5" s="24"/>
      <c r="M5" s="24"/>
      <c r="N5" s="24"/>
      <c r="O5" s="24"/>
      <c r="P5" s="24"/>
      <c r="Q5" s="24"/>
      <c r="R5" s="24"/>
      <c r="S5" s="24"/>
      <c r="T5" s="24"/>
      <c r="U5" s="24"/>
      <c r="V5" s="24"/>
      <c r="W5" s="24"/>
      <c r="X5" s="24"/>
      <c r="Y5" s="24"/>
      <c r="Z5" s="24"/>
      <c r="AA5" s="24"/>
      <c r="AB5" s="24"/>
    </row>
    <row r="6" spans="1:28" ht="15.8" customHeight="1">
      <c r="A6" s="121" t="s">
        <v>3512</v>
      </c>
      <c r="B6" s="121" t="s">
        <v>15</v>
      </c>
      <c r="C6" s="94" t="s">
        <v>3514</v>
      </c>
      <c r="D6" s="25" t="s">
        <v>3516</v>
      </c>
      <c r="E6" s="25" t="s">
        <v>3518</v>
      </c>
      <c r="F6" s="57" t="str">
        <f>HYPERLINK("https://www.acquisition.gov/content/part-42-contract-administration-and-audit-services#i1075696","FAR 42.301")</f>
        <v>FAR 42.301</v>
      </c>
      <c r="G6" s="131"/>
      <c r="H6" s="43"/>
      <c r="I6" s="45" t="b">
        <f t="shared" si="0"/>
        <v>0</v>
      </c>
      <c r="J6" s="24"/>
      <c r="K6" s="24"/>
      <c r="L6" s="24"/>
      <c r="M6" s="24"/>
      <c r="N6" s="24"/>
      <c r="O6" s="24"/>
      <c r="P6" s="24"/>
      <c r="Q6" s="24"/>
      <c r="R6" s="24"/>
      <c r="S6" s="24"/>
      <c r="T6" s="24"/>
      <c r="U6" s="24"/>
      <c r="V6" s="24"/>
      <c r="W6" s="24"/>
      <c r="X6" s="24"/>
      <c r="Y6" s="24"/>
      <c r="Z6" s="24"/>
      <c r="AA6" s="24"/>
      <c r="AB6" s="24"/>
    </row>
    <row r="7" spans="1:28" ht="15.8" customHeight="1">
      <c r="A7" s="121" t="s">
        <v>3525</v>
      </c>
      <c r="B7" s="121" t="s">
        <v>15</v>
      </c>
      <c r="C7" s="137" t="s">
        <v>3527</v>
      </c>
      <c r="D7" s="25" t="s">
        <v>3532</v>
      </c>
      <c r="E7" s="25" t="s">
        <v>3533</v>
      </c>
      <c r="F7" s="57" t="str">
        <f>HYPERLINK("https://www.acquisition.gov/content/part-52-solicitation-provisions-and-contract-clauses#i1044323","FAR 52.3")</f>
        <v>FAR 52.3</v>
      </c>
      <c r="G7" s="57" t="str">
        <f>HYPERLINK("https://www.acquisition.gov/content/part-552-solicitation-provisions-and-contract-clauses#KOWCNTBI","FAR 552.3")</f>
        <v>FAR 552.3</v>
      </c>
      <c r="H7" s="43"/>
      <c r="I7" s="45" t="b">
        <f t="shared" si="0"/>
        <v>0</v>
      </c>
      <c r="J7" s="24"/>
      <c r="K7" s="24"/>
      <c r="L7" s="24"/>
      <c r="M7" s="24"/>
      <c r="N7" s="24"/>
      <c r="O7" s="24"/>
      <c r="P7" s="24"/>
      <c r="Q7" s="24"/>
      <c r="R7" s="24"/>
      <c r="S7" s="24"/>
      <c r="T7" s="24"/>
      <c r="U7" s="24"/>
      <c r="V7" s="24"/>
      <c r="W7" s="24"/>
      <c r="X7" s="24"/>
      <c r="Y7" s="24"/>
      <c r="Z7" s="24"/>
      <c r="AA7" s="24"/>
      <c r="AB7" s="24"/>
    </row>
    <row r="8" spans="1:28" ht="15.8" customHeight="1">
      <c r="A8" s="121" t="s">
        <v>3547</v>
      </c>
      <c r="B8" s="121" t="s">
        <v>15</v>
      </c>
      <c r="C8" s="41" t="s">
        <v>3548</v>
      </c>
      <c r="D8" s="25" t="s">
        <v>3549</v>
      </c>
      <c r="E8" s="25" t="s">
        <v>3550</v>
      </c>
      <c r="F8" s="57" t="str">
        <f>HYPERLINK("https://www.acquisition.gov/content/part-52-solicitation-provisions-and-contract-clauses#i1064507","FAR 52.101(c) ")</f>
        <v xml:space="preserve">FAR 52.101(c) </v>
      </c>
      <c r="G8" s="131"/>
      <c r="H8" s="43"/>
      <c r="I8" s="45" t="b">
        <f t="shared" si="0"/>
        <v>0</v>
      </c>
      <c r="J8" s="24"/>
      <c r="K8" s="24"/>
      <c r="L8" s="24"/>
      <c r="M8" s="24"/>
      <c r="N8" s="24"/>
      <c r="O8" s="24"/>
      <c r="P8" s="24"/>
      <c r="Q8" s="24"/>
      <c r="R8" s="24"/>
      <c r="S8" s="24"/>
      <c r="T8" s="24"/>
      <c r="U8" s="24"/>
      <c r="V8" s="24"/>
      <c r="W8" s="24"/>
      <c r="X8" s="24"/>
      <c r="Y8" s="24"/>
      <c r="Z8" s="24"/>
      <c r="AA8" s="24"/>
      <c r="AB8" s="24"/>
    </row>
    <row r="9" spans="1:28" ht="15.8" customHeight="1">
      <c r="A9" s="121" t="s">
        <v>3559</v>
      </c>
      <c r="B9" s="121" t="s">
        <v>15</v>
      </c>
      <c r="C9" s="79" t="s">
        <v>3560</v>
      </c>
      <c r="D9" s="25" t="s">
        <v>3561</v>
      </c>
      <c r="E9" s="25" t="s">
        <v>3562</v>
      </c>
      <c r="F9" s="57" t="str">
        <f>HYPERLINK("https://www.acquisition.gov/content/part-52-solicitation-provisions-and-contract-clauses#i1064597","FAR 52.102")</f>
        <v>FAR 52.102</v>
      </c>
      <c r="G9" s="57" t="str">
        <f>HYPERLINK("https://www.acquisition.gov/content/part-552-solicitation-provisions-and-contract-clauses#TIIDMSSL","GSAM 552.102")</f>
        <v>GSAM 552.102</v>
      </c>
      <c r="H9" s="43"/>
      <c r="I9" s="45" t="b">
        <f t="shared" si="0"/>
        <v>0</v>
      </c>
      <c r="J9" s="24"/>
      <c r="K9" s="24"/>
      <c r="L9" s="24"/>
      <c r="M9" s="24"/>
      <c r="N9" s="24"/>
      <c r="O9" s="24"/>
      <c r="P9" s="24"/>
      <c r="Q9" s="24"/>
      <c r="R9" s="24"/>
      <c r="S9" s="24"/>
      <c r="T9" s="24"/>
      <c r="U9" s="24"/>
      <c r="V9" s="24"/>
      <c r="W9" s="24"/>
      <c r="X9" s="24"/>
      <c r="Y9" s="24"/>
      <c r="Z9" s="24"/>
      <c r="AA9" s="24"/>
      <c r="AB9" s="24"/>
    </row>
    <row r="10" spans="1:28" ht="15.8" customHeight="1">
      <c r="A10" s="121" t="s">
        <v>3567</v>
      </c>
      <c r="B10" s="121" t="s">
        <v>15</v>
      </c>
      <c r="C10" s="25" t="s">
        <v>3568</v>
      </c>
      <c r="D10" s="25" t="s">
        <v>3569</v>
      </c>
      <c r="E10" s="25" t="s">
        <v>3570</v>
      </c>
      <c r="F10" s="131"/>
      <c r="G10" s="57" t="str">
        <f>HYPERLINK("https://www.acquisition.gov/content/part-501-general-services-administration-acquisition-regulation-system#i1896887","GSAM 501.170")</f>
        <v>GSAM 501.170</v>
      </c>
      <c r="H10" s="43"/>
      <c r="I10" s="45" t="b">
        <f t="shared" si="0"/>
        <v>0</v>
      </c>
      <c r="J10" s="24"/>
      <c r="K10" s="24"/>
      <c r="L10" s="24"/>
      <c r="M10" s="24"/>
      <c r="N10" s="24"/>
      <c r="O10" s="24"/>
      <c r="P10" s="24"/>
      <c r="Q10" s="24"/>
      <c r="R10" s="24"/>
      <c r="S10" s="24"/>
      <c r="T10" s="24"/>
      <c r="U10" s="24"/>
      <c r="V10" s="24"/>
      <c r="W10" s="24"/>
      <c r="X10" s="24"/>
      <c r="Y10" s="24"/>
      <c r="Z10" s="24"/>
      <c r="AA10" s="24"/>
      <c r="AB10" s="24"/>
    </row>
    <row r="11" spans="1:28" ht="15.8" customHeight="1">
      <c r="A11" s="121" t="s">
        <v>3574</v>
      </c>
      <c r="B11" s="121" t="s">
        <v>15</v>
      </c>
      <c r="C11" s="25" t="s">
        <v>3575</v>
      </c>
      <c r="D11" s="25" t="s">
        <v>3576</v>
      </c>
      <c r="E11" s="25" t="s">
        <v>3577</v>
      </c>
      <c r="F11" s="57" t="str">
        <f>HYPERLINK("https://www.acquisition.gov/browse/index/far","FAR 12.303, FAR 14.201-1, FAR 14.201-9, FAR 15.204, FAR 52.301 and FAR 53")</f>
        <v>FAR 12.303, FAR 14.201-1, FAR 14.201-9, FAR 15.204, FAR 52.301 and FAR 53</v>
      </c>
      <c r="G11" s="57" t="str">
        <f>HYPERLINK("https://www.acquisition.gov/browsegsam","GSAR 514.201-1, GSAR 515.204-1, GSAR 552.300, GSAR 553 and Local Policies via Acquisition Gateway")</f>
        <v>GSAR 514.201-1, GSAR 515.204-1, GSAR 552.300, GSAR 553 and Local Policies via Acquisition Gateway</v>
      </c>
      <c r="H11" s="43"/>
      <c r="I11" s="45" t="b">
        <f t="shared" si="0"/>
        <v>0</v>
      </c>
      <c r="J11" s="24"/>
      <c r="K11" s="24"/>
      <c r="L11" s="24"/>
      <c r="M11" s="24"/>
      <c r="N11" s="24"/>
      <c r="O11" s="24"/>
      <c r="P11" s="24"/>
      <c r="Q11" s="24"/>
      <c r="R11" s="24"/>
      <c r="S11" s="24"/>
      <c r="T11" s="24"/>
      <c r="U11" s="24"/>
      <c r="V11" s="24"/>
      <c r="W11" s="24"/>
      <c r="X11" s="24"/>
      <c r="Y11" s="24"/>
      <c r="Z11" s="24"/>
      <c r="AA11" s="24"/>
      <c r="AB11" s="24"/>
    </row>
    <row r="12" spans="1:28" ht="15.8" customHeight="1">
      <c r="A12" s="121" t="s">
        <v>3580</v>
      </c>
      <c r="B12" s="121" t="s">
        <v>15</v>
      </c>
      <c r="C12" s="58" t="s">
        <v>3583</v>
      </c>
      <c r="D12" s="25" t="s">
        <v>3584</v>
      </c>
      <c r="E12" s="25" t="s">
        <v>3586</v>
      </c>
      <c r="F12" s="79"/>
      <c r="G12" s="54"/>
      <c r="H12" s="43"/>
      <c r="I12" s="45" t="b">
        <f t="shared" si="0"/>
        <v>0</v>
      </c>
      <c r="J12" s="24"/>
      <c r="K12" s="24"/>
      <c r="L12" s="24"/>
      <c r="M12" s="24"/>
      <c r="N12" s="24"/>
      <c r="O12" s="24"/>
      <c r="P12" s="24"/>
      <c r="Q12" s="24"/>
      <c r="R12" s="24"/>
      <c r="S12" s="24"/>
      <c r="T12" s="24"/>
      <c r="U12" s="24"/>
      <c r="V12" s="24"/>
      <c r="W12" s="24"/>
      <c r="X12" s="24"/>
      <c r="Y12" s="24"/>
      <c r="Z12" s="24"/>
      <c r="AA12" s="24"/>
      <c r="AB12" s="24"/>
    </row>
    <row r="13" spans="1:28" ht="15.8" customHeight="1">
      <c r="A13" s="121" t="s">
        <v>3588</v>
      </c>
      <c r="B13" s="121" t="s">
        <v>15</v>
      </c>
      <c r="C13" s="79" t="s">
        <v>3589</v>
      </c>
      <c r="D13" s="25" t="s">
        <v>3590</v>
      </c>
      <c r="E13" s="25" t="s">
        <v>3591</v>
      </c>
      <c r="F13" s="138" t="str">
        <f>HYPERLINK("https://www.acquisition.gov/content/part-52-solicitation-provisions-and-contract-clauses#i1064507","FAR 52.101(f)")</f>
        <v>FAR 52.101(f)</v>
      </c>
      <c r="G13" s="54"/>
      <c r="H13" s="43"/>
      <c r="I13" s="45" t="b">
        <f t="shared" si="0"/>
        <v>0</v>
      </c>
      <c r="J13" s="24"/>
      <c r="K13" s="24"/>
      <c r="L13" s="24"/>
      <c r="M13" s="24"/>
      <c r="N13" s="24"/>
      <c r="O13" s="24"/>
      <c r="P13" s="24"/>
      <c r="Q13" s="24"/>
      <c r="R13" s="24"/>
      <c r="S13" s="24"/>
      <c r="T13" s="24"/>
      <c r="U13" s="24"/>
      <c r="V13" s="24"/>
      <c r="W13" s="24"/>
      <c r="X13" s="24"/>
      <c r="Y13" s="24"/>
      <c r="Z13" s="24"/>
      <c r="AA13" s="24"/>
      <c r="AB13" s="24"/>
    </row>
    <row r="14" spans="1:28" ht="15.8" customHeight="1">
      <c r="A14" s="121" t="s">
        <v>3600</v>
      </c>
      <c r="B14" s="121" t="s">
        <v>15</v>
      </c>
      <c r="C14" s="41" t="s">
        <v>3601</v>
      </c>
      <c r="D14" s="25" t="s">
        <v>3602</v>
      </c>
      <c r="E14" s="25" t="s">
        <v>3603</v>
      </c>
      <c r="F14" s="138" t="str">
        <f>HYPERLINK("https://www.acquisition.gov/content/part-53-forms#id1617ME00WRW","FAR 53.101")</f>
        <v>FAR 53.101</v>
      </c>
      <c r="G14" s="57" t="str">
        <f>HYPERLINK("https://www.acquisition.gov/content/part-553-forms#KXTMYPDI","GSAM 553.101")</f>
        <v>GSAM 553.101</v>
      </c>
      <c r="H14" s="43"/>
      <c r="I14" s="45" t="b">
        <f t="shared" si="0"/>
        <v>0</v>
      </c>
      <c r="J14" s="24"/>
      <c r="K14" s="24"/>
      <c r="L14" s="24"/>
      <c r="M14" s="24"/>
      <c r="N14" s="24"/>
      <c r="O14" s="24"/>
      <c r="P14" s="24"/>
      <c r="Q14" s="24"/>
      <c r="R14" s="24"/>
      <c r="S14" s="24"/>
      <c r="T14" s="24"/>
      <c r="U14" s="24"/>
      <c r="V14" s="24"/>
      <c r="W14" s="24"/>
      <c r="X14" s="24"/>
      <c r="Y14" s="24"/>
      <c r="Z14" s="24"/>
      <c r="AA14" s="24"/>
      <c r="AB14" s="24"/>
    </row>
    <row r="15" spans="1:28" ht="15.8" customHeight="1">
      <c r="A15" s="121" t="s">
        <v>3611</v>
      </c>
      <c r="B15" s="121" t="s">
        <v>15</v>
      </c>
      <c r="C15" s="41" t="s">
        <v>3612</v>
      </c>
      <c r="D15" s="25" t="s">
        <v>3602</v>
      </c>
      <c r="E15" s="25" t="s">
        <v>3603</v>
      </c>
      <c r="F15" s="79"/>
      <c r="G15" s="57" t="str">
        <f>HYPERLINK("https://www.acquisition.gov/content/supplemental-regulations","Agency Supplement Part 53 Equivalent")</f>
        <v>Agency Supplement Part 53 Equivalent</v>
      </c>
      <c r="H15" s="43"/>
      <c r="I15" s="45" t="b">
        <f t="shared" si="0"/>
        <v>0</v>
      </c>
      <c r="J15" s="24"/>
      <c r="K15" s="24"/>
      <c r="L15" s="24"/>
      <c r="M15" s="24"/>
      <c r="N15" s="24"/>
      <c r="O15" s="24"/>
      <c r="P15" s="24"/>
      <c r="Q15" s="24"/>
      <c r="R15" s="24"/>
      <c r="S15" s="24"/>
      <c r="T15" s="24"/>
      <c r="U15" s="24"/>
      <c r="V15" s="24"/>
      <c r="W15" s="24"/>
      <c r="X15" s="24"/>
      <c r="Y15" s="24"/>
      <c r="Z15" s="24"/>
      <c r="AA15" s="24"/>
      <c r="AB15" s="24"/>
    </row>
    <row r="16" spans="1:28" ht="15.8" customHeight="1">
      <c r="A16" s="121" t="s">
        <v>3623</v>
      </c>
      <c r="B16" s="121" t="s">
        <v>15</v>
      </c>
      <c r="C16" s="41" t="s">
        <v>3625</v>
      </c>
      <c r="D16" s="25" t="s">
        <v>3627</v>
      </c>
      <c r="E16" s="25" t="s">
        <v>617</v>
      </c>
      <c r="F16" s="138" t="str">
        <f>HYPERLINK("https://www.acquisition.gov/content/part-4-administrative-matters#i1122317","FAR 4.801")</f>
        <v>FAR 4.801</v>
      </c>
      <c r="G16" s="57" t="str">
        <f>HYPERLINK("https://www.acquisition.gov/content/part-504-administrative-matters#WDRTSLBF","GSAM 504.8")</f>
        <v>GSAM 504.8</v>
      </c>
      <c r="H16" s="43"/>
      <c r="I16" s="45" t="b">
        <f t="shared" si="0"/>
        <v>0</v>
      </c>
      <c r="J16" s="24"/>
      <c r="K16" s="24"/>
      <c r="L16" s="24"/>
      <c r="M16" s="24"/>
      <c r="N16" s="24"/>
      <c r="O16" s="24"/>
      <c r="P16" s="24"/>
      <c r="Q16" s="24"/>
      <c r="R16" s="24"/>
      <c r="S16" s="24"/>
      <c r="T16" s="24"/>
      <c r="U16" s="24"/>
      <c r="V16" s="24"/>
      <c r="W16" s="24"/>
      <c r="X16" s="24"/>
      <c r="Y16" s="24"/>
      <c r="Z16" s="24"/>
      <c r="AA16" s="24"/>
      <c r="AB16" s="24"/>
    </row>
    <row r="17" spans="1:28" ht="15.8" customHeight="1">
      <c r="A17" s="121" t="s">
        <v>3636</v>
      </c>
      <c r="B17" s="121" t="s">
        <v>15</v>
      </c>
      <c r="C17" s="79" t="s">
        <v>3637</v>
      </c>
      <c r="D17" s="79" t="s">
        <v>3639</v>
      </c>
      <c r="E17" s="79" t="s">
        <v>3641</v>
      </c>
      <c r="F17" s="138" t="str">
        <f t="shared" ref="F17:F19" si="1">HYPERLINK("https://www.acquisition.gov/content/part-52-solicitation-provisions-and-contract-clauses#i1064663","FAR 52.104")</f>
        <v>FAR 52.104</v>
      </c>
      <c r="G17" s="57" t="str">
        <f t="shared" ref="G17:G19" si="2">HYPERLINK("https://www.acquisition.gov/content/part-552-solicitation-provisions-and-contract-clauses#LJAXPUYO","GSAM 552.104")</f>
        <v>GSAM 552.104</v>
      </c>
      <c r="H17" s="43"/>
      <c r="I17" s="45" t="b">
        <f t="shared" si="0"/>
        <v>0</v>
      </c>
      <c r="J17" s="24"/>
      <c r="K17" s="24"/>
      <c r="L17" s="24"/>
      <c r="M17" s="24"/>
      <c r="N17" s="24"/>
      <c r="O17" s="24"/>
      <c r="P17" s="24"/>
      <c r="Q17" s="24"/>
      <c r="R17" s="24"/>
      <c r="S17" s="24"/>
      <c r="T17" s="24"/>
      <c r="U17" s="24"/>
      <c r="V17" s="24"/>
      <c r="W17" s="24"/>
      <c r="X17" s="24"/>
      <c r="Y17" s="24"/>
      <c r="Z17" s="24"/>
      <c r="AA17" s="24"/>
      <c r="AB17" s="24"/>
    </row>
    <row r="18" spans="1:28" ht="15.8" customHeight="1">
      <c r="A18" s="121" t="s">
        <v>3648</v>
      </c>
      <c r="B18" s="121" t="s">
        <v>15</v>
      </c>
      <c r="C18" s="25" t="s">
        <v>3650</v>
      </c>
      <c r="D18" s="79" t="s">
        <v>3652</v>
      </c>
      <c r="E18" s="79" t="s">
        <v>3654</v>
      </c>
      <c r="F18" s="138" t="str">
        <f t="shared" si="1"/>
        <v>FAR 52.104</v>
      </c>
      <c r="G18" s="57" t="str">
        <f t="shared" si="2"/>
        <v>GSAM 552.104</v>
      </c>
      <c r="H18" s="43"/>
      <c r="I18" s="45" t="b">
        <f t="shared" si="0"/>
        <v>0</v>
      </c>
      <c r="J18" s="24"/>
      <c r="K18" s="24"/>
      <c r="L18" s="24"/>
      <c r="M18" s="24"/>
      <c r="N18" s="24"/>
      <c r="O18" s="24"/>
      <c r="P18" s="24"/>
      <c r="Q18" s="24"/>
      <c r="R18" s="24"/>
      <c r="S18" s="24"/>
      <c r="T18" s="24"/>
      <c r="U18" s="24"/>
      <c r="V18" s="24"/>
      <c r="W18" s="24"/>
      <c r="X18" s="24"/>
      <c r="Y18" s="24"/>
      <c r="Z18" s="24"/>
      <c r="AA18" s="24"/>
      <c r="AB18" s="24"/>
    </row>
    <row r="19" spans="1:28" ht="15.8" customHeight="1">
      <c r="A19" s="121" t="s">
        <v>3660</v>
      </c>
      <c r="B19" s="121" t="s">
        <v>15</v>
      </c>
      <c r="C19" s="25" t="s">
        <v>3661</v>
      </c>
      <c r="D19" s="25" t="s">
        <v>3662</v>
      </c>
      <c r="E19" s="25" t="s">
        <v>3663</v>
      </c>
      <c r="F19" s="138" t="str">
        <f t="shared" si="1"/>
        <v>FAR 52.104</v>
      </c>
      <c r="G19" s="57" t="str">
        <f t="shared" si="2"/>
        <v>GSAM 552.104</v>
      </c>
      <c r="H19" s="43"/>
      <c r="I19" s="45" t="b">
        <f t="shared" si="0"/>
        <v>0</v>
      </c>
      <c r="J19" s="24"/>
      <c r="K19" s="24"/>
      <c r="L19" s="24"/>
      <c r="M19" s="24"/>
      <c r="N19" s="24"/>
      <c r="O19" s="24"/>
      <c r="P19" s="24"/>
      <c r="Q19" s="24"/>
      <c r="R19" s="24"/>
      <c r="S19" s="24"/>
      <c r="T19" s="24"/>
      <c r="U19" s="24"/>
      <c r="V19" s="24"/>
      <c r="W19" s="24"/>
      <c r="X19" s="24"/>
      <c r="Y19" s="24"/>
      <c r="Z19" s="24"/>
      <c r="AA19" s="24"/>
      <c r="AB19" s="24"/>
    </row>
    <row r="20" spans="1:28" ht="15.8" customHeight="1">
      <c r="A20" s="121" t="s">
        <v>3669</v>
      </c>
      <c r="B20" s="121" t="s">
        <v>15</v>
      </c>
      <c r="C20" s="25" t="s">
        <v>3672</v>
      </c>
      <c r="D20" s="25" t="s">
        <v>3673</v>
      </c>
      <c r="E20" s="25" t="s">
        <v>3674</v>
      </c>
      <c r="F20" s="57" t="str">
        <f>HYPERLINK("https://www.acquisition.gov/content/part-52-solicitation-provisions-and-contract-clauses#i1064507","FAR 52.101")</f>
        <v>FAR 52.101</v>
      </c>
      <c r="G20" s="57" t="str">
        <f>HYPERLINK("https://www.acquisition.gov/content/part-552-solicitation-provisions-and-contract-clauses#NFRWBWSP","GSAM 552.101")</f>
        <v>GSAM 552.101</v>
      </c>
      <c r="H20" s="43"/>
      <c r="I20" s="45" t="b">
        <f t="shared" si="0"/>
        <v>0</v>
      </c>
      <c r="J20" s="24"/>
      <c r="K20" s="24"/>
      <c r="L20" s="24"/>
      <c r="M20" s="24"/>
      <c r="N20" s="24"/>
      <c r="O20" s="24"/>
      <c r="P20" s="24"/>
      <c r="Q20" s="24"/>
      <c r="R20" s="24"/>
      <c r="S20" s="24"/>
      <c r="T20" s="24"/>
      <c r="U20" s="24"/>
      <c r="V20" s="24"/>
      <c r="W20" s="24"/>
      <c r="X20" s="24"/>
      <c r="Y20" s="24"/>
      <c r="Z20" s="24"/>
      <c r="AA20" s="24"/>
      <c r="AB20" s="24"/>
    </row>
    <row r="21" spans="1:28" ht="15.8" customHeight="1">
      <c r="A21" s="121" t="s">
        <v>3681</v>
      </c>
      <c r="B21" s="121" t="s">
        <v>15</v>
      </c>
      <c r="C21" s="25" t="s">
        <v>3683</v>
      </c>
      <c r="D21" s="25" t="s">
        <v>3686</v>
      </c>
      <c r="E21" s="25" t="s">
        <v>3687</v>
      </c>
      <c r="F21" s="54"/>
      <c r="G21" s="54"/>
      <c r="H21" s="43"/>
      <c r="I21" s="45" t="b">
        <f t="shared" si="0"/>
        <v>0</v>
      </c>
      <c r="J21" s="24"/>
      <c r="K21" s="24"/>
      <c r="L21" s="24"/>
      <c r="M21" s="24"/>
      <c r="N21" s="24"/>
      <c r="O21" s="24"/>
      <c r="P21" s="24"/>
      <c r="Q21" s="24"/>
      <c r="R21" s="24"/>
      <c r="S21" s="24"/>
      <c r="T21" s="24"/>
      <c r="U21" s="24"/>
      <c r="V21" s="24"/>
      <c r="W21" s="24"/>
      <c r="X21" s="24"/>
      <c r="Y21" s="24"/>
      <c r="Z21" s="24"/>
      <c r="AA21" s="24"/>
      <c r="AB21" s="24"/>
    </row>
    <row r="22" spans="1:28" ht="15.8" customHeight="1">
      <c r="A22" s="121" t="s">
        <v>3688</v>
      </c>
      <c r="B22" s="121" t="s">
        <v>15</v>
      </c>
      <c r="C22" s="25" t="s">
        <v>3689</v>
      </c>
      <c r="D22" s="25" t="s">
        <v>3690</v>
      </c>
      <c r="E22" s="25" t="s">
        <v>3691</v>
      </c>
      <c r="F22" s="54"/>
      <c r="G22" s="54"/>
      <c r="H22" s="43"/>
      <c r="I22" s="45" t="b">
        <f t="shared" si="0"/>
        <v>0</v>
      </c>
      <c r="J22" s="24"/>
      <c r="K22" s="24"/>
      <c r="L22" s="24"/>
      <c r="M22" s="24"/>
      <c r="N22" s="24"/>
      <c r="O22" s="24"/>
      <c r="P22" s="24"/>
      <c r="Q22" s="24"/>
      <c r="R22" s="24"/>
      <c r="S22" s="24"/>
      <c r="T22" s="24"/>
      <c r="U22" s="24"/>
      <c r="V22" s="24"/>
      <c r="W22" s="24"/>
      <c r="X22" s="24"/>
      <c r="Y22" s="24"/>
      <c r="Z22" s="24"/>
      <c r="AA22" s="24"/>
      <c r="AB22" s="24"/>
    </row>
    <row r="23" spans="1:28" ht="15.8" customHeight="1">
      <c r="A23" s="121" t="s">
        <v>3695</v>
      </c>
      <c r="B23" s="121" t="s">
        <v>15</v>
      </c>
      <c r="C23" s="25" t="s">
        <v>3696</v>
      </c>
      <c r="D23" s="25" t="s">
        <v>3697</v>
      </c>
      <c r="E23" s="25" t="s">
        <v>3698</v>
      </c>
      <c r="F23" s="54"/>
      <c r="G23" s="54"/>
      <c r="H23" s="43"/>
      <c r="I23" s="45" t="b">
        <f t="shared" si="0"/>
        <v>0</v>
      </c>
      <c r="J23" s="24"/>
      <c r="K23" s="24"/>
      <c r="L23" s="24"/>
      <c r="M23" s="24"/>
      <c r="N23" s="24"/>
      <c r="O23" s="24"/>
      <c r="P23" s="24"/>
      <c r="Q23" s="24"/>
      <c r="R23" s="24"/>
      <c r="S23" s="24"/>
      <c r="T23" s="24"/>
      <c r="U23" s="24"/>
      <c r="V23" s="24"/>
      <c r="W23" s="24"/>
      <c r="X23" s="24"/>
      <c r="Y23" s="24"/>
      <c r="Z23" s="24"/>
      <c r="AA23" s="24"/>
      <c r="AB23" s="24"/>
    </row>
    <row r="24" spans="1:28" ht="15.8" customHeight="1">
      <c r="A24" s="121" t="s">
        <v>3699</v>
      </c>
      <c r="B24" s="121" t="s">
        <v>15</v>
      </c>
      <c r="C24" s="25" t="s">
        <v>3702</v>
      </c>
      <c r="D24" s="25" t="s">
        <v>3703</v>
      </c>
      <c r="E24" s="25" t="s">
        <v>3704</v>
      </c>
      <c r="F24" s="57" t="str">
        <f t="shared" ref="F24:F25" si="3">HYPERLINK("https://www.acquisition.gov/content/part-1-federal-acquisition-regulations-system#id1617MD00F4M","FAR 1.402")</f>
        <v>FAR 1.402</v>
      </c>
      <c r="G24" s="57" t="str">
        <f t="shared" ref="G24:G25" si="4">HYPERLINK("https://www.acquisition.gov/sites/default/files/current/gsam/html/Part501.html#wp1864481","GSAR 501-4")</f>
        <v>GSAR 501-4</v>
      </c>
      <c r="H24" s="43"/>
      <c r="I24" s="45" t="b">
        <f t="shared" si="0"/>
        <v>0</v>
      </c>
      <c r="J24" s="24"/>
      <c r="K24" s="24"/>
      <c r="L24" s="24"/>
      <c r="M24" s="24"/>
      <c r="N24" s="24"/>
      <c r="O24" s="24"/>
      <c r="P24" s="24"/>
      <c r="Q24" s="24"/>
      <c r="R24" s="24"/>
      <c r="S24" s="24"/>
      <c r="T24" s="24"/>
      <c r="U24" s="24"/>
      <c r="V24" s="24"/>
      <c r="W24" s="24"/>
      <c r="X24" s="24"/>
      <c r="Y24" s="24"/>
      <c r="Z24" s="24"/>
      <c r="AA24" s="24"/>
      <c r="AB24" s="24"/>
    </row>
    <row r="25" spans="1:28" ht="15.8" customHeight="1">
      <c r="A25" s="121" t="s">
        <v>3711</v>
      </c>
      <c r="B25" s="121" t="s">
        <v>15</v>
      </c>
      <c r="C25" s="79" t="s">
        <v>3712</v>
      </c>
      <c r="D25" s="25" t="s">
        <v>3713</v>
      </c>
      <c r="E25" s="25" t="s">
        <v>3714</v>
      </c>
      <c r="F25" s="57" t="str">
        <f t="shared" si="3"/>
        <v>FAR 1.402</v>
      </c>
      <c r="G25" s="57" t="str">
        <f t="shared" si="4"/>
        <v>GSAR 501-4</v>
      </c>
      <c r="H25" s="43"/>
      <c r="I25" s="45" t="b">
        <f t="shared" si="0"/>
        <v>0</v>
      </c>
      <c r="J25" s="24"/>
      <c r="K25" s="24"/>
      <c r="L25" s="24"/>
      <c r="M25" s="24"/>
      <c r="N25" s="24"/>
      <c r="O25" s="24"/>
      <c r="P25" s="24"/>
      <c r="Q25" s="24"/>
      <c r="R25" s="24"/>
      <c r="S25" s="24"/>
      <c r="T25" s="24"/>
      <c r="U25" s="24"/>
      <c r="V25" s="24"/>
      <c r="W25" s="24"/>
      <c r="X25" s="24"/>
      <c r="Y25" s="24"/>
      <c r="Z25" s="24"/>
      <c r="AA25" s="24"/>
      <c r="AB25" s="24"/>
    </row>
    <row r="26" spans="1:28" ht="15.8" customHeight="1">
      <c r="A26" s="121" t="s">
        <v>3722</v>
      </c>
      <c r="B26" s="121" t="s">
        <v>15</v>
      </c>
      <c r="C26" s="79" t="s">
        <v>3723</v>
      </c>
      <c r="D26" s="25" t="s">
        <v>3724</v>
      </c>
      <c r="E26" s="25" t="s">
        <v>3726</v>
      </c>
      <c r="F26" s="54"/>
      <c r="G26" s="25"/>
      <c r="H26" s="43"/>
      <c r="I26" s="45" t="b">
        <f t="shared" si="0"/>
        <v>0</v>
      </c>
      <c r="J26" s="24"/>
      <c r="K26" s="24"/>
      <c r="L26" s="24"/>
      <c r="M26" s="24"/>
      <c r="N26" s="24"/>
      <c r="O26" s="24"/>
      <c r="P26" s="24"/>
      <c r="Q26" s="24"/>
      <c r="R26" s="24"/>
      <c r="S26" s="24"/>
      <c r="T26" s="24"/>
      <c r="U26" s="24"/>
      <c r="V26" s="24"/>
      <c r="W26" s="24"/>
      <c r="X26" s="24"/>
      <c r="Y26" s="24"/>
      <c r="Z26" s="24"/>
      <c r="AA26" s="24"/>
      <c r="AB26" s="24"/>
    </row>
    <row r="27" spans="1:28" ht="15.8" customHeight="1">
      <c r="A27" s="121" t="s">
        <v>3729</v>
      </c>
      <c r="B27" s="121" t="s">
        <v>15</v>
      </c>
      <c r="C27" s="79" t="s">
        <v>3730</v>
      </c>
      <c r="D27" s="25" t="s">
        <v>3731</v>
      </c>
      <c r="E27" s="25" t="s">
        <v>3732</v>
      </c>
      <c r="F27" s="57" t="str">
        <f t="shared" ref="F27:F28" si="5">HYPERLINK("https://www.acquisition.gov/content/part-52-solicitation-provisions-and-contract-clauses#i1064663","FAR 52.104")</f>
        <v>FAR 52.104</v>
      </c>
      <c r="G27" s="57" t="str">
        <f t="shared" ref="G27:G28" si="6">HYPERLINK("https://www.acquisition.gov/sites/default/files/current/gsam/html/Part501.html#wp1864481","GSAR 501-4")</f>
        <v>GSAR 501-4</v>
      </c>
      <c r="H27" s="43"/>
      <c r="I27" s="45" t="b">
        <f t="shared" si="0"/>
        <v>0</v>
      </c>
      <c r="J27" s="24"/>
      <c r="K27" s="24"/>
      <c r="L27" s="24"/>
      <c r="M27" s="24"/>
      <c r="N27" s="24"/>
      <c r="O27" s="24"/>
      <c r="P27" s="24"/>
      <c r="Q27" s="24"/>
      <c r="R27" s="24"/>
      <c r="S27" s="24"/>
      <c r="T27" s="24"/>
      <c r="U27" s="24"/>
      <c r="V27" s="24"/>
      <c r="W27" s="24"/>
      <c r="X27" s="24"/>
      <c r="Y27" s="24"/>
      <c r="Z27" s="24"/>
      <c r="AA27" s="24"/>
      <c r="AB27" s="24"/>
    </row>
    <row r="28" spans="1:28" ht="15.8" customHeight="1">
      <c r="A28" s="121" t="s">
        <v>3743</v>
      </c>
      <c r="B28" s="121" t="s">
        <v>15</v>
      </c>
      <c r="C28" s="79" t="s">
        <v>3744</v>
      </c>
      <c r="D28" s="25" t="s">
        <v>3745</v>
      </c>
      <c r="E28" s="25" t="s">
        <v>3746</v>
      </c>
      <c r="F28" s="57" t="str">
        <f t="shared" si="5"/>
        <v>FAR 52.104</v>
      </c>
      <c r="G28" s="57" t="str">
        <f t="shared" si="6"/>
        <v>GSAR 501-4</v>
      </c>
      <c r="H28" s="43"/>
      <c r="I28" s="45" t="b">
        <f t="shared" si="0"/>
        <v>0</v>
      </c>
      <c r="J28" s="24"/>
      <c r="K28" s="24"/>
      <c r="L28" s="24"/>
      <c r="M28" s="24"/>
      <c r="N28" s="24"/>
      <c r="O28" s="24"/>
      <c r="P28" s="24"/>
      <c r="Q28" s="24"/>
      <c r="R28" s="24"/>
      <c r="S28" s="24"/>
      <c r="T28" s="24"/>
      <c r="U28" s="24"/>
      <c r="V28" s="24"/>
      <c r="W28" s="24"/>
      <c r="X28" s="24"/>
      <c r="Y28" s="24"/>
      <c r="Z28" s="24"/>
      <c r="AA28" s="24"/>
      <c r="AB28" s="24"/>
    </row>
    <row r="29" spans="1:28" ht="15.8" customHeight="1">
      <c r="A29" s="121" t="s">
        <v>3753</v>
      </c>
      <c r="B29" s="121" t="s">
        <v>15</v>
      </c>
      <c r="C29" s="79" t="s">
        <v>3754</v>
      </c>
      <c r="D29" s="25" t="s">
        <v>3755</v>
      </c>
      <c r="E29" s="25" t="s">
        <v>3756</v>
      </c>
      <c r="F29" s="57" t="str">
        <f>HYPERLINK("https://www.acquisition.gov/content/part-52-solicitation-provisions-and-contract-clauses#i1064597","FAR 52.102")</f>
        <v>FAR 52.102</v>
      </c>
      <c r="G29" s="57" t="str">
        <f>HYPERLINK("https://www.acquisition.gov/content/part-552-solicitation-provisions-and-contract-clauses#TIIDMSSL","GSAM 552.102")</f>
        <v>GSAM 552.102</v>
      </c>
      <c r="H29" s="43"/>
      <c r="I29" s="45" t="b">
        <f t="shared" si="0"/>
        <v>0</v>
      </c>
      <c r="J29" s="24"/>
      <c r="K29" s="24"/>
      <c r="L29" s="24"/>
      <c r="M29" s="24"/>
      <c r="N29" s="24"/>
      <c r="O29" s="24"/>
      <c r="P29" s="24"/>
      <c r="Q29" s="24"/>
      <c r="R29" s="24"/>
      <c r="S29" s="24"/>
      <c r="T29" s="24"/>
      <c r="U29" s="24"/>
      <c r="V29" s="24"/>
      <c r="W29" s="24"/>
      <c r="X29" s="24"/>
      <c r="Y29" s="24"/>
      <c r="Z29" s="24"/>
      <c r="AA29" s="24"/>
      <c r="AB29" s="24"/>
    </row>
    <row r="30" spans="1:28" ht="15.8" customHeight="1">
      <c r="A30" s="121" t="s">
        <v>3767</v>
      </c>
      <c r="B30" s="121" t="s">
        <v>15</v>
      </c>
      <c r="C30" s="79" t="s">
        <v>3768</v>
      </c>
      <c r="D30" s="25" t="s">
        <v>3769</v>
      </c>
      <c r="E30" s="25" t="s">
        <v>3770</v>
      </c>
      <c r="F30" s="139"/>
      <c r="G30" s="57" t="str">
        <f>HYPERLINK("https://www.acquisition.gov/sites/default/files/current/gsam/html/Part501.html#wp1858554","GSAM 501.171")</f>
        <v>GSAM 501.171</v>
      </c>
      <c r="H30" s="43"/>
      <c r="I30" s="45" t="b">
        <f t="shared" si="0"/>
        <v>0</v>
      </c>
      <c r="J30" s="140"/>
      <c r="K30" s="140"/>
      <c r="L30" s="140"/>
      <c r="M30" s="140"/>
      <c r="N30" s="140"/>
      <c r="O30" s="140"/>
      <c r="P30" s="140"/>
      <c r="Q30" s="140"/>
      <c r="R30" s="140"/>
      <c r="S30" s="140"/>
      <c r="T30" s="140"/>
      <c r="U30" s="140"/>
      <c r="V30" s="140"/>
      <c r="W30" s="140"/>
      <c r="X30" s="140"/>
      <c r="Y30" s="140"/>
      <c r="Z30" s="140"/>
      <c r="AA30" s="140"/>
      <c r="AB30" s="140"/>
    </row>
    <row r="31" spans="1:28" ht="15.8" customHeight="1">
      <c r="A31" s="121" t="s">
        <v>3795</v>
      </c>
      <c r="B31" s="121" t="s">
        <v>15</v>
      </c>
      <c r="C31" s="79" t="s">
        <v>3797</v>
      </c>
      <c r="D31" s="25" t="s">
        <v>3799</v>
      </c>
      <c r="E31" s="25" t="s">
        <v>3801</v>
      </c>
      <c r="F31" s="54"/>
      <c r="G31" s="57" t="str">
        <f>HYPERLINK("https://www.acquisition.gov/sites/default/files/current/gsam/html/Part501.html#wp1858555","GSAM 501-171-1")</f>
        <v>GSAM 501-171-1</v>
      </c>
      <c r="H31" s="43"/>
      <c r="I31" s="45" t="b">
        <f t="shared" si="0"/>
        <v>0</v>
      </c>
      <c r="J31" s="24"/>
      <c r="K31" s="24"/>
      <c r="L31" s="24"/>
      <c r="M31" s="24"/>
      <c r="N31" s="24"/>
      <c r="O31" s="24"/>
      <c r="P31" s="24"/>
      <c r="Q31" s="24"/>
      <c r="R31" s="24"/>
      <c r="S31" s="24"/>
      <c r="T31" s="24"/>
      <c r="U31" s="24"/>
      <c r="V31" s="24"/>
      <c r="W31" s="24"/>
      <c r="X31" s="24"/>
      <c r="Y31" s="24"/>
      <c r="Z31" s="24"/>
      <c r="AA31" s="24"/>
      <c r="AB31" s="24"/>
    </row>
    <row r="32" spans="1:28" ht="15.8" customHeight="1">
      <c r="A32" s="121" t="s">
        <v>3810</v>
      </c>
      <c r="B32" s="121" t="s">
        <v>15</v>
      </c>
      <c r="C32" s="79" t="s">
        <v>3811</v>
      </c>
      <c r="D32" s="25" t="s">
        <v>3812</v>
      </c>
      <c r="E32" s="25" t="s">
        <v>3770</v>
      </c>
      <c r="F32" s="54"/>
      <c r="G32" s="57" t="str">
        <f>HYPERLINK("https://www.acquisition.gov/sites/default/files/current/gsam/html/Part501.html#wp1858559","GSAM 501-171-2(e)")</f>
        <v>GSAM 501-171-2(e)</v>
      </c>
      <c r="H32" s="43"/>
      <c r="I32" s="45" t="b">
        <f t="shared" si="0"/>
        <v>0</v>
      </c>
      <c r="J32" s="24"/>
      <c r="K32" s="24"/>
      <c r="L32" s="24"/>
      <c r="M32" s="24"/>
      <c r="N32" s="24"/>
      <c r="O32" s="24"/>
      <c r="P32" s="24"/>
      <c r="Q32" s="24"/>
      <c r="R32" s="24"/>
      <c r="S32" s="24"/>
      <c r="T32" s="24"/>
      <c r="U32" s="24"/>
      <c r="V32" s="24"/>
      <c r="W32" s="24"/>
      <c r="X32" s="24"/>
      <c r="Y32" s="24"/>
      <c r="Z32" s="24"/>
      <c r="AA32" s="24"/>
      <c r="AB32" s="24"/>
    </row>
    <row r="33" spans="1:28" ht="15.8" customHeight="1">
      <c r="A33" s="121" t="s">
        <v>3817</v>
      </c>
      <c r="B33" s="121" t="s">
        <v>15</v>
      </c>
      <c r="C33" s="79" t="s">
        <v>3820</v>
      </c>
      <c r="D33" s="25" t="s">
        <v>3822</v>
      </c>
      <c r="E33" s="25" t="s">
        <v>3825</v>
      </c>
      <c r="F33" s="57" t="str">
        <f>HYPERLINK("https://www.acquisition.gov/content/15206-amending-solicitation?&amp;searchTerms=%22amendments%22","FAR 15.206 and FAR Part 43")</f>
        <v>FAR 15.206 and FAR Part 43</v>
      </c>
      <c r="G33" s="27"/>
      <c r="H33" s="43"/>
      <c r="I33" s="45" t="b">
        <f t="shared" si="0"/>
        <v>0</v>
      </c>
      <c r="J33" s="24"/>
      <c r="K33" s="24"/>
      <c r="L33" s="24"/>
      <c r="M33" s="24"/>
      <c r="N33" s="24"/>
      <c r="O33" s="24"/>
      <c r="P33" s="24"/>
      <c r="Q33" s="24"/>
      <c r="R33" s="24"/>
      <c r="S33" s="24"/>
      <c r="T33" s="24"/>
      <c r="U33" s="24"/>
      <c r="V33" s="24"/>
      <c r="W33" s="24"/>
      <c r="X33" s="24"/>
      <c r="Y33" s="24"/>
      <c r="Z33" s="24"/>
      <c r="AA33" s="24"/>
      <c r="AB33" s="24"/>
    </row>
    <row r="34" spans="1:28" ht="15.8" customHeight="1">
      <c r="A34" s="121" t="s">
        <v>3829</v>
      </c>
      <c r="B34" s="121" t="s">
        <v>15</v>
      </c>
      <c r="C34" s="79" t="s">
        <v>3830</v>
      </c>
      <c r="D34" s="25" t="s">
        <v>3831</v>
      </c>
      <c r="E34" s="25" t="s">
        <v>3832</v>
      </c>
      <c r="F34" s="54"/>
      <c r="G34" s="27"/>
      <c r="H34" s="43"/>
      <c r="I34" s="45" t="b">
        <f t="shared" si="0"/>
        <v>0</v>
      </c>
      <c r="J34" s="24"/>
      <c r="K34" s="24"/>
      <c r="L34" s="24"/>
      <c r="M34" s="24"/>
      <c r="N34" s="24"/>
      <c r="O34" s="24"/>
      <c r="P34" s="24"/>
      <c r="Q34" s="24"/>
      <c r="R34" s="24"/>
      <c r="S34" s="24"/>
      <c r="T34" s="24"/>
      <c r="U34" s="24"/>
      <c r="V34" s="24"/>
      <c r="W34" s="24"/>
      <c r="X34" s="24"/>
      <c r="Y34" s="24"/>
      <c r="Z34" s="24"/>
      <c r="AA34" s="24"/>
      <c r="AB34" s="24"/>
    </row>
    <row r="35" spans="1:28" ht="15.8" customHeight="1">
      <c r="A35" s="121" t="s">
        <v>3836</v>
      </c>
      <c r="B35" s="121" t="s">
        <v>15</v>
      </c>
      <c r="C35" s="79" t="s">
        <v>3837</v>
      </c>
      <c r="D35" s="25" t="s">
        <v>3838</v>
      </c>
      <c r="E35" s="25" t="s">
        <v>3839</v>
      </c>
      <c r="F35" s="54"/>
      <c r="G35" s="27"/>
      <c r="H35" s="43"/>
      <c r="I35" s="45" t="b">
        <f t="shared" si="0"/>
        <v>0</v>
      </c>
      <c r="J35" s="24"/>
      <c r="K35" s="24"/>
      <c r="L35" s="24"/>
      <c r="M35" s="24"/>
      <c r="N35" s="24"/>
      <c r="O35" s="24"/>
      <c r="P35" s="24"/>
      <c r="Q35" s="24"/>
      <c r="R35" s="24"/>
      <c r="S35" s="24"/>
      <c r="T35" s="24"/>
      <c r="U35" s="24"/>
      <c r="V35" s="24"/>
      <c r="W35" s="24"/>
      <c r="X35" s="24"/>
      <c r="Y35" s="24"/>
      <c r="Z35" s="24"/>
      <c r="AA35" s="24"/>
      <c r="AB35" s="24"/>
    </row>
    <row r="36" spans="1:28" ht="15.8" customHeight="1">
      <c r="A36" s="121" t="s">
        <v>3840</v>
      </c>
      <c r="B36" s="121" t="s">
        <v>15</v>
      </c>
      <c r="C36" s="79" t="s">
        <v>3846</v>
      </c>
      <c r="D36" s="25" t="s">
        <v>3848</v>
      </c>
      <c r="E36" s="25" t="s">
        <v>3850</v>
      </c>
      <c r="F36" s="141" t="str">
        <f t="shared" ref="F36:F40" si="7">HYPERLINK("https://www.acquisition.gov/content/part-4-administrative-matters#iSubpart_4_10","FAR 4.10")</f>
        <v>FAR 4.10</v>
      </c>
      <c r="G36" s="27"/>
      <c r="H36" s="43"/>
      <c r="I36" s="45" t="b">
        <f t="shared" si="0"/>
        <v>0</v>
      </c>
      <c r="J36" s="24"/>
      <c r="K36" s="24"/>
      <c r="L36" s="24"/>
      <c r="M36" s="24"/>
      <c r="N36" s="24"/>
      <c r="O36" s="24"/>
      <c r="P36" s="24"/>
      <c r="Q36" s="24"/>
      <c r="R36" s="24"/>
      <c r="S36" s="24"/>
      <c r="T36" s="24"/>
      <c r="U36" s="24"/>
      <c r="V36" s="24"/>
      <c r="W36" s="24"/>
      <c r="X36" s="24"/>
      <c r="Y36" s="24"/>
      <c r="Z36" s="24"/>
      <c r="AA36" s="24"/>
      <c r="AB36" s="24"/>
    </row>
    <row r="37" spans="1:28" ht="15.8" customHeight="1">
      <c r="A37" s="121" t="s">
        <v>3870</v>
      </c>
      <c r="B37" s="121" t="s">
        <v>15</v>
      </c>
      <c r="C37" s="142" t="s">
        <v>3871</v>
      </c>
      <c r="D37" s="25" t="s">
        <v>3879</v>
      </c>
      <c r="E37" s="25" t="s">
        <v>3880</v>
      </c>
      <c r="F37" s="141" t="str">
        <f t="shared" si="7"/>
        <v>FAR 4.10</v>
      </c>
      <c r="G37" s="27"/>
      <c r="H37" s="43"/>
      <c r="I37" s="45" t="b">
        <f t="shared" si="0"/>
        <v>0</v>
      </c>
      <c r="J37" s="24"/>
      <c r="K37" s="24"/>
      <c r="L37" s="24"/>
      <c r="M37" s="24"/>
      <c r="N37" s="24"/>
      <c r="O37" s="24"/>
      <c r="P37" s="24"/>
      <c r="Q37" s="24"/>
      <c r="R37" s="24"/>
      <c r="S37" s="24"/>
      <c r="T37" s="24"/>
      <c r="U37" s="24"/>
      <c r="V37" s="24"/>
      <c r="W37" s="24"/>
      <c r="X37" s="24"/>
      <c r="Y37" s="24"/>
      <c r="Z37" s="24"/>
      <c r="AA37" s="24"/>
      <c r="AB37" s="24"/>
    </row>
    <row r="38" spans="1:28" ht="54.35">
      <c r="A38" s="121" t="s">
        <v>3887</v>
      </c>
      <c r="B38" s="121" t="s">
        <v>15</v>
      </c>
      <c r="C38" s="79" t="s">
        <v>3890</v>
      </c>
      <c r="D38" s="25" t="s">
        <v>3892</v>
      </c>
      <c r="E38" s="25" t="s">
        <v>3893</v>
      </c>
      <c r="F38" s="141" t="str">
        <f t="shared" si="7"/>
        <v>FAR 4.10</v>
      </c>
      <c r="G38" s="25"/>
      <c r="H38" s="43"/>
      <c r="I38" s="45" t="b">
        <f t="shared" si="0"/>
        <v>0</v>
      </c>
      <c r="J38" s="24"/>
      <c r="K38" s="24"/>
      <c r="L38" s="24"/>
      <c r="M38" s="24"/>
      <c r="N38" s="24"/>
      <c r="O38" s="24"/>
      <c r="P38" s="24"/>
      <c r="Q38" s="24"/>
      <c r="R38" s="24"/>
      <c r="S38" s="24"/>
      <c r="T38" s="24"/>
      <c r="U38" s="24"/>
      <c r="V38" s="24"/>
      <c r="W38" s="24"/>
      <c r="X38" s="24"/>
      <c r="Y38" s="24"/>
      <c r="Z38" s="24"/>
      <c r="AA38" s="24"/>
      <c r="AB38" s="24"/>
    </row>
    <row r="39" spans="1:28" ht="43.5">
      <c r="A39" s="121" t="s">
        <v>3902</v>
      </c>
      <c r="B39" s="121" t="s">
        <v>15</v>
      </c>
      <c r="C39" s="142" t="s">
        <v>3903</v>
      </c>
      <c r="D39" s="25" t="s">
        <v>3904</v>
      </c>
      <c r="E39" s="25" t="s">
        <v>3905</v>
      </c>
      <c r="F39" s="141" t="str">
        <f t="shared" si="7"/>
        <v>FAR 4.10</v>
      </c>
      <c r="G39" s="25"/>
      <c r="H39" s="43"/>
      <c r="I39" s="45" t="b">
        <f t="shared" si="0"/>
        <v>0</v>
      </c>
      <c r="J39" s="24"/>
      <c r="K39" s="24"/>
      <c r="L39" s="24"/>
      <c r="M39" s="24"/>
      <c r="N39" s="24"/>
      <c r="O39" s="24"/>
      <c r="P39" s="24"/>
      <c r="Q39" s="24"/>
      <c r="R39" s="24"/>
      <c r="S39" s="24"/>
      <c r="T39" s="24"/>
      <c r="U39" s="24"/>
      <c r="V39" s="24"/>
      <c r="W39" s="24"/>
      <c r="X39" s="24"/>
      <c r="Y39" s="24"/>
      <c r="Z39" s="24"/>
      <c r="AA39" s="24"/>
      <c r="AB39" s="24"/>
    </row>
    <row r="40" spans="1:28" ht="43.5">
      <c r="A40" s="121" t="s">
        <v>3908</v>
      </c>
      <c r="B40" s="121" t="s">
        <v>15</v>
      </c>
      <c r="C40" s="142" t="s">
        <v>3910</v>
      </c>
      <c r="D40" s="25" t="s">
        <v>3904</v>
      </c>
      <c r="E40" s="25" t="s">
        <v>3905</v>
      </c>
      <c r="F40" s="141" t="str">
        <f t="shared" si="7"/>
        <v>FAR 4.10</v>
      </c>
      <c r="G40" s="25"/>
      <c r="H40" s="43"/>
      <c r="I40" s="45" t="b">
        <f t="shared" si="0"/>
        <v>0</v>
      </c>
      <c r="J40" s="24"/>
      <c r="K40" s="24"/>
      <c r="L40" s="24"/>
      <c r="M40" s="24"/>
      <c r="N40" s="24"/>
      <c r="O40" s="24"/>
      <c r="P40" s="24"/>
      <c r="Q40" s="24"/>
      <c r="R40" s="24"/>
      <c r="S40" s="24"/>
      <c r="T40" s="24"/>
      <c r="U40" s="24"/>
      <c r="V40" s="24"/>
      <c r="W40" s="24"/>
      <c r="X40" s="24"/>
      <c r="Y40" s="24"/>
      <c r="Z40" s="24"/>
      <c r="AA40" s="24"/>
      <c r="AB40" s="24"/>
    </row>
    <row r="41" spans="1:28" ht="43.5">
      <c r="A41" s="121" t="s">
        <v>3911</v>
      </c>
      <c r="B41" s="121" t="s">
        <v>15</v>
      </c>
      <c r="C41" s="79" t="s">
        <v>3912</v>
      </c>
      <c r="D41" s="25" t="s">
        <v>3913</v>
      </c>
      <c r="E41" s="25" t="s">
        <v>3914</v>
      </c>
      <c r="F41" s="54"/>
      <c r="G41" s="25"/>
      <c r="H41" s="43"/>
      <c r="I41" s="45" t="b">
        <f t="shared" si="0"/>
        <v>0</v>
      </c>
      <c r="J41" s="24"/>
      <c r="K41" s="24"/>
      <c r="L41" s="24"/>
      <c r="M41" s="24"/>
      <c r="N41" s="24"/>
      <c r="O41" s="24"/>
      <c r="P41" s="24"/>
      <c r="Q41" s="24"/>
      <c r="R41" s="24"/>
      <c r="S41" s="24"/>
      <c r="T41" s="24"/>
      <c r="U41" s="24"/>
      <c r="V41" s="24"/>
      <c r="W41" s="24"/>
      <c r="X41" s="24"/>
      <c r="Y41" s="24"/>
      <c r="Z41" s="24"/>
      <c r="AA41" s="24"/>
      <c r="AB41" s="24"/>
    </row>
    <row r="42" spans="1:28" ht="65.25">
      <c r="A42" s="121" t="s">
        <v>3915</v>
      </c>
      <c r="B42" s="121" t="s">
        <v>15</v>
      </c>
      <c r="C42" s="79" t="s">
        <v>3916</v>
      </c>
      <c r="D42" s="25" t="s">
        <v>3917</v>
      </c>
      <c r="E42" s="25" t="s">
        <v>3918</v>
      </c>
      <c r="F42" s="54"/>
      <c r="G42" s="25"/>
      <c r="H42" s="43"/>
      <c r="I42" s="45" t="b">
        <f t="shared" si="0"/>
        <v>0</v>
      </c>
      <c r="J42" s="24"/>
      <c r="K42" s="24"/>
      <c r="L42" s="24"/>
      <c r="M42" s="24"/>
      <c r="N42" s="24"/>
      <c r="O42" s="24"/>
      <c r="P42" s="24"/>
      <c r="Q42" s="24"/>
      <c r="R42" s="24"/>
      <c r="S42" s="24"/>
      <c r="T42" s="24"/>
      <c r="U42" s="24"/>
      <c r="V42" s="24"/>
      <c r="W42" s="24"/>
      <c r="X42" s="24"/>
      <c r="Y42" s="24"/>
      <c r="Z42" s="24"/>
      <c r="AA42" s="24"/>
      <c r="AB42" s="24"/>
    </row>
    <row r="43" spans="1:28" ht="260.85000000000002">
      <c r="A43" s="121" t="s">
        <v>3922</v>
      </c>
      <c r="B43" s="121" t="s">
        <v>15</v>
      </c>
      <c r="C43" s="25" t="s">
        <v>1624</v>
      </c>
      <c r="D43" s="25" t="s">
        <v>1625</v>
      </c>
      <c r="E43" s="25" t="s">
        <v>1626</v>
      </c>
      <c r="F43" s="54"/>
      <c r="G43" s="25"/>
      <c r="H43" s="43"/>
      <c r="I43" s="45" t="b">
        <f t="shared" si="0"/>
        <v>0</v>
      </c>
      <c r="J43" s="24"/>
      <c r="K43" s="24"/>
      <c r="L43" s="24"/>
      <c r="M43" s="24"/>
      <c r="N43" s="24"/>
      <c r="O43" s="24"/>
      <c r="P43" s="24"/>
      <c r="Q43" s="24"/>
      <c r="R43" s="24"/>
      <c r="S43" s="24"/>
      <c r="T43" s="24"/>
      <c r="U43" s="24"/>
      <c r="V43" s="24"/>
      <c r="W43" s="24"/>
      <c r="X43" s="24"/>
      <c r="Y43" s="24"/>
      <c r="Z43" s="24"/>
      <c r="AA43" s="24"/>
      <c r="AB43" s="24"/>
    </row>
    <row r="44" spans="1:28" ht="12.9">
      <c r="A44" s="54"/>
      <c r="B44" s="121"/>
      <c r="C44" s="54"/>
      <c r="D44" s="54"/>
      <c r="E44" s="54"/>
      <c r="F44" s="54"/>
      <c r="G44" s="25"/>
      <c r="H44" s="24"/>
      <c r="I44" s="24"/>
      <c r="J44" s="24"/>
      <c r="K44" s="24"/>
      <c r="L44" s="24"/>
      <c r="M44" s="24"/>
      <c r="N44" s="24"/>
      <c r="O44" s="24"/>
      <c r="P44" s="24"/>
      <c r="Q44" s="24"/>
      <c r="R44" s="24"/>
      <c r="S44" s="24"/>
      <c r="T44" s="24"/>
      <c r="U44" s="24"/>
      <c r="V44" s="24"/>
      <c r="W44" s="24"/>
      <c r="X44" s="24"/>
      <c r="Y44" s="24"/>
      <c r="Z44" s="24"/>
      <c r="AA44" s="24"/>
      <c r="AB44" s="24"/>
    </row>
    <row r="45" spans="1:28" ht="15.65">
      <c r="A45" s="54"/>
      <c r="B45" s="121"/>
      <c r="C45" s="54"/>
      <c r="D45" s="54"/>
      <c r="E45" s="54"/>
      <c r="F45" s="54"/>
      <c r="G45" s="25"/>
      <c r="H45" s="24"/>
      <c r="I45" s="125">
        <f>SUM(I3:I43)</f>
        <v>0</v>
      </c>
      <c r="J45" s="24"/>
      <c r="K45" s="24"/>
      <c r="L45" s="24"/>
      <c r="M45" s="24"/>
      <c r="N45" s="24"/>
      <c r="O45" s="24"/>
      <c r="P45" s="24"/>
      <c r="Q45" s="24"/>
      <c r="R45" s="24"/>
      <c r="S45" s="24"/>
      <c r="T45" s="24"/>
      <c r="U45" s="24"/>
      <c r="V45" s="24"/>
      <c r="W45" s="24"/>
      <c r="X45" s="24"/>
      <c r="Y45" s="24"/>
      <c r="Z45" s="24"/>
      <c r="AA45" s="24"/>
      <c r="AB45" s="24"/>
    </row>
    <row r="46" spans="1:28" ht="12.9">
      <c r="A46" s="24"/>
      <c r="B46" s="143"/>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row>
    <row r="47" spans="1:28" ht="12.9">
      <c r="A47" s="24"/>
      <c r="B47" s="143"/>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row>
    <row r="48" spans="1:28" ht="12.9">
      <c r="A48" s="24"/>
      <c r="B48" s="143"/>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row>
    <row r="49" spans="1:28" ht="12.9">
      <c r="A49" s="24"/>
      <c r="B49" s="143"/>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row>
    <row r="50" spans="1:28" ht="12.9">
      <c r="A50" s="24"/>
      <c r="B50" s="143"/>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row>
    <row r="51" spans="1:28" ht="12.9">
      <c r="A51" s="24"/>
      <c r="B51" s="143"/>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row>
    <row r="52" spans="1:28" ht="12.9">
      <c r="A52" s="24"/>
      <c r="B52" s="143"/>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row>
    <row r="53" spans="1:28" ht="12.9">
      <c r="A53" s="24"/>
      <c r="B53" s="143"/>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row>
    <row r="54" spans="1:28" ht="12.9">
      <c r="A54" s="24"/>
      <c r="B54" s="143"/>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row>
    <row r="55" spans="1:28" ht="12.9">
      <c r="A55" s="24"/>
      <c r="B55" s="143"/>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row>
    <row r="56" spans="1:28" ht="12.9">
      <c r="A56" s="24"/>
      <c r="B56" s="143"/>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row>
    <row r="57" spans="1:28" ht="12.9">
      <c r="A57" s="24"/>
      <c r="B57" s="143"/>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row>
    <row r="58" spans="1:28" ht="12.9">
      <c r="A58" s="24"/>
      <c r="B58" s="143"/>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row>
    <row r="59" spans="1:28" ht="12.9">
      <c r="A59" s="24"/>
      <c r="B59" s="143"/>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row>
    <row r="60" spans="1:28" ht="12.9">
      <c r="A60" s="24"/>
      <c r="B60" s="143"/>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row>
    <row r="61" spans="1:28" ht="12.9">
      <c r="A61" s="24"/>
      <c r="B61" s="143"/>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row>
    <row r="62" spans="1:28" ht="12.9">
      <c r="A62" s="24"/>
      <c r="B62" s="143"/>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row>
    <row r="63" spans="1:28" ht="12.9">
      <c r="A63" s="24"/>
      <c r="B63" s="143"/>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row>
    <row r="64" spans="1:28" ht="12.9">
      <c r="A64" s="24"/>
      <c r="B64" s="143"/>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row>
    <row r="65" spans="1:28" ht="12.9">
      <c r="A65" s="24"/>
      <c r="B65" s="143"/>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row>
    <row r="66" spans="1:28" ht="12.9">
      <c r="A66" s="24"/>
      <c r="B66" s="143"/>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row>
    <row r="67" spans="1:28" ht="12.9">
      <c r="A67" s="24"/>
      <c r="B67" s="143"/>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row>
    <row r="68" spans="1:28" ht="12.9">
      <c r="A68" s="24"/>
      <c r="B68" s="143"/>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row>
    <row r="69" spans="1:28" ht="12.9">
      <c r="A69" s="24"/>
      <c r="B69" s="143"/>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row>
    <row r="70" spans="1:28" ht="12.9">
      <c r="A70" s="24"/>
      <c r="B70" s="143"/>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row>
    <row r="71" spans="1:28" ht="12.9">
      <c r="A71" s="24"/>
      <c r="B71" s="143"/>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row>
    <row r="72" spans="1:28" ht="12.9">
      <c r="A72" s="24"/>
      <c r="B72" s="143"/>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row>
    <row r="73" spans="1:28" ht="12.9">
      <c r="A73" s="24"/>
      <c r="B73" s="143"/>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row>
    <row r="74" spans="1:28" ht="12.9">
      <c r="A74" s="24"/>
      <c r="B74" s="143"/>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row>
    <row r="75" spans="1:28" ht="12.9">
      <c r="A75" s="24"/>
      <c r="B75" s="143"/>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row>
    <row r="76" spans="1:28" ht="12.9">
      <c r="A76" s="24"/>
      <c r="B76" s="143"/>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row>
    <row r="77" spans="1:28" ht="12.9">
      <c r="A77" s="24"/>
      <c r="B77" s="143"/>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row>
    <row r="78" spans="1:28" ht="12.9">
      <c r="A78" s="24"/>
      <c r="B78" s="143"/>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row>
    <row r="79" spans="1:28" ht="12.9">
      <c r="A79" s="24"/>
      <c r="B79" s="143"/>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row>
    <row r="80" spans="1:28" ht="12.9">
      <c r="A80" s="24"/>
      <c r="B80" s="143"/>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row>
    <row r="81" spans="1:28" ht="12.9">
      <c r="A81" s="24"/>
      <c r="B81" s="143"/>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row>
    <row r="82" spans="1:28" ht="12.9">
      <c r="A82" s="24"/>
      <c r="B82" s="143"/>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row>
    <row r="83" spans="1:28" ht="12.9">
      <c r="A83" s="24"/>
      <c r="B83" s="143"/>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row>
    <row r="84" spans="1:28" ht="12.9">
      <c r="A84" s="24"/>
      <c r="B84" s="143"/>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row>
    <row r="85" spans="1:28" ht="12.9">
      <c r="A85" s="24"/>
      <c r="B85" s="143"/>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row>
    <row r="86" spans="1:28" ht="12.9">
      <c r="A86" s="24"/>
      <c r="B86" s="143"/>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row>
    <row r="87" spans="1:28" ht="12.9">
      <c r="A87" s="24"/>
      <c r="B87" s="143"/>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row>
    <row r="88" spans="1:28" ht="12.9">
      <c r="A88" s="24"/>
      <c r="B88" s="143"/>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row>
    <row r="89" spans="1:28" ht="12.9">
      <c r="A89" s="24"/>
      <c r="B89" s="143"/>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row>
    <row r="90" spans="1:28" ht="12.9">
      <c r="A90" s="24"/>
      <c r="B90" s="143"/>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row>
    <row r="91" spans="1:28" ht="12.9">
      <c r="A91" s="24"/>
      <c r="B91" s="143"/>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row>
    <row r="92" spans="1:28" ht="12.9">
      <c r="A92" s="24"/>
      <c r="B92" s="143"/>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row>
    <row r="93" spans="1:28" ht="12.9">
      <c r="A93" s="24"/>
      <c r="B93" s="143"/>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row>
    <row r="94" spans="1:28" ht="12.9">
      <c r="A94" s="24"/>
      <c r="B94" s="143"/>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row>
    <row r="95" spans="1:28" ht="12.9">
      <c r="A95" s="24"/>
      <c r="B95" s="143"/>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row>
    <row r="96" spans="1:28" ht="12.9">
      <c r="A96" s="24"/>
      <c r="B96" s="143"/>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row>
    <row r="97" spans="1:28" ht="12.9">
      <c r="A97" s="24"/>
      <c r="B97" s="143"/>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row>
    <row r="98" spans="1:28" ht="12.9">
      <c r="A98" s="24"/>
      <c r="B98" s="143"/>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row>
    <row r="99" spans="1:28" ht="12.9">
      <c r="A99" s="24"/>
      <c r="B99" s="143"/>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row>
    <row r="100" spans="1:28" ht="12.9">
      <c r="A100" s="24"/>
      <c r="B100" s="143"/>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row>
    <row r="101" spans="1:28" ht="12.9">
      <c r="A101" s="24"/>
      <c r="B101" s="143"/>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row>
    <row r="102" spans="1:28" ht="12.9">
      <c r="A102" s="24"/>
      <c r="B102" s="143"/>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row>
    <row r="103" spans="1:28" ht="12.9">
      <c r="A103" s="24"/>
      <c r="B103" s="143"/>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row>
    <row r="104" spans="1:28" ht="12.9">
      <c r="A104" s="24"/>
      <c r="B104" s="143"/>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row>
    <row r="105" spans="1:28" ht="12.9">
      <c r="A105" s="24"/>
      <c r="B105" s="143"/>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row>
    <row r="106" spans="1:28" ht="12.9">
      <c r="A106" s="24"/>
      <c r="B106" s="143"/>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row>
    <row r="107" spans="1:28" ht="12.9">
      <c r="A107" s="24"/>
      <c r="B107" s="143"/>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row>
    <row r="108" spans="1:28" ht="12.9">
      <c r="A108" s="24"/>
      <c r="B108" s="143"/>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row>
    <row r="109" spans="1:28" ht="12.9">
      <c r="A109" s="24"/>
      <c r="B109" s="143"/>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row>
    <row r="110" spans="1:28" ht="12.9">
      <c r="A110" s="24"/>
      <c r="B110" s="143"/>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row>
    <row r="111" spans="1:28" ht="12.9">
      <c r="A111" s="24"/>
      <c r="B111" s="143"/>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row>
    <row r="112" spans="1:28" ht="12.9">
      <c r="A112" s="24"/>
      <c r="B112" s="143"/>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row>
    <row r="113" spans="1:28" ht="12.9">
      <c r="A113" s="24"/>
      <c r="B113" s="143"/>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row>
    <row r="114" spans="1:28" ht="12.9">
      <c r="A114" s="24"/>
      <c r="B114" s="143"/>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row>
    <row r="115" spans="1:28" ht="12.9">
      <c r="A115" s="24"/>
      <c r="B115" s="143"/>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row>
    <row r="116" spans="1:28" ht="12.9">
      <c r="A116" s="24"/>
      <c r="B116" s="143"/>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row>
    <row r="117" spans="1:28" ht="12.9">
      <c r="A117" s="24"/>
      <c r="B117" s="143"/>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row>
    <row r="118" spans="1:28" ht="12.9">
      <c r="A118" s="24"/>
      <c r="B118" s="143"/>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row>
    <row r="119" spans="1:28" ht="12.9">
      <c r="A119" s="24"/>
      <c r="B119" s="143"/>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row>
    <row r="120" spans="1:28" ht="12.9">
      <c r="A120" s="24"/>
      <c r="B120" s="143"/>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row>
    <row r="121" spans="1:28" ht="12.9">
      <c r="A121" s="24"/>
      <c r="B121" s="143"/>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row>
    <row r="122" spans="1:28" ht="12.9">
      <c r="A122" s="24"/>
      <c r="B122" s="143"/>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row>
    <row r="123" spans="1:28" ht="12.9">
      <c r="A123" s="24"/>
      <c r="B123" s="143"/>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row>
    <row r="124" spans="1:28" ht="12.9">
      <c r="A124" s="24"/>
      <c r="B124" s="143"/>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row>
    <row r="125" spans="1:28" ht="12.9">
      <c r="A125" s="24"/>
      <c r="B125" s="143"/>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row>
    <row r="126" spans="1:28" ht="12.9">
      <c r="A126" s="24"/>
      <c r="B126" s="143"/>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row>
    <row r="127" spans="1:28" ht="12.9">
      <c r="A127" s="24"/>
      <c r="B127" s="143"/>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row>
    <row r="128" spans="1:28" ht="12.9">
      <c r="A128" s="24"/>
      <c r="B128" s="143"/>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row>
    <row r="129" spans="1:28" ht="12.9">
      <c r="A129" s="24"/>
      <c r="B129" s="143"/>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row>
    <row r="130" spans="1:28" ht="12.9">
      <c r="A130" s="24"/>
      <c r="B130" s="143"/>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row>
    <row r="131" spans="1:28" ht="12.9">
      <c r="A131" s="24"/>
      <c r="B131" s="143"/>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row>
    <row r="132" spans="1:28" ht="12.9">
      <c r="A132" s="24"/>
      <c r="B132" s="143"/>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row>
    <row r="133" spans="1:28" ht="12.9">
      <c r="A133" s="24"/>
      <c r="B133" s="143"/>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row>
    <row r="134" spans="1:28" ht="12.9">
      <c r="A134" s="24"/>
      <c r="B134" s="143"/>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row>
    <row r="135" spans="1:28" ht="12.9">
      <c r="A135" s="24"/>
      <c r="B135" s="143"/>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row>
    <row r="136" spans="1:28" ht="12.9">
      <c r="A136" s="24"/>
      <c r="B136" s="143"/>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row>
    <row r="137" spans="1:28" ht="12.9">
      <c r="A137" s="24"/>
      <c r="B137" s="143"/>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row>
    <row r="138" spans="1:28" ht="12.9">
      <c r="A138" s="24"/>
      <c r="B138" s="143"/>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row>
    <row r="139" spans="1:28" ht="12.9">
      <c r="A139" s="24"/>
      <c r="B139" s="143"/>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row>
    <row r="140" spans="1:28" ht="12.9">
      <c r="A140" s="24"/>
      <c r="B140" s="143"/>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row>
    <row r="141" spans="1:28" ht="12.9">
      <c r="A141" s="24"/>
      <c r="B141" s="143"/>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row>
    <row r="142" spans="1:28" ht="12.9">
      <c r="A142" s="24"/>
      <c r="B142" s="143"/>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row>
    <row r="143" spans="1:28" ht="12.9">
      <c r="A143" s="24"/>
      <c r="B143" s="143"/>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row>
    <row r="144" spans="1:28" ht="12.9">
      <c r="A144" s="24"/>
      <c r="B144" s="143"/>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row>
    <row r="145" spans="1:28" ht="12.9">
      <c r="A145" s="24"/>
      <c r="B145" s="143"/>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row>
    <row r="146" spans="1:28" ht="12.9">
      <c r="A146" s="24"/>
      <c r="B146" s="143"/>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row>
    <row r="147" spans="1:28" ht="12.9">
      <c r="A147" s="24"/>
      <c r="B147" s="143"/>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row>
    <row r="148" spans="1:28" ht="12.9">
      <c r="A148" s="24"/>
      <c r="B148" s="143"/>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row>
    <row r="149" spans="1:28" ht="12.9">
      <c r="A149" s="24"/>
      <c r="B149" s="143"/>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row>
    <row r="150" spans="1:28" ht="12.9">
      <c r="A150" s="24"/>
      <c r="B150" s="143"/>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row>
    <row r="151" spans="1:28" ht="12.9">
      <c r="A151" s="24"/>
      <c r="B151" s="143"/>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row>
    <row r="152" spans="1:28" ht="12.9">
      <c r="A152" s="24"/>
      <c r="B152" s="143"/>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row>
    <row r="153" spans="1:28" ht="12.9">
      <c r="A153" s="24"/>
      <c r="B153" s="143"/>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row>
    <row r="154" spans="1:28" ht="12.9">
      <c r="A154" s="24"/>
      <c r="B154" s="143"/>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row>
    <row r="155" spans="1:28" ht="12.9">
      <c r="A155" s="24"/>
      <c r="B155" s="143"/>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row>
    <row r="156" spans="1:28" ht="12.9">
      <c r="A156" s="24"/>
      <c r="B156" s="143"/>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row>
    <row r="157" spans="1:28" ht="12.9">
      <c r="A157" s="24"/>
      <c r="B157" s="143"/>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row>
    <row r="158" spans="1:28" ht="12.9">
      <c r="A158" s="24"/>
      <c r="B158" s="143"/>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row>
    <row r="159" spans="1:28" ht="12.9">
      <c r="A159" s="24"/>
      <c r="B159" s="143"/>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row>
    <row r="160" spans="1:28" ht="12.9">
      <c r="A160" s="24"/>
      <c r="B160" s="143"/>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row>
    <row r="161" spans="1:28" ht="12.9">
      <c r="A161" s="24"/>
      <c r="B161" s="143"/>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row>
    <row r="162" spans="1:28" ht="12.9">
      <c r="A162" s="24"/>
      <c r="B162" s="143"/>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row>
    <row r="163" spans="1:28" ht="12.9">
      <c r="A163" s="24"/>
      <c r="B163" s="143"/>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row>
    <row r="164" spans="1:28" ht="12.9">
      <c r="A164" s="24"/>
      <c r="B164" s="143"/>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row>
    <row r="165" spans="1:28" ht="12.9">
      <c r="A165" s="24"/>
      <c r="B165" s="143"/>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row>
    <row r="166" spans="1:28" ht="12.9">
      <c r="A166" s="24"/>
      <c r="B166" s="143"/>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row>
    <row r="167" spans="1:28" ht="12.9">
      <c r="A167" s="24"/>
      <c r="B167" s="143"/>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row>
    <row r="168" spans="1:28" ht="12.9">
      <c r="A168" s="24"/>
      <c r="B168" s="143"/>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row>
    <row r="169" spans="1:28" ht="12.9">
      <c r="A169" s="24"/>
      <c r="B169" s="143"/>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row>
    <row r="170" spans="1:28" ht="12.9">
      <c r="A170" s="24"/>
      <c r="B170" s="143"/>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row>
    <row r="171" spans="1:28" ht="12.9">
      <c r="A171" s="24"/>
      <c r="B171" s="143"/>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row>
    <row r="172" spans="1:28" ht="12.9">
      <c r="A172" s="24"/>
      <c r="B172" s="143"/>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row>
    <row r="173" spans="1:28" ht="12.9">
      <c r="A173" s="24"/>
      <c r="B173" s="143"/>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row>
    <row r="174" spans="1:28" ht="12.9">
      <c r="A174" s="24"/>
      <c r="B174" s="143"/>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row>
    <row r="175" spans="1:28" ht="12.9">
      <c r="A175" s="24"/>
      <c r="B175" s="143"/>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row>
    <row r="176" spans="1:28" ht="12.9">
      <c r="A176" s="24"/>
      <c r="B176" s="143"/>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row>
    <row r="177" spans="1:28" ht="12.9">
      <c r="A177" s="24"/>
      <c r="B177" s="143"/>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row>
    <row r="178" spans="1:28" ht="12.9">
      <c r="A178" s="24"/>
      <c r="B178" s="143"/>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row>
    <row r="179" spans="1:28" ht="12.9">
      <c r="A179" s="24"/>
      <c r="B179" s="143"/>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row>
    <row r="180" spans="1:28" ht="12.9">
      <c r="A180" s="24"/>
      <c r="B180" s="143"/>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row>
    <row r="181" spans="1:28" ht="12.9">
      <c r="A181" s="24"/>
      <c r="B181" s="143"/>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row>
    <row r="182" spans="1:28" ht="12.9">
      <c r="A182" s="24"/>
      <c r="B182" s="143"/>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row>
    <row r="183" spans="1:28" ht="12.9">
      <c r="A183" s="24"/>
      <c r="B183" s="143"/>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row>
    <row r="184" spans="1:28" ht="12.9">
      <c r="A184" s="24"/>
      <c r="B184" s="143"/>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row>
    <row r="185" spans="1:28" ht="12.9">
      <c r="A185" s="24"/>
      <c r="B185" s="143"/>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row>
    <row r="186" spans="1:28" ht="12.9">
      <c r="A186" s="24"/>
      <c r="B186" s="143"/>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row>
    <row r="187" spans="1:28" ht="12.9">
      <c r="A187" s="24"/>
      <c r="B187" s="143"/>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row>
    <row r="188" spans="1:28" ht="12.9">
      <c r="A188" s="24"/>
      <c r="B188" s="143"/>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row>
    <row r="189" spans="1:28" ht="12.9">
      <c r="A189" s="24"/>
      <c r="B189" s="143"/>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row>
    <row r="190" spans="1:28" ht="12.9">
      <c r="A190" s="24"/>
      <c r="B190" s="143"/>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row>
    <row r="191" spans="1:28" ht="12.9">
      <c r="A191" s="24"/>
      <c r="B191" s="143"/>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row>
    <row r="192" spans="1:28" ht="12.9">
      <c r="A192" s="24"/>
      <c r="B192" s="143"/>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row>
    <row r="193" spans="1:28" ht="12.9">
      <c r="A193" s="24"/>
      <c r="B193" s="143"/>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row>
    <row r="194" spans="1:28" ht="12.9">
      <c r="A194" s="24"/>
      <c r="B194" s="143"/>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row>
    <row r="195" spans="1:28" ht="12.9">
      <c r="A195" s="24"/>
      <c r="B195" s="143"/>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row>
    <row r="196" spans="1:28" ht="12.9">
      <c r="A196" s="24"/>
      <c r="B196" s="143"/>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row>
    <row r="197" spans="1:28" ht="12.9">
      <c r="A197" s="24"/>
      <c r="B197" s="143"/>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row>
    <row r="198" spans="1:28" ht="12.9">
      <c r="A198" s="24"/>
      <c r="B198" s="143"/>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row>
    <row r="199" spans="1:28" ht="12.9">
      <c r="A199" s="24"/>
      <c r="B199" s="143"/>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row>
    <row r="200" spans="1:28" ht="12.9">
      <c r="A200" s="24"/>
      <c r="B200" s="143"/>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row>
    <row r="201" spans="1:28" ht="12.9">
      <c r="A201" s="24"/>
      <c r="B201" s="143"/>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row>
    <row r="202" spans="1:28" ht="12.9">
      <c r="A202" s="24"/>
      <c r="B202" s="143"/>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row>
    <row r="203" spans="1:28" ht="12.9">
      <c r="A203" s="24"/>
      <c r="B203" s="143"/>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row>
    <row r="204" spans="1:28" ht="12.9">
      <c r="A204" s="24"/>
      <c r="B204" s="143"/>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row>
    <row r="205" spans="1:28" ht="12.9">
      <c r="A205" s="24"/>
      <c r="B205" s="143"/>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row>
    <row r="206" spans="1:28" ht="12.9">
      <c r="A206" s="24"/>
      <c r="B206" s="143"/>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row>
    <row r="207" spans="1:28" ht="12.9">
      <c r="A207" s="24"/>
      <c r="B207" s="143"/>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row>
    <row r="208" spans="1:28" ht="12.9">
      <c r="A208" s="24"/>
      <c r="B208" s="143"/>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row>
    <row r="209" spans="1:28" ht="12.9">
      <c r="A209" s="24"/>
      <c r="B209" s="143"/>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row>
    <row r="210" spans="1:28" ht="12.9">
      <c r="A210" s="24"/>
      <c r="B210" s="143"/>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row>
    <row r="211" spans="1:28" ht="12.9">
      <c r="A211" s="24"/>
      <c r="B211" s="143"/>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row>
    <row r="212" spans="1:28" ht="12.9">
      <c r="A212" s="24"/>
      <c r="B212" s="143"/>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row>
    <row r="213" spans="1:28" ht="12.9">
      <c r="A213" s="24"/>
      <c r="B213" s="143"/>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row>
    <row r="214" spans="1:28" ht="12.9">
      <c r="A214" s="24"/>
      <c r="B214" s="143"/>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row>
    <row r="215" spans="1:28" ht="12.9">
      <c r="A215" s="24"/>
      <c r="B215" s="143"/>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row>
    <row r="216" spans="1:28" ht="12.9">
      <c r="A216" s="24"/>
      <c r="B216" s="143"/>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row>
    <row r="217" spans="1:28" ht="12.9">
      <c r="A217" s="24"/>
      <c r="B217" s="143"/>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row>
    <row r="218" spans="1:28" ht="12.9">
      <c r="A218" s="24"/>
      <c r="B218" s="143"/>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row>
    <row r="219" spans="1:28" ht="12.9">
      <c r="A219" s="24"/>
      <c r="B219" s="143"/>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row>
    <row r="220" spans="1:28" ht="12.9">
      <c r="A220" s="24"/>
      <c r="B220" s="143"/>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row>
    <row r="221" spans="1:28" ht="12.9">
      <c r="A221" s="24"/>
      <c r="B221" s="143"/>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row>
    <row r="222" spans="1:28" ht="12.9">
      <c r="A222" s="24"/>
      <c r="B222" s="143"/>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row>
    <row r="223" spans="1:28" ht="12.9">
      <c r="A223" s="24"/>
      <c r="B223" s="143"/>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row>
    <row r="224" spans="1:28" ht="12.9">
      <c r="A224" s="24"/>
      <c r="B224" s="143"/>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row>
    <row r="225" spans="1:28" ht="12.9">
      <c r="A225" s="24"/>
      <c r="B225" s="143"/>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row>
    <row r="226" spans="1:28" ht="12.9">
      <c r="A226" s="24"/>
      <c r="B226" s="143"/>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row>
    <row r="227" spans="1:28" ht="12.9">
      <c r="A227" s="24"/>
      <c r="B227" s="143"/>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row>
    <row r="228" spans="1:28" ht="12.9">
      <c r="A228" s="24"/>
      <c r="B228" s="143"/>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row>
    <row r="229" spans="1:28" ht="12.9">
      <c r="A229" s="24"/>
      <c r="B229" s="143"/>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row>
    <row r="230" spans="1:28" ht="12.9">
      <c r="A230" s="24"/>
      <c r="B230" s="143"/>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row>
    <row r="231" spans="1:28" ht="12.9">
      <c r="A231" s="24"/>
      <c r="B231" s="143"/>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row>
    <row r="232" spans="1:28" ht="12.9">
      <c r="A232" s="24"/>
      <c r="B232" s="143"/>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row>
    <row r="233" spans="1:28" ht="12.9">
      <c r="A233" s="24"/>
      <c r="B233" s="143"/>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row>
    <row r="234" spans="1:28" ht="12.9">
      <c r="A234" s="24"/>
      <c r="B234" s="143"/>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row>
    <row r="235" spans="1:28" ht="12.9">
      <c r="A235" s="24"/>
      <c r="B235" s="143"/>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row>
    <row r="236" spans="1:28" ht="12.9">
      <c r="A236" s="24"/>
      <c r="B236" s="143"/>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row>
    <row r="237" spans="1:28" ht="12.9">
      <c r="A237" s="24"/>
      <c r="B237" s="143"/>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row>
    <row r="238" spans="1:28" ht="12.9">
      <c r="A238" s="24"/>
      <c r="B238" s="143"/>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row>
    <row r="239" spans="1:28" ht="12.9">
      <c r="A239" s="24"/>
      <c r="B239" s="143"/>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row>
    <row r="240" spans="1:28" ht="12.9">
      <c r="A240" s="24"/>
      <c r="B240" s="143"/>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row>
    <row r="241" spans="1:28" ht="12.9">
      <c r="A241" s="24"/>
      <c r="B241" s="143"/>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row>
    <row r="242" spans="1:28" ht="12.9">
      <c r="A242" s="24"/>
      <c r="B242" s="143"/>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row>
    <row r="243" spans="1:28" ht="12.9">
      <c r="A243" s="24"/>
      <c r="B243" s="143"/>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row>
    <row r="244" spans="1:28" ht="12.9">
      <c r="A244" s="24"/>
      <c r="B244" s="143"/>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row>
    <row r="245" spans="1:28" ht="12.9">
      <c r="A245" s="24"/>
      <c r="B245" s="143"/>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row>
    <row r="246" spans="1:28" ht="12.9">
      <c r="A246" s="24"/>
      <c r="B246" s="143"/>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row>
    <row r="247" spans="1:28" ht="12.9">
      <c r="A247" s="24"/>
      <c r="B247" s="143"/>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row>
    <row r="248" spans="1:28" ht="12.9">
      <c r="A248" s="24"/>
      <c r="B248" s="143"/>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row>
    <row r="249" spans="1:28" ht="12.9">
      <c r="A249" s="24"/>
      <c r="B249" s="143"/>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row>
    <row r="250" spans="1:28" ht="12.9">
      <c r="A250" s="24"/>
      <c r="B250" s="143"/>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row>
    <row r="251" spans="1:28" ht="12.9">
      <c r="A251" s="24"/>
      <c r="B251" s="143"/>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row>
    <row r="252" spans="1:28" ht="12.9">
      <c r="A252" s="24"/>
      <c r="B252" s="143"/>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row>
    <row r="253" spans="1:28" ht="12.9">
      <c r="A253" s="24"/>
      <c r="B253" s="143"/>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row>
    <row r="254" spans="1:28" ht="12.9">
      <c r="A254" s="24"/>
      <c r="B254" s="143"/>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row>
    <row r="255" spans="1:28" ht="12.9">
      <c r="A255" s="24"/>
      <c r="B255" s="143"/>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row>
    <row r="256" spans="1:28" ht="12.9">
      <c r="A256" s="24"/>
      <c r="B256" s="143"/>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row>
    <row r="257" spans="1:28" ht="12.9">
      <c r="A257" s="24"/>
      <c r="B257" s="143"/>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row>
    <row r="258" spans="1:28" ht="12.9">
      <c r="A258" s="24"/>
      <c r="B258" s="143"/>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row>
    <row r="259" spans="1:28" ht="12.9">
      <c r="A259" s="24"/>
      <c r="B259" s="143"/>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row>
    <row r="260" spans="1:28" ht="12.9">
      <c r="A260" s="24"/>
      <c r="B260" s="143"/>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row>
    <row r="261" spans="1:28" ht="12.9">
      <c r="A261" s="24"/>
      <c r="B261" s="143"/>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row>
    <row r="262" spans="1:28" ht="12.9">
      <c r="A262" s="24"/>
      <c r="B262" s="143"/>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row>
    <row r="263" spans="1:28" ht="12.9">
      <c r="A263" s="24"/>
      <c r="B263" s="143"/>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row>
    <row r="264" spans="1:28" ht="12.9">
      <c r="A264" s="24"/>
      <c r="B264" s="143"/>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row>
    <row r="265" spans="1:28" ht="12.9">
      <c r="A265" s="24"/>
      <c r="B265" s="143"/>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row>
    <row r="266" spans="1:28" ht="12.9">
      <c r="A266" s="24"/>
      <c r="B266" s="143"/>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row>
    <row r="267" spans="1:28" ht="12.9">
      <c r="A267" s="24"/>
      <c r="B267" s="143"/>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row>
    <row r="268" spans="1:28" ht="12.9">
      <c r="A268" s="24"/>
      <c r="B268" s="143"/>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row>
    <row r="269" spans="1:28" ht="12.9">
      <c r="A269" s="24"/>
      <c r="B269" s="143"/>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row>
    <row r="270" spans="1:28" ht="12.9">
      <c r="A270" s="24"/>
      <c r="B270" s="143"/>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row>
    <row r="271" spans="1:28" ht="12.9">
      <c r="A271" s="24"/>
      <c r="B271" s="143"/>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row>
    <row r="272" spans="1:28" ht="12.9">
      <c r="A272" s="24"/>
      <c r="B272" s="143"/>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row>
    <row r="273" spans="1:28" ht="12.9">
      <c r="A273" s="24"/>
      <c r="B273" s="143"/>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row>
    <row r="274" spans="1:28" ht="12.9">
      <c r="A274" s="24"/>
      <c r="B274" s="143"/>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row>
    <row r="275" spans="1:28" ht="12.9">
      <c r="A275" s="24"/>
      <c r="B275" s="143"/>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row>
    <row r="276" spans="1:28" ht="12.9">
      <c r="A276" s="24"/>
      <c r="B276" s="143"/>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row>
    <row r="277" spans="1:28" ht="12.9">
      <c r="A277" s="24"/>
      <c r="B277" s="143"/>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row>
    <row r="278" spans="1:28" ht="12.9">
      <c r="A278" s="24"/>
      <c r="B278" s="143"/>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row>
    <row r="279" spans="1:28" ht="12.9">
      <c r="A279" s="24"/>
      <c r="B279" s="143"/>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row>
    <row r="280" spans="1:28" ht="12.9">
      <c r="A280" s="24"/>
      <c r="B280" s="143"/>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row>
    <row r="281" spans="1:28" ht="12.9">
      <c r="A281" s="24"/>
      <c r="B281" s="143"/>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row>
    <row r="282" spans="1:28" ht="12.9">
      <c r="A282" s="24"/>
      <c r="B282" s="143"/>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row>
    <row r="283" spans="1:28" ht="12.9">
      <c r="A283" s="24"/>
      <c r="B283" s="143"/>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row>
    <row r="284" spans="1:28" ht="12.9">
      <c r="A284" s="24"/>
      <c r="B284" s="143"/>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row>
    <row r="285" spans="1:28" ht="12.9">
      <c r="A285" s="24"/>
      <c r="B285" s="143"/>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row>
    <row r="286" spans="1:28" ht="12.9">
      <c r="A286" s="24"/>
      <c r="B286" s="143"/>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row>
    <row r="287" spans="1:28" ht="12.9">
      <c r="A287" s="24"/>
      <c r="B287" s="143"/>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row>
    <row r="288" spans="1:28" ht="12.9">
      <c r="A288" s="24"/>
      <c r="B288" s="143"/>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row>
    <row r="289" spans="1:28" ht="12.9">
      <c r="A289" s="24"/>
      <c r="B289" s="143"/>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row>
    <row r="290" spans="1:28" ht="12.9">
      <c r="A290" s="24"/>
      <c r="B290" s="143"/>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row>
    <row r="291" spans="1:28" ht="12.9">
      <c r="A291" s="24"/>
      <c r="B291" s="143"/>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row>
    <row r="292" spans="1:28" ht="12.9">
      <c r="A292" s="24"/>
      <c r="B292" s="143"/>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row>
    <row r="293" spans="1:28" ht="12.9">
      <c r="A293" s="24"/>
      <c r="B293" s="143"/>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row>
    <row r="294" spans="1:28" ht="12.9">
      <c r="A294" s="24"/>
      <c r="B294" s="143"/>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row>
    <row r="295" spans="1:28" ht="12.9">
      <c r="A295" s="24"/>
      <c r="B295" s="143"/>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row>
    <row r="296" spans="1:28" ht="12.9">
      <c r="A296" s="24"/>
      <c r="B296" s="143"/>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row>
    <row r="297" spans="1:28" ht="12.9">
      <c r="A297" s="24"/>
      <c r="B297" s="143"/>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row>
    <row r="298" spans="1:28" ht="12.9">
      <c r="A298" s="24"/>
      <c r="B298" s="143"/>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row>
    <row r="299" spans="1:28" ht="12.9">
      <c r="A299" s="24"/>
      <c r="B299" s="143"/>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row>
    <row r="300" spans="1:28" ht="12.9">
      <c r="A300" s="24"/>
      <c r="B300" s="143"/>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row>
    <row r="301" spans="1:28" ht="12.9">
      <c r="A301" s="24"/>
      <c r="B301" s="143"/>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row>
    <row r="302" spans="1:28" ht="12.9">
      <c r="A302" s="24"/>
      <c r="B302" s="143"/>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row>
    <row r="303" spans="1:28" ht="12.9">
      <c r="A303" s="24"/>
      <c r="B303" s="143"/>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row>
    <row r="304" spans="1:28" ht="12.9">
      <c r="A304" s="24"/>
      <c r="B304" s="143"/>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row>
    <row r="305" spans="1:28" ht="12.9">
      <c r="A305" s="24"/>
      <c r="B305" s="143"/>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row>
    <row r="306" spans="1:28" ht="12.9">
      <c r="A306" s="24"/>
      <c r="B306" s="143"/>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row>
    <row r="307" spans="1:28" ht="12.9">
      <c r="A307" s="24"/>
      <c r="B307" s="143"/>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row>
    <row r="308" spans="1:28" ht="12.9">
      <c r="A308" s="24"/>
      <c r="B308" s="143"/>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row>
    <row r="309" spans="1:28" ht="12.9">
      <c r="A309" s="24"/>
      <c r="B309" s="143"/>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row>
    <row r="310" spans="1:28" ht="12.9">
      <c r="A310" s="24"/>
      <c r="B310" s="143"/>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row>
    <row r="311" spans="1:28" ht="12.9">
      <c r="A311" s="24"/>
      <c r="B311" s="143"/>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row>
    <row r="312" spans="1:28" ht="12.9">
      <c r="A312" s="24"/>
      <c r="B312" s="143"/>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row>
    <row r="313" spans="1:28" ht="12.9">
      <c r="A313" s="24"/>
      <c r="B313" s="143"/>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row>
    <row r="314" spans="1:28" ht="12.9">
      <c r="A314" s="24"/>
      <c r="B314" s="143"/>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row>
    <row r="315" spans="1:28" ht="12.9">
      <c r="A315" s="24"/>
      <c r="B315" s="143"/>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row>
    <row r="316" spans="1:28" ht="12.9">
      <c r="A316" s="24"/>
      <c r="B316" s="143"/>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row>
    <row r="317" spans="1:28" ht="12.9">
      <c r="A317" s="24"/>
      <c r="B317" s="143"/>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row>
    <row r="318" spans="1:28" ht="12.9">
      <c r="A318" s="24"/>
      <c r="B318" s="143"/>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row>
    <row r="319" spans="1:28" ht="12.9">
      <c r="A319" s="24"/>
      <c r="B319" s="143"/>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row>
    <row r="320" spans="1:28" ht="12.9">
      <c r="A320" s="24"/>
      <c r="B320" s="143"/>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row>
    <row r="321" spans="1:28" ht="12.9">
      <c r="A321" s="24"/>
      <c r="B321" s="143"/>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row>
    <row r="322" spans="1:28" ht="12.9">
      <c r="A322" s="24"/>
      <c r="B322" s="143"/>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row>
    <row r="323" spans="1:28" ht="12.9">
      <c r="A323" s="24"/>
      <c r="B323" s="143"/>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row>
    <row r="324" spans="1:28" ht="12.9">
      <c r="A324" s="24"/>
      <c r="B324" s="143"/>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row>
    <row r="325" spans="1:28" ht="12.9">
      <c r="A325" s="24"/>
      <c r="B325" s="143"/>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row>
    <row r="326" spans="1:28" ht="12.9">
      <c r="A326" s="24"/>
      <c r="B326" s="143"/>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row>
    <row r="327" spans="1:28" ht="12.9">
      <c r="A327" s="24"/>
      <c r="B327" s="143"/>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row>
    <row r="328" spans="1:28" ht="12.9">
      <c r="A328" s="24"/>
      <c r="B328" s="143"/>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row>
    <row r="329" spans="1:28" ht="12.9">
      <c r="A329" s="24"/>
      <c r="B329" s="143"/>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row>
    <row r="330" spans="1:28" ht="12.9">
      <c r="A330" s="24"/>
      <c r="B330" s="143"/>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row>
    <row r="331" spans="1:28" ht="12.9">
      <c r="A331" s="24"/>
      <c r="B331" s="143"/>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row>
    <row r="332" spans="1:28" ht="12.9">
      <c r="A332" s="24"/>
      <c r="B332" s="143"/>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row>
    <row r="333" spans="1:28" ht="12.9">
      <c r="A333" s="24"/>
      <c r="B333" s="143"/>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row>
    <row r="334" spans="1:28" ht="12.9">
      <c r="A334" s="24"/>
      <c r="B334" s="143"/>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row>
    <row r="335" spans="1:28" ht="12.9">
      <c r="A335" s="24"/>
      <c r="B335" s="143"/>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row>
    <row r="336" spans="1:28" ht="12.9">
      <c r="A336" s="24"/>
      <c r="B336" s="143"/>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row>
    <row r="337" spans="1:28" ht="12.9">
      <c r="A337" s="24"/>
      <c r="B337" s="143"/>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row>
    <row r="338" spans="1:28" ht="12.9">
      <c r="A338" s="24"/>
      <c r="B338" s="143"/>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row>
    <row r="339" spans="1:28" ht="12.9">
      <c r="A339" s="24"/>
      <c r="B339" s="143"/>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row>
    <row r="340" spans="1:28" ht="12.9">
      <c r="A340" s="24"/>
      <c r="B340" s="143"/>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row>
    <row r="341" spans="1:28" ht="12.9">
      <c r="A341" s="24"/>
      <c r="B341" s="143"/>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row>
    <row r="342" spans="1:28" ht="12.9">
      <c r="A342" s="24"/>
      <c r="B342" s="143"/>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row>
    <row r="343" spans="1:28" ht="12.9">
      <c r="A343" s="24"/>
      <c r="B343" s="143"/>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row>
    <row r="344" spans="1:28" ht="12.9">
      <c r="A344" s="24"/>
      <c r="B344" s="143"/>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row>
    <row r="345" spans="1:28" ht="12.9">
      <c r="A345" s="24"/>
      <c r="B345" s="143"/>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row>
    <row r="346" spans="1:28" ht="12.9">
      <c r="A346" s="24"/>
      <c r="B346" s="143"/>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row>
    <row r="347" spans="1:28" ht="12.9">
      <c r="A347" s="24"/>
      <c r="B347" s="143"/>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row>
    <row r="348" spans="1:28" ht="12.9">
      <c r="A348" s="24"/>
      <c r="B348" s="143"/>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row>
    <row r="349" spans="1:28" ht="12.9">
      <c r="A349" s="24"/>
      <c r="B349" s="143"/>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row>
    <row r="350" spans="1:28" ht="12.9">
      <c r="A350" s="24"/>
      <c r="B350" s="143"/>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row>
    <row r="351" spans="1:28" ht="12.9">
      <c r="A351" s="24"/>
      <c r="B351" s="143"/>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row>
    <row r="352" spans="1:28" ht="12.9">
      <c r="A352" s="24"/>
      <c r="B352" s="143"/>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row>
    <row r="353" spans="1:28" ht="12.9">
      <c r="A353" s="24"/>
      <c r="B353" s="143"/>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row>
    <row r="354" spans="1:28" ht="12.9">
      <c r="A354" s="24"/>
      <c r="B354" s="143"/>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row>
    <row r="355" spans="1:28" ht="12.9">
      <c r="A355" s="24"/>
      <c r="B355" s="143"/>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row>
    <row r="356" spans="1:28" ht="12.9">
      <c r="A356" s="24"/>
      <c r="B356" s="143"/>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row>
    <row r="357" spans="1:28" ht="12.9">
      <c r="A357" s="24"/>
      <c r="B357" s="143"/>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row>
    <row r="358" spans="1:28" ht="12.9">
      <c r="A358" s="24"/>
      <c r="B358" s="143"/>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row>
    <row r="359" spans="1:28" ht="12.9">
      <c r="A359" s="24"/>
      <c r="B359" s="143"/>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row>
    <row r="360" spans="1:28" ht="12.9">
      <c r="A360" s="24"/>
      <c r="B360" s="143"/>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row>
    <row r="361" spans="1:28" ht="12.9">
      <c r="A361" s="24"/>
      <c r="B361" s="143"/>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row>
    <row r="362" spans="1:28" ht="12.9">
      <c r="A362" s="24"/>
      <c r="B362" s="143"/>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row>
    <row r="363" spans="1:28" ht="12.9">
      <c r="A363" s="24"/>
      <c r="B363" s="143"/>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row>
    <row r="364" spans="1:28" ht="12.9">
      <c r="A364" s="24"/>
      <c r="B364" s="143"/>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row>
    <row r="365" spans="1:28" ht="12.9">
      <c r="A365" s="24"/>
      <c r="B365" s="143"/>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row>
    <row r="366" spans="1:28" ht="12.9">
      <c r="A366" s="24"/>
      <c r="B366" s="143"/>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row>
    <row r="367" spans="1:28" ht="12.9">
      <c r="A367" s="24"/>
      <c r="B367" s="143"/>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row>
    <row r="368" spans="1:28" ht="12.9">
      <c r="A368" s="24"/>
      <c r="B368" s="143"/>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row>
    <row r="369" spans="1:28" ht="12.9">
      <c r="A369" s="24"/>
      <c r="B369" s="143"/>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row>
    <row r="370" spans="1:28" ht="12.9">
      <c r="A370" s="24"/>
      <c r="B370" s="143"/>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row>
    <row r="371" spans="1:28" ht="12.9">
      <c r="A371" s="24"/>
      <c r="B371" s="143"/>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row>
    <row r="372" spans="1:28" ht="12.9">
      <c r="A372" s="24"/>
      <c r="B372" s="143"/>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row>
    <row r="373" spans="1:28" ht="12.9">
      <c r="A373" s="24"/>
      <c r="B373" s="143"/>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row>
    <row r="374" spans="1:28" ht="12.9">
      <c r="A374" s="24"/>
      <c r="B374" s="143"/>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row>
    <row r="375" spans="1:28" ht="12.9">
      <c r="A375" s="24"/>
      <c r="B375" s="143"/>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row>
    <row r="376" spans="1:28" ht="12.9">
      <c r="A376" s="24"/>
      <c r="B376" s="143"/>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row>
    <row r="377" spans="1:28" ht="12.9">
      <c r="A377" s="24"/>
      <c r="B377" s="143"/>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row>
    <row r="378" spans="1:28" ht="12.9">
      <c r="A378" s="24"/>
      <c r="B378" s="143"/>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row>
    <row r="379" spans="1:28" ht="12.9">
      <c r="A379" s="24"/>
      <c r="B379" s="143"/>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row>
    <row r="380" spans="1:28" ht="12.9">
      <c r="A380" s="24"/>
      <c r="B380" s="143"/>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row>
    <row r="381" spans="1:28" ht="12.9">
      <c r="A381" s="24"/>
      <c r="B381" s="143"/>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row>
    <row r="382" spans="1:28" ht="12.9">
      <c r="A382" s="24"/>
      <c r="B382" s="143"/>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row>
    <row r="383" spans="1:28" ht="12.9">
      <c r="A383" s="24"/>
      <c r="B383" s="143"/>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row>
    <row r="384" spans="1:28" ht="12.9">
      <c r="A384" s="24"/>
      <c r="B384" s="143"/>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row>
    <row r="385" spans="1:28" ht="12.9">
      <c r="A385" s="24"/>
      <c r="B385" s="143"/>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row>
    <row r="386" spans="1:28" ht="12.9">
      <c r="A386" s="24"/>
      <c r="B386" s="143"/>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row>
    <row r="387" spans="1:28" ht="12.9">
      <c r="A387" s="24"/>
      <c r="B387" s="143"/>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row>
    <row r="388" spans="1:28" ht="12.9">
      <c r="A388" s="24"/>
      <c r="B388" s="143"/>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row>
    <row r="389" spans="1:28" ht="12.9">
      <c r="A389" s="24"/>
      <c r="B389" s="143"/>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row>
    <row r="390" spans="1:28" ht="12.9">
      <c r="A390" s="24"/>
      <c r="B390" s="143"/>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row>
    <row r="391" spans="1:28" ht="12.9">
      <c r="A391" s="24"/>
      <c r="B391" s="143"/>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row>
    <row r="392" spans="1:28" ht="12.9">
      <c r="A392" s="24"/>
      <c r="B392" s="143"/>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row>
    <row r="393" spans="1:28" ht="12.9">
      <c r="A393" s="24"/>
      <c r="B393" s="143"/>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row>
    <row r="394" spans="1:28" ht="12.9">
      <c r="A394" s="24"/>
      <c r="B394" s="143"/>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row>
    <row r="395" spans="1:28" ht="12.9">
      <c r="A395" s="24"/>
      <c r="B395" s="143"/>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row>
    <row r="396" spans="1:28" ht="12.9">
      <c r="A396" s="24"/>
      <c r="B396" s="143"/>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row>
    <row r="397" spans="1:28" ht="12.9">
      <c r="A397" s="24"/>
      <c r="B397" s="143"/>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row>
    <row r="398" spans="1:28" ht="12.9">
      <c r="A398" s="24"/>
      <c r="B398" s="143"/>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row>
    <row r="399" spans="1:28" ht="12.9">
      <c r="A399" s="24"/>
      <c r="B399" s="143"/>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row>
    <row r="400" spans="1:28" ht="12.9">
      <c r="A400" s="24"/>
      <c r="B400" s="143"/>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row>
    <row r="401" spans="1:28" ht="12.9">
      <c r="A401" s="24"/>
      <c r="B401" s="143"/>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row>
    <row r="402" spans="1:28" ht="12.9">
      <c r="A402" s="24"/>
      <c r="B402" s="143"/>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row>
    <row r="403" spans="1:28" ht="12.9">
      <c r="A403" s="24"/>
      <c r="B403" s="143"/>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row>
    <row r="404" spans="1:28" ht="12.9">
      <c r="A404" s="24"/>
      <c r="B404" s="143"/>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row>
    <row r="405" spans="1:28" ht="12.9">
      <c r="A405" s="24"/>
      <c r="B405" s="143"/>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row>
    <row r="406" spans="1:28" ht="12.9">
      <c r="A406" s="24"/>
      <c r="B406" s="143"/>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row>
    <row r="407" spans="1:28" ht="12.9">
      <c r="A407" s="24"/>
      <c r="B407" s="143"/>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row>
    <row r="408" spans="1:28" ht="12.9">
      <c r="A408" s="24"/>
      <c r="B408" s="143"/>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row>
    <row r="409" spans="1:28" ht="12.9">
      <c r="A409" s="24"/>
      <c r="B409" s="143"/>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row>
    <row r="410" spans="1:28" ht="12.9">
      <c r="A410" s="24"/>
      <c r="B410" s="143"/>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row>
    <row r="411" spans="1:28" ht="12.9">
      <c r="A411" s="24"/>
      <c r="B411" s="143"/>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row>
    <row r="412" spans="1:28" ht="12.9">
      <c r="A412" s="24"/>
      <c r="B412" s="143"/>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row>
    <row r="413" spans="1:28" ht="12.9">
      <c r="A413" s="24"/>
      <c r="B413" s="143"/>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row>
    <row r="414" spans="1:28" ht="12.9">
      <c r="A414" s="24"/>
      <c r="B414" s="143"/>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row>
    <row r="415" spans="1:28" ht="12.9">
      <c r="A415" s="24"/>
      <c r="B415" s="143"/>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row>
    <row r="416" spans="1:28" ht="12.9">
      <c r="A416" s="24"/>
      <c r="B416" s="143"/>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row>
    <row r="417" spans="1:28" ht="12.9">
      <c r="A417" s="24"/>
      <c r="B417" s="143"/>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row>
    <row r="418" spans="1:28" ht="12.9">
      <c r="A418" s="24"/>
      <c r="B418" s="143"/>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row>
    <row r="419" spans="1:28" ht="12.9">
      <c r="A419" s="24"/>
      <c r="B419" s="143"/>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row>
    <row r="420" spans="1:28" ht="12.9">
      <c r="A420" s="24"/>
      <c r="B420" s="143"/>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row>
    <row r="421" spans="1:28" ht="12.9">
      <c r="A421" s="24"/>
      <c r="B421" s="143"/>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row>
    <row r="422" spans="1:28" ht="12.9">
      <c r="A422" s="24"/>
      <c r="B422" s="143"/>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row>
    <row r="423" spans="1:28" ht="12.9">
      <c r="A423" s="24"/>
      <c r="B423" s="143"/>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row>
    <row r="424" spans="1:28" ht="12.9">
      <c r="A424" s="24"/>
      <c r="B424" s="143"/>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row>
    <row r="425" spans="1:28" ht="12.9">
      <c r="A425" s="24"/>
      <c r="B425" s="143"/>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row>
    <row r="426" spans="1:28" ht="12.9">
      <c r="A426" s="24"/>
      <c r="B426" s="143"/>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row>
    <row r="427" spans="1:28" ht="12.9">
      <c r="A427" s="24"/>
      <c r="B427" s="143"/>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row>
    <row r="428" spans="1:28" ht="12.9">
      <c r="A428" s="24"/>
      <c r="B428" s="143"/>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row>
    <row r="429" spans="1:28" ht="12.9">
      <c r="A429" s="24"/>
      <c r="B429" s="143"/>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row>
    <row r="430" spans="1:28" ht="12.9">
      <c r="A430" s="24"/>
      <c r="B430" s="143"/>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row>
    <row r="431" spans="1:28" ht="12.9">
      <c r="A431" s="24"/>
      <c r="B431" s="143"/>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row>
    <row r="432" spans="1:28" ht="12.9">
      <c r="A432" s="24"/>
      <c r="B432" s="143"/>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row>
    <row r="433" spans="1:28" ht="12.9">
      <c r="A433" s="24"/>
      <c r="B433" s="143"/>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row>
    <row r="434" spans="1:28" ht="12.9">
      <c r="A434" s="24"/>
      <c r="B434" s="143"/>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row>
    <row r="435" spans="1:28" ht="12.9">
      <c r="A435" s="24"/>
      <c r="B435" s="143"/>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row>
    <row r="436" spans="1:28" ht="12.9">
      <c r="A436" s="24"/>
      <c r="B436" s="143"/>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row>
    <row r="437" spans="1:28" ht="12.9">
      <c r="A437" s="24"/>
      <c r="B437" s="143"/>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row>
    <row r="438" spans="1:28" ht="12.9">
      <c r="A438" s="24"/>
      <c r="B438" s="143"/>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row>
    <row r="439" spans="1:28" ht="12.9">
      <c r="A439" s="24"/>
      <c r="B439" s="143"/>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row>
    <row r="440" spans="1:28" ht="12.9">
      <c r="A440" s="24"/>
      <c r="B440" s="143"/>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row>
    <row r="441" spans="1:28" ht="12.9">
      <c r="A441" s="24"/>
      <c r="B441" s="143"/>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row>
    <row r="442" spans="1:28" ht="12.9">
      <c r="A442" s="24"/>
      <c r="B442" s="143"/>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row>
    <row r="443" spans="1:28" ht="12.9">
      <c r="A443" s="24"/>
      <c r="B443" s="143"/>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row>
    <row r="444" spans="1:28" ht="12.9">
      <c r="A444" s="24"/>
      <c r="B444" s="143"/>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row>
    <row r="445" spans="1:28" ht="12.9">
      <c r="A445" s="24"/>
      <c r="B445" s="143"/>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row>
    <row r="446" spans="1:28" ht="12.9">
      <c r="A446" s="24"/>
      <c r="B446" s="143"/>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row>
    <row r="447" spans="1:28" ht="12.9">
      <c r="A447" s="24"/>
      <c r="B447" s="143"/>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row>
    <row r="448" spans="1:28" ht="12.9">
      <c r="A448" s="24"/>
      <c r="B448" s="143"/>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row>
    <row r="449" spans="1:28" ht="12.9">
      <c r="A449" s="24"/>
      <c r="B449" s="143"/>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row>
    <row r="450" spans="1:28" ht="12.9">
      <c r="A450" s="24"/>
      <c r="B450" s="143"/>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row>
    <row r="451" spans="1:28" ht="12.9">
      <c r="A451" s="24"/>
      <c r="B451" s="143"/>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row>
    <row r="452" spans="1:28" ht="12.9">
      <c r="A452" s="24"/>
      <c r="B452" s="143"/>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row>
    <row r="453" spans="1:28" ht="12.9">
      <c r="A453" s="24"/>
      <c r="B453" s="143"/>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row>
    <row r="454" spans="1:28" ht="12.9">
      <c r="A454" s="24"/>
      <c r="B454" s="143"/>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row>
    <row r="455" spans="1:28" ht="12.9">
      <c r="A455" s="24"/>
      <c r="B455" s="143"/>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row>
    <row r="456" spans="1:28" ht="12.9">
      <c r="A456" s="24"/>
      <c r="B456" s="143"/>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row>
    <row r="457" spans="1:28" ht="12.9">
      <c r="A457" s="24"/>
      <c r="B457" s="143"/>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row>
    <row r="458" spans="1:28" ht="12.9">
      <c r="A458" s="24"/>
      <c r="B458" s="143"/>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row>
    <row r="459" spans="1:28" ht="12.9">
      <c r="A459" s="24"/>
      <c r="B459" s="143"/>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row>
    <row r="460" spans="1:28" ht="12.9">
      <c r="A460" s="24"/>
      <c r="B460" s="143"/>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row>
    <row r="461" spans="1:28" ht="12.9">
      <c r="A461" s="24"/>
      <c r="B461" s="143"/>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row>
    <row r="462" spans="1:28" ht="12.9">
      <c r="A462" s="24"/>
      <c r="B462" s="143"/>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row>
    <row r="463" spans="1:28" ht="12.9">
      <c r="A463" s="24"/>
      <c r="B463" s="143"/>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row>
    <row r="464" spans="1:28" ht="12.9">
      <c r="A464" s="24"/>
      <c r="B464" s="143"/>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row>
    <row r="465" spans="1:28" ht="12.9">
      <c r="A465" s="24"/>
      <c r="B465" s="143"/>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row>
    <row r="466" spans="1:28" ht="12.9">
      <c r="A466" s="24"/>
      <c r="B466" s="143"/>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row>
    <row r="467" spans="1:28" ht="12.9">
      <c r="A467" s="24"/>
      <c r="B467" s="143"/>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row>
    <row r="468" spans="1:28" ht="12.9">
      <c r="A468" s="24"/>
      <c r="B468" s="143"/>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row>
    <row r="469" spans="1:28" ht="12.9">
      <c r="A469" s="24"/>
      <c r="B469" s="143"/>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row>
    <row r="470" spans="1:28" ht="12.9">
      <c r="A470" s="24"/>
      <c r="B470" s="143"/>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row>
    <row r="471" spans="1:28" ht="12.9">
      <c r="A471" s="24"/>
      <c r="B471" s="143"/>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row>
    <row r="472" spans="1:28" ht="12.9">
      <c r="A472" s="24"/>
      <c r="B472" s="143"/>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row>
    <row r="473" spans="1:28" ht="12.9">
      <c r="A473" s="24"/>
      <c r="B473" s="143"/>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row>
    <row r="474" spans="1:28" ht="12.9">
      <c r="A474" s="24"/>
      <c r="B474" s="143"/>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row>
    <row r="475" spans="1:28" ht="12.9">
      <c r="A475" s="24"/>
      <c r="B475" s="143"/>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row>
    <row r="476" spans="1:28" ht="12.9">
      <c r="A476" s="24"/>
      <c r="B476" s="143"/>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row>
    <row r="477" spans="1:28" ht="12.9">
      <c r="A477" s="24"/>
      <c r="B477" s="143"/>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row>
    <row r="478" spans="1:28" ht="12.9">
      <c r="A478" s="24"/>
      <c r="B478" s="143"/>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row>
    <row r="479" spans="1:28" ht="12.9">
      <c r="A479" s="24"/>
      <c r="B479" s="143"/>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row>
    <row r="480" spans="1:28" ht="12.9">
      <c r="A480" s="24"/>
      <c r="B480" s="143"/>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row>
    <row r="481" spans="1:28" ht="12.9">
      <c r="A481" s="24"/>
      <c r="B481" s="143"/>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row>
    <row r="482" spans="1:28" ht="12.9">
      <c r="A482" s="24"/>
      <c r="B482" s="143"/>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row>
    <row r="483" spans="1:28" ht="12.9">
      <c r="A483" s="24"/>
      <c r="B483" s="143"/>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row>
    <row r="484" spans="1:28" ht="12.9">
      <c r="A484" s="24"/>
      <c r="B484" s="143"/>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row>
    <row r="485" spans="1:28" ht="12.9">
      <c r="A485" s="24"/>
      <c r="B485" s="143"/>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row>
    <row r="486" spans="1:28" ht="12.9">
      <c r="A486" s="24"/>
      <c r="B486" s="143"/>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row>
    <row r="487" spans="1:28" ht="12.9">
      <c r="A487" s="24"/>
      <c r="B487" s="143"/>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row>
    <row r="488" spans="1:28" ht="12.9">
      <c r="A488" s="24"/>
      <c r="B488" s="143"/>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row>
    <row r="489" spans="1:28" ht="12.9">
      <c r="A489" s="24"/>
      <c r="B489" s="143"/>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row>
    <row r="490" spans="1:28" ht="12.9">
      <c r="A490" s="24"/>
      <c r="B490" s="143"/>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row>
    <row r="491" spans="1:28" ht="12.9">
      <c r="A491" s="24"/>
      <c r="B491" s="143"/>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row>
    <row r="492" spans="1:28" ht="12.9">
      <c r="A492" s="24"/>
      <c r="B492" s="143"/>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row>
    <row r="493" spans="1:28" ht="12.9">
      <c r="A493" s="24"/>
      <c r="B493" s="143"/>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row>
    <row r="494" spans="1:28" ht="12.9">
      <c r="A494" s="24"/>
      <c r="B494" s="143"/>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row>
    <row r="495" spans="1:28" ht="12.9">
      <c r="A495" s="24"/>
      <c r="B495" s="143"/>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row>
    <row r="496" spans="1:28" ht="12.9">
      <c r="A496" s="24"/>
      <c r="B496" s="143"/>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row>
    <row r="497" spans="1:28" ht="12.9">
      <c r="A497" s="24"/>
      <c r="B497" s="143"/>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row>
    <row r="498" spans="1:28" ht="12.9">
      <c r="A498" s="24"/>
      <c r="B498" s="143"/>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row>
    <row r="499" spans="1:28" ht="12.9">
      <c r="A499" s="24"/>
      <c r="B499" s="143"/>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row>
    <row r="500" spans="1:28" ht="12.9">
      <c r="A500" s="24"/>
      <c r="B500" s="143"/>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row>
    <row r="501" spans="1:28" ht="12.9">
      <c r="A501" s="24"/>
      <c r="B501" s="143"/>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row>
    <row r="502" spans="1:28" ht="12.9">
      <c r="A502" s="24"/>
      <c r="B502" s="143"/>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row>
    <row r="503" spans="1:28" ht="12.9">
      <c r="A503" s="24"/>
      <c r="B503" s="143"/>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row>
    <row r="504" spans="1:28" ht="12.9">
      <c r="A504" s="24"/>
      <c r="B504" s="143"/>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row>
    <row r="505" spans="1:28" ht="12.9">
      <c r="A505" s="24"/>
      <c r="B505" s="143"/>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row>
    <row r="506" spans="1:28" ht="12.9">
      <c r="A506" s="24"/>
      <c r="B506" s="143"/>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row>
    <row r="507" spans="1:28" ht="12.9">
      <c r="A507" s="24"/>
      <c r="B507" s="143"/>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row>
    <row r="508" spans="1:28" ht="12.9">
      <c r="A508" s="24"/>
      <c r="B508" s="143"/>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row>
    <row r="509" spans="1:28" ht="12.9">
      <c r="A509" s="24"/>
      <c r="B509" s="143"/>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row>
    <row r="510" spans="1:28" ht="12.9">
      <c r="A510" s="24"/>
      <c r="B510" s="143"/>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row>
    <row r="511" spans="1:28" ht="12.9">
      <c r="A511" s="24"/>
      <c r="B511" s="143"/>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row>
    <row r="512" spans="1:28" ht="12.9">
      <c r="A512" s="24"/>
      <c r="B512" s="143"/>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row>
    <row r="513" spans="1:28" ht="12.9">
      <c r="A513" s="24"/>
      <c r="B513" s="143"/>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row>
    <row r="514" spans="1:28" ht="12.9">
      <c r="A514" s="24"/>
      <c r="B514" s="143"/>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row>
    <row r="515" spans="1:28" ht="12.9">
      <c r="A515" s="24"/>
      <c r="B515" s="143"/>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row>
    <row r="516" spans="1:28" ht="12.9">
      <c r="A516" s="24"/>
      <c r="B516" s="143"/>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row>
    <row r="517" spans="1:28" ht="12.9">
      <c r="A517" s="24"/>
      <c r="B517" s="143"/>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row>
    <row r="518" spans="1:28" ht="12.9">
      <c r="A518" s="24"/>
      <c r="B518" s="143"/>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row>
    <row r="519" spans="1:28" ht="12.9">
      <c r="A519" s="24"/>
      <c r="B519" s="143"/>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row>
    <row r="520" spans="1:28" ht="12.9">
      <c r="A520" s="24"/>
      <c r="B520" s="143"/>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row>
    <row r="521" spans="1:28" ht="12.9">
      <c r="A521" s="24"/>
      <c r="B521" s="143"/>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row>
    <row r="522" spans="1:28" ht="12.9">
      <c r="A522" s="24"/>
      <c r="B522" s="143"/>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row>
    <row r="523" spans="1:28" ht="12.9">
      <c r="A523" s="24"/>
      <c r="B523" s="143"/>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row>
    <row r="524" spans="1:28" ht="12.9">
      <c r="A524" s="24"/>
      <c r="B524" s="143"/>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row>
    <row r="525" spans="1:28" ht="12.9">
      <c r="A525" s="24"/>
      <c r="B525" s="143"/>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row>
    <row r="526" spans="1:28" ht="12.9">
      <c r="A526" s="24"/>
      <c r="B526" s="143"/>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row>
    <row r="527" spans="1:28" ht="12.9">
      <c r="A527" s="24"/>
      <c r="B527" s="143"/>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row>
    <row r="528" spans="1:28" ht="12.9">
      <c r="A528" s="24"/>
      <c r="B528" s="143"/>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row>
    <row r="529" spans="1:28" ht="12.9">
      <c r="A529" s="24"/>
      <c r="B529" s="143"/>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row>
    <row r="530" spans="1:28" ht="12.9">
      <c r="A530" s="24"/>
      <c r="B530" s="143"/>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row>
    <row r="531" spans="1:28" ht="12.9">
      <c r="A531" s="24"/>
      <c r="B531" s="143"/>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row>
    <row r="532" spans="1:28" ht="12.9">
      <c r="A532" s="24"/>
      <c r="B532" s="143"/>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row>
    <row r="533" spans="1:28" ht="12.9">
      <c r="A533" s="24"/>
      <c r="B533" s="143"/>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row>
    <row r="534" spans="1:28" ht="12.9">
      <c r="A534" s="24"/>
      <c r="B534" s="143"/>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row>
    <row r="535" spans="1:28" ht="12.9">
      <c r="A535" s="24"/>
      <c r="B535" s="143"/>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row>
    <row r="536" spans="1:28" ht="12.9">
      <c r="A536" s="24"/>
      <c r="B536" s="143"/>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row>
    <row r="537" spans="1:28" ht="12.9">
      <c r="A537" s="24"/>
      <c r="B537" s="143"/>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row>
    <row r="538" spans="1:28" ht="12.9">
      <c r="A538" s="24"/>
      <c r="B538" s="143"/>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row>
    <row r="539" spans="1:28" ht="12.9">
      <c r="A539" s="24"/>
      <c r="B539" s="143"/>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row>
    <row r="540" spans="1:28" ht="12.9">
      <c r="A540" s="24"/>
      <c r="B540" s="143"/>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row>
    <row r="541" spans="1:28" ht="12.9">
      <c r="A541" s="24"/>
      <c r="B541" s="143"/>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row>
    <row r="542" spans="1:28" ht="12.9">
      <c r="A542" s="24"/>
      <c r="B542" s="143"/>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row>
    <row r="543" spans="1:28" ht="12.9">
      <c r="A543" s="24"/>
      <c r="B543" s="143"/>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row>
    <row r="544" spans="1:28" ht="12.9">
      <c r="A544" s="24"/>
      <c r="B544" s="143"/>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row>
    <row r="545" spans="1:28" ht="12.9">
      <c r="A545" s="24"/>
      <c r="B545" s="143"/>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row>
    <row r="546" spans="1:28" ht="12.9">
      <c r="A546" s="24"/>
      <c r="B546" s="143"/>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row>
    <row r="547" spans="1:28" ht="12.9">
      <c r="A547" s="24"/>
      <c r="B547" s="143"/>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row>
    <row r="548" spans="1:28" ht="12.9">
      <c r="A548" s="24"/>
      <c r="B548" s="143"/>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row>
    <row r="549" spans="1:28" ht="12.9">
      <c r="A549" s="24"/>
      <c r="B549" s="143"/>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row>
    <row r="550" spans="1:28" ht="12.9">
      <c r="A550" s="24"/>
      <c r="B550" s="143"/>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row>
    <row r="551" spans="1:28" ht="12.9">
      <c r="A551" s="24"/>
      <c r="B551" s="143"/>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row>
    <row r="552" spans="1:28" ht="12.9">
      <c r="A552" s="24"/>
      <c r="B552" s="143"/>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row>
    <row r="553" spans="1:28" ht="12.9">
      <c r="A553" s="24"/>
      <c r="B553" s="143"/>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row>
    <row r="554" spans="1:28" ht="12.9">
      <c r="A554" s="24"/>
      <c r="B554" s="143"/>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row>
    <row r="555" spans="1:28" ht="12.9">
      <c r="A555" s="24"/>
      <c r="B555" s="143"/>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row>
    <row r="556" spans="1:28" ht="12.9">
      <c r="A556" s="24"/>
      <c r="B556" s="143"/>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row>
    <row r="557" spans="1:28" ht="12.9">
      <c r="A557" s="24"/>
      <c r="B557" s="143"/>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row>
    <row r="558" spans="1:28" ht="12.9">
      <c r="A558" s="24"/>
      <c r="B558" s="143"/>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row>
    <row r="559" spans="1:28" ht="12.9">
      <c r="A559" s="24"/>
      <c r="B559" s="143"/>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row>
    <row r="560" spans="1:28" ht="12.9">
      <c r="A560" s="24"/>
      <c r="B560" s="143"/>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row>
    <row r="561" spans="1:28" ht="12.9">
      <c r="A561" s="24"/>
      <c r="B561" s="143"/>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row>
    <row r="562" spans="1:28" ht="12.9">
      <c r="A562" s="24"/>
      <c r="B562" s="143"/>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row>
    <row r="563" spans="1:28" ht="12.9">
      <c r="A563" s="24"/>
      <c r="B563" s="143"/>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row>
    <row r="564" spans="1:28" ht="12.9">
      <c r="A564" s="24"/>
      <c r="B564" s="143"/>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row>
    <row r="565" spans="1:28" ht="12.9">
      <c r="A565" s="24"/>
      <c r="B565" s="143"/>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row>
    <row r="566" spans="1:28" ht="12.9">
      <c r="A566" s="24"/>
      <c r="B566" s="143"/>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row>
    <row r="567" spans="1:28" ht="12.9">
      <c r="A567" s="24"/>
      <c r="B567" s="143"/>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row>
    <row r="568" spans="1:28" ht="12.9">
      <c r="A568" s="24"/>
      <c r="B568" s="143"/>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row>
    <row r="569" spans="1:28" ht="12.9">
      <c r="A569" s="24"/>
      <c r="B569" s="143"/>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row>
    <row r="570" spans="1:28" ht="12.9">
      <c r="A570" s="24"/>
      <c r="B570" s="143"/>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row>
    <row r="571" spans="1:28" ht="12.9">
      <c r="A571" s="24"/>
      <c r="B571" s="143"/>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row>
    <row r="572" spans="1:28" ht="12.9">
      <c r="A572" s="24"/>
      <c r="B572" s="143"/>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row>
    <row r="573" spans="1:28" ht="12.9">
      <c r="A573" s="24"/>
      <c r="B573" s="143"/>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row>
    <row r="574" spans="1:28" ht="12.9">
      <c r="A574" s="24"/>
      <c r="B574" s="143"/>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row>
    <row r="575" spans="1:28" ht="12.9">
      <c r="A575" s="24"/>
      <c r="B575" s="143"/>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row>
    <row r="576" spans="1:28" ht="12.9">
      <c r="A576" s="24"/>
      <c r="B576" s="143"/>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row>
    <row r="577" spans="1:28" ht="12.9">
      <c r="A577" s="24"/>
      <c r="B577" s="143"/>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row>
    <row r="578" spans="1:28" ht="12.9">
      <c r="A578" s="24"/>
      <c r="B578" s="143"/>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row>
    <row r="579" spans="1:28" ht="12.9">
      <c r="A579" s="24"/>
      <c r="B579" s="143"/>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row>
    <row r="580" spans="1:28" ht="12.9">
      <c r="A580" s="24"/>
      <c r="B580" s="143"/>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row>
    <row r="581" spans="1:28" ht="12.9">
      <c r="A581" s="24"/>
      <c r="B581" s="143"/>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row>
    <row r="582" spans="1:28" ht="12.9">
      <c r="A582" s="24"/>
      <c r="B582" s="143"/>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row>
    <row r="583" spans="1:28" ht="12.9">
      <c r="A583" s="24"/>
      <c r="B583" s="143"/>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row>
    <row r="584" spans="1:28" ht="12.9">
      <c r="A584" s="24"/>
      <c r="B584" s="143"/>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row>
    <row r="585" spans="1:28" ht="12.9">
      <c r="A585" s="24"/>
      <c r="B585" s="143"/>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row>
    <row r="586" spans="1:28" ht="12.9">
      <c r="A586" s="24"/>
      <c r="B586" s="143"/>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row>
    <row r="587" spans="1:28" ht="12.9">
      <c r="A587" s="24"/>
      <c r="B587" s="143"/>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row>
    <row r="588" spans="1:28" ht="12.9">
      <c r="A588" s="24"/>
      <c r="B588" s="143"/>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row>
    <row r="589" spans="1:28" ht="12.9">
      <c r="A589" s="24"/>
      <c r="B589" s="143"/>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row>
    <row r="590" spans="1:28" ht="12.9">
      <c r="A590" s="24"/>
      <c r="B590" s="143"/>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row>
    <row r="591" spans="1:28" ht="12.9">
      <c r="A591" s="24"/>
      <c r="B591" s="143"/>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row>
    <row r="592" spans="1:28" ht="12.9">
      <c r="A592" s="24"/>
      <c r="B592" s="143"/>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row>
    <row r="593" spans="1:28" ht="12.9">
      <c r="A593" s="24"/>
      <c r="B593" s="143"/>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row>
    <row r="594" spans="1:28" ht="12.9">
      <c r="A594" s="24"/>
      <c r="B594" s="143"/>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row>
    <row r="595" spans="1:28" ht="12.9">
      <c r="A595" s="24"/>
      <c r="B595" s="143"/>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row>
    <row r="596" spans="1:28" ht="12.9">
      <c r="A596" s="24"/>
      <c r="B596" s="143"/>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row>
    <row r="597" spans="1:28" ht="12.9">
      <c r="A597" s="24"/>
      <c r="B597" s="143"/>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row>
    <row r="598" spans="1:28" ht="12.9">
      <c r="A598" s="24"/>
      <c r="B598" s="143"/>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row>
    <row r="599" spans="1:28" ht="12.9">
      <c r="A599" s="24"/>
      <c r="B599" s="143"/>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row>
    <row r="600" spans="1:28" ht="12.9">
      <c r="A600" s="24"/>
      <c r="B600" s="143"/>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row>
    <row r="601" spans="1:28" ht="12.9">
      <c r="A601" s="24"/>
      <c r="B601" s="143"/>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row>
    <row r="602" spans="1:28" ht="12.9">
      <c r="A602" s="24"/>
      <c r="B602" s="143"/>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row>
    <row r="603" spans="1:28" ht="12.9">
      <c r="A603" s="24"/>
      <c r="B603" s="143"/>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row>
    <row r="604" spans="1:28" ht="12.9">
      <c r="A604" s="24"/>
      <c r="B604" s="143"/>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row>
    <row r="605" spans="1:28" ht="12.9">
      <c r="A605" s="24"/>
      <c r="B605" s="143"/>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row>
    <row r="606" spans="1:28" ht="12.9">
      <c r="A606" s="24"/>
      <c r="B606" s="143"/>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row>
    <row r="607" spans="1:28" ht="12.9">
      <c r="A607" s="24"/>
      <c r="B607" s="143"/>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row>
    <row r="608" spans="1:28" ht="12.9">
      <c r="A608" s="24"/>
      <c r="B608" s="143"/>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row>
    <row r="609" spans="1:28" ht="12.9">
      <c r="A609" s="24"/>
      <c r="B609" s="143"/>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row>
    <row r="610" spans="1:28" ht="12.9">
      <c r="A610" s="24"/>
      <c r="B610" s="143"/>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row>
    <row r="611" spans="1:28" ht="12.9">
      <c r="A611" s="24"/>
      <c r="B611" s="143"/>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row>
    <row r="612" spans="1:28" ht="12.9">
      <c r="A612" s="24"/>
      <c r="B612" s="143"/>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row>
    <row r="613" spans="1:28" ht="12.9">
      <c r="A613" s="24"/>
      <c r="B613" s="143"/>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row>
    <row r="614" spans="1:28" ht="12.9">
      <c r="A614" s="24"/>
      <c r="B614" s="143"/>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row>
    <row r="615" spans="1:28" ht="12.9">
      <c r="A615" s="24"/>
      <c r="B615" s="143"/>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row>
    <row r="616" spans="1:28" ht="12.9">
      <c r="A616" s="24"/>
      <c r="B616" s="143"/>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row>
    <row r="617" spans="1:28" ht="12.9">
      <c r="A617" s="24"/>
      <c r="B617" s="143"/>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row>
    <row r="618" spans="1:28" ht="12.9">
      <c r="A618" s="24"/>
      <c r="B618" s="143"/>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row>
    <row r="619" spans="1:28" ht="12.9">
      <c r="A619" s="24"/>
      <c r="B619" s="143"/>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row>
    <row r="620" spans="1:28" ht="12.9">
      <c r="A620" s="24"/>
      <c r="B620" s="143"/>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row>
    <row r="621" spans="1:28" ht="12.9">
      <c r="A621" s="24"/>
      <c r="B621" s="143"/>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row>
    <row r="622" spans="1:28" ht="12.9">
      <c r="A622" s="24"/>
      <c r="B622" s="143"/>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row>
    <row r="623" spans="1:28" ht="12.9">
      <c r="A623" s="24"/>
      <c r="B623" s="143"/>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row>
    <row r="624" spans="1:28" ht="12.9">
      <c r="A624" s="24"/>
      <c r="B624" s="143"/>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row>
    <row r="625" spans="1:28" ht="12.9">
      <c r="A625" s="24"/>
      <c r="B625" s="143"/>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row>
    <row r="626" spans="1:28" ht="12.9">
      <c r="A626" s="24"/>
      <c r="B626" s="143"/>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row>
    <row r="627" spans="1:28" ht="12.9">
      <c r="A627" s="24"/>
      <c r="B627" s="143"/>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row>
    <row r="628" spans="1:28" ht="12.9">
      <c r="A628" s="24"/>
      <c r="B628" s="143"/>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row>
    <row r="629" spans="1:28" ht="12.9">
      <c r="A629" s="24"/>
      <c r="B629" s="143"/>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row>
    <row r="630" spans="1:28" ht="12.9">
      <c r="A630" s="24"/>
      <c r="B630" s="143"/>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row>
    <row r="631" spans="1:28" ht="12.9">
      <c r="A631" s="24"/>
      <c r="B631" s="143"/>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row>
    <row r="632" spans="1:28" ht="12.9">
      <c r="A632" s="24"/>
      <c r="B632" s="143"/>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row>
    <row r="633" spans="1:28" ht="12.9">
      <c r="A633" s="24"/>
      <c r="B633" s="143"/>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row>
    <row r="634" spans="1:28" ht="12.9">
      <c r="A634" s="24"/>
      <c r="B634" s="143"/>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row>
    <row r="635" spans="1:28" ht="12.9">
      <c r="A635" s="24"/>
      <c r="B635" s="143"/>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row>
    <row r="636" spans="1:28" ht="12.9">
      <c r="A636" s="24"/>
      <c r="B636" s="143"/>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row>
    <row r="637" spans="1:28" ht="12.9">
      <c r="A637" s="24"/>
      <c r="B637" s="143"/>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row>
    <row r="638" spans="1:28" ht="12.9">
      <c r="A638" s="24"/>
      <c r="B638" s="143"/>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row>
    <row r="639" spans="1:28" ht="12.9">
      <c r="A639" s="24"/>
      <c r="B639" s="143"/>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row>
    <row r="640" spans="1:28" ht="12.9">
      <c r="A640" s="24"/>
      <c r="B640" s="143"/>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row>
    <row r="641" spans="1:28" ht="12.9">
      <c r="A641" s="24"/>
      <c r="B641" s="143"/>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row>
    <row r="642" spans="1:28" ht="12.9">
      <c r="A642" s="24"/>
      <c r="B642" s="143"/>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row>
    <row r="643" spans="1:28" ht="12.9">
      <c r="A643" s="24"/>
      <c r="B643" s="143"/>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row>
    <row r="644" spans="1:28" ht="12.9">
      <c r="A644" s="24"/>
      <c r="B644" s="143"/>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row>
    <row r="645" spans="1:28" ht="12.9">
      <c r="A645" s="24"/>
      <c r="B645" s="143"/>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row>
    <row r="646" spans="1:28" ht="12.9">
      <c r="A646" s="24"/>
      <c r="B646" s="143"/>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row>
    <row r="647" spans="1:28" ht="12.9">
      <c r="A647" s="24"/>
      <c r="B647" s="143"/>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row>
    <row r="648" spans="1:28" ht="12.9">
      <c r="A648" s="24"/>
      <c r="B648" s="143"/>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row>
    <row r="649" spans="1:28" ht="12.9">
      <c r="A649" s="24"/>
      <c r="B649" s="143"/>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row>
    <row r="650" spans="1:28" ht="12.9">
      <c r="A650" s="24"/>
      <c r="B650" s="143"/>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row>
    <row r="651" spans="1:28" ht="12.9">
      <c r="A651" s="24"/>
      <c r="B651" s="143"/>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row>
    <row r="652" spans="1:28" ht="12.9">
      <c r="A652" s="24"/>
      <c r="B652" s="143"/>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row>
    <row r="653" spans="1:28" ht="12.9">
      <c r="A653" s="24"/>
      <c r="B653" s="143"/>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row>
    <row r="654" spans="1:28" ht="12.9">
      <c r="A654" s="24"/>
      <c r="B654" s="143"/>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row>
    <row r="655" spans="1:28" ht="12.9">
      <c r="A655" s="24"/>
      <c r="B655" s="143"/>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row>
    <row r="656" spans="1:28" ht="12.9">
      <c r="A656" s="24"/>
      <c r="B656" s="143"/>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row>
    <row r="657" spans="1:28" ht="12.9">
      <c r="A657" s="24"/>
      <c r="B657" s="143"/>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row>
    <row r="658" spans="1:28" ht="12.9">
      <c r="A658" s="24"/>
      <c r="B658" s="143"/>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row>
    <row r="659" spans="1:28" ht="12.9">
      <c r="A659" s="24"/>
      <c r="B659" s="143"/>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row>
    <row r="660" spans="1:28" ht="12.9">
      <c r="A660" s="24"/>
      <c r="B660" s="143"/>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row>
    <row r="661" spans="1:28" ht="12.9">
      <c r="A661" s="24"/>
      <c r="B661" s="143"/>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row>
    <row r="662" spans="1:28" ht="12.9">
      <c r="A662" s="24"/>
      <c r="B662" s="143"/>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row>
    <row r="663" spans="1:28" ht="12.9">
      <c r="A663" s="24"/>
      <c r="B663" s="143"/>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row>
    <row r="664" spans="1:28" ht="12.9">
      <c r="A664" s="24"/>
      <c r="B664" s="143"/>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row>
    <row r="665" spans="1:28" ht="12.9">
      <c r="A665" s="24"/>
      <c r="B665" s="143"/>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row>
    <row r="666" spans="1:28" ht="12.9">
      <c r="A666" s="24"/>
      <c r="B666" s="143"/>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row>
    <row r="667" spans="1:28" ht="12.9">
      <c r="A667" s="24"/>
      <c r="B667" s="143"/>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row>
    <row r="668" spans="1:28" ht="12.9">
      <c r="A668" s="24"/>
      <c r="B668" s="143"/>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row>
    <row r="669" spans="1:28" ht="12.9">
      <c r="A669" s="24"/>
      <c r="B669" s="143"/>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row>
    <row r="670" spans="1:28" ht="12.9">
      <c r="A670" s="24"/>
      <c r="B670" s="143"/>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row>
    <row r="671" spans="1:28" ht="12.9">
      <c r="A671" s="24"/>
      <c r="B671" s="143"/>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row>
    <row r="672" spans="1:28" ht="12.9">
      <c r="A672" s="24"/>
      <c r="B672" s="143"/>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row>
    <row r="673" spans="1:28" ht="12.9">
      <c r="A673" s="24"/>
      <c r="B673" s="143"/>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row>
    <row r="674" spans="1:28" ht="12.9">
      <c r="A674" s="24"/>
      <c r="B674" s="143"/>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row>
    <row r="675" spans="1:28" ht="12.9">
      <c r="A675" s="24"/>
      <c r="B675" s="143"/>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row>
    <row r="676" spans="1:28" ht="12.9">
      <c r="A676" s="24"/>
      <c r="B676" s="143"/>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row>
    <row r="677" spans="1:28" ht="12.9">
      <c r="A677" s="24"/>
      <c r="B677" s="143"/>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row>
    <row r="678" spans="1:28" ht="12.9">
      <c r="A678" s="24"/>
      <c r="B678" s="143"/>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row>
    <row r="679" spans="1:28" ht="12.9">
      <c r="A679" s="24"/>
      <c r="B679" s="143"/>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row>
    <row r="680" spans="1:28" ht="12.9">
      <c r="A680" s="24"/>
      <c r="B680" s="143"/>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row>
    <row r="681" spans="1:28" ht="12.9">
      <c r="A681" s="24"/>
      <c r="B681" s="143"/>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row>
    <row r="682" spans="1:28" ht="12.9">
      <c r="A682" s="24"/>
      <c r="B682" s="143"/>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row>
    <row r="683" spans="1:28" ht="12.9">
      <c r="A683" s="24"/>
      <c r="B683" s="143"/>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row>
    <row r="684" spans="1:28" ht="12.9">
      <c r="A684" s="24"/>
      <c r="B684" s="143"/>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row>
    <row r="685" spans="1:28" ht="12.9">
      <c r="A685" s="24"/>
      <c r="B685" s="143"/>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row>
    <row r="686" spans="1:28" ht="12.9">
      <c r="A686" s="24"/>
      <c r="B686" s="143"/>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row>
    <row r="687" spans="1:28" ht="12.9">
      <c r="A687" s="24"/>
      <c r="B687" s="143"/>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row>
    <row r="688" spans="1:28" ht="12.9">
      <c r="A688" s="24"/>
      <c r="B688" s="143"/>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row>
    <row r="689" spans="1:28" ht="12.9">
      <c r="A689" s="24"/>
      <c r="B689" s="143"/>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row>
    <row r="690" spans="1:28" ht="12.9">
      <c r="A690" s="24"/>
      <c r="B690" s="143"/>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row>
    <row r="691" spans="1:28" ht="12.9">
      <c r="A691" s="24"/>
      <c r="B691" s="143"/>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row>
    <row r="692" spans="1:28" ht="12.9">
      <c r="A692" s="24"/>
      <c r="B692" s="143"/>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row>
    <row r="693" spans="1:28" ht="12.9">
      <c r="A693" s="24"/>
      <c r="B693" s="143"/>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row>
    <row r="694" spans="1:28" ht="12.9">
      <c r="A694" s="24"/>
      <c r="B694" s="143"/>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row>
    <row r="695" spans="1:28" ht="12.9">
      <c r="A695" s="24"/>
      <c r="B695" s="143"/>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row>
    <row r="696" spans="1:28" ht="12.9">
      <c r="A696" s="24"/>
      <c r="B696" s="143"/>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row>
    <row r="697" spans="1:28" ht="12.9">
      <c r="A697" s="24"/>
      <c r="B697" s="143"/>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row>
    <row r="698" spans="1:28" ht="12.9">
      <c r="A698" s="24"/>
      <c r="B698" s="143"/>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row>
    <row r="699" spans="1:28" ht="12.9">
      <c r="A699" s="24"/>
      <c r="B699" s="143"/>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row>
    <row r="700" spans="1:28" ht="12.9">
      <c r="A700" s="24"/>
      <c r="B700" s="143"/>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row>
    <row r="701" spans="1:28" ht="12.9">
      <c r="A701" s="24"/>
      <c r="B701" s="143"/>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row>
    <row r="702" spans="1:28" ht="12.9">
      <c r="A702" s="24"/>
      <c r="B702" s="143"/>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row>
    <row r="703" spans="1:28" ht="12.9">
      <c r="A703" s="24"/>
      <c r="B703" s="143"/>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row>
    <row r="704" spans="1:28" ht="12.9">
      <c r="A704" s="24"/>
      <c r="B704" s="143"/>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row>
    <row r="705" spans="1:28" ht="12.9">
      <c r="A705" s="24"/>
      <c r="B705" s="143"/>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row>
    <row r="706" spans="1:28" ht="12.9">
      <c r="A706" s="24"/>
      <c r="B706" s="143"/>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row>
    <row r="707" spans="1:28" ht="12.9">
      <c r="A707" s="24"/>
      <c r="B707" s="143"/>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row>
    <row r="708" spans="1:28" ht="12.9">
      <c r="A708" s="24"/>
      <c r="B708" s="143"/>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row>
    <row r="709" spans="1:28" ht="12.9">
      <c r="A709" s="24"/>
      <c r="B709" s="143"/>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row>
    <row r="710" spans="1:28" ht="12.9">
      <c r="A710" s="24"/>
      <c r="B710" s="143"/>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row>
    <row r="711" spans="1:28" ht="12.9">
      <c r="A711" s="24"/>
      <c r="B711" s="143"/>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row>
    <row r="712" spans="1:28" ht="12.9">
      <c r="A712" s="24"/>
      <c r="B712" s="143"/>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row>
    <row r="713" spans="1:28" ht="12.9">
      <c r="A713" s="24"/>
      <c r="B713" s="143"/>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row>
    <row r="714" spans="1:28" ht="12.9">
      <c r="A714" s="24"/>
      <c r="B714" s="143"/>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row>
    <row r="715" spans="1:28" ht="12.9">
      <c r="A715" s="24"/>
      <c r="B715" s="143"/>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row>
    <row r="716" spans="1:28" ht="12.9">
      <c r="A716" s="24"/>
      <c r="B716" s="143"/>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row>
    <row r="717" spans="1:28" ht="12.9">
      <c r="A717" s="24"/>
      <c r="B717" s="143"/>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row>
    <row r="718" spans="1:28" ht="12.9">
      <c r="A718" s="24"/>
      <c r="B718" s="143"/>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row>
    <row r="719" spans="1:28" ht="12.9">
      <c r="A719" s="24"/>
      <c r="B719" s="143"/>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row>
    <row r="720" spans="1:28" ht="12.9">
      <c r="A720" s="24"/>
      <c r="B720" s="143"/>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row>
    <row r="721" spans="1:28" ht="12.9">
      <c r="A721" s="24"/>
      <c r="B721" s="143"/>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row>
    <row r="722" spans="1:28" ht="12.9">
      <c r="A722" s="24"/>
      <c r="B722" s="143"/>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row>
    <row r="723" spans="1:28" ht="12.9">
      <c r="A723" s="24"/>
      <c r="B723" s="143"/>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row>
    <row r="724" spans="1:28" ht="12.9">
      <c r="A724" s="24"/>
      <c r="B724" s="143"/>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row>
    <row r="725" spans="1:28" ht="12.9">
      <c r="A725" s="24"/>
      <c r="B725" s="143"/>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row>
    <row r="726" spans="1:28" ht="12.9">
      <c r="A726" s="24"/>
      <c r="B726" s="143"/>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row>
    <row r="727" spans="1:28" ht="12.9">
      <c r="A727" s="24"/>
      <c r="B727" s="143"/>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row>
    <row r="728" spans="1:28" ht="12.9">
      <c r="A728" s="24"/>
      <c r="B728" s="143"/>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row>
    <row r="729" spans="1:28" ht="12.9">
      <c r="A729" s="24"/>
      <c r="B729" s="143"/>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row>
    <row r="730" spans="1:28" ht="12.9">
      <c r="A730" s="24"/>
      <c r="B730" s="143"/>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row>
    <row r="731" spans="1:28" ht="12.9">
      <c r="A731" s="24"/>
      <c r="B731" s="143"/>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row>
    <row r="732" spans="1:28" ht="12.9">
      <c r="A732" s="24"/>
      <c r="B732" s="143"/>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row>
    <row r="733" spans="1:28" ht="12.9">
      <c r="A733" s="24"/>
      <c r="B733" s="143"/>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row>
    <row r="734" spans="1:28" ht="12.9">
      <c r="A734" s="24"/>
      <c r="B734" s="143"/>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row>
    <row r="735" spans="1:28" ht="12.9">
      <c r="A735" s="24"/>
      <c r="B735" s="143"/>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row>
    <row r="736" spans="1:28" ht="12.9">
      <c r="A736" s="24"/>
      <c r="B736" s="143"/>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row>
    <row r="737" spans="1:28" ht="12.9">
      <c r="A737" s="24"/>
      <c r="B737" s="143"/>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row>
    <row r="738" spans="1:28" ht="12.9">
      <c r="A738" s="24"/>
      <c r="B738" s="143"/>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row>
    <row r="739" spans="1:28" ht="12.9">
      <c r="A739" s="24"/>
      <c r="B739" s="143"/>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row>
    <row r="740" spans="1:28" ht="12.9">
      <c r="A740" s="24"/>
      <c r="B740" s="143"/>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row>
    <row r="741" spans="1:28" ht="12.9">
      <c r="A741" s="24"/>
      <c r="B741" s="143"/>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row>
    <row r="742" spans="1:28" ht="12.9">
      <c r="A742" s="24"/>
      <c r="B742" s="143"/>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row>
    <row r="743" spans="1:28" ht="12.9">
      <c r="A743" s="24"/>
      <c r="B743" s="143"/>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row>
    <row r="744" spans="1:28" ht="12.9">
      <c r="A744" s="24"/>
      <c r="B744" s="143"/>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row>
    <row r="745" spans="1:28" ht="12.9">
      <c r="A745" s="24"/>
      <c r="B745" s="143"/>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row>
    <row r="746" spans="1:28" ht="12.9">
      <c r="A746" s="24"/>
      <c r="B746" s="143"/>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row>
    <row r="747" spans="1:28" ht="12.9">
      <c r="A747" s="24"/>
      <c r="B747" s="143"/>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row>
    <row r="748" spans="1:28" ht="12.9">
      <c r="A748" s="24"/>
      <c r="B748" s="143"/>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row>
    <row r="749" spans="1:28" ht="12.9">
      <c r="A749" s="24"/>
      <c r="B749" s="143"/>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row>
    <row r="750" spans="1:28" ht="12.9">
      <c r="A750" s="24"/>
      <c r="B750" s="143"/>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row>
    <row r="751" spans="1:28" ht="12.9">
      <c r="A751" s="24"/>
      <c r="B751" s="143"/>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row>
    <row r="752" spans="1:28" ht="12.9">
      <c r="A752" s="24"/>
      <c r="B752" s="143"/>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row>
    <row r="753" spans="1:28" ht="12.9">
      <c r="A753" s="24"/>
      <c r="B753" s="143"/>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row>
    <row r="754" spans="1:28" ht="12.9">
      <c r="A754" s="24"/>
      <c r="B754" s="143"/>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row>
    <row r="755" spans="1:28" ht="12.9">
      <c r="A755" s="24"/>
      <c r="B755" s="143"/>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row>
    <row r="756" spans="1:28" ht="12.9">
      <c r="A756" s="24"/>
      <c r="B756" s="143"/>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row>
    <row r="757" spans="1:28" ht="12.9">
      <c r="A757" s="24"/>
      <c r="B757" s="143"/>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row>
    <row r="758" spans="1:28" ht="12.9">
      <c r="A758" s="24"/>
      <c r="B758" s="143"/>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row>
    <row r="759" spans="1:28" ht="12.9">
      <c r="A759" s="24"/>
      <c r="B759" s="143"/>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row>
    <row r="760" spans="1:28" ht="12.9">
      <c r="A760" s="24"/>
      <c r="B760" s="143"/>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row>
    <row r="761" spans="1:28" ht="12.9">
      <c r="A761" s="24"/>
      <c r="B761" s="143"/>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row>
    <row r="762" spans="1:28" ht="12.9">
      <c r="A762" s="24"/>
      <c r="B762" s="143"/>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row>
    <row r="763" spans="1:28" ht="12.9">
      <c r="A763" s="24"/>
      <c r="B763" s="143"/>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row>
    <row r="764" spans="1:28" ht="12.9">
      <c r="A764" s="24"/>
      <c r="B764" s="143"/>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row>
    <row r="765" spans="1:28" ht="12.9">
      <c r="A765" s="24"/>
      <c r="B765" s="143"/>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row>
    <row r="766" spans="1:28" ht="12.9">
      <c r="A766" s="24"/>
      <c r="B766" s="143"/>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row>
    <row r="767" spans="1:28" ht="12.9">
      <c r="A767" s="24"/>
      <c r="B767" s="143"/>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row>
    <row r="768" spans="1:28" ht="12.9">
      <c r="A768" s="24"/>
      <c r="B768" s="143"/>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row>
    <row r="769" spans="1:28" ht="12.9">
      <c r="A769" s="24"/>
      <c r="B769" s="143"/>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row>
    <row r="770" spans="1:28" ht="12.9">
      <c r="A770" s="24"/>
      <c r="B770" s="143"/>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row>
    <row r="771" spans="1:28" ht="12.9">
      <c r="A771" s="24"/>
      <c r="B771" s="143"/>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row>
    <row r="772" spans="1:28" ht="12.9">
      <c r="A772" s="24"/>
      <c r="B772" s="143"/>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row>
    <row r="773" spans="1:28" ht="12.9">
      <c r="A773" s="24"/>
      <c r="B773" s="143"/>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row>
    <row r="774" spans="1:28" ht="12.9">
      <c r="A774" s="24"/>
      <c r="B774" s="143"/>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row>
    <row r="775" spans="1:28" ht="12.9">
      <c r="A775" s="24"/>
      <c r="B775" s="143"/>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row>
    <row r="776" spans="1:28" ht="12.9">
      <c r="A776" s="24"/>
      <c r="B776" s="143"/>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row>
    <row r="777" spans="1:28" ht="12.9">
      <c r="A777" s="24"/>
      <c r="B777" s="143"/>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row>
    <row r="778" spans="1:28" ht="12.9">
      <c r="A778" s="24"/>
      <c r="B778" s="143"/>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row>
    <row r="779" spans="1:28" ht="12.9">
      <c r="A779" s="24"/>
      <c r="B779" s="143"/>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row>
    <row r="780" spans="1:28" ht="12.9">
      <c r="A780" s="24"/>
      <c r="B780" s="143"/>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row>
    <row r="781" spans="1:28" ht="12.9">
      <c r="A781" s="24"/>
      <c r="B781" s="143"/>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row>
    <row r="782" spans="1:28" ht="12.9">
      <c r="A782" s="24"/>
      <c r="B782" s="143"/>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row>
    <row r="783" spans="1:28" ht="12.9">
      <c r="A783" s="24"/>
      <c r="B783" s="143"/>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row>
    <row r="784" spans="1:28" ht="12.9">
      <c r="A784" s="24"/>
      <c r="B784" s="143"/>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row>
    <row r="785" spans="1:28" ht="12.9">
      <c r="A785" s="24"/>
      <c r="B785" s="143"/>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row>
    <row r="786" spans="1:28" ht="12.9">
      <c r="A786" s="24"/>
      <c r="B786" s="143"/>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row>
    <row r="787" spans="1:28" ht="12.9">
      <c r="A787" s="24"/>
      <c r="B787" s="143"/>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row>
    <row r="788" spans="1:28" ht="12.9">
      <c r="A788" s="24"/>
      <c r="B788" s="143"/>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row>
    <row r="789" spans="1:28" ht="12.9">
      <c r="A789" s="24"/>
      <c r="B789" s="143"/>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row>
    <row r="790" spans="1:28" ht="12.9">
      <c r="A790" s="24"/>
      <c r="B790" s="143"/>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row>
    <row r="791" spans="1:28" ht="12.9">
      <c r="A791" s="24"/>
      <c r="B791" s="143"/>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row>
    <row r="792" spans="1:28" ht="12.9">
      <c r="A792" s="24"/>
      <c r="B792" s="143"/>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row>
    <row r="793" spans="1:28" ht="12.9">
      <c r="A793" s="24"/>
      <c r="B793" s="143"/>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row>
    <row r="794" spans="1:28" ht="12.9">
      <c r="A794" s="24"/>
      <c r="B794" s="143"/>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row>
    <row r="795" spans="1:28" ht="12.9">
      <c r="A795" s="24"/>
      <c r="B795" s="143"/>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row>
    <row r="796" spans="1:28" ht="12.9">
      <c r="A796" s="24"/>
      <c r="B796" s="143"/>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row>
    <row r="797" spans="1:28" ht="12.9">
      <c r="A797" s="24"/>
      <c r="B797" s="143"/>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row>
    <row r="798" spans="1:28" ht="12.9">
      <c r="A798" s="24"/>
      <c r="B798" s="143"/>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row>
    <row r="799" spans="1:28" ht="12.9">
      <c r="A799" s="24"/>
      <c r="B799" s="143"/>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row>
    <row r="800" spans="1:28" ht="12.9">
      <c r="A800" s="24"/>
      <c r="B800" s="143"/>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row>
    <row r="801" spans="1:28" ht="12.9">
      <c r="A801" s="24"/>
      <c r="B801" s="143"/>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row>
    <row r="802" spans="1:28" ht="12.9">
      <c r="A802" s="24"/>
      <c r="B802" s="143"/>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row>
    <row r="803" spans="1:28" ht="12.9">
      <c r="A803" s="24"/>
      <c r="B803" s="143"/>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row>
    <row r="804" spans="1:28" ht="12.9">
      <c r="A804" s="24"/>
      <c r="B804" s="143"/>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row>
    <row r="805" spans="1:28" ht="12.9">
      <c r="A805" s="24"/>
      <c r="B805" s="143"/>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row>
    <row r="806" spans="1:28" ht="12.9">
      <c r="A806" s="24"/>
      <c r="B806" s="143"/>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row>
    <row r="807" spans="1:28" ht="12.9">
      <c r="A807" s="24"/>
      <c r="B807" s="143"/>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row>
    <row r="808" spans="1:28" ht="12.9">
      <c r="A808" s="24"/>
      <c r="B808" s="143"/>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row>
    <row r="809" spans="1:28" ht="12.9">
      <c r="A809" s="24"/>
      <c r="B809" s="143"/>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row>
    <row r="810" spans="1:28" ht="12.9">
      <c r="A810" s="24"/>
      <c r="B810" s="143"/>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row>
    <row r="811" spans="1:28" ht="12.9">
      <c r="A811" s="24"/>
      <c r="B811" s="143"/>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row>
    <row r="812" spans="1:28" ht="12.9">
      <c r="A812" s="24"/>
      <c r="B812" s="143"/>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row>
    <row r="813" spans="1:28" ht="12.9">
      <c r="A813" s="24"/>
      <c r="B813" s="143"/>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row>
    <row r="814" spans="1:28" ht="12.9">
      <c r="A814" s="24"/>
      <c r="B814" s="143"/>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row>
    <row r="815" spans="1:28" ht="12.9">
      <c r="A815" s="24"/>
      <c r="B815" s="143"/>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row>
    <row r="816" spans="1:28" ht="12.9">
      <c r="A816" s="24"/>
      <c r="B816" s="143"/>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row>
    <row r="817" spans="1:28" ht="12.9">
      <c r="A817" s="24"/>
      <c r="B817" s="143"/>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row>
    <row r="818" spans="1:28" ht="12.9">
      <c r="A818" s="24"/>
      <c r="B818" s="143"/>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row>
    <row r="819" spans="1:28" ht="12.9">
      <c r="A819" s="24"/>
      <c r="B819" s="143"/>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row>
    <row r="820" spans="1:28" ht="12.9">
      <c r="A820" s="24"/>
      <c r="B820" s="143"/>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row>
    <row r="821" spans="1:28" ht="12.9">
      <c r="A821" s="24"/>
      <c r="B821" s="143"/>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row>
    <row r="822" spans="1:28" ht="12.9">
      <c r="A822" s="24"/>
      <c r="B822" s="143"/>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row>
    <row r="823" spans="1:28" ht="12.9">
      <c r="A823" s="24"/>
      <c r="B823" s="143"/>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row>
    <row r="824" spans="1:28" ht="12.9">
      <c r="A824" s="24"/>
      <c r="B824" s="143"/>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row>
    <row r="825" spans="1:28" ht="12.9">
      <c r="A825" s="24"/>
      <c r="B825" s="143"/>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row>
    <row r="826" spans="1:28" ht="12.9">
      <c r="A826" s="24"/>
      <c r="B826" s="143"/>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row>
    <row r="827" spans="1:28" ht="12.9">
      <c r="A827" s="24"/>
      <c r="B827" s="143"/>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row>
    <row r="828" spans="1:28" ht="12.9">
      <c r="A828" s="24"/>
      <c r="B828" s="143"/>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row>
    <row r="829" spans="1:28" ht="12.9">
      <c r="A829" s="24"/>
      <c r="B829" s="143"/>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row>
    <row r="830" spans="1:28" ht="12.9">
      <c r="A830" s="24"/>
      <c r="B830" s="143"/>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row>
    <row r="831" spans="1:28" ht="12.9">
      <c r="A831" s="24"/>
      <c r="B831" s="143"/>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row>
    <row r="832" spans="1:28" ht="12.9">
      <c r="A832" s="24"/>
      <c r="B832" s="143"/>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row>
    <row r="833" spans="1:28" ht="12.9">
      <c r="A833" s="24"/>
      <c r="B833" s="143"/>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row>
    <row r="834" spans="1:28" ht="12.9">
      <c r="A834" s="24"/>
      <c r="B834" s="143"/>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row>
    <row r="835" spans="1:28" ht="12.9">
      <c r="A835" s="24"/>
      <c r="B835" s="143"/>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row>
    <row r="836" spans="1:28" ht="12.9">
      <c r="A836" s="24"/>
      <c r="B836" s="143"/>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row>
    <row r="837" spans="1:28" ht="12.9">
      <c r="A837" s="24"/>
      <c r="B837" s="143"/>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row>
    <row r="838" spans="1:28" ht="12.9">
      <c r="A838" s="24"/>
      <c r="B838" s="143"/>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row>
    <row r="839" spans="1:28" ht="12.9">
      <c r="A839" s="24"/>
      <c r="B839" s="143"/>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row>
    <row r="840" spans="1:28" ht="12.9">
      <c r="A840" s="24"/>
      <c r="B840" s="143"/>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row>
    <row r="841" spans="1:28" ht="12.9">
      <c r="A841" s="24"/>
      <c r="B841" s="143"/>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row>
    <row r="842" spans="1:28" ht="12.9">
      <c r="A842" s="24"/>
      <c r="B842" s="143"/>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row>
    <row r="843" spans="1:28" ht="12.9">
      <c r="A843" s="24"/>
      <c r="B843" s="143"/>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row>
    <row r="844" spans="1:28" ht="12.9">
      <c r="A844" s="24"/>
      <c r="B844" s="143"/>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row>
    <row r="845" spans="1:28" ht="12.9">
      <c r="A845" s="24"/>
      <c r="B845" s="143"/>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row>
    <row r="846" spans="1:28" ht="12.9">
      <c r="A846" s="24"/>
      <c r="B846" s="143"/>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row>
    <row r="847" spans="1:28" ht="12.9">
      <c r="A847" s="24"/>
      <c r="B847" s="143"/>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row>
    <row r="848" spans="1:28" ht="12.9">
      <c r="A848" s="24"/>
      <c r="B848" s="143"/>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row>
    <row r="849" spans="1:28" ht="12.9">
      <c r="A849" s="24"/>
      <c r="B849" s="143"/>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row>
    <row r="850" spans="1:28" ht="12.9">
      <c r="A850" s="24"/>
      <c r="B850" s="143"/>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row>
    <row r="851" spans="1:28" ht="12.9">
      <c r="A851" s="24"/>
      <c r="B851" s="143"/>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row>
    <row r="852" spans="1:28" ht="12.9">
      <c r="A852" s="24"/>
      <c r="B852" s="143"/>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row>
    <row r="853" spans="1:28" ht="12.9">
      <c r="A853" s="24"/>
      <c r="B853" s="143"/>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row>
    <row r="854" spans="1:28" ht="12.9">
      <c r="A854" s="24"/>
      <c r="B854" s="143"/>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row>
    <row r="855" spans="1:28" ht="12.9">
      <c r="A855" s="24"/>
      <c r="B855" s="143"/>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row>
    <row r="856" spans="1:28" ht="12.9">
      <c r="A856" s="24"/>
      <c r="B856" s="143"/>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row>
    <row r="857" spans="1:28" ht="12.9">
      <c r="A857" s="24"/>
      <c r="B857" s="143"/>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row>
    <row r="858" spans="1:28" ht="12.9">
      <c r="A858" s="24"/>
      <c r="B858" s="143"/>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row>
    <row r="859" spans="1:28" ht="12.9">
      <c r="A859" s="24"/>
      <c r="B859" s="143"/>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row>
    <row r="860" spans="1:28" ht="12.9">
      <c r="A860" s="24"/>
      <c r="B860" s="143"/>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row>
    <row r="861" spans="1:28" ht="12.9">
      <c r="A861" s="24"/>
      <c r="B861" s="143"/>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row>
    <row r="862" spans="1:28" ht="12.9">
      <c r="A862" s="24"/>
      <c r="B862" s="143"/>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row>
    <row r="863" spans="1:28" ht="12.9">
      <c r="A863" s="24"/>
      <c r="B863" s="143"/>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row>
    <row r="864" spans="1:28" ht="12.9">
      <c r="A864" s="24"/>
      <c r="B864" s="143"/>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row>
    <row r="865" spans="1:28" ht="12.9">
      <c r="A865" s="24"/>
      <c r="B865" s="143"/>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row>
    <row r="866" spans="1:28" ht="12.9">
      <c r="A866" s="24"/>
      <c r="B866" s="143"/>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row>
    <row r="867" spans="1:28" ht="12.9">
      <c r="A867" s="24"/>
      <c r="B867" s="143"/>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row>
    <row r="868" spans="1:28" ht="12.9">
      <c r="A868" s="24"/>
      <c r="B868" s="143"/>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row>
    <row r="869" spans="1:28" ht="12.9">
      <c r="A869" s="24"/>
      <c r="B869" s="143"/>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row>
    <row r="870" spans="1:28" ht="12.9">
      <c r="A870" s="24"/>
      <c r="B870" s="143"/>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row>
    <row r="871" spans="1:28" ht="12.9">
      <c r="A871" s="24"/>
      <c r="B871" s="143"/>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row>
    <row r="872" spans="1:28" ht="12.9">
      <c r="A872" s="24"/>
      <c r="B872" s="143"/>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row>
    <row r="873" spans="1:28" ht="12.9">
      <c r="A873" s="24"/>
      <c r="B873" s="143"/>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row>
    <row r="874" spans="1:28" ht="12.9">
      <c r="A874" s="24"/>
      <c r="B874" s="143"/>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row>
    <row r="875" spans="1:28" ht="12.9">
      <c r="A875" s="24"/>
      <c r="B875" s="143"/>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row>
    <row r="876" spans="1:28" ht="12.9">
      <c r="A876" s="24"/>
      <c r="B876" s="143"/>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row>
    <row r="877" spans="1:28" ht="12.9">
      <c r="A877" s="24"/>
      <c r="B877" s="143"/>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row>
    <row r="878" spans="1:28" ht="12.9">
      <c r="A878" s="24"/>
      <c r="B878" s="143"/>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row>
    <row r="879" spans="1:28" ht="12.9">
      <c r="A879" s="24"/>
      <c r="B879" s="143"/>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row>
    <row r="880" spans="1:28" ht="12.9">
      <c r="A880" s="24"/>
      <c r="B880" s="143"/>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row>
    <row r="881" spans="1:28" ht="12.9">
      <c r="A881" s="24"/>
      <c r="B881" s="143"/>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row>
    <row r="882" spans="1:28" ht="12.9">
      <c r="A882" s="24"/>
      <c r="B882" s="143"/>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row>
    <row r="883" spans="1:28" ht="12.9">
      <c r="A883" s="24"/>
      <c r="B883" s="143"/>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row>
    <row r="884" spans="1:28" ht="12.9">
      <c r="A884" s="24"/>
      <c r="B884" s="143"/>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row>
    <row r="885" spans="1:28" ht="12.9">
      <c r="A885" s="24"/>
      <c r="B885" s="143"/>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row>
    <row r="886" spans="1:28" ht="12.9">
      <c r="A886" s="24"/>
      <c r="B886" s="143"/>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row>
    <row r="887" spans="1:28" ht="12.9">
      <c r="A887" s="24"/>
      <c r="B887" s="143"/>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row>
    <row r="888" spans="1:28" ht="12.9">
      <c r="A888" s="24"/>
      <c r="B888" s="143"/>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row>
    <row r="889" spans="1:28" ht="12.9">
      <c r="A889" s="24"/>
      <c r="B889" s="143"/>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row>
    <row r="890" spans="1:28" ht="12.9">
      <c r="A890" s="24"/>
      <c r="B890" s="143"/>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row>
    <row r="891" spans="1:28" ht="12.9">
      <c r="A891" s="24"/>
      <c r="B891" s="143"/>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row>
    <row r="892" spans="1:28" ht="12.9">
      <c r="A892" s="24"/>
      <c r="B892" s="143"/>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row>
    <row r="893" spans="1:28" ht="12.9">
      <c r="A893" s="24"/>
      <c r="B893" s="143"/>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row>
    <row r="894" spans="1:28" ht="12.9">
      <c r="A894" s="24"/>
      <c r="B894" s="143"/>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row>
    <row r="895" spans="1:28" ht="12.9">
      <c r="A895" s="24"/>
      <c r="B895" s="143"/>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row>
    <row r="896" spans="1:28" ht="12.9">
      <c r="A896" s="24"/>
      <c r="B896" s="143"/>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row>
    <row r="897" spans="1:28" ht="12.9">
      <c r="A897" s="24"/>
      <c r="B897" s="143"/>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row>
    <row r="898" spans="1:28" ht="12.9">
      <c r="A898" s="24"/>
      <c r="B898" s="143"/>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row>
    <row r="899" spans="1:28" ht="12.9">
      <c r="A899" s="24"/>
      <c r="B899" s="143"/>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row>
    <row r="900" spans="1:28" ht="12.9">
      <c r="A900" s="24"/>
      <c r="B900" s="143"/>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row>
    <row r="901" spans="1:28" ht="12.9">
      <c r="A901" s="24"/>
      <c r="B901" s="143"/>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row>
    <row r="902" spans="1:28" ht="12.9">
      <c r="A902" s="24"/>
      <c r="B902" s="143"/>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row>
    <row r="903" spans="1:28" ht="12.9">
      <c r="A903" s="24"/>
      <c r="B903" s="143"/>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row>
    <row r="904" spans="1:28" ht="12.9">
      <c r="A904" s="24"/>
      <c r="B904" s="143"/>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row>
    <row r="905" spans="1:28" ht="12.9">
      <c r="A905" s="24"/>
      <c r="B905" s="143"/>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row>
    <row r="906" spans="1:28" ht="12.9">
      <c r="A906" s="24"/>
      <c r="B906" s="143"/>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row>
    <row r="907" spans="1:28" ht="12.9">
      <c r="A907" s="24"/>
      <c r="B907" s="143"/>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row>
    <row r="908" spans="1:28" ht="12.9">
      <c r="A908" s="24"/>
      <c r="B908" s="143"/>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row>
    <row r="909" spans="1:28" ht="12.9">
      <c r="A909" s="24"/>
      <c r="B909" s="143"/>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row>
    <row r="910" spans="1:28" ht="12.9">
      <c r="A910" s="24"/>
      <c r="B910" s="143"/>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row>
    <row r="911" spans="1:28" ht="12.9">
      <c r="A911" s="24"/>
      <c r="B911" s="143"/>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row>
    <row r="912" spans="1:28" ht="12.9">
      <c r="A912" s="24"/>
      <c r="B912" s="143"/>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row>
    <row r="913" spans="1:28" ht="12.9">
      <c r="A913" s="24"/>
      <c r="B913" s="143"/>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row>
    <row r="914" spans="1:28" ht="12.9">
      <c r="A914" s="24"/>
      <c r="B914" s="143"/>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row>
    <row r="915" spans="1:28" ht="12.9">
      <c r="A915" s="24"/>
      <c r="B915" s="143"/>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row>
    <row r="916" spans="1:28" ht="12.9">
      <c r="A916" s="24"/>
      <c r="B916" s="143"/>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row>
    <row r="917" spans="1:28" ht="12.9">
      <c r="A917" s="24"/>
      <c r="B917" s="143"/>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row>
    <row r="918" spans="1:28" ht="12.9">
      <c r="A918" s="24"/>
      <c r="B918" s="143"/>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row>
    <row r="919" spans="1:28" ht="12.9">
      <c r="A919" s="24"/>
      <c r="B919" s="143"/>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row>
    <row r="920" spans="1:28" ht="12.9">
      <c r="A920" s="24"/>
      <c r="B920" s="143"/>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row>
    <row r="921" spans="1:28" ht="12.9">
      <c r="A921" s="24"/>
      <c r="B921" s="143"/>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row>
    <row r="922" spans="1:28" ht="12.9">
      <c r="A922" s="24"/>
      <c r="B922" s="143"/>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row>
    <row r="923" spans="1:28" ht="12.9">
      <c r="A923" s="24"/>
      <c r="B923" s="143"/>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row>
    <row r="924" spans="1:28" ht="12.9">
      <c r="A924" s="24"/>
      <c r="B924" s="143"/>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row>
    <row r="925" spans="1:28" ht="12.9">
      <c r="A925" s="24"/>
      <c r="B925" s="143"/>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row>
    <row r="926" spans="1:28" ht="12.9">
      <c r="A926" s="24"/>
      <c r="B926" s="143"/>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row>
    <row r="927" spans="1:28" ht="12.9">
      <c r="A927" s="24"/>
      <c r="B927" s="143"/>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row>
    <row r="928" spans="1:28" ht="12.9">
      <c r="A928" s="24"/>
      <c r="B928" s="143"/>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row>
    <row r="929" spans="1:28" ht="12.9">
      <c r="A929" s="24"/>
      <c r="B929" s="143"/>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row>
    <row r="930" spans="1:28" ht="12.9">
      <c r="A930" s="24"/>
      <c r="B930" s="143"/>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row>
    <row r="931" spans="1:28" ht="12.9">
      <c r="A931" s="24"/>
      <c r="B931" s="143"/>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row>
    <row r="932" spans="1:28" ht="12.9">
      <c r="A932" s="24"/>
      <c r="B932" s="143"/>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row>
    <row r="933" spans="1:28" ht="12.9">
      <c r="A933" s="24"/>
      <c r="B933" s="143"/>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row>
    <row r="934" spans="1:28" ht="12.9">
      <c r="A934" s="24"/>
      <c r="B934" s="143"/>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row>
    <row r="935" spans="1:28" ht="12.9">
      <c r="A935" s="24"/>
      <c r="B935" s="143"/>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row>
    <row r="936" spans="1:28" ht="12.9">
      <c r="A936" s="24"/>
      <c r="B936" s="143"/>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row>
    <row r="937" spans="1:28" ht="12.9">
      <c r="A937" s="24"/>
      <c r="B937" s="143"/>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row>
    <row r="938" spans="1:28" ht="12.9">
      <c r="A938" s="24"/>
      <c r="B938" s="143"/>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row>
    <row r="939" spans="1:28" ht="12.9">
      <c r="A939" s="24"/>
      <c r="B939" s="143"/>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row>
    <row r="940" spans="1:28" ht="12.9">
      <c r="A940" s="24"/>
      <c r="B940" s="143"/>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row>
    <row r="941" spans="1:28" ht="12.9">
      <c r="A941" s="24"/>
      <c r="B941" s="143"/>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row>
    <row r="942" spans="1:28" ht="12.9">
      <c r="A942" s="24"/>
      <c r="B942" s="143"/>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row>
    <row r="943" spans="1:28" ht="12.9">
      <c r="A943" s="24"/>
      <c r="B943" s="143"/>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row>
    <row r="944" spans="1:28" ht="12.9">
      <c r="A944" s="24"/>
      <c r="B944" s="143"/>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row>
    <row r="945" spans="1:28" ht="12.9">
      <c r="A945" s="24"/>
      <c r="B945" s="143"/>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row>
    <row r="946" spans="1:28" ht="12.9">
      <c r="A946" s="24"/>
      <c r="B946" s="143"/>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row>
    <row r="947" spans="1:28" ht="12.9">
      <c r="A947" s="24"/>
      <c r="B947" s="143"/>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row>
    <row r="948" spans="1:28" ht="12.9">
      <c r="A948" s="24"/>
      <c r="B948" s="143"/>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row>
    <row r="949" spans="1:28" ht="12.9">
      <c r="A949" s="24"/>
      <c r="B949" s="143"/>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row>
    <row r="950" spans="1:28" ht="12.9">
      <c r="A950" s="24"/>
      <c r="B950" s="143"/>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row>
    <row r="951" spans="1:28" ht="12.9">
      <c r="A951" s="24"/>
      <c r="B951" s="143"/>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row>
    <row r="952" spans="1:28" ht="12.9">
      <c r="A952" s="24"/>
      <c r="B952" s="143"/>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row>
    <row r="953" spans="1:28" ht="12.9">
      <c r="A953" s="24"/>
      <c r="B953" s="143"/>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row>
    <row r="954" spans="1:28" ht="12.9">
      <c r="A954" s="24"/>
      <c r="B954" s="143"/>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row>
    <row r="955" spans="1:28" ht="12.9">
      <c r="A955" s="24"/>
      <c r="B955" s="143"/>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row>
    <row r="956" spans="1:28" ht="12.9">
      <c r="A956" s="24"/>
      <c r="B956" s="143"/>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row>
    <row r="957" spans="1:28" ht="12.9">
      <c r="A957" s="24"/>
      <c r="B957" s="143"/>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row>
    <row r="958" spans="1:28" ht="12.9">
      <c r="A958" s="24"/>
      <c r="B958" s="143"/>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row>
    <row r="959" spans="1:28" ht="12.9">
      <c r="A959" s="24"/>
      <c r="B959" s="143"/>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row>
    <row r="960" spans="1:28" ht="12.9">
      <c r="A960" s="24"/>
      <c r="B960" s="143"/>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row>
    <row r="961" spans="1:28" ht="12.9">
      <c r="A961" s="24"/>
      <c r="B961" s="143"/>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row>
    <row r="962" spans="1:28" ht="12.9">
      <c r="A962" s="24"/>
      <c r="B962" s="143"/>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row>
    <row r="963" spans="1:28" ht="12.9">
      <c r="A963" s="24"/>
      <c r="B963" s="143"/>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row>
    <row r="964" spans="1:28" ht="12.9">
      <c r="A964" s="24"/>
      <c r="B964" s="143"/>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row>
    <row r="965" spans="1:28" ht="12.9">
      <c r="A965" s="24"/>
      <c r="B965" s="143"/>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row>
    <row r="966" spans="1:28" ht="12.9">
      <c r="A966" s="24"/>
      <c r="B966" s="143"/>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row>
    <row r="967" spans="1:28" ht="12.9">
      <c r="A967" s="24"/>
      <c r="B967" s="143"/>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row>
    <row r="968" spans="1:28" ht="12.9">
      <c r="A968" s="24"/>
      <c r="B968" s="143"/>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row>
    <row r="969" spans="1:28" ht="12.9">
      <c r="A969" s="24"/>
      <c r="B969" s="143"/>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row>
    <row r="970" spans="1:28" ht="12.9">
      <c r="A970" s="24"/>
      <c r="B970" s="143"/>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row>
    <row r="971" spans="1:28" ht="12.9">
      <c r="A971" s="24"/>
      <c r="B971" s="143"/>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row>
    <row r="972" spans="1:28" ht="12.9">
      <c r="A972" s="24"/>
      <c r="B972" s="143"/>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row>
    <row r="973" spans="1:28" ht="12.9">
      <c r="A973" s="24"/>
      <c r="B973" s="143"/>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row>
    <row r="974" spans="1:28" ht="12.9">
      <c r="A974" s="24"/>
      <c r="B974" s="143"/>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row>
    <row r="975" spans="1:28" ht="12.9">
      <c r="A975" s="24"/>
      <c r="B975" s="143"/>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row>
    <row r="976" spans="1:28" ht="12.9">
      <c r="A976" s="24"/>
      <c r="B976" s="143"/>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row>
    <row r="977" spans="1:28" ht="12.9">
      <c r="A977" s="24"/>
      <c r="B977" s="143"/>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row>
    <row r="978" spans="1:28" ht="12.9">
      <c r="A978" s="24"/>
      <c r="B978" s="143"/>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row>
    <row r="979" spans="1:28" ht="12.9">
      <c r="A979" s="24"/>
      <c r="B979" s="143"/>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row>
    <row r="980" spans="1:28" ht="12.9">
      <c r="A980" s="24"/>
      <c r="B980" s="143"/>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row>
    <row r="981" spans="1:28" ht="12.9">
      <c r="A981" s="24"/>
      <c r="B981" s="143"/>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row>
    <row r="982" spans="1:28" ht="12.9">
      <c r="A982" s="24"/>
      <c r="B982" s="143"/>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row>
    <row r="983" spans="1:28" ht="12.9">
      <c r="A983" s="24"/>
      <c r="B983" s="143"/>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x14:formula1>
            <xm:f>'Self Assessment Total Score'!$C$18:$C$21</xm:f>
          </x14:formula1>
          <xm:sqref>H2:H43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E1159"/>
  <sheetViews>
    <sheetView workbookViewId="0">
      <pane ySplit="1" topLeftCell="A57" activePane="bottomLeft" state="frozen"/>
      <selection pane="bottomLeft" activeCell="H66" sqref="H66"/>
    </sheetView>
  </sheetViews>
  <sheetFormatPr defaultColWidth="14.375" defaultRowHeight="15.8" customHeight="1"/>
  <cols>
    <col min="1" max="1" width="8.875" customWidth="1"/>
    <col min="2" max="2" width="11.625" customWidth="1"/>
    <col min="3" max="3" width="38.625" customWidth="1"/>
    <col min="4" max="4" width="46.75" customWidth="1"/>
    <col min="5" max="5" width="34.875" customWidth="1"/>
    <col min="6" max="6" width="15.25" customWidth="1"/>
    <col min="7" max="7" width="24.375" customWidth="1"/>
    <col min="8" max="8" width="29.125" customWidth="1"/>
    <col min="9" max="9" width="13.75" customWidth="1"/>
    <col min="10" max="10" width="29" customWidth="1"/>
    <col min="11" max="11" width="29.125" customWidth="1"/>
    <col min="12" max="12" width="29.875" customWidth="1"/>
    <col min="13" max="14" width="43.625" customWidth="1"/>
  </cols>
  <sheetData>
    <row r="1" spans="1:31" ht="21.75">
      <c r="A1" s="23" t="s">
        <v>3442</v>
      </c>
      <c r="B1" s="23" t="s">
        <v>3443</v>
      </c>
      <c r="C1" s="23" t="s">
        <v>3444</v>
      </c>
      <c r="D1" s="23" t="s">
        <v>36</v>
      </c>
      <c r="E1" s="23" t="s">
        <v>39</v>
      </c>
      <c r="F1" s="23" t="s">
        <v>890</v>
      </c>
      <c r="G1" s="2" t="s">
        <v>14</v>
      </c>
      <c r="H1" s="135" t="s">
        <v>44</v>
      </c>
      <c r="I1" s="135" t="s">
        <v>46</v>
      </c>
      <c r="J1" s="136"/>
      <c r="K1" s="136"/>
      <c r="L1" s="163"/>
      <c r="M1" s="136"/>
      <c r="N1" s="163"/>
      <c r="O1" s="136"/>
      <c r="P1" s="21"/>
      <c r="Q1" s="21"/>
      <c r="R1" s="21"/>
      <c r="S1" s="21"/>
      <c r="T1" s="21"/>
      <c r="U1" s="21"/>
      <c r="V1" s="21"/>
      <c r="W1" s="21"/>
      <c r="X1" s="21"/>
      <c r="Y1" s="21"/>
      <c r="Z1" s="21"/>
      <c r="AA1" s="21"/>
      <c r="AB1" s="21"/>
      <c r="AC1" s="21"/>
      <c r="AD1" s="21"/>
      <c r="AE1" s="21"/>
    </row>
    <row r="2" spans="1:31" ht="54.35">
      <c r="A2" s="121" t="s">
        <v>5145</v>
      </c>
      <c r="B2" s="121" t="s">
        <v>17</v>
      </c>
      <c r="C2" s="79" t="s">
        <v>5147</v>
      </c>
      <c r="D2" s="41" t="s">
        <v>5148</v>
      </c>
      <c r="E2" s="25" t="s">
        <v>5149</v>
      </c>
      <c r="F2" s="25"/>
      <c r="G2" s="149"/>
      <c r="H2" s="64"/>
      <c r="I2" s="45" t="b">
        <f t="shared" ref="I2:I66" si="0">IF(AND(H2="Meet the requirements traceability “out of the box”"), 10, IF(AND(H2="Can meet the requirements traceability with configuration or through the use of another commercial product “out of the box” or other arrangement as part of the service offering quoted (i.e. at no additional cost)"), 8, IF(AND(H2="Can meet the requirements traceability with customization at additional cost"), 3, IF(AND(H2="Cannot meet the requirements traceability requirement"), 0))))</f>
        <v>0</v>
      </c>
      <c r="J2" s="70"/>
      <c r="K2" s="164"/>
      <c r="L2" s="165"/>
      <c r="M2" s="70"/>
      <c r="N2" s="70"/>
      <c r="O2" s="70"/>
      <c r="P2" s="24"/>
      <c r="Q2" s="24"/>
      <c r="R2" s="24"/>
      <c r="S2" s="24"/>
      <c r="T2" s="24"/>
      <c r="U2" s="24"/>
      <c r="V2" s="24"/>
      <c r="W2" s="24"/>
      <c r="X2" s="24"/>
      <c r="Y2" s="24"/>
      <c r="Z2" s="24"/>
      <c r="AA2" s="24"/>
      <c r="AB2" s="24"/>
      <c r="AC2" s="24"/>
      <c r="AD2" s="24"/>
      <c r="AE2" s="24"/>
    </row>
    <row r="3" spans="1:31" ht="43.5">
      <c r="A3" s="121" t="s">
        <v>5159</v>
      </c>
      <c r="B3" s="121" t="s">
        <v>17</v>
      </c>
      <c r="C3" s="79" t="s">
        <v>5160</v>
      </c>
      <c r="D3" s="41" t="s">
        <v>5161</v>
      </c>
      <c r="E3" s="25" t="s">
        <v>5163</v>
      </c>
      <c r="F3" s="25"/>
      <c r="G3" s="25"/>
      <c r="H3" s="64"/>
      <c r="I3" s="45" t="b">
        <f t="shared" si="0"/>
        <v>0</v>
      </c>
      <c r="J3" s="70"/>
      <c r="K3" s="164"/>
      <c r="L3" s="165"/>
      <c r="M3" s="70"/>
      <c r="N3" s="70"/>
      <c r="O3" s="70"/>
      <c r="P3" s="24"/>
      <c r="Q3" s="24"/>
      <c r="R3" s="24"/>
      <c r="S3" s="24"/>
      <c r="T3" s="24"/>
      <c r="U3" s="24"/>
      <c r="V3" s="24"/>
      <c r="W3" s="24"/>
      <c r="X3" s="24"/>
      <c r="Y3" s="24"/>
      <c r="Z3" s="24"/>
      <c r="AA3" s="24"/>
      <c r="AB3" s="24"/>
      <c r="AC3" s="24"/>
      <c r="AD3" s="24"/>
      <c r="AE3" s="24"/>
    </row>
    <row r="4" spans="1:31" ht="21.75">
      <c r="A4" s="121" t="s">
        <v>5167</v>
      </c>
      <c r="B4" s="121" t="s">
        <v>17</v>
      </c>
      <c r="C4" s="79" t="s">
        <v>5168</v>
      </c>
      <c r="D4" s="41" t="s">
        <v>5169</v>
      </c>
      <c r="E4" s="25" t="s">
        <v>5170</v>
      </c>
      <c r="F4" s="25"/>
      <c r="G4" s="25"/>
      <c r="H4" s="64"/>
      <c r="I4" s="45" t="b">
        <f t="shared" si="0"/>
        <v>0</v>
      </c>
      <c r="J4" s="70"/>
      <c r="K4" s="164"/>
      <c r="L4" s="165"/>
      <c r="M4" s="70"/>
      <c r="N4" s="70"/>
      <c r="O4" s="70"/>
      <c r="P4" s="24"/>
      <c r="Q4" s="24"/>
      <c r="R4" s="24"/>
      <c r="S4" s="24"/>
      <c r="T4" s="24"/>
      <c r="U4" s="24"/>
      <c r="V4" s="24"/>
      <c r="W4" s="24"/>
      <c r="X4" s="24"/>
      <c r="Y4" s="24"/>
      <c r="Z4" s="24"/>
      <c r="AA4" s="24"/>
      <c r="AB4" s="24"/>
      <c r="AC4" s="24"/>
      <c r="AD4" s="24"/>
      <c r="AE4" s="24"/>
    </row>
    <row r="5" spans="1:31" ht="32.6">
      <c r="A5" s="121" t="s">
        <v>5174</v>
      </c>
      <c r="B5" s="121" t="s">
        <v>17</v>
      </c>
      <c r="C5" s="79" t="s">
        <v>5175</v>
      </c>
      <c r="D5" s="41" t="s">
        <v>5176</v>
      </c>
      <c r="E5" s="25" t="s">
        <v>5177</v>
      </c>
      <c r="F5" s="25"/>
      <c r="G5" s="25"/>
      <c r="H5" s="64"/>
      <c r="I5" s="45" t="b">
        <f t="shared" si="0"/>
        <v>0</v>
      </c>
      <c r="J5" s="70"/>
      <c r="K5" s="164"/>
      <c r="L5" s="165"/>
      <c r="M5" s="70"/>
      <c r="N5" s="70"/>
      <c r="O5" s="70"/>
      <c r="P5" s="24"/>
      <c r="Q5" s="24"/>
      <c r="R5" s="24"/>
      <c r="S5" s="24"/>
      <c r="T5" s="24"/>
      <c r="U5" s="24"/>
      <c r="V5" s="24"/>
      <c r="W5" s="24"/>
      <c r="X5" s="24"/>
      <c r="Y5" s="24"/>
      <c r="Z5" s="24"/>
      <c r="AA5" s="24"/>
      <c r="AB5" s="24"/>
      <c r="AC5" s="24"/>
      <c r="AD5" s="24"/>
      <c r="AE5" s="24"/>
    </row>
    <row r="6" spans="1:31" ht="32.6">
      <c r="A6" s="121" t="s">
        <v>5178</v>
      </c>
      <c r="B6" s="121" t="s">
        <v>17</v>
      </c>
      <c r="C6" s="79" t="s">
        <v>5181</v>
      </c>
      <c r="D6" s="41" t="s">
        <v>5182</v>
      </c>
      <c r="E6" s="25" t="s">
        <v>5184</v>
      </c>
      <c r="F6" s="25"/>
      <c r="G6" s="25"/>
      <c r="H6" s="64"/>
      <c r="I6" s="45" t="b">
        <f t="shared" si="0"/>
        <v>0</v>
      </c>
      <c r="J6" s="70"/>
      <c r="K6" s="164"/>
      <c r="L6" s="165"/>
      <c r="M6" s="70"/>
      <c r="N6" s="70"/>
      <c r="O6" s="70"/>
      <c r="P6" s="24"/>
      <c r="Q6" s="24"/>
      <c r="R6" s="24"/>
      <c r="S6" s="24"/>
      <c r="T6" s="24"/>
      <c r="U6" s="24"/>
      <c r="V6" s="24"/>
      <c r="W6" s="24"/>
      <c r="X6" s="24"/>
      <c r="Y6" s="24"/>
      <c r="Z6" s="24"/>
      <c r="AA6" s="24"/>
      <c r="AB6" s="24"/>
      <c r="AC6" s="24"/>
      <c r="AD6" s="24"/>
      <c r="AE6" s="24"/>
    </row>
    <row r="7" spans="1:31" ht="21.75">
      <c r="A7" s="121" t="s">
        <v>5186</v>
      </c>
      <c r="B7" s="121" t="s">
        <v>17</v>
      </c>
      <c r="C7" s="79" t="s">
        <v>5187</v>
      </c>
      <c r="D7" s="41" t="s">
        <v>5188</v>
      </c>
      <c r="E7" s="25" t="s">
        <v>5189</v>
      </c>
      <c r="F7" s="25"/>
      <c r="G7" s="25"/>
      <c r="H7" s="64"/>
      <c r="I7" s="45" t="b">
        <f t="shared" si="0"/>
        <v>0</v>
      </c>
      <c r="J7" s="70"/>
      <c r="K7" s="164"/>
      <c r="L7" s="165"/>
      <c r="M7" s="70"/>
      <c r="N7" s="70"/>
      <c r="O7" s="70"/>
      <c r="P7" s="24"/>
      <c r="Q7" s="24"/>
      <c r="R7" s="24"/>
      <c r="S7" s="24"/>
      <c r="T7" s="24"/>
      <c r="U7" s="24"/>
      <c r="V7" s="24"/>
      <c r="W7" s="24"/>
      <c r="X7" s="24"/>
      <c r="Y7" s="24"/>
      <c r="Z7" s="24"/>
      <c r="AA7" s="24"/>
      <c r="AB7" s="24"/>
      <c r="AC7" s="24"/>
      <c r="AD7" s="24"/>
      <c r="AE7" s="24"/>
    </row>
    <row r="8" spans="1:31" ht="32.6">
      <c r="A8" s="121" t="s">
        <v>5192</v>
      </c>
      <c r="B8" s="121" t="s">
        <v>17</v>
      </c>
      <c r="C8" s="79" t="s">
        <v>5193</v>
      </c>
      <c r="D8" s="41" t="s">
        <v>5194</v>
      </c>
      <c r="E8" s="25" t="s">
        <v>5195</v>
      </c>
      <c r="F8" s="25"/>
      <c r="G8" s="25"/>
      <c r="H8" s="64"/>
      <c r="I8" s="45" t="b">
        <f t="shared" si="0"/>
        <v>0</v>
      </c>
      <c r="J8" s="70"/>
      <c r="K8" s="164"/>
      <c r="L8" s="165"/>
      <c r="M8" s="70"/>
      <c r="N8" s="70"/>
      <c r="O8" s="70"/>
      <c r="P8" s="24"/>
      <c r="Q8" s="24"/>
      <c r="R8" s="24"/>
      <c r="S8" s="24"/>
      <c r="T8" s="24"/>
      <c r="U8" s="24"/>
      <c r="V8" s="24"/>
      <c r="W8" s="24"/>
      <c r="X8" s="24"/>
      <c r="Y8" s="24"/>
      <c r="Z8" s="24"/>
      <c r="AA8" s="24"/>
      <c r="AB8" s="24"/>
      <c r="AC8" s="24"/>
      <c r="AD8" s="24"/>
      <c r="AE8" s="24"/>
    </row>
    <row r="9" spans="1:31" ht="43.5">
      <c r="A9" s="121" t="s">
        <v>5196</v>
      </c>
      <c r="B9" s="121" t="s">
        <v>17</v>
      </c>
      <c r="C9" s="79" t="s">
        <v>5198</v>
      </c>
      <c r="D9" s="41" t="s">
        <v>5200</v>
      </c>
      <c r="E9" s="25" t="s">
        <v>5201</v>
      </c>
      <c r="F9" s="25"/>
      <c r="G9" s="25"/>
      <c r="H9" s="64"/>
      <c r="I9" s="45" t="b">
        <f t="shared" si="0"/>
        <v>0</v>
      </c>
      <c r="J9" s="70"/>
      <c r="K9" s="164"/>
      <c r="L9" s="165"/>
      <c r="M9" s="70"/>
      <c r="N9" s="70"/>
      <c r="O9" s="70"/>
      <c r="P9" s="24"/>
      <c r="Q9" s="24"/>
      <c r="R9" s="24"/>
      <c r="S9" s="24"/>
      <c r="T9" s="24"/>
      <c r="U9" s="24"/>
      <c r="V9" s="24"/>
      <c r="W9" s="24"/>
      <c r="X9" s="24"/>
      <c r="Y9" s="24"/>
      <c r="Z9" s="24"/>
      <c r="AA9" s="24"/>
      <c r="AB9" s="24"/>
      <c r="AC9" s="24"/>
      <c r="AD9" s="24"/>
      <c r="AE9" s="24"/>
    </row>
    <row r="10" spans="1:31" ht="32.6">
      <c r="A10" s="121" t="s">
        <v>5204</v>
      </c>
      <c r="B10" s="121" t="s">
        <v>17</v>
      </c>
      <c r="C10" s="79" t="s">
        <v>5205</v>
      </c>
      <c r="D10" s="41" t="s">
        <v>5206</v>
      </c>
      <c r="E10" s="25" t="s">
        <v>5207</v>
      </c>
      <c r="F10" s="25"/>
      <c r="G10" s="25"/>
      <c r="H10" s="64"/>
      <c r="I10" s="45" t="b">
        <f t="shared" si="0"/>
        <v>0</v>
      </c>
      <c r="J10" s="70"/>
      <c r="K10" s="164"/>
      <c r="L10" s="165"/>
      <c r="M10" s="70"/>
      <c r="N10" s="70"/>
      <c r="O10" s="70"/>
      <c r="P10" s="24"/>
      <c r="Q10" s="24"/>
      <c r="R10" s="24"/>
      <c r="S10" s="24"/>
      <c r="T10" s="24"/>
      <c r="U10" s="24"/>
      <c r="V10" s="24"/>
      <c r="W10" s="24"/>
      <c r="X10" s="24"/>
      <c r="Y10" s="24"/>
      <c r="Z10" s="24"/>
      <c r="AA10" s="24"/>
      <c r="AB10" s="24"/>
      <c r="AC10" s="24"/>
      <c r="AD10" s="24"/>
      <c r="AE10" s="24"/>
    </row>
    <row r="11" spans="1:31" ht="32.6">
      <c r="A11" s="121" t="s">
        <v>5211</v>
      </c>
      <c r="B11" s="121" t="s">
        <v>17</v>
      </c>
      <c r="C11" s="79" t="s">
        <v>5212</v>
      </c>
      <c r="D11" s="41" t="s">
        <v>5213</v>
      </c>
      <c r="E11" s="25" t="s">
        <v>5214</v>
      </c>
      <c r="F11" s="25"/>
      <c r="G11" s="25"/>
      <c r="H11" s="64"/>
      <c r="I11" s="45" t="b">
        <f t="shared" si="0"/>
        <v>0</v>
      </c>
      <c r="J11" s="70"/>
      <c r="K11" s="164"/>
      <c r="L11" s="165"/>
      <c r="M11" s="70"/>
      <c r="N11" s="70"/>
      <c r="O11" s="70"/>
      <c r="P11" s="24"/>
      <c r="Q11" s="24"/>
      <c r="R11" s="24"/>
      <c r="S11" s="24"/>
      <c r="T11" s="24"/>
      <c r="U11" s="24"/>
      <c r="V11" s="24"/>
      <c r="W11" s="24"/>
      <c r="X11" s="24"/>
      <c r="Y11" s="24"/>
      <c r="Z11" s="24"/>
      <c r="AA11" s="24"/>
      <c r="AB11" s="24"/>
      <c r="AC11" s="24"/>
      <c r="AD11" s="24"/>
      <c r="AE11" s="24"/>
    </row>
    <row r="12" spans="1:31" ht="21.75">
      <c r="A12" s="121" t="s">
        <v>5215</v>
      </c>
      <c r="B12" s="121" t="s">
        <v>17</v>
      </c>
      <c r="C12" s="79" t="s">
        <v>5217</v>
      </c>
      <c r="D12" s="41" t="s">
        <v>5219</v>
      </c>
      <c r="E12" s="25" t="s">
        <v>5220</v>
      </c>
      <c r="F12" s="25"/>
      <c r="G12" s="25"/>
      <c r="H12" s="64"/>
      <c r="I12" s="45" t="b">
        <f t="shared" si="0"/>
        <v>0</v>
      </c>
      <c r="J12" s="70"/>
      <c r="K12" s="164"/>
      <c r="L12" s="165"/>
      <c r="M12" s="70"/>
      <c r="N12" s="70"/>
      <c r="O12" s="70"/>
      <c r="P12" s="24"/>
      <c r="Q12" s="24"/>
      <c r="R12" s="24"/>
      <c r="S12" s="24"/>
      <c r="T12" s="24"/>
      <c r="U12" s="24"/>
      <c r="V12" s="24"/>
      <c r="W12" s="24"/>
      <c r="X12" s="24"/>
      <c r="Y12" s="24"/>
      <c r="Z12" s="24"/>
      <c r="AA12" s="24"/>
      <c r="AB12" s="24"/>
      <c r="AC12" s="24"/>
      <c r="AD12" s="24"/>
      <c r="AE12" s="24"/>
    </row>
    <row r="13" spans="1:31" ht="32.6">
      <c r="A13" s="121" t="s">
        <v>5223</v>
      </c>
      <c r="B13" s="121" t="s">
        <v>17</v>
      </c>
      <c r="C13" s="79" t="s">
        <v>5225</v>
      </c>
      <c r="D13" s="41" t="s">
        <v>5227</v>
      </c>
      <c r="E13" s="25" t="s">
        <v>5229</v>
      </c>
      <c r="F13" s="25"/>
      <c r="G13" s="25"/>
      <c r="H13" s="64"/>
      <c r="I13" s="45" t="b">
        <f t="shared" si="0"/>
        <v>0</v>
      </c>
      <c r="J13" s="70"/>
      <c r="K13" s="164"/>
      <c r="L13" s="165"/>
      <c r="M13" s="70"/>
      <c r="N13" s="70"/>
      <c r="O13" s="70"/>
      <c r="P13" s="24"/>
      <c r="Q13" s="24"/>
      <c r="R13" s="24"/>
      <c r="S13" s="24"/>
      <c r="T13" s="24"/>
      <c r="U13" s="24"/>
      <c r="V13" s="24"/>
      <c r="W13" s="24"/>
      <c r="X13" s="24"/>
      <c r="Y13" s="24"/>
      <c r="Z13" s="24"/>
      <c r="AA13" s="24"/>
      <c r="AB13" s="24"/>
      <c r="AC13" s="24"/>
      <c r="AD13" s="24"/>
      <c r="AE13" s="24"/>
    </row>
    <row r="14" spans="1:31" ht="32.6">
      <c r="A14" s="121" t="s">
        <v>5230</v>
      </c>
      <c r="B14" s="121" t="s">
        <v>17</v>
      </c>
      <c r="C14" s="79" t="s">
        <v>5231</v>
      </c>
      <c r="D14" s="41" t="s">
        <v>5232</v>
      </c>
      <c r="E14" s="25" t="s">
        <v>5233</v>
      </c>
      <c r="F14" s="25"/>
      <c r="G14" s="25"/>
      <c r="H14" s="64"/>
      <c r="I14" s="45" t="b">
        <f t="shared" si="0"/>
        <v>0</v>
      </c>
      <c r="J14" s="70"/>
      <c r="K14" s="164"/>
      <c r="L14" s="165"/>
      <c r="M14" s="70"/>
      <c r="N14" s="70"/>
      <c r="O14" s="70"/>
      <c r="P14" s="24"/>
      <c r="Q14" s="24"/>
      <c r="R14" s="24"/>
      <c r="S14" s="24"/>
      <c r="T14" s="24"/>
      <c r="U14" s="24"/>
      <c r="V14" s="24"/>
      <c r="W14" s="24"/>
      <c r="X14" s="24"/>
      <c r="Y14" s="24"/>
      <c r="Z14" s="24"/>
      <c r="AA14" s="24"/>
      <c r="AB14" s="24"/>
      <c r="AC14" s="24"/>
      <c r="AD14" s="24"/>
      <c r="AE14" s="24"/>
    </row>
    <row r="15" spans="1:31" ht="32.6">
      <c r="A15" s="121" t="s">
        <v>5234</v>
      </c>
      <c r="B15" s="121" t="s">
        <v>17</v>
      </c>
      <c r="C15" s="79" t="s">
        <v>5237</v>
      </c>
      <c r="D15" s="41" t="s">
        <v>5239</v>
      </c>
      <c r="E15" s="25" t="s">
        <v>5241</v>
      </c>
      <c r="F15" s="25"/>
      <c r="G15" s="25"/>
      <c r="H15" s="64"/>
      <c r="I15" s="45" t="b">
        <f t="shared" si="0"/>
        <v>0</v>
      </c>
      <c r="J15" s="70"/>
      <c r="K15" s="164"/>
      <c r="L15" s="165"/>
      <c r="M15" s="70"/>
      <c r="N15" s="70"/>
      <c r="O15" s="70"/>
      <c r="P15" s="24"/>
      <c r="Q15" s="24"/>
      <c r="R15" s="24"/>
      <c r="S15" s="24"/>
      <c r="T15" s="24"/>
      <c r="U15" s="24"/>
      <c r="V15" s="24"/>
      <c r="W15" s="24"/>
      <c r="X15" s="24"/>
      <c r="Y15" s="24"/>
      <c r="Z15" s="24"/>
      <c r="AA15" s="24"/>
      <c r="AB15" s="24"/>
      <c r="AC15" s="24"/>
      <c r="AD15" s="24"/>
      <c r="AE15" s="24"/>
    </row>
    <row r="16" spans="1:31" ht="32.6">
      <c r="A16" s="121" t="s">
        <v>5242</v>
      </c>
      <c r="B16" s="121" t="s">
        <v>17</v>
      </c>
      <c r="C16" s="79" t="s">
        <v>5243</v>
      </c>
      <c r="D16" s="41" t="s">
        <v>5244</v>
      </c>
      <c r="E16" s="25" t="s">
        <v>5245</v>
      </c>
      <c r="F16" s="25"/>
      <c r="G16" s="25"/>
      <c r="H16" s="64"/>
      <c r="I16" s="45" t="b">
        <f t="shared" si="0"/>
        <v>0</v>
      </c>
      <c r="J16" s="70"/>
      <c r="K16" s="164"/>
      <c r="L16" s="165"/>
      <c r="M16" s="70"/>
      <c r="N16" s="70"/>
      <c r="O16" s="70"/>
      <c r="P16" s="24"/>
      <c r="Q16" s="24"/>
      <c r="R16" s="24"/>
      <c r="S16" s="24"/>
      <c r="T16" s="24"/>
      <c r="U16" s="24"/>
      <c r="V16" s="24"/>
      <c r="W16" s="24"/>
      <c r="X16" s="24"/>
      <c r="Y16" s="24"/>
      <c r="Z16" s="24"/>
      <c r="AA16" s="24"/>
      <c r="AB16" s="24"/>
      <c r="AC16" s="24"/>
      <c r="AD16" s="24"/>
      <c r="AE16" s="24"/>
    </row>
    <row r="17" spans="1:31" ht="32.6">
      <c r="A17" s="121" t="s">
        <v>5248</v>
      </c>
      <c r="B17" s="121" t="s">
        <v>17</v>
      </c>
      <c r="C17" s="79" t="s">
        <v>5249</v>
      </c>
      <c r="D17" s="41" t="s">
        <v>5250</v>
      </c>
      <c r="E17" s="25" t="s">
        <v>5251</v>
      </c>
      <c r="F17" s="25"/>
      <c r="G17" s="25"/>
      <c r="H17" s="64"/>
      <c r="I17" s="45" t="b">
        <f t="shared" si="0"/>
        <v>0</v>
      </c>
      <c r="J17" s="70"/>
      <c r="K17" s="164"/>
      <c r="L17" s="165"/>
      <c r="M17" s="70"/>
      <c r="N17" s="70"/>
      <c r="O17" s="70"/>
      <c r="P17" s="24"/>
      <c r="Q17" s="24"/>
      <c r="R17" s="24"/>
      <c r="S17" s="24"/>
      <c r="T17" s="24"/>
      <c r="U17" s="24"/>
      <c r="V17" s="24"/>
      <c r="W17" s="24"/>
      <c r="X17" s="24"/>
      <c r="Y17" s="24"/>
      <c r="Z17" s="24"/>
      <c r="AA17" s="24"/>
      <c r="AB17" s="24"/>
      <c r="AC17" s="24"/>
      <c r="AD17" s="24"/>
      <c r="AE17" s="24"/>
    </row>
    <row r="18" spans="1:31" ht="32.6">
      <c r="A18" s="121" t="s">
        <v>5252</v>
      </c>
      <c r="B18" s="121" t="s">
        <v>17</v>
      </c>
      <c r="C18" s="79" t="s">
        <v>5254</v>
      </c>
      <c r="D18" s="41" t="s">
        <v>5256</v>
      </c>
      <c r="E18" s="25" t="s">
        <v>5258</v>
      </c>
      <c r="F18" s="25"/>
      <c r="G18" s="25"/>
      <c r="H18" s="64"/>
      <c r="I18" s="45" t="b">
        <f t="shared" si="0"/>
        <v>0</v>
      </c>
      <c r="J18" s="70"/>
      <c r="K18" s="164"/>
      <c r="L18" s="165"/>
      <c r="M18" s="70"/>
      <c r="N18" s="70"/>
      <c r="O18" s="70"/>
      <c r="P18" s="24"/>
      <c r="Q18" s="24"/>
      <c r="R18" s="24"/>
      <c r="S18" s="24"/>
      <c r="T18" s="24"/>
      <c r="U18" s="24"/>
      <c r="V18" s="24"/>
      <c r="W18" s="24"/>
      <c r="X18" s="24"/>
      <c r="Y18" s="24"/>
      <c r="Z18" s="24"/>
      <c r="AA18" s="24"/>
      <c r="AB18" s="24"/>
      <c r="AC18" s="24"/>
      <c r="AD18" s="24"/>
      <c r="AE18" s="24"/>
    </row>
    <row r="19" spans="1:31" ht="250">
      <c r="A19" s="121" t="s">
        <v>5263</v>
      </c>
      <c r="B19" s="121" t="s">
        <v>17</v>
      </c>
      <c r="C19" s="25" t="s">
        <v>5264</v>
      </c>
      <c r="D19" s="41" t="s">
        <v>5265</v>
      </c>
      <c r="E19" s="25" t="s">
        <v>5266</v>
      </c>
      <c r="F19" s="25"/>
      <c r="G19" s="25"/>
      <c r="H19" s="64"/>
      <c r="I19" s="45" t="b">
        <f t="shared" si="0"/>
        <v>0</v>
      </c>
      <c r="J19" s="70"/>
      <c r="K19" s="164"/>
      <c r="L19" s="165"/>
      <c r="M19" s="70"/>
      <c r="N19" s="70"/>
      <c r="O19" s="70"/>
      <c r="P19" s="24"/>
      <c r="Q19" s="24"/>
      <c r="R19" s="24"/>
      <c r="S19" s="24"/>
      <c r="T19" s="24"/>
      <c r="U19" s="24"/>
      <c r="V19" s="24"/>
      <c r="W19" s="24"/>
      <c r="X19" s="24"/>
      <c r="Y19" s="24"/>
      <c r="Z19" s="24"/>
      <c r="AA19" s="24"/>
      <c r="AB19" s="24"/>
      <c r="AC19" s="24"/>
      <c r="AD19" s="24"/>
      <c r="AE19" s="24"/>
    </row>
    <row r="20" spans="1:31" ht="86.95">
      <c r="A20" s="121" t="s">
        <v>5267</v>
      </c>
      <c r="B20" s="121" t="s">
        <v>17</v>
      </c>
      <c r="C20" s="79" t="s">
        <v>5268</v>
      </c>
      <c r="D20" s="41" t="s">
        <v>5269</v>
      </c>
      <c r="E20" s="25" t="s">
        <v>5270</v>
      </c>
      <c r="F20" s="25"/>
      <c r="G20" s="25"/>
      <c r="H20" s="64"/>
      <c r="I20" s="45" t="b">
        <f t="shared" si="0"/>
        <v>0</v>
      </c>
      <c r="J20" s="70"/>
      <c r="K20" s="164"/>
      <c r="L20" s="165"/>
      <c r="M20" s="70"/>
      <c r="N20" s="70"/>
      <c r="O20" s="24"/>
      <c r="P20" s="24"/>
      <c r="Q20" s="24"/>
      <c r="R20" s="24"/>
      <c r="S20" s="24"/>
      <c r="T20" s="24"/>
      <c r="U20" s="24"/>
      <c r="V20" s="24"/>
      <c r="W20" s="24"/>
      <c r="X20" s="24"/>
      <c r="Y20" s="24"/>
      <c r="Z20" s="24"/>
      <c r="AA20" s="24"/>
      <c r="AB20" s="24"/>
      <c r="AC20" s="24"/>
      <c r="AD20" s="24"/>
      <c r="AE20" s="24"/>
    </row>
    <row r="21" spans="1:31" ht="130.44999999999999">
      <c r="A21" s="121" t="s">
        <v>5275</v>
      </c>
      <c r="B21" s="121" t="s">
        <v>17</v>
      </c>
      <c r="C21" s="25" t="s">
        <v>5276</v>
      </c>
      <c r="D21" s="41" t="s">
        <v>5277</v>
      </c>
      <c r="E21" s="25" t="s">
        <v>5278</v>
      </c>
      <c r="F21" s="25"/>
      <c r="G21" s="25"/>
      <c r="H21" s="64"/>
      <c r="I21" s="45" t="b">
        <f t="shared" si="0"/>
        <v>0</v>
      </c>
      <c r="J21" s="70"/>
      <c r="K21" s="164"/>
      <c r="L21" s="165"/>
      <c r="M21" s="70"/>
      <c r="N21" s="70"/>
      <c r="O21" s="24"/>
      <c r="P21" s="24"/>
      <c r="Q21" s="24"/>
      <c r="R21" s="24"/>
      <c r="S21" s="24"/>
      <c r="T21" s="24"/>
      <c r="U21" s="24"/>
      <c r="V21" s="24"/>
      <c r="W21" s="24"/>
      <c r="X21" s="24"/>
      <c r="Y21" s="24"/>
      <c r="Z21" s="24"/>
      <c r="AA21" s="24"/>
      <c r="AB21" s="24"/>
      <c r="AC21" s="24"/>
      <c r="AD21" s="24"/>
      <c r="AE21" s="24"/>
    </row>
    <row r="22" spans="1:31" ht="86.95">
      <c r="A22" s="121" t="s">
        <v>5282</v>
      </c>
      <c r="B22" s="121" t="s">
        <v>17</v>
      </c>
      <c r="C22" s="25" t="s">
        <v>5283</v>
      </c>
      <c r="D22" s="79" t="s">
        <v>5284</v>
      </c>
      <c r="E22" s="25" t="s">
        <v>5285</v>
      </c>
      <c r="F22" s="25"/>
      <c r="G22" s="25"/>
      <c r="H22" s="64"/>
      <c r="I22" s="45" t="b">
        <f t="shared" si="0"/>
        <v>0</v>
      </c>
      <c r="J22" s="70"/>
      <c r="K22" s="164"/>
      <c r="L22" s="165"/>
      <c r="M22" s="70"/>
      <c r="N22" s="70"/>
      <c r="O22" s="24"/>
      <c r="P22" s="24"/>
      <c r="Q22" s="24"/>
      <c r="R22" s="24"/>
      <c r="S22" s="24"/>
      <c r="T22" s="24"/>
      <c r="U22" s="24"/>
      <c r="V22" s="24"/>
      <c r="W22" s="24"/>
      <c r="X22" s="24"/>
      <c r="Y22" s="24"/>
      <c r="Z22" s="24"/>
      <c r="AA22" s="24"/>
      <c r="AB22" s="24"/>
      <c r="AC22" s="24"/>
      <c r="AD22" s="24"/>
      <c r="AE22" s="24"/>
    </row>
    <row r="23" spans="1:31" ht="130.44999999999999">
      <c r="A23" s="121" t="s">
        <v>5290</v>
      </c>
      <c r="B23" s="121" t="s">
        <v>17</v>
      </c>
      <c r="C23" s="25" t="s">
        <v>5291</v>
      </c>
      <c r="D23" s="79" t="s">
        <v>5292</v>
      </c>
      <c r="E23" s="25" t="s">
        <v>5293</v>
      </c>
      <c r="F23" s="25"/>
      <c r="G23" s="25"/>
      <c r="H23" s="64"/>
      <c r="I23" s="45" t="b">
        <f t="shared" si="0"/>
        <v>0</v>
      </c>
      <c r="J23" s="70"/>
      <c r="K23" s="164"/>
      <c r="L23" s="165"/>
      <c r="M23" s="70"/>
      <c r="N23" s="70"/>
      <c r="O23" s="24"/>
      <c r="P23" s="24"/>
      <c r="Q23" s="24"/>
      <c r="R23" s="24"/>
      <c r="S23" s="24"/>
      <c r="T23" s="24"/>
      <c r="U23" s="24"/>
      <c r="V23" s="24"/>
      <c r="W23" s="24"/>
      <c r="X23" s="24"/>
      <c r="Y23" s="24"/>
      <c r="Z23" s="24"/>
      <c r="AA23" s="24"/>
      <c r="AB23" s="24"/>
      <c r="AC23" s="24"/>
      <c r="AD23" s="24"/>
      <c r="AE23" s="24"/>
    </row>
    <row r="24" spans="1:31" ht="96.8" customHeight="1">
      <c r="A24" s="121" t="s">
        <v>5297</v>
      </c>
      <c r="B24" s="121" t="s">
        <v>17</v>
      </c>
      <c r="C24" s="25" t="s">
        <v>5298</v>
      </c>
      <c r="D24" s="79" t="s">
        <v>5299</v>
      </c>
      <c r="E24" s="25" t="s">
        <v>5300</v>
      </c>
      <c r="F24" s="141" t="str">
        <f>HYPERLINK("https://www.acquisition.gov/content/part-4-administrative-matters#i1123008","FAR 4.502(d)")</f>
        <v>FAR 4.502(d)</v>
      </c>
      <c r="G24" s="112" t="str">
        <f>HYPERLINK("https://www.acquisition.gov/content/part-504-administrative-matters#EIQXRUHK","GSAM 504.502")</f>
        <v>GSAM 504.502</v>
      </c>
      <c r="H24" s="64"/>
      <c r="I24" s="45" t="b">
        <f t="shared" si="0"/>
        <v>0</v>
      </c>
      <c r="J24" s="70"/>
      <c r="K24" s="164"/>
      <c r="L24" s="165"/>
      <c r="M24" s="70"/>
      <c r="N24" s="70"/>
      <c r="O24" s="24"/>
      <c r="P24" s="24"/>
      <c r="Q24" s="24"/>
      <c r="R24" s="24"/>
      <c r="S24" s="24"/>
      <c r="T24" s="24"/>
      <c r="U24" s="24"/>
      <c r="V24" s="24"/>
      <c r="W24" s="24"/>
      <c r="X24" s="24"/>
      <c r="Y24" s="24"/>
      <c r="Z24" s="24"/>
      <c r="AA24" s="24"/>
      <c r="AB24" s="24"/>
      <c r="AC24" s="24"/>
      <c r="AD24" s="24"/>
      <c r="AE24" s="24"/>
    </row>
    <row r="25" spans="1:31" ht="68.3" customHeight="1">
      <c r="A25" s="121" t="s">
        <v>5306</v>
      </c>
      <c r="B25" s="121" t="s">
        <v>17</v>
      </c>
      <c r="C25" s="25" t="s">
        <v>5307</v>
      </c>
      <c r="D25" s="79" t="s">
        <v>5308</v>
      </c>
      <c r="E25" s="25" t="s">
        <v>5309</v>
      </c>
      <c r="F25" s="79"/>
      <c r="G25" s="166"/>
      <c r="H25" s="64"/>
      <c r="I25" s="45" t="b">
        <f t="shared" si="0"/>
        <v>0</v>
      </c>
      <c r="J25" s="70"/>
      <c r="K25" s="164"/>
      <c r="L25" s="165"/>
      <c r="M25" s="70"/>
      <c r="N25" s="70"/>
      <c r="O25" s="24"/>
      <c r="P25" s="24"/>
      <c r="Q25" s="24"/>
      <c r="R25" s="24"/>
      <c r="S25" s="24"/>
      <c r="T25" s="24"/>
      <c r="U25" s="24"/>
      <c r="V25" s="24"/>
      <c r="W25" s="24"/>
      <c r="X25" s="24"/>
      <c r="Y25" s="24"/>
      <c r="Z25" s="24"/>
      <c r="AA25" s="24"/>
      <c r="AB25" s="24"/>
      <c r="AC25" s="24"/>
      <c r="AD25" s="24"/>
      <c r="AE25" s="24"/>
    </row>
    <row r="26" spans="1:31" ht="86.95">
      <c r="A26" s="121" t="s">
        <v>5313</v>
      </c>
      <c r="B26" s="121" t="s">
        <v>17</v>
      </c>
      <c r="C26" s="79" t="s">
        <v>5314</v>
      </c>
      <c r="D26" s="41" t="s">
        <v>5315</v>
      </c>
      <c r="E26" s="25" t="s">
        <v>5317</v>
      </c>
      <c r="F26" s="79"/>
      <c r="G26" s="25"/>
      <c r="H26" s="64"/>
      <c r="I26" s="45" t="b">
        <f t="shared" si="0"/>
        <v>0</v>
      </c>
      <c r="J26" s="70"/>
      <c r="K26" s="164"/>
      <c r="L26" s="165"/>
      <c r="M26" s="70"/>
      <c r="N26" s="70"/>
      <c r="O26" s="24"/>
      <c r="P26" s="24"/>
      <c r="Q26" s="24"/>
      <c r="R26" s="24"/>
      <c r="S26" s="24"/>
      <c r="T26" s="24"/>
      <c r="U26" s="24"/>
      <c r="V26" s="24"/>
      <c r="W26" s="24"/>
      <c r="X26" s="24"/>
      <c r="Y26" s="24"/>
      <c r="Z26" s="24"/>
      <c r="AA26" s="24"/>
      <c r="AB26" s="24"/>
      <c r="AC26" s="24"/>
      <c r="AD26" s="24"/>
      <c r="AE26" s="24"/>
    </row>
    <row r="27" spans="1:31" ht="65.25">
      <c r="A27" s="121" t="s">
        <v>5321</v>
      </c>
      <c r="B27" s="121" t="s">
        <v>17</v>
      </c>
      <c r="C27" s="79" t="s">
        <v>5322</v>
      </c>
      <c r="D27" s="79" t="s">
        <v>5323</v>
      </c>
      <c r="E27" s="25" t="s">
        <v>5324</v>
      </c>
      <c r="F27" s="79"/>
      <c r="G27" s="25"/>
      <c r="H27" s="64"/>
      <c r="I27" s="45" t="b">
        <f t="shared" si="0"/>
        <v>0</v>
      </c>
      <c r="J27" s="70"/>
      <c r="K27" s="164"/>
      <c r="L27" s="165"/>
      <c r="M27" s="70"/>
      <c r="N27" s="70"/>
      <c r="O27" s="24"/>
      <c r="P27" s="24"/>
      <c r="Q27" s="24"/>
      <c r="R27" s="24"/>
      <c r="S27" s="24"/>
      <c r="T27" s="24"/>
      <c r="U27" s="24"/>
      <c r="V27" s="24"/>
      <c r="W27" s="24"/>
      <c r="X27" s="24"/>
      <c r="Y27" s="24"/>
      <c r="Z27" s="24"/>
      <c r="AA27" s="24"/>
      <c r="AB27" s="24"/>
      <c r="AC27" s="24"/>
      <c r="AD27" s="24"/>
      <c r="AE27" s="24"/>
    </row>
    <row r="28" spans="1:31" ht="65.25">
      <c r="A28" s="121" t="s">
        <v>5325</v>
      </c>
      <c r="B28" s="121" t="s">
        <v>17</v>
      </c>
      <c r="C28" s="79" t="s">
        <v>5326</v>
      </c>
      <c r="D28" s="79" t="s">
        <v>5327</v>
      </c>
      <c r="E28" s="25" t="s">
        <v>5328</v>
      </c>
      <c r="F28" s="79"/>
      <c r="G28" s="25"/>
      <c r="H28" s="64"/>
      <c r="I28" s="45" t="b">
        <f t="shared" si="0"/>
        <v>0</v>
      </c>
      <c r="J28" s="70"/>
      <c r="K28" s="164"/>
      <c r="L28" s="165"/>
      <c r="M28" s="70"/>
      <c r="N28" s="70"/>
      <c r="O28" s="24"/>
      <c r="P28" s="24"/>
      <c r="Q28" s="24"/>
      <c r="R28" s="24"/>
      <c r="S28" s="24"/>
      <c r="T28" s="24"/>
      <c r="U28" s="24"/>
      <c r="V28" s="24"/>
      <c r="W28" s="24"/>
      <c r="X28" s="24"/>
      <c r="Y28" s="24"/>
      <c r="Z28" s="24"/>
      <c r="AA28" s="24"/>
      <c r="AB28" s="24"/>
      <c r="AC28" s="24"/>
      <c r="AD28" s="24"/>
      <c r="AE28" s="24"/>
    </row>
    <row r="29" spans="1:31" ht="97.85">
      <c r="A29" s="121" t="s">
        <v>5332</v>
      </c>
      <c r="B29" s="121" t="s">
        <v>17</v>
      </c>
      <c r="C29" s="79" t="s">
        <v>5333</v>
      </c>
      <c r="D29" s="79" t="s">
        <v>5334</v>
      </c>
      <c r="E29" s="79" t="s">
        <v>5335</v>
      </c>
      <c r="F29" s="79"/>
      <c r="G29" s="39"/>
      <c r="H29" s="64"/>
      <c r="I29" s="45" t="b">
        <f t="shared" si="0"/>
        <v>0</v>
      </c>
      <c r="J29" s="70"/>
      <c r="K29" s="164"/>
      <c r="L29" s="165"/>
      <c r="M29" s="70"/>
      <c r="N29" s="70"/>
      <c r="O29" s="24"/>
      <c r="P29" s="24"/>
      <c r="Q29" s="24"/>
      <c r="R29" s="24"/>
      <c r="S29" s="24"/>
      <c r="T29" s="24"/>
      <c r="U29" s="24"/>
      <c r="V29" s="24"/>
      <c r="W29" s="24"/>
      <c r="X29" s="24"/>
      <c r="Y29" s="24"/>
      <c r="Z29" s="24"/>
      <c r="AA29" s="24"/>
      <c r="AB29" s="24"/>
      <c r="AC29" s="24"/>
      <c r="AD29" s="24"/>
      <c r="AE29" s="24"/>
    </row>
    <row r="30" spans="1:31" ht="130.44999999999999">
      <c r="A30" s="121" t="s">
        <v>5336</v>
      </c>
      <c r="B30" s="121" t="s">
        <v>17</v>
      </c>
      <c r="C30" s="79" t="s">
        <v>5337</v>
      </c>
      <c r="D30" s="79" t="s">
        <v>5338</v>
      </c>
      <c r="E30" s="79" t="s">
        <v>5339</v>
      </c>
      <c r="F30" s="54"/>
      <c r="G30" s="39"/>
      <c r="H30" s="64"/>
      <c r="I30" s="45" t="b">
        <f t="shared" si="0"/>
        <v>0</v>
      </c>
      <c r="J30" s="70"/>
      <c r="K30" s="164"/>
      <c r="L30" s="165"/>
      <c r="M30" s="70"/>
      <c r="N30" s="70"/>
      <c r="O30" s="24"/>
      <c r="P30" s="24"/>
      <c r="Q30" s="24"/>
      <c r="R30" s="24"/>
      <c r="S30" s="24"/>
      <c r="T30" s="24"/>
      <c r="U30" s="24"/>
      <c r="V30" s="24"/>
      <c r="W30" s="24"/>
      <c r="X30" s="24"/>
      <c r="Y30" s="24"/>
      <c r="Z30" s="24"/>
      <c r="AA30" s="24"/>
      <c r="AB30" s="24"/>
      <c r="AC30" s="24"/>
      <c r="AD30" s="24"/>
      <c r="AE30" s="24"/>
    </row>
    <row r="31" spans="1:31" ht="119.55">
      <c r="A31" s="121" t="s">
        <v>5345</v>
      </c>
      <c r="B31" s="121" t="s">
        <v>17</v>
      </c>
      <c r="C31" s="79" t="s">
        <v>5346</v>
      </c>
      <c r="D31" s="25" t="s">
        <v>5347</v>
      </c>
      <c r="E31" s="79" t="s">
        <v>5348</v>
      </c>
      <c r="F31" s="54"/>
      <c r="G31" s="39"/>
      <c r="H31" s="64"/>
      <c r="I31" s="45" t="b">
        <f t="shared" si="0"/>
        <v>0</v>
      </c>
      <c r="J31" s="70"/>
      <c r="K31" s="164"/>
      <c r="L31" s="165"/>
      <c r="M31" s="70"/>
      <c r="N31" s="70"/>
      <c r="O31" s="24"/>
      <c r="P31" s="24"/>
      <c r="Q31" s="24"/>
      <c r="R31" s="24"/>
      <c r="S31" s="24"/>
      <c r="T31" s="24"/>
      <c r="U31" s="24"/>
      <c r="V31" s="24"/>
      <c r="W31" s="24"/>
      <c r="X31" s="24"/>
      <c r="Y31" s="24"/>
      <c r="Z31" s="24"/>
      <c r="AA31" s="24"/>
      <c r="AB31" s="24"/>
      <c r="AC31" s="24"/>
      <c r="AD31" s="24"/>
      <c r="AE31" s="24"/>
    </row>
    <row r="32" spans="1:31" ht="130.44999999999999">
      <c r="A32" s="121" t="s">
        <v>5349</v>
      </c>
      <c r="B32" s="121" t="s">
        <v>17</v>
      </c>
      <c r="C32" s="79" t="s">
        <v>5350</v>
      </c>
      <c r="D32" s="25" t="s">
        <v>5351</v>
      </c>
      <c r="E32" s="25" t="s">
        <v>5352</v>
      </c>
      <c r="F32" s="54"/>
      <c r="G32" s="25"/>
      <c r="H32" s="64"/>
      <c r="I32" s="45" t="b">
        <f t="shared" si="0"/>
        <v>0</v>
      </c>
      <c r="J32" s="70"/>
      <c r="K32" s="164"/>
      <c r="L32" s="165"/>
      <c r="M32" s="70"/>
      <c r="N32" s="70"/>
      <c r="O32" s="24"/>
      <c r="P32" s="24"/>
      <c r="Q32" s="24"/>
      <c r="R32" s="24"/>
      <c r="S32" s="24"/>
      <c r="T32" s="24"/>
      <c r="U32" s="24"/>
      <c r="V32" s="24"/>
      <c r="W32" s="24"/>
      <c r="X32" s="24"/>
      <c r="Y32" s="24"/>
      <c r="Z32" s="24"/>
      <c r="AA32" s="24"/>
      <c r="AB32" s="24"/>
      <c r="AC32" s="24"/>
      <c r="AD32" s="24"/>
      <c r="AE32" s="24"/>
    </row>
    <row r="33" spans="1:31" ht="76.099999999999994">
      <c r="A33" s="121" t="s">
        <v>5356</v>
      </c>
      <c r="B33" s="121" t="s">
        <v>17</v>
      </c>
      <c r="C33" s="79" t="s">
        <v>5357</v>
      </c>
      <c r="D33" s="25" t="s">
        <v>5358</v>
      </c>
      <c r="E33" s="25" t="s">
        <v>5359</v>
      </c>
      <c r="F33" s="54"/>
      <c r="G33" s="25"/>
      <c r="H33" s="64"/>
      <c r="I33" s="45" t="b">
        <f t="shared" si="0"/>
        <v>0</v>
      </c>
      <c r="J33" s="70"/>
      <c r="K33" s="164"/>
      <c r="L33" s="165"/>
      <c r="M33" s="70"/>
      <c r="N33" s="70"/>
      <c r="O33" s="24"/>
      <c r="P33" s="24"/>
      <c r="Q33" s="24"/>
      <c r="R33" s="24"/>
      <c r="S33" s="24"/>
      <c r="T33" s="24"/>
      <c r="U33" s="24"/>
      <c r="V33" s="24"/>
      <c r="W33" s="24"/>
      <c r="X33" s="24"/>
      <c r="Y33" s="24"/>
      <c r="Z33" s="24"/>
      <c r="AA33" s="24"/>
      <c r="AB33" s="24"/>
      <c r="AC33" s="24"/>
      <c r="AD33" s="24"/>
      <c r="AE33" s="24"/>
    </row>
    <row r="34" spans="1:31" ht="65.25">
      <c r="A34" s="121" t="s">
        <v>5360</v>
      </c>
      <c r="B34" s="121" t="s">
        <v>17</v>
      </c>
      <c r="C34" s="79" t="s">
        <v>5361</v>
      </c>
      <c r="D34" s="25" t="s">
        <v>5362</v>
      </c>
      <c r="E34" s="25" t="s">
        <v>5363</v>
      </c>
      <c r="F34" s="54"/>
      <c r="G34" s="39"/>
      <c r="H34" s="64"/>
      <c r="I34" s="45" t="b">
        <f t="shared" si="0"/>
        <v>0</v>
      </c>
      <c r="J34" s="70"/>
      <c r="K34" s="164"/>
      <c r="L34" s="165"/>
      <c r="M34" s="70"/>
      <c r="N34" s="70"/>
      <c r="O34" s="24"/>
      <c r="P34" s="24"/>
      <c r="Q34" s="24"/>
      <c r="R34" s="24"/>
      <c r="S34" s="24"/>
      <c r="T34" s="24"/>
      <c r="U34" s="24"/>
      <c r="V34" s="24"/>
      <c r="W34" s="24"/>
      <c r="X34" s="24"/>
      <c r="Y34" s="24"/>
      <c r="Z34" s="24"/>
      <c r="AA34" s="24"/>
      <c r="AB34" s="24"/>
      <c r="AC34" s="24"/>
      <c r="AD34" s="24"/>
      <c r="AE34" s="24"/>
    </row>
    <row r="35" spans="1:31" ht="65.25">
      <c r="A35" s="121" t="s">
        <v>5364</v>
      </c>
      <c r="B35" s="121" t="s">
        <v>17</v>
      </c>
      <c r="C35" s="79" t="s">
        <v>5366</v>
      </c>
      <c r="D35" s="25" t="s">
        <v>5367</v>
      </c>
      <c r="E35" s="25" t="s">
        <v>5369</v>
      </c>
      <c r="F35" s="54"/>
      <c r="G35" s="39"/>
      <c r="H35" s="64"/>
      <c r="I35" s="45" t="b">
        <f t="shared" si="0"/>
        <v>0</v>
      </c>
      <c r="J35" s="70"/>
      <c r="K35" s="164"/>
      <c r="L35" s="165"/>
      <c r="M35" s="70"/>
      <c r="N35" s="70"/>
      <c r="O35" s="24"/>
      <c r="P35" s="24"/>
      <c r="Q35" s="24"/>
      <c r="R35" s="24"/>
      <c r="S35" s="24"/>
      <c r="T35" s="24"/>
      <c r="U35" s="24"/>
      <c r="V35" s="24"/>
      <c r="W35" s="24"/>
      <c r="X35" s="24"/>
      <c r="Y35" s="24"/>
      <c r="Z35" s="24"/>
      <c r="AA35" s="24"/>
      <c r="AB35" s="24"/>
      <c r="AC35" s="24"/>
      <c r="AD35" s="24"/>
      <c r="AE35" s="24"/>
    </row>
    <row r="36" spans="1:31" ht="239.1">
      <c r="A36" s="121" t="s">
        <v>5372</v>
      </c>
      <c r="B36" s="121" t="s">
        <v>17</v>
      </c>
      <c r="C36" s="79" t="s">
        <v>5373</v>
      </c>
      <c r="D36" s="25" t="s">
        <v>5374</v>
      </c>
      <c r="E36" s="25" t="s">
        <v>5375</v>
      </c>
      <c r="F36" s="25"/>
      <c r="G36" s="25"/>
      <c r="H36" s="64"/>
      <c r="I36" s="45" t="b">
        <f t="shared" si="0"/>
        <v>0</v>
      </c>
      <c r="J36" s="70"/>
      <c r="K36" s="164"/>
      <c r="L36" s="165"/>
      <c r="M36" s="70"/>
      <c r="N36" s="70"/>
      <c r="O36" s="24"/>
      <c r="P36" s="24"/>
      <c r="Q36" s="24"/>
      <c r="R36" s="24"/>
      <c r="S36" s="24"/>
      <c r="T36" s="24"/>
      <c r="U36" s="24"/>
      <c r="V36" s="24"/>
      <c r="W36" s="24"/>
      <c r="X36" s="24"/>
      <c r="Y36" s="24"/>
      <c r="Z36" s="24"/>
      <c r="AA36" s="24"/>
      <c r="AB36" s="24"/>
      <c r="AC36" s="24"/>
      <c r="AD36" s="24"/>
      <c r="AE36" s="24"/>
    </row>
    <row r="37" spans="1:31" ht="43.5">
      <c r="A37" s="121" t="s">
        <v>5376</v>
      </c>
      <c r="B37" s="121" t="s">
        <v>17</v>
      </c>
      <c r="C37" s="79" t="s">
        <v>5377</v>
      </c>
      <c r="D37" s="25" t="s">
        <v>5378</v>
      </c>
      <c r="E37" s="25" t="s">
        <v>5379</v>
      </c>
      <c r="F37" s="25"/>
      <c r="G37" s="25"/>
      <c r="H37" s="64"/>
      <c r="I37" s="45" t="b">
        <f t="shared" si="0"/>
        <v>0</v>
      </c>
      <c r="J37" s="70"/>
      <c r="K37" s="164"/>
      <c r="L37" s="165"/>
      <c r="M37" s="70"/>
      <c r="N37" s="70"/>
      <c r="O37" s="24"/>
      <c r="P37" s="24"/>
      <c r="Q37" s="24"/>
      <c r="R37" s="24"/>
      <c r="S37" s="24"/>
      <c r="T37" s="24"/>
      <c r="U37" s="24"/>
      <c r="V37" s="24"/>
      <c r="W37" s="24"/>
      <c r="X37" s="24"/>
      <c r="Y37" s="24"/>
      <c r="Z37" s="24"/>
      <c r="AA37" s="24"/>
      <c r="AB37" s="24"/>
      <c r="AC37" s="24"/>
      <c r="AD37" s="24"/>
      <c r="AE37" s="24"/>
    </row>
    <row r="38" spans="1:31" ht="228.25">
      <c r="A38" s="121" t="s">
        <v>5380</v>
      </c>
      <c r="B38" s="121" t="s">
        <v>17</v>
      </c>
      <c r="C38" s="79" t="s">
        <v>5381</v>
      </c>
      <c r="D38" s="25" t="s">
        <v>5382</v>
      </c>
      <c r="E38" s="25" t="s">
        <v>5375</v>
      </c>
      <c r="F38" s="25"/>
      <c r="G38" s="25"/>
      <c r="H38" s="64"/>
      <c r="I38" s="45" t="b">
        <f t="shared" si="0"/>
        <v>0</v>
      </c>
      <c r="J38" s="70"/>
      <c r="K38" s="164"/>
      <c r="L38" s="165"/>
      <c r="M38" s="70"/>
      <c r="N38" s="70"/>
      <c r="O38" s="24"/>
      <c r="P38" s="24"/>
      <c r="Q38" s="24"/>
      <c r="R38" s="24"/>
      <c r="S38" s="24"/>
      <c r="T38" s="24"/>
      <c r="U38" s="24"/>
      <c r="V38" s="24"/>
      <c r="W38" s="24"/>
      <c r="X38" s="24"/>
      <c r="Y38" s="24"/>
      <c r="Z38" s="24"/>
      <c r="AA38" s="24"/>
      <c r="AB38" s="24"/>
      <c r="AC38" s="24"/>
      <c r="AD38" s="24"/>
      <c r="AE38" s="24"/>
    </row>
    <row r="39" spans="1:31" ht="173.9">
      <c r="A39" s="121" t="s">
        <v>5383</v>
      </c>
      <c r="B39" s="121" t="s">
        <v>17</v>
      </c>
      <c r="C39" s="25" t="s">
        <v>5384</v>
      </c>
      <c r="D39" s="25" t="s">
        <v>5385</v>
      </c>
      <c r="E39" s="25" t="s">
        <v>5386</v>
      </c>
      <c r="F39" s="25"/>
      <c r="G39" s="25"/>
      <c r="H39" s="64"/>
      <c r="I39" s="45" t="b">
        <f t="shared" si="0"/>
        <v>0</v>
      </c>
      <c r="J39" s="70"/>
      <c r="K39" s="164"/>
      <c r="L39" s="165"/>
      <c r="M39" s="70"/>
      <c r="N39" s="70"/>
      <c r="O39" s="24"/>
      <c r="P39" s="24"/>
      <c r="Q39" s="24"/>
      <c r="R39" s="24"/>
      <c r="S39" s="24"/>
      <c r="T39" s="24"/>
      <c r="U39" s="24"/>
      <c r="V39" s="24"/>
      <c r="W39" s="24"/>
      <c r="X39" s="24"/>
      <c r="Y39" s="24"/>
      <c r="Z39" s="24"/>
      <c r="AA39" s="24"/>
      <c r="AB39" s="24"/>
      <c r="AC39" s="24"/>
      <c r="AD39" s="24"/>
      <c r="AE39" s="24"/>
    </row>
    <row r="40" spans="1:31" ht="32.6">
      <c r="A40" s="121" t="s">
        <v>5387</v>
      </c>
      <c r="B40" s="121" t="s">
        <v>17</v>
      </c>
      <c r="C40" s="25" t="s">
        <v>5388</v>
      </c>
      <c r="D40" s="25" t="s">
        <v>5389</v>
      </c>
      <c r="E40" s="25" t="s">
        <v>5391</v>
      </c>
      <c r="F40" s="25"/>
      <c r="G40" s="25"/>
      <c r="H40" s="64"/>
      <c r="I40" s="45" t="b">
        <f t="shared" si="0"/>
        <v>0</v>
      </c>
      <c r="J40" s="70"/>
      <c r="K40" s="164"/>
      <c r="L40" s="165"/>
      <c r="M40" s="70"/>
      <c r="N40" s="70"/>
      <c r="O40" s="24"/>
      <c r="P40" s="24"/>
      <c r="Q40" s="24"/>
      <c r="R40" s="24"/>
      <c r="S40" s="24"/>
      <c r="T40" s="24"/>
      <c r="U40" s="24"/>
      <c r="V40" s="24"/>
      <c r="W40" s="24"/>
      <c r="X40" s="24"/>
      <c r="Y40" s="24"/>
      <c r="Z40" s="24"/>
      <c r="AA40" s="24"/>
      <c r="AB40" s="24"/>
      <c r="AC40" s="24"/>
      <c r="AD40" s="24"/>
      <c r="AE40" s="24"/>
    </row>
    <row r="41" spans="1:31" ht="141.30000000000001">
      <c r="A41" s="121" t="s">
        <v>5397</v>
      </c>
      <c r="B41" s="121" t="s">
        <v>17</v>
      </c>
      <c r="C41" s="79" t="s">
        <v>5398</v>
      </c>
      <c r="D41" s="25" t="s">
        <v>5399</v>
      </c>
      <c r="E41" s="25" t="s">
        <v>5400</v>
      </c>
      <c r="F41" s="57" t="str">
        <f t="shared" ref="F41:F46" si="1">HYPERLINK("https://www.acquisition.gov/content/part-1-federal-acquisition-regulations-system#id1617MD00GS8","FAR 1.604")</f>
        <v>FAR 1.604</v>
      </c>
      <c r="G41" s="57" t="str">
        <f t="shared" ref="G41:G46" si="2">HYPERLINK("https://www.acquisition.gov/content/501604-contracting-officers-representative-cor","GSAM 501.604")</f>
        <v>GSAM 501.604</v>
      </c>
      <c r="H41" s="64"/>
      <c r="I41" s="45" t="b">
        <f t="shared" si="0"/>
        <v>0</v>
      </c>
      <c r="J41" s="70"/>
      <c r="K41" s="70"/>
      <c r="L41" s="165"/>
      <c r="M41" s="70"/>
      <c r="N41" s="70"/>
      <c r="O41" s="24"/>
      <c r="P41" s="24"/>
      <c r="Q41" s="24"/>
      <c r="R41" s="24"/>
      <c r="S41" s="24"/>
      <c r="T41" s="24"/>
      <c r="U41" s="24"/>
      <c r="V41" s="24"/>
      <c r="W41" s="24"/>
      <c r="X41" s="24"/>
      <c r="Y41" s="24"/>
      <c r="Z41" s="24"/>
      <c r="AA41" s="24"/>
      <c r="AB41" s="24"/>
      <c r="AC41" s="24"/>
      <c r="AD41" s="24"/>
      <c r="AE41" s="24"/>
    </row>
    <row r="42" spans="1:31" ht="54.35">
      <c r="A42" s="121" t="s">
        <v>5405</v>
      </c>
      <c r="B42" s="121" t="s">
        <v>17</v>
      </c>
      <c r="C42" s="25" t="s">
        <v>5406</v>
      </c>
      <c r="D42" s="25" t="s">
        <v>5407</v>
      </c>
      <c r="E42" s="25" t="s">
        <v>5408</v>
      </c>
      <c r="F42" s="57" t="str">
        <f t="shared" si="1"/>
        <v>FAR 1.604</v>
      </c>
      <c r="G42" s="57" t="str">
        <f t="shared" si="2"/>
        <v>GSAM 501.604</v>
      </c>
      <c r="H42" s="64"/>
      <c r="I42" s="45" t="b">
        <f t="shared" si="0"/>
        <v>0</v>
      </c>
      <c r="J42" s="70"/>
      <c r="K42" s="164"/>
      <c r="L42" s="165"/>
      <c r="M42" s="70"/>
      <c r="N42" s="70"/>
      <c r="O42" s="24"/>
      <c r="P42" s="24"/>
      <c r="Q42" s="24"/>
      <c r="R42" s="24"/>
      <c r="S42" s="24"/>
      <c r="T42" s="24"/>
      <c r="U42" s="24"/>
      <c r="V42" s="24"/>
      <c r="W42" s="24"/>
      <c r="X42" s="24"/>
      <c r="Y42" s="24"/>
      <c r="Z42" s="24"/>
      <c r="AA42" s="24"/>
      <c r="AB42" s="24"/>
      <c r="AC42" s="24"/>
      <c r="AD42" s="24"/>
      <c r="AE42" s="24"/>
    </row>
    <row r="43" spans="1:31" ht="43.5">
      <c r="A43" s="121" t="s">
        <v>5409</v>
      </c>
      <c r="B43" s="121" t="s">
        <v>17</v>
      </c>
      <c r="C43" s="79" t="s">
        <v>5410</v>
      </c>
      <c r="D43" s="25" t="s">
        <v>5411</v>
      </c>
      <c r="E43" s="25" t="s">
        <v>5412</v>
      </c>
      <c r="F43" s="57" t="str">
        <f t="shared" si="1"/>
        <v>FAR 1.604</v>
      </c>
      <c r="G43" s="57" t="str">
        <f t="shared" si="2"/>
        <v>GSAM 501.604</v>
      </c>
      <c r="H43" s="64"/>
      <c r="I43" s="45" t="b">
        <f t="shared" si="0"/>
        <v>0</v>
      </c>
      <c r="J43" s="70"/>
      <c r="K43" s="164"/>
      <c r="L43" s="165"/>
      <c r="M43" s="70"/>
      <c r="N43" s="70"/>
      <c r="O43" s="24"/>
      <c r="P43" s="24"/>
      <c r="Q43" s="24"/>
      <c r="R43" s="24"/>
      <c r="S43" s="24"/>
      <c r="T43" s="24"/>
      <c r="U43" s="24"/>
      <c r="V43" s="24"/>
      <c r="W43" s="24"/>
      <c r="X43" s="24"/>
      <c r="Y43" s="24"/>
      <c r="Z43" s="24"/>
      <c r="AA43" s="24"/>
      <c r="AB43" s="24"/>
      <c r="AC43" s="24"/>
      <c r="AD43" s="24"/>
      <c r="AE43" s="24"/>
    </row>
    <row r="44" spans="1:31" ht="32.6">
      <c r="A44" s="121" t="s">
        <v>5417</v>
      </c>
      <c r="B44" s="121" t="s">
        <v>17</v>
      </c>
      <c r="C44" s="25" t="s">
        <v>5419</v>
      </c>
      <c r="D44" s="25" t="s">
        <v>5421</v>
      </c>
      <c r="E44" s="25" t="s">
        <v>5423</v>
      </c>
      <c r="F44" s="57" t="str">
        <f t="shared" si="1"/>
        <v>FAR 1.604</v>
      </c>
      <c r="G44" s="57" t="str">
        <f t="shared" si="2"/>
        <v>GSAM 501.604</v>
      </c>
      <c r="H44" s="64"/>
      <c r="I44" s="45" t="b">
        <f t="shared" si="0"/>
        <v>0</v>
      </c>
      <c r="J44" s="70"/>
      <c r="K44" s="70"/>
      <c r="L44" s="165"/>
      <c r="M44" s="70"/>
      <c r="N44" s="70"/>
      <c r="O44" s="24"/>
      <c r="P44" s="24"/>
      <c r="Q44" s="24"/>
      <c r="R44" s="24"/>
      <c r="S44" s="24"/>
      <c r="T44" s="24"/>
      <c r="U44" s="24"/>
      <c r="V44" s="24"/>
      <c r="W44" s="24"/>
      <c r="X44" s="24"/>
      <c r="Y44" s="24"/>
      <c r="Z44" s="24"/>
      <c r="AA44" s="24"/>
      <c r="AB44" s="24"/>
      <c r="AC44" s="24"/>
      <c r="AD44" s="24"/>
      <c r="AE44" s="24"/>
    </row>
    <row r="45" spans="1:31" ht="54.35">
      <c r="A45" s="121" t="s">
        <v>5426</v>
      </c>
      <c r="B45" s="121" t="s">
        <v>17</v>
      </c>
      <c r="C45" s="25" t="s">
        <v>5428</v>
      </c>
      <c r="D45" s="25" t="s">
        <v>5429</v>
      </c>
      <c r="E45" s="25" t="s">
        <v>5430</v>
      </c>
      <c r="F45" s="57" t="str">
        <f t="shared" si="1"/>
        <v>FAR 1.604</v>
      </c>
      <c r="G45" s="57" t="str">
        <f t="shared" si="2"/>
        <v>GSAM 501.604</v>
      </c>
      <c r="H45" s="64"/>
      <c r="I45" s="45" t="b">
        <f t="shared" si="0"/>
        <v>0</v>
      </c>
      <c r="J45" s="70"/>
      <c r="K45" s="164"/>
      <c r="L45" s="165"/>
      <c r="M45" s="70"/>
      <c r="N45" s="70"/>
      <c r="O45" s="24"/>
      <c r="P45" s="24"/>
      <c r="Q45" s="24"/>
      <c r="R45" s="24"/>
      <c r="S45" s="24"/>
      <c r="T45" s="24"/>
      <c r="U45" s="24"/>
      <c r="V45" s="24"/>
      <c r="W45" s="24"/>
      <c r="X45" s="24"/>
      <c r="Y45" s="24"/>
      <c r="Z45" s="24"/>
      <c r="AA45" s="24"/>
      <c r="AB45" s="24"/>
      <c r="AC45" s="24"/>
      <c r="AD45" s="24"/>
      <c r="AE45" s="24"/>
    </row>
    <row r="46" spans="1:31" ht="119.55">
      <c r="A46" s="121" t="s">
        <v>5435</v>
      </c>
      <c r="B46" s="121" t="s">
        <v>17</v>
      </c>
      <c r="C46" s="25" t="s">
        <v>5436</v>
      </c>
      <c r="D46" s="25" t="s">
        <v>5437</v>
      </c>
      <c r="E46" s="25" t="s">
        <v>5438</v>
      </c>
      <c r="F46" s="57" t="str">
        <f t="shared" si="1"/>
        <v>FAR 1.604</v>
      </c>
      <c r="G46" s="57" t="str">
        <f t="shared" si="2"/>
        <v>GSAM 501.604</v>
      </c>
      <c r="H46" s="64"/>
      <c r="I46" s="45" t="b">
        <f t="shared" si="0"/>
        <v>0</v>
      </c>
      <c r="J46" s="70"/>
      <c r="K46" s="164"/>
      <c r="L46" s="165"/>
      <c r="M46" s="70"/>
      <c r="N46" s="70"/>
      <c r="O46" s="24"/>
      <c r="P46" s="24"/>
      <c r="Q46" s="24"/>
      <c r="R46" s="24"/>
      <c r="S46" s="24"/>
      <c r="T46" s="24"/>
      <c r="U46" s="24"/>
      <c r="V46" s="24"/>
      <c r="W46" s="24"/>
      <c r="X46" s="24"/>
      <c r="Y46" s="24"/>
      <c r="Z46" s="24"/>
      <c r="AA46" s="24"/>
      <c r="AB46" s="24"/>
      <c r="AC46" s="24"/>
      <c r="AD46" s="24"/>
      <c r="AE46" s="24"/>
    </row>
    <row r="47" spans="1:31" ht="54.35">
      <c r="A47" s="121" t="s">
        <v>5446</v>
      </c>
      <c r="B47" s="121" t="s">
        <v>17</v>
      </c>
      <c r="C47" s="79" t="s">
        <v>5447</v>
      </c>
      <c r="D47" s="25" t="s">
        <v>5448</v>
      </c>
      <c r="E47" s="25" t="s">
        <v>5449</v>
      </c>
      <c r="F47" s="131"/>
      <c r="G47" s="131"/>
      <c r="H47" s="64"/>
      <c r="I47" s="45" t="b">
        <f t="shared" si="0"/>
        <v>0</v>
      </c>
      <c r="J47" s="70"/>
      <c r="K47" s="164"/>
      <c r="L47" s="165"/>
      <c r="M47" s="70"/>
      <c r="N47" s="70"/>
      <c r="O47" s="24"/>
      <c r="P47" s="24"/>
      <c r="Q47" s="24"/>
      <c r="R47" s="24"/>
      <c r="S47" s="24"/>
      <c r="T47" s="24"/>
      <c r="U47" s="24"/>
      <c r="V47" s="24"/>
      <c r="W47" s="24"/>
      <c r="X47" s="24"/>
      <c r="Y47" s="24"/>
      <c r="Z47" s="24"/>
      <c r="AA47" s="24"/>
      <c r="AB47" s="24"/>
      <c r="AC47" s="24"/>
      <c r="AD47" s="24"/>
      <c r="AE47" s="24"/>
    </row>
    <row r="48" spans="1:31" ht="38.25" customHeight="1">
      <c r="A48" s="121" t="s">
        <v>5453</v>
      </c>
      <c r="B48" s="121" t="s">
        <v>17</v>
      </c>
      <c r="C48" s="79" t="s">
        <v>5454</v>
      </c>
      <c r="D48" s="25" t="s">
        <v>5455</v>
      </c>
      <c r="E48" s="25" t="s">
        <v>5456</v>
      </c>
      <c r="F48" s="139"/>
      <c r="G48" s="27"/>
      <c r="H48" s="64"/>
      <c r="I48" s="45" t="b">
        <f t="shared" si="0"/>
        <v>0</v>
      </c>
      <c r="J48" s="70"/>
      <c r="K48" s="70"/>
      <c r="L48" s="165"/>
      <c r="M48" s="70"/>
      <c r="N48" s="70"/>
      <c r="O48" s="24"/>
      <c r="P48" s="24"/>
      <c r="Q48" s="24"/>
      <c r="R48" s="24"/>
      <c r="S48" s="24"/>
      <c r="T48" s="24"/>
      <c r="U48" s="24"/>
      <c r="V48" s="24"/>
      <c r="W48" s="24"/>
      <c r="X48" s="24"/>
      <c r="Y48" s="24"/>
      <c r="Z48" s="24"/>
      <c r="AA48" s="24"/>
      <c r="AB48" s="24"/>
      <c r="AC48" s="24"/>
      <c r="AD48" s="24"/>
      <c r="AE48" s="24"/>
    </row>
    <row r="49" spans="1:31" ht="43.5">
      <c r="A49" s="121" t="s">
        <v>5461</v>
      </c>
      <c r="B49" s="121" t="s">
        <v>17</v>
      </c>
      <c r="C49" s="79" t="s">
        <v>5462</v>
      </c>
      <c r="D49" s="25" t="s">
        <v>5463</v>
      </c>
      <c r="E49" s="25" t="s">
        <v>5464</v>
      </c>
      <c r="F49" s="54"/>
      <c r="G49" s="27"/>
      <c r="H49" s="64"/>
      <c r="I49" s="45" t="b">
        <f t="shared" si="0"/>
        <v>0</v>
      </c>
      <c r="J49" s="70"/>
      <c r="K49" s="70"/>
      <c r="L49" s="165"/>
      <c r="M49" s="70"/>
      <c r="N49" s="70"/>
      <c r="O49" s="24"/>
      <c r="P49" s="24"/>
      <c r="Q49" s="24"/>
      <c r="R49" s="24"/>
      <c r="S49" s="24"/>
      <c r="T49" s="24"/>
      <c r="U49" s="24"/>
      <c r="V49" s="24"/>
      <c r="W49" s="24"/>
      <c r="X49" s="24"/>
      <c r="Y49" s="24"/>
      <c r="Z49" s="24"/>
      <c r="AA49" s="24"/>
      <c r="AB49" s="24"/>
      <c r="AC49" s="24"/>
      <c r="AD49" s="24"/>
      <c r="AE49" s="24"/>
    </row>
    <row r="50" spans="1:31" ht="54.35">
      <c r="A50" s="121" t="s">
        <v>5469</v>
      </c>
      <c r="B50" s="121" t="s">
        <v>17</v>
      </c>
      <c r="C50" s="79" t="s">
        <v>5472</v>
      </c>
      <c r="D50" s="25" t="s">
        <v>5474</v>
      </c>
      <c r="E50" s="25" t="s">
        <v>5475</v>
      </c>
      <c r="F50" s="54"/>
      <c r="G50" s="27"/>
      <c r="H50" s="64"/>
      <c r="I50" s="45" t="b">
        <f t="shared" si="0"/>
        <v>0</v>
      </c>
      <c r="J50" s="70"/>
      <c r="K50" s="70"/>
      <c r="L50" s="165"/>
      <c r="M50" s="70"/>
      <c r="N50" s="70"/>
      <c r="O50" s="24"/>
      <c r="P50" s="24"/>
      <c r="Q50" s="24"/>
      <c r="R50" s="24"/>
      <c r="S50" s="24"/>
      <c r="T50" s="24"/>
      <c r="U50" s="24"/>
      <c r="V50" s="24"/>
      <c r="W50" s="24"/>
      <c r="X50" s="24"/>
      <c r="Y50" s="24"/>
      <c r="Z50" s="24"/>
      <c r="AA50" s="24"/>
      <c r="AB50" s="24"/>
      <c r="AC50" s="24"/>
      <c r="AD50" s="24"/>
      <c r="AE50" s="24"/>
    </row>
    <row r="51" spans="1:31" ht="43.5">
      <c r="A51" s="121" t="s">
        <v>5479</v>
      </c>
      <c r="B51" s="121" t="s">
        <v>17</v>
      </c>
      <c r="C51" s="79" t="s">
        <v>5480</v>
      </c>
      <c r="D51" s="25" t="s">
        <v>5481</v>
      </c>
      <c r="E51" s="25" t="s">
        <v>5482</v>
      </c>
      <c r="F51" s="54"/>
      <c r="G51" s="27"/>
      <c r="H51" s="64"/>
      <c r="I51" s="45" t="b">
        <f t="shared" si="0"/>
        <v>0</v>
      </c>
      <c r="J51" s="70"/>
      <c r="K51" s="70"/>
      <c r="L51" s="165"/>
      <c r="M51" s="70"/>
      <c r="N51" s="70"/>
      <c r="O51" s="24"/>
      <c r="P51" s="24"/>
      <c r="Q51" s="24"/>
      <c r="R51" s="24"/>
      <c r="S51" s="24"/>
      <c r="T51" s="24"/>
      <c r="U51" s="24"/>
      <c r="V51" s="24"/>
      <c r="W51" s="24"/>
      <c r="X51" s="24"/>
      <c r="Y51" s="24"/>
      <c r="Z51" s="24"/>
      <c r="AA51" s="24"/>
      <c r="AB51" s="24"/>
      <c r="AC51" s="24"/>
      <c r="AD51" s="24"/>
      <c r="AE51" s="24"/>
    </row>
    <row r="52" spans="1:31" ht="32.6">
      <c r="A52" s="121" t="s">
        <v>5487</v>
      </c>
      <c r="B52" s="121" t="s">
        <v>17</v>
      </c>
      <c r="C52" s="79" t="s">
        <v>5489</v>
      </c>
      <c r="D52" s="25" t="s">
        <v>5491</v>
      </c>
      <c r="E52" s="25" t="s">
        <v>5492</v>
      </c>
      <c r="F52" s="54"/>
      <c r="G52" s="27"/>
      <c r="H52" s="64"/>
      <c r="I52" s="45" t="b">
        <f t="shared" si="0"/>
        <v>0</v>
      </c>
      <c r="J52" s="70"/>
      <c r="K52" s="70"/>
      <c r="L52" s="165"/>
      <c r="M52" s="70"/>
      <c r="N52" s="70"/>
      <c r="O52" s="24"/>
      <c r="P52" s="24"/>
      <c r="Q52" s="24"/>
      <c r="R52" s="24"/>
      <c r="S52" s="24"/>
      <c r="T52" s="24"/>
      <c r="U52" s="24"/>
      <c r="V52" s="24"/>
      <c r="W52" s="24"/>
      <c r="X52" s="24"/>
      <c r="Y52" s="24"/>
      <c r="Z52" s="24"/>
      <c r="AA52" s="24"/>
      <c r="AB52" s="24"/>
      <c r="AC52" s="24"/>
      <c r="AD52" s="24"/>
      <c r="AE52" s="24"/>
    </row>
    <row r="53" spans="1:31" ht="32.6">
      <c r="A53" s="121" t="s">
        <v>5497</v>
      </c>
      <c r="B53" s="121" t="s">
        <v>17</v>
      </c>
      <c r="C53" s="79" t="s">
        <v>5499</v>
      </c>
      <c r="D53" s="25" t="s">
        <v>5500</v>
      </c>
      <c r="E53" s="25" t="s">
        <v>5501</v>
      </c>
      <c r="F53" s="54"/>
      <c r="G53" s="27"/>
      <c r="H53" s="64"/>
      <c r="I53" s="45" t="b">
        <f t="shared" si="0"/>
        <v>0</v>
      </c>
      <c r="J53" s="70"/>
      <c r="K53" s="164"/>
      <c r="L53" s="165"/>
      <c r="M53" s="70"/>
      <c r="N53" s="70"/>
      <c r="O53" s="24"/>
      <c r="P53" s="24"/>
      <c r="Q53" s="24"/>
      <c r="R53" s="24"/>
      <c r="S53" s="24"/>
      <c r="T53" s="24"/>
      <c r="U53" s="24"/>
      <c r="V53" s="24"/>
      <c r="W53" s="24"/>
      <c r="X53" s="24"/>
      <c r="Y53" s="24"/>
      <c r="Z53" s="24"/>
      <c r="AA53" s="24"/>
      <c r="AB53" s="24"/>
      <c r="AC53" s="24"/>
      <c r="AD53" s="24"/>
      <c r="AE53" s="24"/>
    </row>
    <row r="54" spans="1:31" ht="32.6">
      <c r="A54" s="121" t="s">
        <v>5502</v>
      </c>
      <c r="B54" s="121" t="s">
        <v>17</v>
      </c>
      <c r="C54" s="79" t="s">
        <v>5503</v>
      </c>
      <c r="D54" s="25" t="s">
        <v>5504</v>
      </c>
      <c r="E54" s="25" t="s">
        <v>5505</v>
      </c>
      <c r="F54" s="54"/>
      <c r="G54" s="25"/>
      <c r="H54" s="64"/>
      <c r="I54" s="45" t="b">
        <f t="shared" si="0"/>
        <v>0</v>
      </c>
      <c r="J54" s="70"/>
      <c r="K54" s="164"/>
      <c r="L54" s="165"/>
      <c r="M54" s="70"/>
      <c r="N54" s="70"/>
      <c r="O54" s="24"/>
      <c r="P54" s="24"/>
      <c r="Q54" s="24"/>
      <c r="R54" s="24"/>
      <c r="S54" s="24"/>
      <c r="T54" s="24"/>
      <c r="U54" s="24"/>
      <c r="V54" s="24"/>
      <c r="W54" s="24"/>
      <c r="X54" s="24"/>
      <c r="Y54" s="24"/>
      <c r="Z54" s="24"/>
      <c r="AA54" s="24"/>
      <c r="AB54" s="24"/>
      <c r="AC54" s="24"/>
      <c r="AD54" s="24"/>
      <c r="AE54" s="24"/>
    </row>
    <row r="55" spans="1:31" ht="43.5">
      <c r="A55" s="121" t="s">
        <v>5508</v>
      </c>
      <c r="B55" s="121" t="s">
        <v>17</v>
      </c>
      <c r="C55" s="79" t="s">
        <v>5509</v>
      </c>
      <c r="D55" s="25" t="s">
        <v>5510</v>
      </c>
      <c r="E55" s="25" t="s">
        <v>5511</v>
      </c>
      <c r="F55" s="54"/>
      <c r="G55" s="25"/>
      <c r="H55" s="64"/>
      <c r="I55" s="45" t="b">
        <f t="shared" si="0"/>
        <v>0</v>
      </c>
      <c r="J55" s="70"/>
      <c r="K55" s="164"/>
      <c r="L55" s="165"/>
      <c r="M55" s="70"/>
      <c r="N55" s="70"/>
      <c r="O55" s="24"/>
      <c r="P55" s="24"/>
      <c r="Q55" s="24"/>
      <c r="R55" s="24"/>
      <c r="S55" s="24"/>
      <c r="T55" s="24"/>
      <c r="U55" s="24"/>
      <c r="V55" s="24"/>
      <c r="W55" s="24"/>
      <c r="X55" s="24"/>
      <c r="Y55" s="24"/>
      <c r="Z55" s="24"/>
      <c r="AA55" s="24"/>
      <c r="AB55" s="24"/>
      <c r="AC55" s="24"/>
      <c r="AD55" s="24"/>
      <c r="AE55" s="24"/>
    </row>
    <row r="56" spans="1:31" ht="54.35">
      <c r="A56" s="121" t="s">
        <v>5514</v>
      </c>
      <c r="B56" s="121" t="s">
        <v>17</v>
      </c>
      <c r="C56" s="167" t="s">
        <v>5515</v>
      </c>
      <c r="D56" s="25" t="s">
        <v>5520</v>
      </c>
      <c r="E56" s="25" t="s">
        <v>5521</v>
      </c>
      <c r="F56" s="54"/>
      <c r="G56" s="25"/>
      <c r="H56" s="64"/>
      <c r="I56" s="45" t="b">
        <f t="shared" si="0"/>
        <v>0</v>
      </c>
      <c r="J56" s="70"/>
      <c r="K56" s="164"/>
      <c r="L56" s="165"/>
      <c r="M56" s="70"/>
      <c r="N56" s="70"/>
      <c r="O56" s="24"/>
      <c r="P56" s="24"/>
      <c r="Q56" s="24"/>
      <c r="R56" s="24"/>
      <c r="S56" s="24"/>
      <c r="T56" s="24"/>
      <c r="U56" s="24"/>
      <c r="V56" s="24"/>
      <c r="W56" s="24"/>
      <c r="X56" s="24"/>
      <c r="Y56" s="24"/>
      <c r="Z56" s="24"/>
      <c r="AA56" s="24"/>
      <c r="AB56" s="24"/>
      <c r="AC56" s="24"/>
      <c r="AD56" s="24"/>
      <c r="AE56" s="24"/>
    </row>
    <row r="57" spans="1:31" ht="43.5">
      <c r="A57" s="121" t="s">
        <v>5526</v>
      </c>
      <c r="B57" s="121" t="s">
        <v>17</v>
      </c>
      <c r="C57" s="79" t="s">
        <v>5527</v>
      </c>
      <c r="D57" s="25" t="s">
        <v>5528</v>
      </c>
      <c r="E57" s="25" t="s">
        <v>5529</v>
      </c>
      <c r="F57" s="54"/>
      <c r="G57" s="25"/>
      <c r="H57" s="64"/>
      <c r="I57" s="45" t="b">
        <f t="shared" si="0"/>
        <v>0</v>
      </c>
      <c r="J57" s="70"/>
      <c r="K57" s="164"/>
      <c r="L57" s="165"/>
      <c r="M57" s="70"/>
      <c r="N57" s="70"/>
      <c r="O57" s="24"/>
      <c r="P57" s="24"/>
      <c r="Q57" s="24"/>
      <c r="R57" s="24"/>
      <c r="S57" s="24"/>
      <c r="T57" s="24"/>
      <c r="U57" s="24"/>
      <c r="V57" s="24"/>
      <c r="W57" s="24"/>
      <c r="X57" s="24"/>
      <c r="Y57" s="24"/>
      <c r="Z57" s="24"/>
      <c r="AA57" s="24"/>
      <c r="AB57" s="24"/>
      <c r="AC57" s="24"/>
      <c r="AD57" s="24"/>
      <c r="AE57" s="24"/>
    </row>
    <row r="58" spans="1:31" ht="21.75">
      <c r="A58" s="121" t="s">
        <v>5534</v>
      </c>
      <c r="B58" s="121" t="s">
        <v>17</v>
      </c>
      <c r="C58" s="79" t="s">
        <v>5535</v>
      </c>
      <c r="D58" s="25" t="s">
        <v>5536</v>
      </c>
      <c r="E58" s="25" t="s">
        <v>5537</v>
      </c>
      <c r="F58" s="54"/>
      <c r="G58" s="25"/>
      <c r="H58" s="64"/>
      <c r="I58" s="45" t="b">
        <f t="shared" si="0"/>
        <v>0</v>
      </c>
      <c r="J58" s="70"/>
      <c r="K58" s="164"/>
      <c r="L58" s="165"/>
      <c r="M58" s="70"/>
      <c r="N58" s="70"/>
      <c r="O58" s="24"/>
      <c r="P58" s="24"/>
      <c r="Q58" s="24"/>
      <c r="R58" s="24"/>
      <c r="S58" s="24"/>
      <c r="T58" s="24"/>
      <c r="U58" s="24"/>
      <c r="V58" s="24"/>
      <c r="W58" s="24"/>
      <c r="X58" s="24"/>
      <c r="Y58" s="24"/>
      <c r="Z58" s="24"/>
      <c r="AA58" s="24"/>
      <c r="AB58" s="24"/>
      <c r="AC58" s="24"/>
      <c r="AD58" s="24"/>
      <c r="AE58" s="24"/>
    </row>
    <row r="59" spans="1:31" ht="32.6">
      <c r="A59" s="121" t="s">
        <v>5541</v>
      </c>
      <c r="B59" s="121" t="s">
        <v>17</v>
      </c>
      <c r="C59" s="79" t="s">
        <v>5542</v>
      </c>
      <c r="D59" s="25" t="s">
        <v>5543</v>
      </c>
      <c r="E59" s="25" t="s">
        <v>5544</v>
      </c>
      <c r="F59" s="54"/>
      <c r="G59" s="25"/>
      <c r="H59" s="64"/>
      <c r="I59" s="45" t="b">
        <f t="shared" si="0"/>
        <v>0</v>
      </c>
      <c r="J59" s="70"/>
      <c r="K59" s="164"/>
      <c r="L59" s="165"/>
      <c r="M59" s="70"/>
      <c r="N59" s="70"/>
      <c r="O59" s="24"/>
      <c r="P59" s="24"/>
      <c r="Q59" s="24"/>
      <c r="R59" s="24"/>
      <c r="S59" s="24"/>
      <c r="T59" s="24"/>
      <c r="U59" s="24"/>
      <c r="V59" s="24"/>
      <c r="W59" s="24"/>
      <c r="X59" s="24"/>
      <c r="Y59" s="24"/>
      <c r="Z59" s="24"/>
      <c r="AA59" s="24"/>
      <c r="AB59" s="24"/>
      <c r="AC59" s="24"/>
      <c r="AD59" s="24"/>
      <c r="AE59" s="24"/>
    </row>
    <row r="60" spans="1:31" ht="32.6">
      <c r="A60" s="121" t="s">
        <v>5545</v>
      </c>
      <c r="B60" s="121" t="s">
        <v>17</v>
      </c>
      <c r="C60" s="79" t="s">
        <v>5546</v>
      </c>
      <c r="D60" s="25" t="s">
        <v>5547</v>
      </c>
      <c r="E60" s="25" t="s">
        <v>5548</v>
      </c>
      <c r="F60" s="54"/>
      <c r="G60" s="25"/>
      <c r="H60" s="64"/>
      <c r="I60" s="45" t="b">
        <f t="shared" si="0"/>
        <v>0</v>
      </c>
      <c r="J60" s="70"/>
      <c r="K60" s="70"/>
      <c r="L60" s="165"/>
      <c r="M60" s="70"/>
      <c r="N60" s="24"/>
      <c r="O60" s="24"/>
      <c r="P60" s="24"/>
      <c r="Q60" s="24"/>
      <c r="R60" s="24"/>
      <c r="S60" s="24"/>
      <c r="T60" s="24"/>
      <c r="U60" s="24"/>
      <c r="V60" s="24"/>
      <c r="W60" s="24"/>
      <c r="X60" s="24"/>
      <c r="Y60" s="24"/>
      <c r="Z60" s="24"/>
      <c r="AA60" s="24"/>
      <c r="AB60" s="24"/>
      <c r="AC60" s="24"/>
      <c r="AD60" s="24"/>
      <c r="AE60" s="24"/>
    </row>
    <row r="61" spans="1:31" ht="32.6">
      <c r="A61" s="121" t="s">
        <v>5552</v>
      </c>
      <c r="B61" s="121" t="s">
        <v>17</v>
      </c>
      <c r="C61" s="79" t="s">
        <v>5553</v>
      </c>
      <c r="D61" s="25" t="s">
        <v>5554</v>
      </c>
      <c r="E61" s="25" t="s">
        <v>5555</v>
      </c>
      <c r="F61" s="54"/>
      <c r="G61" s="25"/>
      <c r="H61" s="64"/>
      <c r="I61" s="45" t="b">
        <f t="shared" si="0"/>
        <v>0</v>
      </c>
      <c r="J61" s="70"/>
      <c r="K61" s="70"/>
      <c r="L61" s="165"/>
      <c r="M61" s="70"/>
      <c r="N61" s="70"/>
      <c r="O61" s="24"/>
      <c r="P61" s="24"/>
      <c r="Q61" s="24"/>
      <c r="R61" s="24"/>
      <c r="S61" s="24"/>
      <c r="T61" s="24"/>
      <c r="U61" s="24"/>
      <c r="V61" s="24"/>
      <c r="W61" s="24"/>
      <c r="X61" s="24"/>
      <c r="Y61" s="24"/>
      <c r="Z61" s="24"/>
      <c r="AA61" s="24"/>
      <c r="AB61" s="24"/>
      <c r="AC61" s="24"/>
      <c r="AD61" s="24"/>
      <c r="AE61" s="24"/>
    </row>
    <row r="62" spans="1:31" ht="32.6">
      <c r="A62" s="121" t="s">
        <v>5559</v>
      </c>
      <c r="B62" s="121" t="s">
        <v>17</v>
      </c>
      <c r="C62" s="79" t="s">
        <v>5560</v>
      </c>
      <c r="D62" s="25" t="s">
        <v>5562</v>
      </c>
      <c r="E62" s="25" t="s">
        <v>5564</v>
      </c>
      <c r="F62" s="54"/>
      <c r="G62" s="25"/>
      <c r="H62" s="64"/>
      <c r="I62" s="45" t="b">
        <f t="shared" si="0"/>
        <v>0</v>
      </c>
      <c r="J62" s="70"/>
      <c r="K62" s="164"/>
      <c r="L62" s="165"/>
      <c r="M62" s="70"/>
      <c r="N62" s="70"/>
      <c r="O62" s="24"/>
      <c r="P62" s="24"/>
      <c r="Q62" s="24"/>
      <c r="R62" s="24"/>
      <c r="S62" s="24"/>
      <c r="T62" s="24"/>
      <c r="U62" s="24"/>
      <c r="V62" s="24"/>
      <c r="W62" s="24"/>
      <c r="X62" s="24"/>
      <c r="Y62" s="24"/>
      <c r="Z62" s="24"/>
      <c r="AA62" s="24"/>
      <c r="AB62" s="24"/>
      <c r="AC62" s="24"/>
      <c r="AD62" s="24"/>
      <c r="AE62" s="24"/>
    </row>
    <row r="63" spans="1:31" ht="21.75">
      <c r="A63" s="121" t="s">
        <v>5567</v>
      </c>
      <c r="B63" s="121" t="s">
        <v>17</v>
      </c>
      <c r="C63" s="79" t="s">
        <v>5568</v>
      </c>
      <c r="D63" s="25" t="s">
        <v>5569</v>
      </c>
      <c r="E63" s="25" t="s">
        <v>5570</v>
      </c>
      <c r="F63" s="54"/>
      <c r="G63" s="25"/>
      <c r="H63" s="64"/>
      <c r="I63" s="45" t="b">
        <f t="shared" si="0"/>
        <v>0</v>
      </c>
      <c r="J63" s="24"/>
      <c r="K63" s="24"/>
      <c r="L63" s="24"/>
      <c r="M63" s="24"/>
      <c r="N63" s="24"/>
      <c r="O63" s="24"/>
      <c r="P63" s="24"/>
      <c r="Q63" s="24"/>
      <c r="R63" s="24"/>
      <c r="S63" s="24"/>
      <c r="T63" s="24"/>
      <c r="U63" s="24"/>
      <c r="V63" s="24"/>
      <c r="W63" s="24"/>
      <c r="X63" s="24"/>
      <c r="Y63" s="24"/>
      <c r="Z63" s="24"/>
      <c r="AA63" s="24"/>
      <c r="AB63" s="24"/>
      <c r="AC63" s="24"/>
      <c r="AD63" s="24"/>
      <c r="AE63" s="24"/>
    </row>
    <row r="64" spans="1:31" ht="43.5">
      <c r="A64" s="121" t="s">
        <v>5576</v>
      </c>
      <c r="B64" s="121" t="s">
        <v>17</v>
      </c>
      <c r="C64" s="167" t="s">
        <v>5579</v>
      </c>
      <c r="D64" s="25" t="s">
        <v>5580</v>
      </c>
      <c r="E64" s="25" t="s">
        <v>5581</v>
      </c>
      <c r="F64" s="54"/>
      <c r="G64" s="25"/>
      <c r="H64" s="64"/>
      <c r="I64" s="45" t="b">
        <f t="shared" si="0"/>
        <v>0</v>
      </c>
      <c r="J64" s="70"/>
      <c r="K64" s="70"/>
      <c r="L64" s="165"/>
      <c r="M64" s="70"/>
      <c r="N64" s="70"/>
      <c r="O64" s="24"/>
      <c r="P64" s="24"/>
      <c r="Q64" s="24"/>
      <c r="R64" s="24"/>
      <c r="S64" s="24"/>
      <c r="T64" s="24"/>
      <c r="U64" s="24"/>
      <c r="V64" s="24"/>
      <c r="W64" s="24"/>
      <c r="X64" s="24"/>
      <c r="Y64" s="24"/>
      <c r="Z64" s="24"/>
      <c r="AA64" s="24"/>
      <c r="AB64" s="24"/>
      <c r="AC64" s="24"/>
      <c r="AD64" s="24"/>
      <c r="AE64" s="24"/>
    </row>
    <row r="65" spans="1:31" ht="32.6">
      <c r="A65" s="121" t="s">
        <v>5582</v>
      </c>
      <c r="B65" s="121" t="s">
        <v>17</v>
      </c>
      <c r="C65" s="167" t="s">
        <v>5583</v>
      </c>
      <c r="D65" s="25" t="s">
        <v>5584</v>
      </c>
      <c r="E65" s="25" t="s">
        <v>5586</v>
      </c>
      <c r="F65" s="54"/>
      <c r="G65" s="25"/>
      <c r="H65" s="64"/>
      <c r="I65" s="45" t="b">
        <f t="shared" si="0"/>
        <v>0</v>
      </c>
      <c r="J65" s="70"/>
      <c r="K65" s="70"/>
      <c r="L65" s="165"/>
      <c r="M65" s="70"/>
      <c r="N65" s="70"/>
      <c r="O65" s="24"/>
      <c r="P65" s="24"/>
      <c r="Q65" s="24"/>
      <c r="R65" s="24"/>
      <c r="S65" s="24"/>
      <c r="T65" s="24"/>
      <c r="U65" s="24"/>
      <c r="V65" s="24"/>
      <c r="W65" s="24"/>
      <c r="X65" s="24"/>
      <c r="Y65" s="24"/>
      <c r="Z65" s="24"/>
      <c r="AA65" s="24"/>
      <c r="AB65" s="24"/>
      <c r="AC65" s="24"/>
      <c r="AD65" s="24"/>
      <c r="AE65" s="24"/>
    </row>
    <row r="66" spans="1:31" ht="21.1" customHeight="1">
      <c r="A66" s="121" t="s">
        <v>5587</v>
      </c>
      <c r="B66" s="121" t="s">
        <v>17</v>
      </c>
      <c r="C66" s="167" t="s">
        <v>5588</v>
      </c>
      <c r="D66" s="25" t="s">
        <v>5589</v>
      </c>
      <c r="E66" s="25" t="s">
        <v>5590</v>
      </c>
      <c r="F66" s="54"/>
      <c r="G66" s="25"/>
      <c r="H66" s="64"/>
      <c r="I66" s="45" t="b">
        <f t="shared" si="0"/>
        <v>0</v>
      </c>
      <c r="J66" s="24"/>
      <c r="K66" s="24"/>
      <c r="L66" s="24"/>
      <c r="M66" s="24"/>
      <c r="N66" s="24"/>
      <c r="O66" s="24"/>
      <c r="P66" s="24"/>
      <c r="Q66" s="24"/>
      <c r="R66" s="24"/>
      <c r="S66" s="24"/>
      <c r="T66" s="24"/>
      <c r="U66" s="24"/>
      <c r="V66" s="24"/>
      <c r="W66" s="24"/>
      <c r="X66" s="24"/>
      <c r="Y66" s="24"/>
      <c r="Z66" s="24"/>
      <c r="AA66" s="24"/>
      <c r="AB66" s="24"/>
      <c r="AC66" s="24"/>
      <c r="AD66" s="24"/>
      <c r="AE66" s="24"/>
    </row>
    <row r="67" spans="1:31" ht="12.9">
      <c r="A67" s="70"/>
      <c r="B67" s="168"/>
      <c r="C67" s="169"/>
      <c r="D67" s="24"/>
      <c r="E67" s="24"/>
      <c r="F67" s="24"/>
      <c r="G67" s="170"/>
      <c r="H67" s="171"/>
      <c r="I67" s="171"/>
      <c r="J67" s="70"/>
      <c r="K67" s="70"/>
      <c r="L67" s="165"/>
      <c r="M67" s="70"/>
      <c r="N67" s="70"/>
      <c r="O67" s="24"/>
      <c r="P67" s="24"/>
      <c r="Q67" s="24"/>
      <c r="R67" s="24"/>
      <c r="S67" s="24"/>
      <c r="T67" s="24"/>
      <c r="U67" s="24"/>
      <c r="V67" s="24"/>
      <c r="W67" s="24"/>
      <c r="X67" s="24"/>
      <c r="Y67" s="24"/>
      <c r="Z67" s="24"/>
      <c r="AA67" s="24"/>
      <c r="AB67" s="24"/>
      <c r="AC67" s="24"/>
      <c r="AD67" s="24"/>
      <c r="AE67" s="24"/>
    </row>
    <row r="68" spans="1:31" ht="15.65">
      <c r="A68" s="70"/>
      <c r="B68" s="168"/>
      <c r="C68" s="169"/>
      <c r="D68" s="24"/>
      <c r="E68" s="24"/>
      <c r="F68" s="24"/>
      <c r="G68" s="170"/>
      <c r="H68" s="171"/>
      <c r="I68" s="125">
        <f>SUM(I2:I66)</f>
        <v>0</v>
      </c>
      <c r="J68" s="70"/>
      <c r="K68" s="70"/>
      <c r="L68" s="165"/>
      <c r="M68" s="70"/>
      <c r="N68" s="70"/>
      <c r="O68" s="24"/>
      <c r="P68" s="24"/>
      <c r="Q68" s="24"/>
      <c r="R68" s="24"/>
      <c r="S68" s="24"/>
      <c r="T68" s="24"/>
      <c r="U68" s="24"/>
      <c r="V68" s="24"/>
      <c r="W68" s="24"/>
      <c r="X68" s="24"/>
      <c r="Y68" s="24"/>
      <c r="Z68" s="24"/>
      <c r="AA68" s="24"/>
      <c r="AB68" s="24"/>
      <c r="AC68" s="24"/>
      <c r="AD68" s="24"/>
      <c r="AE68" s="24"/>
    </row>
    <row r="69" spans="1:31" ht="12.9">
      <c r="A69" s="70"/>
      <c r="B69" s="168"/>
      <c r="C69" s="169"/>
      <c r="D69" s="24"/>
      <c r="E69" s="24"/>
      <c r="F69" s="24"/>
      <c r="G69" s="24"/>
      <c r="H69" s="171"/>
      <c r="I69" s="171"/>
      <c r="J69" s="70"/>
      <c r="K69" s="164"/>
      <c r="L69" s="165"/>
      <c r="M69" s="70"/>
      <c r="N69" s="70"/>
      <c r="O69" s="24"/>
      <c r="P69" s="24"/>
      <c r="Q69" s="24"/>
      <c r="R69" s="24"/>
      <c r="S69" s="24"/>
      <c r="T69" s="24"/>
      <c r="U69" s="24"/>
      <c r="V69" s="24"/>
      <c r="W69" s="24"/>
      <c r="X69" s="24"/>
      <c r="Y69" s="24"/>
      <c r="Z69" s="24"/>
      <c r="AA69" s="24"/>
      <c r="AB69" s="24"/>
      <c r="AC69" s="24"/>
      <c r="AD69" s="24"/>
      <c r="AE69" s="24"/>
    </row>
    <row r="70" spans="1:31" ht="12.9">
      <c r="A70" s="70"/>
      <c r="B70" s="168"/>
      <c r="C70" s="169"/>
      <c r="D70" s="24"/>
      <c r="E70" s="24"/>
      <c r="F70" s="24"/>
      <c r="G70" s="24"/>
      <c r="H70" s="171"/>
      <c r="I70" s="171"/>
      <c r="J70" s="70"/>
      <c r="K70" s="164"/>
      <c r="L70" s="165"/>
      <c r="M70" s="70"/>
      <c r="N70" s="70"/>
      <c r="O70" s="24"/>
      <c r="P70" s="24"/>
      <c r="Q70" s="24"/>
      <c r="R70" s="24"/>
      <c r="S70" s="24"/>
      <c r="T70" s="24"/>
      <c r="U70" s="24"/>
      <c r="V70" s="24"/>
      <c r="W70" s="24"/>
      <c r="X70" s="24"/>
      <c r="Y70" s="24"/>
      <c r="Z70" s="24"/>
      <c r="AA70" s="24"/>
      <c r="AB70" s="24"/>
      <c r="AC70" s="24"/>
      <c r="AD70" s="24"/>
      <c r="AE70" s="24"/>
    </row>
    <row r="71" spans="1:31" ht="12.9">
      <c r="A71" s="70"/>
      <c r="B71" s="168"/>
      <c r="C71" s="169"/>
      <c r="D71" s="24"/>
      <c r="E71" s="24"/>
      <c r="F71" s="24"/>
      <c r="G71" s="24"/>
      <c r="H71" s="171"/>
      <c r="I71" s="172"/>
      <c r="J71" s="70"/>
      <c r="K71" s="164"/>
      <c r="L71" s="165"/>
      <c r="M71" s="70"/>
      <c r="N71" s="70"/>
      <c r="O71" s="24"/>
      <c r="P71" s="24"/>
      <c r="Q71" s="24"/>
      <c r="R71" s="24"/>
      <c r="S71" s="24"/>
      <c r="T71" s="24"/>
      <c r="U71" s="24"/>
      <c r="V71" s="24"/>
      <c r="W71" s="24"/>
      <c r="X71" s="24"/>
      <c r="Y71" s="24"/>
      <c r="Z71" s="24"/>
      <c r="AA71" s="24"/>
      <c r="AB71" s="24"/>
      <c r="AC71" s="24"/>
      <c r="AD71" s="24"/>
      <c r="AE71" s="24"/>
    </row>
    <row r="72" spans="1:31" ht="12.9">
      <c r="A72" s="70"/>
      <c r="B72" s="168"/>
      <c r="C72" s="169"/>
      <c r="D72" s="24"/>
      <c r="E72" s="24"/>
      <c r="F72" s="24"/>
      <c r="G72" s="24"/>
      <c r="H72" s="173"/>
      <c r="I72" s="117"/>
      <c r="J72" s="70"/>
      <c r="K72" s="70"/>
      <c r="L72" s="165"/>
      <c r="M72" s="70"/>
      <c r="N72" s="70"/>
      <c r="O72" s="24"/>
      <c r="P72" s="24"/>
      <c r="Q72" s="24"/>
      <c r="R72" s="24"/>
      <c r="S72" s="24"/>
      <c r="T72" s="24"/>
      <c r="U72" s="24"/>
      <c r="V72" s="24"/>
      <c r="W72" s="24"/>
      <c r="X72" s="24"/>
      <c r="Y72" s="24"/>
      <c r="Z72" s="24"/>
      <c r="AA72" s="24"/>
      <c r="AB72" s="24"/>
      <c r="AC72" s="24"/>
      <c r="AD72" s="24"/>
      <c r="AE72" s="24"/>
    </row>
    <row r="73" spans="1:31" ht="12.9">
      <c r="A73" s="70"/>
      <c r="B73" s="168"/>
      <c r="C73" s="169"/>
      <c r="D73" s="24"/>
      <c r="E73" s="24"/>
      <c r="F73" s="24"/>
      <c r="G73" s="70"/>
      <c r="H73" s="171"/>
      <c r="I73" s="172"/>
      <c r="J73" s="70"/>
      <c r="K73" s="70"/>
      <c r="L73" s="165"/>
      <c r="M73" s="70"/>
      <c r="N73" s="70"/>
      <c r="O73" s="24"/>
      <c r="P73" s="24"/>
      <c r="Q73" s="24"/>
      <c r="R73" s="24"/>
      <c r="S73" s="24"/>
      <c r="T73" s="24"/>
      <c r="U73" s="24"/>
      <c r="V73" s="24"/>
      <c r="W73" s="24"/>
      <c r="X73" s="24"/>
      <c r="Y73" s="24"/>
      <c r="Z73" s="24"/>
      <c r="AA73" s="24"/>
      <c r="AB73" s="24"/>
      <c r="AC73" s="24"/>
      <c r="AD73" s="24"/>
      <c r="AE73" s="24"/>
    </row>
    <row r="74" spans="1:31" ht="12.9">
      <c r="A74" s="70"/>
      <c r="B74" s="168"/>
      <c r="C74" s="169"/>
      <c r="D74" s="24"/>
      <c r="E74" s="24"/>
      <c r="F74" s="24"/>
      <c r="G74" s="70"/>
      <c r="H74" s="171"/>
      <c r="I74" s="172"/>
      <c r="J74" s="70"/>
      <c r="K74" s="70"/>
      <c r="L74" s="165"/>
      <c r="M74" s="70"/>
      <c r="N74" s="24"/>
      <c r="O74" s="24"/>
      <c r="P74" s="24"/>
      <c r="Q74" s="24"/>
      <c r="R74" s="24"/>
      <c r="S74" s="24"/>
      <c r="T74" s="24"/>
      <c r="U74" s="24"/>
      <c r="V74" s="24"/>
      <c r="W74" s="24"/>
      <c r="X74" s="24"/>
      <c r="Y74" s="24"/>
      <c r="Z74" s="24"/>
      <c r="AA74" s="24"/>
      <c r="AB74" s="24"/>
      <c r="AC74" s="24"/>
      <c r="AD74" s="24"/>
      <c r="AE74" s="24"/>
    </row>
    <row r="75" spans="1:31" ht="12.9">
      <c r="A75" s="70"/>
      <c r="B75" s="168"/>
      <c r="C75" s="169"/>
      <c r="D75" s="24"/>
      <c r="E75" s="24"/>
      <c r="F75" s="24"/>
      <c r="G75" s="70"/>
      <c r="H75" s="171"/>
      <c r="I75" s="172"/>
      <c r="J75" s="70"/>
      <c r="K75" s="70"/>
      <c r="L75" s="165"/>
      <c r="M75" s="70"/>
      <c r="N75" s="24"/>
      <c r="O75" s="24"/>
      <c r="P75" s="24"/>
      <c r="Q75" s="24"/>
      <c r="R75" s="24"/>
      <c r="S75" s="24"/>
      <c r="T75" s="24"/>
      <c r="U75" s="24"/>
      <c r="V75" s="24"/>
      <c r="W75" s="24"/>
      <c r="X75" s="24"/>
      <c r="Y75" s="24"/>
      <c r="Z75" s="24"/>
      <c r="AA75" s="24"/>
      <c r="AB75" s="24"/>
      <c r="AC75" s="24"/>
      <c r="AD75" s="24"/>
      <c r="AE75" s="24"/>
    </row>
    <row r="76" spans="1:31" ht="12.9">
      <c r="A76" s="70"/>
      <c r="B76" s="168"/>
      <c r="C76" s="169"/>
      <c r="D76" s="24"/>
      <c r="E76" s="24"/>
      <c r="F76" s="24"/>
      <c r="G76" s="70"/>
      <c r="H76" s="171"/>
      <c r="I76" s="172"/>
      <c r="J76" s="70"/>
      <c r="K76" s="70"/>
      <c r="L76" s="165"/>
      <c r="M76" s="70"/>
      <c r="N76" s="24"/>
      <c r="O76" s="24"/>
      <c r="P76" s="24"/>
      <c r="Q76" s="24"/>
      <c r="R76" s="24"/>
      <c r="S76" s="24"/>
      <c r="T76" s="24"/>
      <c r="U76" s="24"/>
      <c r="V76" s="24"/>
      <c r="W76" s="24"/>
      <c r="X76" s="24"/>
      <c r="Y76" s="24"/>
      <c r="Z76" s="24"/>
      <c r="AA76" s="24"/>
      <c r="AB76" s="24"/>
      <c r="AC76" s="24"/>
      <c r="AD76" s="24"/>
      <c r="AE76" s="24"/>
    </row>
    <row r="77" spans="1:31" ht="12.9">
      <c r="A77" s="70"/>
      <c r="B77" s="168"/>
      <c r="C77" s="169"/>
      <c r="D77" s="24"/>
      <c r="E77" s="24"/>
      <c r="F77" s="24"/>
      <c r="G77" s="70"/>
      <c r="H77" s="171"/>
      <c r="I77" s="172"/>
      <c r="J77" s="70"/>
      <c r="K77" s="70"/>
      <c r="L77" s="165"/>
      <c r="M77" s="70"/>
      <c r="N77" s="70"/>
      <c r="O77" s="24"/>
      <c r="P77" s="24"/>
      <c r="Q77" s="24"/>
      <c r="R77" s="24"/>
      <c r="S77" s="24"/>
      <c r="T77" s="24"/>
      <c r="U77" s="24"/>
      <c r="V77" s="24"/>
      <c r="W77" s="24"/>
      <c r="X77" s="24"/>
      <c r="Y77" s="24"/>
      <c r="Z77" s="24"/>
      <c r="AA77" s="24"/>
      <c r="AB77" s="24"/>
      <c r="AC77" s="24"/>
      <c r="AD77" s="24"/>
      <c r="AE77" s="24"/>
    </row>
    <row r="78" spans="1:31" ht="12.9">
      <c r="A78" s="70"/>
      <c r="B78" s="168"/>
      <c r="C78" s="169"/>
      <c r="D78" s="24"/>
      <c r="E78" s="24"/>
      <c r="F78" s="24"/>
      <c r="G78" s="174"/>
      <c r="H78" s="171"/>
      <c r="I78" s="175"/>
      <c r="J78" s="70"/>
      <c r="K78" s="70"/>
      <c r="L78" s="165"/>
      <c r="M78" s="70"/>
      <c r="N78" s="70"/>
      <c r="O78" s="24"/>
      <c r="P78" s="24"/>
      <c r="Q78" s="24"/>
      <c r="R78" s="24"/>
      <c r="S78" s="24"/>
      <c r="T78" s="24"/>
      <c r="U78" s="24"/>
      <c r="V78" s="24"/>
      <c r="W78" s="24"/>
      <c r="X78" s="24"/>
      <c r="Y78" s="24"/>
      <c r="Z78" s="24"/>
      <c r="AA78" s="24"/>
      <c r="AB78" s="24"/>
      <c r="AC78" s="24"/>
      <c r="AD78" s="24"/>
      <c r="AE78" s="24"/>
    </row>
    <row r="79" spans="1:31" ht="12.9">
      <c r="A79" s="70"/>
      <c r="B79" s="168"/>
      <c r="C79" s="169"/>
      <c r="D79" s="24"/>
      <c r="E79" s="24"/>
      <c r="F79" s="24"/>
      <c r="G79" s="174"/>
      <c r="H79" s="171"/>
      <c r="I79" s="175"/>
      <c r="J79" s="70"/>
      <c r="K79" s="70"/>
      <c r="L79" s="165"/>
      <c r="M79" s="70"/>
      <c r="N79" s="70"/>
      <c r="O79" s="24"/>
      <c r="P79" s="24"/>
      <c r="Q79" s="24"/>
      <c r="R79" s="24"/>
      <c r="S79" s="24"/>
      <c r="T79" s="24"/>
      <c r="U79" s="24"/>
      <c r="V79" s="24"/>
      <c r="W79" s="24"/>
      <c r="X79" s="24"/>
      <c r="Y79" s="24"/>
      <c r="Z79" s="24"/>
      <c r="AA79" s="24"/>
      <c r="AB79" s="24"/>
      <c r="AC79" s="24"/>
      <c r="AD79" s="24"/>
      <c r="AE79" s="24"/>
    </row>
    <row r="80" spans="1:31" ht="12.9">
      <c r="A80" s="70"/>
      <c r="B80" s="168"/>
      <c r="C80" s="169"/>
      <c r="D80" s="24"/>
      <c r="E80" s="24"/>
      <c r="F80" s="24"/>
      <c r="G80" s="70"/>
      <c r="H80" s="171"/>
      <c r="I80" s="172"/>
      <c r="J80" s="70"/>
      <c r="K80" s="70"/>
      <c r="L80" s="165"/>
      <c r="M80" s="70"/>
      <c r="N80" s="70"/>
      <c r="O80" s="24"/>
      <c r="P80" s="24"/>
      <c r="Q80" s="24"/>
      <c r="R80" s="24"/>
      <c r="S80" s="24"/>
      <c r="T80" s="24"/>
      <c r="U80" s="24"/>
      <c r="V80" s="24"/>
      <c r="W80" s="24"/>
      <c r="X80" s="24"/>
      <c r="Y80" s="24"/>
      <c r="Z80" s="24"/>
      <c r="AA80" s="24"/>
      <c r="AB80" s="24"/>
      <c r="AC80" s="24"/>
      <c r="AD80" s="24"/>
      <c r="AE80" s="24"/>
    </row>
    <row r="81" spans="1:31" ht="12.9">
      <c r="A81" s="70"/>
      <c r="B81" s="168"/>
      <c r="C81" s="169"/>
      <c r="D81" s="24"/>
      <c r="E81" s="24"/>
      <c r="F81" s="24"/>
      <c r="G81" s="70"/>
      <c r="H81" s="171"/>
      <c r="I81" s="171"/>
      <c r="J81" s="70"/>
      <c r="K81" s="70"/>
      <c r="L81" s="165"/>
      <c r="M81" s="70"/>
      <c r="N81" s="70"/>
      <c r="O81" s="24"/>
      <c r="P81" s="24"/>
      <c r="Q81" s="24"/>
      <c r="R81" s="24"/>
      <c r="S81" s="24"/>
      <c r="T81" s="24"/>
      <c r="U81" s="24"/>
      <c r="V81" s="24"/>
      <c r="W81" s="24"/>
      <c r="X81" s="24"/>
      <c r="Y81" s="24"/>
      <c r="Z81" s="24"/>
      <c r="AA81" s="24"/>
      <c r="AB81" s="24"/>
      <c r="AC81" s="24"/>
      <c r="AD81" s="24"/>
      <c r="AE81" s="24"/>
    </row>
    <row r="82" spans="1:31" ht="12.9">
      <c r="A82" s="70"/>
      <c r="B82" s="168"/>
      <c r="C82" s="169"/>
      <c r="D82" s="24"/>
      <c r="E82" s="24"/>
      <c r="F82" s="24"/>
      <c r="G82" s="70"/>
      <c r="H82" s="171"/>
      <c r="I82" s="172"/>
      <c r="J82" s="70"/>
      <c r="K82" s="70"/>
      <c r="L82" s="165"/>
      <c r="M82" s="70"/>
      <c r="N82" s="70"/>
      <c r="O82" s="24"/>
      <c r="P82" s="24"/>
      <c r="Q82" s="24"/>
      <c r="R82" s="24"/>
      <c r="S82" s="24"/>
      <c r="T82" s="24"/>
      <c r="U82" s="24"/>
      <c r="V82" s="24"/>
      <c r="W82" s="24"/>
      <c r="X82" s="24"/>
      <c r="Y82" s="24"/>
      <c r="Z82" s="24"/>
      <c r="AA82" s="24"/>
      <c r="AB82" s="24"/>
      <c r="AC82" s="24"/>
      <c r="AD82" s="24"/>
      <c r="AE82" s="24"/>
    </row>
    <row r="83" spans="1:31" ht="12.9">
      <c r="A83" s="70"/>
      <c r="B83" s="168"/>
      <c r="C83" s="169"/>
      <c r="D83" s="24"/>
      <c r="E83" s="24"/>
      <c r="F83" s="24"/>
      <c r="G83" s="70"/>
      <c r="H83" s="171"/>
      <c r="I83" s="171"/>
      <c r="J83" s="70"/>
      <c r="K83" s="70"/>
      <c r="L83" s="165"/>
      <c r="M83" s="70"/>
      <c r="N83" s="70"/>
      <c r="O83" s="24"/>
      <c r="P83" s="24"/>
      <c r="Q83" s="24"/>
      <c r="R83" s="24"/>
      <c r="S83" s="24"/>
      <c r="T83" s="24"/>
      <c r="U83" s="24"/>
      <c r="V83" s="24"/>
      <c r="W83" s="24"/>
      <c r="X83" s="24"/>
      <c r="Y83" s="24"/>
      <c r="Z83" s="24"/>
      <c r="AA83" s="24"/>
      <c r="AB83" s="24"/>
      <c r="AC83" s="24"/>
      <c r="AD83" s="24"/>
      <c r="AE83" s="24"/>
    </row>
    <row r="84" spans="1:31" ht="12.9">
      <c r="A84" s="70"/>
      <c r="B84" s="168"/>
      <c r="C84" s="169"/>
      <c r="D84" s="24"/>
      <c r="E84" s="24"/>
      <c r="F84" s="24"/>
      <c r="G84" s="70"/>
      <c r="H84" s="171"/>
      <c r="I84" s="171"/>
      <c r="J84" s="70"/>
      <c r="K84" s="70"/>
      <c r="L84" s="165"/>
      <c r="M84" s="70"/>
      <c r="N84" s="70"/>
      <c r="O84" s="24"/>
      <c r="P84" s="24"/>
      <c r="Q84" s="24"/>
      <c r="R84" s="24"/>
      <c r="S84" s="24"/>
      <c r="T84" s="24"/>
      <c r="U84" s="24"/>
      <c r="V84" s="24"/>
      <c r="W84" s="24"/>
      <c r="X84" s="24"/>
      <c r="Y84" s="24"/>
      <c r="Z84" s="24"/>
      <c r="AA84" s="24"/>
      <c r="AB84" s="24"/>
      <c r="AC84" s="24"/>
      <c r="AD84" s="24"/>
      <c r="AE84" s="24"/>
    </row>
    <row r="85" spans="1:31" ht="12.9">
      <c r="A85" s="70"/>
      <c r="B85" s="168"/>
      <c r="C85" s="169"/>
      <c r="D85" s="24"/>
      <c r="E85" s="24"/>
      <c r="F85" s="24"/>
      <c r="G85" s="70"/>
      <c r="H85" s="171"/>
      <c r="I85" s="172"/>
      <c r="J85" s="70"/>
      <c r="K85" s="70"/>
      <c r="L85" s="165"/>
      <c r="M85" s="70"/>
      <c r="N85" s="70"/>
      <c r="O85" s="24"/>
      <c r="P85" s="24"/>
      <c r="Q85" s="24"/>
      <c r="R85" s="24"/>
      <c r="S85" s="24"/>
      <c r="T85" s="24"/>
      <c r="U85" s="24"/>
      <c r="V85" s="24"/>
      <c r="W85" s="24"/>
      <c r="X85" s="24"/>
      <c r="Y85" s="24"/>
      <c r="Z85" s="24"/>
      <c r="AA85" s="24"/>
      <c r="AB85" s="24"/>
      <c r="AC85" s="24"/>
      <c r="AD85" s="24"/>
      <c r="AE85" s="24"/>
    </row>
    <row r="86" spans="1:31" ht="12.9">
      <c r="A86" s="70"/>
      <c r="B86" s="168"/>
      <c r="C86" s="169"/>
      <c r="D86" s="24"/>
      <c r="E86" s="24"/>
      <c r="F86" s="24"/>
      <c r="G86" s="70"/>
      <c r="H86" s="171"/>
      <c r="I86" s="172"/>
      <c r="J86" s="70"/>
      <c r="K86" s="70"/>
      <c r="L86" s="165"/>
      <c r="M86" s="70"/>
      <c r="N86" s="70"/>
      <c r="O86" s="24"/>
      <c r="P86" s="24"/>
      <c r="Q86" s="24"/>
      <c r="R86" s="24"/>
      <c r="S86" s="24"/>
      <c r="T86" s="24"/>
      <c r="U86" s="24"/>
      <c r="V86" s="24"/>
      <c r="W86" s="24"/>
      <c r="X86" s="24"/>
      <c r="Y86" s="24"/>
      <c r="Z86" s="24"/>
      <c r="AA86" s="24"/>
      <c r="AB86" s="24"/>
      <c r="AC86" s="24"/>
      <c r="AD86" s="24"/>
      <c r="AE86" s="24"/>
    </row>
    <row r="87" spans="1:31" ht="12.9">
      <c r="A87" s="70"/>
      <c r="B87" s="168"/>
      <c r="C87" s="169"/>
      <c r="D87" s="24"/>
      <c r="E87" s="24"/>
      <c r="F87" s="24"/>
      <c r="G87" s="70"/>
      <c r="H87" s="171"/>
      <c r="I87" s="172"/>
      <c r="J87" s="70"/>
      <c r="K87" s="70"/>
      <c r="L87" s="165"/>
      <c r="M87" s="70"/>
      <c r="N87" s="70"/>
      <c r="O87" s="24"/>
      <c r="P87" s="24"/>
      <c r="Q87" s="24"/>
      <c r="R87" s="24"/>
      <c r="S87" s="24"/>
      <c r="T87" s="24"/>
      <c r="U87" s="24"/>
      <c r="V87" s="24"/>
      <c r="W87" s="24"/>
      <c r="X87" s="24"/>
      <c r="Y87" s="24"/>
      <c r="Z87" s="24"/>
      <c r="AA87" s="24"/>
      <c r="AB87" s="24"/>
      <c r="AC87" s="24"/>
      <c r="AD87" s="24"/>
      <c r="AE87" s="24"/>
    </row>
    <row r="88" spans="1:31" ht="12.9">
      <c r="A88" s="70"/>
      <c r="B88" s="168"/>
      <c r="C88" s="169"/>
      <c r="D88" s="24"/>
      <c r="E88" s="24"/>
      <c r="F88" s="24"/>
      <c r="G88" s="70"/>
      <c r="H88" s="171"/>
      <c r="I88" s="172"/>
      <c r="J88" s="70"/>
      <c r="K88" s="70"/>
      <c r="L88" s="165"/>
      <c r="M88" s="70"/>
      <c r="N88" s="70"/>
      <c r="O88" s="24"/>
      <c r="P88" s="24"/>
      <c r="Q88" s="24"/>
      <c r="R88" s="24"/>
      <c r="S88" s="24"/>
      <c r="T88" s="24"/>
      <c r="U88" s="24"/>
      <c r="V88" s="24"/>
      <c r="W88" s="24"/>
      <c r="X88" s="24"/>
      <c r="Y88" s="24"/>
      <c r="Z88" s="24"/>
      <c r="AA88" s="24"/>
      <c r="AB88" s="24"/>
      <c r="AC88" s="24"/>
      <c r="AD88" s="24"/>
      <c r="AE88" s="24"/>
    </row>
    <row r="89" spans="1:31" ht="12.9">
      <c r="A89" s="70"/>
      <c r="B89" s="168"/>
      <c r="C89" s="169"/>
      <c r="D89" s="24"/>
      <c r="E89" s="24"/>
      <c r="F89" s="24"/>
      <c r="G89" s="70"/>
      <c r="H89" s="171"/>
      <c r="I89" s="172"/>
      <c r="J89" s="70"/>
      <c r="K89" s="70"/>
      <c r="L89" s="165"/>
      <c r="M89" s="70"/>
      <c r="N89" s="70"/>
      <c r="O89" s="24"/>
      <c r="P89" s="24"/>
      <c r="Q89" s="24"/>
      <c r="R89" s="24"/>
      <c r="S89" s="24"/>
      <c r="T89" s="24"/>
      <c r="U89" s="24"/>
      <c r="V89" s="24"/>
      <c r="W89" s="24"/>
      <c r="X89" s="24"/>
      <c r="Y89" s="24"/>
      <c r="Z89" s="24"/>
      <c r="AA89" s="24"/>
      <c r="AB89" s="24"/>
      <c r="AC89" s="24"/>
      <c r="AD89" s="24"/>
      <c r="AE89" s="24"/>
    </row>
    <row r="90" spans="1:31" ht="12.9">
      <c r="A90" s="70"/>
      <c r="B90" s="168"/>
      <c r="C90" s="169"/>
      <c r="D90" s="24"/>
      <c r="E90" s="24"/>
      <c r="F90" s="24"/>
      <c r="G90" s="70"/>
      <c r="H90" s="171"/>
      <c r="I90" s="175"/>
      <c r="J90" s="70"/>
      <c r="K90" s="70"/>
      <c r="L90" s="165"/>
      <c r="M90" s="70"/>
      <c r="N90" s="70"/>
      <c r="O90" s="24"/>
      <c r="P90" s="24"/>
      <c r="Q90" s="24"/>
      <c r="R90" s="24"/>
      <c r="S90" s="24"/>
      <c r="T90" s="24"/>
      <c r="U90" s="24"/>
      <c r="V90" s="24"/>
      <c r="W90" s="24"/>
      <c r="X90" s="24"/>
      <c r="Y90" s="24"/>
      <c r="Z90" s="24"/>
      <c r="AA90" s="24"/>
      <c r="AB90" s="24"/>
      <c r="AC90" s="24"/>
      <c r="AD90" s="24"/>
      <c r="AE90" s="24"/>
    </row>
    <row r="91" spans="1:31" ht="12.9">
      <c r="A91" s="70"/>
      <c r="B91" s="168"/>
      <c r="C91" s="169"/>
      <c r="D91" s="24"/>
      <c r="E91" s="24"/>
      <c r="F91" s="24"/>
      <c r="G91" s="70"/>
      <c r="H91" s="171"/>
      <c r="I91" s="172"/>
      <c r="J91" s="70"/>
      <c r="K91" s="70"/>
      <c r="L91" s="165"/>
      <c r="M91" s="70"/>
      <c r="N91" s="70"/>
      <c r="O91" s="24"/>
      <c r="P91" s="24"/>
      <c r="Q91" s="24"/>
      <c r="R91" s="24"/>
      <c r="S91" s="24"/>
      <c r="T91" s="24"/>
      <c r="U91" s="24"/>
      <c r="V91" s="24"/>
      <c r="W91" s="24"/>
      <c r="X91" s="24"/>
      <c r="Y91" s="24"/>
      <c r="Z91" s="24"/>
      <c r="AA91" s="24"/>
      <c r="AB91" s="24"/>
      <c r="AC91" s="24"/>
      <c r="AD91" s="24"/>
      <c r="AE91" s="24"/>
    </row>
    <row r="92" spans="1:31" ht="12.9">
      <c r="A92" s="70"/>
      <c r="B92" s="168"/>
      <c r="C92" s="169"/>
      <c r="D92" s="24"/>
      <c r="E92" s="24"/>
      <c r="F92" s="24"/>
      <c r="G92" s="70"/>
      <c r="H92" s="171"/>
      <c r="I92" s="175"/>
      <c r="J92" s="70"/>
      <c r="K92" s="70"/>
      <c r="L92" s="165"/>
      <c r="M92" s="70"/>
      <c r="N92" s="70"/>
      <c r="O92" s="24"/>
      <c r="P92" s="24"/>
      <c r="Q92" s="24"/>
      <c r="R92" s="24"/>
      <c r="S92" s="24"/>
      <c r="T92" s="24"/>
      <c r="U92" s="24"/>
      <c r="V92" s="24"/>
      <c r="W92" s="24"/>
      <c r="X92" s="24"/>
      <c r="Y92" s="24"/>
      <c r="Z92" s="24"/>
      <c r="AA92" s="24"/>
      <c r="AB92" s="24"/>
      <c r="AC92" s="24"/>
      <c r="AD92" s="24"/>
      <c r="AE92" s="24"/>
    </row>
    <row r="93" spans="1:31" ht="12.9">
      <c r="A93" s="70"/>
      <c r="B93" s="168"/>
      <c r="C93" s="169"/>
      <c r="D93" s="24"/>
      <c r="E93" s="24"/>
      <c r="F93" s="24"/>
      <c r="G93" s="70"/>
      <c r="H93" s="171"/>
      <c r="I93" s="171"/>
      <c r="J93" s="70"/>
      <c r="K93" s="70"/>
      <c r="L93" s="165"/>
      <c r="M93" s="70"/>
      <c r="N93" s="70"/>
      <c r="O93" s="24"/>
      <c r="P93" s="24"/>
      <c r="Q93" s="24"/>
      <c r="R93" s="24"/>
      <c r="S93" s="24"/>
      <c r="T93" s="24"/>
      <c r="U93" s="24"/>
      <c r="V93" s="24"/>
      <c r="W93" s="24"/>
      <c r="X93" s="24"/>
      <c r="Y93" s="24"/>
      <c r="Z93" s="24"/>
      <c r="AA93" s="24"/>
      <c r="AB93" s="24"/>
      <c r="AC93" s="24"/>
      <c r="AD93" s="24"/>
      <c r="AE93" s="24"/>
    </row>
    <row r="94" spans="1:31" ht="12.9">
      <c r="A94" s="70"/>
      <c r="B94" s="168"/>
      <c r="C94" s="169"/>
      <c r="D94" s="24"/>
      <c r="E94" s="24"/>
      <c r="F94" s="24"/>
      <c r="G94" s="70"/>
      <c r="H94" s="171"/>
      <c r="I94" s="175"/>
      <c r="J94" s="70"/>
      <c r="K94" s="70"/>
      <c r="L94" s="165"/>
      <c r="M94" s="70"/>
      <c r="N94" s="70"/>
      <c r="O94" s="24"/>
      <c r="P94" s="24"/>
      <c r="Q94" s="24"/>
      <c r="R94" s="24"/>
      <c r="S94" s="24"/>
      <c r="T94" s="24"/>
      <c r="U94" s="24"/>
      <c r="V94" s="24"/>
      <c r="W94" s="24"/>
      <c r="X94" s="24"/>
      <c r="Y94" s="24"/>
      <c r="Z94" s="24"/>
      <c r="AA94" s="24"/>
      <c r="AB94" s="24"/>
      <c r="AC94" s="24"/>
      <c r="AD94" s="24"/>
      <c r="AE94" s="24"/>
    </row>
    <row r="95" spans="1:31" ht="12.9">
      <c r="A95" s="70"/>
      <c r="B95" s="168"/>
      <c r="C95" s="169"/>
      <c r="D95" s="24"/>
      <c r="E95" s="24"/>
      <c r="F95" s="24"/>
      <c r="G95" s="70"/>
      <c r="H95" s="171"/>
      <c r="I95" s="175"/>
      <c r="J95" s="70"/>
      <c r="K95" s="70"/>
      <c r="L95" s="165"/>
      <c r="M95" s="70"/>
      <c r="N95" s="70"/>
      <c r="O95" s="24"/>
      <c r="P95" s="24"/>
      <c r="Q95" s="24"/>
      <c r="R95" s="24"/>
      <c r="S95" s="24"/>
      <c r="T95" s="24"/>
      <c r="U95" s="24"/>
      <c r="V95" s="24"/>
      <c r="W95" s="24"/>
      <c r="X95" s="24"/>
      <c r="Y95" s="24"/>
      <c r="Z95" s="24"/>
      <c r="AA95" s="24"/>
      <c r="AB95" s="24"/>
      <c r="AC95" s="24"/>
      <c r="AD95" s="24"/>
      <c r="AE95" s="24"/>
    </row>
    <row r="96" spans="1:31" ht="12.9">
      <c r="A96" s="70"/>
      <c r="B96" s="168"/>
      <c r="C96" s="169"/>
      <c r="D96" s="24"/>
      <c r="E96" s="24"/>
      <c r="F96" s="24"/>
      <c r="G96" s="70"/>
      <c r="H96" s="171"/>
      <c r="I96" s="175"/>
      <c r="J96" s="70"/>
      <c r="K96" s="70"/>
      <c r="L96" s="165"/>
      <c r="M96" s="70"/>
      <c r="N96" s="70"/>
      <c r="O96" s="24"/>
      <c r="P96" s="24"/>
      <c r="Q96" s="24"/>
      <c r="R96" s="24"/>
      <c r="S96" s="24"/>
      <c r="T96" s="24"/>
      <c r="U96" s="24"/>
      <c r="V96" s="24"/>
      <c r="W96" s="24"/>
      <c r="X96" s="24"/>
      <c r="Y96" s="24"/>
      <c r="Z96" s="24"/>
      <c r="AA96" s="24"/>
      <c r="AB96" s="24"/>
      <c r="AC96" s="24"/>
      <c r="AD96" s="24"/>
      <c r="AE96" s="24"/>
    </row>
    <row r="97" spans="1:31" ht="12.9">
      <c r="A97" s="70"/>
      <c r="B97" s="168"/>
      <c r="C97" s="169"/>
      <c r="D97" s="24"/>
      <c r="E97" s="24"/>
      <c r="F97" s="24"/>
      <c r="G97" s="70"/>
      <c r="H97" s="171"/>
      <c r="I97" s="117"/>
      <c r="J97" s="70"/>
      <c r="K97" s="70"/>
      <c r="L97" s="165"/>
      <c r="M97" s="70"/>
      <c r="N97" s="70"/>
      <c r="O97" s="24"/>
      <c r="P97" s="24"/>
      <c r="Q97" s="24"/>
      <c r="R97" s="24"/>
      <c r="S97" s="24"/>
      <c r="T97" s="24"/>
      <c r="U97" s="24"/>
      <c r="V97" s="24"/>
      <c r="W97" s="24"/>
      <c r="X97" s="24"/>
      <c r="Y97" s="24"/>
      <c r="Z97" s="24"/>
      <c r="AA97" s="24"/>
      <c r="AB97" s="24"/>
      <c r="AC97" s="24"/>
      <c r="AD97" s="24"/>
      <c r="AE97" s="24"/>
    </row>
    <row r="98" spans="1:31" ht="12.9">
      <c r="A98" s="70"/>
      <c r="B98" s="168"/>
      <c r="C98" s="169"/>
      <c r="D98" s="24"/>
      <c r="E98" s="24"/>
      <c r="F98" s="24"/>
      <c r="G98" s="70"/>
      <c r="H98" s="171"/>
      <c r="I98" s="175"/>
      <c r="J98" s="70"/>
      <c r="K98" s="70"/>
      <c r="L98" s="165"/>
      <c r="M98" s="70"/>
      <c r="N98" s="70"/>
      <c r="O98" s="24"/>
      <c r="P98" s="24"/>
      <c r="Q98" s="24"/>
      <c r="R98" s="24"/>
      <c r="S98" s="24"/>
      <c r="T98" s="24"/>
      <c r="U98" s="24"/>
      <c r="V98" s="24"/>
      <c r="W98" s="24"/>
      <c r="X98" s="24"/>
      <c r="Y98" s="24"/>
      <c r="Z98" s="24"/>
      <c r="AA98" s="24"/>
      <c r="AB98" s="24"/>
      <c r="AC98" s="24"/>
      <c r="AD98" s="24"/>
      <c r="AE98" s="24"/>
    </row>
    <row r="99" spans="1:31" ht="12.9">
      <c r="A99" s="70"/>
      <c r="B99" s="168"/>
      <c r="C99" s="169"/>
      <c r="D99" s="24"/>
      <c r="E99" s="24"/>
      <c r="F99" s="24"/>
      <c r="G99" s="70"/>
      <c r="H99" s="171"/>
      <c r="I99" s="175"/>
      <c r="J99" s="70"/>
      <c r="K99" s="70"/>
      <c r="L99" s="165"/>
      <c r="M99" s="70"/>
      <c r="N99" s="70"/>
      <c r="O99" s="24"/>
      <c r="P99" s="24"/>
      <c r="Q99" s="24"/>
      <c r="R99" s="24"/>
      <c r="S99" s="24"/>
      <c r="T99" s="24"/>
      <c r="U99" s="24"/>
      <c r="V99" s="24"/>
      <c r="W99" s="24"/>
      <c r="X99" s="24"/>
      <c r="Y99" s="24"/>
      <c r="Z99" s="24"/>
      <c r="AA99" s="24"/>
      <c r="AB99" s="24"/>
      <c r="AC99" s="24"/>
      <c r="AD99" s="24"/>
      <c r="AE99" s="24"/>
    </row>
    <row r="100" spans="1:31" ht="12.9">
      <c r="A100" s="70"/>
      <c r="B100" s="168"/>
      <c r="C100" s="169"/>
      <c r="D100" s="24"/>
      <c r="E100" s="24"/>
      <c r="F100" s="24"/>
      <c r="G100" s="70"/>
      <c r="H100" s="171"/>
      <c r="I100" s="171"/>
      <c r="J100" s="70"/>
      <c r="K100" s="164"/>
      <c r="L100" s="165"/>
      <c r="M100" s="70"/>
      <c r="N100" s="70"/>
      <c r="O100" s="24"/>
      <c r="P100" s="24"/>
      <c r="Q100" s="24"/>
      <c r="R100" s="24"/>
      <c r="S100" s="24"/>
      <c r="T100" s="24"/>
      <c r="U100" s="24"/>
      <c r="V100" s="24"/>
      <c r="W100" s="24"/>
      <c r="X100" s="24"/>
      <c r="Y100" s="24"/>
      <c r="Z100" s="24"/>
      <c r="AA100" s="24"/>
      <c r="AB100" s="24"/>
      <c r="AC100" s="24"/>
      <c r="AD100" s="24"/>
      <c r="AE100" s="24"/>
    </row>
    <row r="101" spans="1:31" ht="12.9">
      <c r="A101" s="70"/>
      <c r="B101" s="168"/>
      <c r="C101" s="169"/>
      <c r="D101" s="24"/>
      <c r="E101" s="24"/>
      <c r="F101" s="24"/>
      <c r="G101" s="70"/>
      <c r="H101" s="171"/>
      <c r="I101" s="171"/>
      <c r="J101" s="70"/>
      <c r="K101" s="70"/>
      <c r="L101" s="165"/>
      <c r="M101" s="70"/>
      <c r="N101" s="70"/>
      <c r="O101" s="24"/>
      <c r="P101" s="24"/>
      <c r="Q101" s="24"/>
      <c r="R101" s="24"/>
      <c r="S101" s="24"/>
      <c r="T101" s="24"/>
      <c r="U101" s="24"/>
      <c r="V101" s="24"/>
      <c r="W101" s="24"/>
      <c r="X101" s="24"/>
      <c r="Y101" s="24"/>
      <c r="Z101" s="24"/>
      <c r="AA101" s="24"/>
      <c r="AB101" s="24"/>
      <c r="AC101" s="24"/>
      <c r="AD101" s="24"/>
      <c r="AE101" s="24"/>
    </row>
    <row r="102" spans="1:31" ht="12.9">
      <c r="A102" s="70"/>
      <c r="B102" s="168"/>
      <c r="C102" s="169"/>
      <c r="D102" s="24"/>
      <c r="E102" s="24"/>
      <c r="F102" s="24"/>
      <c r="G102" s="70"/>
      <c r="H102" s="171"/>
      <c r="I102" s="171"/>
      <c r="J102" s="70"/>
      <c r="K102" s="70"/>
      <c r="L102" s="70"/>
      <c r="M102" s="24"/>
      <c r="N102" s="24"/>
      <c r="O102" s="24"/>
      <c r="P102" s="24"/>
      <c r="Q102" s="24"/>
      <c r="R102" s="24"/>
      <c r="S102" s="24"/>
      <c r="T102" s="24"/>
      <c r="U102" s="24"/>
      <c r="V102" s="24"/>
      <c r="W102" s="24"/>
      <c r="X102" s="24"/>
      <c r="Y102" s="24"/>
      <c r="Z102" s="24"/>
      <c r="AA102" s="24"/>
      <c r="AB102" s="24"/>
      <c r="AC102" s="24"/>
      <c r="AD102" s="24"/>
      <c r="AE102" s="24"/>
    </row>
    <row r="103" spans="1:31" ht="12.9">
      <c r="A103" s="70"/>
      <c r="B103" s="168"/>
      <c r="C103" s="169"/>
      <c r="D103" s="24"/>
      <c r="E103" s="24"/>
      <c r="F103" s="24"/>
      <c r="G103" s="70"/>
      <c r="H103" s="171"/>
      <c r="I103" s="171"/>
      <c r="J103" s="70"/>
      <c r="K103" s="164"/>
      <c r="L103" s="165"/>
      <c r="M103" s="70"/>
      <c r="N103" s="70"/>
      <c r="O103" s="24"/>
      <c r="P103" s="24"/>
      <c r="Q103" s="24"/>
      <c r="R103" s="24"/>
      <c r="S103" s="24"/>
      <c r="T103" s="24"/>
      <c r="U103" s="24"/>
      <c r="V103" s="24"/>
      <c r="W103" s="24"/>
      <c r="X103" s="24"/>
      <c r="Y103" s="24"/>
      <c r="Z103" s="24"/>
      <c r="AA103" s="24"/>
      <c r="AB103" s="24"/>
      <c r="AC103" s="24"/>
      <c r="AD103" s="24"/>
      <c r="AE103" s="24"/>
    </row>
    <row r="104" spans="1:31" ht="12.9">
      <c r="A104" s="70"/>
      <c r="B104" s="168"/>
      <c r="C104" s="169"/>
      <c r="D104" s="24"/>
      <c r="E104" s="24"/>
      <c r="F104" s="24"/>
      <c r="G104" s="70"/>
      <c r="H104" s="171"/>
      <c r="I104" s="172"/>
      <c r="J104" s="70"/>
      <c r="K104" s="164"/>
      <c r="L104" s="165"/>
      <c r="M104" s="70"/>
      <c r="N104" s="70"/>
      <c r="O104" s="24"/>
      <c r="P104" s="24"/>
      <c r="Q104" s="24"/>
      <c r="R104" s="24"/>
      <c r="S104" s="24"/>
      <c r="T104" s="24"/>
      <c r="U104" s="24"/>
      <c r="V104" s="24"/>
      <c r="W104" s="24"/>
      <c r="X104" s="24"/>
      <c r="Y104" s="24"/>
      <c r="Z104" s="24"/>
      <c r="AA104" s="24"/>
      <c r="AB104" s="24"/>
      <c r="AC104" s="24"/>
      <c r="AD104" s="24"/>
      <c r="AE104" s="24"/>
    </row>
    <row r="105" spans="1:31" ht="12.9">
      <c r="A105" s="70"/>
      <c r="B105" s="168"/>
      <c r="C105" s="169"/>
      <c r="D105" s="24"/>
      <c r="E105" s="24"/>
      <c r="F105" s="24"/>
      <c r="G105" s="70"/>
      <c r="H105" s="172"/>
      <c r="I105" s="172"/>
      <c r="J105" s="70"/>
      <c r="K105" s="164"/>
      <c r="L105" s="165"/>
      <c r="M105" s="70"/>
      <c r="N105" s="24"/>
      <c r="O105" s="24"/>
      <c r="P105" s="24"/>
      <c r="Q105" s="24"/>
      <c r="R105" s="24"/>
      <c r="S105" s="24"/>
      <c r="T105" s="24"/>
      <c r="U105" s="24"/>
      <c r="V105" s="24"/>
      <c r="W105" s="24"/>
      <c r="X105" s="24"/>
      <c r="Y105" s="24"/>
      <c r="Z105" s="24"/>
      <c r="AA105" s="24"/>
      <c r="AB105" s="24"/>
      <c r="AC105" s="24"/>
      <c r="AD105" s="24"/>
      <c r="AE105" s="24"/>
    </row>
    <row r="106" spans="1:31" ht="12.9">
      <c r="A106" s="70"/>
      <c r="B106" s="168"/>
      <c r="C106" s="169"/>
      <c r="D106" s="24"/>
      <c r="E106" s="24"/>
      <c r="F106" s="24"/>
      <c r="G106" s="70"/>
      <c r="H106" s="171"/>
      <c r="I106" s="171"/>
      <c r="J106" s="70"/>
      <c r="K106" s="164"/>
      <c r="L106" s="165"/>
      <c r="M106" s="70"/>
      <c r="N106" s="24"/>
      <c r="O106" s="24"/>
      <c r="P106" s="24"/>
      <c r="Q106" s="24"/>
      <c r="R106" s="24"/>
      <c r="S106" s="24"/>
      <c r="T106" s="24"/>
      <c r="U106" s="24"/>
      <c r="V106" s="24"/>
      <c r="W106" s="24"/>
      <c r="X106" s="24"/>
      <c r="Y106" s="24"/>
      <c r="Z106" s="24"/>
      <c r="AA106" s="24"/>
      <c r="AB106" s="24"/>
      <c r="AC106" s="24"/>
      <c r="AD106" s="24"/>
      <c r="AE106" s="24"/>
    </row>
    <row r="107" spans="1:31" ht="12.9">
      <c r="A107" s="70"/>
      <c r="B107" s="168"/>
      <c r="C107" s="169"/>
      <c r="D107" s="24"/>
      <c r="E107" s="24"/>
      <c r="F107" s="24"/>
      <c r="G107" s="70"/>
      <c r="H107" s="171"/>
      <c r="I107" s="171"/>
      <c r="J107" s="70"/>
      <c r="K107" s="164"/>
      <c r="L107" s="165"/>
      <c r="M107" s="70"/>
      <c r="N107" s="24"/>
      <c r="O107" s="24"/>
      <c r="P107" s="24"/>
      <c r="Q107" s="24"/>
      <c r="R107" s="24"/>
      <c r="S107" s="24"/>
      <c r="T107" s="24"/>
      <c r="U107" s="24"/>
      <c r="V107" s="24"/>
      <c r="W107" s="24"/>
      <c r="X107" s="24"/>
      <c r="Y107" s="24"/>
      <c r="Z107" s="24"/>
      <c r="AA107" s="24"/>
      <c r="AB107" s="24"/>
      <c r="AC107" s="24"/>
      <c r="AD107" s="24"/>
      <c r="AE107" s="24"/>
    </row>
    <row r="108" spans="1:31" ht="12.9">
      <c r="A108" s="70"/>
      <c r="B108" s="168"/>
      <c r="C108" s="169"/>
      <c r="D108" s="24"/>
      <c r="E108" s="24"/>
      <c r="F108" s="24"/>
      <c r="G108" s="70"/>
      <c r="H108" s="171"/>
      <c r="I108" s="171"/>
      <c r="J108" s="70"/>
      <c r="K108" s="164"/>
      <c r="L108" s="165"/>
      <c r="M108" s="70"/>
      <c r="N108" s="24"/>
      <c r="O108" s="24"/>
      <c r="P108" s="24"/>
      <c r="Q108" s="24"/>
      <c r="R108" s="24"/>
      <c r="S108" s="24"/>
      <c r="T108" s="24"/>
      <c r="U108" s="24"/>
      <c r="V108" s="24"/>
      <c r="W108" s="24"/>
      <c r="X108" s="24"/>
      <c r="Y108" s="24"/>
      <c r="Z108" s="24"/>
      <c r="AA108" s="24"/>
      <c r="AB108" s="24"/>
      <c r="AC108" s="24"/>
      <c r="AD108" s="24"/>
      <c r="AE108" s="24"/>
    </row>
    <row r="109" spans="1:31" ht="12.9">
      <c r="A109" s="70"/>
      <c r="B109" s="168"/>
      <c r="C109" s="169"/>
      <c r="D109" s="24"/>
      <c r="E109" s="24"/>
      <c r="F109" s="24"/>
      <c r="G109" s="70"/>
      <c r="H109" s="171"/>
      <c r="I109" s="171"/>
      <c r="J109" s="70"/>
      <c r="K109" s="164"/>
      <c r="L109" s="165"/>
      <c r="M109" s="70"/>
      <c r="N109" s="24"/>
      <c r="O109" s="24"/>
      <c r="P109" s="24"/>
      <c r="Q109" s="24"/>
      <c r="R109" s="24"/>
      <c r="S109" s="24"/>
      <c r="T109" s="24"/>
      <c r="U109" s="24"/>
      <c r="V109" s="24"/>
      <c r="W109" s="24"/>
      <c r="X109" s="24"/>
      <c r="Y109" s="24"/>
      <c r="Z109" s="24"/>
      <c r="AA109" s="24"/>
      <c r="AB109" s="24"/>
      <c r="AC109" s="24"/>
      <c r="AD109" s="24"/>
      <c r="AE109" s="24"/>
    </row>
    <row r="110" spans="1:31" ht="12.9">
      <c r="A110" s="70"/>
      <c r="B110" s="168"/>
      <c r="C110" s="169"/>
      <c r="D110" s="24"/>
      <c r="E110" s="24"/>
      <c r="F110" s="24"/>
      <c r="G110" s="70"/>
      <c r="H110" s="171"/>
      <c r="I110" s="171"/>
      <c r="J110" s="70"/>
      <c r="K110" s="70"/>
      <c r="L110" s="165"/>
      <c r="M110" s="70"/>
      <c r="N110" s="24"/>
      <c r="O110" s="24"/>
      <c r="P110" s="24"/>
      <c r="Q110" s="24"/>
      <c r="R110" s="24"/>
      <c r="S110" s="24"/>
      <c r="T110" s="24"/>
      <c r="U110" s="24"/>
      <c r="V110" s="24"/>
      <c r="W110" s="24"/>
      <c r="X110" s="24"/>
      <c r="Y110" s="24"/>
      <c r="Z110" s="24"/>
      <c r="AA110" s="24"/>
      <c r="AB110" s="24"/>
      <c r="AC110" s="24"/>
      <c r="AD110" s="24"/>
      <c r="AE110" s="24"/>
    </row>
    <row r="111" spans="1:31" ht="12.9">
      <c r="A111" s="70"/>
      <c r="B111" s="168"/>
      <c r="C111" s="169"/>
      <c r="D111" s="24"/>
      <c r="E111" s="24"/>
      <c r="F111" s="24"/>
      <c r="G111" s="70"/>
      <c r="H111" s="171"/>
      <c r="I111" s="172"/>
      <c r="J111" s="70"/>
      <c r="K111" s="70"/>
      <c r="L111" s="165"/>
      <c r="M111" s="70"/>
      <c r="N111" s="24"/>
      <c r="O111" s="24"/>
      <c r="P111" s="24"/>
      <c r="Q111" s="24"/>
      <c r="R111" s="24"/>
      <c r="S111" s="24"/>
      <c r="T111" s="24"/>
      <c r="U111" s="24"/>
      <c r="V111" s="24"/>
      <c r="W111" s="24"/>
      <c r="X111" s="24"/>
      <c r="Y111" s="24"/>
      <c r="Z111" s="24"/>
      <c r="AA111" s="24"/>
      <c r="AB111" s="24"/>
      <c r="AC111" s="24"/>
      <c r="AD111" s="24"/>
      <c r="AE111" s="24"/>
    </row>
    <row r="112" spans="1:31" ht="12.9">
      <c r="A112" s="70"/>
      <c r="B112" s="168"/>
      <c r="C112" s="169"/>
      <c r="D112" s="24"/>
      <c r="E112" s="24"/>
      <c r="F112" s="24"/>
      <c r="G112" s="174"/>
      <c r="H112" s="171"/>
      <c r="I112" s="175"/>
      <c r="J112" s="70"/>
      <c r="K112" s="70"/>
      <c r="L112" s="165"/>
      <c r="M112" s="70"/>
      <c r="N112" s="24"/>
      <c r="O112" s="24"/>
      <c r="P112" s="24"/>
      <c r="Q112" s="24"/>
      <c r="R112" s="24"/>
      <c r="S112" s="24"/>
      <c r="T112" s="24"/>
      <c r="U112" s="24"/>
      <c r="V112" s="24"/>
      <c r="W112" s="24"/>
      <c r="X112" s="24"/>
      <c r="Y112" s="24"/>
      <c r="Z112" s="24"/>
      <c r="AA112" s="24"/>
      <c r="AB112" s="24"/>
      <c r="AC112" s="24"/>
      <c r="AD112" s="24"/>
      <c r="AE112" s="24"/>
    </row>
    <row r="113" spans="1:31" ht="12.9">
      <c r="A113" s="70"/>
      <c r="B113" s="168"/>
      <c r="C113" s="169"/>
      <c r="D113" s="24"/>
      <c r="E113" s="24"/>
      <c r="F113" s="24"/>
      <c r="G113" s="174"/>
      <c r="H113" s="171"/>
      <c r="I113" s="175"/>
      <c r="J113" s="70"/>
      <c r="K113" s="70"/>
      <c r="L113" s="165"/>
      <c r="M113" s="70"/>
      <c r="N113" s="24"/>
      <c r="O113" s="24"/>
      <c r="P113" s="24"/>
      <c r="Q113" s="24"/>
      <c r="R113" s="24"/>
      <c r="S113" s="24"/>
      <c r="T113" s="24"/>
      <c r="U113" s="24"/>
      <c r="V113" s="24"/>
      <c r="W113" s="24"/>
      <c r="X113" s="24"/>
      <c r="Y113" s="24"/>
      <c r="Z113" s="24"/>
      <c r="AA113" s="24"/>
      <c r="AB113" s="24"/>
      <c r="AC113" s="24"/>
      <c r="AD113" s="24"/>
      <c r="AE113" s="24"/>
    </row>
    <row r="114" spans="1:31" ht="12.9">
      <c r="A114" s="70"/>
      <c r="B114" s="168"/>
      <c r="C114" s="169"/>
      <c r="D114" s="24"/>
      <c r="E114" s="24"/>
      <c r="F114" s="24"/>
      <c r="G114" s="174"/>
      <c r="H114" s="171"/>
      <c r="I114" s="175"/>
      <c r="J114" s="70"/>
      <c r="K114" s="70"/>
      <c r="L114" s="165"/>
      <c r="M114" s="70"/>
      <c r="N114" s="24"/>
      <c r="O114" s="24"/>
      <c r="P114" s="24"/>
      <c r="Q114" s="24"/>
      <c r="R114" s="24"/>
      <c r="S114" s="24"/>
      <c r="T114" s="24"/>
      <c r="U114" s="24"/>
      <c r="V114" s="24"/>
      <c r="W114" s="24"/>
      <c r="X114" s="24"/>
      <c r="Y114" s="24"/>
      <c r="Z114" s="24"/>
      <c r="AA114" s="24"/>
      <c r="AB114" s="24"/>
      <c r="AC114" s="24"/>
      <c r="AD114" s="24"/>
      <c r="AE114" s="24"/>
    </row>
    <row r="115" spans="1:31" ht="12.9">
      <c r="A115" s="70"/>
      <c r="B115" s="168"/>
      <c r="C115" s="169"/>
      <c r="D115" s="24"/>
      <c r="E115" s="24"/>
      <c r="F115" s="24"/>
      <c r="G115" s="174"/>
      <c r="H115" s="171"/>
      <c r="I115" s="175"/>
      <c r="J115" s="24"/>
      <c r="K115" s="24"/>
      <c r="L115" s="24"/>
      <c r="M115" s="24"/>
      <c r="N115" s="24"/>
      <c r="O115" s="24"/>
      <c r="P115" s="24"/>
      <c r="Q115" s="24"/>
      <c r="R115" s="24"/>
      <c r="S115" s="24"/>
      <c r="T115" s="24"/>
      <c r="U115" s="24"/>
      <c r="V115" s="24"/>
      <c r="W115" s="24"/>
      <c r="X115" s="24"/>
      <c r="Y115" s="24"/>
      <c r="Z115" s="24"/>
      <c r="AA115" s="24"/>
      <c r="AB115" s="24"/>
      <c r="AC115" s="24"/>
      <c r="AD115" s="24"/>
      <c r="AE115" s="24"/>
    </row>
    <row r="116" spans="1:31" ht="12.9">
      <c r="A116" s="70"/>
      <c r="B116" s="168"/>
      <c r="C116" s="169"/>
      <c r="D116" s="24"/>
      <c r="E116" s="24"/>
      <c r="F116" s="24"/>
      <c r="G116" s="174"/>
      <c r="H116" s="171"/>
      <c r="I116" s="175"/>
      <c r="J116" s="24"/>
      <c r="K116" s="24"/>
      <c r="L116" s="24"/>
      <c r="M116" s="24"/>
      <c r="N116" s="24"/>
      <c r="O116" s="24"/>
      <c r="P116" s="24"/>
      <c r="Q116" s="24"/>
      <c r="R116" s="24"/>
      <c r="S116" s="24"/>
      <c r="T116" s="24"/>
      <c r="U116" s="24"/>
      <c r="V116" s="24"/>
      <c r="W116" s="24"/>
      <c r="X116" s="24"/>
      <c r="Y116" s="24"/>
      <c r="Z116" s="24"/>
      <c r="AA116" s="24"/>
      <c r="AB116" s="24"/>
      <c r="AC116" s="24"/>
      <c r="AD116" s="24"/>
      <c r="AE116" s="24"/>
    </row>
    <row r="117" spans="1:31" ht="12.9">
      <c r="A117" s="70"/>
      <c r="B117" s="168"/>
      <c r="C117" s="169"/>
      <c r="D117" s="24"/>
      <c r="E117" s="24"/>
      <c r="F117" s="24"/>
      <c r="G117" s="174"/>
      <c r="H117" s="171"/>
      <c r="I117" s="175"/>
      <c r="J117" s="24"/>
      <c r="K117" s="24"/>
      <c r="L117" s="24"/>
      <c r="M117" s="24"/>
      <c r="N117" s="24"/>
      <c r="O117" s="24"/>
      <c r="P117" s="24"/>
      <c r="Q117" s="24"/>
      <c r="R117" s="24"/>
      <c r="S117" s="24"/>
      <c r="T117" s="24"/>
      <c r="U117" s="24"/>
      <c r="V117" s="24"/>
      <c r="W117" s="24"/>
      <c r="X117" s="24"/>
      <c r="Y117" s="24"/>
      <c r="Z117" s="24"/>
      <c r="AA117" s="24"/>
      <c r="AB117" s="24"/>
      <c r="AC117" s="24"/>
      <c r="AD117" s="24"/>
      <c r="AE117" s="24"/>
    </row>
    <row r="118" spans="1:31" ht="12.9">
      <c r="A118" s="70"/>
      <c r="B118" s="168"/>
      <c r="C118" s="169"/>
      <c r="D118" s="24"/>
      <c r="E118" s="24"/>
      <c r="F118" s="24"/>
      <c r="G118" s="174"/>
      <c r="H118" s="171"/>
      <c r="I118" s="175"/>
      <c r="J118" s="24"/>
      <c r="K118" s="24"/>
      <c r="L118" s="24"/>
      <c r="M118" s="24"/>
      <c r="N118" s="24"/>
      <c r="O118" s="24"/>
      <c r="P118" s="24"/>
      <c r="Q118" s="24"/>
      <c r="R118" s="24"/>
      <c r="S118" s="24"/>
      <c r="T118" s="24"/>
      <c r="U118" s="24"/>
      <c r="V118" s="24"/>
      <c r="W118" s="24"/>
      <c r="X118" s="24"/>
      <c r="Y118" s="24"/>
      <c r="Z118" s="24"/>
      <c r="AA118" s="24"/>
      <c r="AB118" s="24"/>
      <c r="AC118" s="24"/>
      <c r="AD118" s="24"/>
      <c r="AE118" s="24"/>
    </row>
    <row r="119" spans="1:31" ht="12.9">
      <c r="A119" s="70"/>
      <c r="B119" s="168"/>
      <c r="C119" s="169"/>
      <c r="D119" s="24"/>
      <c r="E119" s="24"/>
      <c r="F119" s="24"/>
      <c r="G119" s="174"/>
      <c r="H119" s="171"/>
      <c r="I119" s="175"/>
      <c r="J119" s="24"/>
      <c r="K119" s="24"/>
      <c r="L119" s="24"/>
      <c r="M119" s="24"/>
      <c r="N119" s="24"/>
      <c r="O119" s="24"/>
      <c r="P119" s="24"/>
      <c r="Q119" s="24"/>
      <c r="R119" s="24"/>
      <c r="S119" s="24"/>
      <c r="T119" s="24"/>
      <c r="U119" s="24"/>
      <c r="V119" s="24"/>
      <c r="W119" s="24"/>
      <c r="X119" s="24"/>
      <c r="Y119" s="24"/>
      <c r="Z119" s="24"/>
      <c r="AA119" s="24"/>
      <c r="AB119" s="24"/>
      <c r="AC119" s="24"/>
      <c r="AD119" s="24"/>
      <c r="AE119" s="24"/>
    </row>
    <row r="120" spans="1:31" ht="12.9">
      <c r="A120" s="70"/>
      <c r="B120" s="168"/>
      <c r="C120" s="169"/>
      <c r="D120" s="24"/>
      <c r="E120" s="24"/>
      <c r="F120" s="24"/>
      <c r="G120" s="174"/>
      <c r="H120" s="171"/>
      <c r="I120" s="175"/>
      <c r="J120" s="24"/>
      <c r="K120" s="24"/>
      <c r="L120" s="24"/>
      <c r="M120" s="24"/>
      <c r="N120" s="24"/>
      <c r="O120" s="24"/>
      <c r="P120" s="24"/>
      <c r="Q120" s="24"/>
      <c r="R120" s="24"/>
      <c r="S120" s="24"/>
      <c r="T120" s="24"/>
      <c r="U120" s="24"/>
      <c r="V120" s="24"/>
      <c r="W120" s="24"/>
      <c r="X120" s="24"/>
      <c r="Y120" s="24"/>
      <c r="Z120" s="24"/>
      <c r="AA120" s="24"/>
      <c r="AB120" s="24"/>
      <c r="AC120" s="24"/>
      <c r="AD120" s="24"/>
      <c r="AE120" s="24"/>
    </row>
    <row r="121" spans="1:31" ht="12.9">
      <c r="A121" s="70"/>
      <c r="B121" s="168"/>
      <c r="C121" s="169"/>
      <c r="D121" s="24"/>
      <c r="E121" s="24"/>
      <c r="F121" s="24"/>
      <c r="G121" s="174"/>
      <c r="H121" s="171"/>
      <c r="I121" s="175"/>
      <c r="J121" s="24"/>
      <c r="K121" s="24"/>
      <c r="L121" s="24"/>
      <c r="M121" s="24"/>
      <c r="N121" s="24"/>
      <c r="O121" s="24"/>
      <c r="P121" s="24"/>
      <c r="Q121" s="24"/>
      <c r="R121" s="24"/>
      <c r="S121" s="24"/>
      <c r="T121" s="24"/>
      <c r="U121" s="24"/>
      <c r="V121" s="24"/>
      <c r="W121" s="24"/>
      <c r="X121" s="24"/>
      <c r="Y121" s="24"/>
      <c r="Z121" s="24"/>
      <c r="AA121" s="24"/>
      <c r="AB121" s="24"/>
      <c r="AC121" s="24"/>
      <c r="AD121" s="24"/>
      <c r="AE121" s="24"/>
    </row>
    <row r="122" spans="1:31" ht="12.9">
      <c r="A122" s="70"/>
      <c r="B122" s="168"/>
      <c r="C122" s="169"/>
      <c r="D122" s="24"/>
      <c r="E122" s="24"/>
      <c r="F122" s="24"/>
      <c r="G122" s="174"/>
      <c r="H122" s="171"/>
      <c r="I122" s="175"/>
      <c r="J122" s="24"/>
      <c r="K122" s="24"/>
      <c r="L122" s="24"/>
      <c r="M122" s="24"/>
      <c r="N122" s="24"/>
      <c r="O122" s="24"/>
      <c r="P122" s="24"/>
      <c r="Q122" s="24"/>
      <c r="R122" s="24"/>
      <c r="S122" s="24"/>
      <c r="T122" s="24"/>
      <c r="U122" s="24"/>
      <c r="V122" s="24"/>
      <c r="W122" s="24"/>
      <c r="X122" s="24"/>
      <c r="Y122" s="24"/>
      <c r="Z122" s="24"/>
      <c r="AA122" s="24"/>
      <c r="AB122" s="24"/>
      <c r="AC122" s="24"/>
      <c r="AD122" s="24"/>
      <c r="AE122" s="24"/>
    </row>
    <row r="123" spans="1:31" ht="12.9">
      <c r="A123" s="70"/>
      <c r="B123" s="168"/>
      <c r="C123" s="169"/>
      <c r="D123" s="24"/>
      <c r="E123" s="24"/>
      <c r="F123" s="24"/>
      <c r="G123" s="174"/>
      <c r="H123" s="171"/>
      <c r="I123" s="175"/>
      <c r="J123" s="24"/>
      <c r="K123" s="24"/>
      <c r="L123" s="24"/>
      <c r="M123" s="24"/>
      <c r="N123" s="24"/>
      <c r="O123" s="24"/>
      <c r="P123" s="24"/>
      <c r="Q123" s="24"/>
      <c r="R123" s="24"/>
      <c r="S123" s="24"/>
      <c r="T123" s="24"/>
      <c r="U123" s="24"/>
      <c r="V123" s="24"/>
      <c r="W123" s="24"/>
      <c r="X123" s="24"/>
      <c r="Y123" s="24"/>
      <c r="Z123" s="24"/>
      <c r="AA123" s="24"/>
      <c r="AB123" s="24"/>
      <c r="AC123" s="24"/>
      <c r="AD123" s="24"/>
      <c r="AE123" s="24"/>
    </row>
    <row r="124" spans="1:31" ht="12.9">
      <c r="A124" s="70"/>
      <c r="B124" s="168"/>
      <c r="C124" s="169"/>
      <c r="D124" s="24"/>
      <c r="E124" s="24"/>
      <c r="F124" s="24"/>
      <c r="G124" s="174"/>
      <c r="H124" s="171"/>
      <c r="I124" s="175"/>
      <c r="J124" s="24"/>
      <c r="K124" s="24"/>
      <c r="L124" s="24"/>
      <c r="M124" s="24"/>
      <c r="N124" s="24"/>
      <c r="O124" s="24"/>
      <c r="P124" s="24"/>
      <c r="Q124" s="24"/>
      <c r="R124" s="24"/>
      <c r="S124" s="24"/>
      <c r="T124" s="24"/>
      <c r="U124" s="24"/>
      <c r="V124" s="24"/>
      <c r="W124" s="24"/>
      <c r="X124" s="24"/>
      <c r="Y124" s="24"/>
      <c r="Z124" s="24"/>
      <c r="AA124" s="24"/>
      <c r="AB124" s="24"/>
      <c r="AC124" s="24"/>
      <c r="AD124" s="24"/>
      <c r="AE124" s="24"/>
    </row>
    <row r="125" spans="1:31" ht="12.9">
      <c r="A125" s="70"/>
      <c r="B125" s="168"/>
      <c r="C125" s="169"/>
      <c r="D125" s="24"/>
      <c r="E125" s="24"/>
      <c r="F125" s="24"/>
      <c r="G125" s="174"/>
      <c r="H125" s="171"/>
      <c r="I125" s="175"/>
      <c r="J125" s="24"/>
      <c r="K125" s="24"/>
      <c r="L125" s="24"/>
      <c r="M125" s="24"/>
      <c r="N125" s="24"/>
      <c r="O125" s="24"/>
      <c r="P125" s="24"/>
      <c r="Q125" s="24"/>
      <c r="R125" s="24"/>
      <c r="S125" s="24"/>
      <c r="T125" s="24"/>
      <c r="U125" s="24"/>
      <c r="V125" s="24"/>
      <c r="W125" s="24"/>
      <c r="X125" s="24"/>
      <c r="Y125" s="24"/>
      <c r="Z125" s="24"/>
      <c r="AA125" s="24"/>
      <c r="AB125" s="24"/>
      <c r="AC125" s="24"/>
      <c r="AD125" s="24"/>
      <c r="AE125" s="24"/>
    </row>
    <row r="126" spans="1:31" ht="12.9">
      <c r="A126" s="70"/>
      <c r="B126" s="168"/>
      <c r="C126" s="169"/>
      <c r="D126" s="24"/>
      <c r="E126" s="24"/>
      <c r="F126" s="24"/>
      <c r="G126" s="174"/>
      <c r="H126" s="171"/>
      <c r="I126" s="175"/>
      <c r="J126" s="24"/>
      <c r="K126" s="24"/>
      <c r="L126" s="24"/>
      <c r="M126" s="24"/>
      <c r="N126" s="24"/>
      <c r="O126" s="24"/>
      <c r="P126" s="24"/>
      <c r="Q126" s="24"/>
      <c r="R126" s="24"/>
      <c r="S126" s="24"/>
      <c r="T126" s="24"/>
      <c r="U126" s="24"/>
      <c r="V126" s="24"/>
      <c r="W126" s="24"/>
      <c r="X126" s="24"/>
      <c r="Y126" s="24"/>
      <c r="Z126" s="24"/>
      <c r="AA126" s="24"/>
      <c r="AB126" s="24"/>
      <c r="AC126" s="24"/>
      <c r="AD126" s="24"/>
      <c r="AE126" s="24"/>
    </row>
    <row r="127" spans="1:31" ht="12.9">
      <c r="A127" s="70"/>
      <c r="B127" s="168"/>
      <c r="C127" s="169"/>
      <c r="D127" s="24"/>
      <c r="E127" s="24"/>
      <c r="F127" s="24"/>
      <c r="G127" s="174"/>
      <c r="H127" s="171"/>
      <c r="I127" s="175"/>
      <c r="J127" s="24"/>
      <c r="K127" s="24"/>
      <c r="L127" s="24"/>
      <c r="M127" s="24"/>
      <c r="N127" s="24"/>
      <c r="O127" s="24"/>
      <c r="P127" s="24"/>
      <c r="Q127" s="24"/>
      <c r="R127" s="24"/>
      <c r="S127" s="24"/>
      <c r="T127" s="24"/>
      <c r="U127" s="24"/>
      <c r="V127" s="24"/>
      <c r="W127" s="24"/>
      <c r="X127" s="24"/>
      <c r="Y127" s="24"/>
      <c r="Z127" s="24"/>
      <c r="AA127" s="24"/>
      <c r="AB127" s="24"/>
      <c r="AC127" s="24"/>
      <c r="AD127" s="24"/>
      <c r="AE127" s="24"/>
    </row>
    <row r="128" spans="1:31" ht="12.9">
      <c r="A128" s="70"/>
      <c r="B128" s="168"/>
      <c r="C128" s="169"/>
      <c r="D128" s="24"/>
      <c r="E128" s="24"/>
      <c r="F128" s="24"/>
      <c r="G128" s="174"/>
      <c r="H128" s="171"/>
      <c r="I128" s="175"/>
      <c r="J128" s="24"/>
      <c r="K128" s="24"/>
      <c r="L128" s="24"/>
      <c r="M128" s="24"/>
      <c r="N128" s="24"/>
      <c r="O128" s="24"/>
      <c r="P128" s="24"/>
      <c r="Q128" s="24"/>
      <c r="R128" s="24"/>
      <c r="S128" s="24"/>
      <c r="T128" s="24"/>
      <c r="U128" s="24"/>
      <c r="V128" s="24"/>
      <c r="W128" s="24"/>
      <c r="X128" s="24"/>
      <c r="Y128" s="24"/>
      <c r="Z128" s="24"/>
      <c r="AA128" s="24"/>
      <c r="AB128" s="24"/>
      <c r="AC128" s="24"/>
      <c r="AD128" s="24"/>
      <c r="AE128" s="24"/>
    </row>
    <row r="129" spans="1:31" ht="12.9">
      <c r="A129" s="70"/>
      <c r="B129" s="168"/>
      <c r="C129" s="169"/>
      <c r="D129" s="24"/>
      <c r="E129" s="24"/>
      <c r="F129" s="24"/>
      <c r="G129" s="174"/>
      <c r="H129" s="171"/>
      <c r="I129" s="175"/>
      <c r="J129" s="24"/>
      <c r="K129" s="24"/>
      <c r="L129" s="24"/>
      <c r="M129" s="24"/>
      <c r="N129" s="24"/>
      <c r="O129" s="24"/>
      <c r="P129" s="24"/>
      <c r="Q129" s="24"/>
      <c r="R129" s="24"/>
      <c r="S129" s="24"/>
      <c r="T129" s="24"/>
      <c r="U129" s="24"/>
      <c r="V129" s="24"/>
      <c r="W129" s="24"/>
      <c r="X129" s="24"/>
      <c r="Y129" s="24"/>
      <c r="Z129" s="24"/>
      <c r="AA129" s="24"/>
      <c r="AB129" s="24"/>
      <c r="AC129" s="24"/>
      <c r="AD129" s="24"/>
      <c r="AE129" s="24"/>
    </row>
    <row r="130" spans="1:31" ht="12.9">
      <c r="A130" s="70"/>
      <c r="B130" s="168"/>
      <c r="C130" s="169"/>
      <c r="D130" s="24"/>
      <c r="E130" s="24"/>
      <c r="F130" s="24"/>
      <c r="G130" s="174"/>
      <c r="H130" s="171"/>
      <c r="I130" s="175"/>
      <c r="J130" s="24"/>
      <c r="K130" s="24"/>
      <c r="L130" s="24"/>
      <c r="M130" s="24"/>
      <c r="N130" s="24"/>
      <c r="O130" s="24"/>
      <c r="P130" s="24"/>
      <c r="Q130" s="24"/>
      <c r="R130" s="24"/>
      <c r="S130" s="24"/>
      <c r="T130" s="24"/>
      <c r="U130" s="24"/>
      <c r="V130" s="24"/>
      <c r="W130" s="24"/>
      <c r="X130" s="24"/>
      <c r="Y130" s="24"/>
      <c r="Z130" s="24"/>
      <c r="AA130" s="24"/>
      <c r="AB130" s="24"/>
      <c r="AC130" s="24"/>
      <c r="AD130" s="24"/>
      <c r="AE130" s="24"/>
    </row>
    <row r="131" spans="1:31" ht="12.9">
      <c r="A131" s="70"/>
      <c r="B131" s="168"/>
      <c r="C131" s="169"/>
      <c r="D131" s="24"/>
      <c r="E131" s="24"/>
      <c r="F131" s="24"/>
      <c r="G131" s="174"/>
      <c r="H131" s="171"/>
      <c r="I131" s="175"/>
      <c r="J131" s="24"/>
      <c r="K131" s="24"/>
      <c r="L131" s="24"/>
      <c r="M131" s="24"/>
      <c r="N131" s="24"/>
      <c r="O131" s="24"/>
      <c r="P131" s="24"/>
      <c r="Q131" s="24"/>
      <c r="R131" s="24"/>
      <c r="S131" s="24"/>
      <c r="T131" s="24"/>
      <c r="U131" s="24"/>
      <c r="V131" s="24"/>
      <c r="W131" s="24"/>
      <c r="X131" s="24"/>
      <c r="Y131" s="24"/>
      <c r="Z131" s="24"/>
      <c r="AA131" s="24"/>
      <c r="AB131" s="24"/>
      <c r="AC131" s="24"/>
      <c r="AD131" s="24"/>
      <c r="AE131" s="24"/>
    </row>
    <row r="132" spans="1:31" ht="12.9">
      <c r="A132" s="70"/>
      <c r="B132" s="168"/>
      <c r="C132" s="169"/>
      <c r="D132" s="24"/>
      <c r="E132" s="24"/>
      <c r="F132" s="24"/>
      <c r="G132" s="174"/>
      <c r="H132" s="171"/>
      <c r="I132" s="175"/>
      <c r="J132" s="24"/>
      <c r="K132" s="24"/>
      <c r="L132" s="24"/>
      <c r="M132" s="24"/>
      <c r="N132" s="24"/>
      <c r="O132" s="24"/>
      <c r="P132" s="24"/>
      <c r="Q132" s="24"/>
      <c r="R132" s="24"/>
      <c r="S132" s="24"/>
      <c r="T132" s="24"/>
      <c r="U132" s="24"/>
      <c r="V132" s="24"/>
      <c r="W132" s="24"/>
      <c r="X132" s="24"/>
      <c r="Y132" s="24"/>
      <c r="Z132" s="24"/>
      <c r="AA132" s="24"/>
      <c r="AB132" s="24"/>
      <c r="AC132" s="24"/>
      <c r="AD132" s="24"/>
      <c r="AE132" s="24"/>
    </row>
    <row r="133" spans="1:31" ht="12.9">
      <c r="A133" s="70"/>
      <c r="B133" s="168"/>
      <c r="C133" s="169"/>
      <c r="D133" s="24"/>
      <c r="E133" s="24"/>
      <c r="F133" s="24"/>
      <c r="G133" s="174"/>
      <c r="H133" s="171"/>
      <c r="I133" s="175"/>
      <c r="J133" s="24"/>
      <c r="K133" s="24"/>
      <c r="L133" s="24"/>
      <c r="M133" s="24"/>
      <c r="N133" s="24"/>
      <c r="O133" s="24"/>
      <c r="P133" s="24"/>
      <c r="Q133" s="24"/>
      <c r="R133" s="24"/>
      <c r="S133" s="24"/>
      <c r="T133" s="24"/>
      <c r="U133" s="24"/>
      <c r="V133" s="24"/>
      <c r="W133" s="24"/>
      <c r="X133" s="24"/>
      <c r="Y133" s="24"/>
      <c r="Z133" s="24"/>
      <c r="AA133" s="24"/>
      <c r="AB133" s="24"/>
      <c r="AC133" s="24"/>
      <c r="AD133" s="24"/>
      <c r="AE133" s="24"/>
    </row>
    <row r="134" spans="1:31" ht="12.9">
      <c r="A134" s="70"/>
      <c r="B134" s="168"/>
      <c r="C134" s="169"/>
      <c r="D134" s="24"/>
      <c r="E134" s="24"/>
      <c r="F134" s="24"/>
      <c r="G134" s="174"/>
      <c r="H134" s="171"/>
      <c r="I134" s="175"/>
      <c r="J134" s="24"/>
      <c r="K134" s="24"/>
      <c r="L134" s="24"/>
      <c r="M134" s="24"/>
      <c r="N134" s="24"/>
      <c r="O134" s="24"/>
      <c r="P134" s="24"/>
      <c r="Q134" s="24"/>
      <c r="R134" s="24"/>
      <c r="S134" s="24"/>
      <c r="T134" s="24"/>
      <c r="U134" s="24"/>
      <c r="V134" s="24"/>
      <c r="W134" s="24"/>
      <c r="X134" s="24"/>
      <c r="Y134" s="24"/>
      <c r="Z134" s="24"/>
      <c r="AA134" s="24"/>
      <c r="AB134" s="24"/>
      <c r="AC134" s="24"/>
      <c r="AD134" s="24"/>
      <c r="AE134" s="24"/>
    </row>
    <row r="135" spans="1:31" ht="12.9">
      <c r="A135" s="70"/>
      <c r="B135" s="168"/>
      <c r="C135" s="169"/>
      <c r="D135" s="24"/>
      <c r="E135" s="24"/>
      <c r="F135" s="24"/>
      <c r="G135" s="174"/>
      <c r="H135" s="171"/>
      <c r="I135" s="175"/>
      <c r="J135" s="24"/>
      <c r="K135" s="24"/>
      <c r="L135" s="24"/>
      <c r="M135" s="24"/>
      <c r="N135" s="24"/>
      <c r="O135" s="24"/>
      <c r="P135" s="24"/>
      <c r="Q135" s="24"/>
      <c r="R135" s="24"/>
      <c r="S135" s="24"/>
      <c r="T135" s="24"/>
      <c r="U135" s="24"/>
      <c r="V135" s="24"/>
      <c r="W135" s="24"/>
      <c r="X135" s="24"/>
      <c r="Y135" s="24"/>
      <c r="Z135" s="24"/>
      <c r="AA135" s="24"/>
      <c r="AB135" s="24"/>
      <c r="AC135" s="24"/>
      <c r="AD135" s="24"/>
      <c r="AE135" s="24"/>
    </row>
    <row r="136" spans="1:31" ht="12.9">
      <c r="A136" s="70"/>
      <c r="B136" s="168"/>
      <c r="C136" s="169"/>
      <c r="D136" s="24"/>
      <c r="E136" s="24"/>
      <c r="F136" s="24"/>
      <c r="G136" s="174"/>
      <c r="H136" s="171"/>
      <c r="I136" s="175"/>
      <c r="J136" s="24"/>
      <c r="K136" s="24"/>
      <c r="L136" s="24"/>
      <c r="M136" s="24"/>
      <c r="N136" s="24"/>
      <c r="O136" s="24"/>
      <c r="P136" s="24"/>
      <c r="Q136" s="24"/>
      <c r="R136" s="24"/>
      <c r="S136" s="24"/>
      <c r="T136" s="24"/>
      <c r="U136" s="24"/>
      <c r="V136" s="24"/>
      <c r="W136" s="24"/>
      <c r="X136" s="24"/>
      <c r="Y136" s="24"/>
      <c r="Z136" s="24"/>
      <c r="AA136" s="24"/>
      <c r="AB136" s="24"/>
      <c r="AC136" s="24"/>
      <c r="AD136" s="24"/>
      <c r="AE136" s="24"/>
    </row>
    <row r="137" spans="1:31" ht="12.9">
      <c r="A137" s="70"/>
      <c r="B137" s="168"/>
      <c r="C137" s="169"/>
      <c r="D137" s="24"/>
      <c r="E137" s="24"/>
      <c r="F137" s="24"/>
      <c r="G137" s="174"/>
      <c r="H137" s="171"/>
      <c r="I137" s="175"/>
      <c r="J137" s="24"/>
      <c r="K137" s="24"/>
      <c r="L137" s="24"/>
      <c r="M137" s="24"/>
      <c r="N137" s="24"/>
      <c r="O137" s="24"/>
      <c r="P137" s="24"/>
      <c r="Q137" s="24"/>
      <c r="R137" s="24"/>
      <c r="S137" s="24"/>
      <c r="T137" s="24"/>
      <c r="U137" s="24"/>
      <c r="V137" s="24"/>
      <c r="W137" s="24"/>
      <c r="X137" s="24"/>
      <c r="Y137" s="24"/>
      <c r="Z137" s="24"/>
      <c r="AA137" s="24"/>
      <c r="AB137" s="24"/>
      <c r="AC137" s="24"/>
      <c r="AD137" s="24"/>
      <c r="AE137" s="24"/>
    </row>
    <row r="138" spans="1:31" ht="12.9">
      <c r="A138" s="70"/>
      <c r="B138" s="168"/>
      <c r="C138" s="169"/>
      <c r="D138" s="24"/>
      <c r="E138" s="24"/>
      <c r="F138" s="24"/>
      <c r="G138" s="174"/>
      <c r="H138" s="171"/>
      <c r="I138" s="175"/>
      <c r="J138" s="24"/>
      <c r="K138" s="24"/>
      <c r="L138" s="24"/>
      <c r="M138" s="24"/>
      <c r="N138" s="24"/>
      <c r="O138" s="24"/>
      <c r="P138" s="24"/>
      <c r="Q138" s="24"/>
      <c r="R138" s="24"/>
      <c r="S138" s="24"/>
      <c r="T138" s="24"/>
      <c r="U138" s="24"/>
      <c r="V138" s="24"/>
      <c r="W138" s="24"/>
      <c r="X138" s="24"/>
      <c r="Y138" s="24"/>
      <c r="Z138" s="24"/>
      <c r="AA138" s="24"/>
      <c r="AB138" s="24"/>
      <c r="AC138" s="24"/>
      <c r="AD138" s="24"/>
      <c r="AE138" s="24"/>
    </row>
    <row r="139" spans="1:31" ht="12.9">
      <c r="A139" s="70"/>
      <c r="B139" s="168"/>
      <c r="C139" s="169"/>
      <c r="D139" s="24"/>
      <c r="E139" s="24"/>
      <c r="F139" s="24"/>
      <c r="G139" s="174"/>
      <c r="H139" s="171"/>
      <c r="I139" s="175"/>
      <c r="J139" s="24"/>
      <c r="K139" s="24"/>
      <c r="L139" s="24"/>
      <c r="M139" s="24"/>
      <c r="N139" s="24"/>
      <c r="O139" s="24"/>
      <c r="P139" s="24"/>
      <c r="Q139" s="24"/>
      <c r="R139" s="24"/>
      <c r="S139" s="24"/>
      <c r="T139" s="24"/>
      <c r="U139" s="24"/>
      <c r="V139" s="24"/>
      <c r="W139" s="24"/>
      <c r="X139" s="24"/>
      <c r="Y139" s="24"/>
      <c r="Z139" s="24"/>
      <c r="AA139" s="24"/>
      <c r="AB139" s="24"/>
      <c r="AC139" s="24"/>
      <c r="AD139" s="24"/>
      <c r="AE139" s="24"/>
    </row>
    <row r="140" spans="1:31" ht="12.9">
      <c r="A140" s="70"/>
      <c r="B140" s="168"/>
      <c r="C140" s="169"/>
      <c r="D140" s="24"/>
      <c r="E140" s="24"/>
      <c r="F140" s="24"/>
      <c r="G140" s="174"/>
      <c r="H140" s="171"/>
      <c r="I140" s="175"/>
      <c r="J140" s="24"/>
      <c r="K140" s="24"/>
      <c r="L140" s="24"/>
      <c r="M140" s="24"/>
      <c r="N140" s="24"/>
      <c r="O140" s="24"/>
      <c r="P140" s="24"/>
      <c r="Q140" s="24"/>
      <c r="R140" s="24"/>
      <c r="S140" s="24"/>
      <c r="T140" s="24"/>
      <c r="U140" s="24"/>
      <c r="V140" s="24"/>
      <c r="W140" s="24"/>
      <c r="X140" s="24"/>
      <c r="Y140" s="24"/>
      <c r="Z140" s="24"/>
      <c r="AA140" s="24"/>
      <c r="AB140" s="24"/>
      <c r="AC140" s="24"/>
      <c r="AD140" s="24"/>
      <c r="AE140" s="24"/>
    </row>
    <row r="141" spans="1:31" ht="12.9">
      <c r="A141" s="70"/>
      <c r="B141" s="168"/>
      <c r="C141" s="169"/>
      <c r="D141" s="24"/>
      <c r="E141" s="24"/>
      <c r="F141" s="24"/>
      <c r="G141" s="174"/>
      <c r="H141" s="171"/>
      <c r="I141" s="175"/>
      <c r="J141" s="24"/>
      <c r="K141" s="24"/>
      <c r="L141" s="24"/>
      <c r="M141" s="24"/>
      <c r="N141" s="24"/>
      <c r="O141" s="24"/>
      <c r="P141" s="24"/>
      <c r="Q141" s="24"/>
      <c r="R141" s="24"/>
      <c r="S141" s="24"/>
      <c r="T141" s="24"/>
      <c r="U141" s="24"/>
      <c r="V141" s="24"/>
      <c r="W141" s="24"/>
      <c r="X141" s="24"/>
      <c r="Y141" s="24"/>
      <c r="Z141" s="24"/>
      <c r="AA141" s="24"/>
      <c r="AB141" s="24"/>
      <c r="AC141" s="24"/>
      <c r="AD141" s="24"/>
      <c r="AE141" s="24"/>
    </row>
    <row r="142" spans="1:31" ht="12.9">
      <c r="A142" s="70"/>
      <c r="B142" s="168"/>
      <c r="C142" s="169"/>
      <c r="D142" s="24"/>
      <c r="E142" s="24"/>
      <c r="F142" s="24"/>
      <c r="G142" s="174"/>
      <c r="H142" s="171"/>
      <c r="I142" s="175"/>
      <c r="J142" s="24"/>
      <c r="K142" s="24"/>
      <c r="L142" s="24"/>
      <c r="M142" s="24"/>
      <c r="N142" s="24"/>
      <c r="O142" s="24"/>
      <c r="P142" s="24"/>
      <c r="Q142" s="24"/>
      <c r="R142" s="24"/>
      <c r="S142" s="24"/>
      <c r="T142" s="24"/>
      <c r="U142" s="24"/>
      <c r="V142" s="24"/>
      <c r="W142" s="24"/>
      <c r="X142" s="24"/>
      <c r="Y142" s="24"/>
      <c r="Z142" s="24"/>
      <c r="AA142" s="24"/>
      <c r="AB142" s="24"/>
      <c r="AC142" s="24"/>
      <c r="AD142" s="24"/>
      <c r="AE142" s="24"/>
    </row>
    <row r="143" spans="1:31" ht="12.9">
      <c r="A143" s="70"/>
      <c r="B143" s="168"/>
      <c r="C143" s="169"/>
      <c r="D143" s="24"/>
      <c r="E143" s="24"/>
      <c r="F143" s="24"/>
      <c r="G143" s="174"/>
      <c r="H143" s="171"/>
      <c r="I143" s="175"/>
      <c r="J143" s="24"/>
      <c r="K143" s="24"/>
      <c r="L143" s="24"/>
      <c r="M143" s="24"/>
      <c r="N143" s="24"/>
      <c r="O143" s="24"/>
      <c r="P143" s="24"/>
      <c r="Q143" s="24"/>
      <c r="R143" s="24"/>
      <c r="S143" s="24"/>
      <c r="T143" s="24"/>
      <c r="U143" s="24"/>
      <c r="V143" s="24"/>
      <c r="W143" s="24"/>
      <c r="X143" s="24"/>
      <c r="Y143" s="24"/>
      <c r="Z143" s="24"/>
      <c r="AA143" s="24"/>
      <c r="AB143" s="24"/>
      <c r="AC143" s="24"/>
      <c r="AD143" s="24"/>
      <c r="AE143" s="24"/>
    </row>
    <row r="144" spans="1:31" ht="12.9">
      <c r="A144" s="70"/>
      <c r="B144" s="168"/>
      <c r="C144" s="169"/>
      <c r="D144" s="24"/>
      <c r="E144" s="24"/>
      <c r="F144" s="24"/>
      <c r="G144" s="174"/>
      <c r="H144" s="171"/>
      <c r="I144" s="175"/>
      <c r="J144" s="24"/>
      <c r="K144" s="24"/>
      <c r="L144" s="24"/>
      <c r="M144" s="24"/>
      <c r="N144" s="24"/>
      <c r="O144" s="24"/>
      <c r="P144" s="24"/>
      <c r="Q144" s="24"/>
      <c r="R144" s="24"/>
      <c r="S144" s="24"/>
      <c r="T144" s="24"/>
      <c r="U144" s="24"/>
      <c r="V144" s="24"/>
      <c r="W144" s="24"/>
      <c r="X144" s="24"/>
      <c r="Y144" s="24"/>
      <c r="Z144" s="24"/>
      <c r="AA144" s="24"/>
      <c r="AB144" s="24"/>
      <c r="AC144" s="24"/>
      <c r="AD144" s="24"/>
      <c r="AE144" s="24"/>
    </row>
    <row r="145" spans="1:31" ht="12.9">
      <c r="A145" s="70"/>
      <c r="B145" s="168"/>
      <c r="C145" s="169"/>
      <c r="D145" s="24"/>
      <c r="E145" s="24"/>
      <c r="F145" s="24"/>
      <c r="G145" s="174"/>
      <c r="H145" s="171"/>
      <c r="I145" s="175"/>
      <c r="J145" s="24"/>
      <c r="K145" s="24"/>
      <c r="L145" s="24"/>
      <c r="M145" s="24"/>
      <c r="N145" s="24"/>
      <c r="O145" s="24"/>
      <c r="P145" s="24"/>
      <c r="Q145" s="24"/>
      <c r="R145" s="24"/>
      <c r="S145" s="24"/>
      <c r="T145" s="24"/>
      <c r="U145" s="24"/>
      <c r="V145" s="24"/>
      <c r="W145" s="24"/>
      <c r="X145" s="24"/>
      <c r="Y145" s="24"/>
      <c r="Z145" s="24"/>
      <c r="AA145" s="24"/>
      <c r="AB145" s="24"/>
      <c r="AC145" s="24"/>
      <c r="AD145" s="24"/>
      <c r="AE145" s="24"/>
    </row>
    <row r="146" spans="1:31" ht="12.9">
      <c r="A146" s="70"/>
      <c r="B146" s="168"/>
      <c r="C146" s="169"/>
      <c r="D146" s="24"/>
      <c r="E146" s="24"/>
      <c r="F146" s="24"/>
      <c r="G146" s="174"/>
      <c r="H146" s="171"/>
      <c r="I146" s="175"/>
      <c r="J146" s="24"/>
      <c r="K146" s="24"/>
      <c r="L146" s="24"/>
      <c r="M146" s="24"/>
      <c r="N146" s="24"/>
      <c r="O146" s="24"/>
      <c r="P146" s="24"/>
      <c r="Q146" s="24"/>
      <c r="R146" s="24"/>
      <c r="S146" s="24"/>
      <c r="T146" s="24"/>
      <c r="U146" s="24"/>
      <c r="V146" s="24"/>
      <c r="W146" s="24"/>
      <c r="X146" s="24"/>
      <c r="Y146" s="24"/>
      <c r="Z146" s="24"/>
      <c r="AA146" s="24"/>
      <c r="AB146" s="24"/>
      <c r="AC146" s="24"/>
      <c r="AD146" s="24"/>
      <c r="AE146" s="24"/>
    </row>
    <row r="147" spans="1:31" ht="12.9">
      <c r="A147" s="70"/>
      <c r="B147" s="168"/>
      <c r="C147" s="169"/>
      <c r="D147" s="24"/>
      <c r="E147" s="24"/>
      <c r="F147" s="24"/>
      <c r="G147" s="174"/>
      <c r="H147" s="171"/>
      <c r="I147" s="172"/>
      <c r="J147" s="24"/>
      <c r="K147" s="24"/>
      <c r="L147" s="24"/>
      <c r="M147" s="24"/>
      <c r="N147" s="24"/>
      <c r="O147" s="24"/>
      <c r="P147" s="24"/>
      <c r="Q147" s="24"/>
      <c r="R147" s="24"/>
      <c r="S147" s="24"/>
      <c r="T147" s="24"/>
      <c r="U147" s="24"/>
      <c r="V147" s="24"/>
      <c r="W147" s="24"/>
      <c r="X147" s="24"/>
      <c r="Y147" s="24"/>
      <c r="Z147" s="24"/>
      <c r="AA147" s="24"/>
      <c r="AB147" s="24"/>
      <c r="AC147" s="24"/>
      <c r="AD147" s="24"/>
      <c r="AE147" s="24"/>
    </row>
    <row r="148" spans="1:31" ht="12.9">
      <c r="A148" s="70"/>
      <c r="B148" s="168"/>
      <c r="C148" s="169"/>
      <c r="D148" s="24"/>
      <c r="E148" s="24"/>
      <c r="F148" s="24"/>
      <c r="G148" s="174"/>
      <c r="H148" s="171"/>
      <c r="I148" s="172"/>
      <c r="J148" s="24"/>
      <c r="K148" s="24"/>
      <c r="L148" s="24"/>
      <c r="M148" s="24"/>
      <c r="N148" s="24"/>
      <c r="O148" s="24"/>
      <c r="P148" s="24"/>
      <c r="Q148" s="24"/>
      <c r="R148" s="24"/>
      <c r="S148" s="24"/>
      <c r="T148" s="24"/>
      <c r="U148" s="24"/>
      <c r="V148" s="24"/>
      <c r="W148" s="24"/>
      <c r="X148" s="24"/>
      <c r="Y148" s="24"/>
      <c r="Z148" s="24"/>
      <c r="AA148" s="24"/>
      <c r="AB148" s="24"/>
      <c r="AC148" s="24"/>
      <c r="AD148" s="24"/>
      <c r="AE148" s="24"/>
    </row>
    <row r="149" spans="1:31" ht="12.9">
      <c r="A149" s="70"/>
      <c r="B149" s="168"/>
      <c r="C149" s="169"/>
      <c r="D149" s="24"/>
      <c r="E149" s="24"/>
      <c r="F149" s="24"/>
      <c r="G149" s="174"/>
      <c r="H149" s="171"/>
      <c r="I149" s="172"/>
      <c r="J149" s="24"/>
      <c r="K149" s="24"/>
      <c r="L149" s="24"/>
      <c r="M149" s="24"/>
      <c r="N149" s="24"/>
      <c r="O149" s="24"/>
      <c r="P149" s="24"/>
      <c r="Q149" s="24"/>
      <c r="R149" s="24"/>
      <c r="S149" s="24"/>
      <c r="T149" s="24"/>
      <c r="U149" s="24"/>
      <c r="V149" s="24"/>
      <c r="W149" s="24"/>
      <c r="X149" s="24"/>
      <c r="Y149" s="24"/>
      <c r="Z149" s="24"/>
      <c r="AA149" s="24"/>
      <c r="AB149" s="24"/>
      <c r="AC149" s="24"/>
      <c r="AD149" s="24"/>
      <c r="AE149" s="24"/>
    </row>
    <row r="150" spans="1:31" ht="12.9">
      <c r="A150" s="70"/>
      <c r="B150" s="168"/>
      <c r="C150" s="169"/>
      <c r="D150" s="24"/>
      <c r="E150" s="24"/>
      <c r="F150" s="24"/>
      <c r="G150" s="70"/>
      <c r="H150" s="171"/>
      <c r="I150" s="172"/>
      <c r="J150" s="24"/>
      <c r="K150" s="24"/>
      <c r="L150" s="24"/>
      <c r="M150" s="24"/>
      <c r="N150" s="24"/>
      <c r="O150" s="24"/>
      <c r="P150" s="24"/>
      <c r="Q150" s="24"/>
      <c r="R150" s="24"/>
      <c r="S150" s="24"/>
      <c r="T150" s="24"/>
      <c r="U150" s="24"/>
      <c r="V150" s="24"/>
      <c r="W150" s="24"/>
      <c r="X150" s="24"/>
      <c r="Y150" s="24"/>
      <c r="Z150" s="24"/>
      <c r="AA150" s="24"/>
      <c r="AB150" s="24"/>
      <c r="AC150" s="24"/>
      <c r="AD150" s="24"/>
      <c r="AE150" s="24"/>
    </row>
    <row r="151" spans="1:31" ht="12.9">
      <c r="A151" s="70"/>
      <c r="B151" s="168"/>
      <c r="C151" s="169"/>
      <c r="D151" s="24"/>
      <c r="E151" s="24"/>
      <c r="F151" s="24"/>
      <c r="G151" s="70"/>
      <c r="H151" s="171"/>
      <c r="I151" s="172"/>
      <c r="J151" s="24"/>
      <c r="K151" s="24"/>
      <c r="L151" s="24"/>
      <c r="M151" s="24"/>
      <c r="N151" s="24"/>
      <c r="O151" s="24"/>
      <c r="P151" s="24"/>
      <c r="Q151" s="24"/>
      <c r="R151" s="24"/>
      <c r="S151" s="24"/>
      <c r="T151" s="24"/>
      <c r="U151" s="24"/>
      <c r="V151" s="24"/>
      <c r="W151" s="24"/>
      <c r="X151" s="24"/>
      <c r="Y151" s="24"/>
      <c r="Z151" s="24"/>
      <c r="AA151" s="24"/>
      <c r="AB151" s="24"/>
      <c r="AC151" s="24"/>
      <c r="AD151" s="24"/>
      <c r="AE151" s="24"/>
    </row>
    <row r="152" spans="1:31" ht="12.9">
      <c r="A152" s="70"/>
      <c r="B152" s="168"/>
      <c r="C152" s="169"/>
      <c r="D152" s="24"/>
      <c r="E152" s="24"/>
      <c r="F152" s="24"/>
      <c r="G152" s="70"/>
      <c r="H152" s="171"/>
      <c r="I152" s="172"/>
      <c r="J152" s="24"/>
      <c r="K152" s="24"/>
      <c r="L152" s="24"/>
      <c r="M152" s="24"/>
      <c r="N152" s="24"/>
      <c r="O152" s="24"/>
      <c r="P152" s="24"/>
      <c r="Q152" s="24"/>
      <c r="R152" s="24"/>
      <c r="S152" s="24"/>
      <c r="T152" s="24"/>
      <c r="U152" s="24"/>
      <c r="V152" s="24"/>
      <c r="W152" s="24"/>
      <c r="X152" s="24"/>
      <c r="Y152" s="24"/>
      <c r="Z152" s="24"/>
      <c r="AA152" s="24"/>
      <c r="AB152" s="24"/>
      <c r="AC152" s="24"/>
      <c r="AD152" s="24"/>
      <c r="AE152" s="24"/>
    </row>
    <row r="153" spans="1:31" ht="12.9">
      <c r="A153" s="70"/>
      <c r="B153" s="168"/>
      <c r="C153" s="169"/>
      <c r="D153" s="24"/>
      <c r="E153" s="24"/>
      <c r="F153" s="24"/>
      <c r="G153" s="70"/>
      <c r="H153" s="171"/>
      <c r="I153" s="172"/>
      <c r="J153" s="24"/>
      <c r="K153" s="24"/>
      <c r="L153" s="24"/>
      <c r="M153" s="24"/>
      <c r="N153" s="24"/>
      <c r="O153" s="24"/>
      <c r="P153" s="24"/>
      <c r="Q153" s="24"/>
      <c r="R153" s="24"/>
      <c r="S153" s="24"/>
      <c r="T153" s="24"/>
      <c r="U153" s="24"/>
      <c r="V153" s="24"/>
      <c r="W153" s="24"/>
      <c r="X153" s="24"/>
      <c r="Y153" s="24"/>
      <c r="Z153" s="24"/>
      <c r="AA153" s="24"/>
      <c r="AB153" s="24"/>
      <c r="AC153" s="24"/>
      <c r="AD153" s="24"/>
      <c r="AE153" s="24"/>
    </row>
    <row r="154" spans="1:31" ht="12.9">
      <c r="A154" s="70"/>
      <c r="B154" s="168"/>
      <c r="C154" s="169"/>
      <c r="D154" s="24"/>
      <c r="E154" s="24"/>
      <c r="F154" s="24"/>
      <c r="G154" s="70"/>
      <c r="H154" s="171"/>
      <c r="I154" s="172"/>
      <c r="J154" s="24"/>
      <c r="K154" s="24"/>
      <c r="L154" s="24"/>
      <c r="M154" s="24"/>
      <c r="N154" s="24"/>
      <c r="O154" s="24"/>
      <c r="P154" s="24"/>
      <c r="Q154" s="24"/>
      <c r="R154" s="24"/>
      <c r="S154" s="24"/>
      <c r="T154" s="24"/>
      <c r="U154" s="24"/>
      <c r="V154" s="24"/>
      <c r="W154" s="24"/>
      <c r="X154" s="24"/>
      <c r="Y154" s="24"/>
      <c r="Z154" s="24"/>
      <c r="AA154" s="24"/>
      <c r="AB154" s="24"/>
      <c r="AC154" s="24"/>
      <c r="AD154" s="24"/>
      <c r="AE154" s="24"/>
    </row>
    <row r="155" spans="1:31" ht="12.9">
      <c r="A155" s="70"/>
      <c r="B155" s="168"/>
      <c r="C155" s="169"/>
      <c r="D155" s="24"/>
      <c r="E155" s="24"/>
      <c r="F155" s="24"/>
      <c r="G155" s="70"/>
      <c r="H155" s="171"/>
      <c r="I155" s="172"/>
      <c r="J155" s="24"/>
      <c r="K155" s="24"/>
      <c r="L155" s="24"/>
      <c r="M155" s="24"/>
      <c r="N155" s="24"/>
      <c r="O155" s="24"/>
      <c r="P155" s="24"/>
      <c r="Q155" s="24"/>
      <c r="R155" s="24"/>
      <c r="S155" s="24"/>
      <c r="T155" s="24"/>
      <c r="U155" s="24"/>
      <c r="V155" s="24"/>
      <c r="W155" s="24"/>
      <c r="X155" s="24"/>
      <c r="Y155" s="24"/>
      <c r="Z155" s="24"/>
      <c r="AA155" s="24"/>
      <c r="AB155" s="24"/>
      <c r="AC155" s="24"/>
      <c r="AD155" s="24"/>
      <c r="AE155" s="24"/>
    </row>
    <row r="156" spans="1:31" ht="12.9">
      <c r="A156" s="70"/>
      <c r="B156" s="168"/>
      <c r="C156" s="169"/>
      <c r="D156" s="24"/>
      <c r="E156" s="24"/>
      <c r="F156" s="24"/>
      <c r="G156" s="70"/>
      <c r="H156" s="171"/>
      <c r="I156" s="172"/>
      <c r="J156" s="24"/>
      <c r="K156" s="24"/>
      <c r="L156" s="24"/>
      <c r="M156" s="24"/>
      <c r="N156" s="24"/>
      <c r="O156" s="24"/>
      <c r="P156" s="24"/>
      <c r="Q156" s="24"/>
      <c r="R156" s="24"/>
      <c r="S156" s="24"/>
      <c r="T156" s="24"/>
      <c r="U156" s="24"/>
      <c r="V156" s="24"/>
      <c r="W156" s="24"/>
      <c r="X156" s="24"/>
      <c r="Y156" s="24"/>
      <c r="Z156" s="24"/>
      <c r="AA156" s="24"/>
      <c r="AB156" s="24"/>
      <c r="AC156" s="24"/>
      <c r="AD156" s="24"/>
      <c r="AE156" s="24"/>
    </row>
    <row r="157" spans="1:31" ht="12.9">
      <c r="A157" s="70"/>
      <c r="B157" s="168"/>
      <c r="C157" s="169"/>
      <c r="D157" s="24"/>
      <c r="E157" s="24"/>
      <c r="F157" s="24"/>
      <c r="G157" s="70"/>
      <c r="H157" s="171"/>
      <c r="I157" s="172"/>
      <c r="J157" s="24"/>
      <c r="K157" s="24"/>
      <c r="L157" s="24"/>
      <c r="M157" s="24"/>
      <c r="N157" s="24"/>
      <c r="O157" s="24"/>
      <c r="P157" s="24"/>
      <c r="Q157" s="24"/>
      <c r="R157" s="24"/>
      <c r="S157" s="24"/>
      <c r="T157" s="24"/>
      <c r="U157" s="24"/>
      <c r="V157" s="24"/>
      <c r="W157" s="24"/>
      <c r="X157" s="24"/>
      <c r="Y157" s="24"/>
      <c r="Z157" s="24"/>
      <c r="AA157" s="24"/>
      <c r="AB157" s="24"/>
      <c r="AC157" s="24"/>
      <c r="AD157" s="24"/>
      <c r="AE157" s="24"/>
    </row>
    <row r="158" spans="1:31" ht="12.9">
      <c r="A158" s="70"/>
      <c r="B158" s="168"/>
      <c r="C158" s="169"/>
      <c r="D158" s="24"/>
      <c r="E158" s="24"/>
      <c r="F158" s="24"/>
      <c r="G158" s="70"/>
      <c r="H158" s="171"/>
      <c r="I158" s="172"/>
      <c r="J158" s="24"/>
      <c r="K158" s="24"/>
      <c r="L158" s="24"/>
      <c r="M158" s="24"/>
      <c r="N158" s="24"/>
      <c r="O158" s="24"/>
      <c r="P158" s="24"/>
      <c r="Q158" s="24"/>
      <c r="R158" s="24"/>
      <c r="S158" s="24"/>
      <c r="T158" s="24"/>
      <c r="U158" s="24"/>
      <c r="V158" s="24"/>
      <c r="W158" s="24"/>
      <c r="X158" s="24"/>
      <c r="Y158" s="24"/>
      <c r="Z158" s="24"/>
      <c r="AA158" s="24"/>
      <c r="AB158" s="24"/>
      <c r="AC158" s="24"/>
      <c r="AD158" s="24"/>
      <c r="AE158" s="24"/>
    </row>
    <row r="159" spans="1:31" ht="12.9">
      <c r="A159" s="70"/>
      <c r="B159" s="168"/>
      <c r="C159" s="169"/>
      <c r="D159" s="24"/>
      <c r="E159" s="24"/>
      <c r="F159" s="24"/>
      <c r="G159" s="70"/>
      <c r="H159" s="171"/>
      <c r="I159" s="172"/>
      <c r="J159" s="24"/>
      <c r="K159" s="24"/>
      <c r="L159" s="24"/>
      <c r="M159" s="24"/>
      <c r="N159" s="24"/>
      <c r="O159" s="24"/>
      <c r="P159" s="24"/>
      <c r="Q159" s="24"/>
      <c r="R159" s="24"/>
      <c r="S159" s="24"/>
      <c r="T159" s="24"/>
      <c r="U159" s="24"/>
      <c r="V159" s="24"/>
      <c r="W159" s="24"/>
      <c r="X159" s="24"/>
      <c r="Y159" s="24"/>
      <c r="Z159" s="24"/>
      <c r="AA159" s="24"/>
      <c r="AB159" s="24"/>
      <c r="AC159" s="24"/>
      <c r="AD159" s="24"/>
      <c r="AE159" s="24"/>
    </row>
    <row r="160" spans="1:31" ht="12.9">
      <c r="A160" s="70"/>
      <c r="B160" s="168"/>
      <c r="C160" s="169"/>
      <c r="D160" s="24"/>
      <c r="E160" s="24"/>
      <c r="F160" s="24"/>
      <c r="G160" s="70"/>
      <c r="H160" s="171"/>
      <c r="I160" s="175"/>
      <c r="J160" s="24"/>
      <c r="K160" s="24"/>
      <c r="L160" s="24"/>
      <c r="M160" s="24"/>
      <c r="N160" s="24"/>
      <c r="O160" s="24"/>
      <c r="P160" s="24"/>
      <c r="Q160" s="24"/>
      <c r="R160" s="24"/>
      <c r="S160" s="24"/>
      <c r="T160" s="24"/>
      <c r="U160" s="24"/>
      <c r="V160" s="24"/>
      <c r="W160" s="24"/>
      <c r="X160" s="24"/>
      <c r="Y160" s="24"/>
      <c r="Z160" s="24"/>
      <c r="AA160" s="24"/>
      <c r="AB160" s="24"/>
      <c r="AC160" s="24"/>
      <c r="AD160" s="24"/>
      <c r="AE160" s="24"/>
    </row>
    <row r="161" spans="1:31" ht="12.9">
      <c r="A161" s="70"/>
      <c r="B161" s="168"/>
      <c r="C161" s="169"/>
      <c r="D161" s="24"/>
      <c r="E161" s="24"/>
      <c r="F161" s="24"/>
      <c r="G161" s="70"/>
      <c r="H161" s="171"/>
      <c r="I161" s="175"/>
      <c r="J161" s="24"/>
      <c r="K161" s="24"/>
      <c r="L161" s="24"/>
      <c r="M161" s="24"/>
      <c r="N161" s="24"/>
      <c r="O161" s="24"/>
      <c r="P161" s="24"/>
      <c r="Q161" s="24"/>
      <c r="R161" s="24"/>
      <c r="S161" s="24"/>
      <c r="T161" s="24"/>
      <c r="U161" s="24"/>
      <c r="V161" s="24"/>
      <c r="W161" s="24"/>
      <c r="X161" s="24"/>
      <c r="Y161" s="24"/>
      <c r="Z161" s="24"/>
      <c r="AA161" s="24"/>
      <c r="AB161" s="24"/>
      <c r="AC161" s="24"/>
      <c r="AD161" s="24"/>
      <c r="AE161" s="24"/>
    </row>
    <row r="162" spans="1:31" ht="12.9">
      <c r="A162" s="70"/>
      <c r="B162" s="168"/>
      <c r="C162" s="169"/>
      <c r="D162" s="24"/>
      <c r="E162" s="24"/>
      <c r="F162" s="24"/>
      <c r="G162" s="70"/>
      <c r="H162" s="171"/>
      <c r="I162" s="172"/>
      <c r="J162" s="24"/>
      <c r="K162" s="24"/>
      <c r="L162" s="24"/>
      <c r="M162" s="24"/>
      <c r="N162" s="24"/>
      <c r="O162" s="24"/>
      <c r="P162" s="24"/>
      <c r="Q162" s="24"/>
      <c r="R162" s="24"/>
      <c r="S162" s="24"/>
      <c r="T162" s="24"/>
      <c r="U162" s="24"/>
      <c r="V162" s="24"/>
      <c r="W162" s="24"/>
      <c r="X162" s="24"/>
      <c r="Y162" s="24"/>
      <c r="Z162" s="24"/>
      <c r="AA162" s="24"/>
      <c r="AB162" s="24"/>
      <c r="AC162" s="24"/>
      <c r="AD162" s="24"/>
      <c r="AE162" s="24"/>
    </row>
    <row r="163" spans="1:31" ht="12.9">
      <c r="A163" s="70"/>
      <c r="B163" s="168"/>
      <c r="C163" s="169"/>
      <c r="D163" s="24"/>
      <c r="E163" s="24"/>
      <c r="F163" s="24"/>
      <c r="G163" s="70"/>
      <c r="H163" s="171"/>
      <c r="I163" s="172"/>
      <c r="J163" s="24"/>
      <c r="K163" s="24"/>
      <c r="L163" s="24"/>
      <c r="M163" s="24"/>
      <c r="N163" s="24"/>
      <c r="O163" s="24"/>
      <c r="P163" s="24"/>
      <c r="Q163" s="24"/>
      <c r="R163" s="24"/>
      <c r="S163" s="24"/>
      <c r="T163" s="24"/>
      <c r="U163" s="24"/>
      <c r="V163" s="24"/>
      <c r="W163" s="24"/>
      <c r="X163" s="24"/>
      <c r="Y163" s="24"/>
      <c r="Z163" s="24"/>
      <c r="AA163" s="24"/>
      <c r="AB163" s="24"/>
      <c r="AC163" s="24"/>
      <c r="AD163" s="24"/>
      <c r="AE163" s="24"/>
    </row>
    <row r="164" spans="1:31" ht="12.9">
      <c r="A164" s="70"/>
      <c r="B164" s="168"/>
      <c r="C164" s="169"/>
      <c r="D164" s="24"/>
      <c r="E164" s="24"/>
      <c r="F164" s="24"/>
      <c r="G164" s="70"/>
      <c r="H164" s="171"/>
      <c r="I164" s="172"/>
      <c r="J164" s="24"/>
      <c r="K164" s="24"/>
      <c r="L164" s="24"/>
      <c r="M164" s="24"/>
      <c r="N164" s="24"/>
      <c r="O164" s="24"/>
      <c r="P164" s="24"/>
      <c r="Q164" s="24"/>
      <c r="R164" s="24"/>
      <c r="S164" s="24"/>
      <c r="T164" s="24"/>
      <c r="U164" s="24"/>
      <c r="V164" s="24"/>
      <c r="W164" s="24"/>
      <c r="X164" s="24"/>
      <c r="Y164" s="24"/>
      <c r="Z164" s="24"/>
      <c r="AA164" s="24"/>
      <c r="AB164" s="24"/>
      <c r="AC164" s="24"/>
      <c r="AD164" s="24"/>
      <c r="AE164" s="24"/>
    </row>
    <row r="165" spans="1:31" ht="12.9">
      <c r="A165" s="70"/>
      <c r="B165" s="168"/>
      <c r="C165" s="169"/>
      <c r="D165" s="24"/>
      <c r="E165" s="24"/>
      <c r="F165" s="24"/>
      <c r="G165" s="70"/>
      <c r="H165" s="171"/>
      <c r="I165" s="171"/>
      <c r="J165" s="24"/>
      <c r="K165" s="24"/>
      <c r="L165" s="24"/>
      <c r="M165" s="24"/>
      <c r="N165" s="24"/>
      <c r="O165" s="24"/>
      <c r="P165" s="24"/>
      <c r="Q165" s="24"/>
      <c r="R165" s="24"/>
      <c r="S165" s="24"/>
      <c r="T165" s="24"/>
      <c r="U165" s="24"/>
      <c r="V165" s="24"/>
      <c r="W165" s="24"/>
      <c r="X165" s="24"/>
      <c r="Y165" s="24"/>
      <c r="Z165" s="24"/>
      <c r="AA165" s="24"/>
      <c r="AB165" s="24"/>
      <c r="AC165" s="24"/>
      <c r="AD165" s="24"/>
      <c r="AE165" s="24"/>
    </row>
    <row r="166" spans="1:31" ht="12.9">
      <c r="A166" s="70"/>
      <c r="B166" s="168"/>
      <c r="C166" s="169"/>
      <c r="D166" s="24"/>
      <c r="E166" s="24"/>
      <c r="F166" s="24"/>
      <c r="G166" s="70"/>
      <c r="H166" s="171"/>
      <c r="I166" s="172"/>
      <c r="J166" s="24"/>
      <c r="K166" s="24"/>
      <c r="L166" s="24"/>
      <c r="M166" s="24"/>
      <c r="N166" s="24"/>
      <c r="O166" s="24"/>
      <c r="P166" s="24"/>
      <c r="Q166" s="24"/>
      <c r="R166" s="24"/>
      <c r="S166" s="24"/>
      <c r="T166" s="24"/>
      <c r="U166" s="24"/>
      <c r="V166" s="24"/>
      <c r="W166" s="24"/>
      <c r="X166" s="24"/>
      <c r="Y166" s="24"/>
      <c r="Z166" s="24"/>
      <c r="AA166" s="24"/>
      <c r="AB166" s="24"/>
      <c r="AC166" s="24"/>
      <c r="AD166" s="24"/>
      <c r="AE166" s="24"/>
    </row>
    <row r="167" spans="1:31" ht="4.5999999999999996" customHeight="1">
      <c r="A167" s="70"/>
      <c r="B167" s="168"/>
      <c r="C167" s="169"/>
      <c r="D167" s="24"/>
      <c r="E167" s="24"/>
      <c r="F167" s="24"/>
      <c r="G167" s="70"/>
      <c r="H167" s="172"/>
      <c r="I167" s="172"/>
      <c r="J167" s="24"/>
      <c r="K167" s="24"/>
      <c r="L167" s="24"/>
      <c r="M167" s="24"/>
      <c r="N167" s="24"/>
      <c r="O167" s="24"/>
      <c r="P167" s="24"/>
      <c r="Q167" s="24"/>
      <c r="R167" s="24"/>
      <c r="S167" s="24"/>
      <c r="T167" s="24"/>
      <c r="U167" s="24"/>
      <c r="V167" s="24"/>
      <c r="W167" s="24"/>
      <c r="X167" s="24"/>
      <c r="Y167" s="24"/>
      <c r="Z167" s="24"/>
      <c r="AA167" s="24"/>
      <c r="AB167" s="24"/>
      <c r="AC167" s="24"/>
      <c r="AD167" s="24"/>
      <c r="AE167" s="24"/>
    </row>
    <row r="168" spans="1:31" ht="12.9">
      <c r="A168" s="70"/>
      <c r="B168" s="168"/>
      <c r="C168" s="169"/>
      <c r="D168" s="24"/>
      <c r="E168" s="24"/>
      <c r="F168" s="24"/>
      <c r="G168" s="70"/>
      <c r="H168" s="172"/>
      <c r="I168" s="172"/>
      <c r="J168" s="70"/>
      <c r="K168" s="164"/>
      <c r="L168" s="165"/>
      <c r="M168" s="70"/>
      <c r="N168" s="24"/>
      <c r="O168" s="24"/>
      <c r="P168" s="24"/>
      <c r="Q168" s="24"/>
      <c r="R168" s="24"/>
      <c r="S168" s="24"/>
      <c r="T168" s="24"/>
      <c r="U168" s="24"/>
      <c r="V168" s="24"/>
      <c r="W168" s="24"/>
      <c r="X168" s="24"/>
      <c r="Y168" s="24"/>
      <c r="Z168" s="24"/>
      <c r="AA168" s="24"/>
      <c r="AB168" s="24"/>
      <c r="AC168" s="24"/>
      <c r="AD168" s="24"/>
      <c r="AE168" s="24"/>
    </row>
    <row r="169" spans="1:31" ht="12.9">
      <c r="A169" s="70"/>
      <c r="B169" s="143"/>
      <c r="C169" s="24"/>
      <c r="D169" s="24"/>
      <c r="E169" s="24"/>
      <c r="F169" s="24"/>
      <c r="G169" s="24"/>
      <c r="H169" s="117"/>
      <c r="I169" s="117"/>
      <c r="J169" s="24"/>
      <c r="K169" s="24"/>
      <c r="L169" s="24"/>
      <c r="M169" s="24"/>
      <c r="N169" s="24"/>
      <c r="O169" s="24"/>
      <c r="P169" s="24"/>
      <c r="Q169" s="24"/>
      <c r="R169" s="24"/>
      <c r="S169" s="24"/>
      <c r="T169" s="24"/>
      <c r="U169" s="24"/>
      <c r="V169" s="24"/>
      <c r="W169" s="24"/>
      <c r="X169" s="24"/>
      <c r="Y169" s="24"/>
      <c r="Z169" s="24"/>
      <c r="AA169" s="24"/>
      <c r="AB169" s="24"/>
      <c r="AC169" s="24"/>
      <c r="AD169" s="24"/>
      <c r="AE169" s="24"/>
    </row>
    <row r="170" spans="1:31" ht="12.9">
      <c r="A170" s="70"/>
      <c r="B170" s="143"/>
      <c r="C170" s="24"/>
      <c r="D170" s="24"/>
      <c r="E170" s="24"/>
      <c r="F170" s="24"/>
      <c r="G170" s="24"/>
      <c r="H170" s="117"/>
      <c r="I170" s="117"/>
      <c r="J170" s="24"/>
      <c r="K170" s="24"/>
      <c r="L170" s="24"/>
      <c r="M170" s="24"/>
      <c r="N170" s="24"/>
      <c r="O170" s="24"/>
      <c r="P170" s="24"/>
      <c r="Q170" s="24"/>
      <c r="R170" s="24"/>
      <c r="S170" s="24"/>
      <c r="T170" s="24"/>
      <c r="U170" s="24"/>
      <c r="V170" s="24"/>
      <c r="W170" s="24"/>
      <c r="X170" s="24"/>
      <c r="Y170" s="24"/>
      <c r="Z170" s="24"/>
      <c r="AA170" s="24"/>
      <c r="AB170" s="24"/>
      <c r="AC170" s="24"/>
      <c r="AD170" s="24"/>
      <c r="AE170" s="24"/>
    </row>
    <row r="171" spans="1:31" ht="12.9">
      <c r="A171" s="24"/>
      <c r="B171" s="143"/>
      <c r="C171" s="24"/>
      <c r="D171" s="24"/>
      <c r="E171" s="24"/>
      <c r="F171" s="24"/>
      <c r="G171" s="24"/>
      <c r="H171" s="117"/>
      <c r="I171" s="117"/>
      <c r="J171" s="24"/>
      <c r="K171" s="24"/>
      <c r="L171" s="24"/>
      <c r="M171" s="24"/>
      <c r="N171" s="24"/>
      <c r="O171" s="24"/>
      <c r="P171" s="24"/>
      <c r="Q171" s="24"/>
      <c r="R171" s="24"/>
      <c r="S171" s="24"/>
      <c r="T171" s="24"/>
      <c r="U171" s="24"/>
      <c r="V171" s="24"/>
      <c r="W171" s="24"/>
      <c r="X171" s="24"/>
      <c r="Y171" s="24"/>
      <c r="Z171" s="24"/>
      <c r="AA171" s="24"/>
      <c r="AB171" s="24"/>
      <c r="AC171" s="24"/>
      <c r="AD171" s="24"/>
      <c r="AE171" s="24"/>
    </row>
    <row r="172" spans="1:31" ht="12.9">
      <c r="A172" s="24"/>
      <c r="B172" s="143"/>
      <c r="C172" s="24"/>
      <c r="D172" s="24"/>
      <c r="E172" s="24"/>
      <c r="F172" s="24"/>
      <c r="G172" s="24"/>
      <c r="H172" s="117"/>
      <c r="I172" s="117"/>
      <c r="J172" s="24"/>
      <c r="K172" s="24"/>
      <c r="L172" s="24"/>
      <c r="M172" s="24"/>
      <c r="N172" s="24"/>
      <c r="O172" s="24"/>
      <c r="P172" s="24"/>
      <c r="Q172" s="24"/>
      <c r="R172" s="24"/>
      <c r="S172" s="24"/>
      <c r="T172" s="24"/>
      <c r="U172" s="24"/>
      <c r="V172" s="24"/>
      <c r="W172" s="24"/>
      <c r="X172" s="24"/>
      <c r="Y172" s="24"/>
      <c r="Z172" s="24"/>
      <c r="AA172" s="24"/>
      <c r="AB172" s="24"/>
      <c r="AC172" s="24"/>
      <c r="AD172" s="24"/>
      <c r="AE172" s="24"/>
    </row>
    <row r="173" spans="1:31" ht="12.9">
      <c r="A173" s="24"/>
      <c r="B173" s="143"/>
      <c r="C173" s="24"/>
      <c r="D173" s="24"/>
      <c r="E173" s="24"/>
      <c r="F173" s="24"/>
      <c r="G173" s="24"/>
      <c r="H173" s="117"/>
      <c r="I173" s="117"/>
      <c r="J173" s="24"/>
      <c r="K173" s="24"/>
      <c r="L173" s="24"/>
      <c r="M173" s="24"/>
      <c r="N173" s="24"/>
      <c r="O173" s="24"/>
      <c r="P173" s="24"/>
      <c r="Q173" s="24"/>
      <c r="R173" s="24"/>
      <c r="S173" s="24"/>
      <c r="T173" s="24"/>
      <c r="U173" s="24"/>
      <c r="V173" s="24"/>
      <c r="W173" s="24"/>
      <c r="X173" s="24"/>
      <c r="Y173" s="24"/>
      <c r="Z173" s="24"/>
      <c r="AA173" s="24"/>
      <c r="AB173" s="24"/>
      <c r="AC173" s="24"/>
      <c r="AD173" s="24"/>
      <c r="AE173" s="24"/>
    </row>
    <row r="174" spans="1:31" ht="12.9">
      <c r="A174" s="24"/>
      <c r="B174" s="143"/>
      <c r="C174" s="24"/>
      <c r="D174" s="24"/>
      <c r="E174" s="24"/>
      <c r="F174" s="24"/>
      <c r="G174" s="24"/>
      <c r="H174" s="117"/>
      <c r="I174" s="117"/>
      <c r="J174" s="24"/>
      <c r="K174" s="24"/>
      <c r="L174" s="24"/>
      <c r="M174" s="24"/>
      <c r="N174" s="24"/>
      <c r="O174" s="24"/>
      <c r="P174" s="24"/>
      <c r="Q174" s="24"/>
      <c r="R174" s="24"/>
      <c r="S174" s="24"/>
      <c r="T174" s="24"/>
      <c r="U174" s="24"/>
      <c r="V174" s="24"/>
      <c r="W174" s="24"/>
      <c r="X174" s="24"/>
      <c r="Y174" s="24"/>
      <c r="Z174" s="24"/>
      <c r="AA174" s="24"/>
      <c r="AB174" s="24"/>
      <c r="AC174" s="24"/>
      <c r="AD174" s="24"/>
      <c r="AE174" s="24"/>
    </row>
    <row r="175" spans="1:31" ht="12.9">
      <c r="A175" s="24"/>
      <c r="B175" s="143"/>
      <c r="C175" s="24"/>
      <c r="D175" s="24"/>
      <c r="E175" s="24"/>
      <c r="F175" s="24"/>
      <c r="G175" s="24"/>
      <c r="H175" s="117"/>
      <c r="I175" s="117"/>
      <c r="J175" s="24"/>
      <c r="K175" s="24"/>
      <c r="L175" s="24"/>
      <c r="M175" s="24"/>
      <c r="N175" s="24"/>
      <c r="O175" s="24"/>
      <c r="P175" s="24"/>
      <c r="Q175" s="24"/>
      <c r="R175" s="24"/>
      <c r="S175" s="24"/>
      <c r="T175" s="24"/>
      <c r="U175" s="24"/>
      <c r="V175" s="24"/>
      <c r="W175" s="24"/>
      <c r="X175" s="24"/>
      <c r="Y175" s="24"/>
      <c r="Z175" s="24"/>
      <c r="AA175" s="24"/>
      <c r="AB175" s="24"/>
      <c r="AC175" s="24"/>
      <c r="AD175" s="24"/>
      <c r="AE175" s="24"/>
    </row>
    <row r="176" spans="1:31" ht="12.9">
      <c r="A176" s="24"/>
      <c r="B176" s="143"/>
      <c r="C176" s="24"/>
      <c r="D176" s="24"/>
      <c r="E176" s="24"/>
      <c r="F176" s="24"/>
      <c r="G176" s="24"/>
      <c r="H176" s="117"/>
      <c r="I176" s="117"/>
      <c r="J176" s="24"/>
      <c r="K176" s="24"/>
      <c r="L176" s="24"/>
      <c r="M176" s="24"/>
      <c r="N176" s="24"/>
      <c r="O176" s="24"/>
      <c r="P176" s="24"/>
      <c r="Q176" s="24"/>
      <c r="R176" s="24"/>
      <c r="S176" s="24"/>
      <c r="T176" s="24"/>
      <c r="U176" s="24"/>
      <c r="V176" s="24"/>
      <c r="W176" s="24"/>
      <c r="X176" s="24"/>
      <c r="Y176" s="24"/>
      <c r="Z176" s="24"/>
      <c r="AA176" s="24"/>
      <c r="AB176" s="24"/>
      <c r="AC176" s="24"/>
      <c r="AD176" s="24"/>
      <c r="AE176" s="24"/>
    </row>
    <row r="177" spans="1:31" ht="12.9">
      <c r="A177" s="24"/>
      <c r="B177" s="143"/>
      <c r="C177" s="24"/>
      <c r="D177" s="24"/>
      <c r="E177" s="24"/>
      <c r="F177" s="24"/>
      <c r="G177" s="24"/>
      <c r="H177" s="117"/>
      <c r="I177" s="117"/>
      <c r="J177" s="24"/>
      <c r="K177" s="24"/>
      <c r="L177" s="24"/>
      <c r="M177" s="24"/>
      <c r="N177" s="24"/>
      <c r="O177" s="24"/>
      <c r="P177" s="24"/>
      <c r="Q177" s="24"/>
      <c r="R177" s="24"/>
      <c r="S177" s="24"/>
      <c r="T177" s="24"/>
      <c r="U177" s="24"/>
      <c r="V177" s="24"/>
      <c r="W177" s="24"/>
      <c r="X177" s="24"/>
      <c r="Y177" s="24"/>
      <c r="Z177" s="24"/>
      <c r="AA177" s="24"/>
      <c r="AB177" s="24"/>
      <c r="AC177" s="24"/>
      <c r="AD177" s="24"/>
      <c r="AE177" s="24"/>
    </row>
    <row r="178" spans="1:31" ht="12.9">
      <c r="A178" s="24"/>
      <c r="B178" s="143"/>
      <c r="C178" s="24"/>
      <c r="D178" s="24"/>
      <c r="E178" s="24"/>
      <c r="F178" s="24"/>
      <c r="G178" s="24"/>
      <c r="H178" s="117"/>
      <c r="I178" s="117"/>
      <c r="J178" s="24"/>
      <c r="K178" s="24"/>
      <c r="L178" s="24"/>
      <c r="M178" s="24"/>
      <c r="N178" s="24"/>
      <c r="O178" s="24"/>
      <c r="P178" s="24"/>
      <c r="Q178" s="24"/>
      <c r="R178" s="24"/>
      <c r="S178" s="24"/>
      <c r="T178" s="24"/>
      <c r="U178" s="24"/>
      <c r="V178" s="24"/>
      <c r="W178" s="24"/>
      <c r="X178" s="24"/>
      <c r="Y178" s="24"/>
      <c r="Z178" s="24"/>
      <c r="AA178" s="24"/>
      <c r="AB178" s="24"/>
      <c r="AC178" s="24"/>
      <c r="AD178" s="24"/>
      <c r="AE178" s="24"/>
    </row>
    <row r="179" spans="1:31" ht="12.9">
      <c r="A179" s="24"/>
      <c r="B179" s="143"/>
      <c r="C179" s="24"/>
      <c r="D179" s="24"/>
      <c r="E179" s="24"/>
      <c r="F179" s="24"/>
      <c r="G179" s="24"/>
      <c r="H179" s="117"/>
      <c r="I179" s="117"/>
      <c r="J179" s="24"/>
      <c r="K179" s="24"/>
      <c r="L179" s="24"/>
      <c r="M179" s="24"/>
      <c r="N179" s="24"/>
      <c r="O179" s="24"/>
      <c r="P179" s="24"/>
      <c r="Q179" s="24"/>
      <c r="R179" s="24"/>
      <c r="S179" s="24"/>
      <c r="T179" s="24"/>
      <c r="U179" s="24"/>
      <c r="V179" s="24"/>
      <c r="W179" s="24"/>
      <c r="X179" s="24"/>
      <c r="Y179" s="24"/>
      <c r="Z179" s="24"/>
      <c r="AA179" s="24"/>
      <c r="AB179" s="24"/>
      <c r="AC179" s="24"/>
      <c r="AD179" s="24"/>
      <c r="AE179" s="24"/>
    </row>
    <row r="180" spans="1:31" ht="12.9">
      <c r="A180" s="24"/>
      <c r="B180" s="143"/>
      <c r="C180" s="24"/>
      <c r="D180" s="24"/>
      <c r="E180" s="24"/>
      <c r="F180" s="24"/>
      <c r="G180" s="24"/>
      <c r="H180" s="117"/>
      <c r="I180" s="117"/>
      <c r="J180" s="24"/>
      <c r="K180" s="24"/>
      <c r="L180" s="24"/>
      <c r="M180" s="24"/>
      <c r="N180" s="24"/>
      <c r="O180" s="24"/>
      <c r="P180" s="24"/>
      <c r="Q180" s="24"/>
      <c r="R180" s="24"/>
      <c r="S180" s="24"/>
      <c r="T180" s="24"/>
      <c r="U180" s="24"/>
      <c r="V180" s="24"/>
      <c r="W180" s="24"/>
      <c r="X180" s="24"/>
      <c r="Y180" s="24"/>
      <c r="Z180" s="24"/>
      <c r="AA180" s="24"/>
      <c r="AB180" s="24"/>
      <c r="AC180" s="24"/>
      <c r="AD180" s="24"/>
      <c r="AE180" s="24"/>
    </row>
    <row r="181" spans="1:31" ht="12.9">
      <c r="A181" s="24"/>
      <c r="B181" s="143"/>
      <c r="C181" s="24"/>
      <c r="D181" s="24"/>
      <c r="E181" s="24"/>
      <c r="F181" s="24"/>
      <c r="G181" s="24"/>
      <c r="H181" s="117"/>
      <c r="I181" s="117"/>
      <c r="J181" s="24"/>
      <c r="K181" s="24"/>
      <c r="L181" s="24"/>
      <c r="M181" s="24"/>
      <c r="N181" s="24"/>
      <c r="O181" s="24"/>
      <c r="P181" s="24"/>
      <c r="Q181" s="24"/>
      <c r="R181" s="24"/>
      <c r="S181" s="24"/>
      <c r="T181" s="24"/>
      <c r="U181" s="24"/>
      <c r="V181" s="24"/>
      <c r="W181" s="24"/>
      <c r="X181" s="24"/>
      <c r="Y181" s="24"/>
      <c r="Z181" s="24"/>
      <c r="AA181" s="24"/>
      <c r="AB181" s="24"/>
      <c r="AC181" s="24"/>
      <c r="AD181" s="24"/>
      <c r="AE181" s="24"/>
    </row>
    <row r="182" spans="1:31" ht="12.9">
      <c r="A182" s="24"/>
      <c r="B182" s="143"/>
      <c r="C182" s="24"/>
      <c r="D182" s="24"/>
      <c r="E182" s="24"/>
      <c r="F182" s="24"/>
      <c r="G182" s="24"/>
      <c r="H182" s="117"/>
      <c r="I182" s="117"/>
      <c r="J182" s="24"/>
      <c r="K182" s="24"/>
      <c r="L182" s="24"/>
      <c r="M182" s="24"/>
      <c r="N182" s="24"/>
      <c r="O182" s="24"/>
      <c r="P182" s="24"/>
      <c r="Q182" s="24"/>
      <c r="R182" s="24"/>
      <c r="S182" s="24"/>
      <c r="T182" s="24"/>
      <c r="U182" s="24"/>
      <c r="V182" s="24"/>
      <c r="W182" s="24"/>
      <c r="X182" s="24"/>
      <c r="Y182" s="24"/>
      <c r="Z182" s="24"/>
      <c r="AA182" s="24"/>
      <c r="AB182" s="24"/>
      <c r="AC182" s="24"/>
      <c r="AD182" s="24"/>
      <c r="AE182" s="24"/>
    </row>
    <row r="183" spans="1:31" ht="12.9">
      <c r="A183" s="24"/>
      <c r="B183" s="143"/>
      <c r="C183" s="24"/>
      <c r="D183" s="24"/>
      <c r="E183" s="24"/>
      <c r="F183" s="24"/>
      <c r="G183" s="24"/>
      <c r="H183" s="117"/>
      <c r="I183" s="117"/>
      <c r="J183" s="24"/>
      <c r="K183" s="24"/>
      <c r="L183" s="24"/>
      <c r="M183" s="24"/>
      <c r="N183" s="24"/>
      <c r="O183" s="24"/>
      <c r="P183" s="24"/>
      <c r="Q183" s="24"/>
      <c r="R183" s="24"/>
      <c r="S183" s="24"/>
      <c r="T183" s="24"/>
      <c r="U183" s="24"/>
      <c r="V183" s="24"/>
      <c r="W183" s="24"/>
      <c r="X183" s="24"/>
      <c r="Y183" s="24"/>
      <c r="Z183" s="24"/>
      <c r="AA183" s="24"/>
      <c r="AB183" s="24"/>
      <c r="AC183" s="24"/>
      <c r="AD183" s="24"/>
      <c r="AE183" s="24"/>
    </row>
    <row r="184" spans="1:31" ht="12.9">
      <c r="A184" s="24"/>
      <c r="B184" s="143"/>
      <c r="C184" s="24"/>
      <c r="D184" s="24"/>
      <c r="E184" s="24"/>
      <c r="F184" s="24"/>
      <c r="G184" s="24"/>
      <c r="H184" s="117"/>
      <c r="I184" s="117"/>
      <c r="J184" s="24"/>
      <c r="K184" s="24"/>
      <c r="L184" s="24"/>
      <c r="M184" s="24"/>
      <c r="N184" s="24"/>
      <c r="O184" s="24"/>
      <c r="P184" s="24"/>
      <c r="Q184" s="24"/>
      <c r="R184" s="24"/>
      <c r="S184" s="24"/>
      <c r="T184" s="24"/>
      <c r="U184" s="24"/>
      <c r="V184" s="24"/>
      <c r="W184" s="24"/>
      <c r="X184" s="24"/>
      <c r="Y184" s="24"/>
      <c r="Z184" s="24"/>
      <c r="AA184" s="24"/>
      <c r="AB184" s="24"/>
      <c r="AC184" s="24"/>
      <c r="AD184" s="24"/>
      <c r="AE184" s="24"/>
    </row>
    <row r="185" spans="1:31" ht="12.9">
      <c r="A185" s="24"/>
      <c r="B185" s="143"/>
      <c r="C185" s="24"/>
      <c r="D185" s="24"/>
      <c r="E185" s="24"/>
      <c r="F185" s="24"/>
      <c r="G185" s="24"/>
      <c r="H185" s="117"/>
      <c r="I185" s="117"/>
      <c r="J185" s="24"/>
      <c r="K185" s="24"/>
      <c r="L185" s="24"/>
      <c r="M185" s="24"/>
      <c r="N185" s="24"/>
      <c r="O185" s="24"/>
      <c r="P185" s="24"/>
      <c r="Q185" s="24"/>
      <c r="R185" s="24"/>
      <c r="S185" s="24"/>
      <c r="T185" s="24"/>
      <c r="U185" s="24"/>
      <c r="V185" s="24"/>
      <c r="W185" s="24"/>
      <c r="X185" s="24"/>
      <c r="Y185" s="24"/>
      <c r="Z185" s="24"/>
      <c r="AA185" s="24"/>
      <c r="AB185" s="24"/>
      <c r="AC185" s="24"/>
      <c r="AD185" s="24"/>
      <c r="AE185" s="24"/>
    </row>
    <row r="186" spans="1:31" ht="12.9">
      <c r="A186" s="24"/>
      <c r="B186" s="143"/>
      <c r="C186" s="24"/>
      <c r="D186" s="24"/>
      <c r="E186" s="24"/>
      <c r="F186" s="24"/>
      <c r="G186" s="24"/>
      <c r="H186" s="117"/>
      <c r="I186" s="117"/>
      <c r="J186" s="24"/>
      <c r="K186" s="24"/>
      <c r="L186" s="24"/>
      <c r="M186" s="24"/>
      <c r="N186" s="24"/>
      <c r="O186" s="24"/>
      <c r="P186" s="24"/>
      <c r="Q186" s="24"/>
      <c r="R186" s="24"/>
      <c r="S186" s="24"/>
      <c r="T186" s="24"/>
      <c r="U186" s="24"/>
      <c r="V186" s="24"/>
      <c r="W186" s="24"/>
      <c r="X186" s="24"/>
      <c r="Y186" s="24"/>
      <c r="Z186" s="24"/>
      <c r="AA186" s="24"/>
      <c r="AB186" s="24"/>
      <c r="AC186" s="24"/>
      <c r="AD186" s="24"/>
      <c r="AE186" s="24"/>
    </row>
    <row r="187" spans="1:31" ht="12.9">
      <c r="A187" s="24"/>
      <c r="B187" s="143"/>
      <c r="C187" s="24"/>
      <c r="D187" s="24"/>
      <c r="E187" s="24"/>
      <c r="F187" s="24"/>
      <c r="G187" s="24"/>
      <c r="H187" s="117"/>
      <c r="I187" s="117"/>
      <c r="J187" s="24"/>
      <c r="K187" s="24"/>
      <c r="L187" s="24"/>
      <c r="M187" s="24"/>
      <c r="N187" s="24"/>
      <c r="O187" s="24"/>
      <c r="P187" s="24"/>
      <c r="Q187" s="24"/>
      <c r="R187" s="24"/>
      <c r="S187" s="24"/>
      <c r="T187" s="24"/>
      <c r="U187" s="24"/>
      <c r="V187" s="24"/>
      <c r="W187" s="24"/>
      <c r="X187" s="24"/>
      <c r="Y187" s="24"/>
      <c r="Z187" s="24"/>
      <c r="AA187" s="24"/>
      <c r="AB187" s="24"/>
      <c r="AC187" s="24"/>
      <c r="AD187" s="24"/>
      <c r="AE187" s="24"/>
    </row>
    <row r="188" spans="1:31" ht="12.9">
      <c r="A188" s="24"/>
      <c r="B188" s="143"/>
      <c r="C188" s="24"/>
      <c r="D188" s="24"/>
      <c r="E188" s="24"/>
      <c r="F188" s="24"/>
      <c r="G188" s="24"/>
      <c r="H188" s="117"/>
      <c r="I188" s="117"/>
      <c r="J188" s="24"/>
      <c r="K188" s="24"/>
      <c r="L188" s="24"/>
      <c r="M188" s="24"/>
      <c r="N188" s="24"/>
      <c r="O188" s="24"/>
      <c r="P188" s="24"/>
      <c r="Q188" s="24"/>
      <c r="R188" s="24"/>
      <c r="S188" s="24"/>
      <c r="T188" s="24"/>
      <c r="U188" s="24"/>
      <c r="V188" s="24"/>
      <c r="W188" s="24"/>
      <c r="X188" s="24"/>
      <c r="Y188" s="24"/>
      <c r="Z188" s="24"/>
      <c r="AA188" s="24"/>
      <c r="AB188" s="24"/>
      <c r="AC188" s="24"/>
      <c r="AD188" s="24"/>
      <c r="AE188" s="24"/>
    </row>
    <row r="189" spans="1:31" ht="12.9">
      <c r="A189" s="24"/>
      <c r="B189" s="143"/>
      <c r="C189" s="24"/>
      <c r="D189" s="24"/>
      <c r="E189" s="24"/>
      <c r="F189" s="24"/>
      <c r="G189" s="24"/>
      <c r="H189" s="117"/>
      <c r="I189" s="117"/>
      <c r="J189" s="24"/>
      <c r="K189" s="24"/>
      <c r="L189" s="24"/>
      <c r="M189" s="24"/>
      <c r="N189" s="24"/>
      <c r="O189" s="24"/>
      <c r="P189" s="24"/>
      <c r="Q189" s="24"/>
      <c r="R189" s="24"/>
      <c r="S189" s="24"/>
      <c r="T189" s="24"/>
      <c r="U189" s="24"/>
      <c r="V189" s="24"/>
      <c r="W189" s="24"/>
      <c r="X189" s="24"/>
      <c r="Y189" s="24"/>
      <c r="Z189" s="24"/>
      <c r="AA189" s="24"/>
      <c r="AB189" s="24"/>
      <c r="AC189" s="24"/>
      <c r="AD189" s="24"/>
      <c r="AE189" s="24"/>
    </row>
    <row r="190" spans="1:31" ht="12.9">
      <c r="A190" s="24"/>
      <c r="B190" s="143"/>
      <c r="C190" s="24"/>
      <c r="D190" s="24"/>
      <c r="E190" s="24"/>
      <c r="F190" s="24"/>
      <c r="G190" s="24"/>
      <c r="H190" s="117"/>
      <c r="I190" s="117"/>
      <c r="J190" s="24"/>
      <c r="K190" s="24"/>
      <c r="L190" s="24"/>
      <c r="M190" s="24"/>
      <c r="N190" s="24"/>
      <c r="O190" s="24"/>
      <c r="P190" s="24"/>
      <c r="Q190" s="24"/>
      <c r="R190" s="24"/>
      <c r="S190" s="24"/>
      <c r="T190" s="24"/>
      <c r="U190" s="24"/>
      <c r="V190" s="24"/>
      <c r="W190" s="24"/>
      <c r="X190" s="24"/>
      <c r="Y190" s="24"/>
      <c r="Z190" s="24"/>
      <c r="AA190" s="24"/>
      <c r="AB190" s="24"/>
      <c r="AC190" s="24"/>
      <c r="AD190" s="24"/>
      <c r="AE190" s="24"/>
    </row>
    <row r="191" spans="1:31" ht="12.9">
      <c r="A191" s="24"/>
      <c r="B191" s="143"/>
      <c r="C191" s="24"/>
      <c r="D191" s="24"/>
      <c r="E191" s="24"/>
      <c r="F191" s="24"/>
      <c r="G191" s="24"/>
      <c r="H191" s="117"/>
      <c r="I191" s="117"/>
      <c r="J191" s="24"/>
      <c r="K191" s="24"/>
      <c r="L191" s="24"/>
      <c r="M191" s="24"/>
      <c r="N191" s="24"/>
      <c r="O191" s="24"/>
      <c r="P191" s="24"/>
      <c r="Q191" s="24"/>
      <c r="R191" s="24"/>
      <c r="S191" s="24"/>
      <c r="T191" s="24"/>
      <c r="U191" s="24"/>
      <c r="V191" s="24"/>
      <c r="W191" s="24"/>
      <c r="X191" s="24"/>
      <c r="Y191" s="24"/>
      <c r="Z191" s="24"/>
      <c r="AA191" s="24"/>
      <c r="AB191" s="24"/>
      <c r="AC191" s="24"/>
      <c r="AD191" s="24"/>
      <c r="AE191" s="24"/>
    </row>
    <row r="192" spans="1:31" ht="12.9">
      <c r="A192" s="24"/>
      <c r="B192" s="143"/>
      <c r="C192" s="24"/>
      <c r="D192" s="24"/>
      <c r="E192" s="24"/>
      <c r="F192" s="24"/>
      <c r="G192" s="24"/>
      <c r="H192" s="117"/>
      <c r="I192" s="117"/>
      <c r="J192" s="24"/>
      <c r="K192" s="24"/>
      <c r="L192" s="24"/>
      <c r="M192" s="24"/>
      <c r="N192" s="24"/>
      <c r="O192" s="24"/>
      <c r="P192" s="24"/>
      <c r="Q192" s="24"/>
      <c r="R192" s="24"/>
      <c r="S192" s="24"/>
      <c r="T192" s="24"/>
      <c r="U192" s="24"/>
      <c r="V192" s="24"/>
      <c r="W192" s="24"/>
      <c r="X192" s="24"/>
      <c r="Y192" s="24"/>
      <c r="Z192" s="24"/>
      <c r="AA192" s="24"/>
      <c r="AB192" s="24"/>
      <c r="AC192" s="24"/>
      <c r="AD192" s="24"/>
      <c r="AE192" s="24"/>
    </row>
    <row r="193" spans="1:31" ht="12.9">
      <c r="A193" s="24"/>
      <c r="B193" s="143"/>
      <c r="C193" s="24"/>
      <c r="D193" s="24"/>
      <c r="E193" s="24"/>
      <c r="F193" s="24"/>
      <c r="G193" s="24"/>
      <c r="H193" s="117"/>
      <c r="I193" s="117"/>
      <c r="J193" s="24"/>
      <c r="K193" s="24"/>
      <c r="L193" s="24"/>
      <c r="M193" s="24"/>
      <c r="N193" s="24"/>
      <c r="O193" s="24"/>
      <c r="P193" s="24"/>
      <c r="Q193" s="24"/>
      <c r="R193" s="24"/>
      <c r="S193" s="24"/>
      <c r="T193" s="24"/>
      <c r="U193" s="24"/>
      <c r="V193" s="24"/>
      <c r="W193" s="24"/>
      <c r="X193" s="24"/>
      <c r="Y193" s="24"/>
      <c r="Z193" s="24"/>
      <c r="AA193" s="24"/>
      <c r="AB193" s="24"/>
      <c r="AC193" s="24"/>
      <c r="AD193" s="24"/>
      <c r="AE193" s="24"/>
    </row>
    <row r="194" spans="1:31" ht="12.9">
      <c r="A194" s="24"/>
      <c r="B194" s="143"/>
      <c r="C194" s="24"/>
      <c r="D194" s="24"/>
      <c r="E194" s="24"/>
      <c r="F194" s="24"/>
      <c r="G194" s="24"/>
      <c r="H194" s="117"/>
      <c r="I194" s="117"/>
      <c r="J194" s="24"/>
      <c r="K194" s="24"/>
      <c r="L194" s="24"/>
      <c r="M194" s="24"/>
      <c r="N194" s="24"/>
      <c r="O194" s="24"/>
      <c r="P194" s="24"/>
      <c r="Q194" s="24"/>
      <c r="R194" s="24"/>
      <c r="S194" s="24"/>
      <c r="T194" s="24"/>
      <c r="U194" s="24"/>
      <c r="V194" s="24"/>
      <c r="W194" s="24"/>
      <c r="X194" s="24"/>
      <c r="Y194" s="24"/>
      <c r="Z194" s="24"/>
      <c r="AA194" s="24"/>
      <c r="AB194" s="24"/>
      <c r="AC194" s="24"/>
      <c r="AD194" s="24"/>
      <c r="AE194" s="24"/>
    </row>
    <row r="195" spans="1:31" ht="12.9">
      <c r="A195" s="24"/>
      <c r="B195" s="143"/>
      <c r="C195" s="24"/>
      <c r="D195" s="24"/>
      <c r="E195" s="24"/>
      <c r="F195" s="24"/>
      <c r="G195" s="24"/>
      <c r="H195" s="117"/>
      <c r="I195" s="117"/>
      <c r="J195" s="24"/>
      <c r="K195" s="24"/>
      <c r="L195" s="24"/>
      <c r="M195" s="24"/>
      <c r="N195" s="24"/>
      <c r="O195" s="24"/>
      <c r="P195" s="24"/>
      <c r="Q195" s="24"/>
      <c r="R195" s="24"/>
      <c r="S195" s="24"/>
      <c r="T195" s="24"/>
      <c r="U195" s="24"/>
      <c r="V195" s="24"/>
      <c r="W195" s="24"/>
      <c r="X195" s="24"/>
      <c r="Y195" s="24"/>
      <c r="Z195" s="24"/>
      <c r="AA195" s="24"/>
      <c r="AB195" s="24"/>
      <c r="AC195" s="24"/>
      <c r="AD195" s="24"/>
      <c r="AE195" s="24"/>
    </row>
    <row r="196" spans="1:31" ht="12.9">
      <c r="A196" s="24"/>
      <c r="B196" s="143"/>
      <c r="C196" s="24"/>
      <c r="D196" s="24"/>
      <c r="E196" s="24"/>
      <c r="F196" s="24"/>
      <c r="G196" s="24"/>
      <c r="H196" s="117"/>
      <c r="I196" s="117"/>
      <c r="J196" s="24"/>
      <c r="K196" s="24"/>
      <c r="L196" s="24"/>
      <c r="M196" s="24"/>
      <c r="N196" s="24"/>
      <c r="O196" s="24"/>
      <c r="P196" s="24"/>
      <c r="Q196" s="24"/>
      <c r="R196" s="24"/>
      <c r="S196" s="24"/>
      <c r="T196" s="24"/>
      <c r="U196" s="24"/>
      <c r="V196" s="24"/>
      <c r="W196" s="24"/>
      <c r="X196" s="24"/>
      <c r="Y196" s="24"/>
      <c r="Z196" s="24"/>
      <c r="AA196" s="24"/>
      <c r="AB196" s="24"/>
      <c r="AC196" s="24"/>
      <c r="AD196" s="24"/>
      <c r="AE196" s="24"/>
    </row>
    <row r="197" spans="1:31" ht="12.9">
      <c r="A197" s="24"/>
      <c r="B197" s="143"/>
      <c r="C197" s="24"/>
      <c r="D197" s="24"/>
      <c r="E197" s="24"/>
      <c r="F197" s="24"/>
      <c r="G197" s="24"/>
      <c r="H197" s="117"/>
      <c r="I197" s="117"/>
      <c r="J197" s="24"/>
      <c r="K197" s="24"/>
      <c r="L197" s="24"/>
      <c r="M197" s="24"/>
      <c r="N197" s="24"/>
      <c r="O197" s="24"/>
      <c r="P197" s="24"/>
      <c r="Q197" s="24"/>
      <c r="R197" s="24"/>
      <c r="S197" s="24"/>
      <c r="T197" s="24"/>
      <c r="U197" s="24"/>
      <c r="V197" s="24"/>
      <c r="W197" s="24"/>
      <c r="X197" s="24"/>
      <c r="Y197" s="24"/>
      <c r="Z197" s="24"/>
      <c r="AA197" s="24"/>
      <c r="AB197" s="24"/>
      <c r="AC197" s="24"/>
      <c r="AD197" s="24"/>
      <c r="AE197" s="24"/>
    </row>
    <row r="198" spans="1:31" ht="12.9">
      <c r="A198" s="24"/>
      <c r="B198" s="143"/>
      <c r="C198" s="24"/>
      <c r="D198" s="24"/>
      <c r="E198" s="24"/>
      <c r="F198" s="24"/>
      <c r="G198" s="24"/>
      <c r="H198" s="117"/>
      <c r="I198" s="117"/>
      <c r="J198" s="24"/>
      <c r="K198" s="24"/>
      <c r="L198" s="24"/>
      <c r="M198" s="24"/>
      <c r="N198" s="24"/>
      <c r="O198" s="24"/>
      <c r="P198" s="24"/>
      <c r="Q198" s="24"/>
      <c r="R198" s="24"/>
      <c r="S198" s="24"/>
      <c r="T198" s="24"/>
      <c r="U198" s="24"/>
      <c r="V198" s="24"/>
      <c r="W198" s="24"/>
      <c r="X198" s="24"/>
      <c r="Y198" s="24"/>
      <c r="Z198" s="24"/>
      <c r="AA198" s="24"/>
      <c r="AB198" s="24"/>
      <c r="AC198" s="24"/>
      <c r="AD198" s="24"/>
      <c r="AE198" s="24"/>
    </row>
    <row r="199" spans="1:31" ht="12.9">
      <c r="A199" s="24"/>
      <c r="B199" s="143"/>
      <c r="C199" s="24"/>
      <c r="D199" s="24"/>
      <c r="E199" s="24"/>
      <c r="F199" s="24"/>
      <c r="G199" s="24"/>
      <c r="H199" s="117"/>
      <c r="I199" s="117"/>
      <c r="J199" s="24"/>
      <c r="K199" s="24"/>
      <c r="L199" s="24"/>
      <c r="M199" s="24"/>
      <c r="N199" s="24"/>
      <c r="O199" s="24"/>
      <c r="P199" s="24"/>
      <c r="Q199" s="24"/>
      <c r="R199" s="24"/>
      <c r="S199" s="24"/>
      <c r="T199" s="24"/>
      <c r="U199" s="24"/>
      <c r="V199" s="24"/>
      <c r="W199" s="24"/>
      <c r="X199" s="24"/>
      <c r="Y199" s="24"/>
      <c r="Z199" s="24"/>
      <c r="AA199" s="24"/>
      <c r="AB199" s="24"/>
      <c r="AC199" s="24"/>
      <c r="AD199" s="24"/>
      <c r="AE199" s="24"/>
    </row>
    <row r="200" spans="1:31" ht="12.9">
      <c r="A200" s="24"/>
      <c r="B200" s="143"/>
      <c r="C200" s="24"/>
      <c r="D200" s="24"/>
      <c r="E200" s="24"/>
      <c r="F200" s="24"/>
      <c r="G200" s="24"/>
      <c r="H200" s="117"/>
      <c r="I200" s="117"/>
      <c r="J200" s="24"/>
      <c r="K200" s="24"/>
      <c r="L200" s="24"/>
      <c r="M200" s="24"/>
      <c r="N200" s="24"/>
      <c r="O200" s="24"/>
      <c r="P200" s="24"/>
      <c r="Q200" s="24"/>
      <c r="R200" s="24"/>
      <c r="S200" s="24"/>
      <c r="T200" s="24"/>
      <c r="U200" s="24"/>
      <c r="V200" s="24"/>
      <c r="W200" s="24"/>
      <c r="X200" s="24"/>
      <c r="Y200" s="24"/>
      <c r="Z200" s="24"/>
      <c r="AA200" s="24"/>
      <c r="AB200" s="24"/>
      <c r="AC200" s="24"/>
      <c r="AD200" s="24"/>
      <c r="AE200" s="24"/>
    </row>
    <row r="201" spans="1:31" ht="12.9">
      <c r="A201" s="24"/>
      <c r="B201" s="143"/>
      <c r="C201" s="24"/>
      <c r="D201" s="24"/>
      <c r="E201" s="24"/>
      <c r="F201" s="24"/>
      <c r="G201" s="24"/>
      <c r="H201" s="117"/>
      <c r="I201" s="117"/>
      <c r="J201" s="24"/>
      <c r="K201" s="24"/>
      <c r="L201" s="24"/>
      <c r="M201" s="24"/>
      <c r="N201" s="24"/>
      <c r="O201" s="24"/>
      <c r="P201" s="24"/>
      <c r="Q201" s="24"/>
      <c r="R201" s="24"/>
      <c r="S201" s="24"/>
      <c r="T201" s="24"/>
      <c r="U201" s="24"/>
      <c r="V201" s="24"/>
      <c r="W201" s="24"/>
      <c r="X201" s="24"/>
      <c r="Y201" s="24"/>
      <c r="Z201" s="24"/>
      <c r="AA201" s="24"/>
      <c r="AB201" s="24"/>
      <c r="AC201" s="24"/>
      <c r="AD201" s="24"/>
      <c r="AE201" s="24"/>
    </row>
    <row r="202" spans="1:31" ht="12.9">
      <c r="A202" s="24"/>
      <c r="B202" s="143"/>
      <c r="C202" s="24"/>
      <c r="D202" s="24"/>
      <c r="E202" s="24"/>
      <c r="F202" s="24"/>
      <c r="G202" s="24"/>
      <c r="H202" s="117"/>
      <c r="I202" s="117"/>
      <c r="J202" s="24"/>
      <c r="K202" s="24"/>
      <c r="L202" s="24"/>
      <c r="M202" s="24"/>
      <c r="N202" s="24"/>
      <c r="O202" s="24"/>
      <c r="P202" s="24"/>
      <c r="Q202" s="24"/>
      <c r="R202" s="24"/>
      <c r="S202" s="24"/>
      <c r="T202" s="24"/>
      <c r="U202" s="24"/>
      <c r="V202" s="24"/>
      <c r="W202" s="24"/>
      <c r="X202" s="24"/>
      <c r="Y202" s="24"/>
      <c r="Z202" s="24"/>
      <c r="AA202" s="24"/>
      <c r="AB202" s="24"/>
      <c r="AC202" s="24"/>
      <c r="AD202" s="24"/>
      <c r="AE202" s="24"/>
    </row>
    <row r="203" spans="1:31" ht="12.9">
      <c r="A203" s="24"/>
      <c r="B203" s="143"/>
      <c r="C203" s="24"/>
      <c r="D203" s="24"/>
      <c r="E203" s="24"/>
      <c r="F203" s="24"/>
      <c r="G203" s="24"/>
      <c r="H203" s="117"/>
      <c r="I203" s="117"/>
      <c r="J203" s="24"/>
      <c r="K203" s="24"/>
      <c r="L203" s="24"/>
      <c r="M203" s="24"/>
      <c r="N203" s="24"/>
      <c r="O203" s="24"/>
      <c r="P203" s="24"/>
      <c r="Q203" s="24"/>
      <c r="R203" s="24"/>
      <c r="S203" s="24"/>
      <c r="T203" s="24"/>
      <c r="U203" s="24"/>
      <c r="V203" s="24"/>
      <c r="W203" s="24"/>
      <c r="X203" s="24"/>
      <c r="Y203" s="24"/>
      <c r="Z203" s="24"/>
      <c r="AA203" s="24"/>
      <c r="AB203" s="24"/>
      <c r="AC203" s="24"/>
      <c r="AD203" s="24"/>
      <c r="AE203" s="24"/>
    </row>
    <row r="204" spans="1:31" ht="12.9">
      <c r="A204" s="24"/>
      <c r="B204" s="143"/>
      <c r="C204" s="24"/>
      <c r="D204" s="24"/>
      <c r="E204" s="24"/>
      <c r="F204" s="24"/>
      <c r="G204" s="24"/>
      <c r="H204" s="117"/>
      <c r="I204" s="117"/>
      <c r="J204" s="24"/>
      <c r="K204" s="24"/>
      <c r="L204" s="24"/>
      <c r="M204" s="24"/>
      <c r="N204" s="24"/>
      <c r="O204" s="24"/>
      <c r="P204" s="24"/>
      <c r="Q204" s="24"/>
      <c r="R204" s="24"/>
      <c r="S204" s="24"/>
      <c r="T204" s="24"/>
      <c r="U204" s="24"/>
      <c r="V204" s="24"/>
      <c r="W204" s="24"/>
      <c r="X204" s="24"/>
      <c r="Y204" s="24"/>
      <c r="Z204" s="24"/>
      <c r="AA204" s="24"/>
      <c r="AB204" s="24"/>
      <c r="AC204" s="24"/>
      <c r="AD204" s="24"/>
      <c r="AE204" s="24"/>
    </row>
    <row r="205" spans="1:31" ht="12.9">
      <c r="A205" s="24"/>
      <c r="B205" s="143"/>
      <c r="C205" s="24"/>
      <c r="D205" s="24"/>
      <c r="E205" s="24"/>
      <c r="F205" s="24"/>
      <c r="G205" s="24"/>
      <c r="H205" s="117"/>
      <c r="I205" s="117"/>
      <c r="J205" s="24"/>
      <c r="K205" s="24"/>
      <c r="L205" s="24"/>
      <c r="M205" s="24"/>
      <c r="N205" s="24"/>
      <c r="O205" s="24"/>
      <c r="P205" s="24"/>
      <c r="Q205" s="24"/>
      <c r="R205" s="24"/>
      <c r="S205" s="24"/>
      <c r="T205" s="24"/>
      <c r="U205" s="24"/>
      <c r="V205" s="24"/>
      <c r="W205" s="24"/>
      <c r="X205" s="24"/>
      <c r="Y205" s="24"/>
      <c r="Z205" s="24"/>
      <c r="AA205" s="24"/>
      <c r="AB205" s="24"/>
      <c r="AC205" s="24"/>
      <c r="AD205" s="24"/>
      <c r="AE205" s="24"/>
    </row>
    <row r="206" spans="1:31" ht="12.9">
      <c r="A206" s="24"/>
      <c r="B206" s="143"/>
      <c r="C206" s="24"/>
      <c r="D206" s="24"/>
      <c r="E206" s="24"/>
      <c r="F206" s="24"/>
      <c r="G206" s="24"/>
      <c r="H206" s="117"/>
      <c r="I206" s="117"/>
      <c r="J206" s="24"/>
      <c r="K206" s="24"/>
      <c r="L206" s="24"/>
      <c r="M206" s="24"/>
      <c r="N206" s="24"/>
      <c r="O206" s="24"/>
      <c r="P206" s="24"/>
      <c r="Q206" s="24"/>
      <c r="R206" s="24"/>
      <c r="S206" s="24"/>
      <c r="T206" s="24"/>
      <c r="U206" s="24"/>
      <c r="V206" s="24"/>
      <c r="W206" s="24"/>
      <c r="X206" s="24"/>
      <c r="Y206" s="24"/>
      <c r="Z206" s="24"/>
      <c r="AA206" s="24"/>
      <c r="AB206" s="24"/>
      <c r="AC206" s="24"/>
      <c r="AD206" s="24"/>
      <c r="AE206" s="24"/>
    </row>
    <row r="207" spans="1:31" ht="12.9">
      <c r="A207" s="24"/>
      <c r="B207" s="143"/>
      <c r="C207" s="24"/>
      <c r="D207" s="24"/>
      <c r="E207" s="24"/>
      <c r="F207" s="24"/>
      <c r="G207" s="24"/>
      <c r="H207" s="117"/>
      <c r="I207" s="117"/>
      <c r="J207" s="24"/>
      <c r="K207" s="24"/>
      <c r="L207" s="24"/>
      <c r="M207" s="24"/>
      <c r="N207" s="24"/>
      <c r="O207" s="24"/>
      <c r="P207" s="24"/>
      <c r="Q207" s="24"/>
      <c r="R207" s="24"/>
      <c r="S207" s="24"/>
      <c r="T207" s="24"/>
      <c r="U207" s="24"/>
      <c r="V207" s="24"/>
      <c r="W207" s="24"/>
      <c r="X207" s="24"/>
      <c r="Y207" s="24"/>
      <c r="Z207" s="24"/>
      <c r="AA207" s="24"/>
      <c r="AB207" s="24"/>
      <c r="AC207" s="24"/>
      <c r="AD207" s="24"/>
      <c r="AE207" s="24"/>
    </row>
    <row r="208" spans="1:31" ht="12.9">
      <c r="A208" s="24"/>
      <c r="B208" s="143"/>
      <c r="C208" s="24"/>
      <c r="D208" s="24"/>
      <c r="E208" s="24"/>
      <c r="F208" s="24"/>
      <c r="G208" s="24"/>
      <c r="H208" s="117"/>
      <c r="I208" s="117"/>
      <c r="J208" s="24"/>
      <c r="K208" s="24"/>
      <c r="L208" s="24"/>
      <c r="M208" s="24"/>
      <c r="N208" s="24"/>
      <c r="O208" s="24"/>
      <c r="P208" s="24"/>
      <c r="Q208" s="24"/>
      <c r="R208" s="24"/>
      <c r="S208" s="24"/>
      <c r="T208" s="24"/>
      <c r="U208" s="24"/>
      <c r="V208" s="24"/>
      <c r="W208" s="24"/>
      <c r="X208" s="24"/>
      <c r="Y208" s="24"/>
      <c r="Z208" s="24"/>
      <c r="AA208" s="24"/>
      <c r="AB208" s="24"/>
      <c r="AC208" s="24"/>
      <c r="AD208" s="24"/>
      <c r="AE208" s="24"/>
    </row>
    <row r="209" spans="1:31" ht="12.9">
      <c r="A209" s="24"/>
      <c r="B209" s="143"/>
      <c r="C209" s="24"/>
      <c r="D209" s="24"/>
      <c r="E209" s="24"/>
      <c r="F209" s="24"/>
      <c r="G209" s="24"/>
      <c r="H209" s="117"/>
      <c r="I209" s="117"/>
      <c r="J209" s="24"/>
      <c r="K209" s="24"/>
      <c r="L209" s="24"/>
      <c r="M209" s="24"/>
      <c r="N209" s="24"/>
      <c r="O209" s="24"/>
      <c r="P209" s="24"/>
      <c r="Q209" s="24"/>
      <c r="R209" s="24"/>
      <c r="S209" s="24"/>
      <c r="T209" s="24"/>
      <c r="U209" s="24"/>
      <c r="V209" s="24"/>
      <c r="W209" s="24"/>
      <c r="X209" s="24"/>
      <c r="Y209" s="24"/>
      <c r="Z209" s="24"/>
      <c r="AA209" s="24"/>
      <c r="AB209" s="24"/>
      <c r="AC209" s="24"/>
      <c r="AD209" s="24"/>
      <c r="AE209" s="24"/>
    </row>
    <row r="210" spans="1:31" ht="12.9">
      <c r="A210" s="24"/>
      <c r="B210" s="143"/>
      <c r="C210" s="24"/>
      <c r="D210" s="24"/>
      <c r="E210" s="24"/>
      <c r="F210" s="24"/>
      <c r="G210" s="24"/>
      <c r="H210" s="117"/>
      <c r="I210" s="117"/>
      <c r="J210" s="24"/>
      <c r="K210" s="24"/>
      <c r="L210" s="24"/>
      <c r="M210" s="24"/>
      <c r="N210" s="24"/>
      <c r="O210" s="24"/>
      <c r="P210" s="24"/>
      <c r="Q210" s="24"/>
      <c r="R210" s="24"/>
      <c r="S210" s="24"/>
      <c r="T210" s="24"/>
      <c r="U210" s="24"/>
      <c r="V210" s="24"/>
      <c r="W210" s="24"/>
      <c r="X210" s="24"/>
      <c r="Y210" s="24"/>
      <c r="Z210" s="24"/>
      <c r="AA210" s="24"/>
      <c r="AB210" s="24"/>
      <c r="AC210" s="24"/>
      <c r="AD210" s="24"/>
      <c r="AE210" s="24"/>
    </row>
    <row r="211" spans="1:31" ht="12.9">
      <c r="A211" s="24"/>
      <c r="B211" s="143"/>
      <c r="C211" s="24"/>
      <c r="D211" s="24"/>
      <c r="E211" s="24"/>
      <c r="F211" s="24"/>
      <c r="G211" s="24"/>
      <c r="H211" s="117"/>
      <c r="I211" s="117"/>
      <c r="J211" s="24"/>
      <c r="K211" s="24"/>
      <c r="L211" s="24"/>
      <c r="M211" s="24"/>
      <c r="N211" s="24"/>
      <c r="O211" s="24"/>
      <c r="P211" s="24"/>
      <c r="Q211" s="24"/>
      <c r="R211" s="24"/>
      <c r="S211" s="24"/>
      <c r="T211" s="24"/>
      <c r="U211" s="24"/>
      <c r="V211" s="24"/>
      <c r="W211" s="24"/>
      <c r="X211" s="24"/>
      <c r="Y211" s="24"/>
      <c r="Z211" s="24"/>
      <c r="AA211" s="24"/>
      <c r="AB211" s="24"/>
      <c r="AC211" s="24"/>
      <c r="AD211" s="24"/>
      <c r="AE211" s="24"/>
    </row>
    <row r="212" spans="1:31" ht="12.9">
      <c r="A212" s="24"/>
      <c r="B212" s="143"/>
      <c r="C212" s="24"/>
      <c r="D212" s="24"/>
      <c r="E212" s="24"/>
      <c r="F212" s="24"/>
      <c r="G212" s="24"/>
      <c r="H212" s="117"/>
      <c r="I212" s="117"/>
      <c r="J212" s="24"/>
      <c r="K212" s="24"/>
      <c r="L212" s="24"/>
      <c r="M212" s="24"/>
      <c r="N212" s="24"/>
      <c r="O212" s="24"/>
      <c r="P212" s="24"/>
      <c r="Q212" s="24"/>
      <c r="R212" s="24"/>
      <c r="S212" s="24"/>
      <c r="T212" s="24"/>
      <c r="U212" s="24"/>
      <c r="V212" s="24"/>
      <c r="W212" s="24"/>
      <c r="X212" s="24"/>
      <c r="Y212" s="24"/>
      <c r="Z212" s="24"/>
      <c r="AA212" s="24"/>
      <c r="AB212" s="24"/>
      <c r="AC212" s="24"/>
      <c r="AD212" s="24"/>
      <c r="AE212" s="24"/>
    </row>
    <row r="213" spans="1:31" ht="12.9">
      <c r="A213" s="24"/>
      <c r="B213" s="143"/>
      <c r="C213" s="24"/>
      <c r="D213" s="24"/>
      <c r="E213" s="24"/>
      <c r="F213" s="24"/>
      <c r="G213" s="24"/>
      <c r="H213" s="117"/>
      <c r="I213" s="117"/>
      <c r="J213" s="24"/>
      <c r="K213" s="24"/>
      <c r="L213" s="24"/>
      <c r="M213" s="24"/>
      <c r="N213" s="24"/>
      <c r="O213" s="24"/>
      <c r="P213" s="24"/>
      <c r="Q213" s="24"/>
      <c r="R213" s="24"/>
      <c r="S213" s="24"/>
      <c r="T213" s="24"/>
      <c r="U213" s="24"/>
      <c r="V213" s="24"/>
      <c r="W213" s="24"/>
      <c r="X213" s="24"/>
      <c r="Y213" s="24"/>
      <c r="Z213" s="24"/>
      <c r="AA213" s="24"/>
      <c r="AB213" s="24"/>
      <c r="AC213" s="24"/>
      <c r="AD213" s="24"/>
      <c r="AE213" s="24"/>
    </row>
    <row r="214" spans="1:31" ht="12.9">
      <c r="A214" s="24"/>
      <c r="B214" s="143"/>
      <c r="C214" s="24"/>
      <c r="D214" s="24"/>
      <c r="E214" s="24"/>
      <c r="F214" s="24"/>
      <c r="G214" s="24"/>
      <c r="H214" s="117"/>
      <c r="I214" s="117"/>
      <c r="J214" s="24"/>
      <c r="K214" s="24"/>
      <c r="L214" s="24"/>
      <c r="M214" s="24"/>
      <c r="N214" s="24"/>
      <c r="O214" s="24"/>
      <c r="P214" s="24"/>
      <c r="Q214" s="24"/>
      <c r="R214" s="24"/>
      <c r="S214" s="24"/>
      <c r="T214" s="24"/>
      <c r="U214" s="24"/>
      <c r="V214" s="24"/>
      <c r="W214" s="24"/>
      <c r="X214" s="24"/>
      <c r="Y214" s="24"/>
      <c r="Z214" s="24"/>
      <c r="AA214" s="24"/>
      <c r="AB214" s="24"/>
      <c r="AC214" s="24"/>
      <c r="AD214" s="24"/>
      <c r="AE214" s="24"/>
    </row>
    <row r="215" spans="1:31" ht="12.9">
      <c r="A215" s="24"/>
      <c r="B215" s="143"/>
      <c r="C215" s="24"/>
      <c r="D215" s="24"/>
      <c r="E215" s="24"/>
      <c r="F215" s="24"/>
      <c r="G215" s="24"/>
      <c r="H215" s="117"/>
      <c r="I215" s="117"/>
      <c r="J215" s="24"/>
      <c r="K215" s="24"/>
      <c r="L215" s="24"/>
      <c r="M215" s="24"/>
      <c r="N215" s="24"/>
      <c r="O215" s="24"/>
      <c r="P215" s="24"/>
      <c r="Q215" s="24"/>
      <c r="R215" s="24"/>
      <c r="S215" s="24"/>
      <c r="T215" s="24"/>
      <c r="U215" s="24"/>
      <c r="V215" s="24"/>
      <c r="W215" s="24"/>
      <c r="X215" s="24"/>
      <c r="Y215" s="24"/>
      <c r="Z215" s="24"/>
      <c r="AA215" s="24"/>
      <c r="AB215" s="24"/>
      <c r="AC215" s="24"/>
      <c r="AD215" s="24"/>
      <c r="AE215" s="24"/>
    </row>
    <row r="216" spans="1:31" ht="12.9">
      <c r="A216" s="24"/>
      <c r="B216" s="143"/>
      <c r="C216" s="24"/>
      <c r="D216" s="24"/>
      <c r="E216" s="24"/>
      <c r="F216" s="24"/>
      <c r="G216" s="24"/>
      <c r="H216" s="117"/>
      <c r="I216" s="117"/>
      <c r="J216" s="24"/>
      <c r="K216" s="24"/>
      <c r="L216" s="24"/>
      <c r="M216" s="24"/>
      <c r="N216" s="24"/>
      <c r="O216" s="24"/>
      <c r="P216" s="24"/>
      <c r="Q216" s="24"/>
      <c r="R216" s="24"/>
      <c r="S216" s="24"/>
      <c r="T216" s="24"/>
      <c r="U216" s="24"/>
      <c r="V216" s="24"/>
      <c r="W216" s="24"/>
      <c r="X216" s="24"/>
      <c r="Y216" s="24"/>
      <c r="Z216" s="24"/>
      <c r="AA216" s="24"/>
      <c r="AB216" s="24"/>
      <c r="AC216" s="24"/>
      <c r="AD216" s="24"/>
      <c r="AE216" s="24"/>
    </row>
    <row r="217" spans="1:31" ht="12.9">
      <c r="A217" s="24"/>
      <c r="B217" s="143"/>
      <c r="C217" s="24"/>
      <c r="D217" s="24"/>
      <c r="E217" s="24"/>
      <c r="F217" s="24"/>
      <c r="G217" s="24"/>
      <c r="H217" s="117"/>
      <c r="I217" s="117"/>
      <c r="J217" s="24"/>
      <c r="K217" s="24"/>
      <c r="L217" s="24"/>
      <c r="M217" s="24"/>
      <c r="N217" s="24"/>
      <c r="O217" s="24"/>
      <c r="P217" s="24"/>
      <c r="Q217" s="24"/>
      <c r="R217" s="24"/>
      <c r="S217" s="24"/>
      <c r="T217" s="24"/>
      <c r="U217" s="24"/>
      <c r="V217" s="24"/>
      <c r="W217" s="24"/>
      <c r="X217" s="24"/>
      <c r="Y217" s="24"/>
      <c r="Z217" s="24"/>
      <c r="AA217" s="24"/>
      <c r="AB217" s="24"/>
      <c r="AC217" s="24"/>
      <c r="AD217" s="24"/>
      <c r="AE217" s="24"/>
    </row>
    <row r="218" spans="1:31" ht="12.9">
      <c r="A218" s="24"/>
      <c r="B218" s="143"/>
      <c r="C218" s="24"/>
      <c r="D218" s="24"/>
      <c r="E218" s="24"/>
      <c r="F218" s="24"/>
      <c r="G218" s="24"/>
      <c r="H218" s="117"/>
      <c r="I218" s="117"/>
      <c r="J218" s="24"/>
      <c r="K218" s="24"/>
      <c r="L218" s="24"/>
      <c r="M218" s="24"/>
      <c r="N218" s="24"/>
      <c r="O218" s="24"/>
      <c r="P218" s="24"/>
      <c r="Q218" s="24"/>
      <c r="R218" s="24"/>
      <c r="S218" s="24"/>
      <c r="T218" s="24"/>
      <c r="U218" s="24"/>
      <c r="V218" s="24"/>
      <c r="W218" s="24"/>
      <c r="X218" s="24"/>
      <c r="Y218" s="24"/>
      <c r="Z218" s="24"/>
      <c r="AA218" s="24"/>
      <c r="AB218" s="24"/>
      <c r="AC218" s="24"/>
      <c r="AD218" s="24"/>
      <c r="AE218" s="24"/>
    </row>
    <row r="219" spans="1:31" ht="12.9">
      <c r="A219" s="24"/>
      <c r="B219" s="143"/>
      <c r="C219" s="24"/>
      <c r="D219" s="24"/>
      <c r="E219" s="24"/>
      <c r="F219" s="24"/>
      <c r="G219" s="24"/>
      <c r="H219" s="117"/>
      <c r="I219" s="117"/>
      <c r="J219" s="24"/>
      <c r="K219" s="24"/>
      <c r="L219" s="24"/>
      <c r="M219" s="24"/>
      <c r="N219" s="24"/>
      <c r="O219" s="24"/>
      <c r="P219" s="24"/>
      <c r="Q219" s="24"/>
      <c r="R219" s="24"/>
      <c r="S219" s="24"/>
      <c r="T219" s="24"/>
      <c r="U219" s="24"/>
      <c r="V219" s="24"/>
      <c r="W219" s="24"/>
      <c r="X219" s="24"/>
      <c r="Y219" s="24"/>
      <c r="Z219" s="24"/>
      <c r="AA219" s="24"/>
      <c r="AB219" s="24"/>
      <c r="AC219" s="24"/>
      <c r="AD219" s="24"/>
      <c r="AE219" s="24"/>
    </row>
    <row r="220" spans="1:31" ht="12.9">
      <c r="A220" s="24"/>
      <c r="B220" s="143"/>
      <c r="C220" s="24"/>
      <c r="D220" s="24"/>
      <c r="E220" s="24"/>
      <c r="F220" s="24"/>
      <c r="G220" s="24"/>
      <c r="H220" s="117"/>
      <c r="I220" s="117"/>
      <c r="J220" s="24"/>
      <c r="K220" s="24"/>
      <c r="L220" s="24"/>
      <c r="M220" s="24"/>
      <c r="N220" s="24"/>
      <c r="O220" s="24"/>
      <c r="P220" s="24"/>
      <c r="Q220" s="24"/>
      <c r="R220" s="24"/>
      <c r="S220" s="24"/>
      <c r="T220" s="24"/>
      <c r="U220" s="24"/>
      <c r="V220" s="24"/>
      <c r="W220" s="24"/>
      <c r="X220" s="24"/>
      <c r="Y220" s="24"/>
      <c r="Z220" s="24"/>
      <c r="AA220" s="24"/>
      <c r="AB220" s="24"/>
      <c r="AC220" s="24"/>
      <c r="AD220" s="24"/>
      <c r="AE220" s="24"/>
    </row>
    <row r="221" spans="1:31" ht="12.9">
      <c r="A221" s="24"/>
      <c r="B221" s="143"/>
      <c r="C221" s="24"/>
      <c r="D221" s="24"/>
      <c r="E221" s="24"/>
      <c r="F221" s="24"/>
      <c r="G221" s="24"/>
      <c r="H221" s="117"/>
      <c r="I221" s="117"/>
      <c r="J221" s="24"/>
      <c r="K221" s="24"/>
      <c r="L221" s="24"/>
      <c r="M221" s="24"/>
      <c r="N221" s="24"/>
      <c r="O221" s="24"/>
      <c r="P221" s="24"/>
      <c r="Q221" s="24"/>
      <c r="R221" s="24"/>
      <c r="S221" s="24"/>
      <c r="T221" s="24"/>
      <c r="U221" s="24"/>
      <c r="V221" s="24"/>
      <c r="W221" s="24"/>
      <c r="X221" s="24"/>
      <c r="Y221" s="24"/>
      <c r="Z221" s="24"/>
      <c r="AA221" s="24"/>
      <c r="AB221" s="24"/>
      <c r="AC221" s="24"/>
      <c r="AD221" s="24"/>
      <c r="AE221" s="24"/>
    </row>
    <row r="222" spans="1:31" ht="12.9">
      <c r="A222" s="24"/>
      <c r="B222" s="143"/>
      <c r="C222" s="24"/>
      <c r="D222" s="24"/>
      <c r="E222" s="24"/>
      <c r="F222" s="24"/>
      <c r="G222" s="24"/>
      <c r="H222" s="117"/>
      <c r="I222" s="117"/>
      <c r="J222" s="24"/>
      <c r="K222" s="24"/>
      <c r="L222" s="24"/>
      <c r="M222" s="24"/>
      <c r="N222" s="24"/>
      <c r="O222" s="24"/>
      <c r="P222" s="24"/>
      <c r="Q222" s="24"/>
      <c r="R222" s="24"/>
      <c r="S222" s="24"/>
      <c r="T222" s="24"/>
      <c r="U222" s="24"/>
      <c r="V222" s="24"/>
      <c r="W222" s="24"/>
      <c r="X222" s="24"/>
      <c r="Y222" s="24"/>
      <c r="Z222" s="24"/>
      <c r="AA222" s="24"/>
      <c r="AB222" s="24"/>
      <c r="AC222" s="24"/>
      <c r="AD222" s="24"/>
      <c r="AE222" s="24"/>
    </row>
    <row r="223" spans="1:31" ht="12.9">
      <c r="A223" s="24"/>
      <c r="B223" s="143"/>
      <c r="C223" s="24"/>
      <c r="D223" s="24"/>
      <c r="E223" s="24"/>
      <c r="F223" s="24"/>
      <c r="G223" s="24"/>
      <c r="H223" s="117"/>
      <c r="I223" s="117"/>
      <c r="J223" s="24"/>
      <c r="K223" s="24"/>
      <c r="L223" s="24"/>
      <c r="M223" s="24"/>
      <c r="N223" s="24"/>
      <c r="O223" s="24"/>
      <c r="P223" s="24"/>
      <c r="Q223" s="24"/>
      <c r="R223" s="24"/>
      <c r="S223" s="24"/>
      <c r="T223" s="24"/>
      <c r="U223" s="24"/>
      <c r="V223" s="24"/>
      <c r="W223" s="24"/>
      <c r="X223" s="24"/>
      <c r="Y223" s="24"/>
      <c r="Z223" s="24"/>
      <c r="AA223" s="24"/>
      <c r="AB223" s="24"/>
      <c r="AC223" s="24"/>
      <c r="AD223" s="24"/>
      <c r="AE223" s="24"/>
    </row>
    <row r="224" spans="1:31" ht="12.9">
      <c r="A224" s="24"/>
      <c r="B224" s="143"/>
      <c r="C224" s="24"/>
      <c r="D224" s="24"/>
      <c r="E224" s="24"/>
      <c r="F224" s="24"/>
      <c r="G224" s="24"/>
      <c r="H224" s="117"/>
      <c r="I224" s="117"/>
      <c r="J224" s="24"/>
      <c r="K224" s="24"/>
      <c r="L224" s="24"/>
      <c r="M224" s="24"/>
      <c r="N224" s="24"/>
      <c r="O224" s="24"/>
      <c r="P224" s="24"/>
      <c r="Q224" s="24"/>
      <c r="R224" s="24"/>
      <c r="S224" s="24"/>
      <c r="T224" s="24"/>
      <c r="U224" s="24"/>
      <c r="V224" s="24"/>
      <c r="W224" s="24"/>
      <c r="X224" s="24"/>
      <c r="Y224" s="24"/>
      <c r="Z224" s="24"/>
      <c r="AA224" s="24"/>
      <c r="AB224" s="24"/>
      <c r="AC224" s="24"/>
      <c r="AD224" s="24"/>
      <c r="AE224" s="24"/>
    </row>
    <row r="225" spans="1:31" ht="12.9">
      <c r="A225" s="24"/>
      <c r="B225" s="143"/>
      <c r="C225" s="24"/>
      <c r="D225" s="24"/>
      <c r="E225" s="24"/>
      <c r="F225" s="24"/>
      <c r="G225" s="24"/>
      <c r="H225" s="117"/>
      <c r="I225" s="117"/>
      <c r="J225" s="24"/>
      <c r="K225" s="24"/>
      <c r="L225" s="24"/>
      <c r="M225" s="24"/>
      <c r="N225" s="24"/>
      <c r="O225" s="24"/>
      <c r="P225" s="24"/>
      <c r="Q225" s="24"/>
      <c r="R225" s="24"/>
      <c r="S225" s="24"/>
      <c r="T225" s="24"/>
      <c r="U225" s="24"/>
      <c r="V225" s="24"/>
      <c r="W225" s="24"/>
      <c r="X225" s="24"/>
      <c r="Y225" s="24"/>
      <c r="Z225" s="24"/>
      <c r="AA225" s="24"/>
      <c r="AB225" s="24"/>
      <c r="AC225" s="24"/>
      <c r="AD225" s="24"/>
      <c r="AE225" s="24"/>
    </row>
    <row r="226" spans="1:31" ht="12.9">
      <c r="A226" s="24"/>
      <c r="B226" s="143"/>
      <c r="C226" s="24"/>
      <c r="D226" s="24"/>
      <c r="E226" s="24"/>
      <c r="F226" s="24"/>
      <c r="G226" s="24"/>
      <c r="H226" s="117"/>
      <c r="I226" s="117"/>
      <c r="J226" s="24"/>
      <c r="K226" s="24"/>
      <c r="L226" s="24"/>
      <c r="M226" s="24"/>
      <c r="N226" s="24"/>
      <c r="O226" s="24"/>
      <c r="P226" s="24"/>
      <c r="Q226" s="24"/>
      <c r="R226" s="24"/>
      <c r="S226" s="24"/>
      <c r="T226" s="24"/>
      <c r="U226" s="24"/>
      <c r="V226" s="24"/>
      <c r="W226" s="24"/>
      <c r="X226" s="24"/>
      <c r="Y226" s="24"/>
      <c r="Z226" s="24"/>
      <c r="AA226" s="24"/>
      <c r="AB226" s="24"/>
      <c r="AC226" s="24"/>
      <c r="AD226" s="24"/>
      <c r="AE226" s="24"/>
    </row>
    <row r="227" spans="1:31" ht="12.9">
      <c r="A227" s="24"/>
      <c r="B227" s="143"/>
      <c r="C227" s="24"/>
      <c r="D227" s="24"/>
      <c r="E227" s="24"/>
      <c r="F227" s="24"/>
      <c r="G227" s="24"/>
      <c r="H227" s="117"/>
      <c r="I227" s="117"/>
      <c r="J227" s="24"/>
      <c r="K227" s="24"/>
      <c r="L227" s="24"/>
      <c r="M227" s="24"/>
      <c r="N227" s="24"/>
      <c r="O227" s="24"/>
      <c r="P227" s="24"/>
      <c r="Q227" s="24"/>
      <c r="R227" s="24"/>
      <c r="S227" s="24"/>
      <c r="T227" s="24"/>
      <c r="U227" s="24"/>
      <c r="V227" s="24"/>
      <c r="W227" s="24"/>
      <c r="X227" s="24"/>
      <c r="Y227" s="24"/>
      <c r="Z227" s="24"/>
      <c r="AA227" s="24"/>
      <c r="AB227" s="24"/>
      <c r="AC227" s="24"/>
      <c r="AD227" s="24"/>
      <c r="AE227" s="24"/>
    </row>
    <row r="228" spans="1:31" ht="12.9">
      <c r="A228" s="24"/>
      <c r="B228" s="143"/>
      <c r="C228" s="24"/>
      <c r="D228" s="24"/>
      <c r="E228" s="24"/>
      <c r="F228" s="24"/>
      <c r="G228" s="24"/>
      <c r="H228" s="117"/>
      <c r="I228" s="117"/>
      <c r="J228" s="24"/>
      <c r="K228" s="24"/>
      <c r="L228" s="24"/>
      <c r="M228" s="24"/>
      <c r="N228" s="24"/>
      <c r="O228" s="24"/>
      <c r="P228" s="24"/>
      <c r="Q228" s="24"/>
      <c r="R228" s="24"/>
      <c r="S228" s="24"/>
      <c r="T228" s="24"/>
      <c r="U228" s="24"/>
      <c r="V228" s="24"/>
      <c r="W228" s="24"/>
      <c r="X228" s="24"/>
      <c r="Y228" s="24"/>
      <c r="Z228" s="24"/>
      <c r="AA228" s="24"/>
      <c r="AB228" s="24"/>
      <c r="AC228" s="24"/>
      <c r="AD228" s="24"/>
      <c r="AE228" s="24"/>
    </row>
    <row r="229" spans="1:31" ht="12.9">
      <c r="A229" s="24"/>
      <c r="B229" s="143"/>
      <c r="C229" s="24"/>
      <c r="D229" s="24"/>
      <c r="E229" s="24"/>
      <c r="F229" s="24"/>
      <c r="G229" s="24"/>
      <c r="H229" s="117"/>
      <c r="I229" s="117"/>
      <c r="J229" s="24"/>
      <c r="K229" s="24"/>
      <c r="L229" s="24"/>
      <c r="M229" s="24"/>
      <c r="N229" s="24"/>
      <c r="O229" s="24"/>
      <c r="P229" s="24"/>
      <c r="Q229" s="24"/>
      <c r="R229" s="24"/>
      <c r="S229" s="24"/>
      <c r="T229" s="24"/>
      <c r="U229" s="24"/>
      <c r="V229" s="24"/>
      <c r="W229" s="24"/>
      <c r="X229" s="24"/>
      <c r="Y229" s="24"/>
      <c r="Z229" s="24"/>
      <c r="AA229" s="24"/>
      <c r="AB229" s="24"/>
      <c r="AC229" s="24"/>
      <c r="AD229" s="24"/>
      <c r="AE229" s="24"/>
    </row>
    <row r="230" spans="1:31" ht="12.9">
      <c r="A230" s="24"/>
      <c r="B230" s="143"/>
      <c r="C230" s="24"/>
      <c r="D230" s="24"/>
      <c r="E230" s="24"/>
      <c r="F230" s="24"/>
      <c r="G230" s="24"/>
      <c r="H230" s="117"/>
      <c r="I230" s="117"/>
      <c r="J230" s="24"/>
      <c r="K230" s="24"/>
      <c r="L230" s="24"/>
      <c r="M230" s="24"/>
      <c r="N230" s="24"/>
      <c r="O230" s="24"/>
      <c r="P230" s="24"/>
      <c r="Q230" s="24"/>
      <c r="R230" s="24"/>
      <c r="S230" s="24"/>
      <c r="T230" s="24"/>
      <c r="U230" s="24"/>
      <c r="V230" s="24"/>
      <c r="W230" s="24"/>
      <c r="X230" s="24"/>
      <c r="Y230" s="24"/>
      <c r="Z230" s="24"/>
      <c r="AA230" s="24"/>
      <c r="AB230" s="24"/>
      <c r="AC230" s="24"/>
      <c r="AD230" s="24"/>
      <c r="AE230" s="24"/>
    </row>
    <row r="231" spans="1:31" ht="12.9">
      <c r="A231" s="24"/>
      <c r="B231" s="143"/>
      <c r="C231" s="24"/>
      <c r="D231" s="24"/>
      <c r="E231" s="24"/>
      <c r="F231" s="24"/>
      <c r="G231" s="24"/>
      <c r="H231" s="117"/>
      <c r="I231" s="117"/>
      <c r="J231" s="24"/>
      <c r="K231" s="24"/>
      <c r="L231" s="24"/>
      <c r="M231" s="24"/>
      <c r="N231" s="24"/>
      <c r="O231" s="24"/>
      <c r="P231" s="24"/>
      <c r="Q231" s="24"/>
      <c r="R231" s="24"/>
      <c r="S231" s="24"/>
      <c r="T231" s="24"/>
      <c r="U231" s="24"/>
      <c r="V231" s="24"/>
      <c r="W231" s="24"/>
      <c r="X231" s="24"/>
      <c r="Y231" s="24"/>
      <c r="Z231" s="24"/>
      <c r="AA231" s="24"/>
      <c r="AB231" s="24"/>
      <c r="AC231" s="24"/>
      <c r="AD231" s="24"/>
      <c r="AE231" s="24"/>
    </row>
    <row r="232" spans="1:31" ht="12.9">
      <c r="A232" s="24"/>
      <c r="B232" s="143"/>
      <c r="C232" s="24"/>
      <c r="D232" s="24"/>
      <c r="E232" s="24"/>
      <c r="F232" s="24"/>
      <c r="G232" s="24"/>
      <c r="H232" s="117"/>
      <c r="I232" s="117"/>
      <c r="J232" s="24"/>
      <c r="K232" s="24"/>
      <c r="L232" s="24"/>
      <c r="M232" s="24"/>
      <c r="N232" s="24"/>
      <c r="O232" s="24"/>
      <c r="P232" s="24"/>
      <c r="Q232" s="24"/>
      <c r="R232" s="24"/>
      <c r="S232" s="24"/>
      <c r="T232" s="24"/>
      <c r="U232" s="24"/>
      <c r="V232" s="24"/>
      <c r="W232" s="24"/>
      <c r="X232" s="24"/>
      <c r="Y232" s="24"/>
      <c r="Z232" s="24"/>
      <c r="AA232" s="24"/>
      <c r="AB232" s="24"/>
      <c r="AC232" s="24"/>
      <c r="AD232" s="24"/>
      <c r="AE232" s="24"/>
    </row>
    <row r="233" spans="1:31" ht="12.9">
      <c r="A233" s="24"/>
      <c r="B233" s="143"/>
      <c r="C233" s="24"/>
      <c r="D233" s="24"/>
      <c r="E233" s="24"/>
      <c r="F233" s="24"/>
      <c r="G233" s="24"/>
      <c r="H233" s="117"/>
      <c r="I233" s="117"/>
      <c r="J233" s="24"/>
      <c r="K233" s="24"/>
      <c r="L233" s="24"/>
      <c r="M233" s="24"/>
      <c r="N233" s="24"/>
      <c r="O233" s="24"/>
      <c r="P233" s="24"/>
      <c r="Q233" s="24"/>
      <c r="R233" s="24"/>
      <c r="S233" s="24"/>
      <c r="T233" s="24"/>
      <c r="U233" s="24"/>
      <c r="V233" s="24"/>
      <c r="W233" s="24"/>
      <c r="X233" s="24"/>
      <c r="Y233" s="24"/>
      <c r="Z233" s="24"/>
      <c r="AA233" s="24"/>
      <c r="AB233" s="24"/>
      <c r="AC233" s="24"/>
      <c r="AD233" s="24"/>
      <c r="AE233" s="24"/>
    </row>
    <row r="234" spans="1:31" ht="12.9">
      <c r="A234" s="24"/>
      <c r="B234" s="143"/>
      <c r="C234" s="24"/>
      <c r="D234" s="24"/>
      <c r="E234" s="24"/>
      <c r="F234" s="24"/>
      <c r="G234" s="24"/>
      <c r="H234" s="117"/>
      <c r="I234" s="117"/>
      <c r="J234" s="24"/>
      <c r="K234" s="24"/>
      <c r="L234" s="24"/>
      <c r="M234" s="24"/>
      <c r="N234" s="24"/>
      <c r="O234" s="24"/>
      <c r="P234" s="24"/>
      <c r="Q234" s="24"/>
      <c r="R234" s="24"/>
      <c r="S234" s="24"/>
      <c r="T234" s="24"/>
      <c r="U234" s="24"/>
      <c r="V234" s="24"/>
      <c r="W234" s="24"/>
      <c r="X234" s="24"/>
      <c r="Y234" s="24"/>
      <c r="Z234" s="24"/>
      <c r="AA234" s="24"/>
      <c r="AB234" s="24"/>
      <c r="AC234" s="24"/>
      <c r="AD234" s="24"/>
      <c r="AE234" s="24"/>
    </row>
    <row r="235" spans="1:31" ht="12.9">
      <c r="A235" s="24"/>
      <c r="B235" s="143"/>
      <c r="C235" s="24"/>
      <c r="D235" s="24"/>
      <c r="E235" s="24"/>
      <c r="F235" s="24"/>
      <c r="G235" s="24"/>
      <c r="H235" s="117"/>
      <c r="I235" s="117"/>
      <c r="J235" s="24"/>
      <c r="K235" s="24"/>
      <c r="L235" s="24"/>
      <c r="M235" s="24"/>
      <c r="N235" s="24"/>
      <c r="O235" s="24"/>
      <c r="P235" s="24"/>
      <c r="Q235" s="24"/>
      <c r="R235" s="24"/>
      <c r="S235" s="24"/>
      <c r="T235" s="24"/>
      <c r="U235" s="24"/>
      <c r="V235" s="24"/>
      <c r="W235" s="24"/>
      <c r="X235" s="24"/>
      <c r="Y235" s="24"/>
      <c r="Z235" s="24"/>
      <c r="AA235" s="24"/>
      <c r="AB235" s="24"/>
      <c r="AC235" s="24"/>
      <c r="AD235" s="24"/>
      <c r="AE235" s="24"/>
    </row>
    <row r="236" spans="1:31" ht="12.9">
      <c r="A236" s="24"/>
      <c r="B236" s="143"/>
      <c r="C236" s="24"/>
      <c r="D236" s="24"/>
      <c r="E236" s="24"/>
      <c r="F236" s="24"/>
      <c r="G236" s="24"/>
      <c r="H236" s="117"/>
      <c r="I236" s="117"/>
      <c r="J236" s="24"/>
      <c r="K236" s="24"/>
      <c r="L236" s="24"/>
      <c r="M236" s="24"/>
      <c r="N236" s="24"/>
      <c r="O236" s="24"/>
      <c r="P236" s="24"/>
      <c r="Q236" s="24"/>
      <c r="R236" s="24"/>
      <c r="S236" s="24"/>
      <c r="T236" s="24"/>
      <c r="U236" s="24"/>
      <c r="V236" s="24"/>
      <c r="W236" s="24"/>
      <c r="X236" s="24"/>
      <c r="Y236" s="24"/>
      <c r="Z236" s="24"/>
      <c r="AA236" s="24"/>
      <c r="AB236" s="24"/>
      <c r="AC236" s="24"/>
      <c r="AD236" s="24"/>
      <c r="AE236" s="24"/>
    </row>
    <row r="237" spans="1:31" ht="12.9">
      <c r="A237" s="24"/>
      <c r="B237" s="143"/>
      <c r="C237" s="24"/>
      <c r="D237" s="24"/>
      <c r="E237" s="24"/>
      <c r="F237" s="24"/>
      <c r="G237" s="24"/>
      <c r="H237" s="117"/>
      <c r="I237" s="117"/>
      <c r="J237" s="24"/>
      <c r="K237" s="24"/>
      <c r="L237" s="24"/>
      <c r="M237" s="24"/>
      <c r="N237" s="24"/>
      <c r="O237" s="24"/>
      <c r="P237" s="24"/>
      <c r="Q237" s="24"/>
      <c r="R237" s="24"/>
      <c r="S237" s="24"/>
      <c r="T237" s="24"/>
      <c r="U237" s="24"/>
      <c r="V237" s="24"/>
      <c r="W237" s="24"/>
      <c r="X237" s="24"/>
      <c r="Y237" s="24"/>
      <c r="Z237" s="24"/>
      <c r="AA237" s="24"/>
      <c r="AB237" s="24"/>
      <c r="AC237" s="24"/>
      <c r="AD237" s="24"/>
      <c r="AE237" s="24"/>
    </row>
    <row r="238" spans="1:31" ht="12.9">
      <c r="A238" s="24"/>
      <c r="B238" s="143"/>
      <c r="C238" s="24"/>
      <c r="D238" s="24"/>
      <c r="E238" s="24"/>
      <c r="F238" s="24"/>
      <c r="G238" s="24"/>
      <c r="H238" s="117"/>
      <c r="I238" s="117"/>
      <c r="J238" s="24"/>
      <c r="K238" s="24"/>
      <c r="L238" s="24"/>
      <c r="M238" s="24"/>
      <c r="N238" s="24"/>
      <c r="O238" s="24"/>
      <c r="P238" s="24"/>
      <c r="Q238" s="24"/>
      <c r="R238" s="24"/>
      <c r="S238" s="24"/>
      <c r="T238" s="24"/>
      <c r="U238" s="24"/>
      <c r="V238" s="24"/>
      <c r="W238" s="24"/>
      <c r="X238" s="24"/>
      <c r="Y238" s="24"/>
      <c r="Z238" s="24"/>
      <c r="AA238" s="24"/>
      <c r="AB238" s="24"/>
      <c r="AC238" s="24"/>
      <c r="AD238" s="24"/>
      <c r="AE238" s="24"/>
    </row>
    <row r="239" spans="1:31" ht="12.9">
      <c r="A239" s="24"/>
      <c r="B239" s="143"/>
      <c r="C239" s="24"/>
      <c r="D239" s="24"/>
      <c r="E239" s="24"/>
      <c r="F239" s="24"/>
      <c r="G239" s="24"/>
      <c r="H239" s="117"/>
      <c r="I239" s="117"/>
      <c r="J239" s="24"/>
      <c r="K239" s="24"/>
      <c r="L239" s="24"/>
      <c r="M239" s="24"/>
      <c r="N239" s="24"/>
      <c r="O239" s="24"/>
      <c r="P239" s="24"/>
      <c r="Q239" s="24"/>
      <c r="R239" s="24"/>
      <c r="S239" s="24"/>
      <c r="T239" s="24"/>
      <c r="U239" s="24"/>
      <c r="V239" s="24"/>
      <c r="W239" s="24"/>
      <c r="X239" s="24"/>
      <c r="Y239" s="24"/>
      <c r="Z239" s="24"/>
      <c r="AA239" s="24"/>
      <c r="AB239" s="24"/>
      <c r="AC239" s="24"/>
      <c r="AD239" s="24"/>
      <c r="AE239" s="24"/>
    </row>
    <row r="240" spans="1:31" ht="12.9">
      <c r="A240" s="24"/>
      <c r="B240" s="143"/>
      <c r="C240" s="24"/>
      <c r="D240" s="24"/>
      <c r="E240" s="24"/>
      <c r="F240" s="24"/>
      <c r="G240" s="24"/>
      <c r="H240" s="117"/>
      <c r="I240" s="117"/>
      <c r="J240" s="24"/>
      <c r="K240" s="24"/>
      <c r="L240" s="24"/>
      <c r="M240" s="24"/>
      <c r="N240" s="24"/>
      <c r="O240" s="24"/>
      <c r="P240" s="24"/>
      <c r="Q240" s="24"/>
      <c r="R240" s="24"/>
      <c r="S240" s="24"/>
      <c r="T240" s="24"/>
      <c r="U240" s="24"/>
      <c r="V240" s="24"/>
      <c r="W240" s="24"/>
      <c r="X240" s="24"/>
      <c r="Y240" s="24"/>
      <c r="Z240" s="24"/>
      <c r="AA240" s="24"/>
      <c r="AB240" s="24"/>
      <c r="AC240" s="24"/>
      <c r="AD240" s="24"/>
      <c r="AE240" s="24"/>
    </row>
    <row r="241" spans="1:31" ht="12.9">
      <c r="A241" s="24"/>
      <c r="B241" s="143"/>
      <c r="C241" s="24"/>
      <c r="D241" s="24"/>
      <c r="E241" s="24"/>
      <c r="F241" s="24"/>
      <c r="G241" s="24"/>
      <c r="H241" s="117"/>
      <c r="I241" s="117"/>
      <c r="J241" s="24"/>
      <c r="K241" s="24"/>
      <c r="L241" s="24"/>
      <c r="M241" s="24"/>
      <c r="N241" s="24"/>
      <c r="O241" s="24"/>
      <c r="P241" s="24"/>
      <c r="Q241" s="24"/>
      <c r="R241" s="24"/>
      <c r="S241" s="24"/>
      <c r="T241" s="24"/>
      <c r="U241" s="24"/>
      <c r="V241" s="24"/>
      <c r="W241" s="24"/>
      <c r="X241" s="24"/>
      <c r="Y241" s="24"/>
      <c r="Z241" s="24"/>
      <c r="AA241" s="24"/>
      <c r="AB241" s="24"/>
      <c r="AC241" s="24"/>
      <c r="AD241" s="24"/>
      <c r="AE241" s="24"/>
    </row>
    <row r="242" spans="1:31" ht="12.9">
      <c r="A242" s="24"/>
      <c r="B242" s="143"/>
      <c r="C242" s="24"/>
      <c r="D242" s="24"/>
      <c r="E242" s="24"/>
      <c r="F242" s="24"/>
      <c r="G242" s="24"/>
      <c r="H242" s="117"/>
      <c r="I242" s="117"/>
      <c r="J242" s="24"/>
      <c r="K242" s="24"/>
      <c r="L242" s="24"/>
      <c r="M242" s="24"/>
      <c r="N242" s="24"/>
      <c r="O242" s="24"/>
      <c r="P242" s="24"/>
      <c r="Q242" s="24"/>
      <c r="R242" s="24"/>
      <c r="S242" s="24"/>
      <c r="T242" s="24"/>
      <c r="U242" s="24"/>
      <c r="V242" s="24"/>
      <c r="W242" s="24"/>
      <c r="X242" s="24"/>
      <c r="Y242" s="24"/>
      <c r="Z242" s="24"/>
      <c r="AA242" s="24"/>
      <c r="AB242" s="24"/>
      <c r="AC242" s="24"/>
      <c r="AD242" s="24"/>
      <c r="AE242" s="24"/>
    </row>
    <row r="243" spans="1:31" ht="12.9">
      <c r="A243" s="24"/>
      <c r="B243" s="143"/>
      <c r="C243" s="24"/>
      <c r="D243" s="24"/>
      <c r="E243" s="24"/>
      <c r="F243" s="24"/>
      <c r="G243" s="24"/>
      <c r="H243" s="117"/>
      <c r="I243" s="117"/>
      <c r="J243" s="24"/>
      <c r="K243" s="24"/>
      <c r="L243" s="24"/>
      <c r="M243" s="24"/>
      <c r="N243" s="24"/>
      <c r="O243" s="24"/>
      <c r="P243" s="24"/>
      <c r="Q243" s="24"/>
      <c r="R243" s="24"/>
      <c r="S243" s="24"/>
      <c r="T243" s="24"/>
      <c r="U243" s="24"/>
      <c r="V243" s="24"/>
      <c r="W243" s="24"/>
      <c r="X243" s="24"/>
      <c r="Y243" s="24"/>
      <c r="Z243" s="24"/>
      <c r="AA243" s="24"/>
      <c r="AB243" s="24"/>
      <c r="AC243" s="24"/>
      <c r="AD243" s="24"/>
      <c r="AE243" s="24"/>
    </row>
    <row r="244" spans="1:31" ht="12.9">
      <c r="A244" s="24"/>
      <c r="B244" s="143"/>
      <c r="C244" s="24"/>
      <c r="D244" s="24"/>
      <c r="E244" s="24"/>
      <c r="F244" s="24"/>
      <c r="G244" s="24"/>
      <c r="H244" s="117"/>
      <c r="I244" s="117"/>
      <c r="J244" s="24"/>
      <c r="K244" s="24"/>
      <c r="L244" s="24"/>
      <c r="M244" s="24"/>
      <c r="N244" s="24"/>
      <c r="O244" s="24"/>
      <c r="P244" s="24"/>
      <c r="Q244" s="24"/>
      <c r="R244" s="24"/>
      <c r="S244" s="24"/>
      <c r="T244" s="24"/>
      <c r="U244" s="24"/>
      <c r="V244" s="24"/>
      <c r="W244" s="24"/>
      <c r="X244" s="24"/>
      <c r="Y244" s="24"/>
      <c r="Z244" s="24"/>
      <c r="AA244" s="24"/>
      <c r="AB244" s="24"/>
      <c r="AC244" s="24"/>
      <c r="AD244" s="24"/>
      <c r="AE244" s="24"/>
    </row>
    <row r="245" spans="1:31" ht="12.9">
      <c r="A245" s="24"/>
      <c r="B245" s="143"/>
      <c r="C245" s="24"/>
      <c r="D245" s="24"/>
      <c r="E245" s="24"/>
      <c r="F245" s="24"/>
      <c r="G245" s="24"/>
      <c r="H245" s="117"/>
      <c r="I245" s="117"/>
      <c r="J245" s="24"/>
      <c r="K245" s="24"/>
      <c r="L245" s="24"/>
      <c r="M245" s="24"/>
      <c r="N245" s="24"/>
      <c r="O245" s="24"/>
      <c r="P245" s="24"/>
      <c r="Q245" s="24"/>
      <c r="R245" s="24"/>
      <c r="S245" s="24"/>
      <c r="T245" s="24"/>
      <c r="U245" s="24"/>
      <c r="V245" s="24"/>
      <c r="W245" s="24"/>
      <c r="X245" s="24"/>
      <c r="Y245" s="24"/>
      <c r="Z245" s="24"/>
      <c r="AA245" s="24"/>
      <c r="AB245" s="24"/>
      <c r="AC245" s="24"/>
      <c r="AD245" s="24"/>
      <c r="AE245" s="24"/>
    </row>
    <row r="246" spans="1:31" ht="12.9">
      <c r="A246" s="24"/>
      <c r="B246" s="143"/>
      <c r="C246" s="24"/>
      <c r="D246" s="24"/>
      <c r="E246" s="24"/>
      <c r="F246" s="24"/>
      <c r="G246" s="24"/>
      <c r="H246" s="117"/>
      <c r="I246" s="117"/>
      <c r="J246" s="24"/>
      <c r="K246" s="24"/>
      <c r="L246" s="24"/>
      <c r="M246" s="24"/>
      <c r="N246" s="24"/>
      <c r="O246" s="24"/>
      <c r="P246" s="24"/>
      <c r="Q246" s="24"/>
      <c r="R246" s="24"/>
      <c r="S246" s="24"/>
      <c r="T246" s="24"/>
      <c r="U246" s="24"/>
      <c r="V246" s="24"/>
      <c r="W246" s="24"/>
      <c r="X246" s="24"/>
      <c r="Y246" s="24"/>
      <c r="Z246" s="24"/>
      <c r="AA246" s="24"/>
      <c r="AB246" s="24"/>
      <c r="AC246" s="24"/>
      <c r="AD246" s="24"/>
      <c r="AE246" s="24"/>
    </row>
    <row r="247" spans="1:31" ht="12.9">
      <c r="A247" s="24"/>
      <c r="B247" s="143"/>
      <c r="C247" s="24"/>
      <c r="D247" s="24"/>
      <c r="E247" s="24"/>
      <c r="F247" s="24"/>
      <c r="G247" s="24"/>
      <c r="H247" s="117"/>
      <c r="I247" s="117"/>
      <c r="J247" s="24"/>
      <c r="K247" s="24"/>
      <c r="L247" s="24"/>
      <c r="M247" s="24"/>
      <c r="N247" s="24"/>
      <c r="O247" s="24"/>
      <c r="P247" s="24"/>
      <c r="Q247" s="24"/>
      <c r="R247" s="24"/>
      <c r="S247" s="24"/>
      <c r="T247" s="24"/>
      <c r="U247" s="24"/>
      <c r="V247" s="24"/>
      <c r="W247" s="24"/>
      <c r="X247" s="24"/>
      <c r="Y247" s="24"/>
      <c r="Z247" s="24"/>
      <c r="AA247" s="24"/>
      <c r="AB247" s="24"/>
      <c r="AC247" s="24"/>
      <c r="AD247" s="24"/>
      <c r="AE247" s="24"/>
    </row>
    <row r="248" spans="1:31" ht="12.9">
      <c r="A248" s="24"/>
      <c r="B248" s="143"/>
      <c r="C248" s="24"/>
      <c r="D248" s="24"/>
      <c r="E248" s="24"/>
      <c r="F248" s="24"/>
      <c r="G248" s="24"/>
      <c r="H248" s="117"/>
      <c r="I248" s="117"/>
      <c r="J248" s="24"/>
      <c r="K248" s="24"/>
      <c r="L248" s="24"/>
      <c r="M248" s="24"/>
      <c r="N248" s="24"/>
      <c r="O248" s="24"/>
      <c r="P248" s="24"/>
      <c r="Q248" s="24"/>
      <c r="R248" s="24"/>
      <c r="S248" s="24"/>
      <c r="T248" s="24"/>
      <c r="U248" s="24"/>
      <c r="V248" s="24"/>
      <c r="W248" s="24"/>
      <c r="X248" s="24"/>
      <c r="Y248" s="24"/>
      <c r="Z248" s="24"/>
      <c r="AA248" s="24"/>
      <c r="AB248" s="24"/>
      <c r="AC248" s="24"/>
      <c r="AD248" s="24"/>
      <c r="AE248" s="24"/>
    </row>
    <row r="249" spans="1:31" ht="12.9">
      <c r="A249" s="24"/>
      <c r="B249" s="143"/>
      <c r="C249" s="24"/>
      <c r="D249" s="24"/>
      <c r="E249" s="24"/>
      <c r="F249" s="24"/>
      <c r="G249" s="24"/>
      <c r="H249" s="117"/>
      <c r="I249" s="117"/>
      <c r="J249" s="24"/>
      <c r="K249" s="24"/>
      <c r="L249" s="24"/>
      <c r="M249" s="24"/>
      <c r="N249" s="24"/>
      <c r="O249" s="24"/>
      <c r="P249" s="24"/>
      <c r="Q249" s="24"/>
      <c r="R249" s="24"/>
      <c r="S249" s="24"/>
      <c r="T249" s="24"/>
      <c r="U249" s="24"/>
      <c r="V249" s="24"/>
      <c r="W249" s="24"/>
      <c r="X249" s="24"/>
      <c r="Y249" s="24"/>
      <c r="Z249" s="24"/>
      <c r="AA249" s="24"/>
      <c r="AB249" s="24"/>
      <c r="AC249" s="24"/>
      <c r="AD249" s="24"/>
      <c r="AE249" s="24"/>
    </row>
    <row r="250" spans="1:31" ht="12.9">
      <c r="A250" s="24"/>
      <c r="B250" s="143"/>
      <c r="C250" s="24"/>
      <c r="D250" s="24"/>
      <c r="E250" s="24"/>
      <c r="F250" s="24"/>
      <c r="G250" s="24"/>
      <c r="H250" s="117"/>
      <c r="I250" s="117"/>
      <c r="J250" s="24"/>
      <c r="K250" s="24"/>
      <c r="L250" s="24"/>
      <c r="M250" s="24"/>
      <c r="N250" s="24"/>
      <c r="O250" s="24"/>
      <c r="P250" s="24"/>
      <c r="Q250" s="24"/>
      <c r="R250" s="24"/>
      <c r="S250" s="24"/>
      <c r="T250" s="24"/>
      <c r="U250" s="24"/>
      <c r="V250" s="24"/>
      <c r="W250" s="24"/>
      <c r="X250" s="24"/>
      <c r="Y250" s="24"/>
      <c r="Z250" s="24"/>
      <c r="AA250" s="24"/>
      <c r="AB250" s="24"/>
      <c r="AC250" s="24"/>
      <c r="AD250" s="24"/>
      <c r="AE250" s="24"/>
    </row>
    <row r="251" spans="1:31" ht="12.9">
      <c r="A251" s="24"/>
      <c r="B251" s="143"/>
      <c r="C251" s="24"/>
      <c r="D251" s="24"/>
      <c r="E251" s="24"/>
      <c r="F251" s="24"/>
      <c r="G251" s="24"/>
      <c r="H251" s="117"/>
      <c r="I251" s="117"/>
      <c r="J251" s="24"/>
      <c r="K251" s="24"/>
      <c r="L251" s="24"/>
      <c r="M251" s="24"/>
      <c r="N251" s="24"/>
      <c r="O251" s="24"/>
      <c r="P251" s="24"/>
      <c r="Q251" s="24"/>
      <c r="R251" s="24"/>
      <c r="S251" s="24"/>
      <c r="T251" s="24"/>
      <c r="U251" s="24"/>
      <c r="V251" s="24"/>
      <c r="W251" s="24"/>
      <c r="X251" s="24"/>
      <c r="Y251" s="24"/>
      <c r="Z251" s="24"/>
      <c r="AA251" s="24"/>
      <c r="AB251" s="24"/>
      <c r="AC251" s="24"/>
      <c r="AD251" s="24"/>
      <c r="AE251" s="24"/>
    </row>
    <row r="252" spans="1:31" ht="12.9">
      <c r="A252" s="24"/>
      <c r="B252" s="143"/>
      <c r="C252" s="24"/>
      <c r="D252" s="24"/>
      <c r="E252" s="24"/>
      <c r="F252" s="24"/>
      <c r="G252" s="24"/>
      <c r="H252" s="117"/>
      <c r="I252" s="117"/>
      <c r="J252" s="24"/>
      <c r="K252" s="24"/>
      <c r="L252" s="24"/>
      <c r="M252" s="24"/>
      <c r="N252" s="24"/>
      <c r="O252" s="24"/>
      <c r="P252" s="24"/>
      <c r="Q252" s="24"/>
      <c r="R252" s="24"/>
      <c r="S252" s="24"/>
      <c r="T252" s="24"/>
      <c r="U252" s="24"/>
      <c r="V252" s="24"/>
      <c r="W252" s="24"/>
      <c r="X252" s="24"/>
      <c r="Y252" s="24"/>
      <c r="Z252" s="24"/>
      <c r="AA252" s="24"/>
      <c r="AB252" s="24"/>
      <c r="AC252" s="24"/>
      <c r="AD252" s="24"/>
      <c r="AE252" s="24"/>
    </row>
    <row r="253" spans="1:31" ht="12.9">
      <c r="A253" s="24"/>
      <c r="B253" s="143"/>
      <c r="C253" s="24"/>
      <c r="D253" s="24"/>
      <c r="E253" s="24"/>
      <c r="F253" s="24"/>
      <c r="G253" s="24"/>
      <c r="H253" s="117"/>
      <c r="I253" s="117"/>
      <c r="J253" s="24"/>
      <c r="K253" s="24"/>
      <c r="L253" s="24"/>
      <c r="M253" s="24"/>
      <c r="N253" s="24"/>
      <c r="O253" s="24"/>
      <c r="P253" s="24"/>
      <c r="Q253" s="24"/>
      <c r="R253" s="24"/>
      <c r="S253" s="24"/>
      <c r="T253" s="24"/>
      <c r="U253" s="24"/>
      <c r="V253" s="24"/>
      <c r="W253" s="24"/>
      <c r="X253" s="24"/>
      <c r="Y253" s="24"/>
      <c r="Z253" s="24"/>
      <c r="AA253" s="24"/>
      <c r="AB253" s="24"/>
      <c r="AC253" s="24"/>
      <c r="AD253" s="24"/>
      <c r="AE253" s="24"/>
    </row>
    <row r="254" spans="1:31" ht="12.9">
      <c r="A254" s="24"/>
      <c r="B254" s="143"/>
      <c r="C254" s="24"/>
      <c r="D254" s="24"/>
      <c r="E254" s="24"/>
      <c r="F254" s="24"/>
      <c r="G254" s="24"/>
      <c r="H254" s="117"/>
      <c r="I254" s="117"/>
      <c r="J254" s="24"/>
      <c r="K254" s="24"/>
      <c r="L254" s="24"/>
      <c r="M254" s="24"/>
      <c r="N254" s="24"/>
      <c r="O254" s="24"/>
      <c r="P254" s="24"/>
      <c r="Q254" s="24"/>
      <c r="R254" s="24"/>
      <c r="S254" s="24"/>
      <c r="T254" s="24"/>
      <c r="U254" s="24"/>
      <c r="V254" s="24"/>
      <c r="W254" s="24"/>
      <c r="X254" s="24"/>
      <c r="Y254" s="24"/>
      <c r="Z254" s="24"/>
      <c r="AA254" s="24"/>
      <c r="AB254" s="24"/>
      <c r="AC254" s="24"/>
      <c r="AD254" s="24"/>
      <c r="AE254" s="24"/>
    </row>
    <row r="255" spans="1:31" ht="12.9">
      <c r="A255" s="24"/>
      <c r="B255" s="143"/>
      <c r="C255" s="24"/>
      <c r="D255" s="24"/>
      <c r="E255" s="24"/>
      <c r="F255" s="24"/>
      <c r="G255" s="24"/>
      <c r="H255" s="117"/>
      <c r="I255" s="117"/>
      <c r="J255" s="24"/>
      <c r="K255" s="24"/>
      <c r="L255" s="24"/>
      <c r="M255" s="24"/>
      <c r="N255" s="24"/>
      <c r="O255" s="24"/>
      <c r="P255" s="24"/>
      <c r="Q255" s="24"/>
      <c r="R255" s="24"/>
      <c r="S255" s="24"/>
      <c r="T255" s="24"/>
      <c r="U255" s="24"/>
      <c r="V255" s="24"/>
      <c r="W255" s="24"/>
      <c r="X255" s="24"/>
      <c r="Y255" s="24"/>
      <c r="Z255" s="24"/>
      <c r="AA255" s="24"/>
      <c r="AB255" s="24"/>
      <c r="AC255" s="24"/>
      <c r="AD255" s="24"/>
      <c r="AE255" s="24"/>
    </row>
    <row r="256" spans="1:31" ht="12.9">
      <c r="A256" s="24"/>
      <c r="B256" s="143"/>
      <c r="C256" s="24"/>
      <c r="D256" s="24"/>
      <c r="E256" s="24"/>
      <c r="F256" s="24"/>
      <c r="G256" s="24"/>
      <c r="H256" s="117"/>
      <c r="I256" s="117"/>
      <c r="J256" s="24"/>
      <c r="K256" s="24"/>
      <c r="L256" s="24"/>
      <c r="M256" s="24"/>
      <c r="N256" s="24"/>
      <c r="O256" s="24"/>
      <c r="P256" s="24"/>
      <c r="Q256" s="24"/>
      <c r="R256" s="24"/>
      <c r="S256" s="24"/>
      <c r="T256" s="24"/>
      <c r="U256" s="24"/>
      <c r="V256" s="24"/>
      <c r="W256" s="24"/>
      <c r="X256" s="24"/>
      <c r="Y256" s="24"/>
      <c r="Z256" s="24"/>
      <c r="AA256" s="24"/>
      <c r="AB256" s="24"/>
      <c r="AC256" s="24"/>
      <c r="AD256" s="24"/>
      <c r="AE256" s="24"/>
    </row>
    <row r="257" spans="1:31" ht="12.9">
      <c r="A257" s="24"/>
      <c r="B257" s="143"/>
      <c r="C257" s="24"/>
      <c r="D257" s="24"/>
      <c r="E257" s="24"/>
      <c r="F257" s="24"/>
      <c r="G257" s="24"/>
      <c r="H257" s="117"/>
      <c r="I257" s="117"/>
      <c r="J257" s="24"/>
      <c r="K257" s="24"/>
      <c r="L257" s="24"/>
      <c r="M257" s="24"/>
      <c r="N257" s="24"/>
      <c r="O257" s="24"/>
      <c r="P257" s="24"/>
      <c r="Q257" s="24"/>
      <c r="R257" s="24"/>
      <c r="S257" s="24"/>
      <c r="T257" s="24"/>
      <c r="U257" s="24"/>
      <c r="V257" s="24"/>
      <c r="W257" s="24"/>
      <c r="X257" s="24"/>
      <c r="Y257" s="24"/>
      <c r="Z257" s="24"/>
      <c r="AA257" s="24"/>
      <c r="AB257" s="24"/>
      <c r="AC257" s="24"/>
      <c r="AD257" s="24"/>
      <c r="AE257" s="24"/>
    </row>
    <row r="258" spans="1:31" ht="12.9">
      <c r="A258" s="24"/>
      <c r="B258" s="143"/>
      <c r="C258" s="24"/>
      <c r="D258" s="24"/>
      <c r="E258" s="24"/>
      <c r="F258" s="24"/>
      <c r="G258" s="24"/>
      <c r="H258" s="117"/>
      <c r="I258" s="117"/>
      <c r="J258" s="24"/>
      <c r="K258" s="24"/>
      <c r="L258" s="24"/>
      <c r="M258" s="24"/>
      <c r="N258" s="24"/>
      <c r="O258" s="24"/>
      <c r="P258" s="24"/>
      <c r="Q258" s="24"/>
      <c r="R258" s="24"/>
      <c r="S258" s="24"/>
      <c r="T258" s="24"/>
      <c r="U258" s="24"/>
      <c r="V258" s="24"/>
      <c r="W258" s="24"/>
      <c r="X258" s="24"/>
      <c r="Y258" s="24"/>
      <c r="Z258" s="24"/>
      <c r="AA258" s="24"/>
      <c r="AB258" s="24"/>
      <c r="AC258" s="24"/>
      <c r="AD258" s="24"/>
      <c r="AE258" s="24"/>
    </row>
    <row r="259" spans="1:31" ht="12.9">
      <c r="A259" s="24"/>
      <c r="B259" s="143"/>
      <c r="C259" s="24"/>
      <c r="D259" s="24"/>
      <c r="E259" s="24"/>
      <c r="F259" s="24"/>
      <c r="G259" s="24"/>
      <c r="H259" s="117"/>
      <c r="I259" s="117"/>
      <c r="J259" s="24"/>
      <c r="K259" s="24"/>
      <c r="L259" s="24"/>
      <c r="M259" s="24"/>
      <c r="N259" s="24"/>
      <c r="O259" s="24"/>
      <c r="P259" s="24"/>
      <c r="Q259" s="24"/>
      <c r="R259" s="24"/>
      <c r="S259" s="24"/>
      <c r="T259" s="24"/>
      <c r="U259" s="24"/>
      <c r="V259" s="24"/>
      <c r="W259" s="24"/>
      <c r="X259" s="24"/>
      <c r="Y259" s="24"/>
      <c r="Z259" s="24"/>
      <c r="AA259" s="24"/>
      <c r="AB259" s="24"/>
      <c r="AC259" s="24"/>
      <c r="AD259" s="24"/>
      <c r="AE259" s="24"/>
    </row>
    <row r="260" spans="1:31" ht="12.9">
      <c r="A260" s="24"/>
      <c r="B260" s="143"/>
      <c r="C260" s="24"/>
      <c r="D260" s="24"/>
      <c r="E260" s="24"/>
      <c r="F260" s="24"/>
      <c r="G260" s="24"/>
      <c r="H260" s="117"/>
      <c r="I260" s="117"/>
      <c r="J260" s="24"/>
      <c r="K260" s="24"/>
      <c r="L260" s="24"/>
      <c r="M260" s="24"/>
      <c r="N260" s="24"/>
      <c r="O260" s="24"/>
      <c r="P260" s="24"/>
      <c r="Q260" s="24"/>
      <c r="R260" s="24"/>
      <c r="S260" s="24"/>
      <c r="T260" s="24"/>
      <c r="U260" s="24"/>
      <c r="V260" s="24"/>
      <c r="W260" s="24"/>
      <c r="X260" s="24"/>
      <c r="Y260" s="24"/>
      <c r="Z260" s="24"/>
      <c r="AA260" s="24"/>
      <c r="AB260" s="24"/>
      <c r="AC260" s="24"/>
      <c r="AD260" s="24"/>
      <c r="AE260" s="24"/>
    </row>
    <row r="261" spans="1:31" ht="12.9">
      <c r="A261" s="24"/>
      <c r="B261" s="143"/>
      <c r="C261" s="24"/>
      <c r="D261" s="24"/>
      <c r="E261" s="24"/>
      <c r="F261" s="24"/>
      <c r="G261" s="24"/>
      <c r="H261" s="117"/>
      <c r="I261" s="117"/>
      <c r="J261" s="24"/>
      <c r="K261" s="24"/>
      <c r="L261" s="24"/>
      <c r="M261" s="24"/>
      <c r="N261" s="24"/>
      <c r="O261" s="24"/>
      <c r="P261" s="24"/>
      <c r="Q261" s="24"/>
      <c r="R261" s="24"/>
      <c r="S261" s="24"/>
      <c r="T261" s="24"/>
      <c r="U261" s="24"/>
      <c r="V261" s="24"/>
      <c r="W261" s="24"/>
      <c r="X261" s="24"/>
      <c r="Y261" s="24"/>
      <c r="Z261" s="24"/>
      <c r="AA261" s="24"/>
      <c r="AB261" s="24"/>
      <c r="AC261" s="24"/>
      <c r="AD261" s="24"/>
      <c r="AE261" s="24"/>
    </row>
    <row r="262" spans="1:31" ht="12.9">
      <c r="A262" s="24"/>
      <c r="B262" s="143"/>
      <c r="C262" s="24"/>
      <c r="D262" s="24"/>
      <c r="E262" s="24"/>
      <c r="F262" s="24"/>
      <c r="G262" s="24"/>
      <c r="H262" s="117"/>
      <c r="I262" s="117"/>
      <c r="J262" s="24"/>
      <c r="K262" s="24"/>
      <c r="L262" s="24"/>
      <c r="M262" s="24"/>
      <c r="N262" s="24"/>
      <c r="O262" s="24"/>
      <c r="P262" s="24"/>
      <c r="Q262" s="24"/>
      <c r="R262" s="24"/>
      <c r="S262" s="24"/>
      <c r="T262" s="24"/>
      <c r="U262" s="24"/>
      <c r="V262" s="24"/>
      <c r="W262" s="24"/>
      <c r="X262" s="24"/>
      <c r="Y262" s="24"/>
      <c r="Z262" s="24"/>
      <c r="AA262" s="24"/>
      <c r="AB262" s="24"/>
      <c r="AC262" s="24"/>
      <c r="AD262" s="24"/>
      <c r="AE262" s="24"/>
    </row>
    <row r="263" spans="1:31" ht="12.9">
      <c r="A263" s="24"/>
      <c r="B263" s="143"/>
      <c r="C263" s="24"/>
      <c r="D263" s="24"/>
      <c r="E263" s="24"/>
      <c r="F263" s="24"/>
      <c r="G263" s="24"/>
      <c r="H263" s="117"/>
      <c r="I263" s="117"/>
      <c r="J263" s="24"/>
      <c r="K263" s="24"/>
      <c r="L263" s="24"/>
      <c r="M263" s="24"/>
      <c r="N263" s="24"/>
      <c r="O263" s="24"/>
      <c r="P263" s="24"/>
      <c r="Q263" s="24"/>
      <c r="R263" s="24"/>
      <c r="S263" s="24"/>
      <c r="T263" s="24"/>
      <c r="U263" s="24"/>
      <c r="V263" s="24"/>
      <c r="W263" s="24"/>
      <c r="X263" s="24"/>
      <c r="Y263" s="24"/>
      <c r="Z263" s="24"/>
      <c r="AA263" s="24"/>
      <c r="AB263" s="24"/>
      <c r="AC263" s="24"/>
      <c r="AD263" s="24"/>
      <c r="AE263" s="24"/>
    </row>
    <row r="264" spans="1:31" ht="12.9">
      <c r="A264" s="24"/>
      <c r="B264" s="143"/>
      <c r="C264" s="24"/>
      <c r="D264" s="24"/>
      <c r="E264" s="24"/>
      <c r="F264" s="24"/>
      <c r="G264" s="24"/>
      <c r="H264" s="117"/>
      <c r="I264" s="117"/>
      <c r="J264" s="24"/>
      <c r="K264" s="24"/>
      <c r="L264" s="24"/>
      <c r="M264" s="24"/>
      <c r="N264" s="24"/>
      <c r="O264" s="24"/>
      <c r="P264" s="24"/>
      <c r="Q264" s="24"/>
      <c r="R264" s="24"/>
      <c r="S264" s="24"/>
      <c r="T264" s="24"/>
      <c r="U264" s="24"/>
      <c r="V264" s="24"/>
      <c r="W264" s="24"/>
      <c r="X264" s="24"/>
      <c r="Y264" s="24"/>
      <c r="Z264" s="24"/>
      <c r="AA264" s="24"/>
      <c r="AB264" s="24"/>
      <c r="AC264" s="24"/>
      <c r="AD264" s="24"/>
      <c r="AE264" s="24"/>
    </row>
    <row r="265" spans="1:31" ht="12.9">
      <c r="A265" s="24"/>
      <c r="B265" s="143"/>
      <c r="C265" s="24"/>
      <c r="D265" s="24"/>
      <c r="E265" s="24"/>
      <c r="F265" s="24"/>
      <c r="G265" s="24"/>
      <c r="H265" s="117"/>
      <c r="I265" s="117"/>
      <c r="J265" s="24"/>
      <c r="K265" s="24"/>
      <c r="L265" s="24"/>
      <c r="M265" s="24"/>
      <c r="N265" s="24"/>
      <c r="O265" s="24"/>
      <c r="P265" s="24"/>
      <c r="Q265" s="24"/>
      <c r="R265" s="24"/>
      <c r="S265" s="24"/>
      <c r="T265" s="24"/>
      <c r="U265" s="24"/>
      <c r="V265" s="24"/>
      <c r="W265" s="24"/>
      <c r="X265" s="24"/>
      <c r="Y265" s="24"/>
      <c r="Z265" s="24"/>
      <c r="AA265" s="24"/>
      <c r="AB265" s="24"/>
      <c r="AC265" s="24"/>
      <c r="AD265" s="24"/>
      <c r="AE265" s="24"/>
    </row>
    <row r="266" spans="1:31" ht="12.9">
      <c r="A266" s="24"/>
      <c r="B266" s="143"/>
      <c r="C266" s="24"/>
      <c r="D266" s="24"/>
      <c r="E266" s="24"/>
      <c r="F266" s="24"/>
      <c r="G266" s="24"/>
      <c r="H266" s="117"/>
      <c r="I266" s="117"/>
      <c r="J266" s="24"/>
      <c r="K266" s="24"/>
      <c r="L266" s="24"/>
      <c r="M266" s="24"/>
      <c r="N266" s="24"/>
      <c r="O266" s="24"/>
      <c r="P266" s="24"/>
      <c r="Q266" s="24"/>
      <c r="R266" s="24"/>
      <c r="S266" s="24"/>
      <c r="T266" s="24"/>
      <c r="U266" s="24"/>
      <c r="V266" s="24"/>
      <c r="W266" s="24"/>
      <c r="X266" s="24"/>
      <c r="Y266" s="24"/>
      <c r="Z266" s="24"/>
      <c r="AA266" s="24"/>
      <c r="AB266" s="24"/>
      <c r="AC266" s="24"/>
      <c r="AD266" s="24"/>
      <c r="AE266" s="24"/>
    </row>
    <row r="267" spans="1:31" ht="12.9">
      <c r="A267" s="24"/>
      <c r="B267" s="143"/>
      <c r="C267" s="24"/>
      <c r="D267" s="24"/>
      <c r="E267" s="24"/>
      <c r="F267" s="24"/>
      <c r="G267" s="24"/>
      <c r="H267" s="117"/>
      <c r="I267" s="117"/>
      <c r="J267" s="24"/>
      <c r="K267" s="24"/>
      <c r="L267" s="24"/>
      <c r="M267" s="24"/>
      <c r="N267" s="24"/>
      <c r="O267" s="24"/>
      <c r="P267" s="24"/>
      <c r="Q267" s="24"/>
      <c r="R267" s="24"/>
      <c r="S267" s="24"/>
      <c r="T267" s="24"/>
      <c r="U267" s="24"/>
      <c r="V267" s="24"/>
      <c r="W267" s="24"/>
      <c r="X267" s="24"/>
      <c r="Y267" s="24"/>
      <c r="Z267" s="24"/>
      <c r="AA267" s="24"/>
      <c r="AB267" s="24"/>
      <c r="AC267" s="24"/>
      <c r="AD267" s="24"/>
      <c r="AE267" s="24"/>
    </row>
    <row r="268" spans="1:31" ht="12.9">
      <c r="A268" s="24"/>
      <c r="B268" s="143"/>
      <c r="C268" s="24"/>
      <c r="D268" s="24"/>
      <c r="E268" s="24"/>
      <c r="F268" s="24"/>
      <c r="G268" s="24"/>
      <c r="H268" s="117"/>
      <c r="I268" s="117"/>
      <c r="J268" s="24"/>
      <c r="K268" s="24"/>
      <c r="L268" s="24"/>
      <c r="M268" s="24"/>
      <c r="N268" s="24"/>
      <c r="O268" s="24"/>
      <c r="P268" s="24"/>
      <c r="Q268" s="24"/>
      <c r="R268" s="24"/>
      <c r="S268" s="24"/>
      <c r="T268" s="24"/>
      <c r="U268" s="24"/>
      <c r="V268" s="24"/>
      <c r="W268" s="24"/>
      <c r="X268" s="24"/>
      <c r="Y268" s="24"/>
      <c r="Z268" s="24"/>
      <c r="AA268" s="24"/>
      <c r="AB268" s="24"/>
      <c r="AC268" s="24"/>
      <c r="AD268" s="24"/>
      <c r="AE268" s="24"/>
    </row>
    <row r="269" spans="1:31" ht="12.9">
      <c r="A269" s="24"/>
      <c r="B269" s="143"/>
      <c r="C269" s="24"/>
      <c r="D269" s="24"/>
      <c r="E269" s="24"/>
      <c r="F269" s="24"/>
      <c r="G269" s="24"/>
      <c r="H269" s="117"/>
      <c r="I269" s="117"/>
      <c r="J269" s="24"/>
      <c r="K269" s="24"/>
      <c r="L269" s="24"/>
      <c r="M269" s="24"/>
      <c r="N269" s="24"/>
      <c r="O269" s="24"/>
      <c r="P269" s="24"/>
      <c r="Q269" s="24"/>
      <c r="R269" s="24"/>
      <c r="S269" s="24"/>
      <c r="T269" s="24"/>
      <c r="U269" s="24"/>
      <c r="V269" s="24"/>
      <c r="W269" s="24"/>
      <c r="X269" s="24"/>
      <c r="Y269" s="24"/>
      <c r="Z269" s="24"/>
      <c r="AA269" s="24"/>
      <c r="AB269" s="24"/>
      <c r="AC269" s="24"/>
      <c r="AD269" s="24"/>
      <c r="AE269" s="24"/>
    </row>
    <row r="270" spans="1:31" ht="12.9">
      <c r="A270" s="24"/>
      <c r="B270" s="143"/>
      <c r="C270" s="24"/>
      <c r="D270" s="24"/>
      <c r="E270" s="24"/>
      <c r="F270" s="24"/>
      <c r="G270" s="24"/>
      <c r="H270" s="117"/>
      <c r="I270" s="117"/>
      <c r="J270" s="24"/>
      <c r="K270" s="24"/>
      <c r="L270" s="24"/>
      <c r="M270" s="24"/>
      <c r="N270" s="24"/>
      <c r="O270" s="24"/>
      <c r="P270" s="24"/>
      <c r="Q270" s="24"/>
      <c r="R270" s="24"/>
      <c r="S270" s="24"/>
      <c r="T270" s="24"/>
      <c r="U270" s="24"/>
      <c r="V270" s="24"/>
      <c r="W270" s="24"/>
      <c r="X270" s="24"/>
      <c r="Y270" s="24"/>
      <c r="Z270" s="24"/>
      <c r="AA270" s="24"/>
      <c r="AB270" s="24"/>
      <c r="AC270" s="24"/>
      <c r="AD270" s="24"/>
      <c r="AE270" s="24"/>
    </row>
    <row r="271" spans="1:31" ht="12.9">
      <c r="A271" s="24"/>
      <c r="B271" s="143"/>
      <c r="C271" s="24"/>
      <c r="D271" s="24"/>
      <c r="E271" s="24"/>
      <c r="F271" s="24"/>
      <c r="G271" s="24"/>
      <c r="H271" s="117"/>
      <c r="I271" s="117"/>
      <c r="J271" s="24"/>
      <c r="K271" s="24"/>
      <c r="L271" s="24"/>
      <c r="M271" s="24"/>
      <c r="N271" s="24"/>
      <c r="O271" s="24"/>
      <c r="P271" s="24"/>
      <c r="Q271" s="24"/>
      <c r="R271" s="24"/>
      <c r="S271" s="24"/>
      <c r="T271" s="24"/>
      <c r="U271" s="24"/>
      <c r="V271" s="24"/>
      <c r="W271" s="24"/>
      <c r="X271" s="24"/>
      <c r="Y271" s="24"/>
      <c r="Z271" s="24"/>
      <c r="AA271" s="24"/>
      <c r="AB271" s="24"/>
      <c r="AC271" s="24"/>
      <c r="AD271" s="24"/>
      <c r="AE271" s="24"/>
    </row>
    <row r="272" spans="1:31" ht="12.9">
      <c r="A272" s="24"/>
      <c r="B272" s="143"/>
      <c r="C272" s="24"/>
      <c r="D272" s="24"/>
      <c r="E272" s="24"/>
      <c r="F272" s="24"/>
      <c r="G272" s="24"/>
      <c r="H272" s="117"/>
      <c r="I272" s="117"/>
      <c r="J272" s="24"/>
      <c r="K272" s="24"/>
      <c r="L272" s="24"/>
      <c r="M272" s="24"/>
      <c r="N272" s="24"/>
      <c r="O272" s="24"/>
      <c r="P272" s="24"/>
      <c r="Q272" s="24"/>
      <c r="R272" s="24"/>
      <c r="S272" s="24"/>
      <c r="T272" s="24"/>
      <c r="U272" s="24"/>
      <c r="V272" s="24"/>
      <c r="W272" s="24"/>
      <c r="X272" s="24"/>
      <c r="Y272" s="24"/>
      <c r="Z272" s="24"/>
      <c r="AA272" s="24"/>
      <c r="AB272" s="24"/>
      <c r="AC272" s="24"/>
      <c r="AD272" s="24"/>
      <c r="AE272" s="24"/>
    </row>
    <row r="273" spans="1:31" ht="12.9">
      <c r="A273" s="24"/>
      <c r="B273" s="143"/>
      <c r="C273" s="24"/>
      <c r="D273" s="24"/>
      <c r="E273" s="24"/>
      <c r="F273" s="24"/>
      <c r="G273" s="24"/>
      <c r="H273" s="117"/>
      <c r="I273" s="117"/>
      <c r="J273" s="24"/>
      <c r="K273" s="24"/>
      <c r="L273" s="24"/>
      <c r="M273" s="24"/>
      <c r="N273" s="24"/>
      <c r="O273" s="24"/>
      <c r="P273" s="24"/>
      <c r="Q273" s="24"/>
      <c r="R273" s="24"/>
      <c r="S273" s="24"/>
      <c r="T273" s="24"/>
      <c r="U273" s="24"/>
      <c r="V273" s="24"/>
      <c r="W273" s="24"/>
      <c r="X273" s="24"/>
      <c r="Y273" s="24"/>
      <c r="Z273" s="24"/>
      <c r="AA273" s="24"/>
      <c r="AB273" s="24"/>
      <c r="AC273" s="24"/>
      <c r="AD273" s="24"/>
      <c r="AE273" s="24"/>
    </row>
    <row r="274" spans="1:31" ht="12.9">
      <c r="A274" s="24"/>
      <c r="B274" s="143"/>
      <c r="C274" s="24"/>
      <c r="D274" s="24"/>
      <c r="E274" s="24"/>
      <c r="F274" s="24"/>
      <c r="G274" s="24"/>
      <c r="H274" s="117"/>
      <c r="I274" s="117"/>
      <c r="J274" s="24"/>
      <c r="K274" s="24"/>
      <c r="L274" s="24"/>
      <c r="M274" s="24"/>
      <c r="N274" s="24"/>
      <c r="O274" s="24"/>
      <c r="P274" s="24"/>
      <c r="Q274" s="24"/>
      <c r="R274" s="24"/>
      <c r="S274" s="24"/>
      <c r="T274" s="24"/>
      <c r="U274" s="24"/>
      <c r="V274" s="24"/>
      <c r="W274" s="24"/>
      <c r="X274" s="24"/>
      <c r="Y274" s="24"/>
      <c r="Z274" s="24"/>
      <c r="AA274" s="24"/>
      <c r="AB274" s="24"/>
      <c r="AC274" s="24"/>
      <c r="AD274" s="24"/>
      <c r="AE274" s="24"/>
    </row>
    <row r="275" spans="1:31" ht="12.9">
      <c r="A275" s="24"/>
      <c r="B275" s="143"/>
      <c r="C275" s="24"/>
      <c r="D275" s="24"/>
      <c r="E275" s="24"/>
      <c r="F275" s="24"/>
      <c r="G275" s="24"/>
      <c r="H275" s="117"/>
      <c r="I275" s="117"/>
      <c r="J275" s="24"/>
      <c r="K275" s="24"/>
      <c r="L275" s="24"/>
      <c r="M275" s="24"/>
      <c r="N275" s="24"/>
      <c r="O275" s="24"/>
      <c r="P275" s="24"/>
      <c r="Q275" s="24"/>
      <c r="R275" s="24"/>
      <c r="S275" s="24"/>
      <c r="T275" s="24"/>
      <c r="U275" s="24"/>
      <c r="V275" s="24"/>
      <c r="W275" s="24"/>
      <c r="X275" s="24"/>
      <c r="Y275" s="24"/>
      <c r="Z275" s="24"/>
      <c r="AA275" s="24"/>
      <c r="AB275" s="24"/>
      <c r="AC275" s="24"/>
      <c r="AD275" s="24"/>
      <c r="AE275" s="24"/>
    </row>
    <row r="276" spans="1:31" ht="12.9">
      <c r="A276" s="24"/>
      <c r="B276" s="143"/>
      <c r="C276" s="24"/>
      <c r="D276" s="24"/>
      <c r="E276" s="24"/>
      <c r="F276" s="24"/>
      <c r="G276" s="24"/>
      <c r="H276" s="117"/>
      <c r="I276" s="117"/>
      <c r="J276" s="24"/>
      <c r="K276" s="24"/>
      <c r="L276" s="24"/>
      <c r="M276" s="24"/>
      <c r="N276" s="24"/>
      <c r="O276" s="24"/>
      <c r="P276" s="24"/>
      <c r="Q276" s="24"/>
      <c r="R276" s="24"/>
      <c r="S276" s="24"/>
      <c r="T276" s="24"/>
      <c r="U276" s="24"/>
      <c r="V276" s="24"/>
      <c r="W276" s="24"/>
      <c r="X276" s="24"/>
      <c r="Y276" s="24"/>
      <c r="Z276" s="24"/>
      <c r="AA276" s="24"/>
      <c r="AB276" s="24"/>
      <c r="AC276" s="24"/>
      <c r="AD276" s="24"/>
      <c r="AE276" s="24"/>
    </row>
    <row r="277" spans="1:31" ht="12.9">
      <c r="A277" s="24"/>
      <c r="B277" s="143"/>
      <c r="C277" s="24"/>
      <c r="D277" s="24"/>
      <c r="E277" s="24"/>
      <c r="F277" s="24"/>
      <c r="G277" s="24"/>
      <c r="H277" s="117"/>
      <c r="I277" s="117"/>
      <c r="J277" s="24"/>
      <c r="K277" s="24"/>
      <c r="L277" s="24"/>
      <c r="M277" s="24"/>
      <c r="N277" s="24"/>
      <c r="O277" s="24"/>
      <c r="P277" s="24"/>
      <c r="Q277" s="24"/>
      <c r="R277" s="24"/>
      <c r="S277" s="24"/>
      <c r="T277" s="24"/>
      <c r="U277" s="24"/>
      <c r="V277" s="24"/>
      <c r="W277" s="24"/>
      <c r="X277" s="24"/>
      <c r="Y277" s="24"/>
      <c r="Z277" s="24"/>
      <c r="AA277" s="24"/>
      <c r="AB277" s="24"/>
      <c r="AC277" s="24"/>
      <c r="AD277" s="24"/>
      <c r="AE277" s="24"/>
    </row>
    <row r="278" spans="1:31" ht="12.9">
      <c r="A278" s="24"/>
      <c r="B278" s="143"/>
      <c r="C278" s="24"/>
      <c r="D278" s="24"/>
      <c r="E278" s="24"/>
      <c r="F278" s="24"/>
      <c r="G278" s="24"/>
      <c r="H278" s="117"/>
      <c r="I278" s="117"/>
      <c r="J278" s="24"/>
      <c r="K278" s="24"/>
      <c r="L278" s="24"/>
      <c r="M278" s="24"/>
      <c r="N278" s="24"/>
      <c r="O278" s="24"/>
      <c r="P278" s="24"/>
      <c r="Q278" s="24"/>
      <c r="R278" s="24"/>
      <c r="S278" s="24"/>
      <c r="T278" s="24"/>
      <c r="U278" s="24"/>
      <c r="V278" s="24"/>
      <c r="W278" s="24"/>
      <c r="X278" s="24"/>
      <c r="Y278" s="24"/>
      <c r="Z278" s="24"/>
      <c r="AA278" s="24"/>
      <c r="AB278" s="24"/>
      <c r="AC278" s="24"/>
      <c r="AD278" s="24"/>
      <c r="AE278" s="24"/>
    </row>
    <row r="279" spans="1:31" ht="12.9">
      <c r="A279" s="24"/>
      <c r="B279" s="143"/>
      <c r="C279" s="24"/>
      <c r="D279" s="24"/>
      <c r="E279" s="24"/>
      <c r="F279" s="24"/>
      <c r="G279" s="24"/>
      <c r="H279" s="117"/>
      <c r="I279" s="117"/>
      <c r="J279" s="24"/>
      <c r="K279" s="24"/>
      <c r="L279" s="24"/>
      <c r="M279" s="24"/>
      <c r="N279" s="24"/>
      <c r="O279" s="24"/>
      <c r="P279" s="24"/>
      <c r="Q279" s="24"/>
      <c r="R279" s="24"/>
      <c r="S279" s="24"/>
      <c r="T279" s="24"/>
      <c r="U279" s="24"/>
      <c r="V279" s="24"/>
      <c r="W279" s="24"/>
      <c r="X279" s="24"/>
      <c r="Y279" s="24"/>
      <c r="Z279" s="24"/>
      <c r="AA279" s="24"/>
      <c r="AB279" s="24"/>
      <c r="AC279" s="24"/>
      <c r="AD279" s="24"/>
      <c r="AE279" s="24"/>
    </row>
    <row r="280" spans="1:31" ht="12.9">
      <c r="A280" s="24"/>
      <c r="B280" s="143"/>
      <c r="C280" s="24"/>
      <c r="D280" s="24"/>
      <c r="E280" s="24"/>
      <c r="F280" s="24"/>
      <c r="G280" s="24"/>
      <c r="H280" s="117"/>
      <c r="I280" s="117"/>
      <c r="J280" s="24"/>
      <c r="K280" s="24"/>
      <c r="L280" s="24"/>
      <c r="M280" s="24"/>
      <c r="N280" s="24"/>
      <c r="O280" s="24"/>
      <c r="P280" s="24"/>
      <c r="Q280" s="24"/>
      <c r="R280" s="24"/>
      <c r="S280" s="24"/>
      <c r="T280" s="24"/>
      <c r="U280" s="24"/>
      <c r="V280" s="24"/>
      <c r="W280" s="24"/>
      <c r="X280" s="24"/>
      <c r="Y280" s="24"/>
      <c r="Z280" s="24"/>
      <c r="AA280" s="24"/>
      <c r="AB280" s="24"/>
      <c r="AC280" s="24"/>
      <c r="AD280" s="24"/>
      <c r="AE280" s="24"/>
    </row>
    <row r="281" spans="1:31" ht="12.9">
      <c r="A281" s="24"/>
      <c r="B281" s="143"/>
      <c r="C281" s="24"/>
      <c r="D281" s="24"/>
      <c r="E281" s="24"/>
      <c r="F281" s="24"/>
      <c r="G281" s="24"/>
      <c r="H281" s="117"/>
      <c r="I281" s="117"/>
      <c r="J281" s="24"/>
      <c r="K281" s="24"/>
      <c r="L281" s="24"/>
      <c r="M281" s="24"/>
      <c r="N281" s="24"/>
      <c r="O281" s="24"/>
      <c r="P281" s="24"/>
      <c r="Q281" s="24"/>
      <c r="R281" s="24"/>
      <c r="S281" s="24"/>
      <c r="T281" s="24"/>
      <c r="U281" s="24"/>
      <c r="V281" s="24"/>
      <c r="W281" s="24"/>
      <c r="X281" s="24"/>
      <c r="Y281" s="24"/>
      <c r="Z281" s="24"/>
      <c r="AA281" s="24"/>
      <c r="AB281" s="24"/>
      <c r="AC281" s="24"/>
      <c r="AD281" s="24"/>
      <c r="AE281" s="24"/>
    </row>
    <row r="282" spans="1:31" ht="12.9">
      <c r="A282" s="24"/>
      <c r="B282" s="143"/>
      <c r="C282" s="24"/>
      <c r="D282" s="24"/>
      <c r="E282" s="24"/>
      <c r="F282" s="24"/>
      <c r="G282" s="24"/>
      <c r="H282" s="117"/>
      <c r="I282" s="117"/>
      <c r="J282" s="24"/>
      <c r="K282" s="24"/>
      <c r="L282" s="24"/>
      <c r="M282" s="24"/>
      <c r="N282" s="24"/>
      <c r="O282" s="24"/>
      <c r="P282" s="24"/>
      <c r="Q282" s="24"/>
      <c r="R282" s="24"/>
      <c r="S282" s="24"/>
      <c r="T282" s="24"/>
      <c r="U282" s="24"/>
      <c r="V282" s="24"/>
      <c r="W282" s="24"/>
      <c r="X282" s="24"/>
      <c r="Y282" s="24"/>
      <c r="Z282" s="24"/>
      <c r="AA282" s="24"/>
      <c r="AB282" s="24"/>
      <c r="AC282" s="24"/>
      <c r="AD282" s="24"/>
      <c r="AE282" s="24"/>
    </row>
    <row r="283" spans="1:31" ht="12.9">
      <c r="A283" s="24"/>
      <c r="B283" s="143"/>
      <c r="C283" s="24"/>
      <c r="D283" s="24"/>
      <c r="E283" s="24"/>
      <c r="F283" s="24"/>
      <c r="G283" s="24"/>
      <c r="H283" s="117"/>
      <c r="I283" s="117"/>
      <c r="J283" s="24"/>
      <c r="K283" s="24"/>
      <c r="L283" s="24"/>
      <c r="M283" s="24"/>
      <c r="N283" s="24"/>
      <c r="O283" s="24"/>
      <c r="P283" s="24"/>
      <c r="Q283" s="24"/>
      <c r="R283" s="24"/>
      <c r="S283" s="24"/>
      <c r="T283" s="24"/>
      <c r="U283" s="24"/>
      <c r="V283" s="24"/>
      <c r="W283" s="24"/>
      <c r="X283" s="24"/>
      <c r="Y283" s="24"/>
      <c r="Z283" s="24"/>
      <c r="AA283" s="24"/>
      <c r="AB283" s="24"/>
      <c r="AC283" s="24"/>
      <c r="AD283" s="24"/>
      <c r="AE283" s="24"/>
    </row>
    <row r="284" spans="1:31" ht="12.9">
      <c r="A284" s="24"/>
      <c r="B284" s="143"/>
      <c r="C284" s="24"/>
      <c r="D284" s="24"/>
      <c r="E284" s="24"/>
      <c r="F284" s="24"/>
      <c r="G284" s="24"/>
      <c r="H284" s="117"/>
      <c r="I284" s="117"/>
      <c r="J284" s="24"/>
      <c r="K284" s="24"/>
      <c r="L284" s="24"/>
      <c r="M284" s="24"/>
      <c r="N284" s="24"/>
      <c r="O284" s="24"/>
      <c r="P284" s="24"/>
      <c r="Q284" s="24"/>
      <c r="R284" s="24"/>
      <c r="S284" s="24"/>
      <c r="T284" s="24"/>
      <c r="U284" s="24"/>
      <c r="V284" s="24"/>
      <c r="W284" s="24"/>
      <c r="X284" s="24"/>
      <c r="Y284" s="24"/>
      <c r="Z284" s="24"/>
      <c r="AA284" s="24"/>
      <c r="AB284" s="24"/>
      <c r="AC284" s="24"/>
      <c r="AD284" s="24"/>
      <c r="AE284" s="24"/>
    </row>
    <row r="285" spans="1:31" ht="12.9">
      <c r="A285" s="24"/>
      <c r="B285" s="143"/>
      <c r="C285" s="24"/>
      <c r="D285" s="24"/>
      <c r="E285" s="24"/>
      <c r="F285" s="24"/>
      <c r="G285" s="24"/>
      <c r="H285" s="117"/>
      <c r="I285" s="117"/>
      <c r="J285" s="24"/>
      <c r="K285" s="24"/>
      <c r="L285" s="24"/>
      <c r="M285" s="24"/>
      <c r="N285" s="24"/>
      <c r="O285" s="24"/>
      <c r="P285" s="24"/>
      <c r="Q285" s="24"/>
      <c r="R285" s="24"/>
      <c r="S285" s="24"/>
      <c r="T285" s="24"/>
      <c r="U285" s="24"/>
      <c r="V285" s="24"/>
      <c r="W285" s="24"/>
      <c r="X285" s="24"/>
      <c r="Y285" s="24"/>
      <c r="Z285" s="24"/>
      <c r="AA285" s="24"/>
      <c r="AB285" s="24"/>
      <c r="AC285" s="24"/>
      <c r="AD285" s="24"/>
      <c r="AE285" s="24"/>
    </row>
    <row r="286" spans="1:31" ht="12.9">
      <c r="A286" s="24"/>
      <c r="B286" s="143"/>
      <c r="C286" s="24"/>
      <c r="D286" s="24"/>
      <c r="E286" s="24"/>
      <c r="F286" s="24"/>
      <c r="G286" s="24"/>
      <c r="H286" s="117"/>
      <c r="I286" s="117"/>
      <c r="J286" s="24"/>
      <c r="K286" s="24"/>
      <c r="L286" s="24"/>
      <c r="M286" s="24"/>
      <c r="N286" s="24"/>
      <c r="O286" s="24"/>
      <c r="P286" s="24"/>
      <c r="Q286" s="24"/>
      <c r="R286" s="24"/>
      <c r="S286" s="24"/>
      <c r="T286" s="24"/>
      <c r="U286" s="24"/>
      <c r="V286" s="24"/>
      <c r="W286" s="24"/>
      <c r="X286" s="24"/>
      <c r="Y286" s="24"/>
      <c r="Z286" s="24"/>
      <c r="AA286" s="24"/>
      <c r="AB286" s="24"/>
      <c r="AC286" s="24"/>
      <c r="AD286" s="24"/>
      <c r="AE286" s="24"/>
    </row>
    <row r="287" spans="1:31" ht="12.9">
      <c r="A287" s="24"/>
      <c r="B287" s="143"/>
      <c r="C287" s="24"/>
      <c r="D287" s="24"/>
      <c r="E287" s="24"/>
      <c r="F287" s="24"/>
      <c r="G287" s="24"/>
      <c r="H287" s="117"/>
      <c r="I287" s="117"/>
      <c r="J287" s="24"/>
      <c r="K287" s="24"/>
      <c r="L287" s="24"/>
      <c r="M287" s="24"/>
      <c r="N287" s="24"/>
      <c r="O287" s="24"/>
      <c r="P287" s="24"/>
      <c r="Q287" s="24"/>
      <c r="R287" s="24"/>
      <c r="S287" s="24"/>
      <c r="T287" s="24"/>
      <c r="U287" s="24"/>
      <c r="V287" s="24"/>
      <c r="W287" s="24"/>
      <c r="X287" s="24"/>
      <c r="Y287" s="24"/>
      <c r="Z287" s="24"/>
      <c r="AA287" s="24"/>
      <c r="AB287" s="24"/>
      <c r="AC287" s="24"/>
      <c r="AD287" s="24"/>
      <c r="AE287" s="24"/>
    </row>
    <row r="288" spans="1:31" ht="12.9">
      <c r="A288" s="24"/>
      <c r="B288" s="143"/>
      <c r="C288" s="24"/>
      <c r="D288" s="24"/>
      <c r="E288" s="24"/>
      <c r="F288" s="24"/>
      <c r="G288" s="24"/>
      <c r="H288" s="117"/>
      <c r="I288" s="117"/>
      <c r="J288" s="24"/>
      <c r="K288" s="24"/>
      <c r="L288" s="24"/>
      <c r="M288" s="24"/>
      <c r="N288" s="24"/>
      <c r="O288" s="24"/>
      <c r="P288" s="24"/>
      <c r="Q288" s="24"/>
      <c r="R288" s="24"/>
      <c r="S288" s="24"/>
      <c r="T288" s="24"/>
      <c r="U288" s="24"/>
      <c r="V288" s="24"/>
      <c r="W288" s="24"/>
      <c r="X288" s="24"/>
      <c r="Y288" s="24"/>
      <c r="Z288" s="24"/>
      <c r="AA288" s="24"/>
      <c r="AB288" s="24"/>
      <c r="AC288" s="24"/>
      <c r="AD288" s="24"/>
      <c r="AE288" s="24"/>
    </row>
    <row r="289" spans="1:31" ht="12.9">
      <c r="A289" s="24"/>
      <c r="B289" s="143"/>
      <c r="C289" s="24"/>
      <c r="D289" s="24"/>
      <c r="E289" s="24"/>
      <c r="F289" s="24"/>
      <c r="G289" s="24"/>
      <c r="H289" s="117"/>
      <c r="I289" s="117"/>
      <c r="J289" s="24"/>
      <c r="K289" s="24"/>
      <c r="L289" s="24"/>
      <c r="M289" s="24"/>
      <c r="N289" s="24"/>
      <c r="O289" s="24"/>
      <c r="P289" s="24"/>
      <c r="Q289" s="24"/>
      <c r="R289" s="24"/>
      <c r="S289" s="24"/>
      <c r="T289" s="24"/>
      <c r="U289" s="24"/>
      <c r="V289" s="24"/>
      <c r="W289" s="24"/>
      <c r="X289" s="24"/>
      <c r="Y289" s="24"/>
      <c r="Z289" s="24"/>
      <c r="AA289" s="24"/>
      <c r="AB289" s="24"/>
      <c r="AC289" s="24"/>
      <c r="AD289" s="24"/>
      <c r="AE289" s="24"/>
    </row>
    <row r="290" spans="1:31" ht="12.9">
      <c r="A290" s="24"/>
      <c r="B290" s="143"/>
      <c r="C290" s="24"/>
      <c r="D290" s="24"/>
      <c r="E290" s="24"/>
      <c r="F290" s="24"/>
      <c r="G290" s="24"/>
      <c r="H290" s="117"/>
      <c r="I290" s="117"/>
      <c r="J290" s="24"/>
      <c r="K290" s="24"/>
      <c r="L290" s="24"/>
      <c r="M290" s="24"/>
      <c r="N290" s="24"/>
      <c r="O290" s="24"/>
      <c r="P290" s="24"/>
      <c r="Q290" s="24"/>
      <c r="R290" s="24"/>
      <c r="S290" s="24"/>
      <c r="T290" s="24"/>
      <c r="U290" s="24"/>
      <c r="V290" s="24"/>
      <c r="W290" s="24"/>
      <c r="X290" s="24"/>
      <c r="Y290" s="24"/>
      <c r="Z290" s="24"/>
      <c r="AA290" s="24"/>
      <c r="AB290" s="24"/>
      <c r="AC290" s="24"/>
      <c r="AD290" s="24"/>
      <c r="AE290" s="24"/>
    </row>
    <row r="291" spans="1:31" ht="12.9">
      <c r="A291" s="24"/>
      <c r="B291" s="143"/>
      <c r="C291" s="24"/>
      <c r="D291" s="24"/>
      <c r="E291" s="24"/>
      <c r="F291" s="24"/>
      <c r="G291" s="24"/>
      <c r="H291" s="117"/>
      <c r="I291" s="117"/>
      <c r="J291" s="24"/>
      <c r="K291" s="24"/>
      <c r="L291" s="24"/>
      <c r="M291" s="24"/>
      <c r="N291" s="24"/>
      <c r="O291" s="24"/>
      <c r="P291" s="24"/>
      <c r="Q291" s="24"/>
      <c r="R291" s="24"/>
      <c r="S291" s="24"/>
      <c r="T291" s="24"/>
      <c r="U291" s="24"/>
      <c r="V291" s="24"/>
      <c r="W291" s="24"/>
      <c r="X291" s="24"/>
      <c r="Y291" s="24"/>
      <c r="Z291" s="24"/>
      <c r="AA291" s="24"/>
      <c r="AB291" s="24"/>
      <c r="AC291" s="24"/>
      <c r="AD291" s="24"/>
      <c r="AE291" s="24"/>
    </row>
    <row r="292" spans="1:31" ht="12.9">
      <c r="A292" s="24"/>
      <c r="B292" s="143"/>
      <c r="C292" s="24"/>
      <c r="D292" s="24"/>
      <c r="E292" s="24"/>
      <c r="F292" s="24"/>
      <c r="G292" s="24"/>
      <c r="H292" s="117"/>
      <c r="I292" s="117"/>
      <c r="J292" s="24"/>
      <c r="K292" s="24"/>
      <c r="L292" s="24"/>
      <c r="M292" s="24"/>
      <c r="N292" s="24"/>
      <c r="O292" s="24"/>
      <c r="P292" s="24"/>
      <c r="Q292" s="24"/>
      <c r="R292" s="24"/>
      <c r="S292" s="24"/>
      <c r="T292" s="24"/>
      <c r="U292" s="24"/>
      <c r="V292" s="24"/>
      <c r="W292" s="24"/>
      <c r="X292" s="24"/>
      <c r="Y292" s="24"/>
      <c r="Z292" s="24"/>
      <c r="AA292" s="24"/>
      <c r="AB292" s="24"/>
      <c r="AC292" s="24"/>
      <c r="AD292" s="24"/>
      <c r="AE292" s="24"/>
    </row>
    <row r="293" spans="1:31" ht="12.9">
      <c r="A293" s="24"/>
      <c r="B293" s="143"/>
      <c r="C293" s="24"/>
      <c r="D293" s="24"/>
      <c r="E293" s="24"/>
      <c r="F293" s="24"/>
      <c r="G293" s="24"/>
      <c r="H293" s="117"/>
      <c r="I293" s="117"/>
      <c r="J293" s="24"/>
      <c r="K293" s="24"/>
      <c r="L293" s="24"/>
      <c r="M293" s="24"/>
      <c r="N293" s="24"/>
      <c r="O293" s="24"/>
      <c r="P293" s="24"/>
      <c r="Q293" s="24"/>
      <c r="R293" s="24"/>
      <c r="S293" s="24"/>
      <c r="T293" s="24"/>
      <c r="U293" s="24"/>
      <c r="V293" s="24"/>
      <c r="W293" s="24"/>
      <c r="X293" s="24"/>
      <c r="Y293" s="24"/>
      <c r="Z293" s="24"/>
      <c r="AA293" s="24"/>
      <c r="AB293" s="24"/>
      <c r="AC293" s="24"/>
      <c r="AD293" s="24"/>
      <c r="AE293" s="24"/>
    </row>
    <row r="294" spans="1:31" ht="12.9">
      <c r="A294" s="24"/>
      <c r="B294" s="143"/>
      <c r="C294" s="24"/>
      <c r="D294" s="24"/>
      <c r="E294" s="24"/>
      <c r="F294" s="24"/>
      <c r="G294" s="24"/>
      <c r="H294" s="117"/>
      <c r="I294" s="117"/>
      <c r="J294" s="24"/>
      <c r="K294" s="24"/>
      <c r="L294" s="24"/>
      <c r="M294" s="24"/>
      <c r="N294" s="24"/>
      <c r="O294" s="24"/>
      <c r="P294" s="24"/>
      <c r="Q294" s="24"/>
      <c r="R294" s="24"/>
      <c r="S294" s="24"/>
      <c r="T294" s="24"/>
      <c r="U294" s="24"/>
      <c r="V294" s="24"/>
      <c r="W294" s="24"/>
      <c r="X294" s="24"/>
      <c r="Y294" s="24"/>
      <c r="Z294" s="24"/>
      <c r="AA294" s="24"/>
      <c r="AB294" s="24"/>
      <c r="AC294" s="24"/>
      <c r="AD294" s="24"/>
      <c r="AE294" s="24"/>
    </row>
    <row r="295" spans="1:31" ht="12.9">
      <c r="A295" s="24"/>
      <c r="B295" s="143"/>
      <c r="C295" s="24"/>
      <c r="D295" s="24"/>
      <c r="E295" s="24"/>
      <c r="F295" s="24"/>
      <c r="G295" s="24"/>
      <c r="H295" s="117"/>
      <c r="I295" s="117"/>
      <c r="J295" s="24"/>
      <c r="K295" s="24"/>
      <c r="L295" s="24"/>
      <c r="M295" s="24"/>
      <c r="N295" s="24"/>
      <c r="O295" s="24"/>
      <c r="P295" s="24"/>
      <c r="Q295" s="24"/>
      <c r="R295" s="24"/>
      <c r="S295" s="24"/>
      <c r="T295" s="24"/>
      <c r="U295" s="24"/>
      <c r="V295" s="24"/>
      <c r="W295" s="24"/>
      <c r="X295" s="24"/>
      <c r="Y295" s="24"/>
      <c r="Z295" s="24"/>
      <c r="AA295" s="24"/>
      <c r="AB295" s="24"/>
      <c r="AC295" s="24"/>
      <c r="AD295" s="24"/>
      <c r="AE295" s="24"/>
    </row>
    <row r="296" spans="1:31" ht="12.9">
      <c r="A296" s="24"/>
      <c r="B296" s="143"/>
      <c r="C296" s="24"/>
      <c r="D296" s="24"/>
      <c r="E296" s="24"/>
      <c r="F296" s="24"/>
      <c r="G296" s="24"/>
      <c r="H296" s="117"/>
      <c r="I296" s="117"/>
      <c r="J296" s="24"/>
      <c r="K296" s="24"/>
      <c r="L296" s="24"/>
      <c r="M296" s="24"/>
      <c r="N296" s="24"/>
      <c r="O296" s="24"/>
      <c r="P296" s="24"/>
      <c r="Q296" s="24"/>
      <c r="R296" s="24"/>
      <c r="S296" s="24"/>
      <c r="T296" s="24"/>
      <c r="U296" s="24"/>
      <c r="V296" s="24"/>
      <c r="W296" s="24"/>
      <c r="X296" s="24"/>
      <c r="Y296" s="24"/>
      <c r="Z296" s="24"/>
      <c r="AA296" s="24"/>
      <c r="AB296" s="24"/>
      <c r="AC296" s="24"/>
      <c r="AD296" s="24"/>
      <c r="AE296" s="24"/>
    </row>
    <row r="297" spans="1:31" ht="12.9">
      <c r="A297" s="24"/>
      <c r="B297" s="143"/>
      <c r="C297" s="24"/>
      <c r="D297" s="24"/>
      <c r="E297" s="24"/>
      <c r="F297" s="24"/>
      <c r="G297" s="24"/>
      <c r="H297" s="117"/>
      <c r="I297" s="117"/>
      <c r="J297" s="24"/>
      <c r="K297" s="24"/>
      <c r="L297" s="24"/>
      <c r="M297" s="24"/>
      <c r="N297" s="24"/>
      <c r="O297" s="24"/>
      <c r="P297" s="24"/>
      <c r="Q297" s="24"/>
      <c r="R297" s="24"/>
      <c r="S297" s="24"/>
      <c r="T297" s="24"/>
      <c r="U297" s="24"/>
      <c r="V297" s="24"/>
      <c r="W297" s="24"/>
      <c r="X297" s="24"/>
      <c r="Y297" s="24"/>
      <c r="Z297" s="24"/>
      <c r="AA297" s="24"/>
      <c r="AB297" s="24"/>
      <c r="AC297" s="24"/>
      <c r="AD297" s="24"/>
      <c r="AE297" s="24"/>
    </row>
    <row r="298" spans="1:31" ht="12.9">
      <c r="A298" s="24"/>
      <c r="B298" s="143"/>
      <c r="C298" s="24"/>
      <c r="D298" s="24"/>
      <c r="E298" s="24"/>
      <c r="F298" s="24"/>
      <c r="G298" s="24"/>
      <c r="H298" s="117"/>
      <c r="I298" s="117"/>
      <c r="J298" s="24"/>
      <c r="K298" s="24"/>
      <c r="L298" s="24"/>
      <c r="M298" s="24"/>
      <c r="N298" s="24"/>
      <c r="O298" s="24"/>
      <c r="P298" s="24"/>
      <c r="Q298" s="24"/>
      <c r="R298" s="24"/>
      <c r="S298" s="24"/>
      <c r="T298" s="24"/>
      <c r="U298" s="24"/>
      <c r="V298" s="24"/>
      <c r="W298" s="24"/>
      <c r="X298" s="24"/>
      <c r="Y298" s="24"/>
      <c r="Z298" s="24"/>
      <c r="AA298" s="24"/>
      <c r="AB298" s="24"/>
      <c r="AC298" s="24"/>
      <c r="AD298" s="24"/>
      <c r="AE298" s="24"/>
    </row>
    <row r="299" spans="1:31" ht="12.9">
      <c r="A299" s="24"/>
      <c r="B299" s="143"/>
      <c r="C299" s="24"/>
      <c r="D299" s="24"/>
      <c r="E299" s="24"/>
      <c r="F299" s="24"/>
      <c r="G299" s="24"/>
      <c r="H299" s="117"/>
      <c r="I299" s="117"/>
      <c r="J299" s="24"/>
      <c r="K299" s="24"/>
      <c r="L299" s="24"/>
      <c r="M299" s="24"/>
      <c r="N299" s="24"/>
      <c r="O299" s="24"/>
      <c r="P299" s="24"/>
      <c r="Q299" s="24"/>
      <c r="R299" s="24"/>
      <c r="S299" s="24"/>
      <c r="T299" s="24"/>
      <c r="U299" s="24"/>
      <c r="V299" s="24"/>
      <c r="W299" s="24"/>
      <c r="X299" s="24"/>
      <c r="Y299" s="24"/>
      <c r="Z299" s="24"/>
      <c r="AA299" s="24"/>
      <c r="AB299" s="24"/>
      <c r="AC299" s="24"/>
      <c r="AD299" s="24"/>
      <c r="AE299" s="24"/>
    </row>
    <row r="300" spans="1:31" ht="12.9">
      <c r="A300" s="24"/>
      <c r="B300" s="143"/>
      <c r="C300" s="24"/>
      <c r="D300" s="24"/>
      <c r="E300" s="24"/>
      <c r="F300" s="24"/>
      <c r="G300" s="24"/>
      <c r="H300" s="117"/>
      <c r="I300" s="117"/>
      <c r="J300" s="24"/>
      <c r="K300" s="24"/>
      <c r="L300" s="24"/>
      <c r="M300" s="24"/>
      <c r="N300" s="24"/>
      <c r="O300" s="24"/>
      <c r="P300" s="24"/>
      <c r="Q300" s="24"/>
      <c r="R300" s="24"/>
      <c r="S300" s="24"/>
      <c r="T300" s="24"/>
      <c r="U300" s="24"/>
      <c r="V300" s="24"/>
      <c r="W300" s="24"/>
      <c r="X300" s="24"/>
      <c r="Y300" s="24"/>
      <c r="Z300" s="24"/>
      <c r="AA300" s="24"/>
      <c r="AB300" s="24"/>
      <c r="AC300" s="24"/>
      <c r="AD300" s="24"/>
      <c r="AE300" s="24"/>
    </row>
    <row r="301" spans="1:31" ht="12.9">
      <c r="A301" s="24"/>
      <c r="B301" s="143"/>
      <c r="C301" s="24"/>
      <c r="D301" s="24"/>
      <c r="E301" s="24"/>
      <c r="F301" s="24"/>
      <c r="G301" s="24"/>
      <c r="H301" s="117"/>
      <c r="I301" s="117"/>
      <c r="J301" s="24"/>
      <c r="K301" s="24"/>
      <c r="L301" s="24"/>
      <c r="M301" s="24"/>
      <c r="N301" s="24"/>
      <c r="O301" s="24"/>
      <c r="P301" s="24"/>
      <c r="Q301" s="24"/>
      <c r="R301" s="24"/>
      <c r="S301" s="24"/>
      <c r="T301" s="24"/>
      <c r="U301" s="24"/>
      <c r="V301" s="24"/>
      <c r="W301" s="24"/>
      <c r="X301" s="24"/>
      <c r="Y301" s="24"/>
      <c r="Z301" s="24"/>
      <c r="AA301" s="24"/>
      <c r="AB301" s="24"/>
      <c r="AC301" s="24"/>
      <c r="AD301" s="24"/>
      <c r="AE301" s="24"/>
    </row>
    <row r="302" spans="1:31" ht="12.9">
      <c r="A302" s="24"/>
      <c r="B302" s="143"/>
      <c r="C302" s="24"/>
      <c r="D302" s="24"/>
      <c r="E302" s="24"/>
      <c r="F302" s="24"/>
      <c r="G302" s="24"/>
      <c r="H302" s="117"/>
      <c r="I302" s="117"/>
      <c r="J302" s="24"/>
      <c r="K302" s="24"/>
      <c r="L302" s="24"/>
      <c r="M302" s="24"/>
      <c r="N302" s="24"/>
      <c r="O302" s="24"/>
      <c r="P302" s="24"/>
      <c r="Q302" s="24"/>
      <c r="R302" s="24"/>
      <c r="S302" s="24"/>
      <c r="T302" s="24"/>
      <c r="U302" s="24"/>
      <c r="V302" s="24"/>
      <c r="W302" s="24"/>
      <c r="X302" s="24"/>
      <c r="Y302" s="24"/>
      <c r="Z302" s="24"/>
      <c r="AA302" s="24"/>
      <c r="AB302" s="24"/>
      <c r="AC302" s="24"/>
      <c r="AD302" s="24"/>
      <c r="AE302" s="24"/>
    </row>
    <row r="303" spans="1:31" ht="12.9">
      <c r="A303" s="24"/>
      <c r="B303" s="143"/>
      <c r="C303" s="24"/>
      <c r="D303" s="24"/>
      <c r="E303" s="24"/>
      <c r="F303" s="24"/>
      <c r="G303" s="24"/>
      <c r="H303" s="117"/>
      <c r="I303" s="117"/>
      <c r="J303" s="24"/>
      <c r="K303" s="24"/>
      <c r="L303" s="24"/>
      <c r="M303" s="24"/>
      <c r="N303" s="24"/>
      <c r="O303" s="24"/>
      <c r="P303" s="24"/>
      <c r="Q303" s="24"/>
      <c r="R303" s="24"/>
      <c r="S303" s="24"/>
      <c r="T303" s="24"/>
      <c r="U303" s="24"/>
      <c r="V303" s="24"/>
      <c r="W303" s="24"/>
      <c r="X303" s="24"/>
      <c r="Y303" s="24"/>
      <c r="Z303" s="24"/>
      <c r="AA303" s="24"/>
      <c r="AB303" s="24"/>
      <c r="AC303" s="24"/>
      <c r="AD303" s="24"/>
      <c r="AE303" s="24"/>
    </row>
    <row r="304" spans="1:31" ht="12.9">
      <c r="A304" s="24"/>
      <c r="B304" s="143"/>
      <c r="C304" s="24"/>
      <c r="D304" s="24"/>
      <c r="E304" s="24"/>
      <c r="F304" s="24"/>
      <c r="G304" s="24"/>
      <c r="H304" s="117"/>
      <c r="I304" s="117"/>
      <c r="J304" s="24"/>
      <c r="K304" s="24"/>
      <c r="L304" s="24"/>
      <c r="M304" s="24"/>
      <c r="N304" s="24"/>
      <c r="O304" s="24"/>
      <c r="P304" s="24"/>
      <c r="Q304" s="24"/>
      <c r="R304" s="24"/>
      <c r="S304" s="24"/>
      <c r="T304" s="24"/>
      <c r="U304" s="24"/>
      <c r="V304" s="24"/>
      <c r="W304" s="24"/>
      <c r="X304" s="24"/>
      <c r="Y304" s="24"/>
      <c r="Z304" s="24"/>
      <c r="AA304" s="24"/>
      <c r="AB304" s="24"/>
      <c r="AC304" s="24"/>
      <c r="AD304" s="24"/>
      <c r="AE304" s="24"/>
    </row>
    <row r="305" spans="1:31" ht="12.9">
      <c r="A305" s="24"/>
      <c r="B305" s="143"/>
      <c r="C305" s="24"/>
      <c r="D305" s="24"/>
      <c r="E305" s="24"/>
      <c r="F305" s="24"/>
      <c r="G305" s="24"/>
      <c r="H305" s="117"/>
      <c r="I305" s="117"/>
      <c r="J305" s="24"/>
      <c r="K305" s="24"/>
      <c r="L305" s="24"/>
      <c r="M305" s="24"/>
      <c r="N305" s="24"/>
      <c r="O305" s="24"/>
      <c r="P305" s="24"/>
      <c r="Q305" s="24"/>
      <c r="R305" s="24"/>
      <c r="S305" s="24"/>
      <c r="T305" s="24"/>
      <c r="U305" s="24"/>
      <c r="V305" s="24"/>
      <c r="W305" s="24"/>
      <c r="X305" s="24"/>
      <c r="Y305" s="24"/>
      <c r="Z305" s="24"/>
      <c r="AA305" s="24"/>
      <c r="AB305" s="24"/>
      <c r="AC305" s="24"/>
      <c r="AD305" s="24"/>
      <c r="AE305" s="24"/>
    </row>
    <row r="306" spans="1:31" ht="12.9">
      <c r="A306" s="24"/>
      <c r="B306" s="143"/>
      <c r="C306" s="24"/>
      <c r="D306" s="24"/>
      <c r="E306" s="24"/>
      <c r="F306" s="24"/>
      <c r="G306" s="24"/>
      <c r="H306" s="117"/>
      <c r="I306" s="117"/>
      <c r="J306" s="24"/>
      <c r="K306" s="24"/>
      <c r="L306" s="24"/>
      <c r="M306" s="24"/>
      <c r="N306" s="24"/>
      <c r="O306" s="24"/>
      <c r="P306" s="24"/>
      <c r="Q306" s="24"/>
      <c r="R306" s="24"/>
      <c r="S306" s="24"/>
      <c r="T306" s="24"/>
      <c r="U306" s="24"/>
      <c r="V306" s="24"/>
      <c r="W306" s="24"/>
      <c r="X306" s="24"/>
      <c r="Y306" s="24"/>
      <c r="Z306" s="24"/>
      <c r="AA306" s="24"/>
      <c r="AB306" s="24"/>
      <c r="AC306" s="24"/>
      <c r="AD306" s="24"/>
      <c r="AE306" s="24"/>
    </row>
    <row r="307" spans="1:31" ht="12.9">
      <c r="A307" s="24"/>
      <c r="B307" s="143"/>
      <c r="C307" s="24"/>
      <c r="D307" s="24"/>
      <c r="E307" s="24"/>
      <c r="F307" s="24"/>
      <c r="G307" s="24"/>
      <c r="H307" s="117"/>
      <c r="I307" s="117"/>
      <c r="J307" s="24"/>
      <c r="K307" s="24"/>
      <c r="L307" s="24"/>
      <c r="M307" s="24"/>
      <c r="N307" s="24"/>
      <c r="O307" s="24"/>
      <c r="P307" s="24"/>
      <c r="Q307" s="24"/>
      <c r="R307" s="24"/>
      <c r="S307" s="24"/>
      <c r="T307" s="24"/>
      <c r="U307" s="24"/>
      <c r="V307" s="24"/>
      <c r="W307" s="24"/>
      <c r="X307" s="24"/>
      <c r="Y307" s="24"/>
      <c r="Z307" s="24"/>
      <c r="AA307" s="24"/>
      <c r="AB307" s="24"/>
      <c r="AC307" s="24"/>
      <c r="AD307" s="24"/>
      <c r="AE307" s="24"/>
    </row>
    <row r="308" spans="1:31" ht="12.9">
      <c r="A308" s="24"/>
      <c r="B308" s="143"/>
      <c r="C308" s="24"/>
      <c r="D308" s="24"/>
      <c r="E308" s="24"/>
      <c r="F308" s="24"/>
      <c r="G308" s="24"/>
      <c r="H308" s="117"/>
      <c r="I308" s="117"/>
      <c r="J308" s="24"/>
      <c r="K308" s="24"/>
      <c r="L308" s="24"/>
      <c r="M308" s="24"/>
      <c r="N308" s="24"/>
      <c r="O308" s="24"/>
      <c r="P308" s="24"/>
      <c r="Q308" s="24"/>
      <c r="R308" s="24"/>
      <c r="S308" s="24"/>
      <c r="T308" s="24"/>
      <c r="U308" s="24"/>
      <c r="V308" s="24"/>
      <c r="W308" s="24"/>
      <c r="X308" s="24"/>
      <c r="Y308" s="24"/>
      <c r="Z308" s="24"/>
      <c r="AA308" s="24"/>
      <c r="AB308" s="24"/>
      <c r="AC308" s="24"/>
      <c r="AD308" s="24"/>
      <c r="AE308" s="24"/>
    </row>
    <row r="309" spans="1:31" ht="12.9">
      <c r="A309" s="24"/>
      <c r="B309" s="143"/>
      <c r="C309" s="24"/>
      <c r="D309" s="24"/>
      <c r="E309" s="24"/>
      <c r="F309" s="24"/>
      <c r="G309" s="24"/>
      <c r="H309" s="117"/>
      <c r="I309" s="117"/>
      <c r="J309" s="24"/>
      <c r="K309" s="24"/>
      <c r="L309" s="24"/>
      <c r="M309" s="24"/>
      <c r="N309" s="24"/>
      <c r="O309" s="24"/>
      <c r="P309" s="24"/>
      <c r="Q309" s="24"/>
      <c r="R309" s="24"/>
      <c r="S309" s="24"/>
      <c r="T309" s="24"/>
      <c r="U309" s="24"/>
      <c r="V309" s="24"/>
      <c r="W309" s="24"/>
      <c r="X309" s="24"/>
      <c r="Y309" s="24"/>
      <c r="Z309" s="24"/>
      <c r="AA309" s="24"/>
      <c r="AB309" s="24"/>
      <c r="AC309" s="24"/>
      <c r="AD309" s="24"/>
      <c r="AE309" s="24"/>
    </row>
    <row r="310" spans="1:31" ht="12.9">
      <c r="A310" s="24"/>
      <c r="B310" s="143"/>
      <c r="C310" s="24"/>
      <c r="D310" s="24"/>
      <c r="E310" s="24"/>
      <c r="F310" s="24"/>
      <c r="G310" s="24"/>
      <c r="H310" s="117"/>
      <c r="I310" s="117"/>
      <c r="J310" s="24"/>
      <c r="K310" s="24"/>
      <c r="L310" s="24"/>
      <c r="M310" s="24"/>
      <c r="N310" s="24"/>
      <c r="O310" s="24"/>
      <c r="P310" s="24"/>
      <c r="Q310" s="24"/>
      <c r="R310" s="24"/>
      <c r="S310" s="24"/>
      <c r="T310" s="24"/>
      <c r="U310" s="24"/>
      <c r="V310" s="24"/>
      <c r="W310" s="24"/>
      <c r="X310" s="24"/>
      <c r="Y310" s="24"/>
      <c r="Z310" s="24"/>
      <c r="AA310" s="24"/>
      <c r="AB310" s="24"/>
      <c r="AC310" s="24"/>
      <c r="AD310" s="24"/>
      <c r="AE310" s="24"/>
    </row>
    <row r="311" spans="1:31" ht="12.9">
      <c r="A311" s="24"/>
      <c r="B311" s="143"/>
      <c r="C311" s="24"/>
      <c r="D311" s="24"/>
      <c r="E311" s="24"/>
      <c r="F311" s="24"/>
      <c r="G311" s="24"/>
      <c r="H311" s="117"/>
      <c r="I311" s="117"/>
      <c r="J311" s="24"/>
      <c r="K311" s="24"/>
      <c r="L311" s="24"/>
      <c r="M311" s="24"/>
      <c r="N311" s="24"/>
      <c r="O311" s="24"/>
      <c r="P311" s="24"/>
      <c r="Q311" s="24"/>
      <c r="R311" s="24"/>
      <c r="S311" s="24"/>
      <c r="T311" s="24"/>
      <c r="U311" s="24"/>
      <c r="V311" s="24"/>
      <c r="W311" s="24"/>
      <c r="X311" s="24"/>
      <c r="Y311" s="24"/>
      <c r="Z311" s="24"/>
      <c r="AA311" s="24"/>
      <c r="AB311" s="24"/>
      <c r="AC311" s="24"/>
      <c r="AD311" s="24"/>
      <c r="AE311" s="24"/>
    </row>
    <row r="312" spans="1:31" ht="12.9">
      <c r="A312" s="24"/>
      <c r="B312" s="143"/>
      <c r="C312" s="24"/>
      <c r="D312" s="24"/>
      <c r="E312" s="24"/>
      <c r="F312" s="24"/>
      <c r="G312" s="24"/>
      <c r="H312" s="117"/>
      <c r="I312" s="117"/>
      <c r="J312" s="24"/>
      <c r="K312" s="24"/>
      <c r="L312" s="24"/>
      <c r="M312" s="24"/>
      <c r="N312" s="24"/>
      <c r="O312" s="24"/>
      <c r="P312" s="24"/>
      <c r="Q312" s="24"/>
      <c r="R312" s="24"/>
      <c r="S312" s="24"/>
      <c r="T312" s="24"/>
      <c r="U312" s="24"/>
      <c r="V312" s="24"/>
      <c r="W312" s="24"/>
      <c r="X312" s="24"/>
      <c r="Y312" s="24"/>
      <c r="Z312" s="24"/>
      <c r="AA312" s="24"/>
      <c r="AB312" s="24"/>
      <c r="AC312" s="24"/>
      <c r="AD312" s="24"/>
      <c r="AE312" s="24"/>
    </row>
    <row r="313" spans="1:31" ht="12.9">
      <c r="A313" s="24"/>
      <c r="B313" s="143"/>
      <c r="C313" s="24"/>
      <c r="D313" s="24"/>
      <c r="E313" s="24"/>
      <c r="F313" s="24"/>
      <c r="G313" s="24"/>
      <c r="H313" s="117"/>
      <c r="I313" s="117"/>
      <c r="J313" s="24"/>
      <c r="K313" s="24"/>
      <c r="L313" s="24"/>
      <c r="M313" s="24"/>
      <c r="N313" s="24"/>
      <c r="O313" s="24"/>
      <c r="P313" s="24"/>
      <c r="Q313" s="24"/>
      <c r="R313" s="24"/>
      <c r="S313" s="24"/>
      <c r="T313" s="24"/>
      <c r="U313" s="24"/>
      <c r="V313" s="24"/>
      <c r="W313" s="24"/>
      <c r="X313" s="24"/>
      <c r="Y313" s="24"/>
      <c r="Z313" s="24"/>
      <c r="AA313" s="24"/>
      <c r="AB313" s="24"/>
      <c r="AC313" s="24"/>
      <c r="AD313" s="24"/>
      <c r="AE313" s="24"/>
    </row>
    <row r="314" spans="1:31" ht="12.9">
      <c r="A314" s="24"/>
      <c r="B314" s="143"/>
      <c r="C314" s="24"/>
      <c r="D314" s="24"/>
      <c r="E314" s="24"/>
      <c r="F314" s="24"/>
      <c r="G314" s="24"/>
      <c r="H314" s="117"/>
      <c r="I314" s="117"/>
      <c r="J314" s="24"/>
      <c r="K314" s="24"/>
      <c r="L314" s="24"/>
      <c r="M314" s="24"/>
      <c r="N314" s="24"/>
      <c r="O314" s="24"/>
      <c r="P314" s="24"/>
      <c r="Q314" s="24"/>
      <c r="R314" s="24"/>
      <c r="S314" s="24"/>
      <c r="T314" s="24"/>
      <c r="U314" s="24"/>
      <c r="V314" s="24"/>
      <c r="W314" s="24"/>
      <c r="X314" s="24"/>
      <c r="Y314" s="24"/>
      <c r="Z314" s="24"/>
      <c r="AA314" s="24"/>
      <c r="AB314" s="24"/>
      <c r="AC314" s="24"/>
      <c r="AD314" s="24"/>
      <c r="AE314" s="24"/>
    </row>
    <row r="315" spans="1:31" ht="12.9">
      <c r="A315" s="24"/>
      <c r="B315" s="143"/>
      <c r="C315" s="24"/>
      <c r="D315" s="24"/>
      <c r="E315" s="24"/>
      <c r="F315" s="24"/>
      <c r="G315" s="24"/>
      <c r="H315" s="117"/>
      <c r="I315" s="117"/>
      <c r="J315" s="24"/>
      <c r="K315" s="24"/>
      <c r="L315" s="24"/>
      <c r="M315" s="24"/>
      <c r="N315" s="24"/>
      <c r="O315" s="24"/>
      <c r="P315" s="24"/>
      <c r="Q315" s="24"/>
      <c r="R315" s="24"/>
      <c r="S315" s="24"/>
      <c r="T315" s="24"/>
      <c r="U315" s="24"/>
      <c r="V315" s="24"/>
      <c r="W315" s="24"/>
      <c r="X315" s="24"/>
      <c r="Y315" s="24"/>
      <c r="Z315" s="24"/>
      <c r="AA315" s="24"/>
      <c r="AB315" s="24"/>
      <c r="AC315" s="24"/>
      <c r="AD315" s="24"/>
      <c r="AE315" s="24"/>
    </row>
    <row r="316" spans="1:31" ht="12.9">
      <c r="A316" s="24"/>
      <c r="B316" s="143"/>
      <c r="C316" s="24"/>
      <c r="D316" s="24"/>
      <c r="E316" s="24"/>
      <c r="F316" s="24"/>
      <c r="G316" s="24"/>
      <c r="H316" s="117"/>
      <c r="I316" s="117"/>
      <c r="J316" s="24"/>
      <c r="K316" s="24"/>
      <c r="L316" s="24"/>
      <c r="M316" s="24"/>
      <c r="N316" s="24"/>
      <c r="O316" s="24"/>
      <c r="P316" s="24"/>
      <c r="Q316" s="24"/>
      <c r="R316" s="24"/>
      <c r="S316" s="24"/>
      <c r="T316" s="24"/>
      <c r="U316" s="24"/>
      <c r="V316" s="24"/>
      <c r="W316" s="24"/>
      <c r="X316" s="24"/>
      <c r="Y316" s="24"/>
      <c r="Z316" s="24"/>
      <c r="AA316" s="24"/>
      <c r="AB316" s="24"/>
      <c r="AC316" s="24"/>
      <c r="AD316" s="24"/>
      <c r="AE316" s="24"/>
    </row>
    <row r="317" spans="1:31" ht="12.9">
      <c r="A317" s="24"/>
      <c r="B317" s="143"/>
      <c r="C317" s="24"/>
      <c r="D317" s="24"/>
      <c r="E317" s="24"/>
      <c r="F317" s="24"/>
      <c r="G317" s="24"/>
      <c r="H317" s="117"/>
      <c r="I317" s="117"/>
      <c r="J317" s="24"/>
      <c r="K317" s="24"/>
      <c r="L317" s="24"/>
      <c r="M317" s="24"/>
      <c r="N317" s="24"/>
      <c r="O317" s="24"/>
      <c r="P317" s="24"/>
      <c r="Q317" s="24"/>
      <c r="R317" s="24"/>
      <c r="S317" s="24"/>
      <c r="T317" s="24"/>
      <c r="U317" s="24"/>
      <c r="V317" s="24"/>
      <c r="W317" s="24"/>
      <c r="X317" s="24"/>
      <c r="Y317" s="24"/>
      <c r="Z317" s="24"/>
      <c r="AA317" s="24"/>
      <c r="AB317" s="24"/>
      <c r="AC317" s="24"/>
      <c r="AD317" s="24"/>
      <c r="AE317" s="24"/>
    </row>
    <row r="318" spans="1:31" ht="12.9">
      <c r="A318" s="24"/>
      <c r="B318" s="143"/>
      <c r="C318" s="24"/>
      <c r="D318" s="24"/>
      <c r="E318" s="24"/>
      <c r="F318" s="24"/>
      <c r="G318" s="24"/>
      <c r="H318" s="117"/>
      <c r="I318" s="117"/>
      <c r="J318" s="24"/>
      <c r="K318" s="24"/>
      <c r="L318" s="24"/>
      <c r="M318" s="24"/>
      <c r="N318" s="24"/>
      <c r="O318" s="24"/>
      <c r="P318" s="24"/>
      <c r="Q318" s="24"/>
      <c r="R318" s="24"/>
      <c r="S318" s="24"/>
      <c r="T318" s="24"/>
      <c r="U318" s="24"/>
      <c r="V318" s="24"/>
      <c r="W318" s="24"/>
      <c r="X318" s="24"/>
      <c r="Y318" s="24"/>
      <c r="Z318" s="24"/>
      <c r="AA318" s="24"/>
      <c r="AB318" s="24"/>
      <c r="AC318" s="24"/>
      <c r="AD318" s="24"/>
      <c r="AE318" s="24"/>
    </row>
    <row r="319" spans="1:31" ht="12.9">
      <c r="A319" s="24"/>
      <c r="B319" s="143"/>
      <c r="C319" s="24"/>
      <c r="D319" s="24"/>
      <c r="E319" s="24"/>
      <c r="F319" s="24"/>
      <c r="G319" s="24"/>
      <c r="H319" s="117"/>
      <c r="I319" s="117"/>
      <c r="J319" s="24"/>
      <c r="K319" s="24"/>
      <c r="L319" s="24"/>
      <c r="M319" s="24"/>
      <c r="N319" s="24"/>
      <c r="O319" s="24"/>
      <c r="P319" s="24"/>
      <c r="Q319" s="24"/>
      <c r="R319" s="24"/>
      <c r="S319" s="24"/>
      <c r="T319" s="24"/>
      <c r="U319" s="24"/>
      <c r="V319" s="24"/>
      <c r="W319" s="24"/>
      <c r="X319" s="24"/>
      <c r="Y319" s="24"/>
      <c r="Z319" s="24"/>
      <c r="AA319" s="24"/>
      <c r="AB319" s="24"/>
      <c r="AC319" s="24"/>
      <c r="AD319" s="24"/>
      <c r="AE319" s="24"/>
    </row>
    <row r="320" spans="1:31" ht="12.9">
      <c r="A320" s="24"/>
      <c r="B320" s="143"/>
      <c r="C320" s="24"/>
      <c r="D320" s="24"/>
      <c r="E320" s="24"/>
      <c r="F320" s="24"/>
      <c r="G320" s="24"/>
      <c r="H320" s="117"/>
      <c r="I320" s="117"/>
      <c r="J320" s="24"/>
      <c r="K320" s="24"/>
      <c r="L320" s="24"/>
      <c r="M320" s="24"/>
      <c r="N320" s="24"/>
      <c r="O320" s="24"/>
      <c r="P320" s="24"/>
      <c r="Q320" s="24"/>
      <c r="R320" s="24"/>
      <c r="S320" s="24"/>
      <c r="T320" s="24"/>
      <c r="U320" s="24"/>
      <c r="V320" s="24"/>
      <c r="W320" s="24"/>
      <c r="X320" s="24"/>
      <c r="Y320" s="24"/>
      <c r="Z320" s="24"/>
      <c r="AA320" s="24"/>
      <c r="AB320" s="24"/>
      <c r="AC320" s="24"/>
      <c r="AD320" s="24"/>
      <c r="AE320" s="24"/>
    </row>
    <row r="321" spans="1:31" ht="12.9">
      <c r="A321" s="24"/>
      <c r="B321" s="143"/>
      <c r="C321" s="24"/>
      <c r="D321" s="24"/>
      <c r="E321" s="24"/>
      <c r="F321" s="24"/>
      <c r="G321" s="24"/>
      <c r="H321" s="117"/>
      <c r="I321" s="117"/>
      <c r="J321" s="24"/>
      <c r="K321" s="24"/>
      <c r="L321" s="24"/>
      <c r="M321" s="24"/>
      <c r="N321" s="24"/>
      <c r="O321" s="24"/>
      <c r="P321" s="24"/>
      <c r="Q321" s="24"/>
      <c r="R321" s="24"/>
      <c r="S321" s="24"/>
      <c r="T321" s="24"/>
      <c r="U321" s="24"/>
      <c r="V321" s="24"/>
      <c r="W321" s="24"/>
      <c r="X321" s="24"/>
      <c r="Y321" s="24"/>
      <c r="Z321" s="24"/>
      <c r="AA321" s="24"/>
      <c r="AB321" s="24"/>
      <c r="AC321" s="24"/>
      <c r="AD321" s="24"/>
      <c r="AE321" s="24"/>
    </row>
    <row r="322" spans="1:31" ht="12.9">
      <c r="A322" s="24"/>
      <c r="B322" s="143"/>
      <c r="C322" s="24"/>
      <c r="D322" s="24"/>
      <c r="E322" s="24"/>
      <c r="F322" s="24"/>
      <c r="G322" s="24"/>
      <c r="H322" s="117"/>
      <c r="I322" s="117"/>
      <c r="J322" s="24"/>
      <c r="K322" s="24"/>
      <c r="L322" s="24"/>
      <c r="M322" s="24"/>
      <c r="N322" s="24"/>
      <c r="O322" s="24"/>
      <c r="P322" s="24"/>
      <c r="Q322" s="24"/>
      <c r="R322" s="24"/>
      <c r="S322" s="24"/>
      <c r="T322" s="24"/>
      <c r="U322" s="24"/>
      <c r="V322" s="24"/>
      <c r="W322" s="24"/>
      <c r="X322" s="24"/>
      <c r="Y322" s="24"/>
      <c r="Z322" s="24"/>
      <c r="AA322" s="24"/>
      <c r="AB322" s="24"/>
      <c r="AC322" s="24"/>
      <c r="AD322" s="24"/>
      <c r="AE322" s="24"/>
    </row>
    <row r="323" spans="1:31" ht="12.9">
      <c r="A323" s="24"/>
      <c r="B323" s="143"/>
      <c r="C323" s="24"/>
      <c r="D323" s="24"/>
      <c r="E323" s="24"/>
      <c r="F323" s="24"/>
      <c r="G323" s="24"/>
      <c r="H323" s="117"/>
      <c r="I323" s="117"/>
      <c r="J323" s="24"/>
      <c r="K323" s="24"/>
      <c r="L323" s="24"/>
      <c r="M323" s="24"/>
      <c r="N323" s="24"/>
      <c r="O323" s="24"/>
      <c r="P323" s="24"/>
      <c r="Q323" s="24"/>
      <c r="R323" s="24"/>
      <c r="S323" s="24"/>
      <c r="T323" s="24"/>
      <c r="U323" s="24"/>
      <c r="V323" s="24"/>
      <c r="W323" s="24"/>
      <c r="X323" s="24"/>
      <c r="Y323" s="24"/>
      <c r="Z323" s="24"/>
      <c r="AA323" s="24"/>
      <c r="AB323" s="24"/>
      <c r="AC323" s="24"/>
      <c r="AD323" s="24"/>
      <c r="AE323" s="24"/>
    </row>
    <row r="324" spans="1:31" ht="12.9">
      <c r="A324" s="24"/>
      <c r="B324" s="143"/>
      <c r="C324" s="24"/>
      <c r="D324" s="24"/>
      <c r="E324" s="24"/>
      <c r="F324" s="24"/>
      <c r="G324" s="24"/>
      <c r="H324" s="117"/>
      <c r="I324" s="117"/>
      <c r="J324" s="24"/>
      <c r="K324" s="24"/>
      <c r="L324" s="24"/>
      <c r="M324" s="24"/>
      <c r="N324" s="24"/>
      <c r="O324" s="24"/>
      <c r="P324" s="24"/>
      <c r="Q324" s="24"/>
      <c r="R324" s="24"/>
      <c r="S324" s="24"/>
      <c r="T324" s="24"/>
      <c r="U324" s="24"/>
      <c r="V324" s="24"/>
      <c r="W324" s="24"/>
      <c r="X324" s="24"/>
      <c r="Y324" s="24"/>
      <c r="Z324" s="24"/>
      <c r="AA324" s="24"/>
      <c r="AB324" s="24"/>
      <c r="AC324" s="24"/>
      <c r="AD324" s="24"/>
      <c r="AE324" s="24"/>
    </row>
    <row r="325" spans="1:31" ht="12.9">
      <c r="A325" s="24"/>
      <c r="B325" s="143"/>
      <c r="C325" s="24"/>
      <c r="D325" s="24"/>
      <c r="E325" s="24"/>
      <c r="F325" s="24"/>
      <c r="G325" s="24"/>
      <c r="H325" s="117"/>
      <c r="I325" s="117"/>
      <c r="J325" s="24"/>
      <c r="K325" s="24"/>
      <c r="L325" s="24"/>
      <c r="M325" s="24"/>
      <c r="N325" s="24"/>
      <c r="O325" s="24"/>
      <c r="P325" s="24"/>
      <c r="Q325" s="24"/>
      <c r="R325" s="24"/>
      <c r="S325" s="24"/>
      <c r="T325" s="24"/>
      <c r="U325" s="24"/>
      <c r="V325" s="24"/>
      <c r="W325" s="24"/>
      <c r="X325" s="24"/>
      <c r="Y325" s="24"/>
      <c r="Z325" s="24"/>
      <c r="AA325" s="24"/>
      <c r="AB325" s="24"/>
      <c r="AC325" s="24"/>
      <c r="AD325" s="24"/>
      <c r="AE325" s="24"/>
    </row>
    <row r="326" spans="1:31" ht="12.9">
      <c r="A326" s="24"/>
      <c r="B326" s="143"/>
      <c r="C326" s="24"/>
      <c r="D326" s="24"/>
      <c r="E326" s="24"/>
      <c r="F326" s="24"/>
      <c r="G326" s="24"/>
      <c r="H326" s="117"/>
      <c r="I326" s="117"/>
      <c r="J326" s="24"/>
      <c r="K326" s="24"/>
      <c r="L326" s="24"/>
      <c r="M326" s="24"/>
      <c r="N326" s="24"/>
      <c r="O326" s="24"/>
      <c r="P326" s="24"/>
      <c r="Q326" s="24"/>
      <c r="R326" s="24"/>
      <c r="S326" s="24"/>
      <c r="T326" s="24"/>
      <c r="U326" s="24"/>
      <c r="V326" s="24"/>
      <c r="W326" s="24"/>
      <c r="X326" s="24"/>
      <c r="Y326" s="24"/>
      <c r="Z326" s="24"/>
      <c r="AA326" s="24"/>
      <c r="AB326" s="24"/>
      <c r="AC326" s="24"/>
      <c r="AD326" s="24"/>
      <c r="AE326" s="24"/>
    </row>
    <row r="327" spans="1:31" ht="12.9">
      <c r="A327" s="24"/>
      <c r="B327" s="143"/>
      <c r="C327" s="24"/>
      <c r="D327" s="24"/>
      <c r="E327" s="24"/>
      <c r="F327" s="24"/>
      <c r="G327" s="24"/>
      <c r="H327" s="117"/>
      <c r="I327" s="117"/>
      <c r="J327" s="24"/>
      <c r="K327" s="24"/>
      <c r="L327" s="24"/>
      <c r="M327" s="24"/>
      <c r="N327" s="24"/>
      <c r="O327" s="24"/>
      <c r="P327" s="24"/>
      <c r="Q327" s="24"/>
      <c r="R327" s="24"/>
      <c r="S327" s="24"/>
      <c r="T327" s="24"/>
      <c r="U327" s="24"/>
      <c r="V327" s="24"/>
      <c r="W327" s="24"/>
      <c r="X327" s="24"/>
      <c r="Y327" s="24"/>
      <c r="Z327" s="24"/>
      <c r="AA327" s="24"/>
      <c r="AB327" s="24"/>
      <c r="AC327" s="24"/>
      <c r="AD327" s="24"/>
      <c r="AE327" s="24"/>
    </row>
    <row r="328" spans="1:31" ht="12.9">
      <c r="A328" s="24"/>
      <c r="B328" s="143"/>
      <c r="C328" s="24"/>
      <c r="D328" s="24"/>
      <c r="E328" s="24"/>
      <c r="F328" s="24"/>
      <c r="G328" s="24"/>
      <c r="H328" s="117"/>
      <c r="I328" s="117"/>
      <c r="J328" s="24"/>
      <c r="K328" s="24"/>
      <c r="L328" s="24"/>
      <c r="M328" s="24"/>
      <c r="N328" s="24"/>
      <c r="O328" s="24"/>
      <c r="P328" s="24"/>
      <c r="Q328" s="24"/>
      <c r="R328" s="24"/>
      <c r="S328" s="24"/>
      <c r="T328" s="24"/>
      <c r="U328" s="24"/>
      <c r="V328" s="24"/>
      <c r="W328" s="24"/>
      <c r="X328" s="24"/>
      <c r="Y328" s="24"/>
      <c r="Z328" s="24"/>
      <c r="AA328" s="24"/>
      <c r="AB328" s="24"/>
      <c r="AC328" s="24"/>
      <c r="AD328" s="24"/>
      <c r="AE328" s="24"/>
    </row>
    <row r="329" spans="1:31" ht="12.9">
      <c r="A329" s="24"/>
      <c r="B329" s="143"/>
      <c r="C329" s="24"/>
      <c r="D329" s="24"/>
      <c r="E329" s="24"/>
      <c r="F329" s="24"/>
      <c r="G329" s="24"/>
      <c r="H329" s="117"/>
      <c r="I329" s="117"/>
      <c r="J329" s="24"/>
      <c r="K329" s="24"/>
      <c r="L329" s="24"/>
      <c r="M329" s="24"/>
      <c r="N329" s="24"/>
      <c r="O329" s="24"/>
      <c r="P329" s="24"/>
      <c r="Q329" s="24"/>
      <c r="R329" s="24"/>
      <c r="S329" s="24"/>
      <c r="T329" s="24"/>
      <c r="U329" s="24"/>
      <c r="V329" s="24"/>
      <c r="W329" s="24"/>
      <c r="X329" s="24"/>
      <c r="Y329" s="24"/>
      <c r="Z329" s="24"/>
      <c r="AA329" s="24"/>
      <c r="AB329" s="24"/>
      <c r="AC329" s="24"/>
      <c r="AD329" s="24"/>
      <c r="AE329" s="24"/>
    </row>
    <row r="330" spans="1:31" ht="12.9">
      <c r="A330" s="24"/>
      <c r="B330" s="143"/>
      <c r="C330" s="24"/>
      <c r="D330" s="24"/>
      <c r="E330" s="24"/>
      <c r="F330" s="24"/>
      <c r="G330" s="24"/>
      <c r="H330" s="117"/>
      <c r="I330" s="117"/>
      <c r="J330" s="24"/>
      <c r="K330" s="24"/>
      <c r="L330" s="24"/>
      <c r="M330" s="24"/>
      <c r="N330" s="24"/>
      <c r="O330" s="24"/>
      <c r="P330" s="24"/>
      <c r="Q330" s="24"/>
      <c r="R330" s="24"/>
      <c r="S330" s="24"/>
      <c r="T330" s="24"/>
      <c r="U330" s="24"/>
      <c r="V330" s="24"/>
      <c r="W330" s="24"/>
      <c r="X330" s="24"/>
      <c r="Y330" s="24"/>
      <c r="Z330" s="24"/>
      <c r="AA330" s="24"/>
      <c r="AB330" s="24"/>
      <c r="AC330" s="24"/>
      <c r="AD330" s="24"/>
      <c r="AE330" s="24"/>
    </row>
    <row r="331" spans="1:31" ht="12.9">
      <c r="A331" s="24"/>
      <c r="B331" s="143"/>
      <c r="C331" s="24"/>
      <c r="D331" s="24"/>
      <c r="E331" s="24"/>
      <c r="F331" s="24"/>
      <c r="G331" s="24"/>
      <c r="H331" s="117"/>
      <c r="I331" s="117"/>
      <c r="J331" s="24"/>
      <c r="K331" s="24"/>
      <c r="L331" s="24"/>
      <c r="M331" s="24"/>
      <c r="N331" s="24"/>
      <c r="O331" s="24"/>
      <c r="P331" s="24"/>
      <c r="Q331" s="24"/>
      <c r="R331" s="24"/>
      <c r="S331" s="24"/>
      <c r="T331" s="24"/>
      <c r="U331" s="24"/>
      <c r="V331" s="24"/>
      <c r="W331" s="24"/>
      <c r="X331" s="24"/>
      <c r="Y331" s="24"/>
      <c r="Z331" s="24"/>
      <c r="AA331" s="24"/>
      <c r="AB331" s="24"/>
      <c r="AC331" s="24"/>
      <c r="AD331" s="24"/>
      <c r="AE331" s="24"/>
    </row>
    <row r="332" spans="1:31" ht="12.9">
      <c r="A332" s="24"/>
      <c r="B332" s="143"/>
      <c r="C332" s="24"/>
      <c r="D332" s="24"/>
      <c r="E332" s="24"/>
      <c r="F332" s="24"/>
      <c r="G332" s="24"/>
      <c r="H332" s="117"/>
      <c r="I332" s="117"/>
      <c r="J332" s="24"/>
      <c r="K332" s="24"/>
      <c r="L332" s="24"/>
      <c r="M332" s="24"/>
      <c r="N332" s="24"/>
      <c r="O332" s="24"/>
      <c r="P332" s="24"/>
      <c r="Q332" s="24"/>
      <c r="R332" s="24"/>
      <c r="S332" s="24"/>
      <c r="T332" s="24"/>
      <c r="U332" s="24"/>
      <c r="V332" s="24"/>
      <c r="W332" s="24"/>
      <c r="X332" s="24"/>
      <c r="Y332" s="24"/>
      <c r="Z332" s="24"/>
      <c r="AA332" s="24"/>
      <c r="AB332" s="24"/>
      <c r="AC332" s="24"/>
      <c r="AD332" s="24"/>
      <c r="AE332" s="24"/>
    </row>
    <row r="333" spans="1:31" ht="12.9">
      <c r="A333" s="24"/>
      <c r="B333" s="143"/>
      <c r="C333" s="24"/>
      <c r="D333" s="24"/>
      <c r="E333" s="24"/>
      <c r="F333" s="24"/>
      <c r="G333" s="24"/>
      <c r="H333" s="117"/>
      <c r="I333" s="117"/>
      <c r="J333" s="24"/>
      <c r="K333" s="24"/>
      <c r="L333" s="24"/>
      <c r="M333" s="24"/>
      <c r="N333" s="24"/>
      <c r="O333" s="24"/>
      <c r="P333" s="24"/>
      <c r="Q333" s="24"/>
      <c r="R333" s="24"/>
      <c r="S333" s="24"/>
      <c r="T333" s="24"/>
      <c r="U333" s="24"/>
      <c r="V333" s="24"/>
      <c r="W333" s="24"/>
      <c r="X333" s="24"/>
      <c r="Y333" s="24"/>
      <c r="Z333" s="24"/>
      <c r="AA333" s="24"/>
      <c r="AB333" s="24"/>
      <c r="AC333" s="24"/>
      <c r="AD333" s="24"/>
      <c r="AE333" s="24"/>
    </row>
    <row r="334" spans="1:31" ht="12.9">
      <c r="A334" s="24"/>
      <c r="B334" s="143"/>
      <c r="C334" s="24"/>
      <c r="D334" s="24"/>
      <c r="E334" s="24"/>
      <c r="F334" s="24"/>
      <c r="G334" s="24"/>
      <c r="H334" s="117"/>
      <c r="I334" s="117"/>
      <c r="J334" s="24"/>
      <c r="K334" s="24"/>
      <c r="L334" s="24"/>
      <c r="M334" s="24"/>
      <c r="N334" s="24"/>
      <c r="O334" s="24"/>
      <c r="P334" s="24"/>
      <c r="Q334" s="24"/>
      <c r="R334" s="24"/>
      <c r="S334" s="24"/>
      <c r="T334" s="24"/>
      <c r="U334" s="24"/>
      <c r="V334" s="24"/>
      <c r="W334" s="24"/>
      <c r="X334" s="24"/>
      <c r="Y334" s="24"/>
      <c r="Z334" s="24"/>
      <c r="AA334" s="24"/>
      <c r="AB334" s="24"/>
      <c r="AC334" s="24"/>
      <c r="AD334" s="24"/>
      <c r="AE334" s="24"/>
    </row>
    <row r="335" spans="1:31" ht="12.9">
      <c r="A335" s="24"/>
      <c r="B335" s="143"/>
      <c r="C335" s="24"/>
      <c r="D335" s="24"/>
      <c r="E335" s="24"/>
      <c r="F335" s="24"/>
      <c r="G335" s="24"/>
      <c r="H335" s="117"/>
      <c r="I335" s="117"/>
      <c r="J335" s="24"/>
      <c r="K335" s="24"/>
      <c r="L335" s="24"/>
      <c r="M335" s="24"/>
      <c r="N335" s="24"/>
      <c r="O335" s="24"/>
      <c r="P335" s="24"/>
      <c r="Q335" s="24"/>
      <c r="R335" s="24"/>
      <c r="S335" s="24"/>
      <c r="T335" s="24"/>
      <c r="U335" s="24"/>
      <c r="V335" s="24"/>
      <c r="W335" s="24"/>
      <c r="X335" s="24"/>
      <c r="Y335" s="24"/>
      <c r="Z335" s="24"/>
      <c r="AA335" s="24"/>
      <c r="AB335" s="24"/>
      <c r="AC335" s="24"/>
      <c r="AD335" s="24"/>
      <c r="AE335" s="24"/>
    </row>
    <row r="336" spans="1:31" ht="12.9">
      <c r="A336" s="24"/>
      <c r="B336" s="143"/>
      <c r="C336" s="24"/>
      <c r="D336" s="24"/>
      <c r="E336" s="24"/>
      <c r="F336" s="24"/>
      <c r="G336" s="24"/>
      <c r="H336" s="117"/>
      <c r="I336" s="117"/>
      <c r="J336" s="24"/>
      <c r="K336" s="24"/>
      <c r="L336" s="24"/>
      <c r="M336" s="24"/>
      <c r="N336" s="24"/>
      <c r="O336" s="24"/>
      <c r="P336" s="24"/>
      <c r="Q336" s="24"/>
      <c r="R336" s="24"/>
      <c r="S336" s="24"/>
      <c r="T336" s="24"/>
      <c r="U336" s="24"/>
      <c r="V336" s="24"/>
      <c r="W336" s="24"/>
      <c r="X336" s="24"/>
      <c r="Y336" s="24"/>
      <c r="Z336" s="24"/>
      <c r="AA336" s="24"/>
      <c r="AB336" s="24"/>
      <c r="AC336" s="24"/>
      <c r="AD336" s="24"/>
      <c r="AE336" s="24"/>
    </row>
    <row r="337" spans="1:31" ht="12.9">
      <c r="A337" s="24"/>
      <c r="B337" s="143"/>
      <c r="C337" s="24"/>
      <c r="D337" s="24"/>
      <c r="E337" s="24"/>
      <c r="F337" s="24"/>
      <c r="G337" s="24"/>
      <c r="H337" s="117"/>
      <c r="I337" s="117"/>
      <c r="J337" s="24"/>
      <c r="K337" s="24"/>
      <c r="L337" s="24"/>
      <c r="M337" s="24"/>
      <c r="N337" s="24"/>
      <c r="O337" s="24"/>
      <c r="P337" s="24"/>
      <c r="Q337" s="24"/>
      <c r="R337" s="24"/>
      <c r="S337" s="24"/>
      <c r="T337" s="24"/>
      <c r="U337" s="24"/>
      <c r="V337" s="24"/>
      <c r="W337" s="24"/>
      <c r="X337" s="24"/>
      <c r="Y337" s="24"/>
      <c r="Z337" s="24"/>
      <c r="AA337" s="24"/>
      <c r="AB337" s="24"/>
      <c r="AC337" s="24"/>
      <c r="AD337" s="24"/>
      <c r="AE337" s="24"/>
    </row>
    <row r="338" spans="1:31" ht="12.9">
      <c r="A338" s="24"/>
      <c r="B338" s="143"/>
      <c r="C338" s="24"/>
      <c r="D338" s="24"/>
      <c r="E338" s="24"/>
      <c r="F338" s="24"/>
      <c r="G338" s="24"/>
      <c r="H338" s="117"/>
      <c r="I338" s="117"/>
      <c r="J338" s="24"/>
      <c r="K338" s="24"/>
      <c r="L338" s="24"/>
      <c r="M338" s="24"/>
      <c r="N338" s="24"/>
      <c r="O338" s="24"/>
      <c r="P338" s="24"/>
      <c r="Q338" s="24"/>
      <c r="R338" s="24"/>
      <c r="S338" s="24"/>
      <c r="T338" s="24"/>
      <c r="U338" s="24"/>
      <c r="V338" s="24"/>
      <c r="W338" s="24"/>
      <c r="X338" s="24"/>
      <c r="Y338" s="24"/>
      <c r="Z338" s="24"/>
      <c r="AA338" s="24"/>
      <c r="AB338" s="24"/>
      <c r="AC338" s="24"/>
      <c r="AD338" s="24"/>
      <c r="AE338" s="24"/>
    </row>
    <row r="339" spans="1:31" ht="12.9">
      <c r="A339" s="24"/>
      <c r="B339" s="143"/>
      <c r="C339" s="24"/>
      <c r="D339" s="24"/>
      <c r="E339" s="24"/>
      <c r="F339" s="24"/>
      <c r="G339" s="24"/>
      <c r="H339" s="117"/>
      <c r="I339" s="117"/>
      <c r="J339" s="24"/>
      <c r="K339" s="24"/>
      <c r="L339" s="24"/>
      <c r="M339" s="24"/>
      <c r="N339" s="24"/>
      <c r="O339" s="24"/>
      <c r="P339" s="24"/>
      <c r="Q339" s="24"/>
      <c r="R339" s="24"/>
      <c r="S339" s="24"/>
      <c r="T339" s="24"/>
      <c r="U339" s="24"/>
      <c r="V339" s="24"/>
      <c r="W339" s="24"/>
      <c r="X339" s="24"/>
      <c r="Y339" s="24"/>
      <c r="Z339" s="24"/>
      <c r="AA339" s="24"/>
      <c r="AB339" s="24"/>
      <c r="AC339" s="24"/>
      <c r="AD339" s="24"/>
      <c r="AE339" s="24"/>
    </row>
    <row r="340" spans="1:31" ht="12.9">
      <c r="A340" s="24"/>
      <c r="B340" s="143"/>
      <c r="C340" s="24"/>
      <c r="D340" s="24"/>
      <c r="E340" s="24"/>
      <c r="F340" s="24"/>
      <c r="G340" s="24"/>
      <c r="H340" s="117"/>
      <c r="I340" s="117"/>
      <c r="J340" s="24"/>
      <c r="K340" s="24"/>
      <c r="L340" s="24"/>
      <c r="M340" s="24"/>
      <c r="N340" s="24"/>
      <c r="O340" s="24"/>
      <c r="P340" s="24"/>
      <c r="Q340" s="24"/>
      <c r="R340" s="24"/>
      <c r="S340" s="24"/>
      <c r="T340" s="24"/>
      <c r="U340" s="24"/>
      <c r="V340" s="24"/>
      <c r="W340" s="24"/>
      <c r="X340" s="24"/>
      <c r="Y340" s="24"/>
      <c r="Z340" s="24"/>
      <c r="AA340" s="24"/>
      <c r="AB340" s="24"/>
      <c r="AC340" s="24"/>
      <c r="AD340" s="24"/>
      <c r="AE340" s="24"/>
    </row>
    <row r="341" spans="1:31" ht="12.9">
      <c r="A341" s="24"/>
      <c r="B341" s="143"/>
      <c r="C341" s="24"/>
      <c r="D341" s="24"/>
      <c r="E341" s="24"/>
      <c r="F341" s="24"/>
      <c r="G341" s="24"/>
      <c r="H341" s="117"/>
      <c r="I341" s="117"/>
      <c r="J341" s="24"/>
      <c r="K341" s="24"/>
      <c r="L341" s="24"/>
      <c r="M341" s="24"/>
      <c r="N341" s="24"/>
      <c r="O341" s="24"/>
      <c r="P341" s="24"/>
      <c r="Q341" s="24"/>
      <c r="R341" s="24"/>
      <c r="S341" s="24"/>
      <c r="T341" s="24"/>
      <c r="U341" s="24"/>
      <c r="V341" s="24"/>
      <c r="W341" s="24"/>
      <c r="X341" s="24"/>
      <c r="Y341" s="24"/>
      <c r="Z341" s="24"/>
      <c r="AA341" s="24"/>
      <c r="AB341" s="24"/>
      <c r="AC341" s="24"/>
      <c r="AD341" s="24"/>
      <c r="AE341" s="24"/>
    </row>
    <row r="342" spans="1:31" ht="12.9">
      <c r="A342" s="24"/>
      <c r="B342" s="143"/>
      <c r="C342" s="24"/>
      <c r="D342" s="24"/>
      <c r="E342" s="24"/>
      <c r="F342" s="24"/>
      <c r="G342" s="24"/>
      <c r="H342" s="117"/>
      <c r="I342" s="117"/>
      <c r="J342" s="24"/>
      <c r="K342" s="24"/>
      <c r="L342" s="24"/>
      <c r="M342" s="24"/>
      <c r="N342" s="24"/>
      <c r="O342" s="24"/>
      <c r="P342" s="24"/>
      <c r="Q342" s="24"/>
      <c r="R342" s="24"/>
      <c r="S342" s="24"/>
      <c r="T342" s="24"/>
      <c r="U342" s="24"/>
      <c r="V342" s="24"/>
      <c r="W342" s="24"/>
      <c r="X342" s="24"/>
      <c r="Y342" s="24"/>
      <c r="Z342" s="24"/>
      <c r="AA342" s="24"/>
      <c r="AB342" s="24"/>
      <c r="AC342" s="24"/>
      <c r="AD342" s="24"/>
      <c r="AE342" s="24"/>
    </row>
    <row r="343" spans="1:31" ht="12.9">
      <c r="A343" s="24"/>
      <c r="B343" s="143"/>
      <c r="C343" s="24"/>
      <c r="D343" s="24"/>
      <c r="E343" s="24"/>
      <c r="F343" s="24"/>
      <c r="G343" s="24"/>
      <c r="H343" s="117"/>
      <c r="I343" s="117"/>
      <c r="J343" s="24"/>
      <c r="K343" s="24"/>
      <c r="L343" s="24"/>
      <c r="M343" s="24"/>
      <c r="N343" s="24"/>
      <c r="O343" s="24"/>
      <c r="P343" s="24"/>
      <c r="Q343" s="24"/>
      <c r="R343" s="24"/>
      <c r="S343" s="24"/>
      <c r="T343" s="24"/>
      <c r="U343" s="24"/>
      <c r="V343" s="24"/>
      <c r="W343" s="24"/>
      <c r="X343" s="24"/>
      <c r="Y343" s="24"/>
      <c r="Z343" s="24"/>
      <c r="AA343" s="24"/>
      <c r="AB343" s="24"/>
      <c r="AC343" s="24"/>
      <c r="AD343" s="24"/>
      <c r="AE343" s="24"/>
    </row>
    <row r="344" spans="1:31" ht="12.9">
      <c r="A344" s="24"/>
      <c r="B344" s="143"/>
      <c r="C344" s="24"/>
      <c r="D344" s="24"/>
      <c r="E344" s="24"/>
      <c r="F344" s="24"/>
      <c r="G344" s="24"/>
      <c r="H344" s="117"/>
      <c r="I344" s="117"/>
      <c r="J344" s="24"/>
      <c r="K344" s="24"/>
      <c r="L344" s="24"/>
      <c r="M344" s="24"/>
      <c r="N344" s="24"/>
      <c r="O344" s="24"/>
      <c r="P344" s="24"/>
      <c r="Q344" s="24"/>
      <c r="R344" s="24"/>
      <c r="S344" s="24"/>
      <c r="T344" s="24"/>
      <c r="U344" s="24"/>
      <c r="V344" s="24"/>
      <c r="W344" s="24"/>
      <c r="X344" s="24"/>
      <c r="Y344" s="24"/>
      <c r="Z344" s="24"/>
      <c r="AA344" s="24"/>
      <c r="AB344" s="24"/>
      <c r="AC344" s="24"/>
      <c r="AD344" s="24"/>
      <c r="AE344" s="24"/>
    </row>
    <row r="345" spans="1:31" ht="12.9">
      <c r="A345" s="24"/>
      <c r="B345" s="143"/>
      <c r="C345" s="24"/>
      <c r="D345" s="24"/>
      <c r="E345" s="24"/>
      <c r="F345" s="24"/>
      <c r="G345" s="24"/>
      <c r="H345" s="117"/>
      <c r="I345" s="117"/>
      <c r="J345" s="24"/>
      <c r="K345" s="24"/>
      <c r="L345" s="24"/>
      <c r="M345" s="24"/>
      <c r="N345" s="24"/>
      <c r="O345" s="24"/>
      <c r="P345" s="24"/>
      <c r="Q345" s="24"/>
      <c r="R345" s="24"/>
      <c r="S345" s="24"/>
      <c r="T345" s="24"/>
      <c r="U345" s="24"/>
      <c r="V345" s="24"/>
      <c r="W345" s="24"/>
      <c r="X345" s="24"/>
      <c r="Y345" s="24"/>
      <c r="Z345" s="24"/>
      <c r="AA345" s="24"/>
      <c r="AB345" s="24"/>
      <c r="AC345" s="24"/>
      <c r="AD345" s="24"/>
      <c r="AE345" s="24"/>
    </row>
    <row r="346" spans="1:31" ht="12.9">
      <c r="A346" s="24"/>
      <c r="B346" s="143"/>
      <c r="C346" s="24"/>
      <c r="D346" s="24"/>
      <c r="E346" s="24"/>
      <c r="F346" s="24"/>
      <c r="G346" s="24"/>
      <c r="H346" s="117"/>
      <c r="I346" s="117"/>
      <c r="J346" s="24"/>
      <c r="K346" s="24"/>
      <c r="L346" s="24"/>
      <c r="M346" s="24"/>
      <c r="N346" s="24"/>
      <c r="O346" s="24"/>
      <c r="P346" s="24"/>
      <c r="Q346" s="24"/>
      <c r="R346" s="24"/>
      <c r="S346" s="24"/>
      <c r="T346" s="24"/>
      <c r="U346" s="24"/>
      <c r="V346" s="24"/>
      <c r="W346" s="24"/>
      <c r="X346" s="24"/>
      <c r="Y346" s="24"/>
      <c r="Z346" s="24"/>
      <c r="AA346" s="24"/>
      <c r="AB346" s="24"/>
      <c r="AC346" s="24"/>
      <c r="AD346" s="24"/>
      <c r="AE346" s="24"/>
    </row>
    <row r="347" spans="1:31" ht="12.9">
      <c r="A347" s="24"/>
      <c r="B347" s="143"/>
      <c r="C347" s="24"/>
      <c r="D347" s="24"/>
      <c r="E347" s="24"/>
      <c r="F347" s="24"/>
      <c r="G347" s="24"/>
      <c r="H347" s="117"/>
      <c r="I347" s="117"/>
      <c r="J347" s="24"/>
      <c r="K347" s="24"/>
      <c r="L347" s="24"/>
      <c r="M347" s="24"/>
      <c r="N347" s="24"/>
      <c r="O347" s="24"/>
      <c r="P347" s="24"/>
      <c r="Q347" s="24"/>
      <c r="R347" s="24"/>
      <c r="S347" s="24"/>
      <c r="T347" s="24"/>
      <c r="U347" s="24"/>
      <c r="V347" s="24"/>
      <c r="W347" s="24"/>
      <c r="X347" s="24"/>
      <c r="Y347" s="24"/>
      <c r="Z347" s="24"/>
      <c r="AA347" s="24"/>
      <c r="AB347" s="24"/>
      <c r="AC347" s="24"/>
      <c r="AD347" s="24"/>
      <c r="AE347" s="24"/>
    </row>
    <row r="348" spans="1:31" ht="12.9">
      <c r="A348" s="24"/>
      <c r="B348" s="143"/>
      <c r="C348" s="24"/>
      <c r="D348" s="24"/>
      <c r="E348" s="24"/>
      <c r="F348" s="24"/>
      <c r="G348" s="24"/>
      <c r="H348" s="117"/>
      <c r="I348" s="117"/>
      <c r="J348" s="24"/>
      <c r="K348" s="24"/>
      <c r="L348" s="24"/>
      <c r="M348" s="24"/>
      <c r="N348" s="24"/>
      <c r="O348" s="24"/>
      <c r="P348" s="24"/>
      <c r="Q348" s="24"/>
      <c r="R348" s="24"/>
      <c r="S348" s="24"/>
      <c r="T348" s="24"/>
      <c r="U348" s="24"/>
      <c r="V348" s="24"/>
      <c r="W348" s="24"/>
      <c r="X348" s="24"/>
      <c r="Y348" s="24"/>
      <c r="Z348" s="24"/>
      <c r="AA348" s="24"/>
      <c r="AB348" s="24"/>
      <c r="AC348" s="24"/>
      <c r="AD348" s="24"/>
      <c r="AE348" s="24"/>
    </row>
    <row r="349" spans="1:31" ht="12.9">
      <c r="A349" s="24"/>
      <c r="B349" s="143"/>
      <c r="C349" s="24"/>
      <c r="D349" s="24"/>
      <c r="E349" s="24"/>
      <c r="F349" s="24"/>
      <c r="G349" s="24"/>
      <c r="H349" s="117"/>
      <c r="I349" s="117"/>
      <c r="J349" s="24"/>
      <c r="K349" s="24"/>
      <c r="L349" s="24"/>
      <c r="M349" s="24"/>
      <c r="N349" s="24"/>
      <c r="O349" s="24"/>
      <c r="P349" s="24"/>
      <c r="Q349" s="24"/>
      <c r="R349" s="24"/>
      <c r="S349" s="24"/>
      <c r="T349" s="24"/>
      <c r="U349" s="24"/>
      <c r="V349" s="24"/>
      <c r="W349" s="24"/>
      <c r="X349" s="24"/>
      <c r="Y349" s="24"/>
      <c r="Z349" s="24"/>
      <c r="AA349" s="24"/>
      <c r="AB349" s="24"/>
      <c r="AC349" s="24"/>
      <c r="AD349" s="24"/>
      <c r="AE349" s="24"/>
    </row>
    <row r="350" spans="1:31" ht="12.9">
      <c r="A350" s="24"/>
      <c r="B350" s="143"/>
      <c r="C350" s="24"/>
      <c r="D350" s="24"/>
      <c r="E350" s="24"/>
      <c r="F350" s="24"/>
      <c r="G350" s="24"/>
      <c r="H350" s="117"/>
      <c r="I350" s="117"/>
      <c r="J350" s="24"/>
      <c r="K350" s="24"/>
      <c r="L350" s="24"/>
      <c r="M350" s="24"/>
      <c r="N350" s="24"/>
      <c r="O350" s="24"/>
      <c r="P350" s="24"/>
      <c r="Q350" s="24"/>
      <c r="R350" s="24"/>
      <c r="S350" s="24"/>
      <c r="T350" s="24"/>
      <c r="U350" s="24"/>
      <c r="V350" s="24"/>
      <c r="W350" s="24"/>
      <c r="X350" s="24"/>
      <c r="Y350" s="24"/>
      <c r="Z350" s="24"/>
      <c r="AA350" s="24"/>
      <c r="AB350" s="24"/>
      <c r="AC350" s="24"/>
      <c r="AD350" s="24"/>
      <c r="AE350" s="24"/>
    </row>
    <row r="351" spans="1:31" ht="12.9">
      <c r="A351" s="24"/>
      <c r="B351" s="143"/>
      <c r="C351" s="24"/>
      <c r="D351" s="24"/>
      <c r="E351" s="24"/>
      <c r="F351" s="24"/>
      <c r="G351" s="24"/>
      <c r="H351" s="117"/>
      <c r="I351" s="117"/>
      <c r="J351" s="24"/>
      <c r="K351" s="24"/>
      <c r="L351" s="24"/>
      <c r="M351" s="24"/>
      <c r="N351" s="24"/>
      <c r="O351" s="24"/>
      <c r="P351" s="24"/>
      <c r="Q351" s="24"/>
      <c r="R351" s="24"/>
      <c r="S351" s="24"/>
      <c r="T351" s="24"/>
      <c r="U351" s="24"/>
      <c r="V351" s="24"/>
      <c r="W351" s="24"/>
      <c r="X351" s="24"/>
      <c r="Y351" s="24"/>
      <c r="Z351" s="24"/>
      <c r="AA351" s="24"/>
      <c r="AB351" s="24"/>
      <c r="AC351" s="24"/>
      <c r="AD351" s="24"/>
      <c r="AE351" s="24"/>
    </row>
    <row r="352" spans="1:31" ht="12.9">
      <c r="A352" s="24"/>
      <c r="B352" s="143"/>
      <c r="C352" s="24"/>
      <c r="D352" s="24"/>
      <c r="E352" s="24"/>
      <c r="F352" s="24"/>
      <c r="G352" s="24"/>
      <c r="H352" s="117"/>
      <c r="I352" s="117"/>
      <c r="J352" s="24"/>
      <c r="K352" s="24"/>
      <c r="L352" s="24"/>
      <c r="M352" s="24"/>
      <c r="N352" s="24"/>
      <c r="O352" s="24"/>
      <c r="P352" s="24"/>
      <c r="Q352" s="24"/>
      <c r="R352" s="24"/>
      <c r="S352" s="24"/>
      <c r="T352" s="24"/>
      <c r="U352" s="24"/>
      <c r="V352" s="24"/>
      <c r="W352" s="24"/>
      <c r="X352" s="24"/>
      <c r="Y352" s="24"/>
      <c r="Z352" s="24"/>
      <c r="AA352" s="24"/>
      <c r="AB352" s="24"/>
      <c r="AC352" s="24"/>
      <c r="AD352" s="24"/>
      <c r="AE352" s="24"/>
    </row>
    <row r="353" spans="1:31" ht="12.9">
      <c r="A353" s="24"/>
      <c r="B353" s="143"/>
      <c r="C353" s="24"/>
      <c r="D353" s="24"/>
      <c r="E353" s="24"/>
      <c r="F353" s="24"/>
      <c r="G353" s="24"/>
      <c r="H353" s="117"/>
      <c r="I353" s="117"/>
      <c r="J353" s="24"/>
      <c r="K353" s="24"/>
      <c r="L353" s="24"/>
      <c r="M353" s="24"/>
      <c r="N353" s="24"/>
      <c r="O353" s="24"/>
      <c r="P353" s="24"/>
      <c r="Q353" s="24"/>
      <c r="R353" s="24"/>
      <c r="S353" s="24"/>
      <c r="T353" s="24"/>
      <c r="U353" s="24"/>
      <c r="V353" s="24"/>
      <c r="W353" s="24"/>
      <c r="X353" s="24"/>
      <c r="Y353" s="24"/>
      <c r="Z353" s="24"/>
      <c r="AA353" s="24"/>
      <c r="AB353" s="24"/>
      <c r="AC353" s="24"/>
      <c r="AD353" s="24"/>
      <c r="AE353" s="24"/>
    </row>
    <row r="354" spans="1:31" ht="12.9">
      <c r="A354" s="24"/>
      <c r="B354" s="143"/>
      <c r="C354" s="24"/>
      <c r="D354" s="24"/>
      <c r="E354" s="24"/>
      <c r="F354" s="24"/>
      <c r="G354" s="24"/>
      <c r="H354" s="117"/>
      <c r="I354" s="117"/>
      <c r="J354" s="24"/>
      <c r="K354" s="24"/>
      <c r="L354" s="24"/>
      <c r="M354" s="24"/>
      <c r="N354" s="24"/>
      <c r="O354" s="24"/>
      <c r="P354" s="24"/>
      <c r="Q354" s="24"/>
      <c r="R354" s="24"/>
      <c r="S354" s="24"/>
      <c r="T354" s="24"/>
      <c r="U354" s="24"/>
      <c r="V354" s="24"/>
      <c r="W354" s="24"/>
      <c r="X354" s="24"/>
      <c r="Y354" s="24"/>
      <c r="Z354" s="24"/>
      <c r="AA354" s="24"/>
      <c r="AB354" s="24"/>
      <c r="AC354" s="24"/>
      <c r="AD354" s="24"/>
      <c r="AE354" s="24"/>
    </row>
    <row r="355" spans="1:31" ht="12.9">
      <c r="A355" s="24"/>
      <c r="B355" s="143"/>
      <c r="C355" s="24"/>
      <c r="D355" s="24"/>
      <c r="E355" s="24"/>
      <c r="F355" s="24"/>
      <c r="G355" s="24"/>
      <c r="H355" s="117"/>
      <c r="I355" s="117"/>
      <c r="J355" s="24"/>
      <c r="K355" s="24"/>
      <c r="L355" s="24"/>
      <c r="M355" s="24"/>
      <c r="N355" s="24"/>
      <c r="O355" s="24"/>
      <c r="P355" s="24"/>
      <c r="Q355" s="24"/>
      <c r="R355" s="24"/>
      <c r="S355" s="24"/>
      <c r="T355" s="24"/>
      <c r="U355" s="24"/>
      <c r="V355" s="24"/>
      <c r="W355" s="24"/>
      <c r="X355" s="24"/>
      <c r="Y355" s="24"/>
      <c r="Z355" s="24"/>
      <c r="AA355" s="24"/>
      <c r="AB355" s="24"/>
      <c r="AC355" s="24"/>
      <c r="AD355" s="24"/>
      <c r="AE355" s="24"/>
    </row>
    <row r="356" spans="1:31" ht="12.9">
      <c r="A356" s="24"/>
      <c r="B356" s="143"/>
      <c r="C356" s="24"/>
      <c r="D356" s="24"/>
      <c r="E356" s="24"/>
      <c r="F356" s="24"/>
      <c r="G356" s="24"/>
      <c r="H356" s="117"/>
      <c r="I356" s="117"/>
      <c r="J356" s="24"/>
      <c r="K356" s="24"/>
      <c r="L356" s="24"/>
      <c r="M356" s="24"/>
      <c r="N356" s="24"/>
      <c r="O356" s="24"/>
      <c r="P356" s="24"/>
      <c r="Q356" s="24"/>
      <c r="R356" s="24"/>
      <c r="S356" s="24"/>
      <c r="T356" s="24"/>
      <c r="U356" s="24"/>
      <c r="V356" s="24"/>
      <c r="W356" s="24"/>
      <c r="X356" s="24"/>
      <c r="Y356" s="24"/>
      <c r="Z356" s="24"/>
      <c r="AA356" s="24"/>
      <c r="AB356" s="24"/>
      <c r="AC356" s="24"/>
      <c r="AD356" s="24"/>
      <c r="AE356" s="24"/>
    </row>
    <row r="357" spans="1:31" ht="12.9">
      <c r="A357" s="24"/>
      <c r="B357" s="143"/>
      <c r="C357" s="24"/>
      <c r="D357" s="24"/>
      <c r="E357" s="24"/>
      <c r="F357" s="24"/>
      <c r="G357" s="24"/>
      <c r="H357" s="117"/>
      <c r="I357" s="117"/>
      <c r="J357" s="24"/>
      <c r="K357" s="24"/>
      <c r="L357" s="24"/>
      <c r="M357" s="24"/>
      <c r="N357" s="24"/>
      <c r="O357" s="24"/>
      <c r="P357" s="24"/>
      <c r="Q357" s="24"/>
      <c r="R357" s="24"/>
      <c r="S357" s="24"/>
      <c r="T357" s="24"/>
      <c r="U357" s="24"/>
      <c r="V357" s="24"/>
      <c r="W357" s="24"/>
      <c r="X357" s="24"/>
      <c r="Y357" s="24"/>
      <c r="Z357" s="24"/>
      <c r="AA357" s="24"/>
      <c r="AB357" s="24"/>
      <c r="AC357" s="24"/>
      <c r="AD357" s="24"/>
      <c r="AE357" s="24"/>
    </row>
    <row r="358" spans="1:31" ht="12.9">
      <c r="A358" s="24"/>
      <c r="B358" s="143"/>
      <c r="C358" s="24"/>
      <c r="D358" s="24"/>
      <c r="E358" s="24"/>
      <c r="F358" s="24"/>
      <c r="G358" s="24"/>
      <c r="H358" s="117"/>
      <c r="I358" s="117"/>
      <c r="J358" s="24"/>
      <c r="K358" s="24"/>
      <c r="L358" s="24"/>
      <c r="M358" s="24"/>
      <c r="N358" s="24"/>
      <c r="O358" s="24"/>
      <c r="P358" s="24"/>
      <c r="Q358" s="24"/>
      <c r="R358" s="24"/>
      <c r="S358" s="24"/>
      <c r="T358" s="24"/>
      <c r="U358" s="24"/>
      <c r="V358" s="24"/>
      <c r="W358" s="24"/>
      <c r="X358" s="24"/>
      <c r="Y358" s="24"/>
      <c r="Z358" s="24"/>
      <c r="AA358" s="24"/>
      <c r="AB358" s="24"/>
      <c r="AC358" s="24"/>
      <c r="AD358" s="24"/>
      <c r="AE358" s="24"/>
    </row>
    <row r="359" spans="1:31" ht="12.9">
      <c r="A359" s="24"/>
      <c r="B359" s="143"/>
      <c r="C359" s="24"/>
      <c r="D359" s="24"/>
      <c r="E359" s="24"/>
      <c r="F359" s="24"/>
      <c r="G359" s="24"/>
      <c r="H359" s="117"/>
      <c r="I359" s="117"/>
      <c r="J359" s="24"/>
      <c r="K359" s="24"/>
      <c r="L359" s="24"/>
      <c r="M359" s="24"/>
      <c r="N359" s="24"/>
      <c r="O359" s="24"/>
      <c r="P359" s="24"/>
      <c r="Q359" s="24"/>
      <c r="R359" s="24"/>
      <c r="S359" s="24"/>
      <c r="T359" s="24"/>
      <c r="U359" s="24"/>
      <c r="V359" s="24"/>
      <c r="W359" s="24"/>
      <c r="X359" s="24"/>
      <c r="Y359" s="24"/>
      <c r="Z359" s="24"/>
      <c r="AA359" s="24"/>
      <c r="AB359" s="24"/>
      <c r="AC359" s="24"/>
      <c r="AD359" s="24"/>
      <c r="AE359" s="24"/>
    </row>
    <row r="360" spans="1:31" ht="12.9">
      <c r="A360" s="24"/>
      <c r="B360" s="143"/>
      <c r="C360" s="24"/>
      <c r="D360" s="24"/>
      <c r="E360" s="24"/>
      <c r="F360" s="24"/>
      <c r="G360" s="24"/>
      <c r="H360" s="117"/>
      <c r="I360" s="117"/>
      <c r="J360" s="24"/>
      <c r="K360" s="24"/>
      <c r="L360" s="24"/>
      <c r="M360" s="24"/>
      <c r="N360" s="24"/>
      <c r="O360" s="24"/>
      <c r="P360" s="24"/>
      <c r="Q360" s="24"/>
      <c r="R360" s="24"/>
      <c r="S360" s="24"/>
      <c r="T360" s="24"/>
      <c r="U360" s="24"/>
      <c r="V360" s="24"/>
      <c r="W360" s="24"/>
      <c r="X360" s="24"/>
      <c r="Y360" s="24"/>
      <c r="Z360" s="24"/>
      <c r="AA360" s="24"/>
      <c r="AB360" s="24"/>
      <c r="AC360" s="24"/>
      <c r="AD360" s="24"/>
      <c r="AE360" s="24"/>
    </row>
    <row r="361" spans="1:31" ht="12.9">
      <c r="A361" s="24"/>
      <c r="B361" s="143"/>
      <c r="C361" s="24"/>
      <c r="D361" s="24"/>
      <c r="E361" s="24"/>
      <c r="F361" s="24"/>
      <c r="G361" s="24"/>
      <c r="H361" s="117"/>
      <c r="I361" s="117"/>
      <c r="J361" s="24"/>
      <c r="K361" s="24"/>
      <c r="L361" s="24"/>
      <c r="M361" s="24"/>
      <c r="N361" s="24"/>
      <c r="O361" s="24"/>
      <c r="P361" s="24"/>
      <c r="Q361" s="24"/>
      <c r="R361" s="24"/>
      <c r="S361" s="24"/>
      <c r="T361" s="24"/>
      <c r="U361" s="24"/>
      <c r="V361" s="24"/>
      <c r="W361" s="24"/>
      <c r="X361" s="24"/>
      <c r="Y361" s="24"/>
      <c r="Z361" s="24"/>
      <c r="AA361" s="24"/>
      <c r="AB361" s="24"/>
      <c r="AC361" s="24"/>
      <c r="AD361" s="24"/>
      <c r="AE361" s="24"/>
    </row>
    <row r="362" spans="1:31" ht="12.9">
      <c r="A362" s="24"/>
      <c r="B362" s="143"/>
      <c r="C362" s="24"/>
      <c r="D362" s="24"/>
      <c r="E362" s="24"/>
      <c r="F362" s="24"/>
      <c r="G362" s="24"/>
      <c r="H362" s="117"/>
      <c r="I362" s="117"/>
      <c r="J362" s="24"/>
      <c r="K362" s="24"/>
      <c r="L362" s="24"/>
      <c r="M362" s="24"/>
      <c r="N362" s="24"/>
      <c r="O362" s="24"/>
      <c r="P362" s="24"/>
      <c r="Q362" s="24"/>
      <c r="R362" s="24"/>
      <c r="S362" s="24"/>
      <c r="T362" s="24"/>
      <c r="U362" s="24"/>
      <c r="V362" s="24"/>
      <c r="W362" s="24"/>
      <c r="X362" s="24"/>
      <c r="Y362" s="24"/>
      <c r="Z362" s="24"/>
      <c r="AA362" s="24"/>
      <c r="AB362" s="24"/>
      <c r="AC362" s="24"/>
      <c r="AD362" s="24"/>
      <c r="AE362" s="24"/>
    </row>
    <row r="363" spans="1:31" ht="12.9">
      <c r="A363" s="24"/>
      <c r="B363" s="143"/>
      <c r="C363" s="24"/>
      <c r="D363" s="24"/>
      <c r="E363" s="24"/>
      <c r="F363" s="24"/>
      <c r="G363" s="24"/>
      <c r="H363" s="117"/>
      <c r="I363" s="117"/>
      <c r="J363" s="24"/>
      <c r="K363" s="24"/>
      <c r="L363" s="24"/>
      <c r="M363" s="24"/>
      <c r="N363" s="24"/>
      <c r="O363" s="24"/>
      <c r="P363" s="24"/>
      <c r="Q363" s="24"/>
      <c r="R363" s="24"/>
      <c r="S363" s="24"/>
      <c r="T363" s="24"/>
      <c r="U363" s="24"/>
      <c r="V363" s="24"/>
      <c r="W363" s="24"/>
      <c r="X363" s="24"/>
      <c r="Y363" s="24"/>
      <c r="Z363" s="24"/>
      <c r="AA363" s="24"/>
      <c r="AB363" s="24"/>
      <c r="AC363" s="24"/>
      <c r="AD363" s="24"/>
      <c r="AE363" s="24"/>
    </row>
    <row r="364" spans="1:31" ht="12.9">
      <c r="A364" s="24"/>
      <c r="B364" s="143"/>
      <c r="C364" s="24"/>
      <c r="D364" s="24"/>
      <c r="E364" s="24"/>
      <c r="F364" s="24"/>
      <c r="G364" s="24"/>
      <c r="H364" s="117"/>
      <c r="I364" s="117"/>
      <c r="J364" s="24"/>
      <c r="K364" s="24"/>
      <c r="L364" s="24"/>
      <c r="M364" s="24"/>
      <c r="N364" s="24"/>
      <c r="O364" s="24"/>
      <c r="P364" s="24"/>
      <c r="Q364" s="24"/>
      <c r="R364" s="24"/>
      <c r="S364" s="24"/>
      <c r="T364" s="24"/>
      <c r="U364" s="24"/>
      <c r="V364" s="24"/>
      <c r="W364" s="24"/>
      <c r="X364" s="24"/>
      <c r="Y364" s="24"/>
      <c r="Z364" s="24"/>
      <c r="AA364" s="24"/>
      <c r="AB364" s="24"/>
      <c r="AC364" s="24"/>
      <c r="AD364" s="24"/>
      <c r="AE364" s="24"/>
    </row>
    <row r="365" spans="1:31" ht="12.9">
      <c r="A365" s="24"/>
      <c r="B365" s="143"/>
      <c r="C365" s="24"/>
      <c r="D365" s="24"/>
      <c r="E365" s="24"/>
      <c r="F365" s="24"/>
      <c r="G365" s="24"/>
      <c r="H365" s="117"/>
      <c r="I365" s="117"/>
      <c r="J365" s="24"/>
      <c r="K365" s="24"/>
      <c r="L365" s="24"/>
      <c r="M365" s="24"/>
      <c r="N365" s="24"/>
      <c r="O365" s="24"/>
      <c r="P365" s="24"/>
      <c r="Q365" s="24"/>
      <c r="R365" s="24"/>
      <c r="S365" s="24"/>
      <c r="T365" s="24"/>
      <c r="U365" s="24"/>
      <c r="V365" s="24"/>
      <c r="W365" s="24"/>
      <c r="X365" s="24"/>
      <c r="Y365" s="24"/>
      <c r="Z365" s="24"/>
      <c r="AA365" s="24"/>
      <c r="AB365" s="24"/>
      <c r="AC365" s="24"/>
      <c r="AD365" s="24"/>
      <c r="AE365" s="24"/>
    </row>
    <row r="366" spans="1:31" ht="12.9">
      <c r="A366" s="24"/>
      <c r="B366" s="143"/>
      <c r="C366" s="24"/>
      <c r="D366" s="24"/>
      <c r="E366" s="24"/>
      <c r="F366" s="24"/>
      <c r="G366" s="24"/>
      <c r="H366" s="117"/>
      <c r="I366" s="117"/>
      <c r="J366" s="24"/>
      <c r="K366" s="24"/>
      <c r="L366" s="24"/>
      <c r="M366" s="24"/>
      <c r="N366" s="24"/>
      <c r="O366" s="24"/>
      <c r="P366" s="24"/>
      <c r="Q366" s="24"/>
      <c r="R366" s="24"/>
      <c r="S366" s="24"/>
      <c r="T366" s="24"/>
      <c r="U366" s="24"/>
      <c r="V366" s="24"/>
      <c r="W366" s="24"/>
      <c r="X366" s="24"/>
      <c r="Y366" s="24"/>
      <c r="Z366" s="24"/>
      <c r="AA366" s="24"/>
      <c r="AB366" s="24"/>
      <c r="AC366" s="24"/>
      <c r="AD366" s="24"/>
      <c r="AE366" s="24"/>
    </row>
    <row r="367" spans="1:31" ht="12.9">
      <c r="A367" s="24"/>
      <c r="B367" s="143"/>
      <c r="C367" s="24"/>
      <c r="D367" s="24"/>
      <c r="E367" s="24"/>
      <c r="F367" s="24"/>
      <c r="G367" s="24"/>
      <c r="H367" s="117"/>
      <c r="I367" s="117"/>
      <c r="J367" s="24"/>
      <c r="K367" s="24"/>
      <c r="L367" s="24"/>
      <c r="M367" s="24"/>
      <c r="N367" s="24"/>
      <c r="O367" s="24"/>
      <c r="P367" s="24"/>
      <c r="Q367" s="24"/>
      <c r="R367" s="24"/>
      <c r="S367" s="24"/>
      <c r="T367" s="24"/>
      <c r="U367" s="24"/>
      <c r="V367" s="24"/>
      <c r="W367" s="24"/>
      <c r="X367" s="24"/>
      <c r="Y367" s="24"/>
      <c r="Z367" s="24"/>
      <c r="AA367" s="24"/>
      <c r="AB367" s="24"/>
      <c r="AC367" s="24"/>
      <c r="AD367" s="24"/>
      <c r="AE367" s="24"/>
    </row>
    <row r="368" spans="1:31" ht="12.9">
      <c r="A368" s="24"/>
      <c r="B368" s="143"/>
      <c r="C368" s="24"/>
      <c r="D368" s="24"/>
      <c r="E368" s="24"/>
      <c r="F368" s="24"/>
      <c r="G368" s="24"/>
      <c r="H368" s="117"/>
      <c r="I368" s="117"/>
      <c r="J368" s="24"/>
      <c r="K368" s="24"/>
      <c r="L368" s="24"/>
      <c r="M368" s="24"/>
      <c r="N368" s="24"/>
      <c r="O368" s="24"/>
      <c r="P368" s="24"/>
      <c r="Q368" s="24"/>
      <c r="R368" s="24"/>
      <c r="S368" s="24"/>
      <c r="T368" s="24"/>
      <c r="U368" s="24"/>
      <c r="V368" s="24"/>
      <c r="W368" s="24"/>
      <c r="X368" s="24"/>
      <c r="Y368" s="24"/>
      <c r="Z368" s="24"/>
      <c r="AA368" s="24"/>
      <c r="AB368" s="24"/>
      <c r="AC368" s="24"/>
      <c r="AD368" s="24"/>
      <c r="AE368" s="24"/>
    </row>
    <row r="369" spans="1:31" ht="12.9">
      <c r="A369" s="24"/>
      <c r="B369" s="143"/>
      <c r="C369" s="24"/>
      <c r="D369" s="24"/>
      <c r="E369" s="24"/>
      <c r="F369" s="24"/>
      <c r="G369" s="24"/>
      <c r="H369" s="117"/>
      <c r="I369" s="117"/>
      <c r="J369" s="24"/>
      <c r="K369" s="24"/>
      <c r="L369" s="24"/>
      <c r="M369" s="24"/>
      <c r="N369" s="24"/>
      <c r="O369" s="24"/>
      <c r="P369" s="24"/>
      <c r="Q369" s="24"/>
      <c r="R369" s="24"/>
      <c r="S369" s="24"/>
      <c r="T369" s="24"/>
      <c r="U369" s="24"/>
      <c r="V369" s="24"/>
      <c r="W369" s="24"/>
      <c r="X369" s="24"/>
      <c r="Y369" s="24"/>
      <c r="Z369" s="24"/>
      <c r="AA369" s="24"/>
      <c r="AB369" s="24"/>
      <c r="AC369" s="24"/>
      <c r="AD369" s="24"/>
      <c r="AE369" s="24"/>
    </row>
    <row r="370" spans="1:31" ht="12.9">
      <c r="A370" s="24"/>
      <c r="B370" s="143"/>
      <c r="C370" s="24"/>
      <c r="D370" s="24"/>
      <c r="E370" s="24"/>
      <c r="F370" s="24"/>
      <c r="G370" s="24"/>
      <c r="H370" s="117"/>
      <c r="I370" s="117"/>
      <c r="J370" s="24"/>
      <c r="K370" s="24"/>
      <c r="L370" s="24"/>
      <c r="M370" s="24"/>
      <c r="N370" s="24"/>
      <c r="O370" s="24"/>
      <c r="P370" s="24"/>
      <c r="Q370" s="24"/>
      <c r="R370" s="24"/>
      <c r="S370" s="24"/>
      <c r="T370" s="24"/>
      <c r="U370" s="24"/>
      <c r="V370" s="24"/>
      <c r="W370" s="24"/>
      <c r="X370" s="24"/>
      <c r="Y370" s="24"/>
      <c r="Z370" s="24"/>
      <c r="AA370" s="24"/>
      <c r="AB370" s="24"/>
      <c r="AC370" s="24"/>
      <c r="AD370" s="24"/>
      <c r="AE370" s="24"/>
    </row>
    <row r="371" spans="1:31" ht="12.9">
      <c r="A371" s="24"/>
      <c r="B371" s="143"/>
      <c r="C371" s="24"/>
      <c r="D371" s="24"/>
      <c r="E371" s="24"/>
      <c r="F371" s="24"/>
      <c r="G371" s="24"/>
      <c r="H371" s="117"/>
      <c r="I371" s="117"/>
      <c r="J371" s="24"/>
      <c r="K371" s="24"/>
      <c r="L371" s="24"/>
      <c r="M371" s="24"/>
      <c r="N371" s="24"/>
      <c r="O371" s="24"/>
      <c r="P371" s="24"/>
      <c r="Q371" s="24"/>
      <c r="R371" s="24"/>
      <c r="S371" s="24"/>
      <c r="T371" s="24"/>
      <c r="U371" s="24"/>
      <c r="V371" s="24"/>
      <c r="W371" s="24"/>
      <c r="X371" s="24"/>
      <c r="Y371" s="24"/>
      <c r="Z371" s="24"/>
      <c r="AA371" s="24"/>
      <c r="AB371" s="24"/>
      <c r="AC371" s="24"/>
      <c r="AD371" s="24"/>
      <c r="AE371" s="24"/>
    </row>
    <row r="372" spans="1:31" ht="12.9">
      <c r="A372" s="24"/>
      <c r="B372" s="143"/>
      <c r="C372" s="24"/>
      <c r="D372" s="24"/>
      <c r="E372" s="24"/>
      <c r="F372" s="24"/>
      <c r="G372" s="24"/>
      <c r="H372" s="117"/>
      <c r="I372" s="117"/>
      <c r="J372" s="24"/>
      <c r="K372" s="24"/>
      <c r="L372" s="24"/>
      <c r="M372" s="24"/>
      <c r="N372" s="24"/>
      <c r="O372" s="24"/>
      <c r="P372" s="24"/>
      <c r="Q372" s="24"/>
      <c r="R372" s="24"/>
      <c r="S372" s="24"/>
      <c r="T372" s="24"/>
      <c r="U372" s="24"/>
      <c r="V372" s="24"/>
      <c r="W372" s="24"/>
      <c r="X372" s="24"/>
      <c r="Y372" s="24"/>
      <c r="Z372" s="24"/>
      <c r="AA372" s="24"/>
      <c r="AB372" s="24"/>
      <c r="AC372" s="24"/>
      <c r="AD372" s="24"/>
      <c r="AE372" s="24"/>
    </row>
    <row r="373" spans="1:31" ht="12.9">
      <c r="A373" s="24"/>
      <c r="B373" s="143"/>
      <c r="C373" s="24"/>
      <c r="D373" s="24"/>
      <c r="E373" s="24"/>
      <c r="F373" s="24"/>
      <c r="G373" s="24"/>
      <c r="H373" s="117"/>
      <c r="I373" s="117"/>
      <c r="J373" s="24"/>
      <c r="K373" s="24"/>
      <c r="L373" s="24"/>
      <c r="M373" s="24"/>
      <c r="N373" s="24"/>
      <c r="O373" s="24"/>
      <c r="P373" s="24"/>
      <c r="Q373" s="24"/>
      <c r="R373" s="24"/>
      <c r="S373" s="24"/>
      <c r="T373" s="24"/>
      <c r="U373" s="24"/>
      <c r="V373" s="24"/>
      <c r="W373" s="24"/>
      <c r="X373" s="24"/>
      <c r="Y373" s="24"/>
      <c r="Z373" s="24"/>
      <c r="AA373" s="24"/>
      <c r="AB373" s="24"/>
      <c r="AC373" s="24"/>
      <c r="AD373" s="24"/>
      <c r="AE373" s="24"/>
    </row>
    <row r="374" spans="1:31" ht="12.9">
      <c r="A374" s="24"/>
      <c r="B374" s="143"/>
      <c r="C374" s="24"/>
      <c r="D374" s="24"/>
      <c r="E374" s="24"/>
      <c r="F374" s="24"/>
      <c r="G374" s="24"/>
      <c r="H374" s="117"/>
      <c r="I374" s="117"/>
      <c r="J374" s="24"/>
      <c r="K374" s="24"/>
      <c r="L374" s="24"/>
      <c r="M374" s="24"/>
      <c r="N374" s="24"/>
      <c r="O374" s="24"/>
      <c r="P374" s="24"/>
      <c r="Q374" s="24"/>
      <c r="R374" s="24"/>
      <c r="S374" s="24"/>
      <c r="T374" s="24"/>
      <c r="U374" s="24"/>
      <c r="V374" s="24"/>
      <c r="W374" s="24"/>
      <c r="X374" s="24"/>
      <c r="Y374" s="24"/>
      <c r="Z374" s="24"/>
      <c r="AA374" s="24"/>
      <c r="AB374" s="24"/>
      <c r="AC374" s="24"/>
      <c r="AD374" s="24"/>
      <c r="AE374" s="24"/>
    </row>
    <row r="375" spans="1:31" ht="12.9">
      <c r="A375" s="24"/>
      <c r="B375" s="143"/>
      <c r="C375" s="24"/>
      <c r="D375" s="24"/>
      <c r="E375" s="24"/>
      <c r="F375" s="24"/>
      <c r="G375" s="24"/>
      <c r="H375" s="117"/>
      <c r="I375" s="117"/>
      <c r="J375" s="24"/>
      <c r="K375" s="24"/>
      <c r="L375" s="24"/>
      <c r="M375" s="24"/>
      <c r="N375" s="24"/>
      <c r="O375" s="24"/>
      <c r="P375" s="24"/>
      <c r="Q375" s="24"/>
      <c r="R375" s="24"/>
      <c r="S375" s="24"/>
      <c r="T375" s="24"/>
      <c r="U375" s="24"/>
      <c r="V375" s="24"/>
      <c r="W375" s="24"/>
      <c r="X375" s="24"/>
      <c r="Y375" s="24"/>
      <c r="Z375" s="24"/>
      <c r="AA375" s="24"/>
      <c r="AB375" s="24"/>
      <c r="AC375" s="24"/>
      <c r="AD375" s="24"/>
      <c r="AE375" s="24"/>
    </row>
    <row r="376" spans="1:31" ht="12.9">
      <c r="A376" s="24"/>
      <c r="B376" s="143"/>
      <c r="C376" s="24"/>
      <c r="D376" s="24"/>
      <c r="E376" s="24"/>
      <c r="F376" s="24"/>
      <c r="G376" s="24"/>
      <c r="H376" s="117"/>
      <c r="I376" s="117"/>
      <c r="J376" s="24"/>
      <c r="K376" s="24"/>
      <c r="L376" s="24"/>
      <c r="M376" s="24"/>
      <c r="N376" s="24"/>
      <c r="O376" s="24"/>
      <c r="P376" s="24"/>
      <c r="Q376" s="24"/>
      <c r="R376" s="24"/>
      <c r="S376" s="24"/>
      <c r="T376" s="24"/>
      <c r="U376" s="24"/>
      <c r="V376" s="24"/>
      <c r="W376" s="24"/>
      <c r="X376" s="24"/>
      <c r="Y376" s="24"/>
      <c r="Z376" s="24"/>
      <c r="AA376" s="24"/>
      <c r="AB376" s="24"/>
      <c r="AC376" s="24"/>
      <c r="AD376" s="24"/>
      <c r="AE376" s="24"/>
    </row>
    <row r="377" spans="1:31" ht="12.9">
      <c r="A377" s="24"/>
      <c r="B377" s="143"/>
      <c r="C377" s="24"/>
      <c r="D377" s="24"/>
      <c r="E377" s="24"/>
      <c r="F377" s="24"/>
      <c r="G377" s="24"/>
      <c r="H377" s="117"/>
      <c r="I377" s="117"/>
      <c r="J377" s="24"/>
      <c r="K377" s="24"/>
      <c r="L377" s="24"/>
      <c r="M377" s="24"/>
      <c r="N377" s="24"/>
      <c r="O377" s="24"/>
      <c r="P377" s="24"/>
      <c r="Q377" s="24"/>
      <c r="R377" s="24"/>
      <c r="S377" s="24"/>
      <c r="T377" s="24"/>
      <c r="U377" s="24"/>
      <c r="V377" s="24"/>
      <c r="W377" s="24"/>
      <c r="X377" s="24"/>
      <c r="Y377" s="24"/>
      <c r="Z377" s="24"/>
      <c r="AA377" s="24"/>
      <c r="AB377" s="24"/>
      <c r="AC377" s="24"/>
      <c r="AD377" s="24"/>
      <c r="AE377" s="24"/>
    </row>
    <row r="378" spans="1:31" ht="12.9">
      <c r="A378" s="24"/>
      <c r="B378" s="143"/>
      <c r="C378" s="24"/>
      <c r="D378" s="24"/>
      <c r="E378" s="24"/>
      <c r="F378" s="24"/>
      <c r="G378" s="24"/>
      <c r="H378" s="117"/>
      <c r="I378" s="117"/>
      <c r="J378" s="24"/>
      <c r="K378" s="24"/>
      <c r="L378" s="24"/>
      <c r="M378" s="24"/>
      <c r="N378" s="24"/>
      <c r="O378" s="24"/>
      <c r="P378" s="24"/>
      <c r="Q378" s="24"/>
      <c r="R378" s="24"/>
      <c r="S378" s="24"/>
      <c r="T378" s="24"/>
      <c r="U378" s="24"/>
      <c r="V378" s="24"/>
      <c r="W378" s="24"/>
      <c r="X378" s="24"/>
      <c r="Y378" s="24"/>
      <c r="Z378" s="24"/>
      <c r="AA378" s="24"/>
      <c r="AB378" s="24"/>
      <c r="AC378" s="24"/>
      <c r="AD378" s="24"/>
      <c r="AE378" s="24"/>
    </row>
    <row r="379" spans="1:31" ht="12.9">
      <c r="A379" s="24"/>
      <c r="B379" s="143"/>
      <c r="C379" s="24"/>
      <c r="D379" s="24"/>
      <c r="E379" s="24"/>
      <c r="F379" s="24"/>
      <c r="G379" s="24"/>
      <c r="H379" s="117"/>
      <c r="I379" s="117"/>
      <c r="J379" s="24"/>
      <c r="K379" s="24"/>
      <c r="L379" s="24"/>
      <c r="M379" s="24"/>
      <c r="N379" s="24"/>
      <c r="O379" s="24"/>
      <c r="P379" s="24"/>
      <c r="Q379" s="24"/>
      <c r="R379" s="24"/>
      <c r="S379" s="24"/>
      <c r="T379" s="24"/>
      <c r="U379" s="24"/>
      <c r="V379" s="24"/>
      <c r="W379" s="24"/>
      <c r="X379" s="24"/>
      <c r="Y379" s="24"/>
      <c r="Z379" s="24"/>
      <c r="AA379" s="24"/>
      <c r="AB379" s="24"/>
      <c r="AC379" s="24"/>
      <c r="AD379" s="24"/>
      <c r="AE379" s="24"/>
    </row>
    <row r="380" spans="1:31" ht="12.9">
      <c r="A380" s="24"/>
      <c r="B380" s="143"/>
      <c r="C380" s="24"/>
      <c r="D380" s="24"/>
      <c r="E380" s="24"/>
      <c r="F380" s="24"/>
      <c r="G380" s="24"/>
      <c r="H380" s="117"/>
      <c r="I380" s="117"/>
      <c r="J380" s="24"/>
      <c r="K380" s="24"/>
      <c r="L380" s="24"/>
      <c r="M380" s="24"/>
      <c r="N380" s="24"/>
      <c r="O380" s="24"/>
      <c r="P380" s="24"/>
      <c r="Q380" s="24"/>
      <c r="R380" s="24"/>
      <c r="S380" s="24"/>
      <c r="T380" s="24"/>
      <c r="U380" s="24"/>
      <c r="V380" s="24"/>
      <c r="W380" s="24"/>
      <c r="X380" s="24"/>
      <c r="Y380" s="24"/>
      <c r="Z380" s="24"/>
      <c r="AA380" s="24"/>
      <c r="AB380" s="24"/>
      <c r="AC380" s="24"/>
      <c r="AD380" s="24"/>
      <c r="AE380" s="24"/>
    </row>
    <row r="381" spans="1:31" ht="12.9">
      <c r="A381" s="24"/>
      <c r="B381" s="143"/>
      <c r="C381" s="24"/>
      <c r="D381" s="24"/>
      <c r="E381" s="24"/>
      <c r="F381" s="24"/>
      <c r="G381" s="24"/>
      <c r="H381" s="117"/>
      <c r="I381" s="117"/>
      <c r="J381" s="24"/>
      <c r="K381" s="24"/>
      <c r="L381" s="24"/>
      <c r="M381" s="24"/>
      <c r="N381" s="24"/>
      <c r="O381" s="24"/>
      <c r="P381" s="24"/>
      <c r="Q381" s="24"/>
      <c r="R381" s="24"/>
      <c r="S381" s="24"/>
      <c r="T381" s="24"/>
      <c r="U381" s="24"/>
      <c r="V381" s="24"/>
      <c r="W381" s="24"/>
      <c r="X381" s="24"/>
      <c r="Y381" s="24"/>
      <c r="Z381" s="24"/>
      <c r="AA381" s="24"/>
      <c r="AB381" s="24"/>
      <c r="AC381" s="24"/>
      <c r="AD381" s="24"/>
      <c r="AE381" s="24"/>
    </row>
    <row r="382" spans="1:31" ht="12.9">
      <c r="A382" s="24"/>
      <c r="B382" s="143"/>
      <c r="C382" s="24"/>
      <c r="D382" s="24"/>
      <c r="E382" s="24"/>
      <c r="F382" s="24"/>
      <c r="G382" s="24"/>
      <c r="H382" s="117"/>
      <c r="I382" s="117"/>
      <c r="J382" s="24"/>
      <c r="K382" s="24"/>
      <c r="L382" s="24"/>
      <c r="M382" s="24"/>
      <c r="N382" s="24"/>
      <c r="O382" s="24"/>
      <c r="P382" s="24"/>
      <c r="Q382" s="24"/>
      <c r="R382" s="24"/>
      <c r="S382" s="24"/>
      <c r="T382" s="24"/>
      <c r="U382" s="24"/>
      <c r="V382" s="24"/>
      <c r="W382" s="24"/>
      <c r="X382" s="24"/>
      <c r="Y382" s="24"/>
      <c r="Z382" s="24"/>
      <c r="AA382" s="24"/>
      <c r="AB382" s="24"/>
      <c r="AC382" s="24"/>
      <c r="AD382" s="24"/>
      <c r="AE382" s="24"/>
    </row>
    <row r="383" spans="1:31" ht="12.9">
      <c r="A383" s="24"/>
      <c r="B383" s="143"/>
      <c r="C383" s="24"/>
      <c r="D383" s="24"/>
      <c r="E383" s="24"/>
      <c r="F383" s="24"/>
      <c r="G383" s="24"/>
      <c r="H383" s="117"/>
      <c r="I383" s="117"/>
      <c r="J383" s="24"/>
      <c r="K383" s="24"/>
      <c r="L383" s="24"/>
      <c r="M383" s="24"/>
      <c r="N383" s="24"/>
      <c r="O383" s="24"/>
      <c r="P383" s="24"/>
      <c r="Q383" s="24"/>
      <c r="R383" s="24"/>
      <c r="S383" s="24"/>
      <c r="T383" s="24"/>
      <c r="U383" s="24"/>
      <c r="V383" s="24"/>
      <c r="W383" s="24"/>
      <c r="X383" s="24"/>
      <c r="Y383" s="24"/>
      <c r="Z383" s="24"/>
      <c r="AA383" s="24"/>
      <c r="AB383" s="24"/>
      <c r="AC383" s="24"/>
      <c r="AD383" s="24"/>
      <c r="AE383" s="24"/>
    </row>
    <row r="384" spans="1:31" ht="12.9">
      <c r="A384" s="24"/>
      <c r="B384" s="143"/>
      <c r="C384" s="24"/>
      <c r="D384" s="24"/>
      <c r="E384" s="24"/>
      <c r="F384" s="24"/>
      <c r="G384" s="24"/>
      <c r="H384" s="117"/>
      <c r="I384" s="117"/>
      <c r="J384" s="24"/>
      <c r="K384" s="24"/>
      <c r="L384" s="24"/>
      <c r="M384" s="24"/>
      <c r="N384" s="24"/>
      <c r="O384" s="24"/>
      <c r="P384" s="24"/>
      <c r="Q384" s="24"/>
      <c r="R384" s="24"/>
      <c r="S384" s="24"/>
      <c r="T384" s="24"/>
      <c r="U384" s="24"/>
      <c r="V384" s="24"/>
      <c r="W384" s="24"/>
      <c r="X384" s="24"/>
      <c r="Y384" s="24"/>
      <c r="Z384" s="24"/>
      <c r="AA384" s="24"/>
      <c r="AB384" s="24"/>
      <c r="AC384" s="24"/>
      <c r="AD384" s="24"/>
      <c r="AE384" s="24"/>
    </row>
    <row r="385" spans="1:31" ht="12.9">
      <c r="A385" s="24"/>
      <c r="B385" s="143"/>
      <c r="C385" s="24"/>
      <c r="D385" s="24"/>
      <c r="E385" s="24"/>
      <c r="F385" s="24"/>
      <c r="G385" s="24"/>
      <c r="H385" s="117"/>
      <c r="I385" s="117"/>
      <c r="J385" s="24"/>
      <c r="K385" s="24"/>
      <c r="L385" s="24"/>
      <c r="M385" s="24"/>
      <c r="N385" s="24"/>
      <c r="O385" s="24"/>
      <c r="P385" s="24"/>
      <c r="Q385" s="24"/>
      <c r="R385" s="24"/>
      <c r="S385" s="24"/>
      <c r="T385" s="24"/>
      <c r="U385" s="24"/>
      <c r="V385" s="24"/>
      <c r="W385" s="24"/>
      <c r="X385" s="24"/>
      <c r="Y385" s="24"/>
      <c r="Z385" s="24"/>
      <c r="AA385" s="24"/>
      <c r="AB385" s="24"/>
      <c r="AC385" s="24"/>
      <c r="AD385" s="24"/>
      <c r="AE385" s="24"/>
    </row>
    <row r="386" spans="1:31" ht="12.9">
      <c r="A386" s="24"/>
      <c r="B386" s="143"/>
      <c r="C386" s="24"/>
      <c r="D386" s="24"/>
      <c r="E386" s="24"/>
      <c r="F386" s="24"/>
      <c r="G386" s="24"/>
      <c r="H386" s="117"/>
      <c r="I386" s="117"/>
      <c r="J386" s="24"/>
      <c r="K386" s="24"/>
      <c r="L386" s="24"/>
      <c r="M386" s="24"/>
      <c r="N386" s="24"/>
      <c r="O386" s="24"/>
      <c r="P386" s="24"/>
      <c r="Q386" s="24"/>
      <c r="R386" s="24"/>
      <c r="S386" s="24"/>
      <c r="T386" s="24"/>
      <c r="U386" s="24"/>
      <c r="V386" s="24"/>
      <c r="W386" s="24"/>
      <c r="X386" s="24"/>
      <c r="Y386" s="24"/>
      <c r="Z386" s="24"/>
      <c r="AA386" s="24"/>
      <c r="AB386" s="24"/>
      <c r="AC386" s="24"/>
      <c r="AD386" s="24"/>
      <c r="AE386" s="24"/>
    </row>
    <row r="387" spans="1:31" ht="12.9">
      <c r="A387" s="24"/>
      <c r="B387" s="143"/>
      <c r="C387" s="24"/>
      <c r="D387" s="24"/>
      <c r="E387" s="24"/>
      <c r="F387" s="24"/>
      <c r="G387" s="24"/>
      <c r="H387" s="117"/>
      <c r="I387" s="117"/>
      <c r="J387" s="24"/>
      <c r="K387" s="24"/>
      <c r="L387" s="24"/>
      <c r="M387" s="24"/>
      <c r="N387" s="24"/>
      <c r="O387" s="24"/>
      <c r="P387" s="24"/>
      <c r="Q387" s="24"/>
      <c r="R387" s="24"/>
      <c r="S387" s="24"/>
      <c r="T387" s="24"/>
      <c r="U387" s="24"/>
      <c r="V387" s="24"/>
      <c r="W387" s="24"/>
      <c r="X387" s="24"/>
      <c r="Y387" s="24"/>
      <c r="Z387" s="24"/>
      <c r="AA387" s="24"/>
      <c r="AB387" s="24"/>
      <c r="AC387" s="24"/>
      <c r="AD387" s="24"/>
      <c r="AE387" s="24"/>
    </row>
    <row r="388" spans="1:31" ht="12.9">
      <c r="A388" s="24"/>
      <c r="B388" s="143"/>
      <c r="C388" s="24"/>
      <c r="D388" s="24"/>
      <c r="E388" s="24"/>
      <c r="F388" s="24"/>
      <c r="G388" s="24"/>
      <c r="H388" s="117"/>
      <c r="I388" s="117"/>
      <c r="J388" s="24"/>
      <c r="K388" s="24"/>
      <c r="L388" s="24"/>
      <c r="M388" s="24"/>
      <c r="N388" s="24"/>
      <c r="O388" s="24"/>
      <c r="P388" s="24"/>
      <c r="Q388" s="24"/>
      <c r="R388" s="24"/>
      <c r="S388" s="24"/>
      <c r="T388" s="24"/>
      <c r="U388" s="24"/>
      <c r="V388" s="24"/>
      <c r="W388" s="24"/>
      <c r="X388" s="24"/>
      <c r="Y388" s="24"/>
      <c r="Z388" s="24"/>
      <c r="AA388" s="24"/>
      <c r="AB388" s="24"/>
      <c r="AC388" s="24"/>
      <c r="AD388" s="24"/>
      <c r="AE388" s="24"/>
    </row>
    <row r="389" spans="1:31" ht="12.9">
      <c r="A389" s="24"/>
      <c r="B389" s="143"/>
      <c r="C389" s="24"/>
      <c r="D389" s="24"/>
      <c r="E389" s="24"/>
      <c r="F389" s="24"/>
      <c r="G389" s="24"/>
      <c r="H389" s="117"/>
      <c r="I389" s="117"/>
      <c r="J389" s="24"/>
      <c r="K389" s="24"/>
      <c r="L389" s="24"/>
      <c r="M389" s="24"/>
      <c r="N389" s="24"/>
      <c r="O389" s="24"/>
      <c r="P389" s="24"/>
      <c r="Q389" s="24"/>
      <c r="R389" s="24"/>
      <c r="S389" s="24"/>
      <c r="T389" s="24"/>
      <c r="U389" s="24"/>
      <c r="V389" s="24"/>
      <c r="W389" s="24"/>
      <c r="X389" s="24"/>
      <c r="Y389" s="24"/>
      <c r="Z389" s="24"/>
      <c r="AA389" s="24"/>
      <c r="AB389" s="24"/>
      <c r="AC389" s="24"/>
      <c r="AD389" s="24"/>
      <c r="AE389" s="24"/>
    </row>
    <row r="390" spans="1:31" ht="12.9">
      <c r="A390" s="24"/>
      <c r="B390" s="143"/>
      <c r="C390" s="24"/>
      <c r="D390" s="24"/>
      <c r="E390" s="24"/>
      <c r="F390" s="24"/>
      <c r="G390" s="24"/>
      <c r="H390" s="117"/>
      <c r="I390" s="117"/>
      <c r="J390" s="24"/>
      <c r="K390" s="24"/>
      <c r="L390" s="24"/>
      <c r="M390" s="24"/>
      <c r="N390" s="24"/>
      <c r="O390" s="24"/>
      <c r="P390" s="24"/>
      <c r="Q390" s="24"/>
      <c r="R390" s="24"/>
      <c r="S390" s="24"/>
      <c r="T390" s="24"/>
      <c r="U390" s="24"/>
      <c r="V390" s="24"/>
      <c r="W390" s="24"/>
      <c r="X390" s="24"/>
      <c r="Y390" s="24"/>
      <c r="Z390" s="24"/>
      <c r="AA390" s="24"/>
      <c r="AB390" s="24"/>
      <c r="AC390" s="24"/>
      <c r="AD390" s="24"/>
      <c r="AE390" s="24"/>
    </row>
    <row r="391" spans="1:31" ht="12.9">
      <c r="A391" s="24"/>
      <c r="B391" s="143"/>
      <c r="C391" s="24"/>
      <c r="D391" s="24"/>
      <c r="E391" s="24"/>
      <c r="F391" s="24"/>
      <c r="G391" s="24"/>
      <c r="H391" s="117"/>
      <c r="I391" s="117"/>
      <c r="J391" s="24"/>
      <c r="K391" s="24"/>
      <c r="L391" s="24"/>
      <c r="M391" s="24"/>
      <c r="N391" s="24"/>
      <c r="O391" s="24"/>
      <c r="P391" s="24"/>
      <c r="Q391" s="24"/>
      <c r="R391" s="24"/>
      <c r="S391" s="24"/>
      <c r="T391" s="24"/>
      <c r="U391" s="24"/>
      <c r="V391" s="24"/>
      <c r="W391" s="24"/>
      <c r="X391" s="24"/>
      <c r="Y391" s="24"/>
      <c r="Z391" s="24"/>
      <c r="AA391" s="24"/>
      <c r="AB391" s="24"/>
      <c r="AC391" s="24"/>
      <c r="AD391" s="24"/>
      <c r="AE391" s="24"/>
    </row>
    <row r="392" spans="1:31" ht="12.9">
      <c r="A392" s="24"/>
      <c r="B392" s="143"/>
      <c r="C392" s="24"/>
      <c r="D392" s="24"/>
      <c r="E392" s="24"/>
      <c r="F392" s="24"/>
      <c r="G392" s="24"/>
      <c r="H392" s="117"/>
      <c r="I392" s="117"/>
      <c r="J392" s="24"/>
      <c r="K392" s="24"/>
      <c r="L392" s="24"/>
      <c r="M392" s="24"/>
      <c r="N392" s="24"/>
      <c r="O392" s="24"/>
      <c r="P392" s="24"/>
      <c r="Q392" s="24"/>
      <c r="R392" s="24"/>
      <c r="S392" s="24"/>
      <c r="T392" s="24"/>
      <c r="U392" s="24"/>
      <c r="V392" s="24"/>
      <c r="W392" s="24"/>
      <c r="X392" s="24"/>
      <c r="Y392" s="24"/>
      <c r="Z392" s="24"/>
      <c r="AA392" s="24"/>
      <c r="AB392" s="24"/>
      <c r="AC392" s="24"/>
      <c r="AD392" s="24"/>
      <c r="AE392" s="24"/>
    </row>
    <row r="393" spans="1:31" ht="12.9">
      <c r="A393" s="24"/>
      <c r="B393" s="143"/>
      <c r="C393" s="24"/>
      <c r="D393" s="24"/>
      <c r="E393" s="24"/>
      <c r="F393" s="24"/>
      <c r="G393" s="24"/>
      <c r="H393" s="117"/>
      <c r="I393" s="117"/>
      <c r="J393" s="24"/>
      <c r="K393" s="24"/>
      <c r="L393" s="24"/>
      <c r="M393" s="24"/>
      <c r="N393" s="24"/>
      <c r="O393" s="24"/>
      <c r="P393" s="24"/>
      <c r="Q393" s="24"/>
      <c r="R393" s="24"/>
      <c r="S393" s="24"/>
      <c r="T393" s="24"/>
      <c r="U393" s="24"/>
      <c r="V393" s="24"/>
      <c r="W393" s="24"/>
      <c r="X393" s="24"/>
      <c r="Y393" s="24"/>
      <c r="Z393" s="24"/>
      <c r="AA393" s="24"/>
      <c r="AB393" s="24"/>
      <c r="AC393" s="24"/>
      <c r="AD393" s="24"/>
      <c r="AE393" s="24"/>
    </row>
    <row r="394" spans="1:31" ht="12.9">
      <c r="A394" s="24"/>
      <c r="B394" s="143"/>
      <c r="C394" s="24"/>
      <c r="D394" s="24"/>
      <c r="E394" s="24"/>
      <c r="F394" s="24"/>
      <c r="G394" s="24"/>
      <c r="H394" s="117"/>
      <c r="I394" s="117"/>
      <c r="J394" s="24"/>
      <c r="K394" s="24"/>
      <c r="L394" s="24"/>
      <c r="M394" s="24"/>
      <c r="N394" s="24"/>
      <c r="O394" s="24"/>
      <c r="P394" s="24"/>
      <c r="Q394" s="24"/>
      <c r="R394" s="24"/>
      <c r="S394" s="24"/>
      <c r="T394" s="24"/>
      <c r="U394" s="24"/>
      <c r="V394" s="24"/>
      <c r="W394" s="24"/>
      <c r="X394" s="24"/>
      <c r="Y394" s="24"/>
      <c r="Z394" s="24"/>
      <c r="AA394" s="24"/>
      <c r="AB394" s="24"/>
      <c r="AC394" s="24"/>
      <c r="AD394" s="24"/>
      <c r="AE394" s="24"/>
    </row>
    <row r="395" spans="1:31" ht="12.9">
      <c r="A395" s="24"/>
      <c r="B395" s="143"/>
      <c r="C395" s="24"/>
      <c r="D395" s="24"/>
      <c r="E395" s="24"/>
      <c r="F395" s="24"/>
      <c r="G395" s="24"/>
      <c r="H395" s="117"/>
      <c r="I395" s="117"/>
      <c r="J395" s="24"/>
      <c r="K395" s="24"/>
      <c r="L395" s="24"/>
      <c r="M395" s="24"/>
      <c r="N395" s="24"/>
      <c r="O395" s="24"/>
      <c r="P395" s="24"/>
      <c r="Q395" s="24"/>
      <c r="R395" s="24"/>
      <c r="S395" s="24"/>
      <c r="T395" s="24"/>
      <c r="U395" s="24"/>
      <c r="V395" s="24"/>
      <c r="W395" s="24"/>
      <c r="X395" s="24"/>
      <c r="Y395" s="24"/>
      <c r="Z395" s="24"/>
      <c r="AA395" s="24"/>
      <c r="AB395" s="24"/>
      <c r="AC395" s="24"/>
      <c r="AD395" s="24"/>
      <c r="AE395" s="24"/>
    </row>
    <row r="396" spans="1:31" ht="12.9">
      <c r="A396" s="24"/>
      <c r="B396" s="143"/>
      <c r="C396" s="24"/>
      <c r="D396" s="24"/>
      <c r="E396" s="24"/>
      <c r="F396" s="24"/>
      <c r="G396" s="24"/>
      <c r="H396" s="117"/>
      <c r="I396" s="117"/>
      <c r="J396" s="24"/>
      <c r="K396" s="24"/>
      <c r="L396" s="24"/>
      <c r="M396" s="24"/>
      <c r="N396" s="24"/>
      <c r="O396" s="24"/>
      <c r="P396" s="24"/>
      <c r="Q396" s="24"/>
      <c r="R396" s="24"/>
      <c r="S396" s="24"/>
      <c r="T396" s="24"/>
      <c r="U396" s="24"/>
      <c r="V396" s="24"/>
      <c r="W396" s="24"/>
      <c r="X396" s="24"/>
      <c r="Y396" s="24"/>
      <c r="Z396" s="24"/>
      <c r="AA396" s="24"/>
      <c r="AB396" s="24"/>
      <c r="AC396" s="24"/>
      <c r="AD396" s="24"/>
      <c r="AE396" s="24"/>
    </row>
    <row r="397" spans="1:31" ht="12.9">
      <c r="A397" s="24"/>
      <c r="B397" s="143"/>
      <c r="C397" s="24"/>
      <c r="D397" s="24"/>
      <c r="E397" s="24"/>
      <c r="F397" s="24"/>
      <c r="G397" s="24"/>
      <c r="H397" s="117"/>
      <c r="I397" s="117"/>
      <c r="J397" s="24"/>
      <c r="K397" s="24"/>
      <c r="L397" s="24"/>
      <c r="M397" s="24"/>
      <c r="N397" s="24"/>
      <c r="O397" s="24"/>
      <c r="P397" s="24"/>
      <c r="Q397" s="24"/>
      <c r="R397" s="24"/>
      <c r="S397" s="24"/>
      <c r="T397" s="24"/>
      <c r="U397" s="24"/>
      <c r="V397" s="24"/>
      <c r="W397" s="24"/>
      <c r="X397" s="24"/>
      <c r="Y397" s="24"/>
      <c r="Z397" s="24"/>
      <c r="AA397" s="24"/>
      <c r="AB397" s="24"/>
      <c r="AC397" s="24"/>
      <c r="AD397" s="24"/>
      <c r="AE397" s="24"/>
    </row>
    <row r="398" spans="1:31" ht="12.9">
      <c r="A398" s="24"/>
      <c r="B398" s="143"/>
      <c r="C398" s="24"/>
      <c r="D398" s="24"/>
      <c r="E398" s="24"/>
      <c r="F398" s="24"/>
      <c r="G398" s="24"/>
      <c r="H398" s="117"/>
      <c r="I398" s="117"/>
      <c r="J398" s="24"/>
      <c r="K398" s="24"/>
      <c r="L398" s="24"/>
      <c r="M398" s="24"/>
      <c r="N398" s="24"/>
      <c r="O398" s="24"/>
      <c r="P398" s="24"/>
      <c r="Q398" s="24"/>
      <c r="R398" s="24"/>
      <c r="S398" s="24"/>
      <c r="T398" s="24"/>
      <c r="U398" s="24"/>
      <c r="V398" s="24"/>
      <c r="W398" s="24"/>
      <c r="X398" s="24"/>
      <c r="Y398" s="24"/>
      <c r="Z398" s="24"/>
      <c r="AA398" s="24"/>
      <c r="AB398" s="24"/>
      <c r="AC398" s="24"/>
      <c r="AD398" s="24"/>
      <c r="AE398" s="24"/>
    </row>
    <row r="399" spans="1:31" ht="12.9">
      <c r="A399" s="24"/>
      <c r="B399" s="143"/>
      <c r="C399" s="24"/>
      <c r="D399" s="24"/>
      <c r="E399" s="24"/>
      <c r="F399" s="24"/>
      <c r="G399" s="24"/>
      <c r="H399" s="117"/>
      <c r="I399" s="117"/>
      <c r="J399" s="24"/>
      <c r="K399" s="24"/>
      <c r="L399" s="24"/>
      <c r="M399" s="24"/>
      <c r="N399" s="24"/>
      <c r="O399" s="24"/>
      <c r="P399" s="24"/>
      <c r="Q399" s="24"/>
      <c r="R399" s="24"/>
      <c r="S399" s="24"/>
      <c r="T399" s="24"/>
      <c r="U399" s="24"/>
      <c r="V399" s="24"/>
      <c r="W399" s="24"/>
      <c r="X399" s="24"/>
      <c r="Y399" s="24"/>
      <c r="Z399" s="24"/>
      <c r="AA399" s="24"/>
      <c r="AB399" s="24"/>
      <c r="AC399" s="24"/>
      <c r="AD399" s="24"/>
      <c r="AE399" s="24"/>
    </row>
    <row r="400" spans="1:31" ht="12.9">
      <c r="A400" s="24"/>
      <c r="B400" s="143"/>
      <c r="C400" s="24"/>
      <c r="D400" s="24"/>
      <c r="E400" s="24"/>
      <c r="F400" s="24"/>
      <c r="G400" s="24"/>
      <c r="H400" s="117"/>
      <c r="I400" s="117"/>
      <c r="J400" s="24"/>
      <c r="K400" s="24"/>
      <c r="L400" s="24"/>
      <c r="M400" s="24"/>
      <c r="N400" s="24"/>
      <c r="O400" s="24"/>
      <c r="P400" s="24"/>
      <c r="Q400" s="24"/>
      <c r="R400" s="24"/>
      <c r="S400" s="24"/>
      <c r="T400" s="24"/>
      <c r="U400" s="24"/>
      <c r="V400" s="24"/>
      <c r="W400" s="24"/>
      <c r="X400" s="24"/>
      <c r="Y400" s="24"/>
      <c r="Z400" s="24"/>
      <c r="AA400" s="24"/>
      <c r="AB400" s="24"/>
      <c r="AC400" s="24"/>
      <c r="AD400" s="24"/>
      <c r="AE400" s="24"/>
    </row>
    <row r="401" spans="1:31" ht="12.9">
      <c r="A401" s="24"/>
      <c r="B401" s="143"/>
      <c r="C401" s="24"/>
      <c r="D401" s="24"/>
      <c r="E401" s="24"/>
      <c r="F401" s="24"/>
      <c r="G401" s="24"/>
      <c r="H401" s="117"/>
      <c r="I401" s="117"/>
      <c r="J401" s="24"/>
      <c r="K401" s="24"/>
      <c r="L401" s="24"/>
      <c r="M401" s="24"/>
      <c r="N401" s="24"/>
      <c r="O401" s="24"/>
      <c r="P401" s="24"/>
      <c r="Q401" s="24"/>
      <c r="R401" s="24"/>
      <c r="S401" s="24"/>
      <c r="T401" s="24"/>
      <c r="U401" s="24"/>
      <c r="V401" s="24"/>
      <c r="W401" s="24"/>
      <c r="X401" s="24"/>
      <c r="Y401" s="24"/>
      <c r="Z401" s="24"/>
      <c r="AA401" s="24"/>
      <c r="AB401" s="24"/>
      <c r="AC401" s="24"/>
      <c r="AD401" s="24"/>
      <c r="AE401" s="24"/>
    </row>
    <row r="402" spans="1:31" ht="12.9">
      <c r="A402" s="24"/>
      <c r="B402" s="143"/>
      <c r="C402" s="24"/>
      <c r="D402" s="24"/>
      <c r="E402" s="24"/>
      <c r="F402" s="24"/>
      <c r="G402" s="24"/>
      <c r="H402" s="117"/>
      <c r="I402" s="117"/>
      <c r="J402" s="24"/>
      <c r="K402" s="24"/>
      <c r="L402" s="24"/>
      <c r="M402" s="24"/>
      <c r="N402" s="24"/>
      <c r="O402" s="24"/>
      <c r="P402" s="24"/>
      <c r="Q402" s="24"/>
      <c r="R402" s="24"/>
      <c r="S402" s="24"/>
      <c r="T402" s="24"/>
      <c r="U402" s="24"/>
      <c r="V402" s="24"/>
      <c r="W402" s="24"/>
      <c r="X402" s="24"/>
      <c r="Y402" s="24"/>
      <c r="Z402" s="24"/>
      <c r="AA402" s="24"/>
      <c r="AB402" s="24"/>
      <c r="AC402" s="24"/>
      <c r="AD402" s="24"/>
      <c r="AE402" s="24"/>
    </row>
    <row r="403" spans="1:31" ht="12.9">
      <c r="A403" s="24"/>
      <c r="B403" s="143"/>
      <c r="C403" s="24"/>
      <c r="D403" s="24"/>
      <c r="E403" s="24"/>
      <c r="F403" s="24"/>
      <c r="G403" s="24"/>
      <c r="H403" s="117"/>
      <c r="I403" s="117"/>
      <c r="J403" s="24"/>
      <c r="K403" s="24"/>
      <c r="L403" s="24"/>
      <c r="M403" s="24"/>
      <c r="N403" s="24"/>
      <c r="O403" s="24"/>
      <c r="P403" s="24"/>
      <c r="Q403" s="24"/>
      <c r="R403" s="24"/>
      <c r="S403" s="24"/>
      <c r="T403" s="24"/>
      <c r="U403" s="24"/>
      <c r="V403" s="24"/>
      <c r="W403" s="24"/>
      <c r="X403" s="24"/>
      <c r="Y403" s="24"/>
      <c r="Z403" s="24"/>
      <c r="AA403" s="24"/>
      <c r="AB403" s="24"/>
      <c r="AC403" s="24"/>
      <c r="AD403" s="24"/>
      <c r="AE403" s="24"/>
    </row>
    <row r="404" spans="1:31" ht="12.9">
      <c r="A404" s="24"/>
      <c r="B404" s="143"/>
      <c r="C404" s="24"/>
      <c r="D404" s="24"/>
      <c r="E404" s="24"/>
      <c r="F404" s="24"/>
      <c r="G404" s="24"/>
      <c r="H404" s="117"/>
      <c r="I404" s="117"/>
      <c r="J404" s="24"/>
      <c r="K404" s="24"/>
      <c r="L404" s="24"/>
      <c r="M404" s="24"/>
      <c r="N404" s="24"/>
      <c r="O404" s="24"/>
      <c r="P404" s="24"/>
      <c r="Q404" s="24"/>
      <c r="R404" s="24"/>
      <c r="S404" s="24"/>
      <c r="T404" s="24"/>
      <c r="U404" s="24"/>
      <c r="V404" s="24"/>
      <c r="W404" s="24"/>
      <c r="X404" s="24"/>
      <c r="Y404" s="24"/>
      <c r="Z404" s="24"/>
      <c r="AA404" s="24"/>
      <c r="AB404" s="24"/>
      <c r="AC404" s="24"/>
      <c r="AD404" s="24"/>
      <c r="AE404" s="24"/>
    </row>
    <row r="405" spans="1:31" ht="12.9">
      <c r="A405" s="24"/>
      <c r="B405" s="143"/>
      <c r="C405" s="24"/>
      <c r="D405" s="24"/>
      <c r="E405" s="24"/>
      <c r="F405" s="24"/>
      <c r="G405" s="24"/>
      <c r="H405" s="117"/>
      <c r="I405" s="117"/>
      <c r="J405" s="24"/>
      <c r="K405" s="24"/>
      <c r="L405" s="24"/>
      <c r="M405" s="24"/>
      <c r="N405" s="24"/>
      <c r="O405" s="24"/>
      <c r="P405" s="24"/>
      <c r="Q405" s="24"/>
      <c r="R405" s="24"/>
      <c r="S405" s="24"/>
      <c r="T405" s="24"/>
      <c r="U405" s="24"/>
      <c r="V405" s="24"/>
      <c r="W405" s="24"/>
      <c r="X405" s="24"/>
      <c r="Y405" s="24"/>
      <c r="Z405" s="24"/>
      <c r="AA405" s="24"/>
      <c r="AB405" s="24"/>
      <c r="AC405" s="24"/>
      <c r="AD405" s="24"/>
      <c r="AE405" s="24"/>
    </row>
    <row r="406" spans="1:31" ht="12.9">
      <c r="A406" s="24"/>
      <c r="B406" s="143"/>
      <c r="C406" s="24"/>
      <c r="D406" s="24"/>
      <c r="E406" s="24"/>
      <c r="F406" s="24"/>
      <c r="G406" s="24"/>
      <c r="H406" s="117"/>
      <c r="I406" s="117"/>
      <c r="J406" s="24"/>
      <c r="K406" s="24"/>
      <c r="L406" s="24"/>
      <c r="M406" s="24"/>
      <c r="N406" s="24"/>
      <c r="O406" s="24"/>
      <c r="P406" s="24"/>
      <c r="Q406" s="24"/>
      <c r="R406" s="24"/>
      <c r="S406" s="24"/>
      <c r="T406" s="24"/>
      <c r="U406" s="24"/>
      <c r="V406" s="24"/>
      <c r="W406" s="24"/>
      <c r="X406" s="24"/>
      <c r="Y406" s="24"/>
      <c r="Z406" s="24"/>
      <c r="AA406" s="24"/>
      <c r="AB406" s="24"/>
      <c r="AC406" s="24"/>
      <c r="AD406" s="24"/>
      <c r="AE406" s="24"/>
    </row>
    <row r="407" spans="1:31" ht="12.9">
      <c r="A407" s="24"/>
      <c r="B407" s="143"/>
      <c r="C407" s="24"/>
      <c r="D407" s="24"/>
      <c r="E407" s="24"/>
      <c r="F407" s="24"/>
      <c r="G407" s="24"/>
      <c r="H407" s="117"/>
      <c r="I407" s="117"/>
      <c r="J407" s="24"/>
      <c r="K407" s="24"/>
      <c r="L407" s="24"/>
      <c r="M407" s="24"/>
      <c r="N407" s="24"/>
      <c r="O407" s="24"/>
      <c r="P407" s="24"/>
      <c r="Q407" s="24"/>
      <c r="R407" s="24"/>
      <c r="S407" s="24"/>
      <c r="T407" s="24"/>
      <c r="U407" s="24"/>
      <c r="V407" s="24"/>
      <c r="W407" s="24"/>
      <c r="X407" s="24"/>
      <c r="Y407" s="24"/>
      <c r="Z407" s="24"/>
      <c r="AA407" s="24"/>
      <c r="AB407" s="24"/>
      <c r="AC407" s="24"/>
      <c r="AD407" s="24"/>
      <c r="AE407" s="24"/>
    </row>
    <row r="408" spans="1:31" ht="12.9">
      <c r="A408" s="24"/>
      <c r="B408" s="143"/>
      <c r="C408" s="24"/>
      <c r="D408" s="24"/>
      <c r="E408" s="24"/>
      <c r="F408" s="24"/>
      <c r="G408" s="24"/>
      <c r="H408" s="117"/>
      <c r="I408" s="117"/>
      <c r="J408" s="24"/>
      <c r="K408" s="24"/>
      <c r="L408" s="24"/>
      <c r="M408" s="24"/>
      <c r="N408" s="24"/>
      <c r="O408" s="24"/>
      <c r="P408" s="24"/>
      <c r="Q408" s="24"/>
      <c r="R408" s="24"/>
      <c r="S408" s="24"/>
      <c r="T408" s="24"/>
      <c r="U408" s="24"/>
      <c r="V408" s="24"/>
      <c r="W408" s="24"/>
      <c r="X408" s="24"/>
      <c r="Y408" s="24"/>
      <c r="Z408" s="24"/>
      <c r="AA408" s="24"/>
      <c r="AB408" s="24"/>
      <c r="AC408" s="24"/>
      <c r="AD408" s="24"/>
      <c r="AE408" s="24"/>
    </row>
    <row r="409" spans="1:31" ht="12.9">
      <c r="A409" s="24"/>
      <c r="B409" s="143"/>
      <c r="C409" s="24"/>
      <c r="D409" s="24"/>
      <c r="E409" s="24"/>
      <c r="F409" s="24"/>
      <c r="G409" s="24"/>
      <c r="H409" s="117"/>
      <c r="I409" s="117"/>
      <c r="J409" s="24"/>
      <c r="K409" s="24"/>
      <c r="L409" s="24"/>
      <c r="M409" s="24"/>
      <c r="N409" s="24"/>
      <c r="O409" s="24"/>
      <c r="P409" s="24"/>
      <c r="Q409" s="24"/>
      <c r="R409" s="24"/>
      <c r="S409" s="24"/>
      <c r="T409" s="24"/>
      <c r="U409" s="24"/>
      <c r="V409" s="24"/>
      <c r="W409" s="24"/>
      <c r="X409" s="24"/>
      <c r="Y409" s="24"/>
      <c r="Z409" s="24"/>
      <c r="AA409" s="24"/>
      <c r="AB409" s="24"/>
      <c r="AC409" s="24"/>
      <c r="AD409" s="24"/>
      <c r="AE409" s="24"/>
    </row>
    <row r="410" spans="1:31" ht="12.9">
      <c r="A410" s="24"/>
      <c r="B410" s="143"/>
      <c r="C410" s="24"/>
      <c r="D410" s="24"/>
      <c r="E410" s="24"/>
      <c r="F410" s="24"/>
      <c r="G410" s="24"/>
      <c r="H410" s="117"/>
      <c r="I410" s="117"/>
      <c r="J410" s="24"/>
      <c r="K410" s="24"/>
      <c r="L410" s="24"/>
      <c r="M410" s="24"/>
      <c r="N410" s="24"/>
      <c r="O410" s="24"/>
      <c r="P410" s="24"/>
      <c r="Q410" s="24"/>
      <c r="R410" s="24"/>
      <c r="S410" s="24"/>
      <c r="T410" s="24"/>
      <c r="U410" s="24"/>
      <c r="V410" s="24"/>
      <c r="W410" s="24"/>
      <c r="X410" s="24"/>
      <c r="Y410" s="24"/>
      <c r="Z410" s="24"/>
      <c r="AA410" s="24"/>
      <c r="AB410" s="24"/>
      <c r="AC410" s="24"/>
      <c r="AD410" s="24"/>
      <c r="AE410" s="24"/>
    </row>
    <row r="411" spans="1:31" ht="12.9">
      <c r="A411" s="24"/>
      <c r="B411" s="143"/>
      <c r="C411" s="24"/>
      <c r="D411" s="24"/>
      <c r="E411" s="24"/>
      <c r="F411" s="24"/>
      <c r="G411" s="24"/>
      <c r="H411" s="117"/>
      <c r="I411" s="117"/>
      <c r="J411" s="24"/>
      <c r="K411" s="24"/>
      <c r="L411" s="24"/>
      <c r="M411" s="24"/>
      <c r="N411" s="24"/>
      <c r="O411" s="24"/>
      <c r="P411" s="24"/>
      <c r="Q411" s="24"/>
      <c r="R411" s="24"/>
      <c r="S411" s="24"/>
      <c r="T411" s="24"/>
      <c r="U411" s="24"/>
      <c r="V411" s="24"/>
      <c r="W411" s="24"/>
      <c r="X411" s="24"/>
      <c r="Y411" s="24"/>
      <c r="Z411" s="24"/>
      <c r="AA411" s="24"/>
      <c r="AB411" s="24"/>
      <c r="AC411" s="24"/>
      <c r="AD411" s="24"/>
      <c r="AE411" s="24"/>
    </row>
    <row r="412" spans="1:31" ht="12.9">
      <c r="A412" s="24"/>
      <c r="B412" s="143"/>
      <c r="C412" s="24"/>
      <c r="D412" s="24"/>
      <c r="E412" s="24"/>
      <c r="F412" s="24"/>
      <c r="G412" s="24"/>
      <c r="H412" s="117"/>
      <c r="I412" s="117"/>
      <c r="J412" s="24"/>
      <c r="K412" s="24"/>
      <c r="L412" s="24"/>
      <c r="M412" s="24"/>
      <c r="N412" s="24"/>
      <c r="O412" s="24"/>
      <c r="P412" s="24"/>
      <c r="Q412" s="24"/>
      <c r="R412" s="24"/>
      <c r="S412" s="24"/>
      <c r="T412" s="24"/>
      <c r="U412" s="24"/>
      <c r="V412" s="24"/>
      <c r="W412" s="24"/>
      <c r="X412" s="24"/>
      <c r="Y412" s="24"/>
      <c r="Z412" s="24"/>
      <c r="AA412" s="24"/>
      <c r="AB412" s="24"/>
      <c r="AC412" s="24"/>
      <c r="AD412" s="24"/>
      <c r="AE412" s="24"/>
    </row>
    <row r="413" spans="1:31" ht="12.9">
      <c r="A413" s="24"/>
      <c r="B413" s="143"/>
      <c r="C413" s="24"/>
      <c r="D413" s="24"/>
      <c r="E413" s="24"/>
      <c r="F413" s="24"/>
      <c r="G413" s="24"/>
      <c r="H413" s="117"/>
      <c r="I413" s="117"/>
      <c r="J413" s="24"/>
      <c r="K413" s="24"/>
      <c r="L413" s="24"/>
      <c r="M413" s="24"/>
      <c r="N413" s="24"/>
      <c r="O413" s="24"/>
      <c r="P413" s="24"/>
      <c r="Q413" s="24"/>
      <c r="R413" s="24"/>
      <c r="S413" s="24"/>
      <c r="T413" s="24"/>
      <c r="U413" s="24"/>
      <c r="V413" s="24"/>
      <c r="W413" s="24"/>
      <c r="X413" s="24"/>
      <c r="Y413" s="24"/>
      <c r="Z413" s="24"/>
      <c r="AA413" s="24"/>
      <c r="AB413" s="24"/>
      <c r="AC413" s="24"/>
      <c r="AD413" s="24"/>
      <c r="AE413" s="24"/>
    </row>
    <row r="414" spans="1:31" ht="12.9">
      <c r="A414" s="24"/>
      <c r="B414" s="143"/>
      <c r="C414" s="24"/>
      <c r="D414" s="24"/>
      <c r="E414" s="24"/>
      <c r="F414" s="24"/>
      <c r="G414" s="24"/>
      <c r="H414" s="117"/>
      <c r="I414" s="117"/>
      <c r="J414" s="24"/>
      <c r="K414" s="24"/>
      <c r="L414" s="24"/>
      <c r="M414" s="24"/>
      <c r="N414" s="24"/>
      <c r="O414" s="24"/>
      <c r="P414" s="24"/>
      <c r="Q414" s="24"/>
      <c r="R414" s="24"/>
      <c r="S414" s="24"/>
      <c r="T414" s="24"/>
      <c r="U414" s="24"/>
      <c r="V414" s="24"/>
      <c r="W414" s="24"/>
      <c r="X414" s="24"/>
      <c r="Y414" s="24"/>
      <c r="Z414" s="24"/>
      <c r="AA414" s="24"/>
      <c r="AB414" s="24"/>
      <c r="AC414" s="24"/>
      <c r="AD414" s="24"/>
      <c r="AE414" s="24"/>
    </row>
    <row r="415" spans="1:31" ht="12.9">
      <c r="A415" s="24"/>
      <c r="B415" s="143"/>
      <c r="C415" s="24"/>
      <c r="D415" s="24"/>
      <c r="E415" s="24"/>
      <c r="F415" s="24"/>
      <c r="G415" s="24"/>
      <c r="H415" s="117"/>
      <c r="I415" s="117"/>
      <c r="J415" s="24"/>
      <c r="K415" s="24"/>
      <c r="L415" s="24"/>
      <c r="M415" s="24"/>
      <c r="N415" s="24"/>
      <c r="O415" s="24"/>
      <c r="P415" s="24"/>
      <c r="Q415" s="24"/>
      <c r="R415" s="24"/>
      <c r="S415" s="24"/>
      <c r="T415" s="24"/>
      <c r="U415" s="24"/>
      <c r="V415" s="24"/>
      <c r="W415" s="24"/>
      <c r="X415" s="24"/>
      <c r="Y415" s="24"/>
      <c r="Z415" s="24"/>
      <c r="AA415" s="24"/>
      <c r="AB415" s="24"/>
      <c r="AC415" s="24"/>
      <c r="AD415" s="24"/>
      <c r="AE415" s="24"/>
    </row>
    <row r="416" spans="1:31" ht="12.9">
      <c r="A416" s="24"/>
      <c r="B416" s="143"/>
      <c r="C416" s="24"/>
      <c r="D416" s="24"/>
      <c r="E416" s="24"/>
      <c r="F416" s="24"/>
      <c r="G416" s="24"/>
      <c r="H416" s="117"/>
      <c r="I416" s="117"/>
      <c r="J416" s="24"/>
      <c r="K416" s="24"/>
      <c r="L416" s="24"/>
      <c r="M416" s="24"/>
      <c r="N416" s="24"/>
      <c r="O416" s="24"/>
      <c r="P416" s="24"/>
      <c r="Q416" s="24"/>
      <c r="R416" s="24"/>
      <c r="S416" s="24"/>
      <c r="T416" s="24"/>
      <c r="U416" s="24"/>
      <c r="V416" s="24"/>
      <c r="W416" s="24"/>
      <c r="X416" s="24"/>
      <c r="Y416" s="24"/>
      <c r="Z416" s="24"/>
      <c r="AA416" s="24"/>
      <c r="AB416" s="24"/>
      <c r="AC416" s="24"/>
      <c r="AD416" s="24"/>
      <c r="AE416" s="24"/>
    </row>
    <row r="417" spans="1:31" ht="12.9">
      <c r="A417" s="24"/>
      <c r="B417" s="143"/>
      <c r="C417" s="24"/>
      <c r="D417" s="24"/>
      <c r="E417" s="24"/>
      <c r="F417" s="24"/>
      <c r="G417" s="24"/>
      <c r="H417" s="117"/>
      <c r="I417" s="117"/>
      <c r="J417" s="24"/>
      <c r="K417" s="24"/>
      <c r="L417" s="24"/>
      <c r="M417" s="24"/>
      <c r="N417" s="24"/>
      <c r="O417" s="24"/>
      <c r="P417" s="24"/>
      <c r="Q417" s="24"/>
      <c r="R417" s="24"/>
      <c r="S417" s="24"/>
      <c r="T417" s="24"/>
      <c r="U417" s="24"/>
      <c r="V417" s="24"/>
      <c r="W417" s="24"/>
      <c r="X417" s="24"/>
      <c r="Y417" s="24"/>
      <c r="Z417" s="24"/>
      <c r="AA417" s="24"/>
      <c r="AB417" s="24"/>
      <c r="AC417" s="24"/>
      <c r="AD417" s="24"/>
      <c r="AE417" s="24"/>
    </row>
    <row r="418" spans="1:31" ht="12.9">
      <c r="A418" s="24"/>
      <c r="B418" s="143"/>
      <c r="C418" s="24"/>
      <c r="D418" s="24"/>
      <c r="E418" s="24"/>
      <c r="F418" s="24"/>
      <c r="G418" s="24"/>
      <c r="H418" s="117"/>
      <c r="I418" s="117"/>
      <c r="J418" s="24"/>
      <c r="K418" s="24"/>
      <c r="L418" s="24"/>
      <c r="M418" s="24"/>
      <c r="N418" s="24"/>
      <c r="O418" s="24"/>
      <c r="P418" s="24"/>
      <c r="Q418" s="24"/>
      <c r="R418" s="24"/>
      <c r="S418" s="24"/>
      <c r="T418" s="24"/>
      <c r="U418" s="24"/>
      <c r="V418" s="24"/>
      <c r="W418" s="24"/>
      <c r="X418" s="24"/>
      <c r="Y418" s="24"/>
      <c r="Z418" s="24"/>
      <c r="AA418" s="24"/>
      <c r="AB418" s="24"/>
      <c r="AC418" s="24"/>
      <c r="AD418" s="24"/>
      <c r="AE418" s="24"/>
    </row>
    <row r="419" spans="1:31" ht="12.9">
      <c r="A419" s="24"/>
      <c r="B419" s="143"/>
      <c r="C419" s="24"/>
      <c r="D419" s="24"/>
      <c r="E419" s="24"/>
      <c r="F419" s="24"/>
      <c r="G419" s="24"/>
      <c r="H419" s="117"/>
      <c r="I419" s="117"/>
      <c r="J419" s="24"/>
      <c r="K419" s="24"/>
      <c r="L419" s="24"/>
      <c r="M419" s="24"/>
      <c r="N419" s="24"/>
      <c r="O419" s="24"/>
      <c r="P419" s="24"/>
      <c r="Q419" s="24"/>
      <c r="R419" s="24"/>
      <c r="S419" s="24"/>
      <c r="T419" s="24"/>
      <c r="U419" s="24"/>
      <c r="V419" s="24"/>
      <c r="W419" s="24"/>
      <c r="X419" s="24"/>
      <c r="Y419" s="24"/>
      <c r="Z419" s="24"/>
      <c r="AA419" s="24"/>
      <c r="AB419" s="24"/>
      <c r="AC419" s="24"/>
      <c r="AD419" s="24"/>
      <c r="AE419" s="24"/>
    </row>
    <row r="420" spans="1:31" ht="12.9">
      <c r="A420" s="24"/>
      <c r="B420" s="143"/>
      <c r="C420" s="24"/>
      <c r="D420" s="24"/>
      <c r="E420" s="24"/>
      <c r="F420" s="24"/>
      <c r="G420" s="24"/>
      <c r="H420" s="117"/>
      <c r="I420" s="117"/>
      <c r="J420" s="24"/>
      <c r="K420" s="24"/>
      <c r="L420" s="24"/>
      <c r="M420" s="24"/>
      <c r="N420" s="24"/>
      <c r="O420" s="24"/>
      <c r="P420" s="24"/>
      <c r="Q420" s="24"/>
      <c r="R420" s="24"/>
      <c r="S420" s="24"/>
      <c r="T420" s="24"/>
      <c r="U420" s="24"/>
      <c r="V420" s="24"/>
      <c r="W420" s="24"/>
      <c r="X420" s="24"/>
      <c r="Y420" s="24"/>
      <c r="Z420" s="24"/>
      <c r="AA420" s="24"/>
      <c r="AB420" s="24"/>
      <c r="AC420" s="24"/>
      <c r="AD420" s="24"/>
      <c r="AE420" s="24"/>
    </row>
    <row r="421" spans="1:31" ht="12.9">
      <c r="A421" s="24"/>
      <c r="B421" s="143"/>
      <c r="C421" s="24"/>
      <c r="D421" s="24"/>
      <c r="E421" s="24"/>
      <c r="F421" s="24"/>
      <c r="G421" s="24"/>
      <c r="H421" s="117"/>
      <c r="I421" s="117"/>
      <c r="J421" s="24"/>
      <c r="K421" s="24"/>
      <c r="L421" s="24"/>
      <c r="M421" s="24"/>
      <c r="N421" s="24"/>
      <c r="O421" s="24"/>
      <c r="P421" s="24"/>
      <c r="Q421" s="24"/>
      <c r="R421" s="24"/>
      <c r="S421" s="24"/>
      <c r="T421" s="24"/>
      <c r="U421" s="24"/>
      <c r="V421" s="24"/>
      <c r="W421" s="24"/>
      <c r="X421" s="24"/>
      <c r="Y421" s="24"/>
      <c r="Z421" s="24"/>
      <c r="AA421" s="24"/>
      <c r="AB421" s="24"/>
      <c r="AC421" s="24"/>
      <c r="AD421" s="24"/>
      <c r="AE421" s="24"/>
    </row>
    <row r="422" spans="1:31" ht="12.9">
      <c r="A422" s="24"/>
      <c r="B422" s="143"/>
      <c r="C422" s="24"/>
      <c r="D422" s="24"/>
      <c r="E422" s="24"/>
      <c r="F422" s="24"/>
      <c r="G422" s="24"/>
      <c r="H422" s="117"/>
      <c r="I422" s="117"/>
      <c r="J422" s="24"/>
      <c r="K422" s="24"/>
      <c r="L422" s="24"/>
      <c r="M422" s="24"/>
      <c r="N422" s="24"/>
      <c r="O422" s="24"/>
      <c r="P422" s="24"/>
      <c r="Q422" s="24"/>
      <c r="R422" s="24"/>
      <c r="S422" s="24"/>
      <c r="T422" s="24"/>
      <c r="U422" s="24"/>
      <c r="V422" s="24"/>
      <c r="W422" s="24"/>
      <c r="X422" s="24"/>
      <c r="Y422" s="24"/>
      <c r="Z422" s="24"/>
      <c r="AA422" s="24"/>
      <c r="AB422" s="24"/>
      <c r="AC422" s="24"/>
      <c r="AD422" s="24"/>
      <c r="AE422" s="24"/>
    </row>
    <row r="423" spans="1:31" ht="12.9">
      <c r="A423" s="24"/>
      <c r="B423" s="143"/>
      <c r="C423" s="24"/>
      <c r="D423" s="24"/>
      <c r="E423" s="24"/>
      <c r="F423" s="24"/>
      <c r="G423" s="24"/>
      <c r="H423" s="117"/>
      <c r="I423" s="117"/>
      <c r="J423" s="24"/>
      <c r="K423" s="24"/>
      <c r="L423" s="24"/>
      <c r="M423" s="24"/>
      <c r="N423" s="24"/>
      <c r="O423" s="24"/>
      <c r="P423" s="24"/>
      <c r="Q423" s="24"/>
      <c r="R423" s="24"/>
      <c r="S423" s="24"/>
      <c r="T423" s="24"/>
      <c r="U423" s="24"/>
      <c r="V423" s="24"/>
      <c r="W423" s="24"/>
      <c r="X423" s="24"/>
      <c r="Y423" s="24"/>
      <c r="Z423" s="24"/>
      <c r="AA423" s="24"/>
      <c r="AB423" s="24"/>
      <c r="AC423" s="24"/>
      <c r="AD423" s="24"/>
      <c r="AE423" s="24"/>
    </row>
    <row r="424" spans="1:31" ht="12.9">
      <c r="A424" s="24"/>
      <c r="B424" s="143"/>
      <c r="C424" s="24"/>
      <c r="D424" s="24"/>
      <c r="E424" s="24"/>
      <c r="F424" s="24"/>
      <c r="G424" s="24"/>
      <c r="H424" s="117"/>
      <c r="I424" s="117"/>
      <c r="J424" s="24"/>
      <c r="K424" s="24"/>
      <c r="L424" s="24"/>
      <c r="M424" s="24"/>
      <c r="N424" s="24"/>
      <c r="O424" s="24"/>
      <c r="P424" s="24"/>
      <c r="Q424" s="24"/>
      <c r="R424" s="24"/>
      <c r="S424" s="24"/>
      <c r="T424" s="24"/>
      <c r="U424" s="24"/>
      <c r="V424" s="24"/>
      <c r="W424" s="24"/>
      <c r="X424" s="24"/>
      <c r="Y424" s="24"/>
      <c r="Z424" s="24"/>
      <c r="AA424" s="24"/>
      <c r="AB424" s="24"/>
      <c r="AC424" s="24"/>
      <c r="AD424" s="24"/>
      <c r="AE424" s="24"/>
    </row>
    <row r="425" spans="1:31" ht="12.9">
      <c r="A425" s="24"/>
      <c r="B425" s="143"/>
      <c r="C425" s="24"/>
      <c r="D425" s="24"/>
      <c r="E425" s="24"/>
      <c r="F425" s="24"/>
      <c r="G425" s="24"/>
      <c r="H425" s="117"/>
      <c r="I425" s="117"/>
      <c r="J425" s="24"/>
      <c r="K425" s="24"/>
      <c r="L425" s="24"/>
      <c r="M425" s="24"/>
      <c r="N425" s="24"/>
      <c r="O425" s="24"/>
      <c r="P425" s="24"/>
      <c r="Q425" s="24"/>
      <c r="R425" s="24"/>
      <c r="S425" s="24"/>
      <c r="T425" s="24"/>
      <c r="U425" s="24"/>
      <c r="V425" s="24"/>
      <c r="W425" s="24"/>
      <c r="X425" s="24"/>
      <c r="Y425" s="24"/>
      <c r="Z425" s="24"/>
      <c r="AA425" s="24"/>
      <c r="AB425" s="24"/>
      <c r="AC425" s="24"/>
      <c r="AD425" s="24"/>
      <c r="AE425" s="24"/>
    </row>
    <row r="426" spans="1:31" ht="12.9">
      <c r="A426" s="24"/>
      <c r="B426" s="143"/>
      <c r="C426" s="24"/>
      <c r="D426" s="24"/>
      <c r="E426" s="24"/>
      <c r="F426" s="24"/>
      <c r="G426" s="24"/>
      <c r="H426" s="117"/>
      <c r="I426" s="117"/>
      <c r="J426" s="24"/>
      <c r="K426" s="24"/>
      <c r="L426" s="24"/>
      <c r="M426" s="24"/>
      <c r="N426" s="24"/>
      <c r="O426" s="24"/>
      <c r="P426" s="24"/>
      <c r="Q426" s="24"/>
      <c r="R426" s="24"/>
      <c r="S426" s="24"/>
      <c r="T426" s="24"/>
      <c r="U426" s="24"/>
      <c r="V426" s="24"/>
      <c r="W426" s="24"/>
      <c r="X426" s="24"/>
      <c r="Y426" s="24"/>
      <c r="Z426" s="24"/>
      <c r="AA426" s="24"/>
      <c r="AB426" s="24"/>
      <c r="AC426" s="24"/>
      <c r="AD426" s="24"/>
      <c r="AE426" s="24"/>
    </row>
    <row r="427" spans="1:31" ht="12.9">
      <c r="A427" s="24"/>
      <c r="B427" s="143"/>
      <c r="C427" s="24"/>
      <c r="D427" s="24"/>
      <c r="E427" s="24"/>
      <c r="F427" s="24"/>
      <c r="G427" s="24"/>
      <c r="H427" s="117"/>
      <c r="I427" s="117"/>
      <c r="J427" s="24"/>
      <c r="K427" s="24"/>
      <c r="L427" s="24"/>
      <c r="M427" s="24"/>
      <c r="N427" s="24"/>
      <c r="O427" s="24"/>
      <c r="P427" s="24"/>
      <c r="Q427" s="24"/>
      <c r="R427" s="24"/>
      <c r="S427" s="24"/>
      <c r="T427" s="24"/>
      <c r="U427" s="24"/>
      <c r="V427" s="24"/>
      <c r="W427" s="24"/>
      <c r="X427" s="24"/>
      <c r="Y427" s="24"/>
      <c r="Z427" s="24"/>
      <c r="AA427" s="24"/>
      <c r="AB427" s="24"/>
      <c r="AC427" s="24"/>
      <c r="AD427" s="24"/>
      <c r="AE427" s="24"/>
    </row>
    <row r="428" spans="1:31" ht="12.9">
      <c r="A428" s="24"/>
      <c r="B428" s="143"/>
      <c r="C428" s="24"/>
      <c r="D428" s="24"/>
      <c r="E428" s="24"/>
      <c r="F428" s="24"/>
      <c r="G428" s="24"/>
      <c r="H428" s="117"/>
      <c r="I428" s="117"/>
      <c r="J428" s="24"/>
      <c r="K428" s="24"/>
      <c r="L428" s="24"/>
      <c r="M428" s="24"/>
      <c r="N428" s="24"/>
      <c r="O428" s="24"/>
      <c r="P428" s="24"/>
      <c r="Q428" s="24"/>
      <c r="R428" s="24"/>
      <c r="S428" s="24"/>
      <c r="T428" s="24"/>
      <c r="U428" s="24"/>
      <c r="V428" s="24"/>
      <c r="W428" s="24"/>
      <c r="X428" s="24"/>
      <c r="Y428" s="24"/>
      <c r="Z428" s="24"/>
      <c r="AA428" s="24"/>
      <c r="AB428" s="24"/>
      <c r="AC428" s="24"/>
      <c r="AD428" s="24"/>
      <c r="AE428" s="24"/>
    </row>
    <row r="429" spans="1:31" ht="12.9">
      <c r="A429" s="24"/>
      <c r="B429" s="143"/>
      <c r="C429" s="24"/>
      <c r="D429" s="24"/>
      <c r="E429" s="24"/>
      <c r="F429" s="24"/>
      <c r="G429" s="24"/>
      <c r="H429" s="117"/>
      <c r="I429" s="117"/>
      <c r="J429" s="24"/>
      <c r="K429" s="24"/>
      <c r="L429" s="24"/>
      <c r="M429" s="24"/>
      <c r="N429" s="24"/>
      <c r="O429" s="24"/>
      <c r="P429" s="24"/>
      <c r="Q429" s="24"/>
      <c r="R429" s="24"/>
      <c r="S429" s="24"/>
      <c r="T429" s="24"/>
      <c r="U429" s="24"/>
      <c r="V429" s="24"/>
      <c r="W429" s="24"/>
      <c r="X429" s="24"/>
      <c r="Y429" s="24"/>
      <c r="Z429" s="24"/>
      <c r="AA429" s="24"/>
      <c r="AB429" s="24"/>
      <c r="AC429" s="24"/>
      <c r="AD429" s="24"/>
      <c r="AE429" s="24"/>
    </row>
    <row r="430" spans="1:31" ht="12.9">
      <c r="A430" s="24"/>
      <c r="B430" s="143"/>
      <c r="C430" s="24"/>
      <c r="D430" s="24"/>
      <c r="E430" s="24"/>
      <c r="F430" s="24"/>
      <c r="G430" s="24"/>
      <c r="H430" s="117"/>
      <c r="I430" s="117"/>
      <c r="J430" s="24"/>
      <c r="K430" s="24"/>
      <c r="L430" s="24"/>
      <c r="M430" s="24"/>
      <c r="N430" s="24"/>
      <c r="O430" s="24"/>
      <c r="P430" s="24"/>
      <c r="Q430" s="24"/>
      <c r="R430" s="24"/>
      <c r="S430" s="24"/>
      <c r="T430" s="24"/>
      <c r="U430" s="24"/>
      <c r="V430" s="24"/>
      <c r="W430" s="24"/>
      <c r="X430" s="24"/>
      <c r="Y430" s="24"/>
      <c r="Z430" s="24"/>
      <c r="AA430" s="24"/>
      <c r="AB430" s="24"/>
      <c r="AC430" s="24"/>
      <c r="AD430" s="24"/>
      <c r="AE430" s="24"/>
    </row>
    <row r="431" spans="1:31" ht="12.9">
      <c r="A431" s="24"/>
      <c r="B431" s="143"/>
      <c r="C431" s="24"/>
      <c r="D431" s="24"/>
      <c r="E431" s="24"/>
      <c r="F431" s="24"/>
      <c r="G431" s="24"/>
      <c r="H431" s="117"/>
      <c r="I431" s="117"/>
      <c r="J431" s="24"/>
      <c r="K431" s="24"/>
      <c r="L431" s="24"/>
      <c r="M431" s="24"/>
      <c r="N431" s="24"/>
      <c r="O431" s="24"/>
      <c r="P431" s="24"/>
      <c r="Q431" s="24"/>
      <c r="R431" s="24"/>
      <c r="S431" s="24"/>
      <c r="T431" s="24"/>
      <c r="U431" s="24"/>
      <c r="V431" s="24"/>
      <c r="W431" s="24"/>
      <c r="X431" s="24"/>
      <c r="Y431" s="24"/>
      <c r="Z431" s="24"/>
      <c r="AA431" s="24"/>
      <c r="AB431" s="24"/>
      <c r="AC431" s="24"/>
      <c r="AD431" s="24"/>
      <c r="AE431" s="24"/>
    </row>
    <row r="432" spans="1:31" ht="12.9">
      <c r="A432" s="24"/>
      <c r="B432" s="143"/>
      <c r="C432" s="24"/>
      <c r="D432" s="24"/>
      <c r="E432" s="24"/>
      <c r="F432" s="24"/>
      <c r="G432" s="24"/>
      <c r="H432" s="117"/>
      <c r="I432" s="117"/>
      <c r="J432" s="24"/>
      <c r="K432" s="24"/>
      <c r="L432" s="24"/>
      <c r="M432" s="24"/>
      <c r="N432" s="24"/>
      <c r="O432" s="24"/>
      <c r="P432" s="24"/>
      <c r="Q432" s="24"/>
      <c r="R432" s="24"/>
      <c r="S432" s="24"/>
      <c r="T432" s="24"/>
      <c r="U432" s="24"/>
      <c r="V432" s="24"/>
      <c r="W432" s="24"/>
      <c r="X432" s="24"/>
      <c r="Y432" s="24"/>
      <c r="Z432" s="24"/>
      <c r="AA432" s="24"/>
      <c r="AB432" s="24"/>
      <c r="AC432" s="24"/>
      <c r="AD432" s="24"/>
      <c r="AE432" s="24"/>
    </row>
    <row r="433" spans="1:31" ht="12.9">
      <c r="A433" s="24"/>
      <c r="B433" s="143"/>
      <c r="C433" s="24"/>
      <c r="D433" s="24"/>
      <c r="E433" s="24"/>
      <c r="F433" s="24"/>
      <c r="G433" s="24"/>
      <c r="H433" s="117"/>
      <c r="I433" s="117"/>
      <c r="J433" s="24"/>
      <c r="K433" s="24"/>
      <c r="L433" s="24"/>
      <c r="M433" s="24"/>
      <c r="N433" s="24"/>
      <c r="O433" s="24"/>
      <c r="P433" s="24"/>
      <c r="Q433" s="24"/>
      <c r="R433" s="24"/>
      <c r="S433" s="24"/>
      <c r="T433" s="24"/>
      <c r="U433" s="24"/>
      <c r="V433" s="24"/>
      <c r="W433" s="24"/>
      <c r="X433" s="24"/>
      <c r="Y433" s="24"/>
      <c r="Z433" s="24"/>
      <c r="AA433" s="24"/>
      <c r="AB433" s="24"/>
      <c r="AC433" s="24"/>
      <c r="AD433" s="24"/>
      <c r="AE433" s="24"/>
    </row>
    <row r="434" spans="1:31" ht="12.9">
      <c r="A434" s="24"/>
      <c r="B434" s="143"/>
      <c r="C434" s="24"/>
      <c r="D434" s="24"/>
      <c r="E434" s="24"/>
      <c r="F434" s="24"/>
      <c r="G434" s="24"/>
      <c r="H434" s="117"/>
      <c r="I434" s="117"/>
      <c r="J434" s="24"/>
      <c r="K434" s="24"/>
      <c r="L434" s="24"/>
      <c r="M434" s="24"/>
      <c r="N434" s="24"/>
      <c r="O434" s="24"/>
      <c r="P434" s="24"/>
      <c r="Q434" s="24"/>
      <c r="R434" s="24"/>
      <c r="S434" s="24"/>
      <c r="T434" s="24"/>
      <c r="U434" s="24"/>
      <c r="V434" s="24"/>
      <c r="W434" s="24"/>
      <c r="X434" s="24"/>
      <c r="Y434" s="24"/>
      <c r="Z434" s="24"/>
      <c r="AA434" s="24"/>
      <c r="AB434" s="24"/>
      <c r="AC434" s="24"/>
      <c r="AD434" s="24"/>
      <c r="AE434" s="24"/>
    </row>
    <row r="435" spans="1:31" ht="12.9">
      <c r="A435" s="24"/>
      <c r="B435" s="143"/>
      <c r="C435" s="24"/>
      <c r="D435" s="24"/>
      <c r="E435" s="24"/>
      <c r="F435" s="24"/>
      <c r="G435" s="24"/>
      <c r="H435" s="117"/>
      <c r="I435" s="117"/>
      <c r="J435" s="24"/>
      <c r="K435" s="24"/>
      <c r="L435" s="24"/>
      <c r="M435" s="24"/>
      <c r="N435" s="24"/>
      <c r="O435" s="24"/>
      <c r="P435" s="24"/>
      <c r="Q435" s="24"/>
      <c r="R435" s="24"/>
      <c r="S435" s="24"/>
      <c r="T435" s="24"/>
      <c r="U435" s="24"/>
      <c r="V435" s="24"/>
      <c r="W435" s="24"/>
      <c r="X435" s="24"/>
      <c r="Y435" s="24"/>
      <c r="Z435" s="24"/>
      <c r="AA435" s="24"/>
      <c r="AB435" s="24"/>
      <c r="AC435" s="24"/>
      <c r="AD435" s="24"/>
      <c r="AE435" s="24"/>
    </row>
    <row r="436" spans="1:31" ht="12.9">
      <c r="A436" s="24"/>
      <c r="B436" s="143"/>
      <c r="C436" s="24"/>
      <c r="D436" s="24"/>
      <c r="E436" s="24"/>
      <c r="F436" s="24"/>
      <c r="G436" s="24"/>
      <c r="H436" s="117"/>
      <c r="I436" s="117"/>
      <c r="J436" s="24"/>
      <c r="K436" s="24"/>
      <c r="L436" s="24"/>
      <c r="M436" s="24"/>
      <c r="N436" s="24"/>
      <c r="O436" s="24"/>
      <c r="P436" s="24"/>
      <c r="Q436" s="24"/>
      <c r="R436" s="24"/>
      <c r="S436" s="24"/>
      <c r="T436" s="24"/>
      <c r="U436" s="24"/>
      <c r="V436" s="24"/>
      <c r="W436" s="24"/>
      <c r="X436" s="24"/>
      <c r="Y436" s="24"/>
      <c r="Z436" s="24"/>
      <c r="AA436" s="24"/>
      <c r="AB436" s="24"/>
      <c r="AC436" s="24"/>
      <c r="AD436" s="24"/>
      <c r="AE436" s="24"/>
    </row>
    <row r="437" spans="1:31" ht="12.9">
      <c r="A437" s="24"/>
      <c r="B437" s="143"/>
      <c r="C437" s="24"/>
      <c r="D437" s="24"/>
      <c r="E437" s="24"/>
      <c r="F437" s="24"/>
      <c r="G437" s="24"/>
      <c r="H437" s="117"/>
      <c r="I437" s="117"/>
      <c r="J437" s="24"/>
      <c r="K437" s="24"/>
      <c r="L437" s="24"/>
      <c r="M437" s="24"/>
      <c r="N437" s="24"/>
      <c r="O437" s="24"/>
      <c r="P437" s="24"/>
      <c r="Q437" s="24"/>
      <c r="R437" s="24"/>
      <c r="S437" s="24"/>
      <c r="T437" s="24"/>
      <c r="U437" s="24"/>
      <c r="V437" s="24"/>
      <c r="W437" s="24"/>
      <c r="X437" s="24"/>
      <c r="Y437" s="24"/>
      <c r="Z437" s="24"/>
      <c r="AA437" s="24"/>
      <c r="AB437" s="24"/>
      <c r="AC437" s="24"/>
      <c r="AD437" s="24"/>
      <c r="AE437" s="24"/>
    </row>
    <row r="438" spans="1:31" ht="12.9">
      <c r="A438" s="24"/>
      <c r="B438" s="143"/>
      <c r="C438" s="24"/>
      <c r="D438" s="24"/>
      <c r="E438" s="24"/>
      <c r="F438" s="24"/>
      <c r="G438" s="24"/>
      <c r="H438" s="117"/>
      <c r="I438" s="117"/>
      <c r="J438" s="24"/>
      <c r="K438" s="24"/>
      <c r="L438" s="24"/>
      <c r="M438" s="24"/>
      <c r="N438" s="24"/>
      <c r="O438" s="24"/>
      <c r="P438" s="24"/>
      <c r="Q438" s="24"/>
      <c r="R438" s="24"/>
      <c r="S438" s="24"/>
      <c r="T438" s="24"/>
      <c r="U438" s="24"/>
      <c r="V438" s="24"/>
      <c r="W438" s="24"/>
      <c r="X438" s="24"/>
      <c r="Y438" s="24"/>
      <c r="Z438" s="24"/>
      <c r="AA438" s="24"/>
      <c r="AB438" s="24"/>
      <c r="AC438" s="24"/>
      <c r="AD438" s="24"/>
      <c r="AE438" s="24"/>
    </row>
    <row r="439" spans="1:31" ht="12.9">
      <c r="A439" s="24"/>
      <c r="B439" s="143"/>
      <c r="C439" s="24"/>
      <c r="D439" s="24"/>
      <c r="E439" s="24"/>
      <c r="F439" s="24"/>
      <c r="G439" s="24"/>
      <c r="H439" s="117"/>
      <c r="I439" s="117"/>
      <c r="J439" s="24"/>
      <c r="K439" s="24"/>
      <c r="L439" s="24"/>
      <c r="M439" s="24"/>
      <c r="N439" s="24"/>
      <c r="O439" s="24"/>
      <c r="P439" s="24"/>
      <c r="Q439" s="24"/>
      <c r="R439" s="24"/>
      <c r="S439" s="24"/>
      <c r="T439" s="24"/>
      <c r="U439" s="24"/>
      <c r="V439" s="24"/>
      <c r="W439" s="24"/>
      <c r="X439" s="24"/>
      <c r="Y439" s="24"/>
      <c r="Z439" s="24"/>
      <c r="AA439" s="24"/>
      <c r="AB439" s="24"/>
      <c r="AC439" s="24"/>
      <c r="AD439" s="24"/>
      <c r="AE439" s="24"/>
    </row>
    <row r="440" spans="1:31" ht="12.9">
      <c r="A440" s="24"/>
      <c r="B440" s="143"/>
      <c r="C440" s="24"/>
      <c r="D440" s="24"/>
      <c r="E440" s="24"/>
      <c r="F440" s="24"/>
      <c r="G440" s="24"/>
      <c r="H440" s="117"/>
      <c r="I440" s="117"/>
      <c r="J440" s="24"/>
      <c r="K440" s="24"/>
      <c r="L440" s="24"/>
      <c r="M440" s="24"/>
      <c r="N440" s="24"/>
      <c r="O440" s="24"/>
      <c r="P440" s="24"/>
      <c r="Q440" s="24"/>
      <c r="R440" s="24"/>
      <c r="S440" s="24"/>
      <c r="T440" s="24"/>
      <c r="U440" s="24"/>
      <c r="V440" s="24"/>
      <c r="W440" s="24"/>
      <c r="X440" s="24"/>
      <c r="Y440" s="24"/>
      <c r="Z440" s="24"/>
      <c r="AA440" s="24"/>
      <c r="AB440" s="24"/>
      <c r="AC440" s="24"/>
      <c r="AD440" s="24"/>
      <c r="AE440" s="24"/>
    </row>
    <row r="441" spans="1:31" ht="12.9">
      <c r="A441" s="24"/>
      <c r="B441" s="143"/>
      <c r="C441" s="24"/>
      <c r="D441" s="24"/>
      <c r="E441" s="24"/>
      <c r="F441" s="24"/>
      <c r="G441" s="24"/>
      <c r="H441" s="117"/>
      <c r="I441" s="117"/>
      <c r="J441" s="24"/>
      <c r="K441" s="24"/>
      <c r="L441" s="24"/>
      <c r="M441" s="24"/>
      <c r="N441" s="24"/>
      <c r="O441" s="24"/>
      <c r="P441" s="24"/>
      <c r="Q441" s="24"/>
      <c r="R441" s="24"/>
      <c r="S441" s="24"/>
      <c r="T441" s="24"/>
      <c r="U441" s="24"/>
      <c r="V441" s="24"/>
      <c r="W441" s="24"/>
      <c r="X441" s="24"/>
      <c r="Y441" s="24"/>
      <c r="Z441" s="24"/>
      <c r="AA441" s="24"/>
      <c r="AB441" s="24"/>
      <c r="AC441" s="24"/>
      <c r="AD441" s="24"/>
      <c r="AE441" s="24"/>
    </row>
    <row r="442" spans="1:31" ht="12.9">
      <c r="A442" s="24"/>
      <c r="B442" s="143"/>
      <c r="C442" s="24"/>
      <c r="D442" s="24"/>
      <c r="E442" s="24"/>
      <c r="F442" s="24"/>
      <c r="G442" s="24"/>
      <c r="H442" s="117"/>
      <c r="I442" s="117"/>
      <c r="J442" s="24"/>
      <c r="K442" s="24"/>
      <c r="L442" s="24"/>
      <c r="M442" s="24"/>
      <c r="N442" s="24"/>
      <c r="O442" s="24"/>
      <c r="P442" s="24"/>
      <c r="Q442" s="24"/>
      <c r="R442" s="24"/>
      <c r="S442" s="24"/>
      <c r="T442" s="24"/>
      <c r="U442" s="24"/>
      <c r="V442" s="24"/>
      <c r="W442" s="24"/>
      <c r="X442" s="24"/>
      <c r="Y442" s="24"/>
      <c r="Z442" s="24"/>
      <c r="AA442" s="24"/>
      <c r="AB442" s="24"/>
      <c r="AC442" s="24"/>
      <c r="AD442" s="24"/>
      <c r="AE442" s="24"/>
    </row>
    <row r="443" spans="1:31" ht="12.9">
      <c r="A443" s="24"/>
      <c r="B443" s="143"/>
      <c r="C443" s="24"/>
      <c r="D443" s="24"/>
      <c r="E443" s="24"/>
      <c r="F443" s="24"/>
      <c r="G443" s="24"/>
      <c r="H443" s="117"/>
      <c r="I443" s="117"/>
      <c r="J443" s="24"/>
      <c r="K443" s="24"/>
      <c r="L443" s="24"/>
      <c r="M443" s="24"/>
      <c r="N443" s="24"/>
      <c r="O443" s="24"/>
      <c r="P443" s="24"/>
      <c r="Q443" s="24"/>
      <c r="R443" s="24"/>
      <c r="S443" s="24"/>
      <c r="T443" s="24"/>
      <c r="U443" s="24"/>
      <c r="V443" s="24"/>
      <c r="W443" s="24"/>
      <c r="X443" s="24"/>
      <c r="Y443" s="24"/>
      <c r="Z443" s="24"/>
      <c r="AA443" s="24"/>
      <c r="AB443" s="24"/>
      <c r="AC443" s="24"/>
      <c r="AD443" s="24"/>
      <c r="AE443" s="24"/>
    </row>
    <row r="444" spans="1:31" ht="12.9">
      <c r="A444" s="24"/>
      <c r="B444" s="143"/>
      <c r="C444" s="24"/>
      <c r="D444" s="24"/>
      <c r="E444" s="24"/>
      <c r="F444" s="24"/>
      <c r="G444" s="24"/>
      <c r="H444" s="117"/>
      <c r="I444" s="117"/>
      <c r="J444" s="24"/>
      <c r="K444" s="24"/>
      <c r="L444" s="24"/>
      <c r="M444" s="24"/>
      <c r="N444" s="24"/>
      <c r="O444" s="24"/>
      <c r="P444" s="24"/>
      <c r="Q444" s="24"/>
      <c r="R444" s="24"/>
      <c r="S444" s="24"/>
      <c r="T444" s="24"/>
      <c r="U444" s="24"/>
      <c r="V444" s="24"/>
      <c r="W444" s="24"/>
      <c r="X444" s="24"/>
      <c r="Y444" s="24"/>
      <c r="Z444" s="24"/>
      <c r="AA444" s="24"/>
      <c r="AB444" s="24"/>
      <c r="AC444" s="24"/>
      <c r="AD444" s="24"/>
      <c r="AE444" s="24"/>
    </row>
    <row r="445" spans="1:31" ht="12.9">
      <c r="A445" s="24"/>
      <c r="B445" s="143"/>
      <c r="C445" s="24"/>
      <c r="D445" s="24"/>
      <c r="E445" s="24"/>
      <c r="F445" s="24"/>
      <c r="G445" s="24"/>
      <c r="H445" s="117"/>
      <c r="I445" s="117"/>
      <c r="J445" s="24"/>
      <c r="K445" s="24"/>
      <c r="L445" s="24"/>
      <c r="M445" s="24"/>
      <c r="N445" s="24"/>
      <c r="O445" s="24"/>
      <c r="P445" s="24"/>
      <c r="Q445" s="24"/>
      <c r="R445" s="24"/>
      <c r="S445" s="24"/>
      <c r="T445" s="24"/>
      <c r="U445" s="24"/>
      <c r="V445" s="24"/>
      <c r="W445" s="24"/>
      <c r="X445" s="24"/>
      <c r="Y445" s="24"/>
      <c r="Z445" s="24"/>
      <c r="AA445" s="24"/>
      <c r="AB445" s="24"/>
      <c r="AC445" s="24"/>
      <c r="AD445" s="24"/>
      <c r="AE445" s="24"/>
    </row>
    <row r="446" spans="1:31" ht="12.9">
      <c r="A446" s="24"/>
      <c r="B446" s="143"/>
      <c r="C446" s="24"/>
      <c r="D446" s="24"/>
      <c r="E446" s="24"/>
      <c r="F446" s="24"/>
      <c r="G446" s="24"/>
      <c r="H446" s="117"/>
      <c r="I446" s="117"/>
      <c r="J446" s="24"/>
      <c r="K446" s="24"/>
      <c r="L446" s="24"/>
      <c r="M446" s="24"/>
      <c r="N446" s="24"/>
      <c r="O446" s="24"/>
      <c r="P446" s="24"/>
      <c r="Q446" s="24"/>
      <c r="R446" s="24"/>
      <c r="S446" s="24"/>
      <c r="T446" s="24"/>
      <c r="U446" s="24"/>
      <c r="V446" s="24"/>
      <c r="W446" s="24"/>
      <c r="X446" s="24"/>
      <c r="Y446" s="24"/>
      <c r="Z446" s="24"/>
      <c r="AA446" s="24"/>
      <c r="AB446" s="24"/>
      <c r="AC446" s="24"/>
      <c r="AD446" s="24"/>
      <c r="AE446" s="24"/>
    </row>
    <row r="447" spans="1:31" ht="12.9">
      <c r="A447" s="24"/>
      <c r="B447" s="143"/>
      <c r="C447" s="24"/>
      <c r="D447" s="24"/>
      <c r="E447" s="24"/>
      <c r="F447" s="24"/>
      <c r="G447" s="24"/>
      <c r="H447" s="117"/>
      <c r="I447" s="117"/>
      <c r="J447" s="24"/>
      <c r="K447" s="24"/>
      <c r="L447" s="24"/>
      <c r="M447" s="24"/>
      <c r="N447" s="24"/>
      <c r="O447" s="24"/>
      <c r="P447" s="24"/>
      <c r="Q447" s="24"/>
      <c r="R447" s="24"/>
      <c r="S447" s="24"/>
      <c r="T447" s="24"/>
      <c r="U447" s="24"/>
      <c r="V447" s="24"/>
      <c r="W447" s="24"/>
      <c r="X447" s="24"/>
      <c r="Y447" s="24"/>
      <c r="Z447" s="24"/>
      <c r="AA447" s="24"/>
      <c r="AB447" s="24"/>
      <c r="AC447" s="24"/>
      <c r="AD447" s="24"/>
      <c r="AE447" s="24"/>
    </row>
    <row r="448" spans="1:31" ht="12.9">
      <c r="A448" s="24"/>
      <c r="B448" s="143"/>
      <c r="C448" s="24"/>
      <c r="D448" s="24"/>
      <c r="E448" s="24"/>
      <c r="F448" s="24"/>
      <c r="G448" s="24"/>
      <c r="H448" s="117"/>
      <c r="I448" s="117"/>
      <c r="J448" s="24"/>
      <c r="K448" s="24"/>
      <c r="L448" s="24"/>
      <c r="M448" s="24"/>
      <c r="N448" s="24"/>
      <c r="O448" s="24"/>
      <c r="P448" s="24"/>
      <c r="Q448" s="24"/>
      <c r="R448" s="24"/>
      <c r="S448" s="24"/>
      <c r="T448" s="24"/>
      <c r="U448" s="24"/>
      <c r="V448" s="24"/>
      <c r="W448" s="24"/>
      <c r="X448" s="24"/>
      <c r="Y448" s="24"/>
      <c r="Z448" s="24"/>
      <c r="AA448" s="24"/>
      <c r="AB448" s="24"/>
      <c r="AC448" s="24"/>
      <c r="AD448" s="24"/>
      <c r="AE448" s="24"/>
    </row>
    <row r="449" spans="1:31" ht="12.9">
      <c r="A449" s="24"/>
      <c r="B449" s="143"/>
      <c r="C449" s="24"/>
      <c r="D449" s="24"/>
      <c r="E449" s="24"/>
      <c r="F449" s="24"/>
      <c r="G449" s="24"/>
      <c r="H449" s="117"/>
      <c r="I449" s="117"/>
      <c r="J449" s="24"/>
      <c r="K449" s="24"/>
      <c r="L449" s="24"/>
      <c r="M449" s="24"/>
      <c r="N449" s="24"/>
      <c r="O449" s="24"/>
      <c r="P449" s="24"/>
      <c r="Q449" s="24"/>
      <c r="R449" s="24"/>
      <c r="S449" s="24"/>
      <c r="T449" s="24"/>
      <c r="U449" s="24"/>
      <c r="V449" s="24"/>
      <c r="W449" s="24"/>
      <c r="X449" s="24"/>
      <c r="Y449" s="24"/>
      <c r="Z449" s="24"/>
      <c r="AA449" s="24"/>
      <c r="AB449" s="24"/>
      <c r="AC449" s="24"/>
      <c r="AD449" s="24"/>
      <c r="AE449" s="24"/>
    </row>
    <row r="450" spans="1:31" ht="12.9">
      <c r="A450" s="24"/>
      <c r="B450" s="143"/>
      <c r="C450" s="24"/>
      <c r="D450" s="24"/>
      <c r="E450" s="24"/>
      <c r="F450" s="24"/>
      <c r="G450" s="24"/>
      <c r="H450" s="117"/>
      <c r="I450" s="117"/>
      <c r="J450" s="24"/>
      <c r="K450" s="24"/>
      <c r="L450" s="24"/>
      <c r="M450" s="24"/>
      <c r="N450" s="24"/>
      <c r="O450" s="24"/>
      <c r="P450" s="24"/>
      <c r="Q450" s="24"/>
      <c r="R450" s="24"/>
      <c r="S450" s="24"/>
      <c r="T450" s="24"/>
      <c r="U450" s="24"/>
      <c r="V450" s="24"/>
      <c r="W450" s="24"/>
      <c r="X450" s="24"/>
      <c r="Y450" s="24"/>
      <c r="Z450" s="24"/>
      <c r="AA450" s="24"/>
      <c r="AB450" s="24"/>
      <c r="AC450" s="24"/>
      <c r="AD450" s="24"/>
      <c r="AE450" s="24"/>
    </row>
    <row r="451" spans="1:31" ht="12.9">
      <c r="A451" s="24"/>
      <c r="B451" s="143"/>
      <c r="C451" s="24"/>
      <c r="D451" s="24"/>
      <c r="E451" s="24"/>
      <c r="F451" s="24"/>
      <c r="G451" s="24"/>
      <c r="H451" s="117"/>
      <c r="I451" s="117"/>
      <c r="J451" s="24"/>
      <c r="K451" s="24"/>
      <c r="L451" s="24"/>
      <c r="M451" s="24"/>
      <c r="N451" s="24"/>
      <c r="O451" s="24"/>
      <c r="P451" s="24"/>
      <c r="Q451" s="24"/>
      <c r="R451" s="24"/>
      <c r="S451" s="24"/>
      <c r="T451" s="24"/>
      <c r="U451" s="24"/>
      <c r="V451" s="24"/>
      <c r="W451" s="24"/>
      <c r="X451" s="24"/>
      <c r="Y451" s="24"/>
      <c r="Z451" s="24"/>
      <c r="AA451" s="24"/>
      <c r="AB451" s="24"/>
      <c r="AC451" s="24"/>
      <c r="AD451" s="24"/>
      <c r="AE451" s="24"/>
    </row>
    <row r="452" spans="1:31" ht="12.9">
      <c r="A452" s="24"/>
      <c r="B452" s="143"/>
      <c r="C452" s="24"/>
      <c r="D452" s="24"/>
      <c r="E452" s="24"/>
      <c r="F452" s="24"/>
      <c r="G452" s="24"/>
      <c r="H452" s="117"/>
      <c r="I452" s="117"/>
      <c r="J452" s="24"/>
      <c r="K452" s="24"/>
      <c r="L452" s="24"/>
      <c r="M452" s="24"/>
      <c r="N452" s="24"/>
      <c r="O452" s="24"/>
      <c r="P452" s="24"/>
      <c r="Q452" s="24"/>
      <c r="R452" s="24"/>
      <c r="S452" s="24"/>
      <c r="T452" s="24"/>
      <c r="U452" s="24"/>
      <c r="V452" s="24"/>
      <c r="W452" s="24"/>
      <c r="X452" s="24"/>
      <c r="Y452" s="24"/>
      <c r="Z452" s="24"/>
      <c r="AA452" s="24"/>
      <c r="AB452" s="24"/>
      <c r="AC452" s="24"/>
      <c r="AD452" s="24"/>
      <c r="AE452" s="24"/>
    </row>
    <row r="453" spans="1:31" ht="12.9">
      <c r="A453" s="24"/>
      <c r="B453" s="143"/>
      <c r="C453" s="24"/>
      <c r="D453" s="24"/>
      <c r="E453" s="24"/>
      <c r="F453" s="24"/>
      <c r="G453" s="24"/>
      <c r="H453" s="117"/>
      <c r="I453" s="117"/>
      <c r="J453" s="24"/>
      <c r="K453" s="24"/>
      <c r="L453" s="24"/>
      <c r="M453" s="24"/>
      <c r="N453" s="24"/>
      <c r="O453" s="24"/>
      <c r="P453" s="24"/>
      <c r="Q453" s="24"/>
      <c r="R453" s="24"/>
      <c r="S453" s="24"/>
      <c r="T453" s="24"/>
      <c r="U453" s="24"/>
      <c r="V453" s="24"/>
      <c r="W453" s="24"/>
      <c r="X453" s="24"/>
      <c r="Y453" s="24"/>
      <c r="Z453" s="24"/>
      <c r="AA453" s="24"/>
      <c r="AB453" s="24"/>
      <c r="AC453" s="24"/>
      <c r="AD453" s="24"/>
      <c r="AE453" s="24"/>
    </row>
    <row r="454" spans="1:31" ht="12.9">
      <c r="A454" s="24"/>
      <c r="B454" s="143"/>
      <c r="C454" s="24"/>
      <c r="D454" s="24"/>
      <c r="E454" s="24"/>
      <c r="F454" s="24"/>
      <c r="G454" s="24"/>
      <c r="H454" s="117"/>
      <c r="I454" s="117"/>
      <c r="J454" s="24"/>
      <c r="K454" s="24"/>
      <c r="L454" s="24"/>
      <c r="M454" s="24"/>
      <c r="N454" s="24"/>
      <c r="O454" s="24"/>
      <c r="P454" s="24"/>
      <c r="Q454" s="24"/>
      <c r="R454" s="24"/>
      <c r="S454" s="24"/>
      <c r="T454" s="24"/>
      <c r="U454" s="24"/>
      <c r="V454" s="24"/>
      <c r="W454" s="24"/>
      <c r="X454" s="24"/>
      <c r="Y454" s="24"/>
      <c r="Z454" s="24"/>
      <c r="AA454" s="24"/>
      <c r="AB454" s="24"/>
      <c r="AC454" s="24"/>
      <c r="AD454" s="24"/>
      <c r="AE454" s="24"/>
    </row>
    <row r="455" spans="1:31" ht="12.9">
      <c r="A455" s="24"/>
      <c r="B455" s="143"/>
      <c r="C455" s="24"/>
      <c r="D455" s="24"/>
      <c r="E455" s="24"/>
      <c r="F455" s="24"/>
      <c r="G455" s="24"/>
      <c r="H455" s="117"/>
      <c r="I455" s="117"/>
      <c r="J455" s="24"/>
      <c r="K455" s="24"/>
      <c r="L455" s="24"/>
      <c r="M455" s="24"/>
      <c r="N455" s="24"/>
      <c r="O455" s="24"/>
      <c r="P455" s="24"/>
      <c r="Q455" s="24"/>
      <c r="R455" s="24"/>
      <c r="S455" s="24"/>
      <c r="T455" s="24"/>
      <c r="U455" s="24"/>
      <c r="V455" s="24"/>
      <c r="W455" s="24"/>
      <c r="X455" s="24"/>
      <c r="Y455" s="24"/>
      <c r="Z455" s="24"/>
      <c r="AA455" s="24"/>
      <c r="AB455" s="24"/>
      <c r="AC455" s="24"/>
      <c r="AD455" s="24"/>
      <c r="AE455" s="24"/>
    </row>
    <row r="456" spans="1:31" ht="12.9">
      <c r="A456" s="24"/>
      <c r="B456" s="143"/>
      <c r="C456" s="24"/>
      <c r="D456" s="24"/>
      <c r="E456" s="24"/>
      <c r="F456" s="24"/>
      <c r="G456" s="24"/>
      <c r="H456" s="117"/>
      <c r="I456" s="117"/>
      <c r="J456" s="24"/>
      <c r="K456" s="24"/>
      <c r="L456" s="24"/>
      <c r="M456" s="24"/>
      <c r="N456" s="24"/>
      <c r="O456" s="24"/>
      <c r="P456" s="24"/>
      <c r="Q456" s="24"/>
      <c r="R456" s="24"/>
      <c r="S456" s="24"/>
      <c r="T456" s="24"/>
      <c r="U456" s="24"/>
      <c r="V456" s="24"/>
      <c r="W456" s="24"/>
      <c r="X456" s="24"/>
      <c r="Y456" s="24"/>
      <c r="Z456" s="24"/>
      <c r="AA456" s="24"/>
      <c r="AB456" s="24"/>
      <c r="AC456" s="24"/>
      <c r="AD456" s="24"/>
      <c r="AE456" s="24"/>
    </row>
    <row r="457" spans="1:31" ht="12.9">
      <c r="A457" s="24"/>
      <c r="B457" s="143"/>
      <c r="C457" s="24"/>
      <c r="D457" s="24"/>
      <c r="E457" s="24"/>
      <c r="F457" s="24"/>
      <c r="G457" s="24"/>
      <c r="H457" s="117"/>
      <c r="I457" s="117"/>
      <c r="J457" s="24"/>
      <c r="K457" s="24"/>
      <c r="L457" s="24"/>
      <c r="M457" s="24"/>
      <c r="N457" s="24"/>
      <c r="O457" s="24"/>
      <c r="P457" s="24"/>
      <c r="Q457" s="24"/>
      <c r="R457" s="24"/>
      <c r="S457" s="24"/>
      <c r="T457" s="24"/>
      <c r="U457" s="24"/>
      <c r="V457" s="24"/>
      <c r="W457" s="24"/>
      <c r="X457" s="24"/>
      <c r="Y457" s="24"/>
      <c r="Z457" s="24"/>
      <c r="AA457" s="24"/>
      <c r="AB457" s="24"/>
      <c r="AC457" s="24"/>
      <c r="AD457" s="24"/>
      <c r="AE457" s="24"/>
    </row>
    <row r="458" spans="1:31" ht="12.9">
      <c r="A458" s="24"/>
      <c r="B458" s="143"/>
      <c r="C458" s="24"/>
      <c r="D458" s="24"/>
      <c r="E458" s="24"/>
      <c r="F458" s="24"/>
      <c r="G458" s="24"/>
      <c r="H458" s="117"/>
      <c r="I458" s="117"/>
      <c r="J458" s="24"/>
      <c r="K458" s="24"/>
      <c r="L458" s="24"/>
      <c r="M458" s="24"/>
      <c r="N458" s="24"/>
      <c r="O458" s="24"/>
      <c r="P458" s="24"/>
      <c r="Q458" s="24"/>
      <c r="R458" s="24"/>
      <c r="S458" s="24"/>
      <c r="T458" s="24"/>
      <c r="U458" s="24"/>
      <c r="V458" s="24"/>
      <c r="W458" s="24"/>
      <c r="X458" s="24"/>
      <c r="Y458" s="24"/>
      <c r="Z458" s="24"/>
      <c r="AA458" s="24"/>
      <c r="AB458" s="24"/>
      <c r="AC458" s="24"/>
      <c r="AD458" s="24"/>
      <c r="AE458" s="24"/>
    </row>
    <row r="459" spans="1:31" ht="12.9">
      <c r="A459" s="24"/>
      <c r="B459" s="143"/>
      <c r="C459" s="24"/>
      <c r="D459" s="24"/>
      <c r="E459" s="24"/>
      <c r="F459" s="24"/>
      <c r="G459" s="24"/>
      <c r="H459" s="117"/>
      <c r="I459" s="117"/>
      <c r="J459" s="24"/>
      <c r="K459" s="24"/>
      <c r="L459" s="24"/>
      <c r="M459" s="24"/>
      <c r="N459" s="24"/>
      <c r="O459" s="24"/>
      <c r="P459" s="24"/>
      <c r="Q459" s="24"/>
      <c r="R459" s="24"/>
      <c r="S459" s="24"/>
      <c r="T459" s="24"/>
      <c r="U459" s="24"/>
      <c r="V459" s="24"/>
      <c r="W459" s="24"/>
      <c r="X459" s="24"/>
      <c r="Y459" s="24"/>
      <c r="Z459" s="24"/>
      <c r="AA459" s="24"/>
      <c r="AB459" s="24"/>
      <c r="AC459" s="24"/>
      <c r="AD459" s="24"/>
      <c r="AE459" s="24"/>
    </row>
    <row r="460" spans="1:31" ht="12.9">
      <c r="A460" s="24"/>
      <c r="B460" s="143"/>
      <c r="C460" s="24"/>
      <c r="D460" s="24"/>
      <c r="E460" s="24"/>
      <c r="F460" s="24"/>
      <c r="G460" s="24"/>
      <c r="H460" s="117"/>
      <c r="I460" s="117"/>
      <c r="J460" s="24"/>
      <c r="K460" s="24"/>
      <c r="L460" s="24"/>
      <c r="M460" s="24"/>
      <c r="N460" s="24"/>
      <c r="O460" s="24"/>
      <c r="P460" s="24"/>
      <c r="Q460" s="24"/>
      <c r="R460" s="24"/>
      <c r="S460" s="24"/>
      <c r="T460" s="24"/>
      <c r="U460" s="24"/>
      <c r="V460" s="24"/>
      <c r="W460" s="24"/>
      <c r="X460" s="24"/>
      <c r="Y460" s="24"/>
      <c r="Z460" s="24"/>
      <c r="AA460" s="24"/>
      <c r="AB460" s="24"/>
      <c r="AC460" s="24"/>
      <c r="AD460" s="24"/>
      <c r="AE460" s="24"/>
    </row>
    <row r="461" spans="1:31" ht="12.9">
      <c r="A461" s="24"/>
      <c r="B461" s="143"/>
      <c r="C461" s="24"/>
      <c r="D461" s="24"/>
      <c r="E461" s="24"/>
      <c r="F461" s="24"/>
      <c r="G461" s="24"/>
      <c r="H461" s="117"/>
      <c r="I461" s="117"/>
      <c r="J461" s="24"/>
      <c r="K461" s="24"/>
      <c r="L461" s="24"/>
      <c r="M461" s="24"/>
      <c r="N461" s="24"/>
      <c r="O461" s="24"/>
      <c r="P461" s="24"/>
      <c r="Q461" s="24"/>
      <c r="R461" s="24"/>
      <c r="S461" s="24"/>
      <c r="T461" s="24"/>
      <c r="U461" s="24"/>
      <c r="V461" s="24"/>
      <c r="W461" s="24"/>
      <c r="X461" s="24"/>
      <c r="Y461" s="24"/>
      <c r="Z461" s="24"/>
      <c r="AA461" s="24"/>
      <c r="AB461" s="24"/>
      <c r="AC461" s="24"/>
      <c r="AD461" s="24"/>
      <c r="AE461" s="24"/>
    </row>
    <row r="462" spans="1:31" ht="12.9">
      <c r="A462" s="24"/>
      <c r="B462" s="143"/>
      <c r="C462" s="24"/>
      <c r="D462" s="24"/>
      <c r="E462" s="24"/>
      <c r="F462" s="24"/>
      <c r="G462" s="24"/>
      <c r="H462" s="117"/>
      <c r="I462" s="117"/>
      <c r="J462" s="24"/>
      <c r="K462" s="24"/>
      <c r="L462" s="24"/>
      <c r="M462" s="24"/>
      <c r="N462" s="24"/>
      <c r="O462" s="24"/>
      <c r="P462" s="24"/>
      <c r="Q462" s="24"/>
      <c r="R462" s="24"/>
      <c r="S462" s="24"/>
      <c r="T462" s="24"/>
      <c r="U462" s="24"/>
      <c r="V462" s="24"/>
      <c r="W462" s="24"/>
      <c r="X462" s="24"/>
      <c r="Y462" s="24"/>
      <c r="Z462" s="24"/>
      <c r="AA462" s="24"/>
      <c r="AB462" s="24"/>
      <c r="AC462" s="24"/>
      <c r="AD462" s="24"/>
      <c r="AE462" s="24"/>
    </row>
    <row r="463" spans="1:31" ht="12.9">
      <c r="A463" s="24"/>
      <c r="B463" s="143"/>
      <c r="C463" s="24"/>
      <c r="D463" s="24"/>
      <c r="E463" s="24"/>
      <c r="F463" s="24"/>
      <c r="G463" s="24"/>
      <c r="H463" s="117"/>
      <c r="I463" s="117"/>
      <c r="J463" s="24"/>
      <c r="K463" s="24"/>
      <c r="L463" s="24"/>
      <c r="M463" s="24"/>
      <c r="N463" s="24"/>
      <c r="O463" s="24"/>
      <c r="P463" s="24"/>
      <c r="Q463" s="24"/>
      <c r="R463" s="24"/>
      <c r="S463" s="24"/>
      <c r="T463" s="24"/>
      <c r="U463" s="24"/>
      <c r="V463" s="24"/>
      <c r="W463" s="24"/>
      <c r="X463" s="24"/>
      <c r="Y463" s="24"/>
      <c r="Z463" s="24"/>
      <c r="AA463" s="24"/>
      <c r="AB463" s="24"/>
      <c r="AC463" s="24"/>
      <c r="AD463" s="24"/>
      <c r="AE463" s="24"/>
    </row>
    <row r="464" spans="1:31" ht="12.9">
      <c r="A464" s="24"/>
      <c r="B464" s="143"/>
      <c r="C464" s="24"/>
      <c r="D464" s="24"/>
      <c r="E464" s="24"/>
      <c r="F464" s="24"/>
      <c r="G464" s="24"/>
      <c r="H464" s="117"/>
      <c r="I464" s="117"/>
      <c r="J464" s="24"/>
      <c r="K464" s="24"/>
      <c r="L464" s="24"/>
      <c r="M464" s="24"/>
      <c r="N464" s="24"/>
      <c r="O464" s="24"/>
      <c r="P464" s="24"/>
      <c r="Q464" s="24"/>
      <c r="R464" s="24"/>
      <c r="S464" s="24"/>
      <c r="T464" s="24"/>
      <c r="U464" s="24"/>
      <c r="V464" s="24"/>
      <c r="W464" s="24"/>
      <c r="X464" s="24"/>
      <c r="Y464" s="24"/>
      <c r="Z464" s="24"/>
      <c r="AA464" s="24"/>
      <c r="AB464" s="24"/>
      <c r="AC464" s="24"/>
      <c r="AD464" s="24"/>
      <c r="AE464" s="24"/>
    </row>
    <row r="465" spans="1:31" ht="12.9">
      <c r="A465" s="24"/>
      <c r="B465" s="143"/>
      <c r="C465" s="24"/>
      <c r="D465" s="24"/>
      <c r="E465" s="24"/>
      <c r="F465" s="24"/>
      <c r="G465" s="24"/>
      <c r="H465" s="117"/>
      <c r="I465" s="117"/>
      <c r="J465" s="24"/>
      <c r="K465" s="24"/>
      <c r="L465" s="24"/>
      <c r="M465" s="24"/>
      <c r="N465" s="24"/>
      <c r="O465" s="24"/>
      <c r="P465" s="24"/>
      <c r="Q465" s="24"/>
      <c r="R465" s="24"/>
      <c r="S465" s="24"/>
      <c r="T465" s="24"/>
      <c r="U465" s="24"/>
      <c r="V465" s="24"/>
      <c r="W465" s="24"/>
      <c r="X465" s="24"/>
      <c r="Y465" s="24"/>
      <c r="Z465" s="24"/>
      <c r="AA465" s="24"/>
      <c r="AB465" s="24"/>
      <c r="AC465" s="24"/>
      <c r="AD465" s="24"/>
      <c r="AE465" s="24"/>
    </row>
    <row r="466" spans="1:31" ht="12.9">
      <c r="A466" s="24"/>
      <c r="B466" s="143"/>
      <c r="C466" s="24"/>
      <c r="D466" s="24"/>
      <c r="E466" s="24"/>
      <c r="F466" s="24"/>
      <c r="G466" s="24"/>
      <c r="H466" s="117"/>
      <c r="I466" s="117"/>
      <c r="J466" s="24"/>
      <c r="K466" s="24"/>
      <c r="L466" s="24"/>
      <c r="M466" s="24"/>
      <c r="N466" s="24"/>
      <c r="O466" s="24"/>
      <c r="P466" s="24"/>
      <c r="Q466" s="24"/>
      <c r="R466" s="24"/>
      <c r="S466" s="24"/>
      <c r="T466" s="24"/>
      <c r="U466" s="24"/>
      <c r="V466" s="24"/>
      <c r="W466" s="24"/>
      <c r="X466" s="24"/>
      <c r="Y466" s="24"/>
      <c r="Z466" s="24"/>
      <c r="AA466" s="24"/>
      <c r="AB466" s="24"/>
      <c r="AC466" s="24"/>
      <c r="AD466" s="24"/>
      <c r="AE466" s="24"/>
    </row>
    <row r="467" spans="1:31" ht="12.9">
      <c r="A467" s="24"/>
      <c r="B467" s="143"/>
      <c r="C467" s="24"/>
      <c r="D467" s="24"/>
      <c r="E467" s="24"/>
      <c r="F467" s="24"/>
      <c r="G467" s="24"/>
      <c r="H467" s="117"/>
      <c r="I467" s="117"/>
      <c r="J467" s="24"/>
      <c r="K467" s="24"/>
      <c r="L467" s="24"/>
      <c r="M467" s="24"/>
      <c r="N467" s="24"/>
      <c r="O467" s="24"/>
      <c r="P467" s="24"/>
      <c r="Q467" s="24"/>
      <c r="R467" s="24"/>
      <c r="S467" s="24"/>
      <c r="T467" s="24"/>
      <c r="U467" s="24"/>
      <c r="V467" s="24"/>
      <c r="W467" s="24"/>
      <c r="X467" s="24"/>
      <c r="Y467" s="24"/>
      <c r="Z467" s="24"/>
      <c r="AA467" s="24"/>
      <c r="AB467" s="24"/>
      <c r="AC467" s="24"/>
      <c r="AD467" s="24"/>
      <c r="AE467" s="24"/>
    </row>
    <row r="468" spans="1:31" ht="12.9">
      <c r="A468" s="24"/>
      <c r="B468" s="143"/>
      <c r="C468" s="24"/>
      <c r="D468" s="24"/>
      <c r="E468" s="24"/>
      <c r="F468" s="24"/>
      <c r="G468" s="24"/>
      <c r="H468" s="117"/>
      <c r="I468" s="117"/>
      <c r="J468" s="24"/>
      <c r="K468" s="24"/>
      <c r="L468" s="24"/>
      <c r="M468" s="24"/>
      <c r="N468" s="24"/>
      <c r="O468" s="24"/>
      <c r="P468" s="24"/>
      <c r="Q468" s="24"/>
      <c r="R468" s="24"/>
      <c r="S468" s="24"/>
      <c r="T468" s="24"/>
      <c r="U468" s="24"/>
      <c r="V468" s="24"/>
      <c r="W468" s="24"/>
      <c r="X468" s="24"/>
      <c r="Y468" s="24"/>
      <c r="Z468" s="24"/>
      <c r="AA468" s="24"/>
      <c r="AB468" s="24"/>
      <c r="AC468" s="24"/>
      <c r="AD468" s="24"/>
      <c r="AE468" s="24"/>
    </row>
    <row r="469" spans="1:31" ht="12.9">
      <c r="A469" s="24"/>
      <c r="B469" s="143"/>
      <c r="C469" s="24"/>
      <c r="D469" s="24"/>
      <c r="E469" s="24"/>
      <c r="F469" s="24"/>
      <c r="G469" s="24"/>
      <c r="H469" s="117"/>
      <c r="I469" s="117"/>
      <c r="J469" s="24"/>
      <c r="K469" s="24"/>
      <c r="L469" s="24"/>
      <c r="M469" s="24"/>
      <c r="N469" s="24"/>
      <c r="O469" s="24"/>
      <c r="P469" s="24"/>
      <c r="Q469" s="24"/>
      <c r="R469" s="24"/>
      <c r="S469" s="24"/>
      <c r="T469" s="24"/>
      <c r="U469" s="24"/>
      <c r="V469" s="24"/>
      <c r="W469" s="24"/>
      <c r="X469" s="24"/>
      <c r="Y469" s="24"/>
      <c r="Z469" s="24"/>
      <c r="AA469" s="24"/>
      <c r="AB469" s="24"/>
      <c r="AC469" s="24"/>
      <c r="AD469" s="24"/>
      <c r="AE469" s="24"/>
    </row>
    <row r="470" spans="1:31" ht="12.9">
      <c r="A470" s="24"/>
      <c r="B470" s="143"/>
      <c r="C470" s="24"/>
      <c r="D470" s="24"/>
      <c r="E470" s="24"/>
      <c r="F470" s="24"/>
      <c r="G470" s="24"/>
      <c r="H470" s="117"/>
      <c r="I470" s="117"/>
      <c r="J470" s="24"/>
      <c r="K470" s="24"/>
      <c r="L470" s="24"/>
      <c r="M470" s="24"/>
      <c r="N470" s="24"/>
      <c r="O470" s="24"/>
      <c r="P470" s="24"/>
      <c r="Q470" s="24"/>
      <c r="R470" s="24"/>
      <c r="S470" s="24"/>
      <c r="T470" s="24"/>
      <c r="U470" s="24"/>
      <c r="V470" s="24"/>
      <c r="W470" s="24"/>
      <c r="X470" s="24"/>
      <c r="Y470" s="24"/>
      <c r="Z470" s="24"/>
      <c r="AA470" s="24"/>
      <c r="AB470" s="24"/>
      <c r="AC470" s="24"/>
      <c r="AD470" s="24"/>
      <c r="AE470" s="24"/>
    </row>
    <row r="471" spans="1:31" ht="12.9">
      <c r="A471" s="24"/>
      <c r="B471" s="143"/>
      <c r="C471" s="24"/>
      <c r="D471" s="24"/>
      <c r="E471" s="24"/>
      <c r="F471" s="24"/>
      <c r="G471" s="24"/>
      <c r="H471" s="117"/>
      <c r="I471" s="117"/>
      <c r="J471" s="24"/>
      <c r="K471" s="24"/>
      <c r="L471" s="24"/>
      <c r="M471" s="24"/>
      <c r="N471" s="24"/>
      <c r="O471" s="24"/>
      <c r="P471" s="24"/>
      <c r="Q471" s="24"/>
      <c r="R471" s="24"/>
      <c r="S471" s="24"/>
      <c r="T471" s="24"/>
      <c r="U471" s="24"/>
      <c r="V471" s="24"/>
      <c r="W471" s="24"/>
      <c r="X471" s="24"/>
      <c r="Y471" s="24"/>
      <c r="Z471" s="24"/>
      <c r="AA471" s="24"/>
      <c r="AB471" s="24"/>
      <c r="AC471" s="24"/>
      <c r="AD471" s="24"/>
      <c r="AE471" s="24"/>
    </row>
    <row r="472" spans="1:31" ht="12.9">
      <c r="A472" s="24"/>
      <c r="B472" s="143"/>
      <c r="C472" s="24"/>
      <c r="D472" s="24"/>
      <c r="E472" s="24"/>
      <c r="F472" s="24"/>
      <c r="G472" s="24"/>
      <c r="H472" s="117"/>
      <c r="I472" s="117"/>
      <c r="J472" s="24"/>
      <c r="K472" s="24"/>
      <c r="L472" s="24"/>
      <c r="M472" s="24"/>
      <c r="N472" s="24"/>
      <c r="O472" s="24"/>
      <c r="P472" s="24"/>
      <c r="Q472" s="24"/>
      <c r="R472" s="24"/>
      <c r="S472" s="24"/>
      <c r="T472" s="24"/>
      <c r="U472" s="24"/>
      <c r="V472" s="24"/>
      <c r="W472" s="24"/>
      <c r="X472" s="24"/>
      <c r="Y472" s="24"/>
      <c r="Z472" s="24"/>
      <c r="AA472" s="24"/>
      <c r="AB472" s="24"/>
      <c r="AC472" s="24"/>
      <c r="AD472" s="24"/>
      <c r="AE472" s="24"/>
    </row>
    <row r="473" spans="1:31" ht="12.9">
      <c r="A473" s="24"/>
      <c r="B473" s="143"/>
      <c r="C473" s="24"/>
      <c r="D473" s="24"/>
      <c r="E473" s="24"/>
      <c r="F473" s="24"/>
      <c r="G473" s="24"/>
      <c r="H473" s="117"/>
      <c r="I473" s="117"/>
      <c r="J473" s="24"/>
      <c r="K473" s="24"/>
      <c r="L473" s="24"/>
      <c r="M473" s="24"/>
      <c r="N473" s="24"/>
      <c r="O473" s="24"/>
      <c r="P473" s="24"/>
      <c r="Q473" s="24"/>
      <c r="R473" s="24"/>
      <c r="S473" s="24"/>
      <c r="T473" s="24"/>
      <c r="U473" s="24"/>
      <c r="V473" s="24"/>
      <c r="W473" s="24"/>
      <c r="X473" s="24"/>
      <c r="Y473" s="24"/>
      <c r="Z473" s="24"/>
      <c r="AA473" s="24"/>
      <c r="AB473" s="24"/>
      <c r="AC473" s="24"/>
      <c r="AD473" s="24"/>
      <c r="AE473" s="24"/>
    </row>
    <row r="474" spans="1:31" ht="12.9">
      <c r="A474" s="24"/>
      <c r="B474" s="143"/>
      <c r="C474" s="24"/>
      <c r="D474" s="24"/>
      <c r="E474" s="24"/>
      <c r="F474" s="24"/>
      <c r="G474" s="24"/>
      <c r="H474" s="117"/>
      <c r="I474" s="117"/>
      <c r="J474" s="24"/>
      <c r="K474" s="24"/>
      <c r="L474" s="24"/>
      <c r="M474" s="24"/>
      <c r="N474" s="24"/>
      <c r="O474" s="24"/>
      <c r="P474" s="24"/>
      <c r="Q474" s="24"/>
      <c r="R474" s="24"/>
      <c r="S474" s="24"/>
      <c r="T474" s="24"/>
      <c r="U474" s="24"/>
      <c r="V474" s="24"/>
      <c r="W474" s="24"/>
      <c r="X474" s="24"/>
      <c r="Y474" s="24"/>
      <c r="Z474" s="24"/>
      <c r="AA474" s="24"/>
      <c r="AB474" s="24"/>
      <c r="AC474" s="24"/>
      <c r="AD474" s="24"/>
      <c r="AE474" s="24"/>
    </row>
    <row r="475" spans="1:31" ht="12.9">
      <c r="A475" s="24"/>
      <c r="B475" s="143"/>
      <c r="C475" s="24"/>
      <c r="D475" s="24"/>
      <c r="E475" s="24"/>
      <c r="F475" s="24"/>
      <c r="G475" s="24"/>
      <c r="H475" s="117"/>
      <c r="I475" s="117"/>
      <c r="J475" s="24"/>
      <c r="K475" s="24"/>
      <c r="L475" s="24"/>
      <c r="M475" s="24"/>
      <c r="N475" s="24"/>
      <c r="O475" s="24"/>
      <c r="P475" s="24"/>
      <c r="Q475" s="24"/>
      <c r="R475" s="24"/>
      <c r="S475" s="24"/>
      <c r="T475" s="24"/>
      <c r="U475" s="24"/>
      <c r="V475" s="24"/>
      <c r="W475" s="24"/>
      <c r="X475" s="24"/>
      <c r="Y475" s="24"/>
      <c r="Z475" s="24"/>
      <c r="AA475" s="24"/>
      <c r="AB475" s="24"/>
      <c r="AC475" s="24"/>
      <c r="AD475" s="24"/>
      <c r="AE475" s="24"/>
    </row>
    <row r="476" spans="1:31" ht="12.9">
      <c r="A476" s="24"/>
      <c r="B476" s="143"/>
      <c r="C476" s="24"/>
      <c r="D476" s="24"/>
      <c r="E476" s="24"/>
      <c r="F476" s="24"/>
      <c r="G476" s="24"/>
      <c r="H476" s="117"/>
      <c r="I476" s="117"/>
      <c r="J476" s="24"/>
      <c r="K476" s="24"/>
      <c r="L476" s="24"/>
      <c r="M476" s="24"/>
      <c r="N476" s="24"/>
      <c r="O476" s="24"/>
      <c r="P476" s="24"/>
      <c r="Q476" s="24"/>
      <c r="R476" s="24"/>
      <c r="S476" s="24"/>
      <c r="T476" s="24"/>
      <c r="U476" s="24"/>
      <c r="V476" s="24"/>
      <c r="W476" s="24"/>
      <c r="X476" s="24"/>
      <c r="Y476" s="24"/>
      <c r="Z476" s="24"/>
      <c r="AA476" s="24"/>
      <c r="AB476" s="24"/>
      <c r="AC476" s="24"/>
      <c r="AD476" s="24"/>
      <c r="AE476" s="24"/>
    </row>
    <row r="477" spans="1:31" ht="12.9">
      <c r="A477" s="24"/>
      <c r="B477" s="143"/>
      <c r="C477" s="24"/>
      <c r="D477" s="24"/>
      <c r="E477" s="24"/>
      <c r="F477" s="24"/>
      <c r="G477" s="24"/>
      <c r="H477" s="117"/>
      <c r="I477" s="117"/>
      <c r="J477" s="24"/>
      <c r="K477" s="24"/>
      <c r="L477" s="24"/>
      <c r="M477" s="24"/>
      <c r="N477" s="24"/>
      <c r="O477" s="24"/>
      <c r="P477" s="24"/>
      <c r="Q477" s="24"/>
      <c r="R477" s="24"/>
      <c r="S477" s="24"/>
      <c r="T477" s="24"/>
      <c r="U477" s="24"/>
      <c r="V477" s="24"/>
      <c r="W477" s="24"/>
      <c r="X477" s="24"/>
      <c r="Y477" s="24"/>
      <c r="Z477" s="24"/>
      <c r="AA477" s="24"/>
      <c r="AB477" s="24"/>
      <c r="AC477" s="24"/>
      <c r="AD477" s="24"/>
      <c r="AE477" s="24"/>
    </row>
    <row r="478" spans="1:31" ht="12.9">
      <c r="A478" s="24"/>
      <c r="B478" s="143"/>
      <c r="C478" s="24"/>
      <c r="D478" s="24"/>
      <c r="E478" s="24"/>
      <c r="F478" s="24"/>
      <c r="G478" s="24"/>
      <c r="H478" s="117"/>
      <c r="I478" s="117"/>
      <c r="J478" s="24"/>
      <c r="K478" s="24"/>
      <c r="L478" s="24"/>
      <c r="M478" s="24"/>
      <c r="N478" s="24"/>
      <c r="O478" s="24"/>
      <c r="P478" s="24"/>
      <c r="Q478" s="24"/>
      <c r="R478" s="24"/>
      <c r="S478" s="24"/>
      <c r="T478" s="24"/>
      <c r="U478" s="24"/>
      <c r="V478" s="24"/>
      <c r="W478" s="24"/>
      <c r="X478" s="24"/>
      <c r="Y478" s="24"/>
      <c r="Z478" s="24"/>
      <c r="AA478" s="24"/>
      <c r="AB478" s="24"/>
      <c r="AC478" s="24"/>
      <c r="AD478" s="24"/>
      <c r="AE478" s="24"/>
    </row>
    <row r="479" spans="1:31" ht="12.9">
      <c r="A479" s="24"/>
      <c r="B479" s="143"/>
      <c r="C479" s="24"/>
      <c r="D479" s="24"/>
      <c r="E479" s="24"/>
      <c r="F479" s="24"/>
      <c r="G479" s="24"/>
      <c r="H479" s="117"/>
      <c r="I479" s="117"/>
      <c r="J479" s="24"/>
      <c r="K479" s="24"/>
      <c r="L479" s="24"/>
      <c r="M479" s="24"/>
      <c r="N479" s="24"/>
      <c r="O479" s="24"/>
      <c r="P479" s="24"/>
      <c r="Q479" s="24"/>
      <c r="R479" s="24"/>
      <c r="S479" s="24"/>
      <c r="T479" s="24"/>
      <c r="U479" s="24"/>
      <c r="V479" s="24"/>
      <c r="W479" s="24"/>
      <c r="X479" s="24"/>
      <c r="Y479" s="24"/>
      <c r="Z479" s="24"/>
      <c r="AA479" s="24"/>
      <c r="AB479" s="24"/>
      <c r="AC479" s="24"/>
      <c r="AD479" s="24"/>
      <c r="AE479" s="24"/>
    </row>
    <row r="480" spans="1:31" ht="12.9">
      <c r="A480" s="24"/>
      <c r="B480" s="143"/>
      <c r="C480" s="24"/>
      <c r="D480" s="24"/>
      <c r="E480" s="24"/>
      <c r="F480" s="24"/>
      <c r="G480" s="24"/>
      <c r="H480" s="117"/>
      <c r="I480" s="117"/>
      <c r="J480" s="24"/>
      <c r="K480" s="24"/>
      <c r="L480" s="24"/>
      <c r="M480" s="24"/>
      <c r="N480" s="24"/>
      <c r="O480" s="24"/>
      <c r="P480" s="24"/>
      <c r="Q480" s="24"/>
      <c r="R480" s="24"/>
      <c r="S480" s="24"/>
      <c r="T480" s="24"/>
      <c r="U480" s="24"/>
      <c r="V480" s="24"/>
      <c r="W480" s="24"/>
      <c r="X480" s="24"/>
      <c r="Y480" s="24"/>
      <c r="Z480" s="24"/>
      <c r="AA480" s="24"/>
      <c r="AB480" s="24"/>
      <c r="AC480" s="24"/>
      <c r="AD480" s="24"/>
      <c r="AE480" s="24"/>
    </row>
    <row r="481" spans="1:31" ht="12.9">
      <c r="A481" s="24"/>
      <c r="B481" s="143"/>
      <c r="C481" s="24"/>
      <c r="D481" s="24"/>
      <c r="E481" s="24"/>
      <c r="F481" s="24"/>
      <c r="G481" s="24"/>
      <c r="H481" s="117"/>
      <c r="I481" s="117"/>
      <c r="J481" s="24"/>
      <c r="K481" s="24"/>
      <c r="L481" s="24"/>
      <c r="M481" s="24"/>
      <c r="N481" s="24"/>
      <c r="O481" s="24"/>
      <c r="P481" s="24"/>
      <c r="Q481" s="24"/>
      <c r="R481" s="24"/>
      <c r="S481" s="24"/>
      <c r="T481" s="24"/>
      <c r="U481" s="24"/>
      <c r="V481" s="24"/>
      <c r="W481" s="24"/>
      <c r="X481" s="24"/>
      <c r="Y481" s="24"/>
      <c r="Z481" s="24"/>
      <c r="AA481" s="24"/>
      <c r="AB481" s="24"/>
      <c r="AC481" s="24"/>
      <c r="AD481" s="24"/>
      <c r="AE481" s="24"/>
    </row>
    <row r="482" spans="1:31" ht="12.9">
      <c r="A482" s="24"/>
      <c r="B482" s="143"/>
      <c r="C482" s="24"/>
      <c r="D482" s="24"/>
      <c r="E482" s="24"/>
      <c r="F482" s="24"/>
      <c r="G482" s="24"/>
      <c r="H482" s="117"/>
      <c r="I482" s="117"/>
      <c r="J482" s="24"/>
      <c r="K482" s="24"/>
      <c r="L482" s="24"/>
      <c r="M482" s="24"/>
      <c r="N482" s="24"/>
      <c r="O482" s="24"/>
      <c r="P482" s="24"/>
      <c r="Q482" s="24"/>
      <c r="R482" s="24"/>
      <c r="S482" s="24"/>
      <c r="T482" s="24"/>
      <c r="U482" s="24"/>
      <c r="V482" s="24"/>
      <c r="W482" s="24"/>
      <c r="X482" s="24"/>
      <c r="Y482" s="24"/>
      <c r="Z482" s="24"/>
      <c r="AA482" s="24"/>
      <c r="AB482" s="24"/>
      <c r="AC482" s="24"/>
      <c r="AD482" s="24"/>
      <c r="AE482" s="24"/>
    </row>
    <row r="483" spans="1:31" ht="12.9">
      <c r="A483" s="24"/>
      <c r="B483" s="143"/>
      <c r="C483" s="24"/>
      <c r="D483" s="24"/>
      <c r="E483" s="24"/>
      <c r="F483" s="24"/>
      <c r="G483" s="24"/>
      <c r="H483" s="117"/>
      <c r="I483" s="117"/>
      <c r="J483" s="24"/>
      <c r="K483" s="24"/>
      <c r="L483" s="24"/>
      <c r="M483" s="24"/>
      <c r="N483" s="24"/>
      <c r="O483" s="24"/>
      <c r="P483" s="24"/>
      <c r="Q483" s="24"/>
      <c r="R483" s="24"/>
      <c r="S483" s="24"/>
      <c r="T483" s="24"/>
      <c r="U483" s="24"/>
      <c r="V483" s="24"/>
      <c r="W483" s="24"/>
      <c r="X483" s="24"/>
      <c r="Y483" s="24"/>
      <c r="Z483" s="24"/>
      <c r="AA483" s="24"/>
      <c r="AB483" s="24"/>
      <c r="AC483" s="24"/>
      <c r="AD483" s="24"/>
      <c r="AE483" s="24"/>
    </row>
    <row r="484" spans="1:31" ht="12.9">
      <c r="A484" s="24"/>
      <c r="B484" s="143"/>
      <c r="C484" s="24"/>
      <c r="D484" s="24"/>
      <c r="E484" s="24"/>
      <c r="F484" s="24"/>
      <c r="G484" s="24"/>
      <c r="H484" s="117"/>
      <c r="I484" s="117"/>
      <c r="J484" s="24"/>
      <c r="K484" s="24"/>
      <c r="L484" s="24"/>
      <c r="M484" s="24"/>
      <c r="N484" s="24"/>
      <c r="O484" s="24"/>
      <c r="P484" s="24"/>
      <c r="Q484" s="24"/>
      <c r="R484" s="24"/>
      <c r="S484" s="24"/>
      <c r="T484" s="24"/>
      <c r="U484" s="24"/>
      <c r="V484" s="24"/>
      <c r="W484" s="24"/>
      <c r="X484" s="24"/>
      <c r="Y484" s="24"/>
      <c r="Z484" s="24"/>
      <c r="AA484" s="24"/>
      <c r="AB484" s="24"/>
      <c r="AC484" s="24"/>
      <c r="AD484" s="24"/>
      <c r="AE484" s="24"/>
    </row>
    <row r="485" spans="1:31" ht="12.9">
      <c r="A485" s="24"/>
      <c r="B485" s="143"/>
      <c r="C485" s="24"/>
      <c r="D485" s="24"/>
      <c r="E485" s="24"/>
      <c r="F485" s="24"/>
      <c r="G485" s="24"/>
      <c r="H485" s="117"/>
      <c r="I485" s="117"/>
      <c r="J485" s="24"/>
      <c r="K485" s="24"/>
      <c r="L485" s="24"/>
      <c r="M485" s="24"/>
      <c r="N485" s="24"/>
      <c r="O485" s="24"/>
      <c r="P485" s="24"/>
      <c r="Q485" s="24"/>
      <c r="R485" s="24"/>
      <c r="S485" s="24"/>
      <c r="T485" s="24"/>
      <c r="U485" s="24"/>
      <c r="V485" s="24"/>
      <c r="W485" s="24"/>
      <c r="X485" s="24"/>
      <c r="Y485" s="24"/>
      <c r="Z485" s="24"/>
      <c r="AA485" s="24"/>
      <c r="AB485" s="24"/>
      <c r="AC485" s="24"/>
      <c r="AD485" s="24"/>
      <c r="AE485" s="24"/>
    </row>
    <row r="486" spans="1:31" ht="12.9">
      <c r="A486" s="24"/>
      <c r="B486" s="143"/>
      <c r="C486" s="24"/>
      <c r="D486" s="24"/>
      <c r="E486" s="24"/>
      <c r="F486" s="24"/>
      <c r="G486" s="24"/>
      <c r="H486" s="117"/>
      <c r="I486" s="117"/>
      <c r="J486" s="24"/>
      <c r="K486" s="24"/>
      <c r="L486" s="24"/>
      <c r="M486" s="24"/>
      <c r="N486" s="24"/>
      <c r="O486" s="24"/>
      <c r="P486" s="24"/>
      <c r="Q486" s="24"/>
      <c r="R486" s="24"/>
      <c r="S486" s="24"/>
      <c r="T486" s="24"/>
      <c r="U486" s="24"/>
      <c r="V486" s="24"/>
      <c r="W486" s="24"/>
      <c r="X486" s="24"/>
      <c r="Y486" s="24"/>
      <c r="Z486" s="24"/>
      <c r="AA486" s="24"/>
      <c r="AB486" s="24"/>
      <c r="AC486" s="24"/>
      <c r="AD486" s="24"/>
      <c r="AE486" s="24"/>
    </row>
    <row r="487" spans="1:31" ht="12.9">
      <c r="A487" s="24"/>
      <c r="B487" s="143"/>
      <c r="C487" s="24"/>
      <c r="D487" s="24"/>
      <c r="E487" s="24"/>
      <c r="F487" s="24"/>
      <c r="G487" s="24"/>
      <c r="H487" s="117"/>
      <c r="I487" s="117"/>
      <c r="J487" s="24"/>
      <c r="K487" s="24"/>
      <c r="L487" s="24"/>
      <c r="M487" s="24"/>
      <c r="N487" s="24"/>
      <c r="O487" s="24"/>
      <c r="P487" s="24"/>
      <c r="Q487" s="24"/>
      <c r="R487" s="24"/>
      <c r="S487" s="24"/>
      <c r="T487" s="24"/>
      <c r="U487" s="24"/>
      <c r="V487" s="24"/>
      <c r="W487" s="24"/>
      <c r="X487" s="24"/>
      <c r="Y487" s="24"/>
      <c r="Z487" s="24"/>
      <c r="AA487" s="24"/>
      <c r="AB487" s="24"/>
      <c r="AC487" s="24"/>
      <c r="AD487" s="24"/>
      <c r="AE487" s="24"/>
    </row>
    <row r="488" spans="1:31" ht="12.9">
      <c r="A488" s="24"/>
      <c r="B488" s="143"/>
      <c r="C488" s="24"/>
      <c r="D488" s="24"/>
      <c r="E488" s="24"/>
      <c r="F488" s="24"/>
      <c r="G488" s="24"/>
      <c r="H488" s="117"/>
      <c r="I488" s="117"/>
      <c r="J488" s="24"/>
      <c r="K488" s="24"/>
      <c r="L488" s="24"/>
      <c r="M488" s="24"/>
      <c r="N488" s="24"/>
      <c r="O488" s="24"/>
      <c r="P488" s="24"/>
      <c r="Q488" s="24"/>
      <c r="R488" s="24"/>
      <c r="S488" s="24"/>
      <c r="T488" s="24"/>
      <c r="U488" s="24"/>
      <c r="V488" s="24"/>
      <c r="W488" s="24"/>
      <c r="X488" s="24"/>
      <c r="Y488" s="24"/>
      <c r="Z488" s="24"/>
      <c r="AA488" s="24"/>
      <c r="AB488" s="24"/>
      <c r="AC488" s="24"/>
      <c r="AD488" s="24"/>
      <c r="AE488" s="24"/>
    </row>
    <row r="489" spans="1:31" ht="12.9">
      <c r="A489" s="24"/>
      <c r="B489" s="143"/>
      <c r="C489" s="24"/>
      <c r="D489" s="24"/>
      <c r="E489" s="24"/>
      <c r="F489" s="24"/>
      <c r="G489" s="24"/>
      <c r="H489" s="117"/>
      <c r="I489" s="117"/>
      <c r="J489" s="24"/>
      <c r="K489" s="24"/>
      <c r="L489" s="24"/>
      <c r="M489" s="24"/>
      <c r="N489" s="24"/>
      <c r="O489" s="24"/>
      <c r="P489" s="24"/>
      <c r="Q489" s="24"/>
      <c r="R489" s="24"/>
      <c r="S489" s="24"/>
      <c r="T489" s="24"/>
      <c r="U489" s="24"/>
      <c r="V489" s="24"/>
      <c r="W489" s="24"/>
      <c r="X489" s="24"/>
      <c r="Y489" s="24"/>
      <c r="Z489" s="24"/>
      <c r="AA489" s="24"/>
      <c r="AB489" s="24"/>
      <c r="AC489" s="24"/>
      <c r="AD489" s="24"/>
      <c r="AE489" s="24"/>
    </row>
    <row r="490" spans="1:31" ht="12.9">
      <c r="A490" s="24"/>
      <c r="B490" s="143"/>
      <c r="C490" s="24"/>
      <c r="D490" s="24"/>
      <c r="E490" s="24"/>
      <c r="F490" s="24"/>
      <c r="G490" s="24"/>
      <c r="H490" s="117"/>
      <c r="I490" s="117"/>
      <c r="J490" s="24"/>
      <c r="K490" s="24"/>
      <c r="L490" s="24"/>
      <c r="M490" s="24"/>
      <c r="N490" s="24"/>
      <c r="O490" s="24"/>
      <c r="P490" s="24"/>
      <c r="Q490" s="24"/>
      <c r="R490" s="24"/>
      <c r="S490" s="24"/>
      <c r="T490" s="24"/>
      <c r="U490" s="24"/>
      <c r="V490" s="24"/>
      <c r="W490" s="24"/>
      <c r="X490" s="24"/>
      <c r="Y490" s="24"/>
      <c r="Z490" s="24"/>
      <c r="AA490" s="24"/>
      <c r="AB490" s="24"/>
      <c r="AC490" s="24"/>
      <c r="AD490" s="24"/>
      <c r="AE490" s="24"/>
    </row>
    <row r="491" spans="1:31" ht="12.9">
      <c r="A491" s="24"/>
      <c r="B491" s="143"/>
      <c r="C491" s="24"/>
      <c r="D491" s="24"/>
      <c r="E491" s="24"/>
      <c r="F491" s="24"/>
      <c r="G491" s="24"/>
      <c r="H491" s="117"/>
      <c r="I491" s="117"/>
      <c r="J491" s="24"/>
      <c r="K491" s="24"/>
      <c r="L491" s="24"/>
      <c r="M491" s="24"/>
      <c r="N491" s="24"/>
      <c r="O491" s="24"/>
      <c r="P491" s="24"/>
      <c r="Q491" s="24"/>
      <c r="R491" s="24"/>
      <c r="S491" s="24"/>
      <c r="T491" s="24"/>
      <c r="U491" s="24"/>
      <c r="V491" s="24"/>
      <c r="W491" s="24"/>
      <c r="X491" s="24"/>
      <c r="Y491" s="24"/>
      <c r="Z491" s="24"/>
      <c r="AA491" s="24"/>
      <c r="AB491" s="24"/>
      <c r="AC491" s="24"/>
      <c r="AD491" s="24"/>
      <c r="AE491" s="24"/>
    </row>
    <row r="492" spans="1:31" ht="12.9">
      <c r="A492" s="24"/>
      <c r="B492" s="143"/>
      <c r="C492" s="24"/>
      <c r="D492" s="24"/>
      <c r="E492" s="24"/>
      <c r="F492" s="24"/>
      <c r="G492" s="24"/>
      <c r="H492" s="117"/>
      <c r="I492" s="117"/>
      <c r="J492" s="24"/>
      <c r="K492" s="24"/>
      <c r="L492" s="24"/>
      <c r="M492" s="24"/>
      <c r="N492" s="24"/>
      <c r="O492" s="24"/>
      <c r="P492" s="24"/>
      <c r="Q492" s="24"/>
      <c r="R492" s="24"/>
      <c r="S492" s="24"/>
      <c r="T492" s="24"/>
      <c r="U492" s="24"/>
      <c r="V492" s="24"/>
      <c r="W492" s="24"/>
      <c r="X492" s="24"/>
      <c r="Y492" s="24"/>
      <c r="Z492" s="24"/>
      <c r="AA492" s="24"/>
      <c r="AB492" s="24"/>
      <c r="AC492" s="24"/>
      <c r="AD492" s="24"/>
      <c r="AE492" s="24"/>
    </row>
    <row r="493" spans="1:31" ht="12.9">
      <c r="A493" s="24"/>
      <c r="B493" s="143"/>
      <c r="C493" s="24"/>
      <c r="D493" s="24"/>
      <c r="E493" s="24"/>
      <c r="F493" s="24"/>
      <c r="G493" s="24"/>
      <c r="H493" s="117"/>
      <c r="I493" s="117"/>
      <c r="J493" s="24"/>
      <c r="K493" s="24"/>
      <c r="L493" s="24"/>
      <c r="M493" s="24"/>
      <c r="N493" s="24"/>
      <c r="O493" s="24"/>
      <c r="P493" s="24"/>
      <c r="Q493" s="24"/>
      <c r="R493" s="24"/>
      <c r="S493" s="24"/>
      <c r="T493" s="24"/>
      <c r="U493" s="24"/>
      <c r="V493" s="24"/>
      <c r="W493" s="24"/>
      <c r="X493" s="24"/>
      <c r="Y493" s="24"/>
      <c r="Z493" s="24"/>
      <c r="AA493" s="24"/>
      <c r="AB493" s="24"/>
      <c r="AC493" s="24"/>
      <c r="AD493" s="24"/>
      <c r="AE493" s="24"/>
    </row>
    <row r="494" spans="1:31" ht="12.9">
      <c r="A494" s="24"/>
      <c r="B494" s="143"/>
      <c r="C494" s="24"/>
      <c r="D494" s="24"/>
      <c r="E494" s="24"/>
      <c r="F494" s="24"/>
      <c r="G494" s="24"/>
      <c r="H494" s="117"/>
      <c r="I494" s="117"/>
      <c r="J494" s="24"/>
      <c r="K494" s="24"/>
      <c r="L494" s="24"/>
      <c r="M494" s="24"/>
      <c r="N494" s="24"/>
      <c r="O494" s="24"/>
      <c r="P494" s="24"/>
      <c r="Q494" s="24"/>
      <c r="R494" s="24"/>
      <c r="S494" s="24"/>
      <c r="T494" s="24"/>
      <c r="U494" s="24"/>
      <c r="V494" s="24"/>
      <c r="W494" s="24"/>
      <c r="X494" s="24"/>
      <c r="Y494" s="24"/>
      <c r="Z494" s="24"/>
      <c r="AA494" s="24"/>
      <c r="AB494" s="24"/>
      <c r="AC494" s="24"/>
      <c r="AD494" s="24"/>
      <c r="AE494" s="24"/>
    </row>
    <row r="495" spans="1:31" ht="12.9">
      <c r="A495" s="24"/>
      <c r="B495" s="143"/>
      <c r="C495" s="24"/>
      <c r="D495" s="24"/>
      <c r="E495" s="24"/>
      <c r="F495" s="24"/>
      <c r="G495" s="24"/>
      <c r="H495" s="117"/>
      <c r="I495" s="117"/>
      <c r="J495" s="24"/>
      <c r="K495" s="24"/>
      <c r="L495" s="24"/>
      <c r="M495" s="24"/>
      <c r="N495" s="24"/>
      <c r="O495" s="24"/>
      <c r="P495" s="24"/>
      <c r="Q495" s="24"/>
      <c r="R495" s="24"/>
      <c r="S495" s="24"/>
      <c r="T495" s="24"/>
      <c r="U495" s="24"/>
      <c r="V495" s="24"/>
      <c r="W495" s="24"/>
      <c r="X495" s="24"/>
      <c r="Y495" s="24"/>
      <c r="Z495" s="24"/>
      <c r="AA495" s="24"/>
      <c r="AB495" s="24"/>
      <c r="AC495" s="24"/>
      <c r="AD495" s="24"/>
      <c r="AE495" s="24"/>
    </row>
    <row r="496" spans="1:31" ht="12.9">
      <c r="A496" s="24"/>
      <c r="B496" s="143"/>
      <c r="C496" s="24"/>
      <c r="D496" s="24"/>
      <c r="E496" s="24"/>
      <c r="F496" s="24"/>
      <c r="G496" s="24"/>
      <c r="H496" s="117"/>
      <c r="I496" s="117"/>
      <c r="J496" s="24"/>
      <c r="K496" s="24"/>
      <c r="L496" s="24"/>
      <c r="M496" s="24"/>
      <c r="N496" s="24"/>
      <c r="O496" s="24"/>
      <c r="P496" s="24"/>
      <c r="Q496" s="24"/>
      <c r="R496" s="24"/>
      <c r="S496" s="24"/>
      <c r="T496" s="24"/>
      <c r="U496" s="24"/>
      <c r="V496" s="24"/>
      <c r="W496" s="24"/>
      <c r="X496" s="24"/>
      <c r="Y496" s="24"/>
      <c r="Z496" s="24"/>
      <c r="AA496" s="24"/>
      <c r="AB496" s="24"/>
      <c r="AC496" s="24"/>
      <c r="AD496" s="24"/>
      <c r="AE496" s="24"/>
    </row>
    <row r="497" spans="1:31" ht="12.9">
      <c r="A497" s="24"/>
      <c r="B497" s="143"/>
      <c r="C497" s="24"/>
      <c r="D497" s="24"/>
      <c r="E497" s="24"/>
      <c r="F497" s="24"/>
      <c r="G497" s="24"/>
      <c r="H497" s="117"/>
      <c r="I497" s="117"/>
      <c r="J497" s="24"/>
      <c r="K497" s="24"/>
      <c r="L497" s="24"/>
      <c r="M497" s="24"/>
      <c r="N497" s="24"/>
      <c r="O497" s="24"/>
      <c r="P497" s="24"/>
      <c r="Q497" s="24"/>
      <c r="R497" s="24"/>
      <c r="S497" s="24"/>
      <c r="T497" s="24"/>
      <c r="U497" s="24"/>
      <c r="V497" s="24"/>
      <c r="W497" s="24"/>
      <c r="X497" s="24"/>
      <c r="Y497" s="24"/>
      <c r="Z497" s="24"/>
      <c r="AA497" s="24"/>
      <c r="AB497" s="24"/>
      <c r="AC497" s="24"/>
      <c r="AD497" s="24"/>
      <c r="AE497" s="24"/>
    </row>
    <row r="498" spans="1:31" ht="12.9">
      <c r="A498" s="24"/>
      <c r="B498" s="143"/>
      <c r="C498" s="24"/>
      <c r="D498" s="24"/>
      <c r="E498" s="24"/>
      <c r="F498" s="24"/>
      <c r="G498" s="24"/>
      <c r="H498" s="117"/>
      <c r="I498" s="117"/>
      <c r="J498" s="24"/>
      <c r="K498" s="24"/>
      <c r="L498" s="24"/>
      <c r="M498" s="24"/>
      <c r="N498" s="24"/>
      <c r="O498" s="24"/>
      <c r="P498" s="24"/>
      <c r="Q498" s="24"/>
      <c r="R498" s="24"/>
      <c r="S498" s="24"/>
      <c r="T498" s="24"/>
      <c r="U498" s="24"/>
      <c r="V498" s="24"/>
      <c r="W498" s="24"/>
      <c r="X498" s="24"/>
      <c r="Y498" s="24"/>
      <c r="Z498" s="24"/>
      <c r="AA498" s="24"/>
      <c r="AB498" s="24"/>
      <c r="AC498" s="24"/>
      <c r="AD498" s="24"/>
      <c r="AE498" s="24"/>
    </row>
    <row r="499" spans="1:31" ht="12.9">
      <c r="A499" s="24"/>
      <c r="B499" s="143"/>
      <c r="C499" s="24"/>
      <c r="D499" s="24"/>
      <c r="E499" s="24"/>
      <c r="F499" s="24"/>
      <c r="G499" s="24"/>
      <c r="H499" s="117"/>
      <c r="I499" s="117"/>
      <c r="J499" s="24"/>
      <c r="K499" s="24"/>
      <c r="L499" s="24"/>
      <c r="M499" s="24"/>
      <c r="N499" s="24"/>
      <c r="O499" s="24"/>
      <c r="P499" s="24"/>
      <c r="Q499" s="24"/>
      <c r="R499" s="24"/>
      <c r="S499" s="24"/>
      <c r="T499" s="24"/>
      <c r="U499" s="24"/>
      <c r="V499" s="24"/>
      <c r="W499" s="24"/>
      <c r="X499" s="24"/>
      <c r="Y499" s="24"/>
      <c r="Z499" s="24"/>
      <c r="AA499" s="24"/>
      <c r="AB499" s="24"/>
      <c r="AC499" s="24"/>
      <c r="AD499" s="24"/>
      <c r="AE499" s="24"/>
    </row>
    <row r="500" spans="1:31" ht="12.9">
      <c r="A500" s="24"/>
      <c r="B500" s="143"/>
      <c r="C500" s="24"/>
      <c r="D500" s="24"/>
      <c r="E500" s="24"/>
      <c r="F500" s="24"/>
      <c r="G500" s="24"/>
      <c r="H500" s="117"/>
      <c r="I500" s="117"/>
      <c r="J500" s="24"/>
      <c r="K500" s="24"/>
      <c r="L500" s="24"/>
      <c r="M500" s="24"/>
      <c r="N500" s="24"/>
      <c r="O500" s="24"/>
      <c r="P500" s="24"/>
      <c r="Q500" s="24"/>
      <c r="R500" s="24"/>
      <c r="S500" s="24"/>
      <c r="T500" s="24"/>
      <c r="U500" s="24"/>
      <c r="V500" s="24"/>
      <c r="W500" s="24"/>
      <c r="X500" s="24"/>
      <c r="Y500" s="24"/>
      <c r="Z500" s="24"/>
      <c r="AA500" s="24"/>
      <c r="AB500" s="24"/>
      <c r="AC500" s="24"/>
      <c r="AD500" s="24"/>
      <c r="AE500" s="24"/>
    </row>
    <row r="501" spans="1:31" ht="12.9">
      <c r="A501" s="24"/>
      <c r="B501" s="143"/>
      <c r="C501" s="24"/>
      <c r="D501" s="24"/>
      <c r="E501" s="24"/>
      <c r="F501" s="24"/>
      <c r="G501" s="24"/>
      <c r="H501" s="117"/>
      <c r="I501" s="117"/>
      <c r="J501" s="24"/>
      <c r="K501" s="24"/>
      <c r="L501" s="24"/>
      <c r="M501" s="24"/>
      <c r="N501" s="24"/>
      <c r="O501" s="24"/>
      <c r="P501" s="24"/>
      <c r="Q501" s="24"/>
      <c r="R501" s="24"/>
      <c r="S501" s="24"/>
      <c r="T501" s="24"/>
      <c r="U501" s="24"/>
      <c r="V501" s="24"/>
      <c r="W501" s="24"/>
      <c r="X501" s="24"/>
      <c r="Y501" s="24"/>
      <c r="Z501" s="24"/>
      <c r="AA501" s="24"/>
      <c r="AB501" s="24"/>
      <c r="AC501" s="24"/>
      <c r="AD501" s="24"/>
      <c r="AE501" s="24"/>
    </row>
    <row r="502" spans="1:31" ht="12.9">
      <c r="A502" s="24"/>
      <c r="B502" s="143"/>
      <c r="C502" s="24"/>
      <c r="D502" s="24"/>
      <c r="E502" s="24"/>
      <c r="F502" s="24"/>
      <c r="G502" s="24"/>
      <c r="H502" s="117"/>
      <c r="I502" s="117"/>
      <c r="J502" s="24"/>
      <c r="K502" s="24"/>
      <c r="L502" s="24"/>
      <c r="M502" s="24"/>
      <c r="N502" s="24"/>
      <c r="O502" s="24"/>
      <c r="P502" s="24"/>
      <c r="Q502" s="24"/>
      <c r="R502" s="24"/>
      <c r="S502" s="24"/>
      <c r="T502" s="24"/>
      <c r="U502" s="24"/>
      <c r="V502" s="24"/>
      <c r="W502" s="24"/>
      <c r="X502" s="24"/>
      <c r="Y502" s="24"/>
      <c r="Z502" s="24"/>
      <c r="AA502" s="24"/>
      <c r="AB502" s="24"/>
      <c r="AC502" s="24"/>
      <c r="AD502" s="24"/>
      <c r="AE502" s="24"/>
    </row>
    <row r="503" spans="1:31" ht="12.9">
      <c r="A503" s="24"/>
      <c r="B503" s="143"/>
      <c r="C503" s="24"/>
      <c r="D503" s="24"/>
      <c r="E503" s="24"/>
      <c r="F503" s="24"/>
      <c r="G503" s="24"/>
      <c r="H503" s="117"/>
      <c r="I503" s="117"/>
      <c r="J503" s="24"/>
      <c r="K503" s="24"/>
      <c r="L503" s="24"/>
      <c r="M503" s="24"/>
      <c r="N503" s="24"/>
      <c r="O503" s="24"/>
      <c r="P503" s="24"/>
      <c r="Q503" s="24"/>
      <c r="R503" s="24"/>
      <c r="S503" s="24"/>
      <c r="T503" s="24"/>
      <c r="U503" s="24"/>
      <c r="V503" s="24"/>
      <c r="W503" s="24"/>
      <c r="X503" s="24"/>
      <c r="Y503" s="24"/>
      <c r="Z503" s="24"/>
      <c r="AA503" s="24"/>
      <c r="AB503" s="24"/>
      <c r="AC503" s="24"/>
      <c r="AD503" s="24"/>
      <c r="AE503" s="24"/>
    </row>
    <row r="504" spans="1:31" ht="12.9">
      <c r="A504" s="24"/>
      <c r="B504" s="143"/>
      <c r="C504" s="24"/>
      <c r="D504" s="24"/>
      <c r="E504" s="24"/>
      <c r="F504" s="24"/>
      <c r="G504" s="24"/>
      <c r="H504" s="117"/>
      <c r="I504" s="117"/>
      <c r="J504" s="24"/>
      <c r="K504" s="24"/>
      <c r="L504" s="24"/>
      <c r="M504" s="24"/>
      <c r="N504" s="24"/>
      <c r="O504" s="24"/>
      <c r="P504" s="24"/>
      <c r="Q504" s="24"/>
      <c r="R504" s="24"/>
      <c r="S504" s="24"/>
      <c r="T504" s="24"/>
      <c r="U504" s="24"/>
      <c r="V504" s="24"/>
      <c r="W504" s="24"/>
      <c r="X504" s="24"/>
      <c r="Y504" s="24"/>
      <c r="Z504" s="24"/>
      <c r="AA504" s="24"/>
      <c r="AB504" s="24"/>
      <c r="AC504" s="24"/>
      <c r="AD504" s="24"/>
      <c r="AE504" s="24"/>
    </row>
    <row r="505" spans="1:31" ht="12.9">
      <c r="A505" s="24"/>
      <c r="B505" s="143"/>
      <c r="C505" s="24"/>
      <c r="D505" s="24"/>
      <c r="E505" s="24"/>
      <c r="F505" s="24"/>
      <c r="G505" s="24"/>
      <c r="H505" s="117"/>
      <c r="I505" s="117"/>
      <c r="J505" s="24"/>
      <c r="K505" s="24"/>
      <c r="L505" s="24"/>
      <c r="M505" s="24"/>
      <c r="N505" s="24"/>
      <c r="O505" s="24"/>
      <c r="P505" s="24"/>
      <c r="Q505" s="24"/>
      <c r="R505" s="24"/>
      <c r="S505" s="24"/>
      <c r="T505" s="24"/>
      <c r="U505" s="24"/>
      <c r="V505" s="24"/>
      <c r="W505" s="24"/>
      <c r="X505" s="24"/>
      <c r="Y505" s="24"/>
      <c r="Z505" s="24"/>
      <c r="AA505" s="24"/>
      <c r="AB505" s="24"/>
      <c r="AC505" s="24"/>
      <c r="AD505" s="24"/>
      <c r="AE505" s="24"/>
    </row>
    <row r="506" spans="1:31" ht="12.9">
      <c r="A506" s="24"/>
      <c r="B506" s="143"/>
      <c r="C506" s="24"/>
      <c r="D506" s="24"/>
      <c r="E506" s="24"/>
      <c r="F506" s="24"/>
      <c r="G506" s="24"/>
      <c r="H506" s="117"/>
      <c r="I506" s="117"/>
      <c r="J506" s="24"/>
      <c r="K506" s="24"/>
      <c r="L506" s="24"/>
      <c r="M506" s="24"/>
      <c r="N506" s="24"/>
      <c r="O506" s="24"/>
      <c r="P506" s="24"/>
      <c r="Q506" s="24"/>
      <c r="R506" s="24"/>
      <c r="S506" s="24"/>
      <c r="T506" s="24"/>
      <c r="U506" s="24"/>
      <c r="V506" s="24"/>
      <c r="W506" s="24"/>
      <c r="X506" s="24"/>
      <c r="Y506" s="24"/>
      <c r="Z506" s="24"/>
      <c r="AA506" s="24"/>
      <c r="AB506" s="24"/>
      <c r="AC506" s="24"/>
      <c r="AD506" s="24"/>
      <c r="AE506" s="24"/>
    </row>
    <row r="507" spans="1:31" ht="12.9">
      <c r="A507" s="24"/>
      <c r="B507" s="143"/>
      <c r="C507" s="24"/>
      <c r="D507" s="24"/>
      <c r="E507" s="24"/>
      <c r="F507" s="24"/>
      <c r="G507" s="24"/>
      <c r="H507" s="117"/>
      <c r="I507" s="117"/>
      <c r="J507" s="24"/>
      <c r="K507" s="24"/>
      <c r="L507" s="24"/>
      <c r="M507" s="24"/>
      <c r="N507" s="24"/>
      <c r="O507" s="24"/>
      <c r="P507" s="24"/>
      <c r="Q507" s="24"/>
      <c r="R507" s="24"/>
      <c r="S507" s="24"/>
      <c r="T507" s="24"/>
      <c r="U507" s="24"/>
      <c r="V507" s="24"/>
      <c r="W507" s="24"/>
      <c r="X507" s="24"/>
      <c r="Y507" s="24"/>
      <c r="Z507" s="24"/>
      <c r="AA507" s="24"/>
      <c r="AB507" s="24"/>
      <c r="AC507" s="24"/>
      <c r="AD507" s="24"/>
      <c r="AE507" s="24"/>
    </row>
    <row r="508" spans="1:31" ht="12.9">
      <c r="A508" s="24"/>
      <c r="B508" s="143"/>
      <c r="C508" s="24"/>
      <c r="D508" s="24"/>
      <c r="E508" s="24"/>
      <c r="F508" s="24"/>
      <c r="G508" s="24"/>
      <c r="H508" s="117"/>
      <c r="I508" s="117"/>
      <c r="J508" s="24"/>
      <c r="K508" s="24"/>
      <c r="L508" s="24"/>
      <c r="M508" s="24"/>
      <c r="N508" s="24"/>
      <c r="O508" s="24"/>
      <c r="P508" s="24"/>
      <c r="Q508" s="24"/>
      <c r="R508" s="24"/>
      <c r="S508" s="24"/>
      <c r="T508" s="24"/>
      <c r="U508" s="24"/>
      <c r="V508" s="24"/>
      <c r="W508" s="24"/>
      <c r="X508" s="24"/>
      <c r="Y508" s="24"/>
      <c r="Z508" s="24"/>
      <c r="AA508" s="24"/>
      <c r="AB508" s="24"/>
      <c r="AC508" s="24"/>
      <c r="AD508" s="24"/>
      <c r="AE508" s="24"/>
    </row>
    <row r="509" spans="1:31" ht="12.9">
      <c r="A509" s="24"/>
      <c r="B509" s="143"/>
      <c r="C509" s="24"/>
      <c r="D509" s="24"/>
      <c r="E509" s="24"/>
      <c r="F509" s="24"/>
      <c r="G509" s="24"/>
      <c r="H509" s="117"/>
      <c r="I509" s="117"/>
      <c r="J509" s="24"/>
      <c r="K509" s="24"/>
      <c r="L509" s="24"/>
      <c r="M509" s="24"/>
      <c r="N509" s="24"/>
      <c r="O509" s="24"/>
      <c r="P509" s="24"/>
      <c r="Q509" s="24"/>
      <c r="R509" s="24"/>
      <c r="S509" s="24"/>
      <c r="T509" s="24"/>
      <c r="U509" s="24"/>
      <c r="V509" s="24"/>
      <c r="W509" s="24"/>
      <c r="X509" s="24"/>
      <c r="Y509" s="24"/>
      <c r="Z509" s="24"/>
      <c r="AA509" s="24"/>
      <c r="AB509" s="24"/>
      <c r="AC509" s="24"/>
      <c r="AD509" s="24"/>
      <c r="AE509" s="24"/>
    </row>
    <row r="510" spans="1:31" ht="12.9">
      <c r="A510" s="24"/>
      <c r="B510" s="143"/>
      <c r="C510" s="24"/>
      <c r="D510" s="24"/>
      <c r="E510" s="24"/>
      <c r="F510" s="24"/>
      <c r="G510" s="24"/>
      <c r="H510" s="117"/>
      <c r="I510" s="117"/>
      <c r="J510" s="24"/>
      <c r="K510" s="24"/>
      <c r="L510" s="24"/>
      <c r="M510" s="24"/>
      <c r="N510" s="24"/>
      <c r="O510" s="24"/>
      <c r="P510" s="24"/>
      <c r="Q510" s="24"/>
      <c r="R510" s="24"/>
      <c r="S510" s="24"/>
      <c r="T510" s="24"/>
      <c r="U510" s="24"/>
      <c r="V510" s="24"/>
      <c r="W510" s="24"/>
      <c r="X510" s="24"/>
      <c r="Y510" s="24"/>
      <c r="Z510" s="24"/>
      <c r="AA510" s="24"/>
      <c r="AB510" s="24"/>
      <c r="AC510" s="24"/>
      <c r="AD510" s="24"/>
      <c r="AE510" s="24"/>
    </row>
    <row r="511" spans="1:31" ht="12.9">
      <c r="A511" s="24"/>
      <c r="B511" s="143"/>
      <c r="C511" s="24"/>
      <c r="D511" s="24"/>
      <c r="E511" s="24"/>
      <c r="F511" s="24"/>
      <c r="G511" s="24"/>
      <c r="H511" s="117"/>
      <c r="I511" s="117"/>
      <c r="J511" s="24"/>
      <c r="K511" s="24"/>
      <c r="L511" s="24"/>
      <c r="M511" s="24"/>
      <c r="N511" s="24"/>
      <c r="O511" s="24"/>
      <c r="P511" s="24"/>
      <c r="Q511" s="24"/>
      <c r="R511" s="24"/>
      <c r="S511" s="24"/>
      <c r="T511" s="24"/>
      <c r="U511" s="24"/>
      <c r="V511" s="24"/>
      <c r="W511" s="24"/>
      <c r="X511" s="24"/>
      <c r="Y511" s="24"/>
      <c r="Z511" s="24"/>
      <c r="AA511" s="24"/>
      <c r="AB511" s="24"/>
      <c r="AC511" s="24"/>
      <c r="AD511" s="24"/>
      <c r="AE511" s="24"/>
    </row>
    <row r="512" spans="1:31" ht="12.9">
      <c r="A512" s="24"/>
      <c r="B512" s="143"/>
      <c r="C512" s="24"/>
      <c r="D512" s="24"/>
      <c r="E512" s="24"/>
      <c r="F512" s="24"/>
      <c r="G512" s="24"/>
      <c r="H512" s="117"/>
      <c r="I512" s="117"/>
      <c r="J512" s="24"/>
      <c r="K512" s="24"/>
      <c r="L512" s="24"/>
      <c r="M512" s="24"/>
      <c r="N512" s="24"/>
      <c r="O512" s="24"/>
      <c r="P512" s="24"/>
      <c r="Q512" s="24"/>
      <c r="R512" s="24"/>
      <c r="S512" s="24"/>
      <c r="T512" s="24"/>
      <c r="U512" s="24"/>
      <c r="V512" s="24"/>
      <c r="W512" s="24"/>
      <c r="X512" s="24"/>
      <c r="Y512" s="24"/>
      <c r="Z512" s="24"/>
      <c r="AA512" s="24"/>
      <c r="AB512" s="24"/>
      <c r="AC512" s="24"/>
      <c r="AD512" s="24"/>
      <c r="AE512" s="24"/>
    </row>
    <row r="513" spans="1:31" ht="12.9">
      <c r="A513" s="24"/>
      <c r="B513" s="143"/>
      <c r="C513" s="24"/>
      <c r="D513" s="24"/>
      <c r="E513" s="24"/>
      <c r="F513" s="24"/>
      <c r="G513" s="24"/>
      <c r="H513" s="117"/>
      <c r="I513" s="117"/>
      <c r="J513" s="24"/>
      <c r="K513" s="24"/>
      <c r="L513" s="24"/>
      <c r="M513" s="24"/>
      <c r="N513" s="24"/>
      <c r="O513" s="24"/>
      <c r="P513" s="24"/>
      <c r="Q513" s="24"/>
      <c r="R513" s="24"/>
      <c r="S513" s="24"/>
      <c r="T513" s="24"/>
      <c r="U513" s="24"/>
      <c r="V513" s="24"/>
      <c r="W513" s="24"/>
      <c r="X513" s="24"/>
      <c r="Y513" s="24"/>
      <c r="Z513" s="24"/>
      <c r="AA513" s="24"/>
      <c r="AB513" s="24"/>
      <c r="AC513" s="24"/>
      <c r="AD513" s="24"/>
      <c r="AE513" s="24"/>
    </row>
    <row r="514" spans="1:31" ht="12.9">
      <c r="A514" s="24"/>
      <c r="B514" s="143"/>
      <c r="C514" s="24"/>
      <c r="D514" s="24"/>
      <c r="E514" s="24"/>
      <c r="F514" s="24"/>
      <c r="G514" s="24"/>
      <c r="H514" s="117"/>
      <c r="I514" s="117"/>
      <c r="J514" s="24"/>
      <c r="K514" s="24"/>
      <c r="L514" s="24"/>
      <c r="M514" s="24"/>
      <c r="N514" s="24"/>
      <c r="O514" s="24"/>
      <c r="P514" s="24"/>
      <c r="Q514" s="24"/>
      <c r="R514" s="24"/>
      <c r="S514" s="24"/>
      <c r="T514" s="24"/>
      <c r="U514" s="24"/>
      <c r="V514" s="24"/>
      <c r="W514" s="24"/>
      <c r="X514" s="24"/>
      <c r="Y514" s="24"/>
      <c r="Z514" s="24"/>
      <c r="AA514" s="24"/>
      <c r="AB514" s="24"/>
      <c r="AC514" s="24"/>
      <c r="AD514" s="24"/>
      <c r="AE514" s="24"/>
    </row>
    <row r="515" spans="1:31" ht="12.9">
      <c r="A515" s="24"/>
      <c r="B515" s="143"/>
      <c r="C515" s="24"/>
      <c r="D515" s="24"/>
      <c r="E515" s="24"/>
      <c r="F515" s="24"/>
      <c r="G515" s="24"/>
      <c r="H515" s="117"/>
      <c r="I515" s="117"/>
      <c r="J515" s="24"/>
      <c r="K515" s="24"/>
      <c r="L515" s="24"/>
      <c r="M515" s="24"/>
      <c r="N515" s="24"/>
      <c r="O515" s="24"/>
      <c r="P515" s="24"/>
      <c r="Q515" s="24"/>
      <c r="R515" s="24"/>
      <c r="S515" s="24"/>
      <c r="T515" s="24"/>
      <c r="U515" s="24"/>
      <c r="V515" s="24"/>
      <c r="W515" s="24"/>
      <c r="X515" s="24"/>
      <c r="Y515" s="24"/>
      <c r="Z515" s="24"/>
      <c r="AA515" s="24"/>
      <c r="AB515" s="24"/>
      <c r="AC515" s="24"/>
      <c r="AD515" s="24"/>
      <c r="AE515" s="24"/>
    </row>
    <row r="516" spans="1:31" ht="12.9">
      <c r="A516" s="24"/>
      <c r="B516" s="143"/>
      <c r="C516" s="24"/>
      <c r="D516" s="24"/>
      <c r="E516" s="24"/>
      <c r="F516" s="24"/>
      <c r="G516" s="24"/>
      <c r="H516" s="117"/>
      <c r="I516" s="117"/>
      <c r="J516" s="24"/>
      <c r="K516" s="24"/>
      <c r="L516" s="24"/>
      <c r="M516" s="24"/>
      <c r="N516" s="24"/>
      <c r="O516" s="24"/>
      <c r="P516" s="24"/>
      <c r="Q516" s="24"/>
      <c r="R516" s="24"/>
      <c r="S516" s="24"/>
      <c r="T516" s="24"/>
      <c r="U516" s="24"/>
      <c r="V516" s="24"/>
      <c r="W516" s="24"/>
      <c r="X516" s="24"/>
      <c r="Y516" s="24"/>
      <c r="Z516" s="24"/>
      <c r="AA516" s="24"/>
      <c r="AB516" s="24"/>
      <c r="AC516" s="24"/>
      <c r="AD516" s="24"/>
      <c r="AE516" s="24"/>
    </row>
    <row r="517" spans="1:31" ht="12.9">
      <c r="A517" s="24"/>
      <c r="B517" s="143"/>
      <c r="C517" s="24"/>
      <c r="D517" s="24"/>
      <c r="E517" s="24"/>
      <c r="F517" s="24"/>
      <c r="G517" s="24"/>
      <c r="H517" s="117"/>
      <c r="I517" s="117"/>
      <c r="J517" s="24"/>
      <c r="K517" s="24"/>
      <c r="L517" s="24"/>
      <c r="M517" s="24"/>
      <c r="N517" s="24"/>
      <c r="O517" s="24"/>
      <c r="P517" s="24"/>
      <c r="Q517" s="24"/>
      <c r="R517" s="24"/>
      <c r="S517" s="24"/>
      <c r="T517" s="24"/>
      <c r="U517" s="24"/>
      <c r="V517" s="24"/>
      <c r="W517" s="24"/>
      <c r="X517" s="24"/>
      <c r="Y517" s="24"/>
      <c r="Z517" s="24"/>
      <c r="AA517" s="24"/>
      <c r="AB517" s="24"/>
      <c r="AC517" s="24"/>
      <c r="AD517" s="24"/>
      <c r="AE517" s="24"/>
    </row>
    <row r="518" spans="1:31" ht="12.9">
      <c r="A518" s="24"/>
      <c r="B518" s="143"/>
      <c r="C518" s="24"/>
      <c r="D518" s="24"/>
      <c r="E518" s="24"/>
      <c r="F518" s="24"/>
      <c r="G518" s="24"/>
      <c r="H518" s="117"/>
      <c r="I518" s="117"/>
      <c r="J518" s="24"/>
      <c r="K518" s="24"/>
      <c r="L518" s="24"/>
      <c r="M518" s="24"/>
      <c r="N518" s="24"/>
      <c r="O518" s="24"/>
      <c r="P518" s="24"/>
      <c r="Q518" s="24"/>
      <c r="R518" s="24"/>
      <c r="S518" s="24"/>
      <c r="T518" s="24"/>
      <c r="U518" s="24"/>
      <c r="V518" s="24"/>
      <c r="W518" s="24"/>
      <c r="X518" s="24"/>
      <c r="Y518" s="24"/>
      <c r="Z518" s="24"/>
      <c r="AA518" s="24"/>
      <c r="AB518" s="24"/>
      <c r="AC518" s="24"/>
      <c r="AD518" s="24"/>
      <c r="AE518" s="24"/>
    </row>
    <row r="519" spans="1:31" ht="12.9">
      <c r="A519" s="24"/>
      <c r="B519" s="143"/>
      <c r="C519" s="24"/>
      <c r="D519" s="24"/>
      <c r="E519" s="24"/>
      <c r="F519" s="24"/>
      <c r="G519" s="24"/>
      <c r="H519" s="117"/>
      <c r="I519" s="117"/>
      <c r="J519" s="24"/>
      <c r="K519" s="24"/>
      <c r="L519" s="24"/>
      <c r="M519" s="24"/>
      <c r="N519" s="24"/>
      <c r="O519" s="24"/>
      <c r="P519" s="24"/>
      <c r="Q519" s="24"/>
      <c r="R519" s="24"/>
      <c r="S519" s="24"/>
      <c r="T519" s="24"/>
      <c r="U519" s="24"/>
      <c r="V519" s="24"/>
      <c r="W519" s="24"/>
      <c r="X519" s="24"/>
      <c r="Y519" s="24"/>
      <c r="Z519" s="24"/>
      <c r="AA519" s="24"/>
      <c r="AB519" s="24"/>
      <c r="AC519" s="24"/>
      <c r="AD519" s="24"/>
      <c r="AE519" s="24"/>
    </row>
    <row r="520" spans="1:31" ht="12.9">
      <c r="A520" s="24"/>
      <c r="B520" s="143"/>
      <c r="C520" s="24"/>
      <c r="D520" s="24"/>
      <c r="E520" s="24"/>
      <c r="F520" s="24"/>
      <c r="G520" s="24"/>
      <c r="H520" s="117"/>
      <c r="I520" s="117"/>
      <c r="J520" s="24"/>
      <c r="K520" s="24"/>
      <c r="L520" s="24"/>
      <c r="M520" s="24"/>
      <c r="N520" s="24"/>
      <c r="O520" s="24"/>
      <c r="P520" s="24"/>
      <c r="Q520" s="24"/>
      <c r="R520" s="24"/>
      <c r="S520" s="24"/>
      <c r="T520" s="24"/>
      <c r="U520" s="24"/>
      <c r="V520" s="24"/>
      <c r="W520" s="24"/>
      <c r="X520" s="24"/>
      <c r="Y520" s="24"/>
      <c r="Z520" s="24"/>
      <c r="AA520" s="24"/>
      <c r="AB520" s="24"/>
      <c r="AC520" s="24"/>
      <c r="AD520" s="24"/>
      <c r="AE520" s="24"/>
    </row>
    <row r="521" spans="1:31" ht="12.9">
      <c r="A521" s="24"/>
      <c r="B521" s="143"/>
      <c r="C521" s="24"/>
      <c r="D521" s="24"/>
      <c r="E521" s="24"/>
      <c r="F521" s="24"/>
      <c r="G521" s="24"/>
      <c r="H521" s="117"/>
      <c r="I521" s="117"/>
      <c r="J521" s="24"/>
      <c r="K521" s="24"/>
      <c r="L521" s="24"/>
      <c r="M521" s="24"/>
      <c r="N521" s="24"/>
      <c r="O521" s="24"/>
      <c r="P521" s="24"/>
      <c r="Q521" s="24"/>
      <c r="R521" s="24"/>
      <c r="S521" s="24"/>
      <c r="T521" s="24"/>
      <c r="U521" s="24"/>
      <c r="V521" s="24"/>
      <c r="W521" s="24"/>
      <c r="X521" s="24"/>
      <c r="Y521" s="24"/>
      <c r="Z521" s="24"/>
      <c r="AA521" s="24"/>
      <c r="AB521" s="24"/>
      <c r="AC521" s="24"/>
      <c r="AD521" s="24"/>
      <c r="AE521" s="24"/>
    </row>
    <row r="522" spans="1:31" ht="12.9">
      <c r="A522" s="24"/>
      <c r="B522" s="143"/>
      <c r="C522" s="24"/>
      <c r="D522" s="24"/>
      <c r="E522" s="24"/>
      <c r="F522" s="24"/>
      <c r="G522" s="24"/>
      <c r="H522" s="117"/>
      <c r="I522" s="117"/>
      <c r="J522" s="24"/>
      <c r="K522" s="24"/>
      <c r="L522" s="24"/>
      <c r="M522" s="24"/>
      <c r="N522" s="24"/>
      <c r="O522" s="24"/>
      <c r="P522" s="24"/>
      <c r="Q522" s="24"/>
      <c r="R522" s="24"/>
      <c r="S522" s="24"/>
      <c r="T522" s="24"/>
      <c r="U522" s="24"/>
      <c r="V522" s="24"/>
      <c r="W522" s="24"/>
      <c r="X522" s="24"/>
      <c r="Y522" s="24"/>
      <c r="Z522" s="24"/>
      <c r="AA522" s="24"/>
      <c r="AB522" s="24"/>
      <c r="AC522" s="24"/>
      <c r="AD522" s="24"/>
      <c r="AE522" s="24"/>
    </row>
    <row r="523" spans="1:31" ht="12.9">
      <c r="A523" s="24"/>
      <c r="B523" s="143"/>
      <c r="C523" s="24"/>
      <c r="D523" s="24"/>
      <c r="E523" s="24"/>
      <c r="F523" s="24"/>
      <c r="G523" s="24"/>
      <c r="H523" s="117"/>
      <c r="I523" s="117"/>
      <c r="J523" s="24"/>
      <c r="K523" s="24"/>
      <c r="L523" s="24"/>
      <c r="M523" s="24"/>
      <c r="N523" s="24"/>
      <c r="O523" s="24"/>
      <c r="P523" s="24"/>
      <c r="Q523" s="24"/>
      <c r="R523" s="24"/>
      <c r="S523" s="24"/>
      <c r="T523" s="24"/>
      <c r="U523" s="24"/>
      <c r="V523" s="24"/>
      <c r="W523" s="24"/>
      <c r="X523" s="24"/>
      <c r="Y523" s="24"/>
      <c r="Z523" s="24"/>
      <c r="AA523" s="24"/>
      <c r="AB523" s="24"/>
      <c r="AC523" s="24"/>
      <c r="AD523" s="24"/>
      <c r="AE523" s="24"/>
    </row>
    <row r="524" spans="1:31" ht="12.9">
      <c r="A524" s="24"/>
      <c r="B524" s="143"/>
      <c r="C524" s="24"/>
      <c r="D524" s="24"/>
      <c r="E524" s="24"/>
      <c r="F524" s="24"/>
      <c r="G524" s="24"/>
      <c r="H524" s="117"/>
      <c r="I524" s="117"/>
      <c r="J524" s="24"/>
      <c r="K524" s="24"/>
      <c r="L524" s="24"/>
      <c r="M524" s="24"/>
      <c r="N524" s="24"/>
      <c r="O524" s="24"/>
      <c r="P524" s="24"/>
      <c r="Q524" s="24"/>
      <c r="R524" s="24"/>
      <c r="S524" s="24"/>
      <c r="T524" s="24"/>
      <c r="U524" s="24"/>
      <c r="V524" s="24"/>
      <c r="W524" s="24"/>
      <c r="X524" s="24"/>
      <c r="Y524" s="24"/>
      <c r="Z524" s="24"/>
      <c r="AA524" s="24"/>
      <c r="AB524" s="24"/>
      <c r="AC524" s="24"/>
      <c r="AD524" s="24"/>
      <c r="AE524" s="24"/>
    </row>
    <row r="525" spans="1:31" ht="12.9">
      <c r="A525" s="24"/>
      <c r="B525" s="143"/>
      <c r="C525" s="24"/>
      <c r="D525" s="24"/>
      <c r="E525" s="24"/>
      <c r="F525" s="24"/>
      <c r="G525" s="24"/>
      <c r="H525" s="117"/>
      <c r="I525" s="117"/>
      <c r="J525" s="24"/>
      <c r="K525" s="24"/>
      <c r="L525" s="24"/>
      <c r="M525" s="24"/>
      <c r="N525" s="24"/>
      <c r="O525" s="24"/>
      <c r="P525" s="24"/>
      <c r="Q525" s="24"/>
      <c r="R525" s="24"/>
      <c r="S525" s="24"/>
      <c r="T525" s="24"/>
      <c r="U525" s="24"/>
      <c r="V525" s="24"/>
      <c r="W525" s="24"/>
      <c r="X525" s="24"/>
      <c r="Y525" s="24"/>
      <c r="Z525" s="24"/>
      <c r="AA525" s="24"/>
      <c r="AB525" s="24"/>
      <c r="AC525" s="24"/>
      <c r="AD525" s="24"/>
      <c r="AE525" s="24"/>
    </row>
    <row r="526" spans="1:31" ht="12.9">
      <c r="A526" s="24"/>
      <c r="B526" s="143"/>
      <c r="C526" s="24"/>
      <c r="D526" s="24"/>
      <c r="E526" s="24"/>
      <c r="F526" s="24"/>
      <c r="G526" s="24"/>
      <c r="H526" s="117"/>
      <c r="I526" s="117"/>
      <c r="J526" s="24"/>
      <c r="K526" s="24"/>
      <c r="L526" s="24"/>
      <c r="M526" s="24"/>
      <c r="N526" s="24"/>
      <c r="O526" s="24"/>
      <c r="P526" s="24"/>
      <c r="Q526" s="24"/>
      <c r="R526" s="24"/>
      <c r="S526" s="24"/>
      <c r="T526" s="24"/>
      <c r="U526" s="24"/>
      <c r="V526" s="24"/>
      <c r="W526" s="24"/>
      <c r="X526" s="24"/>
      <c r="Y526" s="24"/>
      <c r="Z526" s="24"/>
      <c r="AA526" s="24"/>
      <c r="AB526" s="24"/>
      <c r="AC526" s="24"/>
      <c r="AD526" s="24"/>
      <c r="AE526" s="24"/>
    </row>
    <row r="527" spans="1:31" ht="12.9">
      <c r="A527" s="24"/>
      <c r="B527" s="143"/>
      <c r="C527" s="24"/>
      <c r="D527" s="24"/>
      <c r="E527" s="24"/>
      <c r="F527" s="24"/>
      <c r="G527" s="24"/>
      <c r="H527" s="117"/>
      <c r="I527" s="117"/>
      <c r="J527" s="24"/>
      <c r="K527" s="24"/>
      <c r="L527" s="24"/>
      <c r="M527" s="24"/>
      <c r="N527" s="24"/>
      <c r="O527" s="24"/>
      <c r="P527" s="24"/>
      <c r="Q527" s="24"/>
      <c r="R527" s="24"/>
      <c r="S527" s="24"/>
      <c r="T527" s="24"/>
      <c r="U527" s="24"/>
      <c r="V527" s="24"/>
      <c r="W527" s="24"/>
      <c r="X527" s="24"/>
      <c r="Y527" s="24"/>
      <c r="Z527" s="24"/>
      <c r="AA527" s="24"/>
      <c r="AB527" s="24"/>
      <c r="AC527" s="24"/>
      <c r="AD527" s="24"/>
      <c r="AE527" s="24"/>
    </row>
    <row r="528" spans="1:31" ht="12.9">
      <c r="A528" s="24"/>
      <c r="B528" s="143"/>
      <c r="C528" s="24"/>
      <c r="D528" s="24"/>
      <c r="E528" s="24"/>
      <c r="F528" s="24"/>
      <c r="G528" s="24"/>
      <c r="H528" s="117"/>
      <c r="I528" s="117"/>
      <c r="J528" s="24"/>
      <c r="K528" s="24"/>
      <c r="L528" s="24"/>
      <c r="M528" s="24"/>
      <c r="N528" s="24"/>
      <c r="O528" s="24"/>
      <c r="P528" s="24"/>
      <c r="Q528" s="24"/>
      <c r="R528" s="24"/>
      <c r="S528" s="24"/>
      <c r="T528" s="24"/>
      <c r="U528" s="24"/>
      <c r="V528" s="24"/>
      <c r="W528" s="24"/>
      <c r="X528" s="24"/>
      <c r="Y528" s="24"/>
      <c r="Z528" s="24"/>
      <c r="AA528" s="24"/>
      <c r="AB528" s="24"/>
      <c r="AC528" s="24"/>
      <c r="AD528" s="24"/>
      <c r="AE528" s="24"/>
    </row>
    <row r="529" spans="1:31" ht="12.9">
      <c r="A529" s="24"/>
      <c r="B529" s="143"/>
      <c r="C529" s="24"/>
      <c r="D529" s="24"/>
      <c r="E529" s="24"/>
      <c r="F529" s="24"/>
      <c r="G529" s="24"/>
      <c r="H529" s="117"/>
      <c r="I529" s="117"/>
      <c r="J529" s="24"/>
      <c r="K529" s="24"/>
      <c r="L529" s="24"/>
      <c r="M529" s="24"/>
      <c r="N529" s="24"/>
      <c r="O529" s="24"/>
      <c r="P529" s="24"/>
      <c r="Q529" s="24"/>
      <c r="R529" s="24"/>
      <c r="S529" s="24"/>
      <c r="T529" s="24"/>
      <c r="U529" s="24"/>
      <c r="V529" s="24"/>
      <c r="W529" s="24"/>
      <c r="X529" s="24"/>
      <c r="Y529" s="24"/>
      <c r="Z529" s="24"/>
      <c r="AA529" s="24"/>
      <c r="AB529" s="24"/>
      <c r="AC529" s="24"/>
      <c r="AD529" s="24"/>
      <c r="AE529" s="24"/>
    </row>
    <row r="530" spans="1:31" ht="12.9">
      <c r="A530" s="24"/>
      <c r="B530" s="143"/>
      <c r="C530" s="24"/>
      <c r="D530" s="24"/>
      <c r="E530" s="24"/>
      <c r="F530" s="24"/>
      <c r="G530" s="24"/>
      <c r="H530" s="117"/>
      <c r="I530" s="117"/>
      <c r="J530" s="24"/>
      <c r="K530" s="24"/>
      <c r="L530" s="24"/>
      <c r="M530" s="24"/>
      <c r="N530" s="24"/>
      <c r="O530" s="24"/>
      <c r="P530" s="24"/>
      <c r="Q530" s="24"/>
      <c r="R530" s="24"/>
      <c r="S530" s="24"/>
      <c r="T530" s="24"/>
      <c r="U530" s="24"/>
      <c r="V530" s="24"/>
      <c r="W530" s="24"/>
      <c r="X530" s="24"/>
      <c r="Y530" s="24"/>
      <c r="Z530" s="24"/>
      <c r="AA530" s="24"/>
      <c r="AB530" s="24"/>
      <c r="AC530" s="24"/>
      <c r="AD530" s="24"/>
      <c r="AE530" s="24"/>
    </row>
    <row r="531" spans="1:31" ht="12.9">
      <c r="A531" s="24"/>
      <c r="B531" s="143"/>
      <c r="C531" s="24"/>
      <c r="D531" s="24"/>
      <c r="E531" s="24"/>
      <c r="F531" s="24"/>
      <c r="G531" s="24"/>
      <c r="H531" s="117"/>
      <c r="I531" s="117"/>
      <c r="J531" s="24"/>
      <c r="K531" s="24"/>
      <c r="L531" s="24"/>
      <c r="M531" s="24"/>
      <c r="N531" s="24"/>
      <c r="O531" s="24"/>
      <c r="P531" s="24"/>
      <c r="Q531" s="24"/>
      <c r="R531" s="24"/>
      <c r="S531" s="24"/>
      <c r="T531" s="24"/>
      <c r="U531" s="24"/>
      <c r="V531" s="24"/>
      <c r="W531" s="24"/>
      <c r="X531" s="24"/>
      <c r="Y531" s="24"/>
      <c r="Z531" s="24"/>
      <c r="AA531" s="24"/>
      <c r="AB531" s="24"/>
      <c r="AC531" s="24"/>
      <c r="AD531" s="24"/>
      <c r="AE531" s="24"/>
    </row>
    <row r="532" spans="1:31" ht="12.9">
      <c r="A532" s="24"/>
      <c r="B532" s="143"/>
      <c r="C532" s="24"/>
      <c r="D532" s="24"/>
      <c r="E532" s="24"/>
      <c r="F532" s="24"/>
      <c r="G532" s="24"/>
      <c r="H532" s="117"/>
      <c r="I532" s="117"/>
      <c r="J532" s="24"/>
      <c r="K532" s="24"/>
      <c r="L532" s="24"/>
      <c r="M532" s="24"/>
      <c r="N532" s="24"/>
      <c r="O532" s="24"/>
      <c r="P532" s="24"/>
      <c r="Q532" s="24"/>
      <c r="R532" s="24"/>
      <c r="S532" s="24"/>
      <c r="T532" s="24"/>
      <c r="U532" s="24"/>
      <c r="V532" s="24"/>
      <c r="W532" s="24"/>
      <c r="X532" s="24"/>
      <c r="Y532" s="24"/>
      <c r="Z532" s="24"/>
      <c r="AA532" s="24"/>
      <c r="AB532" s="24"/>
      <c r="AC532" s="24"/>
      <c r="AD532" s="24"/>
      <c r="AE532" s="24"/>
    </row>
    <row r="533" spans="1:31" ht="12.9">
      <c r="A533" s="24"/>
      <c r="B533" s="143"/>
      <c r="C533" s="24"/>
      <c r="D533" s="24"/>
      <c r="E533" s="24"/>
      <c r="F533" s="24"/>
      <c r="G533" s="24"/>
      <c r="H533" s="117"/>
      <c r="I533" s="117"/>
      <c r="J533" s="24"/>
      <c r="K533" s="24"/>
      <c r="L533" s="24"/>
      <c r="M533" s="24"/>
      <c r="N533" s="24"/>
      <c r="O533" s="24"/>
      <c r="P533" s="24"/>
      <c r="Q533" s="24"/>
      <c r="R533" s="24"/>
      <c r="S533" s="24"/>
      <c r="T533" s="24"/>
      <c r="U533" s="24"/>
      <c r="V533" s="24"/>
      <c r="W533" s="24"/>
      <c r="X533" s="24"/>
      <c r="Y533" s="24"/>
      <c r="Z533" s="24"/>
      <c r="AA533" s="24"/>
      <c r="AB533" s="24"/>
      <c r="AC533" s="24"/>
      <c r="AD533" s="24"/>
      <c r="AE533" s="24"/>
    </row>
    <row r="534" spans="1:31" ht="12.9">
      <c r="A534" s="24"/>
      <c r="B534" s="143"/>
      <c r="C534" s="24"/>
      <c r="D534" s="24"/>
      <c r="E534" s="24"/>
      <c r="F534" s="24"/>
      <c r="G534" s="24"/>
      <c r="H534" s="117"/>
      <c r="I534" s="117"/>
      <c r="J534" s="24"/>
      <c r="K534" s="24"/>
      <c r="L534" s="24"/>
      <c r="M534" s="24"/>
      <c r="N534" s="24"/>
      <c r="O534" s="24"/>
      <c r="P534" s="24"/>
      <c r="Q534" s="24"/>
      <c r="R534" s="24"/>
      <c r="S534" s="24"/>
      <c r="T534" s="24"/>
      <c r="U534" s="24"/>
      <c r="V534" s="24"/>
      <c r="W534" s="24"/>
      <c r="X534" s="24"/>
      <c r="Y534" s="24"/>
      <c r="Z534" s="24"/>
      <c r="AA534" s="24"/>
      <c r="AB534" s="24"/>
      <c r="AC534" s="24"/>
      <c r="AD534" s="24"/>
      <c r="AE534" s="24"/>
    </row>
    <row r="535" spans="1:31" ht="12.9">
      <c r="A535" s="24"/>
      <c r="B535" s="143"/>
      <c r="C535" s="24"/>
      <c r="D535" s="24"/>
      <c r="E535" s="24"/>
      <c r="F535" s="24"/>
      <c r="G535" s="24"/>
      <c r="H535" s="117"/>
      <c r="I535" s="117"/>
      <c r="J535" s="24"/>
      <c r="K535" s="24"/>
      <c r="L535" s="24"/>
      <c r="M535" s="24"/>
      <c r="N535" s="24"/>
      <c r="O535" s="24"/>
      <c r="P535" s="24"/>
      <c r="Q535" s="24"/>
      <c r="R535" s="24"/>
      <c r="S535" s="24"/>
      <c r="T535" s="24"/>
      <c r="U535" s="24"/>
      <c r="V535" s="24"/>
      <c r="W535" s="24"/>
      <c r="X535" s="24"/>
      <c r="Y535" s="24"/>
      <c r="Z535" s="24"/>
      <c r="AA535" s="24"/>
      <c r="AB535" s="24"/>
      <c r="AC535" s="24"/>
      <c r="AD535" s="24"/>
      <c r="AE535" s="24"/>
    </row>
    <row r="536" spans="1:31" ht="12.9">
      <c r="A536" s="24"/>
      <c r="B536" s="143"/>
      <c r="C536" s="24"/>
      <c r="D536" s="24"/>
      <c r="E536" s="24"/>
      <c r="F536" s="24"/>
      <c r="G536" s="24"/>
      <c r="H536" s="117"/>
      <c r="I536" s="117"/>
      <c r="J536" s="24"/>
      <c r="K536" s="24"/>
      <c r="L536" s="24"/>
      <c r="M536" s="24"/>
      <c r="N536" s="24"/>
      <c r="O536" s="24"/>
      <c r="P536" s="24"/>
      <c r="Q536" s="24"/>
      <c r="R536" s="24"/>
      <c r="S536" s="24"/>
      <c r="T536" s="24"/>
      <c r="U536" s="24"/>
      <c r="V536" s="24"/>
      <c r="W536" s="24"/>
      <c r="X536" s="24"/>
      <c r="Y536" s="24"/>
      <c r="Z536" s="24"/>
      <c r="AA536" s="24"/>
      <c r="AB536" s="24"/>
      <c r="AC536" s="24"/>
      <c r="AD536" s="24"/>
      <c r="AE536" s="24"/>
    </row>
    <row r="537" spans="1:31" ht="12.9">
      <c r="A537" s="24"/>
      <c r="B537" s="143"/>
      <c r="C537" s="24"/>
      <c r="D537" s="24"/>
      <c r="E537" s="24"/>
      <c r="F537" s="24"/>
      <c r="G537" s="24"/>
      <c r="H537" s="117"/>
      <c r="I537" s="117"/>
      <c r="J537" s="24"/>
      <c r="K537" s="24"/>
      <c r="L537" s="24"/>
      <c r="M537" s="24"/>
      <c r="N537" s="24"/>
      <c r="O537" s="24"/>
      <c r="P537" s="24"/>
      <c r="Q537" s="24"/>
      <c r="R537" s="24"/>
      <c r="S537" s="24"/>
      <c r="T537" s="24"/>
      <c r="U537" s="24"/>
      <c r="V537" s="24"/>
      <c r="W537" s="24"/>
      <c r="X537" s="24"/>
      <c r="Y537" s="24"/>
      <c r="Z537" s="24"/>
      <c r="AA537" s="24"/>
      <c r="AB537" s="24"/>
      <c r="AC537" s="24"/>
      <c r="AD537" s="24"/>
      <c r="AE537" s="24"/>
    </row>
    <row r="538" spans="1:31" ht="12.9">
      <c r="A538" s="24"/>
      <c r="B538" s="143"/>
      <c r="C538" s="24"/>
      <c r="D538" s="24"/>
      <c r="E538" s="24"/>
      <c r="F538" s="24"/>
      <c r="G538" s="24"/>
      <c r="H538" s="117"/>
      <c r="I538" s="117"/>
      <c r="J538" s="24"/>
      <c r="K538" s="24"/>
      <c r="L538" s="24"/>
      <c r="M538" s="24"/>
      <c r="N538" s="24"/>
      <c r="O538" s="24"/>
      <c r="P538" s="24"/>
      <c r="Q538" s="24"/>
      <c r="R538" s="24"/>
      <c r="S538" s="24"/>
      <c r="T538" s="24"/>
      <c r="U538" s="24"/>
      <c r="V538" s="24"/>
      <c r="W538" s="24"/>
      <c r="X538" s="24"/>
      <c r="Y538" s="24"/>
      <c r="Z538" s="24"/>
      <c r="AA538" s="24"/>
      <c r="AB538" s="24"/>
      <c r="AC538" s="24"/>
      <c r="AD538" s="24"/>
      <c r="AE538" s="24"/>
    </row>
    <row r="539" spans="1:31" ht="12.9">
      <c r="A539" s="24"/>
      <c r="B539" s="143"/>
      <c r="C539" s="24"/>
      <c r="D539" s="24"/>
      <c r="E539" s="24"/>
      <c r="F539" s="24"/>
      <c r="G539" s="24"/>
      <c r="H539" s="117"/>
      <c r="I539" s="117"/>
      <c r="J539" s="24"/>
      <c r="K539" s="24"/>
      <c r="L539" s="24"/>
      <c r="M539" s="24"/>
      <c r="N539" s="24"/>
      <c r="O539" s="24"/>
      <c r="P539" s="24"/>
      <c r="Q539" s="24"/>
      <c r="R539" s="24"/>
      <c r="S539" s="24"/>
      <c r="T539" s="24"/>
      <c r="U539" s="24"/>
      <c r="V539" s="24"/>
      <c r="W539" s="24"/>
      <c r="X539" s="24"/>
      <c r="Y539" s="24"/>
      <c r="Z539" s="24"/>
      <c r="AA539" s="24"/>
      <c r="AB539" s="24"/>
      <c r="AC539" s="24"/>
      <c r="AD539" s="24"/>
      <c r="AE539" s="24"/>
    </row>
    <row r="540" spans="1:31" ht="12.9">
      <c r="A540" s="24"/>
      <c r="B540" s="143"/>
      <c r="C540" s="24"/>
      <c r="D540" s="24"/>
      <c r="E540" s="24"/>
      <c r="F540" s="24"/>
      <c r="G540" s="24"/>
      <c r="H540" s="117"/>
      <c r="I540" s="117"/>
      <c r="J540" s="24"/>
      <c r="K540" s="24"/>
      <c r="L540" s="24"/>
      <c r="M540" s="24"/>
      <c r="N540" s="24"/>
      <c r="O540" s="24"/>
      <c r="P540" s="24"/>
      <c r="Q540" s="24"/>
      <c r="R540" s="24"/>
      <c r="S540" s="24"/>
      <c r="T540" s="24"/>
      <c r="U540" s="24"/>
      <c r="V540" s="24"/>
      <c r="W540" s="24"/>
      <c r="X540" s="24"/>
      <c r="Y540" s="24"/>
      <c r="Z540" s="24"/>
      <c r="AA540" s="24"/>
      <c r="AB540" s="24"/>
      <c r="AC540" s="24"/>
      <c r="AD540" s="24"/>
      <c r="AE540" s="24"/>
    </row>
    <row r="541" spans="1:31" ht="12.9">
      <c r="A541" s="24"/>
      <c r="B541" s="143"/>
      <c r="C541" s="24"/>
      <c r="D541" s="24"/>
      <c r="E541" s="24"/>
      <c r="F541" s="24"/>
      <c r="G541" s="24"/>
      <c r="H541" s="117"/>
      <c r="I541" s="117"/>
      <c r="J541" s="24"/>
      <c r="K541" s="24"/>
      <c r="L541" s="24"/>
      <c r="M541" s="24"/>
      <c r="N541" s="24"/>
      <c r="O541" s="24"/>
      <c r="P541" s="24"/>
      <c r="Q541" s="24"/>
      <c r="R541" s="24"/>
      <c r="S541" s="24"/>
      <c r="T541" s="24"/>
      <c r="U541" s="24"/>
      <c r="V541" s="24"/>
      <c r="W541" s="24"/>
      <c r="X541" s="24"/>
      <c r="Y541" s="24"/>
      <c r="Z541" s="24"/>
      <c r="AA541" s="24"/>
      <c r="AB541" s="24"/>
      <c r="AC541" s="24"/>
      <c r="AD541" s="24"/>
      <c r="AE541" s="24"/>
    </row>
    <row r="542" spans="1:31" ht="12.9">
      <c r="A542" s="24"/>
      <c r="B542" s="143"/>
      <c r="C542" s="24"/>
      <c r="D542" s="24"/>
      <c r="E542" s="24"/>
      <c r="F542" s="24"/>
      <c r="G542" s="24"/>
      <c r="H542" s="117"/>
      <c r="I542" s="117"/>
      <c r="J542" s="24"/>
      <c r="K542" s="24"/>
      <c r="L542" s="24"/>
      <c r="M542" s="24"/>
      <c r="N542" s="24"/>
      <c r="O542" s="24"/>
      <c r="P542" s="24"/>
      <c r="Q542" s="24"/>
      <c r="R542" s="24"/>
      <c r="S542" s="24"/>
      <c r="T542" s="24"/>
      <c r="U542" s="24"/>
      <c r="V542" s="24"/>
      <c r="W542" s="24"/>
      <c r="X542" s="24"/>
      <c r="Y542" s="24"/>
      <c r="Z542" s="24"/>
      <c r="AA542" s="24"/>
      <c r="AB542" s="24"/>
      <c r="AC542" s="24"/>
      <c r="AD542" s="24"/>
      <c r="AE542" s="24"/>
    </row>
    <row r="543" spans="1:31" ht="12.9">
      <c r="A543" s="24"/>
      <c r="B543" s="143"/>
      <c r="C543" s="24"/>
      <c r="D543" s="24"/>
      <c r="E543" s="24"/>
      <c r="F543" s="24"/>
      <c r="G543" s="24"/>
      <c r="H543" s="117"/>
      <c r="I543" s="117"/>
      <c r="J543" s="24"/>
      <c r="K543" s="24"/>
      <c r="L543" s="24"/>
      <c r="M543" s="24"/>
      <c r="N543" s="24"/>
      <c r="O543" s="24"/>
      <c r="P543" s="24"/>
      <c r="Q543" s="24"/>
      <c r="R543" s="24"/>
      <c r="S543" s="24"/>
      <c r="T543" s="24"/>
      <c r="U543" s="24"/>
      <c r="V543" s="24"/>
      <c r="W543" s="24"/>
      <c r="X543" s="24"/>
      <c r="Y543" s="24"/>
      <c r="Z543" s="24"/>
      <c r="AA543" s="24"/>
      <c r="AB543" s="24"/>
      <c r="AC543" s="24"/>
      <c r="AD543" s="24"/>
      <c r="AE543" s="24"/>
    </row>
    <row r="544" spans="1:31" ht="12.9">
      <c r="A544" s="24"/>
      <c r="B544" s="143"/>
      <c r="C544" s="24"/>
      <c r="D544" s="24"/>
      <c r="E544" s="24"/>
      <c r="F544" s="24"/>
      <c r="G544" s="24"/>
      <c r="H544" s="117"/>
      <c r="I544" s="117"/>
      <c r="J544" s="24"/>
      <c r="K544" s="24"/>
      <c r="L544" s="24"/>
      <c r="M544" s="24"/>
      <c r="N544" s="24"/>
      <c r="O544" s="24"/>
      <c r="P544" s="24"/>
      <c r="Q544" s="24"/>
      <c r="R544" s="24"/>
      <c r="S544" s="24"/>
      <c r="T544" s="24"/>
      <c r="U544" s="24"/>
      <c r="V544" s="24"/>
      <c r="W544" s="24"/>
      <c r="X544" s="24"/>
      <c r="Y544" s="24"/>
      <c r="Z544" s="24"/>
      <c r="AA544" s="24"/>
      <c r="AB544" s="24"/>
      <c r="AC544" s="24"/>
      <c r="AD544" s="24"/>
      <c r="AE544" s="24"/>
    </row>
    <row r="545" spans="1:31" ht="12.9">
      <c r="A545" s="24"/>
      <c r="B545" s="143"/>
      <c r="C545" s="24"/>
      <c r="D545" s="24"/>
      <c r="E545" s="24"/>
      <c r="F545" s="24"/>
      <c r="G545" s="24"/>
      <c r="H545" s="117"/>
      <c r="I545" s="117"/>
      <c r="J545" s="24"/>
      <c r="K545" s="24"/>
      <c r="L545" s="24"/>
      <c r="M545" s="24"/>
      <c r="N545" s="24"/>
      <c r="O545" s="24"/>
      <c r="P545" s="24"/>
      <c r="Q545" s="24"/>
      <c r="R545" s="24"/>
      <c r="S545" s="24"/>
      <c r="T545" s="24"/>
      <c r="U545" s="24"/>
      <c r="V545" s="24"/>
      <c r="W545" s="24"/>
      <c r="X545" s="24"/>
      <c r="Y545" s="24"/>
      <c r="Z545" s="24"/>
      <c r="AA545" s="24"/>
      <c r="AB545" s="24"/>
      <c r="AC545" s="24"/>
      <c r="AD545" s="24"/>
      <c r="AE545" s="24"/>
    </row>
    <row r="546" spans="1:31" ht="12.9">
      <c r="A546" s="24"/>
      <c r="B546" s="143"/>
      <c r="C546" s="24"/>
      <c r="D546" s="24"/>
      <c r="E546" s="24"/>
      <c r="F546" s="24"/>
      <c r="G546" s="24"/>
      <c r="H546" s="117"/>
      <c r="I546" s="117"/>
      <c r="J546" s="24"/>
      <c r="K546" s="24"/>
      <c r="L546" s="24"/>
      <c r="M546" s="24"/>
      <c r="N546" s="24"/>
      <c r="O546" s="24"/>
      <c r="P546" s="24"/>
      <c r="Q546" s="24"/>
      <c r="R546" s="24"/>
      <c r="S546" s="24"/>
      <c r="T546" s="24"/>
      <c r="U546" s="24"/>
      <c r="V546" s="24"/>
      <c r="W546" s="24"/>
      <c r="X546" s="24"/>
      <c r="Y546" s="24"/>
      <c r="Z546" s="24"/>
      <c r="AA546" s="24"/>
      <c r="AB546" s="24"/>
      <c r="AC546" s="24"/>
      <c r="AD546" s="24"/>
      <c r="AE546" s="24"/>
    </row>
    <row r="547" spans="1:31" ht="12.9">
      <c r="A547" s="24"/>
      <c r="B547" s="143"/>
      <c r="C547" s="24"/>
      <c r="D547" s="24"/>
      <c r="E547" s="24"/>
      <c r="F547" s="24"/>
      <c r="G547" s="24"/>
      <c r="H547" s="117"/>
      <c r="I547" s="117"/>
      <c r="J547" s="24"/>
      <c r="K547" s="24"/>
      <c r="L547" s="24"/>
      <c r="M547" s="24"/>
      <c r="N547" s="24"/>
      <c r="O547" s="24"/>
      <c r="P547" s="24"/>
      <c r="Q547" s="24"/>
      <c r="R547" s="24"/>
      <c r="S547" s="24"/>
      <c r="T547" s="24"/>
      <c r="U547" s="24"/>
      <c r="V547" s="24"/>
      <c r="W547" s="24"/>
      <c r="X547" s="24"/>
      <c r="Y547" s="24"/>
      <c r="Z547" s="24"/>
      <c r="AA547" s="24"/>
      <c r="AB547" s="24"/>
      <c r="AC547" s="24"/>
      <c r="AD547" s="24"/>
      <c r="AE547" s="24"/>
    </row>
    <row r="548" spans="1:31" ht="12.9">
      <c r="A548" s="24"/>
      <c r="B548" s="143"/>
      <c r="C548" s="24"/>
      <c r="D548" s="24"/>
      <c r="E548" s="24"/>
      <c r="F548" s="24"/>
      <c r="G548" s="24"/>
      <c r="H548" s="117"/>
      <c r="I548" s="117"/>
      <c r="J548" s="24"/>
      <c r="K548" s="24"/>
      <c r="L548" s="24"/>
      <c r="M548" s="24"/>
      <c r="N548" s="24"/>
      <c r="O548" s="24"/>
      <c r="P548" s="24"/>
      <c r="Q548" s="24"/>
      <c r="R548" s="24"/>
      <c r="S548" s="24"/>
      <c r="T548" s="24"/>
      <c r="U548" s="24"/>
      <c r="V548" s="24"/>
      <c r="W548" s="24"/>
      <c r="X548" s="24"/>
      <c r="Y548" s="24"/>
      <c r="Z548" s="24"/>
      <c r="AA548" s="24"/>
      <c r="AB548" s="24"/>
      <c r="AC548" s="24"/>
      <c r="AD548" s="24"/>
      <c r="AE548" s="24"/>
    </row>
    <row r="549" spans="1:31" ht="12.9">
      <c r="A549" s="24"/>
      <c r="B549" s="143"/>
      <c r="C549" s="24"/>
      <c r="D549" s="24"/>
      <c r="E549" s="24"/>
      <c r="F549" s="24"/>
      <c r="G549" s="24"/>
      <c r="H549" s="117"/>
      <c r="I549" s="117"/>
      <c r="J549" s="24"/>
      <c r="K549" s="24"/>
      <c r="L549" s="24"/>
      <c r="M549" s="24"/>
      <c r="N549" s="24"/>
      <c r="O549" s="24"/>
      <c r="P549" s="24"/>
      <c r="Q549" s="24"/>
      <c r="R549" s="24"/>
      <c r="S549" s="24"/>
      <c r="T549" s="24"/>
      <c r="U549" s="24"/>
      <c r="V549" s="24"/>
      <c r="W549" s="24"/>
      <c r="X549" s="24"/>
      <c r="Y549" s="24"/>
      <c r="Z549" s="24"/>
      <c r="AA549" s="24"/>
      <c r="AB549" s="24"/>
      <c r="AC549" s="24"/>
      <c r="AD549" s="24"/>
      <c r="AE549" s="24"/>
    </row>
    <row r="550" spans="1:31" ht="12.9">
      <c r="A550" s="24"/>
      <c r="B550" s="143"/>
      <c r="C550" s="24"/>
      <c r="D550" s="24"/>
      <c r="E550" s="24"/>
      <c r="F550" s="24"/>
      <c r="G550" s="24"/>
      <c r="H550" s="117"/>
      <c r="I550" s="117"/>
      <c r="J550" s="24"/>
      <c r="K550" s="24"/>
      <c r="L550" s="24"/>
      <c r="M550" s="24"/>
      <c r="N550" s="24"/>
      <c r="O550" s="24"/>
      <c r="P550" s="24"/>
      <c r="Q550" s="24"/>
      <c r="R550" s="24"/>
      <c r="S550" s="24"/>
      <c r="T550" s="24"/>
      <c r="U550" s="24"/>
      <c r="V550" s="24"/>
      <c r="W550" s="24"/>
      <c r="X550" s="24"/>
      <c r="Y550" s="24"/>
      <c r="Z550" s="24"/>
      <c r="AA550" s="24"/>
      <c r="AB550" s="24"/>
      <c r="AC550" s="24"/>
      <c r="AD550" s="24"/>
      <c r="AE550" s="24"/>
    </row>
    <row r="551" spans="1:31" ht="12.9">
      <c r="A551" s="24"/>
      <c r="B551" s="143"/>
      <c r="C551" s="24"/>
      <c r="D551" s="24"/>
      <c r="E551" s="24"/>
      <c r="F551" s="24"/>
      <c r="G551" s="24"/>
      <c r="H551" s="117"/>
      <c r="I551" s="117"/>
      <c r="J551" s="24"/>
      <c r="K551" s="24"/>
      <c r="L551" s="24"/>
      <c r="M551" s="24"/>
      <c r="N551" s="24"/>
      <c r="O551" s="24"/>
      <c r="P551" s="24"/>
      <c r="Q551" s="24"/>
      <c r="R551" s="24"/>
      <c r="S551" s="24"/>
      <c r="T551" s="24"/>
      <c r="U551" s="24"/>
      <c r="V551" s="24"/>
      <c r="W551" s="24"/>
      <c r="X551" s="24"/>
      <c r="Y551" s="24"/>
      <c r="Z551" s="24"/>
      <c r="AA551" s="24"/>
      <c r="AB551" s="24"/>
      <c r="AC551" s="24"/>
      <c r="AD551" s="24"/>
      <c r="AE551" s="24"/>
    </row>
    <row r="552" spans="1:31" ht="12.9">
      <c r="A552" s="24"/>
      <c r="B552" s="143"/>
      <c r="C552" s="24"/>
      <c r="D552" s="24"/>
      <c r="E552" s="24"/>
      <c r="F552" s="24"/>
      <c r="G552" s="24"/>
      <c r="H552" s="117"/>
      <c r="I552" s="117"/>
      <c r="J552" s="24"/>
      <c r="K552" s="24"/>
      <c r="L552" s="24"/>
      <c r="M552" s="24"/>
      <c r="N552" s="24"/>
      <c r="O552" s="24"/>
      <c r="P552" s="24"/>
      <c r="Q552" s="24"/>
      <c r="R552" s="24"/>
      <c r="S552" s="24"/>
      <c r="T552" s="24"/>
      <c r="U552" s="24"/>
      <c r="V552" s="24"/>
      <c r="W552" s="24"/>
      <c r="X552" s="24"/>
      <c r="Y552" s="24"/>
      <c r="Z552" s="24"/>
      <c r="AA552" s="24"/>
      <c r="AB552" s="24"/>
      <c r="AC552" s="24"/>
      <c r="AD552" s="24"/>
      <c r="AE552" s="24"/>
    </row>
    <row r="553" spans="1:31" ht="12.9">
      <c r="A553" s="24"/>
      <c r="B553" s="143"/>
      <c r="C553" s="24"/>
      <c r="D553" s="24"/>
      <c r="E553" s="24"/>
      <c r="F553" s="24"/>
      <c r="G553" s="24"/>
      <c r="H553" s="117"/>
      <c r="I553" s="117"/>
      <c r="J553" s="24"/>
      <c r="K553" s="24"/>
      <c r="L553" s="24"/>
      <c r="M553" s="24"/>
      <c r="N553" s="24"/>
      <c r="O553" s="24"/>
      <c r="P553" s="24"/>
      <c r="Q553" s="24"/>
      <c r="R553" s="24"/>
      <c r="S553" s="24"/>
      <c r="T553" s="24"/>
      <c r="U553" s="24"/>
      <c r="V553" s="24"/>
      <c r="W553" s="24"/>
      <c r="X553" s="24"/>
      <c r="Y553" s="24"/>
      <c r="Z553" s="24"/>
      <c r="AA553" s="24"/>
      <c r="AB553" s="24"/>
      <c r="AC553" s="24"/>
      <c r="AD553" s="24"/>
      <c r="AE553" s="24"/>
    </row>
    <row r="554" spans="1:31" ht="12.9">
      <c r="A554" s="24"/>
      <c r="B554" s="143"/>
      <c r="C554" s="24"/>
      <c r="D554" s="24"/>
      <c r="E554" s="24"/>
      <c r="F554" s="24"/>
      <c r="G554" s="24"/>
      <c r="H554" s="117"/>
      <c r="I554" s="117"/>
      <c r="J554" s="24"/>
      <c r="K554" s="24"/>
      <c r="L554" s="24"/>
      <c r="M554" s="24"/>
      <c r="N554" s="24"/>
      <c r="O554" s="24"/>
      <c r="P554" s="24"/>
      <c r="Q554" s="24"/>
      <c r="R554" s="24"/>
      <c r="S554" s="24"/>
      <c r="T554" s="24"/>
      <c r="U554" s="24"/>
      <c r="V554" s="24"/>
      <c r="W554" s="24"/>
      <c r="X554" s="24"/>
      <c r="Y554" s="24"/>
      <c r="Z554" s="24"/>
      <c r="AA554" s="24"/>
      <c r="AB554" s="24"/>
      <c r="AC554" s="24"/>
      <c r="AD554" s="24"/>
      <c r="AE554" s="24"/>
    </row>
    <row r="555" spans="1:31" ht="12.9">
      <c r="A555" s="24"/>
      <c r="B555" s="143"/>
      <c r="C555" s="24"/>
      <c r="D555" s="24"/>
      <c r="E555" s="24"/>
      <c r="F555" s="24"/>
      <c r="G555" s="24"/>
      <c r="H555" s="117"/>
      <c r="I555" s="117"/>
      <c r="J555" s="24"/>
      <c r="K555" s="24"/>
      <c r="L555" s="24"/>
      <c r="M555" s="24"/>
      <c r="N555" s="24"/>
      <c r="O555" s="24"/>
      <c r="P555" s="24"/>
      <c r="Q555" s="24"/>
      <c r="R555" s="24"/>
      <c r="S555" s="24"/>
      <c r="T555" s="24"/>
      <c r="U555" s="24"/>
      <c r="V555" s="24"/>
      <c r="W555" s="24"/>
      <c r="X555" s="24"/>
      <c r="Y555" s="24"/>
      <c r="Z555" s="24"/>
      <c r="AA555" s="24"/>
      <c r="AB555" s="24"/>
      <c r="AC555" s="24"/>
      <c r="AD555" s="24"/>
      <c r="AE555" s="24"/>
    </row>
    <row r="556" spans="1:31" ht="12.9">
      <c r="A556" s="24"/>
      <c r="B556" s="143"/>
      <c r="C556" s="24"/>
      <c r="D556" s="24"/>
      <c r="E556" s="24"/>
      <c r="F556" s="24"/>
      <c r="G556" s="24"/>
      <c r="H556" s="117"/>
      <c r="I556" s="117"/>
      <c r="J556" s="24"/>
      <c r="K556" s="24"/>
      <c r="L556" s="24"/>
      <c r="M556" s="24"/>
      <c r="N556" s="24"/>
      <c r="O556" s="24"/>
      <c r="P556" s="24"/>
      <c r="Q556" s="24"/>
      <c r="R556" s="24"/>
      <c r="S556" s="24"/>
      <c r="T556" s="24"/>
      <c r="U556" s="24"/>
      <c r="V556" s="24"/>
      <c r="W556" s="24"/>
      <c r="X556" s="24"/>
      <c r="Y556" s="24"/>
      <c r="Z556" s="24"/>
      <c r="AA556" s="24"/>
      <c r="AB556" s="24"/>
      <c r="AC556" s="24"/>
      <c r="AD556" s="24"/>
      <c r="AE556" s="24"/>
    </row>
    <row r="557" spans="1:31" ht="12.9">
      <c r="A557" s="24"/>
      <c r="B557" s="143"/>
      <c r="C557" s="24"/>
      <c r="D557" s="24"/>
      <c r="E557" s="24"/>
      <c r="F557" s="24"/>
      <c r="G557" s="24"/>
      <c r="H557" s="117"/>
      <c r="I557" s="117"/>
      <c r="J557" s="24"/>
      <c r="K557" s="24"/>
      <c r="L557" s="24"/>
      <c r="M557" s="24"/>
      <c r="N557" s="24"/>
      <c r="O557" s="24"/>
      <c r="P557" s="24"/>
      <c r="Q557" s="24"/>
      <c r="R557" s="24"/>
      <c r="S557" s="24"/>
      <c r="T557" s="24"/>
      <c r="U557" s="24"/>
      <c r="V557" s="24"/>
      <c r="W557" s="24"/>
      <c r="X557" s="24"/>
      <c r="Y557" s="24"/>
      <c r="Z557" s="24"/>
      <c r="AA557" s="24"/>
      <c r="AB557" s="24"/>
      <c r="AC557" s="24"/>
      <c r="AD557" s="24"/>
      <c r="AE557" s="24"/>
    </row>
    <row r="558" spans="1:31" ht="12.9">
      <c r="A558" s="24"/>
      <c r="B558" s="143"/>
      <c r="C558" s="24"/>
      <c r="D558" s="24"/>
      <c r="E558" s="24"/>
      <c r="F558" s="24"/>
      <c r="G558" s="24"/>
      <c r="H558" s="117"/>
      <c r="I558" s="117"/>
      <c r="J558" s="24"/>
      <c r="K558" s="24"/>
      <c r="L558" s="24"/>
      <c r="M558" s="24"/>
      <c r="N558" s="24"/>
      <c r="O558" s="24"/>
      <c r="P558" s="24"/>
      <c r="Q558" s="24"/>
      <c r="R558" s="24"/>
      <c r="S558" s="24"/>
      <c r="T558" s="24"/>
      <c r="U558" s="24"/>
      <c r="V558" s="24"/>
      <c r="W558" s="24"/>
      <c r="X558" s="24"/>
      <c r="Y558" s="24"/>
      <c r="Z558" s="24"/>
      <c r="AA558" s="24"/>
      <c r="AB558" s="24"/>
      <c r="AC558" s="24"/>
      <c r="AD558" s="24"/>
      <c r="AE558" s="24"/>
    </row>
    <row r="559" spans="1:31" ht="12.9">
      <c r="A559" s="24"/>
      <c r="B559" s="143"/>
      <c r="C559" s="24"/>
      <c r="D559" s="24"/>
      <c r="E559" s="24"/>
      <c r="F559" s="24"/>
      <c r="G559" s="24"/>
      <c r="H559" s="117"/>
      <c r="I559" s="117"/>
      <c r="J559" s="24"/>
      <c r="K559" s="24"/>
      <c r="L559" s="24"/>
      <c r="M559" s="24"/>
      <c r="N559" s="24"/>
      <c r="O559" s="24"/>
      <c r="P559" s="24"/>
      <c r="Q559" s="24"/>
      <c r="R559" s="24"/>
      <c r="S559" s="24"/>
      <c r="T559" s="24"/>
      <c r="U559" s="24"/>
      <c r="V559" s="24"/>
      <c r="W559" s="24"/>
      <c r="X559" s="24"/>
      <c r="Y559" s="24"/>
      <c r="Z559" s="24"/>
      <c r="AA559" s="24"/>
      <c r="AB559" s="24"/>
      <c r="AC559" s="24"/>
      <c r="AD559" s="24"/>
      <c r="AE559" s="24"/>
    </row>
    <row r="560" spans="1:31" ht="12.9">
      <c r="A560" s="24"/>
      <c r="B560" s="143"/>
      <c r="C560" s="24"/>
      <c r="D560" s="24"/>
      <c r="E560" s="24"/>
      <c r="F560" s="24"/>
      <c r="G560" s="24"/>
      <c r="H560" s="117"/>
      <c r="I560" s="117"/>
      <c r="J560" s="24"/>
      <c r="K560" s="24"/>
      <c r="L560" s="24"/>
      <c r="M560" s="24"/>
      <c r="N560" s="24"/>
      <c r="O560" s="24"/>
      <c r="P560" s="24"/>
      <c r="Q560" s="24"/>
      <c r="R560" s="24"/>
      <c r="S560" s="24"/>
      <c r="T560" s="24"/>
      <c r="U560" s="24"/>
      <c r="V560" s="24"/>
      <c r="W560" s="24"/>
      <c r="X560" s="24"/>
      <c r="Y560" s="24"/>
      <c r="Z560" s="24"/>
      <c r="AA560" s="24"/>
      <c r="AB560" s="24"/>
      <c r="AC560" s="24"/>
      <c r="AD560" s="24"/>
      <c r="AE560" s="24"/>
    </row>
    <row r="561" spans="1:31" ht="12.9">
      <c r="A561" s="24"/>
      <c r="B561" s="143"/>
      <c r="C561" s="24"/>
      <c r="D561" s="24"/>
      <c r="E561" s="24"/>
      <c r="F561" s="24"/>
      <c r="G561" s="24"/>
      <c r="H561" s="117"/>
      <c r="I561" s="117"/>
      <c r="J561" s="24"/>
      <c r="K561" s="24"/>
      <c r="L561" s="24"/>
      <c r="M561" s="24"/>
      <c r="N561" s="24"/>
      <c r="O561" s="24"/>
      <c r="P561" s="24"/>
      <c r="Q561" s="24"/>
      <c r="R561" s="24"/>
      <c r="S561" s="24"/>
      <c r="T561" s="24"/>
      <c r="U561" s="24"/>
      <c r="V561" s="24"/>
      <c r="W561" s="24"/>
      <c r="X561" s="24"/>
      <c r="Y561" s="24"/>
      <c r="Z561" s="24"/>
      <c r="AA561" s="24"/>
      <c r="AB561" s="24"/>
      <c r="AC561" s="24"/>
      <c r="AD561" s="24"/>
      <c r="AE561" s="24"/>
    </row>
    <row r="562" spans="1:31" ht="12.9">
      <c r="A562" s="24"/>
      <c r="B562" s="143"/>
      <c r="C562" s="24"/>
      <c r="D562" s="24"/>
      <c r="E562" s="24"/>
      <c r="F562" s="24"/>
      <c r="G562" s="24"/>
      <c r="H562" s="117"/>
      <c r="I562" s="117"/>
      <c r="J562" s="24"/>
      <c r="K562" s="24"/>
      <c r="L562" s="24"/>
      <c r="M562" s="24"/>
      <c r="N562" s="24"/>
      <c r="O562" s="24"/>
      <c r="P562" s="24"/>
      <c r="Q562" s="24"/>
      <c r="R562" s="24"/>
      <c r="S562" s="24"/>
      <c r="T562" s="24"/>
      <c r="U562" s="24"/>
      <c r="V562" s="24"/>
      <c r="W562" s="24"/>
      <c r="X562" s="24"/>
      <c r="Y562" s="24"/>
      <c r="Z562" s="24"/>
      <c r="AA562" s="24"/>
      <c r="AB562" s="24"/>
      <c r="AC562" s="24"/>
      <c r="AD562" s="24"/>
      <c r="AE562" s="24"/>
    </row>
    <row r="563" spans="1:31" ht="12.9">
      <c r="A563" s="24"/>
      <c r="B563" s="143"/>
      <c r="C563" s="24"/>
      <c r="D563" s="24"/>
      <c r="E563" s="24"/>
      <c r="F563" s="24"/>
      <c r="G563" s="24"/>
      <c r="H563" s="117"/>
      <c r="I563" s="117"/>
      <c r="J563" s="24"/>
      <c r="K563" s="24"/>
      <c r="L563" s="24"/>
      <c r="M563" s="24"/>
      <c r="N563" s="24"/>
      <c r="O563" s="24"/>
      <c r="P563" s="24"/>
      <c r="Q563" s="24"/>
      <c r="R563" s="24"/>
      <c r="S563" s="24"/>
      <c r="T563" s="24"/>
      <c r="U563" s="24"/>
      <c r="V563" s="24"/>
      <c r="W563" s="24"/>
      <c r="X563" s="24"/>
      <c r="Y563" s="24"/>
      <c r="Z563" s="24"/>
      <c r="AA563" s="24"/>
      <c r="AB563" s="24"/>
      <c r="AC563" s="24"/>
      <c r="AD563" s="24"/>
      <c r="AE563" s="24"/>
    </row>
    <row r="564" spans="1:31" ht="12.9">
      <c r="A564" s="24"/>
      <c r="B564" s="143"/>
      <c r="C564" s="24"/>
      <c r="D564" s="24"/>
      <c r="E564" s="24"/>
      <c r="F564" s="24"/>
      <c r="G564" s="24"/>
      <c r="H564" s="117"/>
      <c r="I564" s="117"/>
      <c r="J564" s="24"/>
      <c r="K564" s="24"/>
      <c r="L564" s="24"/>
      <c r="M564" s="24"/>
      <c r="N564" s="24"/>
      <c r="O564" s="24"/>
      <c r="P564" s="24"/>
      <c r="Q564" s="24"/>
      <c r="R564" s="24"/>
      <c r="S564" s="24"/>
      <c r="T564" s="24"/>
      <c r="U564" s="24"/>
      <c r="V564" s="24"/>
      <c r="W564" s="24"/>
      <c r="X564" s="24"/>
      <c r="Y564" s="24"/>
      <c r="Z564" s="24"/>
      <c r="AA564" s="24"/>
      <c r="AB564" s="24"/>
      <c r="AC564" s="24"/>
      <c r="AD564" s="24"/>
      <c r="AE564" s="24"/>
    </row>
    <row r="565" spans="1:31" ht="12.9">
      <c r="A565" s="24"/>
      <c r="B565" s="143"/>
      <c r="C565" s="24"/>
      <c r="D565" s="24"/>
      <c r="E565" s="24"/>
      <c r="F565" s="24"/>
      <c r="G565" s="24"/>
      <c r="H565" s="117"/>
      <c r="I565" s="117"/>
      <c r="J565" s="24"/>
      <c r="K565" s="24"/>
      <c r="L565" s="24"/>
      <c r="M565" s="24"/>
      <c r="N565" s="24"/>
      <c r="O565" s="24"/>
      <c r="P565" s="24"/>
      <c r="Q565" s="24"/>
      <c r="R565" s="24"/>
      <c r="S565" s="24"/>
      <c r="T565" s="24"/>
      <c r="U565" s="24"/>
      <c r="V565" s="24"/>
      <c r="W565" s="24"/>
      <c r="X565" s="24"/>
      <c r="Y565" s="24"/>
      <c r="Z565" s="24"/>
      <c r="AA565" s="24"/>
      <c r="AB565" s="24"/>
      <c r="AC565" s="24"/>
      <c r="AD565" s="24"/>
      <c r="AE565" s="24"/>
    </row>
    <row r="566" spans="1:31" ht="12.9">
      <c r="A566" s="24"/>
      <c r="B566" s="143"/>
      <c r="C566" s="24"/>
      <c r="D566" s="24"/>
      <c r="E566" s="24"/>
      <c r="F566" s="24"/>
      <c r="G566" s="24"/>
      <c r="H566" s="117"/>
      <c r="I566" s="117"/>
      <c r="J566" s="24"/>
      <c r="K566" s="24"/>
      <c r="L566" s="24"/>
      <c r="M566" s="24"/>
      <c r="N566" s="24"/>
      <c r="O566" s="24"/>
      <c r="P566" s="24"/>
      <c r="Q566" s="24"/>
      <c r="R566" s="24"/>
      <c r="S566" s="24"/>
      <c r="T566" s="24"/>
      <c r="U566" s="24"/>
      <c r="V566" s="24"/>
      <c r="W566" s="24"/>
      <c r="X566" s="24"/>
      <c r="Y566" s="24"/>
      <c r="Z566" s="24"/>
      <c r="AA566" s="24"/>
      <c r="AB566" s="24"/>
      <c r="AC566" s="24"/>
      <c r="AD566" s="24"/>
      <c r="AE566" s="24"/>
    </row>
    <row r="567" spans="1:31" ht="12.9">
      <c r="A567" s="24"/>
      <c r="B567" s="143"/>
      <c r="C567" s="24"/>
      <c r="D567" s="24"/>
      <c r="E567" s="24"/>
      <c r="F567" s="24"/>
      <c r="G567" s="24"/>
      <c r="H567" s="117"/>
      <c r="I567" s="117"/>
      <c r="J567" s="24"/>
      <c r="K567" s="24"/>
      <c r="L567" s="24"/>
      <c r="M567" s="24"/>
      <c r="N567" s="24"/>
      <c r="O567" s="24"/>
      <c r="P567" s="24"/>
      <c r="Q567" s="24"/>
      <c r="R567" s="24"/>
      <c r="S567" s="24"/>
      <c r="T567" s="24"/>
      <c r="U567" s="24"/>
      <c r="V567" s="24"/>
      <c r="W567" s="24"/>
      <c r="X567" s="24"/>
      <c r="Y567" s="24"/>
      <c r="Z567" s="24"/>
      <c r="AA567" s="24"/>
      <c r="AB567" s="24"/>
      <c r="AC567" s="24"/>
      <c r="AD567" s="24"/>
      <c r="AE567" s="24"/>
    </row>
    <row r="568" spans="1:31" ht="12.9">
      <c r="A568" s="24"/>
      <c r="B568" s="143"/>
      <c r="C568" s="24"/>
      <c r="D568" s="24"/>
      <c r="E568" s="24"/>
      <c r="F568" s="24"/>
      <c r="G568" s="24"/>
      <c r="H568" s="117"/>
      <c r="I568" s="117"/>
      <c r="J568" s="24"/>
      <c r="K568" s="24"/>
      <c r="L568" s="24"/>
      <c r="M568" s="24"/>
      <c r="N568" s="24"/>
      <c r="O568" s="24"/>
      <c r="P568" s="24"/>
      <c r="Q568" s="24"/>
      <c r="R568" s="24"/>
      <c r="S568" s="24"/>
      <c r="T568" s="24"/>
      <c r="U568" s="24"/>
      <c r="V568" s="24"/>
      <c r="W568" s="24"/>
      <c r="X568" s="24"/>
      <c r="Y568" s="24"/>
      <c r="Z568" s="24"/>
      <c r="AA568" s="24"/>
      <c r="AB568" s="24"/>
      <c r="AC568" s="24"/>
      <c r="AD568" s="24"/>
      <c r="AE568" s="24"/>
    </row>
    <row r="569" spans="1:31" ht="12.9">
      <c r="A569" s="24"/>
      <c r="B569" s="143"/>
      <c r="C569" s="24"/>
      <c r="D569" s="24"/>
      <c r="E569" s="24"/>
      <c r="F569" s="24"/>
      <c r="G569" s="24"/>
      <c r="H569" s="117"/>
      <c r="I569" s="117"/>
      <c r="J569" s="24"/>
      <c r="K569" s="24"/>
      <c r="L569" s="24"/>
      <c r="M569" s="24"/>
      <c r="N569" s="24"/>
      <c r="O569" s="24"/>
      <c r="P569" s="24"/>
      <c r="Q569" s="24"/>
      <c r="R569" s="24"/>
      <c r="S569" s="24"/>
      <c r="T569" s="24"/>
      <c r="U569" s="24"/>
      <c r="V569" s="24"/>
      <c r="W569" s="24"/>
      <c r="X569" s="24"/>
      <c r="Y569" s="24"/>
      <c r="Z569" s="24"/>
      <c r="AA569" s="24"/>
      <c r="AB569" s="24"/>
      <c r="AC569" s="24"/>
      <c r="AD569" s="24"/>
      <c r="AE569" s="24"/>
    </row>
    <row r="570" spans="1:31" ht="12.9">
      <c r="A570" s="24"/>
      <c r="B570" s="143"/>
      <c r="C570" s="24"/>
      <c r="D570" s="24"/>
      <c r="E570" s="24"/>
      <c r="F570" s="24"/>
      <c r="G570" s="24"/>
      <c r="H570" s="117"/>
      <c r="I570" s="117"/>
      <c r="J570" s="24"/>
      <c r="K570" s="24"/>
      <c r="L570" s="24"/>
      <c r="M570" s="24"/>
      <c r="N570" s="24"/>
      <c r="O570" s="24"/>
      <c r="P570" s="24"/>
      <c r="Q570" s="24"/>
      <c r="R570" s="24"/>
      <c r="S570" s="24"/>
      <c r="T570" s="24"/>
      <c r="U570" s="24"/>
      <c r="V570" s="24"/>
      <c r="W570" s="24"/>
      <c r="X570" s="24"/>
      <c r="Y570" s="24"/>
      <c r="Z570" s="24"/>
      <c r="AA570" s="24"/>
      <c r="AB570" s="24"/>
      <c r="AC570" s="24"/>
      <c r="AD570" s="24"/>
      <c r="AE570" s="24"/>
    </row>
    <row r="571" spans="1:31" ht="12.9">
      <c r="A571" s="24"/>
      <c r="B571" s="143"/>
      <c r="C571" s="24"/>
      <c r="D571" s="24"/>
      <c r="E571" s="24"/>
      <c r="F571" s="24"/>
      <c r="G571" s="24"/>
      <c r="H571" s="117"/>
      <c r="I571" s="117"/>
      <c r="J571" s="24"/>
      <c r="K571" s="24"/>
      <c r="L571" s="24"/>
      <c r="M571" s="24"/>
      <c r="N571" s="24"/>
      <c r="O571" s="24"/>
      <c r="P571" s="24"/>
      <c r="Q571" s="24"/>
      <c r="R571" s="24"/>
      <c r="S571" s="24"/>
      <c r="T571" s="24"/>
      <c r="U571" s="24"/>
      <c r="V571" s="24"/>
      <c r="W571" s="24"/>
      <c r="X571" s="24"/>
      <c r="Y571" s="24"/>
      <c r="Z571" s="24"/>
      <c r="AA571" s="24"/>
      <c r="AB571" s="24"/>
      <c r="AC571" s="24"/>
      <c r="AD571" s="24"/>
      <c r="AE571" s="24"/>
    </row>
    <row r="572" spans="1:31" ht="12.9">
      <c r="A572" s="24"/>
      <c r="B572" s="143"/>
      <c r="C572" s="24"/>
      <c r="D572" s="24"/>
      <c r="E572" s="24"/>
      <c r="F572" s="24"/>
      <c r="G572" s="24"/>
      <c r="H572" s="117"/>
      <c r="I572" s="117"/>
      <c r="J572" s="24"/>
      <c r="K572" s="24"/>
      <c r="L572" s="24"/>
      <c r="M572" s="24"/>
      <c r="N572" s="24"/>
      <c r="O572" s="24"/>
      <c r="P572" s="24"/>
      <c r="Q572" s="24"/>
      <c r="R572" s="24"/>
      <c r="S572" s="24"/>
      <c r="T572" s="24"/>
      <c r="U572" s="24"/>
      <c r="V572" s="24"/>
      <c r="W572" s="24"/>
      <c r="X572" s="24"/>
      <c r="Y572" s="24"/>
      <c r="Z572" s="24"/>
      <c r="AA572" s="24"/>
      <c r="AB572" s="24"/>
      <c r="AC572" s="24"/>
      <c r="AD572" s="24"/>
      <c r="AE572" s="24"/>
    </row>
    <row r="573" spans="1:31" ht="12.9">
      <c r="A573" s="24"/>
      <c r="B573" s="143"/>
      <c r="C573" s="24"/>
      <c r="D573" s="24"/>
      <c r="E573" s="24"/>
      <c r="F573" s="24"/>
      <c r="G573" s="24"/>
      <c r="H573" s="117"/>
      <c r="I573" s="117"/>
      <c r="J573" s="24"/>
      <c r="K573" s="24"/>
      <c r="L573" s="24"/>
      <c r="M573" s="24"/>
      <c r="N573" s="24"/>
      <c r="O573" s="24"/>
      <c r="P573" s="24"/>
      <c r="Q573" s="24"/>
      <c r="R573" s="24"/>
      <c r="S573" s="24"/>
      <c r="T573" s="24"/>
      <c r="U573" s="24"/>
      <c r="V573" s="24"/>
      <c r="W573" s="24"/>
      <c r="X573" s="24"/>
      <c r="Y573" s="24"/>
      <c r="Z573" s="24"/>
      <c r="AA573" s="24"/>
      <c r="AB573" s="24"/>
      <c r="AC573" s="24"/>
      <c r="AD573" s="24"/>
      <c r="AE573" s="24"/>
    </row>
    <row r="574" spans="1:31" ht="12.9">
      <c r="A574" s="24"/>
      <c r="B574" s="143"/>
      <c r="C574" s="24"/>
      <c r="D574" s="24"/>
      <c r="E574" s="24"/>
      <c r="F574" s="24"/>
      <c r="G574" s="24"/>
      <c r="H574" s="117"/>
      <c r="I574" s="117"/>
      <c r="J574" s="24"/>
      <c r="K574" s="24"/>
      <c r="L574" s="24"/>
      <c r="M574" s="24"/>
      <c r="N574" s="24"/>
      <c r="O574" s="24"/>
      <c r="P574" s="24"/>
      <c r="Q574" s="24"/>
      <c r="R574" s="24"/>
      <c r="S574" s="24"/>
      <c r="T574" s="24"/>
      <c r="U574" s="24"/>
      <c r="V574" s="24"/>
      <c r="W574" s="24"/>
      <c r="X574" s="24"/>
      <c r="Y574" s="24"/>
      <c r="Z574" s="24"/>
      <c r="AA574" s="24"/>
      <c r="AB574" s="24"/>
      <c r="AC574" s="24"/>
      <c r="AD574" s="24"/>
      <c r="AE574" s="24"/>
    </row>
    <row r="575" spans="1:31" ht="12.9">
      <c r="A575" s="24"/>
      <c r="B575" s="143"/>
      <c r="C575" s="24"/>
      <c r="D575" s="24"/>
      <c r="E575" s="24"/>
      <c r="F575" s="24"/>
      <c r="G575" s="24"/>
      <c r="H575" s="117"/>
      <c r="I575" s="117"/>
      <c r="J575" s="24"/>
      <c r="K575" s="24"/>
      <c r="L575" s="24"/>
      <c r="M575" s="24"/>
      <c r="N575" s="24"/>
      <c r="O575" s="24"/>
      <c r="P575" s="24"/>
      <c r="Q575" s="24"/>
      <c r="R575" s="24"/>
      <c r="S575" s="24"/>
      <c r="T575" s="24"/>
      <c r="U575" s="24"/>
      <c r="V575" s="24"/>
      <c r="W575" s="24"/>
      <c r="X575" s="24"/>
      <c r="Y575" s="24"/>
      <c r="Z575" s="24"/>
      <c r="AA575" s="24"/>
      <c r="AB575" s="24"/>
      <c r="AC575" s="24"/>
      <c r="AD575" s="24"/>
      <c r="AE575" s="24"/>
    </row>
    <row r="576" spans="1:31" ht="12.9">
      <c r="A576" s="24"/>
      <c r="B576" s="143"/>
      <c r="C576" s="24"/>
      <c r="D576" s="24"/>
      <c r="E576" s="24"/>
      <c r="F576" s="24"/>
      <c r="G576" s="24"/>
      <c r="H576" s="117"/>
      <c r="I576" s="117"/>
      <c r="J576" s="24"/>
      <c r="K576" s="24"/>
      <c r="L576" s="24"/>
      <c r="M576" s="24"/>
      <c r="N576" s="24"/>
      <c r="O576" s="24"/>
      <c r="P576" s="24"/>
      <c r="Q576" s="24"/>
      <c r="R576" s="24"/>
      <c r="S576" s="24"/>
      <c r="T576" s="24"/>
      <c r="U576" s="24"/>
      <c r="V576" s="24"/>
      <c r="W576" s="24"/>
      <c r="X576" s="24"/>
      <c r="Y576" s="24"/>
      <c r="Z576" s="24"/>
      <c r="AA576" s="24"/>
      <c r="AB576" s="24"/>
      <c r="AC576" s="24"/>
      <c r="AD576" s="24"/>
      <c r="AE576" s="24"/>
    </row>
    <row r="577" spans="1:31" ht="12.9">
      <c r="A577" s="24"/>
      <c r="B577" s="143"/>
      <c r="C577" s="24"/>
      <c r="D577" s="24"/>
      <c r="E577" s="24"/>
      <c r="F577" s="24"/>
      <c r="G577" s="24"/>
      <c r="H577" s="117"/>
      <c r="I577" s="117"/>
      <c r="J577" s="24"/>
      <c r="K577" s="24"/>
      <c r="L577" s="24"/>
      <c r="M577" s="24"/>
      <c r="N577" s="24"/>
      <c r="O577" s="24"/>
      <c r="P577" s="24"/>
      <c r="Q577" s="24"/>
      <c r="R577" s="24"/>
      <c r="S577" s="24"/>
      <c r="T577" s="24"/>
      <c r="U577" s="24"/>
      <c r="V577" s="24"/>
      <c r="W577" s="24"/>
      <c r="X577" s="24"/>
      <c r="Y577" s="24"/>
      <c r="Z577" s="24"/>
      <c r="AA577" s="24"/>
      <c r="AB577" s="24"/>
      <c r="AC577" s="24"/>
      <c r="AD577" s="24"/>
      <c r="AE577" s="24"/>
    </row>
    <row r="578" spans="1:31" ht="12.9">
      <c r="A578" s="24"/>
      <c r="B578" s="143"/>
      <c r="C578" s="24"/>
      <c r="D578" s="24"/>
      <c r="E578" s="24"/>
      <c r="F578" s="24"/>
      <c r="G578" s="24"/>
      <c r="H578" s="117"/>
      <c r="I578" s="117"/>
      <c r="J578" s="24"/>
      <c r="K578" s="24"/>
      <c r="L578" s="24"/>
      <c r="M578" s="24"/>
      <c r="N578" s="24"/>
      <c r="O578" s="24"/>
      <c r="P578" s="24"/>
      <c r="Q578" s="24"/>
      <c r="R578" s="24"/>
      <c r="S578" s="24"/>
      <c r="T578" s="24"/>
      <c r="U578" s="24"/>
      <c r="V578" s="24"/>
      <c r="W578" s="24"/>
      <c r="X578" s="24"/>
      <c r="Y578" s="24"/>
      <c r="Z578" s="24"/>
      <c r="AA578" s="24"/>
      <c r="AB578" s="24"/>
      <c r="AC578" s="24"/>
      <c r="AD578" s="24"/>
      <c r="AE578" s="24"/>
    </row>
    <row r="579" spans="1:31" ht="12.9">
      <c r="A579" s="24"/>
      <c r="B579" s="143"/>
      <c r="C579" s="24"/>
      <c r="D579" s="24"/>
      <c r="E579" s="24"/>
      <c r="F579" s="24"/>
      <c r="G579" s="24"/>
      <c r="H579" s="117"/>
      <c r="I579" s="117"/>
      <c r="J579" s="24"/>
      <c r="K579" s="24"/>
      <c r="L579" s="24"/>
      <c r="M579" s="24"/>
      <c r="N579" s="24"/>
      <c r="O579" s="24"/>
      <c r="P579" s="24"/>
      <c r="Q579" s="24"/>
      <c r="R579" s="24"/>
      <c r="S579" s="24"/>
      <c r="T579" s="24"/>
      <c r="U579" s="24"/>
      <c r="V579" s="24"/>
      <c r="W579" s="24"/>
      <c r="X579" s="24"/>
      <c r="Y579" s="24"/>
      <c r="Z579" s="24"/>
      <c r="AA579" s="24"/>
      <c r="AB579" s="24"/>
      <c r="AC579" s="24"/>
      <c r="AD579" s="24"/>
      <c r="AE579" s="24"/>
    </row>
    <row r="580" spans="1:31" ht="12.9">
      <c r="A580" s="24"/>
      <c r="B580" s="143"/>
      <c r="C580" s="24"/>
      <c r="D580" s="24"/>
      <c r="E580" s="24"/>
      <c r="F580" s="24"/>
      <c r="G580" s="24"/>
      <c r="H580" s="117"/>
      <c r="I580" s="117"/>
      <c r="J580" s="24"/>
      <c r="K580" s="24"/>
      <c r="L580" s="24"/>
      <c r="M580" s="24"/>
      <c r="N580" s="24"/>
      <c r="O580" s="24"/>
      <c r="P580" s="24"/>
      <c r="Q580" s="24"/>
      <c r="R580" s="24"/>
      <c r="S580" s="24"/>
      <c r="T580" s="24"/>
      <c r="U580" s="24"/>
      <c r="V580" s="24"/>
      <c r="W580" s="24"/>
      <c r="X580" s="24"/>
      <c r="Y580" s="24"/>
      <c r="Z580" s="24"/>
      <c r="AA580" s="24"/>
      <c r="AB580" s="24"/>
      <c r="AC580" s="24"/>
      <c r="AD580" s="24"/>
      <c r="AE580" s="24"/>
    </row>
    <row r="581" spans="1:31" ht="12.9">
      <c r="A581" s="24"/>
      <c r="B581" s="143"/>
      <c r="C581" s="24"/>
      <c r="D581" s="24"/>
      <c r="E581" s="24"/>
      <c r="F581" s="24"/>
      <c r="G581" s="24"/>
      <c r="H581" s="117"/>
      <c r="I581" s="117"/>
      <c r="J581" s="24"/>
      <c r="K581" s="24"/>
      <c r="L581" s="24"/>
      <c r="M581" s="24"/>
      <c r="N581" s="24"/>
      <c r="O581" s="24"/>
      <c r="P581" s="24"/>
      <c r="Q581" s="24"/>
      <c r="R581" s="24"/>
      <c r="S581" s="24"/>
      <c r="T581" s="24"/>
      <c r="U581" s="24"/>
      <c r="V581" s="24"/>
      <c r="W581" s="24"/>
      <c r="X581" s="24"/>
      <c r="Y581" s="24"/>
      <c r="Z581" s="24"/>
      <c r="AA581" s="24"/>
      <c r="AB581" s="24"/>
      <c r="AC581" s="24"/>
      <c r="AD581" s="24"/>
      <c r="AE581" s="24"/>
    </row>
    <row r="582" spans="1:31" ht="12.9">
      <c r="A582" s="24"/>
      <c r="B582" s="143"/>
      <c r="C582" s="24"/>
      <c r="D582" s="24"/>
      <c r="E582" s="24"/>
      <c r="F582" s="24"/>
      <c r="G582" s="24"/>
      <c r="H582" s="117"/>
      <c r="I582" s="117"/>
      <c r="J582" s="24"/>
      <c r="K582" s="24"/>
      <c r="L582" s="24"/>
      <c r="M582" s="24"/>
      <c r="N582" s="24"/>
      <c r="O582" s="24"/>
      <c r="P582" s="24"/>
      <c r="Q582" s="24"/>
      <c r="R582" s="24"/>
      <c r="S582" s="24"/>
      <c r="T582" s="24"/>
      <c r="U582" s="24"/>
      <c r="V582" s="24"/>
      <c r="W582" s="24"/>
      <c r="X582" s="24"/>
      <c r="Y582" s="24"/>
      <c r="Z582" s="24"/>
      <c r="AA582" s="24"/>
      <c r="AB582" s="24"/>
      <c r="AC582" s="24"/>
      <c r="AD582" s="24"/>
      <c r="AE582" s="24"/>
    </row>
    <row r="583" spans="1:31" ht="12.9">
      <c r="A583" s="24"/>
      <c r="B583" s="143"/>
      <c r="C583" s="24"/>
      <c r="D583" s="24"/>
      <c r="E583" s="24"/>
      <c r="F583" s="24"/>
      <c r="G583" s="24"/>
      <c r="H583" s="117"/>
      <c r="I583" s="117"/>
      <c r="J583" s="24"/>
      <c r="K583" s="24"/>
      <c r="L583" s="24"/>
      <c r="M583" s="24"/>
      <c r="N583" s="24"/>
      <c r="O583" s="24"/>
      <c r="P583" s="24"/>
      <c r="Q583" s="24"/>
      <c r="R583" s="24"/>
      <c r="S583" s="24"/>
      <c r="T583" s="24"/>
      <c r="U583" s="24"/>
      <c r="V583" s="24"/>
      <c r="W583" s="24"/>
      <c r="X583" s="24"/>
      <c r="Y583" s="24"/>
      <c r="Z583" s="24"/>
      <c r="AA583" s="24"/>
      <c r="AB583" s="24"/>
      <c r="AC583" s="24"/>
      <c r="AD583" s="24"/>
      <c r="AE583" s="24"/>
    </row>
    <row r="584" spans="1:31" ht="12.9">
      <c r="A584" s="24"/>
      <c r="B584" s="143"/>
      <c r="C584" s="24"/>
      <c r="D584" s="24"/>
      <c r="E584" s="24"/>
      <c r="F584" s="24"/>
      <c r="G584" s="24"/>
      <c r="H584" s="117"/>
      <c r="I584" s="117"/>
      <c r="J584" s="24"/>
      <c r="K584" s="24"/>
      <c r="L584" s="24"/>
      <c r="M584" s="24"/>
      <c r="N584" s="24"/>
      <c r="O584" s="24"/>
      <c r="P584" s="24"/>
      <c r="Q584" s="24"/>
      <c r="R584" s="24"/>
      <c r="S584" s="24"/>
      <c r="T584" s="24"/>
      <c r="U584" s="24"/>
      <c r="V584" s="24"/>
      <c r="W584" s="24"/>
      <c r="X584" s="24"/>
      <c r="Y584" s="24"/>
      <c r="Z584" s="24"/>
      <c r="AA584" s="24"/>
      <c r="AB584" s="24"/>
      <c r="AC584" s="24"/>
      <c r="AD584" s="24"/>
      <c r="AE584" s="24"/>
    </row>
    <row r="585" spans="1:31" ht="12.9">
      <c r="A585" s="24"/>
      <c r="B585" s="143"/>
      <c r="C585" s="24"/>
      <c r="D585" s="24"/>
      <c r="E585" s="24"/>
      <c r="F585" s="24"/>
      <c r="G585" s="24"/>
      <c r="H585" s="117"/>
      <c r="I585" s="117"/>
      <c r="J585" s="24"/>
      <c r="K585" s="24"/>
      <c r="L585" s="24"/>
      <c r="M585" s="24"/>
      <c r="N585" s="24"/>
      <c r="O585" s="24"/>
      <c r="P585" s="24"/>
      <c r="Q585" s="24"/>
      <c r="R585" s="24"/>
      <c r="S585" s="24"/>
      <c r="T585" s="24"/>
      <c r="U585" s="24"/>
      <c r="V585" s="24"/>
      <c r="W585" s="24"/>
      <c r="X585" s="24"/>
      <c r="Y585" s="24"/>
      <c r="Z585" s="24"/>
      <c r="AA585" s="24"/>
      <c r="AB585" s="24"/>
      <c r="AC585" s="24"/>
      <c r="AD585" s="24"/>
      <c r="AE585" s="24"/>
    </row>
    <row r="586" spans="1:31" ht="12.9">
      <c r="A586" s="24"/>
      <c r="B586" s="143"/>
      <c r="C586" s="24"/>
      <c r="D586" s="24"/>
      <c r="E586" s="24"/>
      <c r="F586" s="24"/>
      <c r="G586" s="24"/>
      <c r="H586" s="117"/>
      <c r="I586" s="117"/>
      <c r="J586" s="24"/>
      <c r="K586" s="24"/>
      <c r="L586" s="24"/>
      <c r="M586" s="24"/>
      <c r="N586" s="24"/>
      <c r="O586" s="24"/>
      <c r="P586" s="24"/>
      <c r="Q586" s="24"/>
      <c r="R586" s="24"/>
      <c r="S586" s="24"/>
      <c r="T586" s="24"/>
      <c r="U586" s="24"/>
      <c r="V586" s="24"/>
      <c r="W586" s="24"/>
      <c r="X586" s="24"/>
      <c r="Y586" s="24"/>
      <c r="Z586" s="24"/>
      <c r="AA586" s="24"/>
      <c r="AB586" s="24"/>
      <c r="AC586" s="24"/>
      <c r="AD586" s="24"/>
      <c r="AE586" s="24"/>
    </row>
    <row r="587" spans="1:31" ht="12.9">
      <c r="A587" s="24"/>
      <c r="B587" s="143"/>
      <c r="C587" s="24"/>
      <c r="D587" s="24"/>
      <c r="E587" s="24"/>
      <c r="F587" s="24"/>
      <c r="G587" s="24"/>
      <c r="H587" s="117"/>
      <c r="I587" s="117"/>
      <c r="J587" s="24"/>
      <c r="K587" s="24"/>
      <c r="L587" s="24"/>
      <c r="M587" s="24"/>
      <c r="N587" s="24"/>
      <c r="O587" s="24"/>
      <c r="P587" s="24"/>
      <c r="Q587" s="24"/>
      <c r="R587" s="24"/>
      <c r="S587" s="24"/>
      <c r="T587" s="24"/>
      <c r="U587" s="24"/>
      <c r="V587" s="24"/>
      <c r="W587" s="24"/>
      <c r="X587" s="24"/>
      <c r="Y587" s="24"/>
      <c r="Z587" s="24"/>
      <c r="AA587" s="24"/>
      <c r="AB587" s="24"/>
      <c r="AC587" s="24"/>
      <c r="AD587" s="24"/>
      <c r="AE587" s="24"/>
    </row>
    <row r="588" spans="1:31" ht="12.9">
      <c r="A588" s="24"/>
      <c r="B588" s="143"/>
      <c r="C588" s="24"/>
      <c r="D588" s="24"/>
      <c r="E588" s="24"/>
      <c r="F588" s="24"/>
      <c r="G588" s="24"/>
      <c r="H588" s="117"/>
      <c r="I588" s="117"/>
      <c r="J588" s="24"/>
      <c r="K588" s="24"/>
      <c r="L588" s="24"/>
      <c r="M588" s="24"/>
      <c r="N588" s="24"/>
      <c r="O588" s="24"/>
      <c r="P588" s="24"/>
      <c r="Q588" s="24"/>
      <c r="R588" s="24"/>
      <c r="S588" s="24"/>
      <c r="T588" s="24"/>
      <c r="U588" s="24"/>
      <c r="V588" s="24"/>
      <c r="W588" s="24"/>
      <c r="X588" s="24"/>
      <c r="Y588" s="24"/>
      <c r="Z588" s="24"/>
      <c r="AA588" s="24"/>
      <c r="AB588" s="24"/>
      <c r="AC588" s="24"/>
      <c r="AD588" s="24"/>
      <c r="AE588" s="24"/>
    </row>
    <row r="589" spans="1:31" ht="12.9">
      <c r="A589" s="24"/>
      <c r="B589" s="143"/>
      <c r="C589" s="24"/>
      <c r="D589" s="24"/>
      <c r="E589" s="24"/>
      <c r="F589" s="24"/>
      <c r="G589" s="24"/>
      <c r="H589" s="117"/>
      <c r="I589" s="117"/>
      <c r="J589" s="24"/>
      <c r="K589" s="24"/>
      <c r="L589" s="24"/>
      <c r="M589" s="24"/>
      <c r="N589" s="24"/>
      <c r="O589" s="24"/>
      <c r="P589" s="24"/>
      <c r="Q589" s="24"/>
      <c r="R589" s="24"/>
      <c r="S589" s="24"/>
      <c r="T589" s="24"/>
      <c r="U589" s="24"/>
      <c r="V589" s="24"/>
      <c r="W589" s="24"/>
      <c r="X589" s="24"/>
      <c r="Y589" s="24"/>
      <c r="Z589" s="24"/>
      <c r="AA589" s="24"/>
      <c r="AB589" s="24"/>
      <c r="AC589" s="24"/>
      <c r="AD589" s="24"/>
      <c r="AE589" s="24"/>
    </row>
    <row r="590" spans="1:31" ht="12.9">
      <c r="A590" s="24"/>
      <c r="B590" s="143"/>
      <c r="C590" s="24"/>
      <c r="D590" s="24"/>
      <c r="E590" s="24"/>
      <c r="F590" s="24"/>
      <c r="G590" s="24"/>
      <c r="H590" s="117"/>
      <c r="I590" s="117"/>
      <c r="J590" s="24"/>
      <c r="K590" s="24"/>
      <c r="L590" s="24"/>
      <c r="M590" s="24"/>
      <c r="N590" s="24"/>
      <c r="O590" s="24"/>
      <c r="P590" s="24"/>
      <c r="Q590" s="24"/>
      <c r="R590" s="24"/>
      <c r="S590" s="24"/>
      <c r="T590" s="24"/>
      <c r="U590" s="24"/>
      <c r="V590" s="24"/>
      <c r="W590" s="24"/>
      <c r="X590" s="24"/>
      <c r="Y590" s="24"/>
      <c r="Z590" s="24"/>
      <c r="AA590" s="24"/>
      <c r="AB590" s="24"/>
      <c r="AC590" s="24"/>
      <c r="AD590" s="24"/>
      <c r="AE590" s="24"/>
    </row>
    <row r="591" spans="1:31" ht="12.9">
      <c r="A591" s="24"/>
      <c r="B591" s="143"/>
      <c r="C591" s="24"/>
      <c r="D591" s="24"/>
      <c r="E591" s="24"/>
      <c r="F591" s="24"/>
      <c r="G591" s="24"/>
      <c r="H591" s="117"/>
      <c r="I591" s="117"/>
      <c r="J591" s="24"/>
      <c r="K591" s="24"/>
      <c r="L591" s="24"/>
      <c r="M591" s="24"/>
      <c r="N591" s="24"/>
      <c r="O591" s="24"/>
      <c r="P591" s="24"/>
      <c r="Q591" s="24"/>
      <c r="R591" s="24"/>
      <c r="S591" s="24"/>
      <c r="T591" s="24"/>
      <c r="U591" s="24"/>
      <c r="V591" s="24"/>
      <c r="W591" s="24"/>
      <c r="X591" s="24"/>
      <c r="Y591" s="24"/>
      <c r="Z591" s="24"/>
      <c r="AA591" s="24"/>
      <c r="AB591" s="24"/>
      <c r="AC591" s="24"/>
      <c r="AD591" s="24"/>
      <c r="AE591" s="24"/>
    </row>
    <row r="592" spans="1:31" ht="12.9">
      <c r="A592" s="24"/>
      <c r="B592" s="143"/>
      <c r="C592" s="24"/>
      <c r="D592" s="24"/>
      <c r="E592" s="24"/>
      <c r="F592" s="24"/>
      <c r="G592" s="24"/>
      <c r="H592" s="117"/>
      <c r="I592" s="117"/>
      <c r="J592" s="24"/>
      <c r="K592" s="24"/>
      <c r="L592" s="24"/>
      <c r="M592" s="24"/>
      <c r="N592" s="24"/>
      <c r="O592" s="24"/>
      <c r="P592" s="24"/>
      <c r="Q592" s="24"/>
      <c r="R592" s="24"/>
      <c r="S592" s="24"/>
      <c r="T592" s="24"/>
      <c r="U592" s="24"/>
      <c r="V592" s="24"/>
      <c r="W592" s="24"/>
      <c r="X592" s="24"/>
      <c r="Y592" s="24"/>
      <c r="Z592" s="24"/>
      <c r="AA592" s="24"/>
      <c r="AB592" s="24"/>
      <c r="AC592" s="24"/>
      <c r="AD592" s="24"/>
      <c r="AE592" s="24"/>
    </row>
    <row r="593" spans="1:31" ht="12.9">
      <c r="A593" s="24"/>
      <c r="B593" s="143"/>
      <c r="C593" s="24"/>
      <c r="D593" s="24"/>
      <c r="E593" s="24"/>
      <c r="F593" s="24"/>
      <c r="G593" s="24"/>
      <c r="H593" s="117"/>
      <c r="I593" s="117"/>
      <c r="J593" s="24"/>
      <c r="K593" s="24"/>
      <c r="L593" s="24"/>
      <c r="M593" s="24"/>
      <c r="N593" s="24"/>
      <c r="O593" s="24"/>
      <c r="P593" s="24"/>
      <c r="Q593" s="24"/>
      <c r="R593" s="24"/>
      <c r="S593" s="24"/>
      <c r="T593" s="24"/>
      <c r="U593" s="24"/>
      <c r="V593" s="24"/>
      <c r="W593" s="24"/>
      <c r="X593" s="24"/>
      <c r="Y593" s="24"/>
      <c r="Z593" s="24"/>
      <c r="AA593" s="24"/>
      <c r="AB593" s="24"/>
      <c r="AC593" s="24"/>
      <c r="AD593" s="24"/>
      <c r="AE593" s="24"/>
    </row>
    <row r="594" spans="1:31" ht="12.9">
      <c r="A594" s="24"/>
      <c r="B594" s="143"/>
      <c r="C594" s="24"/>
      <c r="D594" s="24"/>
      <c r="E594" s="24"/>
      <c r="F594" s="24"/>
      <c r="G594" s="24"/>
      <c r="H594" s="117"/>
      <c r="I594" s="117"/>
      <c r="J594" s="24"/>
      <c r="K594" s="24"/>
      <c r="L594" s="24"/>
      <c r="M594" s="24"/>
      <c r="N594" s="24"/>
      <c r="O594" s="24"/>
      <c r="P594" s="24"/>
      <c r="Q594" s="24"/>
      <c r="R594" s="24"/>
      <c r="S594" s="24"/>
      <c r="T594" s="24"/>
      <c r="U594" s="24"/>
      <c r="V594" s="24"/>
      <c r="W594" s="24"/>
      <c r="X594" s="24"/>
      <c r="Y594" s="24"/>
      <c r="Z594" s="24"/>
      <c r="AA594" s="24"/>
      <c r="AB594" s="24"/>
      <c r="AC594" s="24"/>
      <c r="AD594" s="24"/>
      <c r="AE594" s="24"/>
    </row>
    <row r="595" spans="1:31" ht="12.9">
      <c r="A595" s="24"/>
      <c r="B595" s="143"/>
      <c r="C595" s="24"/>
      <c r="D595" s="24"/>
      <c r="E595" s="24"/>
      <c r="F595" s="24"/>
      <c r="G595" s="24"/>
      <c r="H595" s="117"/>
      <c r="I595" s="117"/>
      <c r="J595" s="24"/>
      <c r="K595" s="24"/>
      <c r="L595" s="24"/>
      <c r="M595" s="24"/>
      <c r="N595" s="24"/>
      <c r="O595" s="24"/>
      <c r="P595" s="24"/>
      <c r="Q595" s="24"/>
      <c r="R595" s="24"/>
      <c r="S595" s="24"/>
      <c r="T595" s="24"/>
      <c r="U595" s="24"/>
      <c r="V595" s="24"/>
      <c r="W595" s="24"/>
      <c r="X595" s="24"/>
      <c r="Y595" s="24"/>
      <c r="Z595" s="24"/>
      <c r="AA595" s="24"/>
      <c r="AB595" s="24"/>
      <c r="AC595" s="24"/>
      <c r="AD595" s="24"/>
      <c r="AE595" s="24"/>
    </row>
    <row r="596" spans="1:31" ht="12.9">
      <c r="A596" s="24"/>
      <c r="B596" s="143"/>
      <c r="C596" s="24"/>
      <c r="D596" s="24"/>
      <c r="E596" s="24"/>
      <c r="F596" s="24"/>
      <c r="G596" s="24"/>
      <c r="H596" s="117"/>
      <c r="I596" s="117"/>
      <c r="J596" s="24"/>
      <c r="K596" s="24"/>
      <c r="L596" s="24"/>
      <c r="M596" s="24"/>
      <c r="N596" s="24"/>
      <c r="O596" s="24"/>
      <c r="P596" s="24"/>
      <c r="Q596" s="24"/>
      <c r="R596" s="24"/>
      <c r="S596" s="24"/>
      <c r="T596" s="24"/>
      <c r="U596" s="24"/>
      <c r="V596" s="24"/>
      <c r="W596" s="24"/>
      <c r="X596" s="24"/>
      <c r="Y596" s="24"/>
      <c r="Z596" s="24"/>
      <c r="AA596" s="24"/>
      <c r="AB596" s="24"/>
      <c r="AC596" s="24"/>
      <c r="AD596" s="24"/>
      <c r="AE596" s="24"/>
    </row>
    <row r="597" spans="1:31" ht="12.9">
      <c r="A597" s="24"/>
      <c r="B597" s="143"/>
      <c r="C597" s="24"/>
      <c r="D597" s="24"/>
      <c r="E597" s="24"/>
      <c r="F597" s="24"/>
      <c r="G597" s="24"/>
      <c r="H597" s="117"/>
      <c r="I597" s="117"/>
      <c r="J597" s="24"/>
      <c r="K597" s="24"/>
      <c r="L597" s="24"/>
      <c r="M597" s="24"/>
      <c r="N597" s="24"/>
      <c r="O597" s="24"/>
      <c r="P597" s="24"/>
      <c r="Q597" s="24"/>
      <c r="R597" s="24"/>
      <c r="S597" s="24"/>
      <c r="T597" s="24"/>
      <c r="U597" s="24"/>
      <c r="V597" s="24"/>
      <c r="W597" s="24"/>
      <c r="X597" s="24"/>
      <c r="Y597" s="24"/>
      <c r="Z597" s="24"/>
      <c r="AA597" s="24"/>
      <c r="AB597" s="24"/>
      <c r="AC597" s="24"/>
      <c r="AD597" s="24"/>
      <c r="AE597" s="24"/>
    </row>
    <row r="598" spans="1:31" ht="12.9">
      <c r="A598" s="24"/>
      <c r="B598" s="143"/>
      <c r="C598" s="24"/>
      <c r="D598" s="24"/>
      <c r="E598" s="24"/>
      <c r="F598" s="24"/>
      <c r="G598" s="24"/>
      <c r="H598" s="117"/>
      <c r="I598" s="117"/>
      <c r="J598" s="24"/>
      <c r="K598" s="24"/>
      <c r="L598" s="24"/>
      <c r="M598" s="24"/>
      <c r="N598" s="24"/>
      <c r="O598" s="24"/>
      <c r="P598" s="24"/>
      <c r="Q598" s="24"/>
      <c r="R598" s="24"/>
      <c r="S598" s="24"/>
      <c r="T598" s="24"/>
      <c r="U598" s="24"/>
      <c r="V598" s="24"/>
      <c r="W598" s="24"/>
      <c r="X598" s="24"/>
      <c r="Y598" s="24"/>
      <c r="Z598" s="24"/>
      <c r="AA598" s="24"/>
      <c r="AB598" s="24"/>
      <c r="AC598" s="24"/>
      <c r="AD598" s="24"/>
      <c r="AE598" s="24"/>
    </row>
    <row r="599" spans="1:31" ht="12.9">
      <c r="A599" s="24"/>
      <c r="B599" s="143"/>
      <c r="C599" s="24"/>
      <c r="D599" s="24"/>
      <c r="E599" s="24"/>
      <c r="F599" s="24"/>
      <c r="G599" s="24"/>
      <c r="H599" s="117"/>
      <c r="I599" s="117"/>
      <c r="J599" s="24"/>
      <c r="K599" s="24"/>
      <c r="L599" s="24"/>
      <c r="M599" s="24"/>
      <c r="N599" s="24"/>
      <c r="O599" s="24"/>
      <c r="P599" s="24"/>
      <c r="Q599" s="24"/>
      <c r="R599" s="24"/>
      <c r="S599" s="24"/>
      <c r="T599" s="24"/>
      <c r="U599" s="24"/>
      <c r="V599" s="24"/>
      <c r="W599" s="24"/>
      <c r="X599" s="24"/>
      <c r="Y599" s="24"/>
      <c r="Z599" s="24"/>
      <c r="AA599" s="24"/>
      <c r="AB599" s="24"/>
      <c r="AC599" s="24"/>
      <c r="AD599" s="24"/>
      <c r="AE599" s="24"/>
    </row>
    <row r="600" spans="1:31" ht="12.9">
      <c r="A600" s="24"/>
      <c r="B600" s="143"/>
      <c r="C600" s="24"/>
      <c r="D600" s="24"/>
      <c r="E600" s="24"/>
      <c r="F600" s="24"/>
      <c r="G600" s="24"/>
      <c r="H600" s="117"/>
      <c r="I600" s="117"/>
      <c r="J600" s="24"/>
      <c r="K600" s="24"/>
      <c r="L600" s="24"/>
      <c r="M600" s="24"/>
      <c r="N600" s="24"/>
      <c r="O600" s="24"/>
      <c r="P600" s="24"/>
      <c r="Q600" s="24"/>
      <c r="R600" s="24"/>
      <c r="S600" s="24"/>
      <c r="T600" s="24"/>
      <c r="U600" s="24"/>
      <c r="V600" s="24"/>
      <c r="W600" s="24"/>
      <c r="X600" s="24"/>
      <c r="Y600" s="24"/>
      <c r="Z600" s="24"/>
      <c r="AA600" s="24"/>
      <c r="AB600" s="24"/>
      <c r="AC600" s="24"/>
      <c r="AD600" s="24"/>
      <c r="AE600" s="24"/>
    </row>
    <row r="601" spans="1:31" ht="12.9">
      <c r="A601" s="24"/>
      <c r="B601" s="143"/>
      <c r="C601" s="24"/>
      <c r="D601" s="24"/>
      <c r="E601" s="24"/>
      <c r="F601" s="24"/>
      <c r="G601" s="24"/>
      <c r="H601" s="117"/>
      <c r="I601" s="117"/>
      <c r="J601" s="24"/>
      <c r="K601" s="24"/>
      <c r="L601" s="24"/>
      <c r="M601" s="24"/>
      <c r="N601" s="24"/>
      <c r="O601" s="24"/>
      <c r="P601" s="24"/>
      <c r="Q601" s="24"/>
      <c r="R601" s="24"/>
      <c r="S601" s="24"/>
      <c r="T601" s="24"/>
      <c r="U601" s="24"/>
      <c r="V601" s="24"/>
      <c r="W601" s="24"/>
      <c r="X601" s="24"/>
      <c r="Y601" s="24"/>
      <c r="Z601" s="24"/>
      <c r="AA601" s="24"/>
      <c r="AB601" s="24"/>
      <c r="AC601" s="24"/>
      <c r="AD601" s="24"/>
      <c r="AE601" s="24"/>
    </row>
    <row r="602" spans="1:31" ht="12.9">
      <c r="A602" s="24"/>
      <c r="B602" s="143"/>
      <c r="C602" s="24"/>
      <c r="D602" s="24"/>
      <c r="E602" s="24"/>
      <c r="F602" s="24"/>
      <c r="G602" s="24"/>
      <c r="H602" s="117"/>
      <c r="I602" s="117"/>
      <c r="J602" s="24"/>
      <c r="K602" s="24"/>
      <c r="L602" s="24"/>
      <c r="M602" s="24"/>
      <c r="N602" s="24"/>
      <c r="O602" s="24"/>
      <c r="P602" s="24"/>
      <c r="Q602" s="24"/>
      <c r="R602" s="24"/>
      <c r="S602" s="24"/>
      <c r="T602" s="24"/>
      <c r="U602" s="24"/>
      <c r="V602" s="24"/>
      <c r="W602" s="24"/>
      <c r="X602" s="24"/>
      <c r="Y602" s="24"/>
      <c r="Z602" s="24"/>
      <c r="AA602" s="24"/>
      <c r="AB602" s="24"/>
      <c r="AC602" s="24"/>
      <c r="AD602" s="24"/>
      <c r="AE602" s="24"/>
    </row>
    <row r="603" spans="1:31" ht="12.9">
      <c r="A603" s="24"/>
      <c r="B603" s="143"/>
      <c r="C603" s="24"/>
      <c r="D603" s="24"/>
      <c r="E603" s="24"/>
      <c r="F603" s="24"/>
      <c r="G603" s="24"/>
      <c r="H603" s="117"/>
      <c r="I603" s="117"/>
      <c r="J603" s="24"/>
      <c r="K603" s="24"/>
      <c r="L603" s="24"/>
      <c r="M603" s="24"/>
      <c r="N603" s="24"/>
      <c r="O603" s="24"/>
      <c r="P603" s="24"/>
      <c r="Q603" s="24"/>
      <c r="R603" s="24"/>
      <c r="S603" s="24"/>
      <c r="T603" s="24"/>
      <c r="U603" s="24"/>
      <c r="V603" s="24"/>
      <c r="W603" s="24"/>
      <c r="X603" s="24"/>
      <c r="Y603" s="24"/>
      <c r="Z603" s="24"/>
      <c r="AA603" s="24"/>
      <c r="AB603" s="24"/>
      <c r="AC603" s="24"/>
      <c r="AD603" s="24"/>
      <c r="AE603" s="24"/>
    </row>
    <row r="604" spans="1:31" ht="12.9">
      <c r="A604" s="24"/>
      <c r="B604" s="143"/>
      <c r="C604" s="24"/>
      <c r="D604" s="24"/>
      <c r="E604" s="24"/>
      <c r="F604" s="24"/>
      <c r="G604" s="24"/>
      <c r="H604" s="117"/>
      <c r="I604" s="117"/>
      <c r="J604" s="24"/>
      <c r="K604" s="24"/>
      <c r="L604" s="24"/>
      <c r="M604" s="24"/>
      <c r="N604" s="24"/>
      <c r="O604" s="24"/>
      <c r="P604" s="24"/>
      <c r="Q604" s="24"/>
      <c r="R604" s="24"/>
      <c r="S604" s="24"/>
      <c r="T604" s="24"/>
      <c r="U604" s="24"/>
      <c r="V604" s="24"/>
      <c r="W604" s="24"/>
      <c r="X604" s="24"/>
      <c r="Y604" s="24"/>
      <c r="Z604" s="24"/>
      <c r="AA604" s="24"/>
      <c r="AB604" s="24"/>
      <c r="AC604" s="24"/>
      <c r="AD604" s="24"/>
      <c r="AE604" s="24"/>
    </row>
    <row r="605" spans="1:31" ht="12.9">
      <c r="A605" s="24"/>
      <c r="B605" s="143"/>
      <c r="C605" s="24"/>
      <c r="D605" s="24"/>
      <c r="E605" s="24"/>
      <c r="F605" s="24"/>
      <c r="G605" s="24"/>
      <c r="H605" s="117"/>
      <c r="I605" s="117"/>
      <c r="J605" s="24"/>
      <c r="K605" s="24"/>
      <c r="L605" s="24"/>
      <c r="M605" s="24"/>
      <c r="N605" s="24"/>
      <c r="O605" s="24"/>
      <c r="P605" s="24"/>
      <c r="Q605" s="24"/>
      <c r="R605" s="24"/>
      <c r="S605" s="24"/>
      <c r="T605" s="24"/>
      <c r="U605" s="24"/>
      <c r="V605" s="24"/>
      <c r="W605" s="24"/>
      <c r="X605" s="24"/>
      <c r="Y605" s="24"/>
      <c r="Z605" s="24"/>
      <c r="AA605" s="24"/>
      <c r="AB605" s="24"/>
      <c r="AC605" s="24"/>
      <c r="AD605" s="24"/>
      <c r="AE605" s="24"/>
    </row>
    <row r="606" spans="1:31" ht="12.9">
      <c r="A606" s="24"/>
      <c r="B606" s="143"/>
      <c r="C606" s="24"/>
      <c r="D606" s="24"/>
      <c r="E606" s="24"/>
      <c r="F606" s="24"/>
      <c r="G606" s="24"/>
      <c r="H606" s="117"/>
      <c r="I606" s="117"/>
      <c r="J606" s="24"/>
      <c r="K606" s="24"/>
      <c r="L606" s="24"/>
      <c r="M606" s="24"/>
      <c r="N606" s="24"/>
      <c r="O606" s="24"/>
      <c r="P606" s="24"/>
      <c r="Q606" s="24"/>
      <c r="R606" s="24"/>
      <c r="S606" s="24"/>
      <c r="T606" s="24"/>
      <c r="U606" s="24"/>
      <c r="V606" s="24"/>
      <c r="W606" s="24"/>
      <c r="X606" s="24"/>
      <c r="Y606" s="24"/>
      <c r="Z606" s="24"/>
      <c r="AA606" s="24"/>
      <c r="AB606" s="24"/>
      <c r="AC606" s="24"/>
      <c r="AD606" s="24"/>
      <c r="AE606" s="24"/>
    </row>
    <row r="607" spans="1:31" ht="12.9">
      <c r="A607" s="24"/>
      <c r="B607" s="143"/>
      <c r="C607" s="24"/>
      <c r="D607" s="24"/>
      <c r="E607" s="24"/>
      <c r="F607" s="24"/>
      <c r="G607" s="24"/>
      <c r="H607" s="117"/>
      <c r="I607" s="117"/>
      <c r="J607" s="24"/>
      <c r="K607" s="24"/>
      <c r="L607" s="24"/>
      <c r="M607" s="24"/>
      <c r="N607" s="24"/>
      <c r="O607" s="24"/>
      <c r="P607" s="24"/>
      <c r="Q607" s="24"/>
      <c r="R607" s="24"/>
      <c r="S607" s="24"/>
      <c r="T607" s="24"/>
      <c r="U607" s="24"/>
      <c r="V607" s="24"/>
      <c r="W607" s="24"/>
      <c r="X607" s="24"/>
      <c r="Y607" s="24"/>
      <c r="Z607" s="24"/>
      <c r="AA607" s="24"/>
      <c r="AB607" s="24"/>
      <c r="AC607" s="24"/>
      <c r="AD607" s="24"/>
      <c r="AE607" s="24"/>
    </row>
    <row r="608" spans="1:31" ht="12.9">
      <c r="A608" s="24"/>
      <c r="B608" s="143"/>
      <c r="C608" s="24"/>
      <c r="D608" s="24"/>
      <c r="E608" s="24"/>
      <c r="F608" s="24"/>
      <c r="G608" s="24"/>
      <c r="H608" s="117"/>
      <c r="I608" s="117"/>
      <c r="J608" s="24"/>
      <c r="K608" s="24"/>
      <c r="L608" s="24"/>
      <c r="M608" s="24"/>
      <c r="N608" s="24"/>
      <c r="O608" s="24"/>
      <c r="P608" s="24"/>
      <c r="Q608" s="24"/>
      <c r="R608" s="24"/>
      <c r="S608" s="24"/>
      <c r="T608" s="24"/>
      <c r="U608" s="24"/>
      <c r="V608" s="24"/>
      <c r="W608" s="24"/>
      <c r="X608" s="24"/>
      <c r="Y608" s="24"/>
      <c r="Z608" s="24"/>
      <c r="AA608" s="24"/>
      <c r="AB608" s="24"/>
      <c r="AC608" s="24"/>
      <c r="AD608" s="24"/>
      <c r="AE608" s="24"/>
    </row>
    <row r="609" spans="1:31" ht="12.9">
      <c r="A609" s="24"/>
      <c r="B609" s="143"/>
      <c r="C609" s="24"/>
      <c r="D609" s="24"/>
      <c r="E609" s="24"/>
      <c r="F609" s="24"/>
      <c r="G609" s="24"/>
      <c r="H609" s="117"/>
      <c r="I609" s="117"/>
      <c r="J609" s="24"/>
      <c r="K609" s="24"/>
      <c r="L609" s="24"/>
      <c r="M609" s="24"/>
      <c r="N609" s="24"/>
      <c r="O609" s="24"/>
      <c r="P609" s="24"/>
      <c r="Q609" s="24"/>
      <c r="R609" s="24"/>
      <c r="S609" s="24"/>
      <c r="T609" s="24"/>
      <c r="U609" s="24"/>
      <c r="V609" s="24"/>
      <c r="W609" s="24"/>
      <c r="X609" s="24"/>
      <c r="Y609" s="24"/>
      <c r="Z609" s="24"/>
      <c r="AA609" s="24"/>
      <c r="AB609" s="24"/>
      <c r="AC609" s="24"/>
      <c r="AD609" s="24"/>
      <c r="AE609" s="24"/>
    </row>
    <row r="610" spans="1:31" ht="12.9">
      <c r="A610" s="24"/>
      <c r="B610" s="143"/>
      <c r="C610" s="24"/>
      <c r="D610" s="24"/>
      <c r="E610" s="24"/>
      <c r="F610" s="24"/>
      <c r="G610" s="24"/>
      <c r="H610" s="117"/>
      <c r="I610" s="117"/>
      <c r="J610" s="24"/>
      <c r="K610" s="24"/>
      <c r="L610" s="24"/>
      <c r="M610" s="24"/>
      <c r="N610" s="24"/>
      <c r="O610" s="24"/>
      <c r="P610" s="24"/>
      <c r="Q610" s="24"/>
      <c r="R610" s="24"/>
      <c r="S610" s="24"/>
      <c r="T610" s="24"/>
      <c r="U610" s="24"/>
      <c r="V610" s="24"/>
      <c r="W610" s="24"/>
      <c r="X610" s="24"/>
      <c r="Y610" s="24"/>
      <c r="Z610" s="24"/>
      <c r="AA610" s="24"/>
      <c r="AB610" s="24"/>
      <c r="AC610" s="24"/>
      <c r="AD610" s="24"/>
      <c r="AE610" s="24"/>
    </row>
    <row r="611" spans="1:31" ht="12.9">
      <c r="A611" s="24"/>
      <c r="B611" s="143"/>
      <c r="C611" s="24"/>
      <c r="D611" s="24"/>
      <c r="E611" s="24"/>
      <c r="F611" s="24"/>
      <c r="G611" s="24"/>
      <c r="H611" s="117"/>
      <c r="I611" s="117"/>
      <c r="J611" s="24"/>
      <c r="K611" s="24"/>
      <c r="L611" s="24"/>
      <c r="M611" s="24"/>
      <c r="N611" s="24"/>
      <c r="O611" s="24"/>
      <c r="P611" s="24"/>
      <c r="Q611" s="24"/>
      <c r="R611" s="24"/>
      <c r="S611" s="24"/>
      <c r="T611" s="24"/>
      <c r="U611" s="24"/>
      <c r="V611" s="24"/>
      <c r="W611" s="24"/>
      <c r="X611" s="24"/>
      <c r="Y611" s="24"/>
      <c r="Z611" s="24"/>
      <c r="AA611" s="24"/>
      <c r="AB611" s="24"/>
      <c r="AC611" s="24"/>
      <c r="AD611" s="24"/>
      <c r="AE611" s="24"/>
    </row>
    <row r="612" spans="1:31" ht="12.9">
      <c r="A612" s="24"/>
      <c r="B612" s="143"/>
      <c r="C612" s="24"/>
      <c r="D612" s="24"/>
      <c r="E612" s="24"/>
      <c r="F612" s="24"/>
      <c r="G612" s="24"/>
      <c r="H612" s="117"/>
      <c r="I612" s="117"/>
      <c r="J612" s="24"/>
      <c r="K612" s="24"/>
      <c r="L612" s="24"/>
      <c r="M612" s="24"/>
      <c r="N612" s="24"/>
      <c r="O612" s="24"/>
      <c r="P612" s="24"/>
      <c r="Q612" s="24"/>
      <c r="R612" s="24"/>
      <c r="S612" s="24"/>
      <c r="T612" s="24"/>
      <c r="U612" s="24"/>
      <c r="V612" s="24"/>
      <c r="W612" s="24"/>
      <c r="X612" s="24"/>
      <c r="Y612" s="24"/>
      <c r="Z612" s="24"/>
      <c r="AA612" s="24"/>
      <c r="AB612" s="24"/>
      <c r="AC612" s="24"/>
      <c r="AD612" s="24"/>
      <c r="AE612" s="24"/>
    </row>
    <row r="613" spans="1:31" ht="12.9">
      <c r="A613" s="24"/>
      <c r="B613" s="143"/>
      <c r="C613" s="24"/>
      <c r="D613" s="24"/>
      <c r="E613" s="24"/>
      <c r="F613" s="24"/>
      <c r="G613" s="24"/>
      <c r="H613" s="117"/>
      <c r="I613" s="117"/>
      <c r="J613" s="24"/>
      <c r="K613" s="24"/>
      <c r="L613" s="24"/>
      <c r="M613" s="24"/>
      <c r="N613" s="24"/>
      <c r="O613" s="24"/>
      <c r="P613" s="24"/>
      <c r="Q613" s="24"/>
      <c r="R613" s="24"/>
      <c r="S613" s="24"/>
      <c r="T613" s="24"/>
      <c r="U613" s="24"/>
      <c r="V613" s="24"/>
      <c r="W613" s="24"/>
      <c r="X613" s="24"/>
      <c r="Y613" s="24"/>
      <c r="Z613" s="24"/>
      <c r="AA613" s="24"/>
      <c r="AB613" s="24"/>
      <c r="AC613" s="24"/>
      <c r="AD613" s="24"/>
      <c r="AE613" s="24"/>
    </row>
    <row r="614" spans="1:31" ht="12.9">
      <c r="A614" s="24"/>
      <c r="B614" s="143"/>
      <c r="C614" s="24"/>
      <c r="D614" s="24"/>
      <c r="E614" s="24"/>
      <c r="F614" s="24"/>
      <c r="G614" s="24"/>
      <c r="H614" s="117"/>
      <c r="I614" s="117"/>
      <c r="J614" s="24"/>
      <c r="K614" s="24"/>
      <c r="L614" s="24"/>
      <c r="M614" s="24"/>
      <c r="N614" s="24"/>
      <c r="O614" s="24"/>
      <c r="P614" s="24"/>
      <c r="Q614" s="24"/>
      <c r="R614" s="24"/>
      <c r="S614" s="24"/>
      <c r="T614" s="24"/>
      <c r="U614" s="24"/>
      <c r="V614" s="24"/>
      <c r="W614" s="24"/>
      <c r="X614" s="24"/>
      <c r="Y614" s="24"/>
      <c r="Z614" s="24"/>
      <c r="AA614" s="24"/>
      <c r="AB614" s="24"/>
      <c r="AC614" s="24"/>
      <c r="AD614" s="24"/>
      <c r="AE614" s="24"/>
    </row>
    <row r="615" spans="1:31" ht="12.9">
      <c r="A615" s="24"/>
      <c r="B615" s="143"/>
      <c r="C615" s="24"/>
      <c r="D615" s="24"/>
      <c r="E615" s="24"/>
      <c r="F615" s="24"/>
      <c r="G615" s="24"/>
      <c r="H615" s="117"/>
      <c r="I615" s="117"/>
      <c r="J615" s="24"/>
      <c r="K615" s="24"/>
      <c r="L615" s="24"/>
      <c r="M615" s="24"/>
      <c r="N615" s="24"/>
      <c r="O615" s="24"/>
      <c r="P615" s="24"/>
      <c r="Q615" s="24"/>
      <c r="R615" s="24"/>
      <c r="S615" s="24"/>
      <c r="T615" s="24"/>
      <c r="U615" s="24"/>
      <c r="V615" s="24"/>
      <c r="W615" s="24"/>
      <c r="X615" s="24"/>
      <c r="Y615" s="24"/>
      <c r="Z615" s="24"/>
      <c r="AA615" s="24"/>
      <c r="AB615" s="24"/>
      <c r="AC615" s="24"/>
      <c r="AD615" s="24"/>
      <c r="AE615" s="24"/>
    </row>
    <row r="616" spans="1:31" ht="12.9">
      <c r="A616" s="24"/>
      <c r="B616" s="143"/>
      <c r="C616" s="24"/>
      <c r="D616" s="24"/>
      <c r="E616" s="24"/>
      <c r="F616" s="24"/>
      <c r="G616" s="24"/>
      <c r="H616" s="117"/>
      <c r="I616" s="117"/>
      <c r="J616" s="24"/>
      <c r="K616" s="24"/>
      <c r="L616" s="24"/>
      <c r="M616" s="24"/>
      <c r="N616" s="24"/>
      <c r="O616" s="24"/>
      <c r="P616" s="24"/>
      <c r="Q616" s="24"/>
      <c r="R616" s="24"/>
      <c r="S616" s="24"/>
      <c r="T616" s="24"/>
      <c r="U616" s="24"/>
      <c r="V616" s="24"/>
      <c r="W616" s="24"/>
      <c r="X616" s="24"/>
      <c r="Y616" s="24"/>
      <c r="Z616" s="24"/>
      <c r="AA616" s="24"/>
      <c r="AB616" s="24"/>
      <c r="AC616" s="24"/>
      <c r="AD616" s="24"/>
      <c r="AE616" s="24"/>
    </row>
    <row r="617" spans="1:31" ht="12.9">
      <c r="A617" s="24"/>
      <c r="B617" s="143"/>
      <c r="C617" s="24"/>
      <c r="D617" s="24"/>
      <c r="E617" s="24"/>
      <c r="F617" s="24"/>
      <c r="G617" s="24"/>
      <c r="H617" s="117"/>
      <c r="I617" s="117"/>
      <c r="J617" s="24"/>
      <c r="K617" s="24"/>
      <c r="L617" s="24"/>
      <c r="M617" s="24"/>
      <c r="N617" s="24"/>
      <c r="O617" s="24"/>
      <c r="P617" s="24"/>
      <c r="Q617" s="24"/>
      <c r="R617" s="24"/>
      <c r="S617" s="24"/>
      <c r="T617" s="24"/>
      <c r="U617" s="24"/>
      <c r="V617" s="24"/>
      <c r="W617" s="24"/>
      <c r="X617" s="24"/>
      <c r="Y617" s="24"/>
      <c r="Z617" s="24"/>
      <c r="AA617" s="24"/>
      <c r="AB617" s="24"/>
      <c r="AC617" s="24"/>
      <c r="AD617" s="24"/>
      <c r="AE617" s="24"/>
    </row>
    <row r="618" spans="1:31" ht="12.9">
      <c r="A618" s="24"/>
      <c r="B618" s="143"/>
      <c r="C618" s="24"/>
      <c r="D618" s="24"/>
      <c r="E618" s="24"/>
      <c r="F618" s="24"/>
      <c r="G618" s="24"/>
      <c r="H618" s="117"/>
      <c r="I618" s="117"/>
      <c r="J618" s="24"/>
      <c r="K618" s="24"/>
      <c r="L618" s="24"/>
      <c r="M618" s="24"/>
      <c r="N618" s="24"/>
      <c r="O618" s="24"/>
      <c r="P618" s="24"/>
      <c r="Q618" s="24"/>
      <c r="R618" s="24"/>
      <c r="S618" s="24"/>
      <c r="T618" s="24"/>
      <c r="U618" s="24"/>
      <c r="V618" s="24"/>
      <c r="W618" s="24"/>
      <c r="X618" s="24"/>
      <c r="Y618" s="24"/>
      <c r="Z618" s="24"/>
      <c r="AA618" s="24"/>
      <c r="AB618" s="24"/>
      <c r="AC618" s="24"/>
      <c r="AD618" s="24"/>
      <c r="AE618" s="24"/>
    </row>
    <row r="619" spans="1:31" ht="12.9">
      <c r="A619" s="24"/>
      <c r="B619" s="143"/>
      <c r="C619" s="24"/>
      <c r="D619" s="24"/>
      <c r="E619" s="24"/>
      <c r="F619" s="24"/>
      <c r="G619" s="24"/>
      <c r="H619" s="117"/>
      <c r="I619" s="117"/>
      <c r="J619" s="24"/>
      <c r="K619" s="24"/>
      <c r="L619" s="24"/>
      <c r="M619" s="24"/>
      <c r="N619" s="24"/>
      <c r="O619" s="24"/>
      <c r="P619" s="24"/>
      <c r="Q619" s="24"/>
      <c r="R619" s="24"/>
      <c r="S619" s="24"/>
      <c r="T619" s="24"/>
      <c r="U619" s="24"/>
      <c r="V619" s="24"/>
      <c r="W619" s="24"/>
      <c r="X619" s="24"/>
      <c r="Y619" s="24"/>
      <c r="Z619" s="24"/>
      <c r="AA619" s="24"/>
      <c r="AB619" s="24"/>
      <c r="AC619" s="24"/>
      <c r="AD619" s="24"/>
      <c r="AE619" s="24"/>
    </row>
    <row r="620" spans="1:31" ht="12.9">
      <c r="A620" s="24"/>
      <c r="B620" s="143"/>
      <c r="C620" s="24"/>
      <c r="D620" s="24"/>
      <c r="E620" s="24"/>
      <c r="F620" s="24"/>
      <c r="G620" s="24"/>
      <c r="H620" s="117"/>
      <c r="I620" s="117"/>
      <c r="J620" s="24"/>
      <c r="K620" s="24"/>
      <c r="L620" s="24"/>
      <c r="M620" s="24"/>
      <c r="N620" s="24"/>
      <c r="O620" s="24"/>
      <c r="P620" s="24"/>
      <c r="Q620" s="24"/>
      <c r="R620" s="24"/>
      <c r="S620" s="24"/>
      <c r="T620" s="24"/>
      <c r="U620" s="24"/>
      <c r="V620" s="24"/>
      <c r="W620" s="24"/>
      <c r="X620" s="24"/>
      <c r="Y620" s="24"/>
      <c r="Z620" s="24"/>
      <c r="AA620" s="24"/>
      <c r="AB620" s="24"/>
      <c r="AC620" s="24"/>
      <c r="AD620" s="24"/>
      <c r="AE620" s="24"/>
    </row>
    <row r="621" spans="1:31" ht="12.9">
      <c r="A621" s="24"/>
      <c r="B621" s="143"/>
      <c r="C621" s="24"/>
      <c r="D621" s="24"/>
      <c r="E621" s="24"/>
      <c r="F621" s="24"/>
      <c r="G621" s="24"/>
      <c r="H621" s="117"/>
      <c r="I621" s="117"/>
      <c r="J621" s="24"/>
      <c r="K621" s="24"/>
      <c r="L621" s="24"/>
      <c r="M621" s="24"/>
      <c r="N621" s="24"/>
      <c r="O621" s="24"/>
      <c r="P621" s="24"/>
      <c r="Q621" s="24"/>
      <c r="R621" s="24"/>
      <c r="S621" s="24"/>
      <c r="T621" s="24"/>
      <c r="U621" s="24"/>
      <c r="V621" s="24"/>
      <c r="W621" s="24"/>
      <c r="X621" s="24"/>
      <c r="Y621" s="24"/>
      <c r="Z621" s="24"/>
      <c r="AA621" s="24"/>
      <c r="AB621" s="24"/>
      <c r="AC621" s="24"/>
      <c r="AD621" s="24"/>
      <c r="AE621" s="24"/>
    </row>
    <row r="622" spans="1:31" ht="12.9">
      <c r="A622" s="24"/>
      <c r="B622" s="143"/>
      <c r="C622" s="24"/>
      <c r="D622" s="24"/>
      <c r="E622" s="24"/>
      <c r="F622" s="24"/>
      <c r="G622" s="24"/>
      <c r="H622" s="117"/>
      <c r="I622" s="117"/>
      <c r="J622" s="24"/>
      <c r="K622" s="24"/>
      <c r="L622" s="24"/>
      <c r="M622" s="24"/>
      <c r="N622" s="24"/>
      <c r="O622" s="24"/>
      <c r="P622" s="24"/>
      <c r="Q622" s="24"/>
      <c r="R622" s="24"/>
      <c r="S622" s="24"/>
      <c r="T622" s="24"/>
      <c r="U622" s="24"/>
      <c r="V622" s="24"/>
      <c r="W622" s="24"/>
      <c r="X622" s="24"/>
      <c r="Y622" s="24"/>
      <c r="Z622" s="24"/>
      <c r="AA622" s="24"/>
      <c r="AB622" s="24"/>
      <c r="AC622" s="24"/>
      <c r="AD622" s="24"/>
      <c r="AE622" s="24"/>
    </row>
    <row r="623" spans="1:31" ht="12.9">
      <c r="A623" s="24"/>
      <c r="B623" s="143"/>
      <c r="C623" s="24"/>
      <c r="D623" s="24"/>
      <c r="E623" s="24"/>
      <c r="F623" s="24"/>
      <c r="G623" s="24"/>
      <c r="H623" s="117"/>
      <c r="I623" s="117"/>
      <c r="J623" s="24"/>
      <c r="K623" s="24"/>
      <c r="L623" s="24"/>
      <c r="M623" s="24"/>
      <c r="N623" s="24"/>
      <c r="O623" s="24"/>
      <c r="P623" s="24"/>
      <c r="Q623" s="24"/>
      <c r="R623" s="24"/>
      <c r="S623" s="24"/>
      <c r="T623" s="24"/>
      <c r="U623" s="24"/>
      <c r="V623" s="24"/>
      <c r="W623" s="24"/>
      <c r="X623" s="24"/>
      <c r="Y623" s="24"/>
      <c r="Z623" s="24"/>
      <c r="AA623" s="24"/>
      <c r="AB623" s="24"/>
      <c r="AC623" s="24"/>
      <c r="AD623" s="24"/>
      <c r="AE623" s="24"/>
    </row>
    <row r="624" spans="1:31" ht="12.9">
      <c r="A624" s="24"/>
      <c r="B624" s="143"/>
      <c r="C624" s="24"/>
      <c r="D624" s="24"/>
      <c r="E624" s="24"/>
      <c r="F624" s="24"/>
      <c r="G624" s="24"/>
      <c r="H624" s="117"/>
      <c r="I624" s="117"/>
      <c r="J624" s="24"/>
      <c r="K624" s="24"/>
      <c r="L624" s="24"/>
      <c r="M624" s="24"/>
      <c r="N624" s="24"/>
      <c r="O624" s="24"/>
      <c r="P624" s="24"/>
      <c r="Q624" s="24"/>
      <c r="R624" s="24"/>
      <c r="S624" s="24"/>
      <c r="T624" s="24"/>
      <c r="U624" s="24"/>
      <c r="V624" s="24"/>
      <c r="W624" s="24"/>
      <c r="X624" s="24"/>
      <c r="Y624" s="24"/>
      <c r="Z624" s="24"/>
      <c r="AA624" s="24"/>
      <c r="AB624" s="24"/>
      <c r="AC624" s="24"/>
      <c r="AD624" s="24"/>
      <c r="AE624" s="24"/>
    </row>
    <row r="625" spans="1:31" ht="12.9">
      <c r="A625" s="24"/>
      <c r="B625" s="143"/>
      <c r="C625" s="24"/>
      <c r="D625" s="24"/>
      <c r="E625" s="24"/>
      <c r="F625" s="24"/>
      <c r="G625" s="24"/>
      <c r="H625" s="117"/>
      <c r="I625" s="117"/>
      <c r="J625" s="24"/>
      <c r="K625" s="24"/>
      <c r="L625" s="24"/>
      <c r="M625" s="24"/>
      <c r="N625" s="24"/>
      <c r="O625" s="24"/>
      <c r="P625" s="24"/>
      <c r="Q625" s="24"/>
      <c r="R625" s="24"/>
      <c r="S625" s="24"/>
      <c r="T625" s="24"/>
      <c r="U625" s="24"/>
      <c r="V625" s="24"/>
      <c r="W625" s="24"/>
      <c r="X625" s="24"/>
      <c r="Y625" s="24"/>
      <c r="Z625" s="24"/>
      <c r="AA625" s="24"/>
      <c r="AB625" s="24"/>
      <c r="AC625" s="24"/>
      <c r="AD625" s="24"/>
      <c r="AE625" s="24"/>
    </row>
    <row r="626" spans="1:31" ht="12.9">
      <c r="A626" s="24"/>
      <c r="B626" s="143"/>
      <c r="C626" s="24"/>
      <c r="D626" s="24"/>
      <c r="E626" s="24"/>
      <c r="F626" s="24"/>
      <c r="G626" s="24"/>
      <c r="H626" s="117"/>
      <c r="I626" s="117"/>
      <c r="J626" s="24"/>
      <c r="K626" s="24"/>
      <c r="L626" s="24"/>
      <c r="M626" s="24"/>
      <c r="N626" s="24"/>
      <c r="O626" s="24"/>
      <c r="P626" s="24"/>
      <c r="Q626" s="24"/>
      <c r="R626" s="24"/>
      <c r="S626" s="24"/>
      <c r="T626" s="24"/>
      <c r="U626" s="24"/>
      <c r="V626" s="24"/>
      <c r="W626" s="24"/>
      <c r="X626" s="24"/>
      <c r="Y626" s="24"/>
      <c r="Z626" s="24"/>
      <c r="AA626" s="24"/>
      <c r="AB626" s="24"/>
      <c r="AC626" s="24"/>
      <c r="AD626" s="24"/>
      <c r="AE626" s="24"/>
    </row>
    <row r="627" spans="1:31" ht="12.9">
      <c r="A627" s="24"/>
      <c r="B627" s="143"/>
      <c r="C627" s="24"/>
      <c r="D627" s="24"/>
      <c r="E627" s="24"/>
      <c r="F627" s="24"/>
      <c r="G627" s="24"/>
      <c r="H627" s="117"/>
      <c r="I627" s="117"/>
      <c r="J627" s="24"/>
      <c r="K627" s="24"/>
      <c r="L627" s="24"/>
      <c r="M627" s="24"/>
      <c r="N627" s="24"/>
      <c r="O627" s="24"/>
      <c r="P627" s="24"/>
      <c r="Q627" s="24"/>
      <c r="R627" s="24"/>
      <c r="S627" s="24"/>
      <c r="T627" s="24"/>
      <c r="U627" s="24"/>
      <c r="V627" s="24"/>
      <c r="W627" s="24"/>
      <c r="X627" s="24"/>
      <c r="Y627" s="24"/>
      <c r="Z627" s="24"/>
      <c r="AA627" s="24"/>
      <c r="AB627" s="24"/>
      <c r="AC627" s="24"/>
      <c r="AD627" s="24"/>
      <c r="AE627" s="24"/>
    </row>
    <row r="628" spans="1:31" ht="12.9">
      <c r="A628" s="24"/>
      <c r="B628" s="143"/>
      <c r="C628" s="24"/>
      <c r="D628" s="24"/>
      <c r="E628" s="24"/>
      <c r="F628" s="24"/>
      <c r="G628" s="24"/>
      <c r="H628" s="117"/>
      <c r="I628" s="117"/>
      <c r="J628" s="24"/>
      <c r="K628" s="24"/>
      <c r="L628" s="24"/>
      <c r="M628" s="24"/>
      <c r="N628" s="24"/>
      <c r="O628" s="24"/>
      <c r="P628" s="24"/>
      <c r="Q628" s="24"/>
      <c r="R628" s="24"/>
      <c r="S628" s="24"/>
      <c r="T628" s="24"/>
      <c r="U628" s="24"/>
      <c r="V628" s="24"/>
      <c r="W628" s="24"/>
      <c r="X628" s="24"/>
      <c r="Y628" s="24"/>
      <c r="Z628" s="24"/>
      <c r="AA628" s="24"/>
      <c r="AB628" s="24"/>
      <c r="AC628" s="24"/>
      <c r="AD628" s="24"/>
      <c r="AE628" s="24"/>
    </row>
    <row r="629" spans="1:31" ht="12.9">
      <c r="A629" s="24"/>
      <c r="B629" s="143"/>
      <c r="C629" s="24"/>
      <c r="D629" s="24"/>
      <c r="E629" s="24"/>
      <c r="F629" s="24"/>
      <c r="G629" s="24"/>
      <c r="H629" s="117"/>
      <c r="I629" s="117"/>
      <c r="J629" s="24"/>
      <c r="K629" s="24"/>
      <c r="L629" s="24"/>
      <c r="M629" s="24"/>
      <c r="N629" s="24"/>
      <c r="O629" s="24"/>
      <c r="P629" s="24"/>
      <c r="Q629" s="24"/>
      <c r="R629" s="24"/>
      <c r="S629" s="24"/>
      <c r="T629" s="24"/>
      <c r="U629" s="24"/>
      <c r="V629" s="24"/>
      <c r="W629" s="24"/>
      <c r="X629" s="24"/>
      <c r="Y629" s="24"/>
      <c r="Z629" s="24"/>
      <c r="AA629" s="24"/>
      <c r="AB629" s="24"/>
      <c r="AC629" s="24"/>
      <c r="AD629" s="24"/>
      <c r="AE629" s="24"/>
    </row>
    <row r="630" spans="1:31" ht="12.9">
      <c r="A630" s="24"/>
      <c r="B630" s="143"/>
      <c r="C630" s="24"/>
      <c r="D630" s="24"/>
      <c r="E630" s="24"/>
      <c r="F630" s="24"/>
      <c r="G630" s="24"/>
      <c r="H630" s="117"/>
      <c r="I630" s="117"/>
      <c r="J630" s="24"/>
      <c r="K630" s="24"/>
      <c r="L630" s="24"/>
      <c r="M630" s="24"/>
      <c r="N630" s="24"/>
      <c r="O630" s="24"/>
      <c r="P630" s="24"/>
      <c r="Q630" s="24"/>
      <c r="R630" s="24"/>
      <c r="S630" s="24"/>
      <c r="T630" s="24"/>
      <c r="U630" s="24"/>
      <c r="V630" s="24"/>
      <c r="W630" s="24"/>
      <c r="X630" s="24"/>
      <c r="Y630" s="24"/>
      <c r="Z630" s="24"/>
      <c r="AA630" s="24"/>
      <c r="AB630" s="24"/>
      <c r="AC630" s="24"/>
      <c r="AD630" s="24"/>
      <c r="AE630" s="24"/>
    </row>
    <row r="631" spans="1:31" ht="12.9">
      <c r="A631" s="24"/>
      <c r="B631" s="143"/>
      <c r="C631" s="24"/>
      <c r="D631" s="24"/>
      <c r="E631" s="24"/>
      <c r="F631" s="24"/>
      <c r="G631" s="24"/>
      <c r="H631" s="117"/>
      <c r="I631" s="117"/>
      <c r="J631" s="24"/>
      <c r="K631" s="24"/>
      <c r="L631" s="24"/>
      <c r="M631" s="24"/>
      <c r="N631" s="24"/>
      <c r="O631" s="24"/>
      <c r="P631" s="24"/>
      <c r="Q631" s="24"/>
      <c r="R631" s="24"/>
      <c r="S631" s="24"/>
      <c r="T631" s="24"/>
      <c r="U631" s="24"/>
      <c r="V631" s="24"/>
      <c r="W631" s="24"/>
      <c r="X631" s="24"/>
      <c r="Y631" s="24"/>
      <c r="Z631" s="24"/>
      <c r="AA631" s="24"/>
      <c r="AB631" s="24"/>
      <c r="AC631" s="24"/>
      <c r="AD631" s="24"/>
      <c r="AE631" s="24"/>
    </row>
    <row r="632" spans="1:31" ht="12.9">
      <c r="A632" s="24"/>
      <c r="B632" s="143"/>
      <c r="C632" s="24"/>
      <c r="D632" s="24"/>
      <c r="E632" s="24"/>
      <c r="F632" s="24"/>
      <c r="G632" s="24"/>
      <c r="H632" s="117"/>
      <c r="I632" s="117"/>
      <c r="J632" s="24"/>
      <c r="K632" s="24"/>
      <c r="L632" s="24"/>
      <c r="M632" s="24"/>
      <c r="N632" s="24"/>
      <c r="O632" s="24"/>
      <c r="P632" s="24"/>
      <c r="Q632" s="24"/>
      <c r="R632" s="24"/>
      <c r="S632" s="24"/>
      <c r="T632" s="24"/>
      <c r="U632" s="24"/>
      <c r="V632" s="24"/>
      <c r="W632" s="24"/>
      <c r="X632" s="24"/>
      <c r="Y632" s="24"/>
      <c r="Z632" s="24"/>
      <c r="AA632" s="24"/>
      <c r="AB632" s="24"/>
      <c r="AC632" s="24"/>
      <c r="AD632" s="24"/>
      <c r="AE632" s="24"/>
    </row>
    <row r="633" spans="1:31" ht="12.9">
      <c r="A633" s="24"/>
      <c r="B633" s="143"/>
      <c r="C633" s="24"/>
      <c r="D633" s="24"/>
      <c r="E633" s="24"/>
      <c r="F633" s="24"/>
      <c r="G633" s="24"/>
      <c r="H633" s="117"/>
      <c r="I633" s="117"/>
      <c r="J633" s="24"/>
      <c r="K633" s="24"/>
      <c r="L633" s="24"/>
      <c r="M633" s="24"/>
      <c r="N633" s="24"/>
      <c r="O633" s="24"/>
      <c r="P633" s="24"/>
      <c r="Q633" s="24"/>
      <c r="R633" s="24"/>
      <c r="S633" s="24"/>
      <c r="T633" s="24"/>
      <c r="U633" s="24"/>
      <c r="V633" s="24"/>
      <c r="W633" s="24"/>
      <c r="X633" s="24"/>
      <c r="Y633" s="24"/>
      <c r="Z633" s="24"/>
      <c r="AA633" s="24"/>
      <c r="AB633" s="24"/>
      <c r="AC633" s="24"/>
      <c r="AD633" s="24"/>
      <c r="AE633" s="24"/>
    </row>
    <row r="634" spans="1:31" ht="12.9">
      <c r="A634" s="24"/>
      <c r="B634" s="143"/>
      <c r="C634" s="24"/>
      <c r="D634" s="24"/>
      <c r="E634" s="24"/>
      <c r="F634" s="24"/>
      <c r="G634" s="24"/>
      <c r="H634" s="117"/>
      <c r="I634" s="117"/>
      <c r="J634" s="24"/>
      <c r="K634" s="24"/>
      <c r="L634" s="24"/>
      <c r="M634" s="24"/>
      <c r="N634" s="24"/>
      <c r="O634" s="24"/>
      <c r="P634" s="24"/>
      <c r="Q634" s="24"/>
      <c r="R634" s="24"/>
      <c r="S634" s="24"/>
      <c r="T634" s="24"/>
      <c r="U634" s="24"/>
      <c r="V634" s="24"/>
      <c r="W634" s="24"/>
      <c r="X634" s="24"/>
      <c r="Y634" s="24"/>
      <c r="Z634" s="24"/>
      <c r="AA634" s="24"/>
      <c r="AB634" s="24"/>
      <c r="AC634" s="24"/>
      <c r="AD634" s="24"/>
      <c r="AE634" s="24"/>
    </row>
    <row r="635" spans="1:31" ht="12.9">
      <c r="A635" s="24"/>
      <c r="B635" s="143"/>
      <c r="C635" s="24"/>
      <c r="D635" s="24"/>
      <c r="E635" s="24"/>
      <c r="F635" s="24"/>
      <c r="G635" s="24"/>
      <c r="H635" s="117"/>
      <c r="I635" s="117"/>
      <c r="J635" s="24"/>
      <c r="K635" s="24"/>
      <c r="L635" s="24"/>
      <c r="M635" s="24"/>
      <c r="N635" s="24"/>
      <c r="O635" s="24"/>
      <c r="P635" s="24"/>
      <c r="Q635" s="24"/>
      <c r="R635" s="24"/>
      <c r="S635" s="24"/>
      <c r="T635" s="24"/>
      <c r="U635" s="24"/>
      <c r="V635" s="24"/>
      <c r="W635" s="24"/>
      <c r="X635" s="24"/>
      <c r="Y635" s="24"/>
      <c r="Z635" s="24"/>
      <c r="AA635" s="24"/>
      <c r="AB635" s="24"/>
      <c r="AC635" s="24"/>
      <c r="AD635" s="24"/>
      <c r="AE635" s="24"/>
    </row>
    <row r="636" spans="1:31" ht="12.9">
      <c r="A636" s="24"/>
      <c r="B636" s="143"/>
      <c r="C636" s="24"/>
      <c r="D636" s="24"/>
      <c r="E636" s="24"/>
      <c r="F636" s="24"/>
      <c r="G636" s="24"/>
      <c r="H636" s="117"/>
      <c r="I636" s="117"/>
      <c r="J636" s="24"/>
      <c r="K636" s="24"/>
      <c r="L636" s="24"/>
      <c r="M636" s="24"/>
      <c r="N636" s="24"/>
      <c r="O636" s="24"/>
      <c r="P636" s="24"/>
      <c r="Q636" s="24"/>
      <c r="R636" s="24"/>
      <c r="S636" s="24"/>
      <c r="T636" s="24"/>
      <c r="U636" s="24"/>
      <c r="V636" s="24"/>
      <c r="W636" s="24"/>
      <c r="X636" s="24"/>
      <c r="Y636" s="24"/>
      <c r="Z636" s="24"/>
      <c r="AA636" s="24"/>
      <c r="AB636" s="24"/>
      <c r="AC636" s="24"/>
      <c r="AD636" s="24"/>
      <c r="AE636" s="24"/>
    </row>
    <row r="637" spans="1:31" ht="12.9">
      <c r="A637" s="24"/>
      <c r="B637" s="143"/>
      <c r="C637" s="24"/>
      <c r="D637" s="24"/>
      <c r="E637" s="24"/>
      <c r="F637" s="24"/>
      <c r="G637" s="24"/>
      <c r="H637" s="117"/>
      <c r="I637" s="117"/>
      <c r="J637" s="24"/>
      <c r="K637" s="24"/>
      <c r="L637" s="24"/>
      <c r="M637" s="24"/>
      <c r="N637" s="24"/>
      <c r="O637" s="24"/>
      <c r="P637" s="24"/>
      <c r="Q637" s="24"/>
      <c r="R637" s="24"/>
      <c r="S637" s="24"/>
      <c r="T637" s="24"/>
      <c r="U637" s="24"/>
      <c r="V637" s="24"/>
      <c r="W637" s="24"/>
      <c r="X637" s="24"/>
      <c r="Y637" s="24"/>
      <c r="Z637" s="24"/>
      <c r="AA637" s="24"/>
      <c r="AB637" s="24"/>
      <c r="AC637" s="24"/>
      <c r="AD637" s="24"/>
      <c r="AE637" s="24"/>
    </row>
    <row r="638" spans="1:31" ht="12.9">
      <c r="A638" s="24"/>
      <c r="B638" s="143"/>
      <c r="C638" s="24"/>
      <c r="D638" s="24"/>
      <c r="E638" s="24"/>
      <c r="F638" s="24"/>
      <c r="G638" s="24"/>
      <c r="H638" s="117"/>
      <c r="I638" s="117"/>
      <c r="J638" s="24"/>
      <c r="K638" s="24"/>
      <c r="L638" s="24"/>
      <c r="M638" s="24"/>
      <c r="N638" s="24"/>
      <c r="O638" s="24"/>
      <c r="P638" s="24"/>
      <c r="Q638" s="24"/>
      <c r="R638" s="24"/>
      <c r="S638" s="24"/>
      <c r="T638" s="24"/>
      <c r="U638" s="24"/>
      <c r="V638" s="24"/>
      <c r="W638" s="24"/>
      <c r="X638" s="24"/>
      <c r="Y638" s="24"/>
      <c r="Z638" s="24"/>
      <c r="AA638" s="24"/>
      <c r="AB638" s="24"/>
      <c r="AC638" s="24"/>
      <c r="AD638" s="24"/>
      <c r="AE638" s="24"/>
    </row>
    <row r="639" spans="1:31" ht="12.9">
      <c r="A639" s="24"/>
      <c r="B639" s="143"/>
      <c r="C639" s="24"/>
      <c r="D639" s="24"/>
      <c r="E639" s="24"/>
      <c r="F639" s="24"/>
      <c r="G639" s="24"/>
      <c r="H639" s="117"/>
      <c r="I639" s="117"/>
      <c r="J639" s="24"/>
      <c r="K639" s="24"/>
      <c r="L639" s="24"/>
      <c r="M639" s="24"/>
      <c r="N639" s="24"/>
      <c r="O639" s="24"/>
      <c r="P639" s="24"/>
      <c r="Q639" s="24"/>
      <c r="R639" s="24"/>
      <c r="S639" s="24"/>
      <c r="T639" s="24"/>
      <c r="U639" s="24"/>
      <c r="V639" s="24"/>
      <c r="W639" s="24"/>
      <c r="X639" s="24"/>
      <c r="Y639" s="24"/>
      <c r="Z639" s="24"/>
      <c r="AA639" s="24"/>
      <c r="AB639" s="24"/>
      <c r="AC639" s="24"/>
      <c r="AD639" s="24"/>
      <c r="AE639" s="24"/>
    </row>
    <row r="640" spans="1:31" ht="12.9">
      <c r="A640" s="24"/>
      <c r="B640" s="143"/>
      <c r="C640" s="24"/>
      <c r="D640" s="24"/>
      <c r="E640" s="24"/>
      <c r="F640" s="24"/>
      <c r="G640" s="24"/>
      <c r="H640" s="117"/>
      <c r="I640" s="117"/>
      <c r="J640" s="24"/>
      <c r="K640" s="24"/>
      <c r="L640" s="24"/>
      <c r="M640" s="24"/>
      <c r="N640" s="24"/>
      <c r="O640" s="24"/>
      <c r="P640" s="24"/>
      <c r="Q640" s="24"/>
      <c r="R640" s="24"/>
      <c r="S640" s="24"/>
      <c r="T640" s="24"/>
      <c r="U640" s="24"/>
      <c r="V640" s="24"/>
      <c r="W640" s="24"/>
      <c r="X640" s="24"/>
      <c r="Y640" s="24"/>
      <c r="Z640" s="24"/>
      <c r="AA640" s="24"/>
      <c r="AB640" s="24"/>
      <c r="AC640" s="24"/>
      <c r="AD640" s="24"/>
      <c r="AE640" s="24"/>
    </row>
    <row r="641" spans="1:31" ht="12.9">
      <c r="A641" s="24"/>
      <c r="B641" s="143"/>
      <c r="C641" s="24"/>
      <c r="D641" s="24"/>
      <c r="E641" s="24"/>
      <c r="F641" s="24"/>
      <c r="G641" s="24"/>
      <c r="H641" s="117"/>
      <c r="I641" s="117"/>
      <c r="J641" s="24"/>
      <c r="K641" s="24"/>
      <c r="L641" s="24"/>
      <c r="M641" s="24"/>
      <c r="N641" s="24"/>
      <c r="O641" s="24"/>
      <c r="P641" s="24"/>
      <c r="Q641" s="24"/>
      <c r="R641" s="24"/>
      <c r="S641" s="24"/>
      <c r="T641" s="24"/>
      <c r="U641" s="24"/>
      <c r="V641" s="24"/>
      <c r="W641" s="24"/>
      <c r="X641" s="24"/>
      <c r="Y641" s="24"/>
      <c r="Z641" s="24"/>
      <c r="AA641" s="24"/>
      <c r="AB641" s="24"/>
      <c r="AC641" s="24"/>
      <c r="AD641" s="24"/>
      <c r="AE641" s="24"/>
    </row>
    <row r="642" spans="1:31" ht="12.9">
      <c r="A642" s="24"/>
      <c r="B642" s="143"/>
      <c r="C642" s="24"/>
      <c r="D642" s="24"/>
      <c r="E642" s="24"/>
      <c r="F642" s="24"/>
      <c r="G642" s="24"/>
      <c r="H642" s="117"/>
      <c r="I642" s="117"/>
      <c r="J642" s="24"/>
      <c r="K642" s="24"/>
      <c r="L642" s="24"/>
      <c r="M642" s="24"/>
      <c r="N642" s="24"/>
      <c r="O642" s="24"/>
      <c r="P642" s="24"/>
      <c r="Q642" s="24"/>
      <c r="R642" s="24"/>
      <c r="S642" s="24"/>
      <c r="T642" s="24"/>
      <c r="U642" s="24"/>
      <c r="V642" s="24"/>
      <c r="W642" s="24"/>
      <c r="X642" s="24"/>
      <c r="Y642" s="24"/>
      <c r="Z642" s="24"/>
      <c r="AA642" s="24"/>
      <c r="AB642" s="24"/>
      <c r="AC642" s="24"/>
      <c r="AD642" s="24"/>
      <c r="AE642" s="24"/>
    </row>
    <row r="643" spans="1:31" ht="12.9">
      <c r="A643" s="24"/>
      <c r="B643" s="143"/>
      <c r="C643" s="24"/>
      <c r="D643" s="24"/>
      <c r="E643" s="24"/>
      <c r="F643" s="24"/>
      <c r="G643" s="24"/>
      <c r="H643" s="117"/>
      <c r="I643" s="117"/>
      <c r="J643" s="24"/>
      <c r="K643" s="24"/>
      <c r="L643" s="24"/>
      <c r="M643" s="24"/>
      <c r="N643" s="24"/>
      <c r="O643" s="24"/>
      <c r="P643" s="24"/>
      <c r="Q643" s="24"/>
      <c r="R643" s="24"/>
      <c r="S643" s="24"/>
      <c r="T643" s="24"/>
      <c r="U643" s="24"/>
      <c r="V643" s="24"/>
      <c r="W643" s="24"/>
      <c r="X643" s="24"/>
      <c r="Y643" s="24"/>
      <c r="Z643" s="24"/>
      <c r="AA643" s="24"/>
      <c r="AB643" s="24"/>
      <c r="AC643" s="24"/>
      <c r="AD643" s="24"/>
      <c r="AE643" s="24"/>
    </row>
    <row r="644" spans="1:31" ht="12.9">
      <c r="A644" s="24"/>
      <c r="B644" s="143"/>
      <c r="C644" s="24"/>
      <c r="D644" s="24"/>
      <c r="E644" s="24"/>
      <c r="F644" s="24"/>
      <c r="G644" s="24"/>
      <c r="H644" s="117"/>
      <c r="I644" s="117"/>
      <c r="J644" s="24"/>
      <c r="K644" s="24"/>
      <c r="L644" s="24"/>
      <c r="M644" s="24"/>
      <c r="N644" s="24"/>
      <c r="O644" s="24"/>
      <c r="P644" s="24"/>
      <c r="Q644" s="24"/>
      <c r="R644" s="24"/>
      <c r="S644" s="24"/>
      <c r="T644" s="24"/>
      <c r="U644" s="24"/>
      <c r="V644" s="24"/>
      <c r="W644" s="24"/>
      <c r="X644" s="24"/>
      <c r="Y644" s="24"/>
      <c r="Z644" s="24"/>
      <c r="AA644" s="24"/>
      <c r="AB644" s="24"/>
      <c r="AC644" s="24"/>
      <c r="AD644" s="24"/>
      <c r="AE644" s="24"/>
    </row>
    <row r="645" spans="1:31" ht="12.9">
      <c r="A645" s="24"/>
      <c r="B645" s="143"/>
      <c r="C645" s="24"/>
      <c r="D645" s="24"/>
      <c r="E645" s="24"/>
      <c r="F645" s="24"/>
      <c r="G645" s="24"/>
      <c r="H645" s="117"/>
      <c r="I645" s="117"/>
      <c r="J645" s="24"/>
      <c r="K645" s="24"/>
      <c r="L645" s="24"/>
      <c r="M645" s="24"/>
      <c r="N645" s="24"/>
      <c r="O645" s="24"/>
      <c r="P645" s="24"/>
      <c r="Q645" s="24"/>
      <c r="R645" s="24"/>
      <c r="S645" s="24"/>
      <c r="T645" s="24"/>
      <c r="U645" s="24"/>
      <c r="V645" s="24"/>
      <c r="W645" s="24"/>
      <c r="X645" s="24"/>
      <c r="Y645" s="24"/>
      <c r="Z645" s="24"/>
      <c r="AA645" s="24"/>
      <c r="AB645" s="24"/>
      <c r="AC645" s="24"/>
      <c r="AD645" s="24"/>
      <c r="AE645" s="24"/>
    </row>
    <row r="646" spans="1:31" ht="12.9">
      <c r="A646" s="24"/>
      <c r="B646" s="143"/>
      <c r="C646" s="24"/>
      <c r="D646" s="24"/>
      <c r="E646" s="24"/>
      <c r="F646" s="24"/>
      <c r="G646" s="24"/>
      <c r="H646" s="117"/>
      <c r="I646" s="117"/>
      <c r="J646" s="24"/>
      <c r="K646" s="24"/>
      <c r="L646" s="24"/>
      <c r="M646" s="24"/>
      <c r="N646" s="24"/>
      <c r="O646" s="24"/>
      <c r="P646" s="24"/>
      <c r="Q646" s="24"/>
      <c r="R646" s="24"/>
      <c r="S646" s="24"/>
      <c r="T646" s="24"/>
      <c r="U646" s="24"/>
      <c r="V646" s="24"/>
      <c r="W646" s="24"/>
      <c r="X646" s="24"/>
      <c r="Y646" s="24"/>
      <c r="Z646" s="24"/>
      <c r="AA646" s="24"/>
      <c r="AB646" s="24"/>
      <c r="AC646" s="24"/>
      <c r="AD646" s="24"/>
      <c r="AE646" s="24"/>
    </row>
    <row r="647" spans="1:31" ht="12.9">
      <c r="A647" s="24"/>
      <c r="B647" s="143"/>
      <c r="C647" s="24"/>
      <c r="D647" s="24"/>
      <c r="E647" s="24"/>
      <c r="F647" s="24"/>
      <c r="G647" s="24"/>
      <c r="H647" s="117"/>
      <c r="I647" s="117"/>
      <c r="J647" s="24"/>
      <c r="K647" s="24"/>
      <c r="L647" s="24"/>
      <c r="M647" s="24"/>
      <c r="N647" s="24"/>
      <c r="O647" s="24"/>
      <c r="P647" s="24"/>
      <c r="Q647" s="24"/>
      <c r="R647" s="24"/>
      <c r="S647" s="24"/>
      <c r="T647" s="24"/>
      <c r="U647" s="24"/>
      <c r="V647" s="24"/>
      <c r="W647" s="24"/>
      <c r="X647" s="24"/>
      <c r="Y647" s="24"/>
      <c r="Z647" s="24"/>
      <c r="AA647" s="24"/>
      <c r="AB647" s="24"/>
      <c r="AC647" s="24"/>
      <c r="AD647" s="24"/>
      <c r="AE647" s="24"/>
    </row>
    <row r="648" spans="1:31" ht="12.9">
      <c r="A648" s="24"/>
      <c r="B648" s="143"/>
      <c r="C648" s="24"/>
      <c r="D648" s="24"/>
      <c r="E648" s="24"/>
      <c r="F648" s="24"/>
      <c r="G648" s="24"/>
      <c r="H648" s="117"/>
      <c r="I648" s="117"/>
      <c r="J648" s="24"/>
      <c r="K648" s="24"/>
      <c r="L648" s="24"/>
      <c r="M648" s="24"/>
      <c r="N648" s="24"/>
      <c r="O648" s="24"/>
      <c r="P648" s="24"/>
      <c r="Q648" s="24"/>
      <c r="R648" s="24"/>
      <c r="S648" s="24"/>
      <c r="T648" s="24"/>
      <c r="U648" s="24"/>
      <c r="V648" s="24"/>
      <c r="W648" s="24"/>
      <c r="X648" s="24"/>
      <c r="Y648" s="24"/>
      <c r="Z648" s="24"/>
      <c r="AA648" s="24"/>
      <c r="AB648" s="24"/>
      <c r="AC648" s="24"/>
      <c r="AD648" s="24"/>
      <c r="AE648" s="24"/>
    </row>
    <row r="649" spans="1:31" ht="12.9">
      <c r="A649" s="24"/>
      <c r="B649" s="143"/>
      <c r="C649" s="24"/>
      <c r="D649" s="24"/>
      <c r="E649" s="24"/>
      <c r="F649" s="24"/>
      <c r="G649" s="24"/>
      <c r="H649" s="117"/>
      <c r="I649" s="117"/>
      <c r="J649" s="24"/>
      <c r="K649" s="24"/>
      <c r="L649" s="24"/>
      <c r="M649" s="24"/>
      <c r="N649" s="24"/>
      <c r="O649" s="24"/>
      <c r="P649" s="24"/>
      <c r="Q649" s="24"/>
      <c r="R649" s="24"/>
      <c r="S649" s="24"/>
      <c r="T649" s="24"/>
      <c r="U649" s="24"/>
      <c r="V649" s="24"/>
      <c r="W649" s="24"/>
      <c r="X649" s="24"/>
      <c r="Y649" s="24"/>
      <c r="Z649" s="24"/>
      <c r="AA649" s="24"/>
      <c r="AB649" s="24"/>
      <c r="AC649" s="24"/>
      <c r="AD649" s="24"/>
      <c r="AE649" s="24"/>
    </row>
    <row r="650" spans="1:31" ht="12.9">
      <c r="A650" s="24"/>
      <c r="B650" s="143"/>
      <c r="C650" s="24"/>
      <c r="D650" s="24"/>
      <c r="E650" s="24"/>
      <c r="F650" s="24"/>
      <c r="G650" s="24"/>
      <c r="H650" s="117"/>
      <c r="I650" s="117"/>
      <c r="J650" s="24"/>
      <c r="K650" s="24"/>
      <c r="L650" s="24"/>
      <c r="M650" s="24"/>
      <c r="N650" s="24"/>
      <c r="O650" s="24"/>
      <c r="P650" s="24"/>
      <c r="Q650" s="24"/>
      <c r="R650" s="24"/>
      <c r="S650" s="24"/>
      <c r="T650" s="24"/>
      <c r="U650" s="24"/>
      <c r="V650" s="24"/>
      <c r="W650" s="24"/>
      <c r="X650" s="24"/>
      <c r="Y650" s="24"/>
      <c r="Z650" s="24"/>
      <c r="AA650" s="24"/>
      <c r="AB650" s="24"/>
      <c r="AC650" s="24"/>
      <c r="AD650" s="24"/>
      <c r="AE650" s="24"/>
    </row>
    <row r="651" spans="1:31" ht="12.9">
      <c r="A651" s="24"/>
      <c r="B651" s="143"/>
      <c r="C651" s="24"/>
      <c r="D651" s="24"/>
      <c r="E651" s="24"/>
      <c r="F651" s="24"/>
      <c r="G651" s="24"/>
      <c r="H651" s="117"/>
      <c r="I651" s="117"/>
      <c r="J651" s="24"/>
      <c r="K651" s="24"/>
      <c r="L651" s="24"/>
      <c r="M651" s="24"/>
      <c r="N651" s="24"/>
      <c r="O651" s="24"/>
      <c r="P651" s="24"/>
      <c r="Q651" s="24"/>
      <c r="R651" s="24"/>
      <c r="S651" s="24"/>
      <c r="T651" s="24"/>
      <c r="U651" s="24"/>
      <c r="V651" s="24"/>
      <c r="W651" s="24"/>
      <c r="X651" s="24"/>
      <c r="Y651" s="24"/>
      <c r="Z651" s="24"/>
      <c r="AA651" s="24"/>
      <c r="AB651" s="24"/>
      <c r="AC651" s="24"/>
      <c r="AD651" s="24"/>
      <c r="AE651" s="24"/>
    </row>
    <row r="652" spans="1:31" ht="12.9">
      <c r="A652" s="24"/>
      <c r="B652" s="143"/>
      <c r="C652" s="24"/>
      <c r="D652" s="24"/>
      <c r="E652" s="24"/>
      <c r="F652" s="24"/>
      <c r="G652" s="24"/>
      <c r="H652" s="117"/>
      <c r="I652" s="117"/>
      <c r="J652" s="24"/>
      <c r="K652" s="24"/>
      <c r="L652" s="24"/>
      <c r="M652" s="24"/>
      <c r="N652" s="24"/>
      <c r="O652" s="24"/>
      <c r="P652" s="24"/>
      <c r="Q652" s="24"/>
      <c r="R652" s="24"/>
      <c r="S652" s="24"/>
      <c r="T652" s="24"/>
      <c r="U652" s="24"/>
      <c r="V652" s="24"/>
      <c r="W652" s="24"/>
      <c r="X652" s="24"/>
      <c r="Y652" s="24"/>
      <c r="Z652" s="24"/>
      <c r="AA652" s="24"/>
      <c r="AB652" s="24"/>
      <c r="AC652" s="24"/>
      <c r="AD652" s="24"/>
      <c r="AE652" s="24"/>
    </row>
    <row r="653" spans="1:31" ht="12.9">
      <c r="A653" s="24"/>
      <c r="B653" s="143"/>
      <c r="C653" s="24"/>
      <c r="D653" s="24"/>
      <c r="E653" s="24"/>
      <c r="F653" s="24"/>
      <c r="G653" s="24"/>
      <c r="H653" s="117"/>
      <c r="I653" s="117"/>
      <c r="J653" s="24"/>
      <c r="K653" s="24"/>
      <c r="L653" s="24"/>
      <c r="M653" s="24"/>
      <c r="N653" s="24"/>
      <c r="O653" s="24"/>
      <c r="P653" s="24"/>
      <c r="Q653" s="24"/>
      <c r="R653" s="24"/>
      <c r="S653" s="24"/>
      <c r="T653" s="24"/>
      <c r="U653" s="24"/>
      <c r="V653" s="24"/>
      <c r="W653" s="24"/>
      <c r="X653" s="24"/>
      <c r="Y653" s="24"/>
      <c r="Z653" s="24"/>
      <c r="AA653" s="24"/>
      <c r="AB653" s="24"/>
      <c r="AC653" s="24"/>
      <c r="AD653" s="24"/>
      <c r="AE653" s="24"/>
    </row>
    <row r="654" spans="1:31" ht="12.9">
      <c r="A654" s="24"/>
      <c r="B654" s="143"/>
      <c r="C654" s="24"/>
      <c r="D654" s="24"/>
      <c r="E654" s="24"/>
      <c r="F654" s="24"/>
      <c r="G654" s="24"/>
      <c r="H654" s="117"/>
      <c r="I654" s="117"/>
      <c r="J654" s="24"/>
      <c r="K654" s="24"/>
      <c r="L654" s="24"/>
      <c r="M654" s="24"/>
      <c r="N654" s="24"/>
      <c r="O654" s="24"/>
      <c r="P654" s="24"/>
      <c r="Q654" s="24"/>
      <c r="R654" s="24"/>
      <c r="S654" s="24"/>
      <c r="T654" s="24"/>
      <c r="U654" s="24"/>
      <c r="V654" s="24"/>
      <c r="W654" s="24"/>
      <c r="X654" s="24"/>
      <c r="Y654" s="24"/>
      <c r="Z654" s="24"/>
      <c r="AA654" s="24"/>
      <c r="AB654" s="24"/>
      <c r="AC654" s="24"/>
      <c r="AD654" s="24"/>
      <c r="AE654" s="24"/>
    </row>
    <row r="655" spans="1:31" ht="12.9">
      <c r="A655" s="24"/>
      <c r="B655" s="143"/>
      <c r="C655" s="24"/>
      <c r="D655" s="24"/>
      <c r="E655" s="24"/>
      <c r="F655" s="24"/>
      <c r="G655" s="24"/>
      <c r="H655" s="117"/>
      <c r="I655" s="117"/>
      <c r="J655" s="24"/>
      <c r="K655" s="24"/>
      <c r="L655" s="24"/>
      <c r="M655" s="24"/>
      <c r="N655" s="24"/>
      <c r="O655" s="24"/>
      <c r="P655" s="24"/>
      <c r="Q655" s="24"/>
      <c r="R655" s="24"/>
      <c r="S655" s="24"/>
      <c r="T655" s="24"/>
      <c r="U655" s="24"/>
      <c r="V655" s="24"/>
      <c r="W655" s="24"/>
      <c r="X655" s="24"/>
      <c r="Y655" s="24"/>
      <c r="Z655" s="24"/>
      <c r="AA655" s="24"/>
      <c r="AB655" s="24"/>
      <c r="AC655" s="24"/>
      <c r="AD655" s="24"/>
      <c r="AE655" s="24"/>
    </row>
    <row r="656" spans="1:31" ht="12.9">
      <c r="A656" s="24"/>
      <c r="B656" s="143"/>
      <c r="C656" s="24"/>
      <c r="D656" s="24"/>
      <c r="E656" s="24"/>
      <c r="F656" s="24"/>
      <c r="G656" s="24"/>
      <c r="H656" s="117"/>
      <c r="I656" s="117"/>
      <c r="J656" s="24"/>
      <c r="K656" s="24"/>
      <c r="L656" s="24"/>
      <c r="M656" s="24"/>
      <c r="N656" s="24"/>
      <c r="O656" s="24"/>
      <c r="P656" s="24"/>
      <c r="Q656" s="24"/>
      <c r="R656" s="24"/>
      <c r="S656" s="24"/>
      <c r="T656" s="24"/>
      <c r="U656" s="24"/>
      <c r="V656" s="24"/>
      <c r="W656" s="24"/>
      <c r="X656" s="24"/>
      <c r="Y656" s="24"/>
      <c r="Z656" s="24"/>
      <c r="AA656" s="24"/>
      <c r="AB656" s="24"/>
      <c r="AC656" s="24"/>
      <c r="AD656" s="24"/>
      <c r="AE656" s="24"/>
    </row>
    <row r="657" spans="1:31" ht="12.9">
      <c r="A657" s="24"/>
      <c r="B657" s="143"/>
      <c r="C657" s="24"/>
      <c r="D657" s="24"/>
      <c r="E657" s="24"/>
      <c r="F657" s="24"/>
      <c r="G657" s="24"/>
      <c r="H657" s="117"/>
      <c r="I657" s="117"/>
      <c r="J657" s="24"/>
      <c r="K657" s="24"/>
      <c r="L657" s="24"/>
      <c r="M657" s="24"/>
      <c r="N657" s="24"/>
      <c r="O657" s="24"/>
      <c r="P657" s="24"/>
      <c r="Q657" s="24"/>
      <c r="R657" s="24"/>
      <c r="S657" s="24"/>
      <c r="T657" s="24"/>
      <c r="U657" s="24"/>
      <c r="V657" s="24"/>
      <c r="W657" s="24"/>
      <c r="X657" s="24"/>
      <c r="Y657" s="24"/>
      <c r="Z657" s="24"/>
      <c r="AA657" s="24"/>
      <c r="AB657" s="24"/>
      <c r="AC657" s="24"/>
      <c r="AD657" s="24"/>
      <c r="AE657" s="24"/>
    </row>
    <row r="658" spans="1:31" ht="12.9">
      <c r="A658" s="24"/>
      <c r="B658" s="143"/>
      <c r="C658" s="24"/>
      <c r="D658" s="24"/>
      <c r="E658" s="24"/>
      <c r="F658" s="24"/>
      <c r="G658" s="24"/>
      <c r="H658" s="117"/>
      <c r="I658" s="117"/>
      <c r="J658" s="24"/>
      <c r="K658" s="24"/>
      <c r="L658" s="24"/>
      <c r="M658" s="24"/>
      <c r="N658" s="24"/>
      <c r="O658" s="24"/>
      <c r="P658" s="24"/>
      <c r="Q658" s="24"/>
      <c r="R658" s="24"/>
      <c r="S658" s="24"/>
      <c r="T658" s="24"/>
      <c r="U658" s="24"/>
      <c r="V658" s="24"/>
      <c r="W658" s="24"/>
      <c r="X658" s="24"/>
      <c r="Y658" s="24"/>
      <c r="Z658" s="24"/>
      <c r="AA658" s="24"/>
      <c r="AB658" s="24"/>
      <c r="AC658" s="24"/>
      <c r="AD658" s="24"/>
      <c r="AE658" s="24"/>
    </row>
    <row r="659" spans="1:31" ht="12.9">
      <c r="A659" s="24"/>
      <c r="B659" s="143"/>
      <c r="C659" s="24"/>
      <c r="D659" s="24"/>
      <c r="E659" s="24"/>
      <c r="F659" s="24"/>
      <c r="G659" s="24"/>
      <c r="H659" s="117"/>
      <c r="I659" s="117"/>
      <c r="J659" s="24"/>
      <c r="K659" s="24"/>
      <c r="L659" s="24"/>
      <c r="M659" s="24"/>
      <c r="N659" s="24"/>
      <c r="O659" s="24"/>
      <c r="P659" s="24"/>
      <c r="Q659" s="24"/>
      <c r="R659" s="24"/>
      <c r="S659" s="24"/>
      <c r="T659" s="24"/>
      <c r="U659" s="24"/>
      <c r="V659" s="24"/>
      <c r="W659" s="24"/>
      <c r="X659" s="24"/>
      <c r="Y659" s="24"/>
      <c r="Z659" s="24"/>
      <c r="AA659" s="24"/>
      <c r="AB659" s="24"/>
      <c r="AC659" s="24"/>
      <c r="AD659" s="24"/>
      <c r="AE659" s="24"/>
    </row>
    <row r="660" spans="1:31" ht="12.9">
      <c r="A660" s="24"/>
      <c r="B660" s="143"/>
      <c r="C660" s="24"/>
      <c r="D660" s="24"/>
      <c r="E660" s="24"/>
      <c r="F660" s="24"/>
      <c r="G660" s="24"/>
      <c r="H660" s="117"/>
      <c r="I660" s="117"/>
      <c r="J660" s="24"/>
      <c r="K660" s="24"/>
      <c r="L660" s="24"/>
      <c r="M660" s="24"/>
      <c r="N660" s="24"/>
      <c r="O660" s="24"/>
      <c r="P660" s="24"/>
      <c r="Q660" s="24"/>
      <c r="R660" s="24"/>
      <c r="S660" s="24"/>
      <c r="T660" s="24"/>
      <c r="U660" s="24"/>
      <c r="V660" s="24"/>
      <c r="W660" s="24"/>
      <c r="X660" s="24"/>
      <c r="Y660" s="24"/>
      <c r="Z660" s="24"/>
      <c r="AA660" s="24"/>
      <c r="AB660" s="24"/>
      <c r="AC660" s="24"/>
      <c r="AD660" s="24"/>
      <c r="AE660" s="24"/>
    </row>
    <row r="661" spans="1:31" ht="12.9">
      <c r="A661" s="24"/>
      <c r="B661" s="143"/>
      <c r="C661" s="24"/>
      <c r="D661" s="24"/>
      <c r="E661" s="24"/>
      <c r="F661" s="24"/>
      <c r="G661" s="24"/>
      <c r="H661" s="117"/>
      <c r="I661" s="117"/>
      <c r="J661" s="24"/>
      <c r="K661" s="24"/>
      <c r="L661" s="24"/>
      <c r="M661" s="24"/>
      <c r="N661" s="24"/>
      <c r="O661" s="24"/>
      <c r="P661" s="24"/>
      <c r="Q661" s="24"/>
      <c r="R661" s="24"/>
      <c r="S661" s="24"/>
      <c r="T661" s="24"/>
      <c r="U661" s="24"/>
      <c r="V661" s="24"/>
      <c r="W661" s="24"/>
      <c r="X661" s="24"/>
      <c r="Y661" s="24"/>
      <c r="Z661" s="24"/>
      <c r="AA661" s="24"/>
      <c r="AB661" s="24"/>
      <c r="AC661" s="24"/>
      <c r="AD661" s="24"/>
      <c r="AE661" s="24"/>
    </row>
    <row r="662" spans="1:31" ht="12.9">
      <c r="A662" s="24"/>
      <c r="B662" s="143"/>
      <c r="C662" s="24"/>
      <c r="D662" s="24"/>
      <c r="E662" s="24"/>
      <c r="F662" s="24"/>
      <c r="G662" s="24"/>
      <c r="H662" s="117"/>
      <c r="I662" s="117"/>
      <c r="J662" s="24"/>
      <c r="K662" s="24"/>
      <c r="L662" s="24"/>
      <c r="M662" s="24"/>
      <c r="N662" s="24"/>
      <c r="O662" s="24"/>
      <c r="P662" s="24"/>
      <c r="Q662" s="24"/>
      <c r="R662" s="24"/>
      <c r="S662" s="24"/>
      <c r="T662" s="24"/>
      <c r="U662" s="24"/>
      <c r="V662" s="24"/>
      <c r="W662" s="24"/>
      <c r="X662" s="24"/>
      <c r="Y662" s="24"/>
      <c r="Z662" s="24"/>
      <c r="AA662" s="24"/>
      <c r="AB662" s="24"/>
      <c r="AC662" s="24"/>
      <c r="AD662" s="24"/>
      <c r="AE662" s="24"/>
    </row>
    <row r="663" spans="1:31" ht="12.9">
      <c r="A663" s="24"/>
      <c r="B663" s="143"/>
      <c r="C663" s="24"/>
      <c r="D663" s="24"/>
      <c r="E663" s="24"/>
      <c r="F663" s="24"/>
      <c r="G663" s="24"/>
      <c r="H663" s="117"/>
      <c r="I663" s="117"/>
      <c r="J663" s="24"/>
      <c r="K663" s="24"/>
      <c r="L663" s="24"/>
      <c r="M663" s="24"/>
      <c r="N663" s="24"/>
      <c r="O663" s="24"/>
      <c r="P663" s="24"/>
      <c r="Q663" s="24"/>
      <c r="R663" s="24"/>
      <c r="S663" s="24"/>
      <c r="T663" s="24"/>
      <c r="U663" s="24"/>
      <c r="V663" s="24"/>
      <c r="W663" s="24"/>
      <c r="X663" s="24"/>
      <c r="Y663" s="24"/>
      <c r="Z663" s="24"/>
      <c r="AA663" s="24"/>
      <c r="AB663" s="24"/>
      <c r="AC663" s="24"/>
      <c r="AD663" s="24"/>
      <c r="AE663" s="24"/>
    </row>
    <row r="664" spans="1:31" ht="12.9">
      <c r="A664" s="24"/>
      <c r="B664" s="143"/>
      <c r="C664" s="24"/>
      <c r="D664" s="24"/>
      <c r="E664" s="24"/>
      <c r="F664" s="24"/>
      <c r="G664" s="24"/>
      <c r="H664" s="117"/>
      <c r="I664" s="117"/>
      <c r="J664" s="24"/>
      <c r="K664" s="24"/>
      <c r="L664" s="24"/>
      <c r="M664" s="24"/>
      <c r="N664" s="24"/>
      <c r="O664" s="24"/>
      <c r="P664" s="24"/>
      <c r="Q664" s="24"/>
      <c r="R664" s="24"/>
      <c r="S664" s="24"/>
      <c r="T664" s="24"/>
      <c r="U664" s="24"/>
      <c r="V664" s="24"/>
      <c r="W664" s="24"/>
      <c r="X664" s="24"/>
      <c r="Y664" s="24"/>
      <c r="Z664" s="24"/>
      <c r="AA664" s="24"/>
      <c r="AB664" s="24"/>
      <c r="AC664" s="24"/>
      <c r="AD664" s="24"/>
      <c r="AE664" s="24"/>
    </row>
    <row r="665" spans="1:31" ht="12.9">
      <c r="A665" s="24"/>
      <c r="B665" s="143"/>
      <c r="C665" s="24"/>
      <c r="D665" s="24"/>
      <c r="E665" s="24"/>
      <c r="F665" s="24"/>
      <c r="G665" s="24"/>
      <c r="H665" s="117"/>
      <c r="I665" s="117"/>
      <c r="J665" s="24"/>
      <c r="K665" s="24"/>
      <c r="L665" s="24"/>
      <c r="M665" s="24"/>
      <c r="N665" s="24"/>
      <c r="O665" s="24"/>
      <c r="P665" s="24"/>
      <c r="Q665" s="24"/>
      <c r="R665" s="24"/>
      <c r="S665" s="24"/>
      <c r="T665" s="24"/>
      <c r="U665" s="24"/>
      <c r="V665" s="24"/>
      <c r="W665" s="24"/>
      <c r="X665" s="24"/>
      <c r="Y665" s="24"/>
      <c r="Z665" s="24"/>
      <c r="AA665" s="24"/>
      <c r="AB665" s="24"/>
      <c r="AC665" s="24"/>
      <c r="AD665" s="24"/>
      <c r="AE665" s="24"/>
    </row>
    <row r="666" spans="1:31" ht="12.9">
      <c r="A666" s="24"/>
      <c r="B666" s="143"/>
      <c r="C666" s="24"/>
      <c r="D666" s="24"/>
      <c r="E666" s="24"/>
      <c r="F666" s="24"/>
      <c r="G666" s="24"/>
      <c r="H666" s="117"/>
      <c r="I666" s="117"/>
      <c r="J666" s="24"/>
      <c r="K666" s="24"/>
      <c r="L666" s="24"/>
      <c r="M666" s="24"/>
      <c r="N666" s="24"/>
      <c r="O666" s="24"/>
      <c r="P666" s="24"/>
      <c r="Q666" s="24"/>
      <c r="R666" s="24"/>
      <c r="S666" s="24"/>
      <c r="T666" s="24"/>
      <c r="U666" s="24"/>
      <c r="V666" s="24"/>
      <c r="W666" s="24"/>
      <c r="X666" s="24"/>
      <c r="Y666" s="24"/>
      <c r="Z666" s="24"/>
      <c r="AA666" s="24"/>
      <c r="AB666" s="24"/>
      <c r="AC666" s="24"/>
      <c r="AD666" s="24"/>
      <c r="AE666" s="24"/>
    </row>
    <row r="667" spans="1:31" ht="12.9">
      <c r="A667" s="24"/>
      <c r="B667" s="143"/>
      <c r="C667" s="24"/>
      <c r="D667" s="24"/>
      <c r="E667" s="24"/>
      <c r="F667" s="24"/>
      <c r="G667" s="24"/>
      <c r="H667" s="117"/>
      <c r="I667" s="117"/>
      <c r="J667" s="24"/>
      <c r="K667" s="24"/>
      <c r="L667" s="24"/>
      <c r="M667" s="24"/>
      <c r="N667" s="24"/>
      <c r="O667" s="24"/>
      <c r="P667" s="24"/>
      <c r="Q667" s="24"/>
      <c r="R667" s="24"/>
      <c r="S667" s="24"/>
      <c r="T667" s="24"/>
      <c r="U667" s="24"/>
      <c r="V667" s="24"/>
      <c r="W667" s="24"/>
      <c r="X667" s="24"/>
      <c r="Y667" s="24"/>
      <c r="Z667" s="24"/>
      <c r="AA667" s="24"/>
      <c r="AB667" s="24"/>
      <c r="AC667" s="24"/>
      <c r="AD667" s="24"/>
      <c r="AE667" s="24"/>
    </row>
    <row r="668" spans="1:31" ht="12.9">
      <c r="A668" s="24"/>
      <c r="B668" s="143"/>
      <c r="C668" s="24"/>
      <c r="D668" s="24"/>
      <c r="E668" s="24"/>
      <c r="F668" s="24"/>
      <c r="G668" s="24"/>
      <c r="H668" s="117"/>
      <c r="I668" s="117"/>
      <c r="J668" s="24"/>
      <c r="K668" s="24"/>
      <c r="L668" s="24"/>
      <c r="M668" s="24"/>
      <c r="N668" s="24"/>
      <c r="O668" s="24"/>
      <c r="P668" s="24"/>
      <c r="Q668" s="24"/>
      <c r="R668" s="24"/>
      <c r="S668" s="24"/>
      <c r="T668" s="24"/>
      <c r="U668" s="24"/>
      <c r="V668" s="24"/>
      <c r="W668" s="24"/>
      <c r="X668" s="24"/>
      <c r="Y668" s="24"/>
      <c r="Z668" s="24"/>
      <c r="AA668" s="24"/>
      <c r="AB668" s="24"/>
      <c r="AC668" s="24"/>
      <c r="AD668" s="24"/>
      <c r="AE668" s="24"/>
    </row>
    <row r="669" spans="1:31" ht="12.9">
      <c r="A669" s="24"/>
      <c r="B669" s="143"/>
      <c r="C669" s="24"/>
      <c r="D669" s="24"/>
      <c r="E669" s="24"/>
      <c r="F669" s="24"/>
      <c r="G669" s="24"/>
      <c r="H669" s="117"/>
      <c r="I669" s="117"/>
      <c r="J669" s="24"/>
      <c r="K669" s="24"/>
      <c r="L669" s="24"/>
      <c r="M669" s="24"/>
      <c r="N669" s="24"/>
      <c r="O669" s="24"/>
      <c r="P669" s="24"/>
      <c r="Q669" s="24"/>
      <c r="R669" s="24"/>
      <c r="S669" s="24"/>
      <c r="T669" s="24"/>
      <c r="U669" s="24"/>
      <c r="V669" s="24"/>
      <c r="W669" s="24"/>
      <c r="X669" s="24"/>
      <c r="Y669" s="24"/>
      <c r="Z669" s="24"/>
      <c r="AA669" s="24"/>
      <c r="AB669" s="24"/>
      <c r="AC669" s="24"/>
      <c r="AD669" s="24"/>
      <c r="AE669" s="24"/>
    </row>
    <row r="670" spans="1:31" ht="12.9">
      <c r="A670" s="24"/>
      <c r="B670" s="143"/>
      <c r="C670" s="24"/>
      <c r="D670" s="24"/>
      <c r="E670" s="24"/>
      <c r="F670" s="24"/>
      <c r="G670" s="24"/>
      <c r="H670" s="117"/>
      <c r="I670" s="117"/>
      <c r="J670" s="24"/>
      <c r="K670" s="24"/>
      <c r="L670" s="24"/>
      <c r="M670" s="24"/>
      <c r="N670" s="24"/>
      <c r="O670" s="24"/>
      <c r="P670" s="24"/>
      <c r="Q670" s="24"/>
      <c r="R670" s="24"/>
      <c r="S670" s="24"/>
      <c r="T670" s="24"/>
      <c r="U670" s="24"/>
      <c r="V670" s="24"/>
      <c r="W670" s="24"/>
      <c r="X670" s="24"/>
      <c r="Y670" s="24"/>
      <c r="Z670" s="24"/>
      <c r="AA670" s="24"/>
      <c r="AB670" s="24"/>
      <c r="AC670" s="24"/>
      <c r="AD670" s="24"/>
      <c r="AE670" s="24"/>
    </row>
    <row r="671" spans="1:31" ht="12.9">
      <c r="A671" s="24"/>
      <c r="B671" s="143"/>
      <c r="C671" s="24"/>
      <c r="D671" s="24"/>
      <c r="E671" s="24"/>
      <c r="F671" s="24"/>
      <c r="G671" s="24"/>
      <c r="H671" s="117"/>
      <c r="I671" s="117"/>
      <c r="J671" s="24"/>
      <c r="K671" s="24"/>
      <c r="L671" s="24"/>
      <c r="M671" s="24"/>
      <c r="N671" s="24"/>
      <c r="O671" s="24"/>
      <c r="P671" s="24"/>
      <c r="Q671" s="24"/>
      <c r="R671" s="24"/>
      <c r="S671" s="24"/>
      <c r="T671" s="24"/>
      <c r="U671" s="24"/>
      <c r="V671" s="24"/>
      <c r="W671" s="24"/>
      <c r="X671" s="24"/>
      <c r="Y671" s="24"/>
      <c r="Z671" s="24"/>
      <c r="AA671" s="24"/>
      <c r="AB671" s="24"/>
      <c r="AC671" s="24"/>
      <c r="AD671" s="24"/>
      <c r="AE671" s="24"/>
    </row>
    <row r="672" spans="1:31" ht="12.9">
      <c r="A672" s="24"/>
      <c r="B672" s="143"/>
      <c r="C672" s="24"/>
      <c r="D672" s="24"/>
      <c r="E672" s="24"/>
      <c r="F672" s="24"/>
      <c r="G672" s="24"/>
      <c r="H672" s="117"/>
      <c r="I672" s="117"/>
      <c r="J672" s="24"/>
      <c r="K672" s="24"/>
      <c r="L672" s="24"/>
      <c r="M672" s="24"/>
      <c r="N672" s="24"/>
      <c r="O672" s="24"/>
      <c r="P672" s="24"/>
      <c r="Q672" s="24"/>
      <c r="R672" s="24"/>
      <c r="S672" s="24"/>
      <c r="T672" s="24"/>
      <c r="U672" s="24"/>
      <c r="V672" s="24"/>
      <c r="W672" s="24"/>
      <c r="X672" s="24"/>
      <c r="Y672" s="24"/>
      <c r="Z672" s="24"/>
      <c r="AA672" s="24"/>
      <c r="AB672" s="24"/>
      <c r="AC672" s="24"/>
      <c r="AD672" s="24"/>
      <c r="AE672" s="24"/>
    </row>
    <row r="673" spans="1:31" ht="12.9">
      <c r="A673" s="24"/>
      <c r="B673" s="143"/>
      <c r="C673" s="24"/>
      <c r="D673" s="24"/>
      <c r="E673" s="24"/>
      <c r="F673" s="24"/>
      <c r="G673" s="24"/>
      <c r="H673" s="117"/>
      <c r="I673" s="117"/>
      <c r="J673" s="24"/>
      <c r="K673" s="24"/>
      <c r="L673" s="24"/>
      <c r="M673" s="24"/>
      <c r="N673" s="24"/>
      <c r="O673" s="24"/>
      <c r="P673" s="24"/>
      <c r="Q673" s="24"/>
      <c r="R673" s="24"/>
      <c r="S673" s="24"/>
      <c r="T673" s="24"/>
      <c r="U673" s="24"/>
      <c r="V673" s="24"/>
      <c r="W673" s="24"/>
      <c r="X673" s="24"/>
      <c r="Y673" s="24"/>
      <c r="Z673" s="24"/>
      <c r="AA673" s="24"/>
      <c r="AB673" s="24"/>
      <c r="AC673" s="24"/>
      <c r="AD673" s="24"/>
      <c r="AE673" s="24"/>
    </row>
    <row r="674" spans="1:31" ht="12.9">
      <c r="A674" s="24"/>
      <c r="B674" s="143"/>
      <c r="C674" s="24"/>
      <c r="D674" s="24"/>
      <c r="E674" s="24"/>
      <c r="F674" s="24"/>
      <c r="G674" s="24"/>
      <c r="H674" s="117"/>
      <c r="I674" s="117"/>
      <c r="J674" s="24"/>
      <c r="K674" s="24"/>
      <c r="L674" s="24"/>
      <c r="M674" s="24"/>
      <c r="N674" s="24"/>
      <c r="O674" s="24"/>
      <c r="P674" s="24"/>
      <c r="Q674" s="24"/>
      <c r="R674" s="24"/>
      <c r="S674" s="24"/>
      <c r="T674" s="24"/>
      <c r="U674" s="24"/>
      <c r="V674" s="24"/>
      <c r="W674" s="24"/>
      <c r="X674" s="24"/>
      <c r="Y674" s="24"/>
      <c r="Z674" s="24"/>
      <c r="AA674" s="24"/>
      <c r="AB674" s="24"/>
      <c r="AC674" s="24"/>
      <c r="AD674" s="24"/>
      <c r="AE674" s="24"/>
    </row>
    <row r="675" spans="1:31" ht="12.9">
      <c r="A675" s="24"/>
      <c r="B675" s="143"/>
      <c r="C675" s="24"/>
      <c r="D675" s="24"/>
      <c r="E675" s="24"/>
      <c r="F675" s="24"/>
      <c r="G675" s="24"/>
      <c r="H675" s="117"/>
      <c r="I675" s="117"/>
      <c r="J675" s="24"/>
      <c r="K675" s="24"/>
      <c r="L675" s="24"/>
      <c r="M675" s="24"/>
      <c r="N675" s="24"/>
      <c r="O675" s="24"/>
      <c r="P675" s="24"/>
      <c r="Q675" s="24"/>
      <c r="R675" s="24"/>
      <c r="S675" s="24"/>
      <c r="T675" s="24"/>
      <c r="U675" s="24"/>
      <c r="V675" s="24"/>
      <c r="W675" s="24"/>
      <c r="X675" s="24"/>
      <c r="Y675" s="24"/>
      <c r="Z675" s="24"/>
      <c r="AA675" s="24"/>
      <c r="AB675" s="24"/>
      <c r="AC675" s="24"/>
      <c r="AD675" s="24"/>
      <c r="AE675" s="24"/>
    </row>
    <row r="676" spans="1:31" ht="12.9">
      <c r="A676" s="24"/>
      <c r="B676" s="143"/>
      <c r="C676" s="24"/>
      <c r="D676" s="24"/>
      <c r="E676" s="24"/>
      <c r="F676" s="24"/>
      <c r="G676" s="24"/>
      <c r="H676" s="117"/>
      <c r="I676" s="117"/>
      <c r="J676" s="24"/>
      <c r="K676" s="24"/>
      <c r="L676" s="24"/>
      <c r="M676" s="24"/>
      <c r="N676" s="24"/>
      <c r="O676" s="24"/>
      <c r="P676" s="24"/>
      <c r="Q676" s="24"/>
      <c r="R676" s="24"/>
      <c r="S676" s="24"/>
      <c r="T676" s="24"/>
      <c r="U676" s="24"/>
      <c r="V676" s="24"/>
      <c r="W676" s="24"/>
      <c r="X676" s="24"/>
      <c r="Y676" s="24"/>
      <c r="Z676" s="24"/>
      <c r="AA676" s="24"/>
      <c r="AB676" s="24"/>
      <c r="AC676" s="24"/>
      <c r="AD676" s="24"/>
      <c r="AE676" s="24"/>
    </row>
    <row r="677" spans="1:31" ht="12.9">
      <c r="A677" s="24"/>
      <c r="B677" s="143"/>
      <c r="C677" s="24"/>
      <c r="D677" s="24"/>
      <c r="E677" s="24"/>
      <c r="F677" s="24"/>
      <c r="G677" s="24"/>
      <c r="H677" s="117"/>
      <c r="I677" s="117"/>
      <c r="J677" s="24"/>
      <c r="K677" s="24"/>
      <c r="L677" s="24"/>
      <c r="M677" s="24"/>
      <c r="N677" s="24"/>
      <c r="O677" s="24"/>
      <c r="P677" s="24"/>
      <c r="Q677" s="24"/>
      <c r="R677" s="24"/>
      <c r="S677" s="24"/>
      <c r="T677" s="24"/>
      <c r="U677" s="24"/>
      <c r="V677" s="24"/>
      <c r="W677" s="24"/>
      <c r="X677" s="24"/>
      <c r="Y677" s="24"/>
      <c r="Z677" s="24"/>
      <c r="AA677" s="24"/>
      <c r="AB677" s="24"/>
      <c r="AC677" s="24"/>
      <c r="AD677" s="24"/>
      <c r="AE677" s="24"/>
    </row>
    <row r="678" spans="1:31" ht="12.9">
      <c r="A678" s="24"/>
      <c r="B678" s="143"/>
      <c r="C678" s="24"/>
      <c r="D678" s="24"/>
      <c r="E678" s="24"/>
      <c r="F678" s="24"/>
      <c r="G678" s="24"/>
      <c r="H678" s="117"/>
      <c r="I678" s="117"/>
      <c r="J678" s="24"/>
      <c r="K678" s="24"/>
      <c r="L678" s="24"/>
      <c r="M678" s="24"/>
      <c r="N678" s="24"/>
      <c r="O678" s="24"/>
      <c r="P678" s="24"/>
      <c r="Q678" s="24"/>
      <c r="R678" s="24"/>
      <c r="S678" s="24"/>
      <c r="T678" s="24"/>
      <c r="U678" s="24"/>
      <c r="V678" s="24"/>
      <c r="W678" s="24"/>
      <c r="X678" s="24"/>
      <c r="Y678" s="24"/>
      <c r="Z678" s="24"/>
      <c r="AA678" s="24"/>
      <c r="AB678" s="24"/>
      <c r="AC678" s="24"/>
      <c r="AD678" s="24"/>
      <c r="AE678" s="24"/>
    </row>
    <row r="679" spans="1:31" ht="12.9">
      <c r="A679" s="24"/>
      <c r="B679" s="143"/>
      <c r="C679" s="24"/>
      <c r="D679" s="24"/>
      <c r="E679" s="24"/>
      <c r="F679" s="24"/>
      <c r="G679" s="24"/>
      <c r="H679" s="117"/>
      <c r="I679" s="117"/>
      <c r="J679" s="24"/>
      <c r="K679" s="24"/>
      <c r="L679" s="24"/>
      <c r="M679" s="24"/>
      <c r="N679" s="24"/>
      <c r="O679" s="24"/>
      <c r="P679" s="24"/>
      <c r="Q679" s="24"/>
      <c r="R679" s="24"/>
      <c r="S679" s="24"/>
      <c r="T679" s="24"/>
      <c r="U679" s="24"/>
      <c r="V679" s="24"/>
      <c r="W679" s="24"/>
      <c r="X679" s="24"/>
      <c r="Y679" s="24"/>
      <c r="Z679" s="24"/>
      <c r="AA679" s="24"/>
      <c r="AB679" s="24"/>
      <c r="AC679" s="24"/>
      <c r="AD679" s="24"/>
      <c r="AE679" s="24"/>
    </row>
    <row r="680" spans="1:31" ht="12.9">
      <c r="A680" s="24"/>
      <c r="B680" s="143"/>
      <c r="C680" s="24"/>
      <c r="D680" s="24"/>
      <c r="E680" s="24"/>
      <c r="F680" s="24"/>
      <c r="G680" s="24"/>
      <c r="H680" s="117"/>
      <c r="I680" s="117"/>
      <c r="J680" s="24"/>
      <c r="K680" s="24"/>
      <c r="L680" s="24"/>
      <c r="M680" s="24"/>
      <c r="N680" s="24"/>
      <c r="O680" s="24"/>
      <c r="P680" s="24"/>
      <c r="Q680" s="24"/>
      <c r="R680" s="24"/>
      <c r="S680" s="24"/>
      <c r="T680" s="24"/>
      <c r="U680" s="24"/>
      <c r="V680" s="24"/>
      <c r="W680" s="24"/>
      <c r="X680" s="24"/>
      <c r="Y680" s="24"/>
      <c r="Z680" s="24"/>
      <c r="AA680" s="24"/>
      <c r="AB680" s="24"/>
      <c r="AC680" s="24"/>
      <c r="AD680" s="24"/>
      <c r="AE680" s="24"/>
    </row>
    <row r="681" spans="1:31" ht="12.9">
      <c r="A681" s="24"/>
      <c r="B681" s="143"/>
      <c r="C681" s="24"/>
      <c r="D681" s="24"/>
      <c r="E681" s="24"/>
      <c r="F681" s="24"/>
      <c r="G681" s="24"/>
      <c r="H681" s="117"/>
      <c r="I681" s="117"/>
      <c r="J681" s="24"/>
      <c r="K681" s="24"/>
      <c r="L681" s="24"/>
      <c r="M681" s="24"/>
      <c r="N681" s="24"/>
      <c r="O681" s="24"/>
      <c r="P681" s="24"/>
      <c r="Q681" s="24"/>
      <c r="R681" s="24"/>
      <c r="S681" s="24"/>
      <c r="T681" s="24"/>
      <c r="U681" s="24"/>
      <c r="V681" s="24"/>
      <c r="W681" s="24"/>
      <c r="X681" s="24"/>
      <c r="Y681" s="24"/>
      <c r="Z681" s="24"/>
      <c r="AA681" s="24"/>
      <c r="AB681" s="24"/>
      <c r="AC681" s="24"/>
      <c r="AD681" s="24"/>
      <c r="AE681" s="24"/>
    </row>
    <row r="682" spans="1:31" ht="12.9">
      <c r="A682" s="24"/>
      <c r="B682" s="143"/>
      <c r="C682" s="24"/>
      <c r="D682" s="24"/>
      <c r="E682" s="24"/>
      <c r="F682" s="24"/>
      <c r="G682" s="24"/>
      <c r="H682" s="117"/>
      <c r="I682" s="117"/>
      <c r="J682" s="24"/>
      <c r="K682" s="24"/>
      <c r="L682" s="24"/>
      <c r="M682" s="24"/>
      <c r="N682" s="24"/>
      <c r="O682" s="24"/>
      <c r="P682" s="24"/>
      <c r="Q682" s="24"/>
      <c r="R682" s="24"/>
      <c r="S682" s="24"/>
      <c r="T682" s="24"/>
      <c r="U682" s="24"/>
      <c r="V682" s="24"/>
      <c r="W682" s="24"/>
      <c r="X682" s="24"/>
      <c r="Y682" s="24"/>
      <c r="Z682" s="24"/>
      <c r="AA682" s="24"/>
      <c r="AB682" s="24"/>
      <c r="AC682" s="24"/>
      <c r="AD682" s="24"/>
      <c r="AE682" s="24"/>
    </row>
    <row r="683" spans="1:31" ht="12.9">
      <c r="A683" s="24"/>
      <c r="B683" s="143"/>
      <c r="C683" s="24"/>
      <c r="D683" s="24"/>
      <c r="E683" s="24"/>
      <c r="F683" s="24"/>
      <c r="G683" s="24"/>
      <c r="H683" s="117"/>
      <c r="I683" s="117"/>
      <c r="J683" s="24"/>
      <c r="K683" s="24"/>
      <c r="L683" s="24"/>
      <c r="M683" s="24"/>
      <c r="N683" s="24"/>
      <c r="O683" s="24"/>
      <c r="P683" s="24"/>
      <c r="Q683" s="24"/>
      <c r="R683" s="24"/>
      <c r="S683" s="24"/>
      <c r="T683" s="24"/>
      <c r="U683" s="24"/>
      <c r="V683" s="24"/>
      <c r="W683" s="24"/>
      <c r="X683" s="24"/>
      <c r="Y683" s="24"/>
      <c r="Z683" s="24"/>
      <c r="AA683" s="24"/>
      <c r="AB683" s="24"/>
      <c r="AC683" s="24"/>
      <c r="AD683" s="24"/>
      <c r="AE683" s="24"/>
    </row>
    <row r="684" spans="1:31" ht="12.9">
      <c r="A684" s="24"/>
      <c r="B684" s="143"/>
      <c r="C684" s="24"/>
      <c r="D684" s="24"/>
      <c r="E684" s="24"/>
      <c r="F684" s="24"/>
      <c r="G684" s="24"/>
      <c r="H684" s="117"/>
      <c r="I684" s="117"/>
      <c r="J684" s="24"/>
      <c r="K684" s="24"/>
      <c r="L684" s="24"/>
      <c r="M684" s="24"/>
      <c r="N684" s="24"/>
      <c r="O684" s="24"/>
      <c r="P684" s="24"/>
      <c r="Q684" s="24"/>
      <c r="R684" s="24"/>
      <c r="S684" s="24"/>
      <c r="T684" s="24"/>
      <c r="U684" s="24"/>
      <c r="V684" s="24"/>
      <c r="W684" s="24"/>
      <c r="X684" s="24"/>
      <c r="Y684" s="24"/>
      <c r="Z684" s="24"/>
      <c r="AA684" s="24"/>
      <c r="AB684" s="24"/>
      <c r="AC684" s="24"/>
      <c r="AD684" s="24"/>
      <c r="AE684" s="24"/>
    </row>
    <row r="685" spans="1:31" ht="12.9">
      <c r="A685" s="24"/>
      <c r="B685" s="143"/>
      <c r="C685" s="24"/>
      <c r="D685" s="24"/>
      <c r="E685" s="24"/>
      <c r="F685" s="24"/>
      <c r="G685" s="24"/>
      <c r="H685" s="117"/>
      <c r="I685" s="117"/>
      <c r="J685" s="24"/>
      <c r="K685" s="24"/>
      <c r="L685" s="24"/>
      <c r="M685" s="24"/>
      <c r="N685" s="24"/>
      <c r="O685" s="24"/>
      <c r="P685" s="24"/>
      <c r="Q685" s="24"/>
      <c r="R685" s="24"/>
      <c r="S685" s="24"/>
      <c r="T685" s="24"/>
      <c r="U685" s="24"/>
      <c r="V685" s="24"/>
      <c r="W685" s="24"/>
      <c r="X685" s="24"/>
      <c r="Y685" s="24"/>
      <c r="Z685" s="24"/>
      <c r="AA685" s="24"/>
      <c r="AB685" s="24"/>
      <c r="AC685" s="24"/>
      <c r="AD685" s="24"/>
      <c r="AE685" s="24"/>
    </row>
    <row r="686" spans="1:31" ht="12.9">
      <c r="A686" s="24"/>
      <c r="B686" s="143"/>
      <c r="C686" s="24"/>
      <c r="D686" s="24"/>
      <c r="E686" s="24"/>
      <c r="F686" s="24"/>
      <c r="G686" s="24"/>
      <c r="H686" s="117"/>
      <c r="I686" s="117"/>
      <c r="J686" s="24"/>
      <c r="K686" s="24"/>
      <c r="L686" s="24"/>
      <c r="M686" s="24"/>
      <c r="N686" s="24"/>
      <c r="O686" s="24"/>
      <c r="P686" s="24"/>
      <c r="Q686" s="24"/>
      <c r="R686" s="24"/>
      <c r="S686" s="24"/>
      <c r="T686" s="24"/>
      <c r="U686" s="24"/>
      <c r="V686" s="24"/>
      <c r="W686" s="24"/>
      <c r="X686" s="24"/>
      <c r="Y686" s="24"/>
      <c r="Z686" s="24"/>
      <c r="AA686" s="24"/>
      <c r="AB686" s="24"/>
      <c r="AC686" s="24"/>
      <c r="AD686" s="24"/>
      <c r="AE686" s="24"/>
    </row>
    <row r="687" spans="1:31" ht="12.9">
      <c r="A687" s="24"/>
      <c r="B687" s="143"/>
      <c r="C687" s="24"/>
      <c r="D687" s="24"/>
      <c r="E687" s="24"/>
      <c r="F687" s="24"/>
      <c r="G687" s="24"/>
      <c r="H687" s="117"/>
      <c r="I687" s="117"/>
      <c r="J687" s="24"/>
      <c r="K687" s="24"/>
      <c r="L687" s="24"/>
      <c r="M687" s="24"/>
      <c r="N687" s="24"/>
      <c r="O687" s="24"/>
      <c r="P687" s="24"/>
      <c r="Q687" s="24"/>
      <c r="R687" s="24"/>
      <c r="S687" s="24"/>
      <c r="T687" s="24"/>
      <c r="U687" s="24"/>
      <c r="V687" s="24"/>
      <c r="W687" s="24"/>
      <c r="X687" s="24"/>
      <c r="Y687" s="24"/>
      <c r="Z687" s="24"/>
      <c r="AA687" s="24"/>
      <c r="AB687" s="24"/>
      <c r="AC687" s="24"/>
      <c r="AD687" s="24"/>
      <c r="AE687" s="24"/>
    </row>
    <row r="688" spans="1:31" ht="12.9">
      <c r="A688" s="24"/>
      <c r="B688" s="143"/>
      <c r="C688" s="24"/>
      <c r="D688" s="24"/>
      <c r="E688" s="24"/>
      <c r="F688" s="24"/>
      <c r="G688" s="24"/>
      <c r="H688" s="117"/>
      <c r="I688" s="117"/>
      <c r="J688" s="24"/>
      <c r="K688" s="24"/>
      <c r="L688" s="24"/>
      <c r="M688" s="24"/>
      <c r="N688" s="24"/>
      <c r="O688" s="24"/>
      <c r="P688" s="24"/>
      <c r="Q688" s="24"/>
      <c r="R688" s="24"/>
      <c r="S688" s="24"/>
      <c r="T688" s="24"/>
      <c r="U688" s="24"/>
      <c r="V688" s="24"/>
      <c r="W688" s="24"/>
      <c r="X688" s="24"/>
      <c r="Y688" s="24"/>
      <c r="Z688" s="24"/>
      <c r="AA688" s="24"/>
      <c r="AB688" s="24"/>
      <c r="AC688" s="24"/>
      <c r="AD688" s="24"/>
      <c r="AE688" s="24"/>
    </row>
    <row r="689" spans="1:31" ht="12.9">
      <c r="A689" s="24"/>
      <c r="B689" s="143"/>
      <c r="C689" s="24"/>
      <c r="D689" s="24"/>
      <c r="E689" s="24"/>
      <c r="F689" s="24"/>
      <c r="G689" s="24"/>
      <c r="H689" s="117"/>
      <c r="I689" s="117"/>
      <c r="J689" s="24"/>
      <c r="K689" s="24"/>
      <c r="L689" s="24"/>
      <c r="M689" s="24"/>
      <c r="N689" s="24"/>
      <c r="O689" s="24"/>
      <c r="P689" s="24"/>
      <c r="Q689" s="24"/>
      <c r="R689" s="24"/>
      <c r="S689" s="24"/>
      <c r="T689" s="24"/>
      <c r="U689" s="24"/>
      <c r="V689" s="24"/>
      <c r="W689" s="24"/>
      <c r="X689" s="24"/>
      <c r="Y689" s="24"/>
      <c r="Z689" s="24"/>
      <c r="AA689" s="24"/>
      <c r="AB689" s="24"/>
      <c r="AC689" s="24"/>
      <c r="AD689" s="24"/>
      <c r="AE689" s="24"/>
    </row>
    <row r="690" spans="1:31" ht="12.9">
      <c r="A690" s="24"/>
      <c r="B690" s="143"/>
      <c r="C690" s="24"/>
      <c r="D690" s="24"/>
      <c r="E690" s="24"/>
      <c r="F690" s="24"/>
      <c r="G690" s="24"/>
      <c r="H690" s="117"/>
      <c r="I690" s="117"/>
      <c r="J690" s="24"/>
      <c r="K690" s="24"/>
      <c r="L690" s="24"/>
      <c r="M690" s="24"/>
      <c r="N690" s="24"/>
      <c r="O690" s="24"/>
      <c r="P690" s="24"/>
      <c r="Q690" s="24"/>
      <c r="R690" s="24"/>
      <c r="S690" s="24"/>
      <c r="T690" s="24"/>
      <c r="U690" s="24"/>
      <c r="V690" s="24"/>
      <c r="W690" s="24"/>
      <c r="X690" s="24"/>
      <c r="Y690" s="24"/>
      <c r="Z690" s="24"/>
      <c r="AA690" s="24"/>
      <c r="AB690" s="24"/>
      <c r="AC690" s="24"/>
      <c r="AD690" s="24"/>
      <c r="AE690" s="24"/>
    </row>
    <row r="691" spans="1:31" ht="12.9">
      <c r="A691" s="24"/>
      <c r="B691" s="143"/>
      <c r="C691" s="24"/>
      <c r="D691" s="24"/>
      <c r="E691" s="24"/>
      <c r="F691" s="24"/>
      <c r="G691" s="24"/>
      <c r="H691" s="117"/>
      <c r="I691" s="117"/>
      <c r="J691" s="24"/>
      <c r="K691" s="24"/>
      <c r="L691" s="24"/>
      <c r="M691" s="24"/>
      <c r="N691" s="24"/>
      <c r="O691" s="24"/>
      <c r="P691" s="24"/>
      <c r="Q691" s="24"/>
      <c r="R691" s="24"/>
      <c r="S691" s="24"/>
      <c r="T691" s="24"/>
      <c r="U691" s="24"/>
      <c r="V691" s="24"/>
      <c r="W691" s="24"/>
      <c r="X691" s="24"/>
      <c r="Y691" s="24"/>
      <c r="Z691" s="24"/>
      <c r="AA691" s="24"/>
      <c r="AB691" s="24"/>
      <c r="AC691" s="24"/>
      <c r="AD691" s="24"/>
      <c r="AE691" s="24"/>
    </row>
    <row r="692" spans="1:31" ht="12.9">
      <c r="A692" s="24"/>
      <c r="B692" s="143"/>
      <c r="C692" s="24"/>
      <c r="D692" s="24"/>
      <c r="E692" s="24"/>
      <c r="F692" s="24"/>
      <c r="G692" s="24"/>
      <c r="H692" s="117"/>
      <c r="I692" s="117"/>
      <c r="J692" s="24"/>
      <c r="K692" s="24"/>
      <c r="L692" s="24"/>
      <c r="M692" s="24"/>
      <c r="N692" s="24"/>
      <c r="O692" s="24"/>
      <c r="P692" s="24"/>
      <c r="Q692" s="24"/>
      <c r="R692" s="24"/>
      <c r="S692" s="24"/>
      <c r="T692" s="24"/>
      <c r="U692" s="24"/>
      <c r="V692" s="24"/>
      <c r="W692" s="24"/>
      <c r="X692" s="24"/>
      <c r="Y692" s="24"/>
      <c r="Z692" s="24"/>
      <c r="AA692" s="24"/>
      <c r="AB692" s="24"/>
      <c r="AC692" s="24"/>
      <c r="AD692" s="24"/>
      <c r="AE692" s="24"/>
    </row>
    <row r="693" spans="1:31" ht="12.9">
      <c r="A693" s="24"/>
      <c r="B693" s="143"/>
      <c r="C693" s="24"/>
      <c r="D693" s="24"/>
      <c r="E693" s="24"/>
      <c r="F693" s="24"/>
      <c r="G693" s="24"/>
      <c r="H693" s="117"/>
      <c r="I693" s="117"/>
      <c r="J693" s="24"/>
      <c r="K693" s="24"/>
      <c r="L693" s="24"/>
      <c r="M693" s="24"/>
      <c r="N693" s="24"/>
      <c r="O693" s="24"/>
      <c r="P693" s="24"/>
      <c r="Q693" s="24"/>
      <c r="R693" s="24"/>
      <c r="S693" s="24"/>
      <c r="T693" s="24"/>
      <c r="U693" s="24"/>
      <c r="V693" s="24"/>
      <c r="W693" s="24"/>
      <c r="X693" s="24"/>
      <c r="Y693" s="24"/>
      <c r="Z693" s="24"/>
      <c r="AA693" s="24"/>
      <c r="AB693" s="24"/>
      <c r="AC693" s="24"/>
      <c r="AD693" s="24"/>
      <c r="AE693" s="24"/>
    </row>
    <row r="694" spans="1:31" ht="12.9">
      <c r="A694" s="24"/>
      <c r="B694" s="143"/>
      <c r="C694" s="24"/>
      <c r="D694" s="24"/>
      <c r="E694" s="24"/>
      <c r="F694" s="24"/>
      <c r="G694" s="24"/>
      <c r="H694" s="117"/>
      <c r="I694" s="117"/>
      <c r="J694" s="24"/>
      <c r="K694" s="24"/>
      <c r="L694" s="24"/>
      <c r="M694" s="24"/>
      <c r="N694" s="24"/>
      <c r="O694" s="24"/>
      <c r="P694" s="24"/>
      <c r="Q694" s="24"/>
      <c r="R694" s="24"/>
      <c r="S694" s="24"/>
      <c r="T694" s="24"/>
      <c r="U694" s="24"/>
      <c r="V694" s="24"/>
      <c r="W694" s="24"/>
      <c r="X694" s="24"/>
      <c r="Y694" s="24"/>
      <c r="Z694" s="24"/>
      <c r="AA694" s="24"/>
      <c r="AB694" s="24"/>
      <c r="AC694" s="24"/>
      <c r="AD694" s="24"/>
      <c r="AE694" s="24"/>
    </row>
    <row r="695" spans="1:31" ht="12.9">
      <c r="A695" s="24"/>
      <c r="B695" s="143"/>
      <c r="C695" s="24"/>
      <c r="D695" s="24"/>
      <c r="E695" s="24"/>
      <c r="F695" s="24"/>
      <c r="G695" s="24"/>
      <c r="H695" s="117"/>
      <c r="I695" s="117"/>
      <c r="J695" s="24"/>
      <c r="K695" s="24"/>
      <c r="L695" s="24"/>
      <c r="M695" s="24"/>
      <c r="N695" s="24"/>
      <c r="O695" s="24"/>
      <c r="P695" s="24"/>
      <c r="Q695" s="24"/>
      <c r="R695" s="24"/>
      <c r="S695" s="24"/>
      <c r="T695" s="24"/>
      <c r="U695" s="24"/>
      <c r="V695" s="24"/>
      <c r="W695" s="24"/>
      <c r="X695" s="24"/>
      <c r="Y695" s="24"/>
      <c r="Z695" s="24"/>
      <c r="AA695" s="24"/>
      <c r="AB695" s="24"/>
      <c r="AC695" s="24"/>
      <c r="AD695" s="24"/>
      <c r="AE695" s="24"/>
    </row>
    <row r="696" spans="1:31" ht="12.9">
      <c r="A696" s="24"/>
      <c r="B696" s="143"/>
      <c r="C696" s="24"/>
      <c r="D696" s="24"/>
      <c r="E696" s="24"/>
      <c r="F696" s="24"/>
      <c r="G696" s="24"/>
      <c r="H696" s="117"/>
      <c r="I696" s="117"/>
      <c r="J696" s="24"/>
      <c r="K696" s="24"/>
      <c r="L696" s="24"/>
      <c r="M696" s="24"/>
      <c r="N696" s="24"/>
      <c r="O696" s="24"/>
      <c r="P696" s="24"/>
      <c r="Q696" s="24"/>
      <c r="R696" s="24"/>
      <c r="S696" s="24"/>
      <c r="T696" s="24"/>
      <c r="U696" s="24"/>
      <c r="V696" s="24"/>
      <c r="W696" s="24"/>
      <c r="X696" s="24"/>
      <c r="Y696" s="24"/>
      <c r="Z696" s="24"/>
      <c r="AA696" s="24"/>
      <c r="AB696" s="24"/>
      <c r="AC696" s="24"/>
      <c r="AD696" s="24"/>
      <c r="AE696" s="24"/>
    </row>
    <row r="697" spans="1:31" ht="12.9">
      <c r="A697" s="24"/>
      <c r="B697" s="143"/>
      <c r="C697" s="24"/>
      <c r="D697" s="24"/>
      <c r="E697" s="24"/>
      <c r="F697" s="24"/>
      <c r="G697" s="24"/>
      <c r="H697" s="117"/>
      <c r="I697" s="117"/>
      <c r="J697" s="24"/>
      <c r="K697" s="24"/>
      <c r="L697" s="24"/>
      <c r="M697" s="24"/>
      <c r="N697" s="24"/>
      <c r="O697" s="24"/>
      <c r="P697" s="24"/>
      <c r="Q697" s="24"/>
      <c r="R697" s="24"/>
      <c r="S697" s="24"/>
      <c r="T697" s="24"/>
      <c r="U697" s="24"/>
      <c r="V697" s="24"/>
      <c r="W697" s="24"/>
      <c r="X697" s="24"/>
      <c r="Y697" s="24"/>
      <c r="Z697" s="24"/>
      <c r="AA697" s="24"/>
      <c r="AB697" s="24"/>
      <c r="AC697" s="24"/>
      <c r="AD697" s="24"/>
      <c r="AE697" s="24"/>
    </row>
    <row r="698" spans="1:31" ht="12.9">
      <c r="A698" s="24"/>
      <c r="B698" s="143"/>
      <c r="C698" s="24"/>
      <c r="D698" s="24"/>
      <c r="E698" s="24"/>
      <c r="F698" s="24"/>
      <c r="G698" s="24"/>
      <c r="H698" s="117"/>
      <c r="I698" s="117"/>
      <c r="J698" s="24"/>
      <c r="K698" s="24"/>
      <c r="L698" s="24"/>
      <c r="M698" s="24"/>
      <c r="N698" s="24"/>
      <c r="O698" s="24"/>
      <c r="P698" s="24"/>
      <c r="Q698" s="24"/>
      <c r="R698" s="24"/>
      <c r="S698" s="24"/>
      <c r="T698" s="24"/>
      <c r="U698" s="24"/>
      <c r="V698" s="24"/>
      <c r="W698" s="24"/>
      <c r="X698" s="24"/>
      <c r="Y698" s="24"/>
      <c r="Z698" s="24"/>
      <c r="AA698" s="24"/>
      <c r="AB698" s="24"/>
      <c r="AC698" s="24"/>
      <c r="AD698" s="24"/>
      <c r="AE698" s="24"/>
    </row>
    <row r="699" spans="1:31" ht="12.9">
      <c r="A699" s="24"/>
      <c r="B699" s="143"/>
      <c r="C699" s="24"/>
      <c r="D699" s="24"/>
      <c r="E699" s="24"/>
      <c r="F699" s="24"/>
      <c r="G699" s="24"/>
      <c r="H699" s="117"/>
      <c r="I699" s="117"/>
      <c r="J699" s="24"/>
      <c r="K699" s="24"/>
      <c r="L699" s="24"/>
      <c r="M699" s="24"/>
      <c r="N699" s="24"/>
      <c r="O699" s="24"/>
      <c r="P699" s="24"/>
      <c r="Q699" s="24"/>
      <c r="R699" s="24"/>
      <c r="S699" s="24"/>
      <c r="T699" s="24"/>
      <c r="U699" s="24"/>
      <c r="V699" s="24"/>
      <c r="W699" s="24"/>
      <c r="X699" s="24"/>
      <c r="Y699" s="24"/>
      <c r="Z699" s="24"/>
      <c r="AA699" s="24"/>
      <c r="AB699" s="24"/>
      <c r="AC699" s="24"/>
      <c r="AD699" s="24"/>
      <c r="AE699" s="24"/>
    </row>
    <row r="700" spans="1:31" ht="12.9">
      <c r="A700" s="24"/>
      <c r="B700" s="143"/>
      <c r="C700" s="24"/>
      <c r="D700" s="24"/>
      <c r="E700" s="24"/>
      <c r="F700" s="24"/>
      <c r="G700" s="24"/>
      <c r="H700" s="117"/>
      <c r="I700" s="117"/>
      <c r="J700" s="24"/>
      <c r="K700" s="24"/>
      <c r="L700" s="24"/>
      <c r="M700" s="24"/>
      <c r="N700" s="24"/>
      <c r="O700" s="24"/>
      <c r="P700" s="24"/>
      <c r="Q700" s="24"/>
      <c r="R700" s="24"/>
      <c r="S700" s="24"/>
      <c r="T700" s="24"/>
      <c r="U700" s="24"/>
      <c r="V700" s="24"/>
      <c r="W700" s="24"/>
      <c r="X700" s="24"/>
      <c r="Y700" s="24"/>
      <c r="Z700" s="24"/>
      <c r="AA700" s="24"/>
      <c r="AB700" s="24"/>
      <c r="AC700" s="24"/>
      <c r="AD700" s="24"/>
      <c r="AE700" s="24"/>
    </row>
    <row r="701" spans="1:31" ht="12.9">
      <c r="A701" s="24"/>
      <c r="B701" s="143"/>
      <c r="C701" s="24"/>
      <c r="D701" s="24"/>
      <c r="E701" s="24"/>
      <c r="F701" s="24"/>
      <c r="G701" s="24"/>
      <c r="H701" s="117"/>
      <c r="I701" s="117"/>
      <c r="J701" s="24"/>
      <c r="K701" s="24"/>
      <c r="L701" s="24"/>
      <c r="M701" s="24"/>
      <c r="N701" s="24"/>
      <c r="O701" s="24"/>
      <c r="P701" s="24"/>
      <c r="Q701" s="24"/>
      <c r="R701" s="24"/>
      <c r="S701" s="24"/>
      <c r="T701" s="24"/>
      <c r="U701" s="24"/>
      <c r="V701" s="24"/>
      <c r="W701" s="24"/>
      <c r="X701" s="24"/>
      <c r="Y701" s="24"/>
      <c r="Z701" s="24"/>
      <c r="AA701" s="24"/>
      <c r="AB701" s="24"/>
      <c r="AC701" s="24"/>
      <c r="AD701" s="24"/>
      <c r="AE701" s="24"/>
    </row>
    <row r="702" spans="1:31" ht="12.9">
      <c r="A702" s="24"/>
      <c r="B702" s="143"/>
      <c r="C702" s="24"/>
      <c r="D702" s="24"/>
      <c r="E702" s="24"/>
      <c r="F702" s="24"/>
      <c r="G702" s="24"/>
      <c r="H702" s="117"/>
      <c r="I702" s="117"/>
      <c r="J702" s="24"/>
      <c r="K702" s="24"/>
      <c r="L702" s="24"/>
      <c r="M702" s="24"/>
      <c r="N702" s="24"/>
      <c r="O702" s="24"/>
      <c r="P702" s="24"/>
      <c r="Q702" s="24"/>
      <c r="R702" s="24"/>
      <c r="S702" s="24"/>
      <c r="T702" s="24"/>
      <c r="U702" s="24"/>
      <c r="V702" s="24"/>
      <c r="W702" s="24"/>
      <c r="X702" s="24"/>
      <c r="Y702" s="24"/>
      <c r="Z702" s="24"/>
      <c r="AA702" s="24"/>
      <c r="AB702" s="24"/>
      <c r="AC702" s="24"/>
      <c r="AD702" s="24"/>
      <c r="AE702" s="24"/>
    </row>
    <row r="703" spans="1:31" ht="12.9">
      <c r="A703" s="24"/>
      <c r="B703" s="143"/>
      <c r="C703" s="24"/>
      <c r="D703" s="24"/>
      <c r="E703" s="24"/>
      <c r="F703" s="24"/>
      <c r="G703" s="24"/>
      <c r="H703" s="117"/>
      <c r="I703" s="117"/>
      <c r="J703" s="24"/>
      <c r="K703" s="24"/>
      <c r="L703" s="24"/>
      <c r="M703" s="24"/>
      <c r="N703" s="24"/>
      <c r="O703" s="24"/>
      <c r="P703" s="24"/>
      <c r="Q703" s="24"/>
      <c r="R703" s="24"/>
      <c r="S703" s="24"/>
      <c r="T703" s="24"/>
      <c r="U703" s="24"/>
      <c r="V703" s="24"/>
      <c r="W703" s="24"/>
      <c r="X703" s="24"/>
      <c r="Y703" s="24"/>
      <c r="Z703" s="24"/>
      <c r="AA703" s="24"/>
      <c r="AB703" s="24"/>
      <c r="AC703" s="24"/>
      <c r="AD703" s="24"/>
      <c r="AE703" s="24"/>
    </row>
    <row r="704" spans="1:31" ht="12.9">
      <c r="A704" s="24"/>
      <c r="B704" s="143"/>
      <c r="C704" s="24"/>
      <c r="D704" s="24"/>
      <c r="E704" s="24"/>
      <c r="F704" s="24"/>
      <c r="G704" s="24"/>
      <c r="H704" s="117"/>
      <c r="I704" s="117"/>
      <c r="J704" s="24"/>
      <c r="K704" s="24"/>
      <c r="L704" s="24"/>
      <c r="M704" s="24"/>
      <c r="N704" s="24"/>
      <c r="O704" s="24"/>
      <c r="P704" s="24"/>
      <c r="Q704" s="24"/>
      <c r="R704" s="24"/>
      <c r="S704" s="24"/>
      <c r="T704" s="24"/>
      <c r="U704" s="24"/>
      <c r="V704" s="24"/>
      <c r="W704" s="24"/>
      <c r="X704" s="24"/>
      <c r="Y704" s="24"/>
      <c r="Z704" s="24"/>
      <c r="AA704" s="24"/>
      <c r="AB704" s="24"/>
      <c r="AC704" s="24"/>
      <c r="AD704" s="24"/>
      <c r="AE704" s="24"/>
    </row>
    <row r="705" spans="1:31" ht="12.9">
      <c r="A705" s="24"/>
      <c r="B705" s="143"/>
      <c r="C705" s="24"/>
      <c r="D705" s="24"/>
      <c r="E705" s="24"/>
      <c r="F705" s="24"/>
      <c r="G705" s="24"/>
      <c r="H705" s="117"/>
      <c r="I705" s="117"/>
      <c r="J705" s="24"/>
      <c r="K705" s="24"/>
      <c r="L705" s="24"/>
      <c r="M705" s="24"/>
      <c r="N705" s="24"/>
      <c r="O705" s="24"/>
      <c r="P705" s="24"/>
      <c r="Q705" s="24"/>
      <c r="R705" s="24"/>
      <c r="S705" s="24"/>
      <c r="T705" s="24"/>
      <c r="U705" s="24"/>
      <c r="V705" s="24"/>
      <c r="W705" s="24"/>
      <c r="X705" s="24"/>
      <c r="Y705" s="24"/>
      <c r="Z705" s="24"/>
      <c r="AA705" s="24"/>
      <c r="AB705" s="24"/>
      <c r="AC705" s="24"/>
      <c r="AD705" s="24"/>
      <c r="AE705" s="24"/>
    </row>
    <row r="706" spans="1:31" ht="12.9">
      <c r="A706" s="24"/>
      <c r="B706" s="143"/>
      <c r="C706" s="24"/>
      <c r="D706" s="24"/>
      <c r="E706" s="24"/>
      <c r="F706" s="24"/>
      <c r="G706" s="24"/>
      <c r="H706" s="117"/>
      <c r="I706" s="117"/>
      <c r="J706" s="24"/>
      <c r="K706" s="24"/>
      <c r="L706" s="24"/>
      <c r="M706" s="24"/>
      <c r="N706" s="24"/>
      <c r="O706" s="24"/>
      <c r="P706" s="24"/>
      <c r="Q706" s="24"/>
      <c r="R706" s="24"/>
      <c r="S706" s="24"/>
      <c r="T706" s="24"/>
      <c r="U706" s="24"/>
      <c r="V706" s="24"/>
      <c r="W706" s="24"/>
      <c r="X706" s="24"/>
      <c r="Y706" s="24"/>
      <c r="Z706" s="24"/>
      <c r="AA706" s="24"/>
      <c r="AB706" s="24"/>
      <c r="AC706" s="24"/>
      <c r="AD706" s="24"/>
      <c r="AE706" s="24"/>
    </row>
    <row r="707" spans="1:31" ht="12.9">
      <c r="A707" s="24"/>
      <c r="B707" s="143"/>
      <c r="C707" s="24"/>
      <c r="D707" s="24"/>
      <c r="E707" s="24"/>
      <c r="F707" s="24"/>
      <c r="G707" s="24"/>
      <c r="H707" s="117"/>
      <c r="I707" s="117"/>
      <c r="J707" s="24"/>
      <c r="K707" s="24"/>
      <c r="L707" s="24"/>
      <c r="M707" s="24"/>
      <c r="N707" s="24"/>
      <c r="O707" s="24"/>
      <c r="P707" s="24"/>
      <c r="Q707" s="24"/>
      <c r="R707" s="24"/>
      <c r="S707" s="24"/>
      <c r="T707" s="24"/>
      <c r="U707" s="24"/>
      <c r="V707" s="24"/>
      <c r="W707" s="24"/>
      <c r="X707" s="24"/>
      <c r="Y707" s="24"/>
      <c r="Z707" s="24"/>
      <c r="AA707" s="24"/>
      <c r="AB707" s="24"/>
      <c r="AC707" s="24"/>
      <c r="AD707" s="24"/>
      <c r="AE707" s="24"/>
    </row>
    <row r="708" spans="1:31" ht="12.9">
      <c r="A708" s="24"/>
      <c r="B708" s="143"/>
      <c r="C708" s="24"/>
      <c r="D708" s="24"/>
      <c r="E708" s="24"/>
      <c r="F708" s="24"/>
      <c r="G708" s="24"/>
      <c r="H708" s="117"/>
      <c r="I708" s="117"/>
      <c r="J708" s="24"/>
      <c r="K708" s="24"/>
      <c r="L708" s="24"/>
      <c r="M708" s="24"/>
      <c r="N708" s="24"/>
      <c r="O708" s="24"/>
      <c r="P708" s="24"/>
      <c r="Q708" s="24"/>
      <c r="R708" s="24"/>
      <c r="S708" s="24"/>
      <c r="T708" s="24"/>
      <c r="U708" s="24"/>
      <c r="V708" s="24"/>
      <c r="W708" s="24"/>
      <c r="X708" s="24"/>
      <c r="Y708" s="24"/>
      <c r="Z708" s="24"/>
      <c r="AA708" s="24"/>
      <c r="AB708" s="24"/>
      <c r="AC708" s="24"/>
      <c r="AD708" s="24"/>
      <c r="AE708" s="24"/>
    </row>
    <row r="709" spans="1:31" ht="12.9">
      <c r="A709" s="24"/>
      <c r="B709" s="143"/>
      <c r="C709" s="24"/>
      <c r="D709" s="24"/>
      <c r="E709" s="24"/>
      <c r="F709" s="24"/>
      <c r="G709" s="24"/>
      <c r="H709" s="117"/>
      <c r="I709" s="117"/>
      <c r="J709" s="24"/>
      <c r="K709" s="24"/>
      <c r="L709" s="24"/>
      <c r="M709" s="24"/>
      <c r="N709" s="24"/>
      <c r="O709" s="24"/>
      <c r="P709" s="24"/>
      <c r="Q709" s="24"/>
      <c r="R709" s="24"/>
      <c r="S709" s="24"/>
      <c r="T709" s="24"/>
      <c r="U709" s="24"/>
      <c r="V709" s="24"/>
      <c r="W709" s="24"/>
      <c r="X709" s="24"/>
      <c r="Y709" s="24"/>
      <c r="Z709" s="24"/>
      <c r="AA709" s="24"/>
      <c r="AB709" s="24"/>
      <c r="AC709" s="24"/>
      <c r="AD709" s="24"/>
      <c r="AE709" s="24"/>
    </row>
    <row r="710" spans="1:31" ht="12.9">
      <c r="A710" s="24"/>
      <c r="B710" s="143"/>
      <c r="C710" s="24"/>
      <c r="D710" s="24"/>
      <c r="E710" s="24"/>
      <c r="F710" s="24"/>
      <c r="G710" s="24"/>
      <c r="H710" s="117"/>
      <c r="I710" s="117"/>
      <c r="J710" s="24"/>
      <c r="K710" s="24"/>
      <c r="L710" s="24"/>
      <c r="M710" s="24"/>
      <c r="N710" s="24"/>
      <c r="O710" s="24"/>
      <c r="P710" s="24"/>
      <c r="Q710" s="24"/>
      <c r="R710" s="24"/>
      <c r="S710" s="24"/>
      <c r="T710" s="24"/>
      <c r="U710" s="24"/>
      <c r="V710" s="24"/>
      <c r="W710" s="24"/>
      <c r="X710" s="24"/>
      <c r="Y710" s="24"/>
      <c r="Z710" s="24"/>
      <c r="AA710" s="24"/>
      <c r="AB710" s="24"/>
      <c r="AC710" s="24"/>
      <c r="AD710" s="24"/>
      <c r="AE710" s="24"/>
    </row>
    <row r="711" spans="1:31" ht="12.9">
      <c r="A711" s="24"/>
      <c r="B711" s="143"/>
      <c r="C711" s="24"/>
      <c r="D711" s="24"/>
      <c r="E711" s="24"/>
      <c r="F711" s="24"/>
      <c r="G711" s="24"/>
      <c r="H711" s="117"/>
      <c r="I711" s="117"/>
      <c r="J711" s="24"/>
      <c r="K711" s="24"/>
      <c r="L711" s="24"/>
      <c r="M711" s="24"/>
      <c r="N711" s="24"/>
      <c r="O711" s="24"/>
      <c r="P711" s="24"/>
      <c r="Q711" s="24"/>
      <c r="R711" s="24"/>
      <c r="S711" s="24"/>
      <c r="T711" s="24"/>
      <c r="U711" s="24"/>
      <c r="V711" s="24"/>
      <c r="W711" s="24"/>
      <c r="X711" s="24"/>
      <c r="Y711" s="24"/>
      <c r="Z711" s="24"/>
      <c r="AA711" s="24"/>
      <c r="AB711" s="24"/>
      <c r="AC711" s="24"/>
      <c r="AD711" s="24"/>
      <c r="AE711" s="24"/>
    </row>
    <row r="712" spans="1:31" ht="12.9">
      <c r="A712" s="24"/>
      <c r="B712" s="143"/>
      <c r="C712" s="24"/>
      <c r="D712" s="24"/>
      <c r="E712" s="24"/>
      <c r="F712" s="24"/>
      <c r="G712" s="24"/>
      <c r="H712" s="117"/>
      <c r="I712" s="117"/>
      <c r="J712" s="24"/>
      <c r="K712" s="24"/>
      <c r="L712" s="24"/>
      <c r="M712" s="24"/>
      <c r="N712" s="24"/>
      <c r="O712" s="24"/>
      <c r="P712" s="24"/>
      <c r="Q712" s="24"/>
      <c r="R712" s="24"/>
      <c r="S712" s="24"/>
      <c r="T712" s="24"/>
      <c r="U712" s="24"/>
      <c r="V712" s="24"/>
      <c r="W712" s="24"/>
      <c r="X712" s="24"/>
      <c r="Y712" s="24"/>
      <c r="Z712" s="24"/>
      <c r="AA712" s="24"/>
      <c r="AB712" s="24"/>
      <c r="AC712" s="24"/>
      <c r="AD712" s="24"/>
      <c r="AE712" s="24"/>
    </row>
    <row r="713" spans="1:31" ht="12.9">
      <c r="A713" s="24"/>
      <c r="B713" s="143"/>
      <c r="C713" s="24"/>
      <c r="D713" s="24"/>
      <c r="E713" s="24"/>
      <c r="F713" s="24"/>
      <c r="G713" s="24"/>
      <c r="H713" s="117"/>
      <c r="I713" s="117"/>
      <c r="J713" s="24"/>
      <c r="K713" s="24"/>
      <c r="L713" s="24"/>
      <c r="M713" s="24"/>
      <c r="N713" s="24"/>
      <c r="O713" s="24"/>
      <c r="P713" s="24"/>
      <c r="Q713" s="24"/>
      <c r="R713" s="24"/>
      <c r="S713" s="24"/>
      <c r="T713" s="24"/>
      <c r="U713" s="24"/>
      <c r="V713" s="24"/>
      <c r="W713" s="24"/>
      <c r="X713" s="24"/>
      <c r="Y713" s="24"/>
      <c r="Z713" s="24"/>
      <c r="AA713" s="24"/>
      <c r="AB713" s="24"/>
      <c r="AC713" s="24"/>
      <c r="AD713" s="24"/>
      <c r="AE713" s="24"/>
    </row>
    <row r="714" spans="1:31" ht="12.9">
      <c r="A714" s="24"/>
      <c r="B714" s="143"/>
      <c r="C714" s="24"/>
      <c r="D714" s="24"/>
      <c r="E714" s="24"/>
      <c r="F714" s="24"/>
      <c r="G714" s="24"/>
      <c r="H714" s="117"/>
      <c r="I714" s="117"/>
      <c r="J714" s="24"/>
      <c r="K714" s="24"/>
      <c r="L714" s="24"/>
      <c r="M714" s="24"/>
      <c r="N714" s="24"/>
      <c r="O714" s="24"/>
      <c r="P714" s="24"/>
      <c r="Q714" s="24"/>
      <c r="R714" s="24"/>
      <c r="S714" s="24"/>
      <c r="T714" s="24"/>
      <c r="U714" s="24"/>
      <c r="V714" s="24"/>
      <c r="W714" s="24"/>
      <c r="X714" s="24"/>
      <c r="Y714" s="24"/>
      <c r="Z714" s="24"/>
      <c r="AA714" s="24"/>
      <c r="AB714" s="24"/>
      <c r="AC714" s="24"/>
      <c r="AD714" s="24"/>
      <c r="AE714" s="24"/>
    </row>
    <row r="715" spans="1:31" ht="12.9">
      <c r="A715" s="24"/>
      <c r="B715" s="143"/>
      <c r="C715" s="24"/>
      <c r="D715" s="24"/>
      <c r="E715" s="24"/>
      <c r="F715" s="24"/>
      <c r="G715" s="24"/>
      <c r="H715" s="117"/>
      <c r="I715" s="117"/>
      <c r="J715" s="24"/>
      <c r="K715" s="24"/>
      <c r="L715" s="24"/>
      <c r="M715" s="24"/>
      <c r="N715" s="24"/>
      <c r="O715" s="24"/>
      <c r="P715" s="24"/>
      <c r="Q715" s="24"/>
      <c r="R715" s="24"/>
      <c r="S715" s="24"/>
      <c r="T715" s="24"/>
      <c r="U715" s="24"/>
      <c r="V715" s="24"/>
      <c r="W715" s="24"/>
      <c r="X715" s="24"/>
      <c r="Y715" s="24"/>
      <c r="Z715" s="24"/>
      <c r="AA715" s="24"/>
      <c r="AB715" s="24"/>
      <c r="AC715" s="24"/>
      <c r="AD715" s="24"/>
      <c r="AE715" s="24"/>
    </row>
    <row r="716" spans="1:31" ht="12.9">
      <c r="A716" s="24"/>
      <c r="B716" s="143"/>
      <c r="C716" s="24"/>
      <c r="D716" s="24"/>
      <c r="E716" s="24"/>
      <c r="F716" s="24"/>
      <c r="G716" s="24"/>
      <c r="H716" s="117"/>
      <c r="I716" s="117"/>
      <c r="J716" s="24"/>
      <c r="K716" s="24"/>
      <c r="L716" s="24"/>
      <c r="M716" s="24"/>
      <c r="N716" s="24"/>
      <c r="O716" s="24"/>
      <c r="P716" s="24"/>
      <c r="Q716" s="24"/>
      <c r="R716" s="24"/>
      <c r="S716" s="24"/>
      <c r="T716" s="24"/>
      <c r="U716" s="24"/>
      <c r="V716" s="24"/>
      <c r="W716" s="24"/>
      <c r="X716" s="24"/>
      <c r="Y716" s="24"/>
      <c r="Z716" s="24"/>
      <c r="AA716" s="24"/>
      <c r="AB716" s="24"/>
      <c r="AC716" s="24"/>
      <c r="AD716" s="24"/>
      <c r="AE716" s="24"/>
    </row>
    <row r="717" spans="1:31" ht="12.9">
      <c r="A717" s="24"/>
      <c r="B717" s="143"/>
      <c r="C717" s="24"/>
      <c r="D717" s="24"/>
      <c r="E717" s="24"/>
      <c r="F717" s="24"/>
      <c r="G717" s="24"/>
      <c r="H717" s="117"/>
      <c r="I717" s="117"/>
      <c r="J717" s="24"/>
      <c r="K717" s="24"/>
      <c r="L717" s="24"/>
      <c r="M717" s="24"/>
      <c r="N717" s="24"/>
      <c r="O717" s="24"/>
      <c r="P717" s="24"/>
      <c r="Q717" s="24"/>
      <c r="R717" s="24"/>
      <c r="S717" s="24"/>
      <c r="T717" s="24"/>
      <c r="U717" s="24"/>
      <c r="V717" s="24"/>
      <c r="W717" s="24"/>
      <c r="X717" s="24"/>
      <c r="Y717" s="24"/>
      <c r="Z717" s="24"/>
      <c r="AA717" s="24"/>
      <c r="AB717" s="24"/>
      <c r="AC717" s="24"/>
      <c r="AD717" s="24"/>
      <c r="AE717" s="24"/>
    </row>
    <row r="718" spans="1:31" ht="12.9">
      <c r="A718" s="24"/>
      <c r="B718" s="143"/>
      <c r="C718" s="24"/>
      <c r="D718" s="24"/>
      <c r="E718" s="24"/>
      <c r="F718" s="24"/>
      <c r="G718" s="24"/>
      <c r="H718" s="117"/>
      <c r="I718" s="117"/>
      <c r="J718" s="24"/>
      <c r="K718" s="24"/>
      <c r="L718" s="24"/>
      <c r="M718" s="24"/>
      <c r="N718" s="24"/>
      <c r="O718" s="24"/>
      <c r="P718" s="24"/>
      <c r="Q718" s="24"/>
      <c r="R718" s="24"/>
      <c r="S718" s="24"/>
      <c r="T718" s="24"/>
      <c r="U718" s="24"/>
      <c r="V718" s="24"/>
      <c r="W718" s="24"/>
      <c r="X718" s="24"/>
      <c r="Y718" s="24"/>
      <c r="Z718" s="24"/>
      <c r="AA718" s="24"/>
      <c r="AB718" s="24"/>
      <c r="AC718" s="24"/>
      <c r="AD718" s="24"/>
      <c r="AE718" s="24"/>
    </row>
    <row r="719" spans="1:31" ht="12.9">
      <c r="A719" s="24"/>
      <c r="B719" s="143"/>
      <c r="C719" s="24"/>
      <c r="D719" s="24"/>
      <c r="E719" s="24"/>
      <c r="F719" s="24"/>
      <c r="G719" s="24"/>
      <c r="H719" s="117"/>
      <c r="I719" s="117"/>
      <c r="J719" s="24"/>
      <c r="K719" s="24"/>
      <c r="L719" s="24"/>
      <c r="M719" s="24"/>
      <c r="N719" s="24"/>
      <c r="O719" s="24"/>
      <c r="P719" s="24"/>
      <c r="Q719" s="24"/>
      <c r="R719" s="24"/>
      <c r="S719" s="24"/>
      <c r="T719" s="24"/>
      <c r="U719" s="24"/>
      <c r="V719" s="24"/>
      <c r="W719" s="24"/>
      <c r="X719" s="24"/>
      <c r="Y719" s="24"/>
      <c r="Z719" s="24"/>
      <c r="AA719" s="24"/>
      <c r="AB719" s="24"/>
      <c r="AC719" s="24"/>
      <c r="AD719" s="24"/>
      <c r="AE719" s="24"/>
    </row>
    <row r="720" spans="1:31" ht="12.9">
      <c r="A720" s="24"/>
      <c r="B720" s="143"/>
      <c r="C720" s="24"/>
      <c r="D720" s="24"/>
      <c r="E720" s="24"/>
      <c r="F720" s="24"/>
      <c r="G720" s="24"/>
      <c r="H720" s="117"/>
      <c r="I720" s="117"/>
      <c r="J720" s="24"/>
      <c r="K720" s="24"/>
      <c r="L720" s="24"/>
      <c r="M720" s="24"/>
      <c r="N720" s="24"/>
      <c r="O720" s="24"/>
      <c r="P720" s="24"/>
      <c r="Q720" s="24"/>
      <c r="R720" s="24"/>
      <c r="S720" s="24"/>
      <c r="T720" s="24"/>
      <c r="U720" s="24"/>
      <c r="V720" s="24"/>
      <c r="W720" s="24"/>
      <c r="X720" s="24"/>
      <c r="Y720" s="24"/>
      <c r="Z720" s="24"/>
      <c r="AA720" s="24"/>
      <c r="AB720" s="24"/>
      <c r="AC720" s="24"/>
      <c r="AD720" s="24"/>
      <c r="AE720" s="24"/>
    </row>
    <row r="721" spans="1:31" ht="12.9">
      <c r="A721" s="24"/>
      <c r="B721" s="143"/>
      <c r="C721" s="24"/>
      <c r="D721" s="24"/>
      <c r="E721" s="24"/>
      <c r="F721" s="24"/>
      <c r="G721" s="24"/>
      <c r="H721" s="117"/>
      <c r="I721" s="117"/>
      <c r="J721" s="24"/>
      <c r="K721" s="24"/>
      <c r="L721" s="24"/>
      <c r="M721" s="24"/>
      <c r="N721" s="24"/>
      <c r="O721" s="24"/>
      <c r="P721" s="24"/>
      <c r="Q721" s="24"/>
      <c r="R721" s="24"/>
      <c r="S721" s="24"/>
      <c r="T721" s="24"/>
      <c r="U721" s="24"/>
      <c r="V721" s="24"/>
      <c r="W721" s="24"/>
      <c r="X721" s="24"/>
      <c r="Y721" s="24"/>
      <c r="Z721" s="24"/>
      <c r="AA721" s="24"/>
      <c r="AB721" s="24"/>
      <c r="AC721" s="24"/>
      <c r="AD721" s="24"/>
      <c r="AE721" s="24"/>
    </row>
    <row r="722" spans="1:31" ht="12.9">
      <c r="A722" s="24"/>
      <c r="B722" s="143"/>
      <c r="C722" s="24"/>
      <c r="D722" s="24"/>
      <c r="E722" s="24"/>
      <c r="F722" s="24"/>
      <c r="G722" s="24"/>
      <c r="H722" s="117"/>
      <c r="I722" s="117"/>
      <c r="J722" s="24"/>
      <c r="K722" s="24"/>
      <c r="L722" s="24"/>
      <c r="M722" s="24"/>
      <c r="N722" s="24"/>
      <c r="O722" s="24"/>
      <c r="P722" s="24"/>
      <c r="Q722" s="24"/>
      <c r="R722" s="24"/>
      <c r="S722" s="24"/>
      <c r="T722" s="24"/>
      <c r="U722" s="24"/>
      <c r="V722" s="24"/>
      <c r="W722" s="24"/>
      <c r="X722" s="24"/>
      <c r="Y722" s="24"/>
      <c r="Z722" s="24"/>
      <c r="AA722" s="24"/>
      <c r="AB722" s="24"/>
      <c r="AC722" s="24"/>
      <c r="AD722" s="24"/>
      <c r="AE722" s="24"/>
    </row>
    <row r="723" spans="1:31" ht="12.9">
      <c r="A723" s="24"/>
      <c r="B723" s="143"/>
      <c r="C723" s="24"/>
      <c r="D723" s="24"/>
      <c r="E723" s="24"/>
      <c r="F723" s="24"/>
      <c r="G723" s="24"/>
      <c r="H723" s="117"/>
      <c r="I723" s="117"/>
      <c r="J723" s="24"/>
      <c r="K723" s="24"/>
      <c r="L723" s="24"/>
      <c r="M723" s="24"/>
      <c r="N723" s="24"/>
      <c r="O723" s="24"/>
      <c r="P723" s="24"/>
      <c r="Q723" s="24"/>
      <c r="R723" s="24"/>
      <c r="S723" s="24"/>
      <c r="T723" s="24"/>
      <c r="U723" s="24"/>
      <c r="V723" s="24"/>
      <c r="W723" s="24"/>
      <c r="X723" s="24"/>
      <c r="Y723" s="24"/>
      <c r="Z723" s="24"/>
      <c r="AA723" s="24"/>
      <c r="AB723" s="24"/>
      <c r="AC723" s="24"/>
      <c r="AD723" s="24"/>
      <c r="AE723" s="24"/>
    </row>
    <row r="724" spans="1:31" ht="12.9">
      <c r="A724" s="24"/>
      <c r="B724" s="143"/>
      <c r="C724" s="24"/>
      <c r="D724" s="24"/>
      <c r="E724" s="24"/>
      <c r="F724" s="24"/>
      <c r="G724" s="24"/>
      <c r="H724" s="117"/>
      <c r="I724" s="117"/>
      <c r="J724" s="24"/>
      <c r="K724" s="24"/>
      <c r="L724" s="24"/>
      <c r="M724" s="24"/>
      <c r="N724" s="24"/>
      <c r="O724" s="24"/>
      <c r="P724" s="24"/>
      <c r="Q724" s="24"/>
      <c r="R724" s="24"/>
      <c r="S724" s="24"/>
      <c r="T724" s="24"/>
      <c r="U724" s="24"/>
      <c r="V724" s="24"/>
      <c r="W724" s="24"/>
      <c r="X724" s="24"/>
      <c r="Y724" s="24"/>
      <c r="Z724" s="24"/>
      <c r="AA724" s="24"/>
      <c r="AB724" s="24"/>
      <c r="AC724" s="24"/>
      <c r="AD724" s="24"/>
      <c r="AE724" s="24"/>
    </row>
    <row r="725" spans="1:31" ht="12.9">
      <c r="A725" s="24"/>
      <c r="B725" s="143"/>
      <c r="C725" s="24"/>
      <c r="D725" s="24"/>
      <c r="E725" s="24"/>
      <c r="F725" s="24"/>
      <c r="G725" s="24"/>
      <c r="H725" s="117"/>
      <c r="I725" s="117"/>
      <c r="J725" s="24"/>
      <c r="K725" s="24"/>
      <c r="L725" s="24"/>
      <c r="M725" s="24"/>
      <c r="N725" s="24"/>
      <c r="O725" s="24"/>
      <c r="P725" s="24"/>
      <c r="Q725" s="24"/>
      <c r="R725" s="24"/>
      <c r="S725" s="24"/>
      <c r="T725" s="24"/>
      <c r="U725" s="24"/>
      <c r="V725" s="24"/>
      <c r="W725" s="24"/>
      <c r="X725" s="24"/>
      <c r="Y725" s="24"/>
      <c r="Z725" s="24"/>
      <c r="AA725" s="24"/>
      <c r="AB725" s="24"/>
      <c r="AC725" s="24"/>
      <c r="AD725" s="24"/>
      <c r="AE725" s="24"/>
    </row>
    <row r="726" spans="1:31" ht="12.9">
      <c r="A726" s="24"/>
      <c r="B726" s="143"/>
      <c r="C726" s="24"/>
      <c r="D726" s="24"/>
      <c r="E726" s="24"/>
      <c r="F726" s="24"/>
      <c r="G726" s="24"/>
      <c r="H726" s="117"/>
      <c r="I726" s="117"/>
      <c r="J726" s="24"/>
      <c r="K726" s="24"/>
      <c r="L726" s="24"/>
      <c r="M726" s="24"/>
      <c r="N726" s="24"/>
      <c r="O726" s="24"/>
      <c r="P726" s="24"/>
      <c r="Q726" s="24"/>
      <c r="R726" s="24"/>
      <c r="S726" s="24"/>
      <c r="T726" s="24"/>
      <c r="U726" s="24"/>
      <c r="V726" s="24"/>
      <c r="W726" s="24"/>
      <c r="X726" s="24"/>
      <c r="Y726" s="24"/>
      <c r="Z726" s="24"/>
      <c r="AA726" s="24"/>
      <c r="AB726" s="24"/>
      <c r="AC726" s="24"/>
      <c r="AD726" s="24"/>
      <c r="AE726" s="24"/>
    </row>
    <row r="727" spans="1:31" ht="12.9">
      <c r="A727" s="24"/>
      <c r="B727" s="143"/>
      <c r="C727" s="24"/>
      <c r="D727" s="24"/>
      <c r="E727" s="24"/>
      <c r="F727" s="24"/>
      <c r="G727" s="24"/>
      <c r="H727" s="117"/>
      <c r="I727" s="117"/>
      <c r="J727" s="24"/>
      <c r="K727" s="24"/>
      <c r="L727" s="24"/>
      <c r="M727" s="24"/>
      <c r="N727" s="24"/>
      <c r="O727" s="24"/>
      <c r="P727" s="24"/>
      <c r="Q727" s="24"/>
      <c r="R727" s="24"/>
      <c r="S727" s="24"/>
      <c r="T727" s="24"/>
      <c r="U727" s="24"/>
      <c r="V727" s="24"/>
      <c r="W727" s="24"/>
      <c r="X727" s="24"/>
      <c r="Y727" s="24"/>
      <c r="Z727" s="24"/>
      <c r="AA727" s="24"/>
      <c r="AB727" s="24"/>
      <c r="AC727" s="24"/>
      <c r="AD727" s="24"/>
      <c r="AE727" s="24"/>
    </row>
    <row r="728" spans="1:31" ht="12.9">
      <c r="A728" s="24"/>
      <c r="B728" s="143"/>
      <c r="C728" s="24"/>
      <c r="D728" s="24"/>
      <c r="E728" s="24"/>
      <c r="F728" s="24"/>
      <c r="G728" s="24"/>
      <c r="H728" s="117"/>
      <c r="I728" s="117"/>
      <c r="J728" s="24"/>
      <c r="K728" s="24"/>
      <c r="L728" s="24"/>
      <c r="M728" s="24"/>
      <c r="N728" s="24"/>
      <c r="O728" s="24"/>
      <c r="P728" s="24"/>
      <c r="Q728" s="24"/>
      <c r="R728" s="24"/>
      <c r="S728" s="24"/>
      <c r="T728" s="24"/>
      <c r="U728" s="24"/>
      <c r="V728" s="24"/>
      <c r="W728" s="24"/>
      <c r="X728" s="24"/>
      <c r="Y728" s="24"/>
      <c r="Z728" s="24"/>
      <c r="AA728" s="24"/>
      <c r="AB728" s="24"/>
      <c r="AC728" s="24"/>
      <c r="AD728" s="24"/>
      <c r="AE728" s="24"/>
    </row>
    <row r="729" spans="1:31" ht="12.9">
      <c r="A729" s="24"/>
      <c r="B729" s="143"/>
      <c r="C729" s="24"/>
      <c r="D729" s="24"/>
      <c r="E729" s="24"/>
      <c r="F729" s="24"/>
      <c r="G729" s="24"/>
      <c r="H729" s="117"/>
      <c r="I729" s="117"/>
      <c r="J729" s="24"/>
      <c r="K729" s="24"/>
      <c r="L729" s="24"/>
      <c r="M729" s="24"/>
      <c r="N729" s="24"/>
      <c r="O729" s="24"/>
      <c r="P729" s="24"/>
      <c r="Q729" s="24"/>
      <c r="R729" s="24"/>
      <c r="S729" s="24"/>
      <c r="T729" s="24"/>
      <c r="U729" s="24"/>
      <c r="V729" s="24"/>
      <c r="W729" s="24"/>
      <c r="X729" s="24"/>
      <c r="Y729" s="24"/>
      <c r="Z729" s="24"/>
      <c r="AA729" s="24"/>
      <c r="AB729" s="24"/>
      <c r="AC729" s="24"/>
      <c r="AD729" s="24"/>
      <c r="AE729" s="24"/>
    </row>
    <row r="730" spans="1:31" ht="12.9">
      <c r="A730" s="24"/>
      <c r="B730" s="143"/>
      <c r="C730" s="24"/>
      <c r="D730" s="24"/>
      <c r="E730" s="24"/>
      <c r="F730" s="24"/>
      <c r="G730" s="24"/>
      <c r="H730" s="117"/>
      <c r="I730" s="117"/>
      <c r="J730" s="24"/>
      <c r="K730" s="24"/>
      <c r="L730" s="24"/>
      <c r="M730" s="24"/>
      <c r="N730" s="24"/>
      <c r="O730" s="24"/>
      <c r="P730" s="24"/>
      <c r="Q730" s="24"/>
      <c r="R730" s="24"/>
      <c r="S730" s="24"/>
      <c r="T730" s="24"/>
      <c r="U730" s="24"/>
      <c r="V730" s="24"/>
      <c r="W730" s="24"/>
      <c r="X730" s="24"/>
      <c r="Y730" s="24"/>
      <c r="Z730" s="24"/>
      <c r="AA730" s="24"/>
      <c r="AB730" s="24"/>
      <c r="AC730" s="24"/>
      <c r="AD730" s="24"/>
      <c r="AE730" s="24"/>
    </row>
    <row r="731" spans="1:31" ht="12.9">
      <c r="A731" s="24"/>
      <c r="B731" s="143"/>
      <c r="C731" s="24"/>
      <c r="D731" s="24"/>
      <c r="E731" s="24"/>
      <c r="F731" s="24"/>
      <c r="G731" s="24"/>
      <c r="H731" s="117"/>
      <c r="I731" s="117"/>
      <c r="J731" s="24"/>
      <c r="K731" s="24"/>
      <c r="L731" s="24"/>
      <c r="M731" s="24"/>
      <c r="N731" s="24"/>
      <c r="O731" s="24"/>
      <c r="P731" s="24"/>
      <c r="Q731" s="24"/>
      <c r="R731" s="24"/>
      <c r="S731" s="24"/>
      <c r="T731" s="24"/>
      <c r="U731" s="24"/>
      <c r="V731" s="24"/>
      <c r="W731" s="24"/>
      <c r="X731" s="24"/>
      <c r="Y731" s="24"/>
      <c r="Z731" s="24"/>
      <c r="AA731" s="24"/>
      <c r="AB731" s="24"/>
      <c r="AC731" s="24"/>
      <c r="AD731" s="24"/>
      <c r="AE731" s="24"/>
    </row>
    <row r="732" spans="1:31" ht="12.9">
      <c r="A732" s="24"/>
      <c r="B732" s="143"/>
      <c r="C732" s="24"/>
      <c r="D732" s="24"/>
      <c r="E732" s="24"/>
      <c r="F732" s="24"/>
      <c r="G732" s="24"/>
      <c r="H732" s="117"/>
      <c r="I732" s="117"/>
      <c r="J732" s="24"/>
      <c r="K732" s="24"/>
      <c r="L732" s="24"/>
      <c r="M732" s="24"/>
      <c r="N732" s="24"/>
      <c r="O732" s="24"/>
      <c r="P732" s="24"/>
      <c r="Q732" s="24"/>
      <c r="R732" s="24"/>
      <c r="S732" s="24"/>
      <c r="T732" s="24"/>
      <c r="U732" s="24"/>
      <c r="V732" s="24"/>
      <c r="W732" s="24"/>
      <c r="X732" s="24"/>
      <c r="Y732" s="24"/>
      <c r="Z732" s="24"/>
      <c r="AA732" s="24"/>
      <c r="AB732" s="24"/>
      <c r="AC732" s="24"/>
      <c r="AD732" s="24"/>
      <c r="AE732" s="24"/>
    </row>
    <row r="733" spans="1:31" ht="12.9">
      <c r="A733" s="24"/>
      <c r="B733" s="143"/>
      <c r="C733" s="24"/>
      <c r="D733" s="24"/>
      <c r="E733" s="24"/>
      <c r="F733" s="24"/>
      <c r="G733" s="24"/>
      <c r="H733" s="117"/>
      <c r="I733" s="117"/>
      <c r="J733" s="24"/>
      <c r="K733" s="24"/>
      <c r="L733" s="24"/>
      <c r="M733" s="24"/>
      <c r="N733" s="24"/>
      <c r="O733" s="24"/>
      <c r="P733" s="24"/>
      <c r="Q733" s="24"/>
      <c r="R733" s="24"/>
      <c r="S733" s="24"/>
      <c r="T733" s="24"/>
      <c r="U733" s="24"/>
      <c r="V733" s="24"/>
      <c r="W733" s="24"/>
      <c r="X733" s="24"/>
      <c r="Y733" s="24"/>
      <c r="Z733" s="24"/>
      <c r="AA733" s="24"/>
      <c r="AB733" s="24"/>
      <c r="AC733" s="24"/>
      <c r="AD733" s="24"/>
      <c r="AE733" s="24"/>
    </row>
    <row r="734" spans="1:31" ht="12.9">
      <c r="A734" s="24"/>
      <c r="B734" s="143"/>
      <c r="C734" s="24"/>
      <c r="D734" s="24"/>
      <c r="E734" s="24"/>
      <c r="F734" s="24"/>
      <c r="G734" s="24"/>
      <c r="H734" s="117"/>
      <c r="I734" s="117"/>
      <c r="J734" s="24"/>
      <c r="K734" s="24"/>
      <c r="L734" s="24"/>
      <c r="M734" s="24"/>
      <c r="N734" s="24"/>
      <c r="O734" s="24"/>
      <c r="P734" s="24"/>
      <c r="Q734" s="24"/>
      <c r="R734" s="24"/>
      <c r="S734" s="24"/>
      <c r="T734" s="24"/>
      <c r="U734" s="24"/>
      <c r="V734" s="24"/>
      <c r="W734" s="24"/>
      <c r="X734" s="24"/>
      <c r="Y734" s="24"/>
      <c r="Z734" s="24"/>
      <c r="AA734" s="24"/>
      <c r="AB734" s="24"/>
      <c r="AC734" s="24"/>
      <c r="AD734" s="24"/>
      <c r="AE734" s="24"/>
    </row>
    <row r="735" spans="1:31" ht="12.9">
      <c r="A735" s="24"/>
      <c r="B735" s="143"/>
      <c r="C735" s="24"/>
      <c r="D735" s="24"/>
      <c r="E735" s="24"/>
      <c r="F735" s="24"/>
      <c r="G735" s="24"/>
      <c r="H735" s="117"/>
      <c r="I735" s="117"/>
      <c r="J735" s="24"/>
      <c r="K735" s="24"/>
      <c r="L735" s="24"/>
      <c r="M735" s="24"/>
      <c r="N735" s="24"/>
      <c r="O735" s="24"/>
      <c r="P735" s="24"/>
      <c r="Q735" s="24"/>
      <c r="R735" s="24"/>
      <c r="S735" s="24"/>
      <c r="T735" s="24"/>
      <c r="U735" s="24"/>
      <c r="V735" s="24"/>
      <c r="W735" s="24"/>
      <c r="X735" s="24"/>
      <c r="Y735" s="24"/>
      <c r="Z735" s="24"/>
      <c r="AA735" s="24"/>
      <c r="AB735" s="24"/>
      <c r="AC735" s="24"/>
      <c r="AD735" s="24"/>
      <c r="AE735" s="24"/>
    </row>
    <row r="736" spans="1:31" ht="12.9">
      <c r="A736" s="24"/>
      <c r="B736" s="143"/>
      <c r="C736" s="24"/>
      <c r="D736" s="24"/>
      <c r="E736" s="24"/>
      <c r="F736" s="24"/>
      <c r="G736" s="24"/>
      <c r="H736" s="117"/>
      <c r="I736" s="117"/>
      <c r="J736" s="24"/>
      <c r="K736" s="24"/>
      <c r="L736" s="24"/>
      <c r="M736" s="24"/>
      <c r="N736" s="24"/>
      <c r="O736" s="24"/>
      <c r="P736" s="24"/>
      <c r="Q736" s="24"/>
      <c r="R736" s="24"/>
      <c r="S736" s="24"/>
      <c r="T736" s="24"/>
      <c r="U736" s="24"/>
      <c r="V736" s="24"/>
      <c r="W736" s="24"/>
      <c r="X736" s="24"/>
      <c r="Y736" s="24"/>
      <c r="Z736" s="24"/>
      <c r="AA736" s="24"/>
      <c r="AB736" s="24"/>
      <c r="AC736" s="24"/>
      <c r="AD736" s="24"/>
      <c r="AE736" s="24"/>
    </row>
    <row r="737" spans="1:31" ht="12.9">
      <c r="A737" s="24"/>
      <c r="B737" s="143"/>
      <c r="C737" s="24"/>
      <c r="D737" s="24"/>
      <c r="E737" s="24"/>
      <c r="F737" s="24"/>
      <c r="G737" s="24"/>
      <c r="H737" s="117"/>
      <c r="I737" s="117"/>
      <c r="J737" s="24"/>
      <c r="K737" s="24"/>
      <c r="L737" s="24"/>
      <c r="M737" s="24"/>
      <c r="N737" s="24"/>
      <c r="O737" s="24"/>
      <c r="P737" s="24"/>
      <c r="Q737" s="24"/>
      <c r="R737" s="24"/>
      <c r="S737" s="24"/>
      <c r="T737" s="24"/>
      <c r="U737" s="24"/>
      <c r="V737" s="24"/>
      <c r="W737" s="24"/>
      <c r="X737" s="24"/>
      <c r="Y737" s="24"/>
      <c r="Z737" s="24"/>
      <c r="AA737" s="24"/>
      <c r="AB737" s="24"/>
      <c r="AC737" s="24"/>
      <c r="AD737" s="24"/>
      <c r="AE737" s="24"/>
    </row>
    <row r="738" spans="1:31" ht="12.9">
      <c r="A738" s="24"/>
      <c r="B738" s="143"/>
      <c r="C738" s="24"/>
      <c r="D738" s="24"/>
      <c r="E738" s="24"/>
      <c r="F738" s="24"/>
      <c r="G738" s="24"/>
      <c r="H738" s="117"/>
      <c r="I738" s="117"/>
      <c r="J738" s="24"/>
      <c r="K738" s="24"/>
      <c r="L738" s="24"/>
      <c r="M738" s="24"/>
      <c r="N738" s="24"/>
      <c r="O738" s="24"/>
      <c r="P738" s="24"/>
      <c r="Q738" s="24"/>
      <c r="R738" s="24"/>
      <c r="S738" s="24"/>
      <c r="T738" s="24"/>
      <c r="U738" s="24"/>
      <c r="V738" s="24"/>
      <c r="W738" s="24"/>
      <c r="X738" s="24"/>
      <c r="Y738" s="24"/>
      <c r="Z738" s="24"/>
      <c r="AA738" s="24"/>
      <c r="AB738" s="24"/>
      <c r="AC738" s="24"/>
      <c r="AD738" s="24"/>
      <c r="AE738" s="24"/>
    </row>
    <row r="739" spans="1:31" ht="12.9">
      <c r="A739" s="24"/>
      <c r="B739" s="143"/>
      <c r="C739" s="24"/>
      <c r="D739" s="24"/>
      <c r="E739" s="24"/>
      <c r="F739" s="24"/>
      <c r="G739" s="24"/>
      <c r="H739" s="117"/>
      <c r="I739" s="117"/>
      <c r="J739" s="24"/>
      <c r="K739" s="24"/>
      <c r="L739" s="24"/>
      <c r="M739" s="24"/>
      <c r="N739" s="24"/>
      <c r="O739" s="24"/>
      <c r="P739" s="24"/>
      <c r="Q739" s="24"/>
      <c r="R739" s="24"/>
      <c r="S739" s="24"/>
      <c r="T739" s="24"/>
      <c r="U739" s="24"/>
      <c r="V739" s="24"/>
      <c r="W739" s="24"/>
      <c r="X739" s="24"/>
      <c r="Y739" s="24"/>
      <c r="Z739" s="24"/>
      <c r="AA739" s="24"/>
      <c r="AB739" s="24"/>
      <c r="AC739" s="24"/>
      <c r="AD739" s="24"/>
      <c r="AE739" s="24"/>
    </row>
    <row r="740" spans="1:31" ht="12.9">
      <c r="A740" s="24"/>
      <c r="B740" s="143"/>
      <c r="C740" s="24"/>
      <c r="D740" s="24"/>
      <c r="E740" s="24"/>
      <c r="F740" s="24"/>
      <c r="G740" s="24"/>
      <c r="H740" s="117"/>
      <c r="I740" s="117"/>
      <c r="J740" s="24"/>
      <c r="K740" s="24"/>
      <c r="L740" s="24"/>
      <c r="M740" s="24"/>
      <c r="N740" s="24"/>
      <c r="O740" s="24"/>
      <c r="P740" s="24"/>
      <c r="Q740" s="24"/>
      <c r="R740" s="24"/>
      <c r="S740" s="24"/>
      <c r="T740" s="24"/>
      <c r="U740" s="24"/>
      <c r="V740" s="24"/>
      <c r="W740" s="24"/>
      <c r="X740" s="24"/>
      <c r="Y740" s="24"/>
      <c r="Z740" s="24"/>
      <c r="AA740" s="24"/>
      <c r="AB740" s="24"/>
      <c r="AC740" s="24"/>
      <c r="AD740" s="24"/>
      <c r="AE740" s="24"/>
    </row>
    <row r="741" spans="1:31" ht="12.9">
      <c r="A741" s="24"/>
      <c r="B741" s="143"/>
      <c r="C741" s="24"/>
      <c r="D741" s="24"/>
      <c r="E741" s="24"/>
      <c r="F741" s="24"/>
      <c r="G741" s="24"/>
      <c r="H741" s="117"/>
      <c r="I741" s="117"/>
      <c r="J741" s="24"/>
      <c r="K741" s="24"/>
      <c r="L741" s="24"/>
      <c r="M741" s="24"/>
      <c r="N741" s="24"/>
      <c r="O741" s="24"/>
      <c r="P741" s="24"/>
      <c r="Q741" s="24"/>
      <c r="R741" s="24"/>
      <c r="S741" s="24"/>
      <c r="T741" s="24"/>
      <c r="U741" s="24"/>
      <c r="V741" s="24"/>
      <c r="W741" s="24"/>
      <c r="X741" s="24"/>
      <c r="Y741" s="24"/>
      <c r="Z741" s="24"/>
      <c r="AA741" s="24"/>
      <c r="AB741" s="24"/>
      <c r="AC741" s="24"/>
      <c r="AD741" s="24"/>
      <c r="AE741" s="24"/>
    </row>
    <row r="742" spans="1:31" ht="12.9">
      <c r="A742" s="24"/>
      <c r="B742" s="143"/>
      <c r="C742" s="24"/>
      <c r="D742" s="24"/>
      <c r="E742" s="24"/>
      <c r="F742" s="24"/>
      <c r="G742" s="24"/>
      <c r="H742" s="117"/>
      <c r="I742" s="117"/>
      <c r="J742" s="24"/>
      <c r="K742" s="24"/>
      <c r="L742" s="24"/>
      <c r="M742" s="24"/>
      <c r="N742" s="24"/>
      <c r="O742" s="24"/>
      <c r="P742" s="24"/>
      <c r="Q742" s="24"/>
      <c r="R742" s="24"/>
      <c r="S742" s="24"/>
      <c r="T742" s="24"/>
      <c r="U742" s="24"/>
      <c r="V742" s="24"/>
      <c r="W742" s="24"/>
      <c r="X742" s="24"/>
      <c r="Y742" s="24"/>
      <c r="Z742" s="24"/>
      <c r="AA742" s="24"/>
      <c r="AB742" s="24"/>
      <c r="AC742" s="24"/>
      <c r="AD742" s="24"/>
      <c r="AE742" s="24"/>
    </row>
    <row r="743" spans="1:31" ht="12.9">
      <c r="A743" s="24"/>
      <c r="B743" s="143"/>
      <c r="C743" s="24"/>
      <c r="D743" s="24"/>
      <c r="E743" s="24"/>
      <c r="F743" s="24"/>
      <c r="G743" s="24"/>
      <c r="H743" s="117"/>
      <c r="I743" s="117"/>
      <c r="J743" s="24"/>
      <c r="K743" s="24"/>
      <c r="L743" s="24"/>
      <c r="M743" s="24"/>
      <c r="N743" s="24"/>
      <c r="O743" s="24"/>
      <c r="P743" s="24"/>
      <c r="Q743" s="24"/>
      <c r="R743" s="24"/>
      <c r="S743" s="24"/>
      <c r="T743" s="24"/>
      <c r="U743" s="24"/>
      <c r="V743" s="24"/>
      <c r="W743" s="24"/>
      <c r="X743" s="24"/>
      <c r="Y743" s="24"/>
      <c r="Z743" s="24"/>
      <c r="AA743" s="24"/>
      <c r="AB743" s="24"/>
      <c r="AC743" s="24"/>
      <c r="AD743" s="24"/>
      <c r="AE743" s="24"/>
    </row>
    <row r="744" spans="1:31" ht="12.9">
      <c r="A744" s="24"/>
      <c r="B744" s="143"/>
      <c r="C744" s="24"/>
      <c r="D744" s="24"/>
      <c r="E744" s="24"/>
      <c r="F744" s="24"/>
      <c r="G744" s="24"/>
      <c r="H744" s="117"/>
      <c r="I744" s="117"/>
      <c r="J744" s="24"/>
      <c r="K744" s="24"/>
      <c r="L744" s="24"/>
      <c r="M744" s="24"/>
      <c r="N744" s="24"/>
      <c r="O744" s="24"/>
      <c r="P744" s="24"/>
      <c r="Q744" s="24"/>
      <c r="R744" s="24"/>
      <c r="S744" s="24"/>
      <c r="T744" s="24"/>
      <c r="U744" s="24"/>
      <c r="V744" s="24"/>
      <c r="W744" s="24"/>
      <c r="X744" s="24"/>
      <c r="Y744" s="24"/>
      <c r="Z744" s="24"/>
      <c r="AA744" s="24"/>
      <c r="AB744" s="24"/>
      <c r="AC744" s="24"/>
      <c r="AD744" s="24"/>
      <c r="AE744" s="24"/>
    </row>
    <row r="745" spans="1:31" ht="12.9">
      <c r="A745" s="24"/>
      <c r="B745" s="143"/>
      <c r="C745" s="24"/>
      <c r="D745" s="24"/>
      <c r="E745" s="24"/>
      <c r="F745" s="24"/>
      <c r="G745" s="24"/>
      <c r="H745" s="117"/>
      <c r="I745" s="117"/>
      <c r="J745" s="24"/>
      <c r="K745" s="24"/>
      <c r="L745" s="24"/>
      <c r="M745" s="24"/>
      <c r="N745" s="24"/>
      <c r="O745" s="24"/>
      <c r="P745" s="24"/>
      <c r="Q745" s="24"/>
      <c r="R745" s="24"/>
      <c r="S745" s="24"/>
      <c r="T745" s="24"/>
      <c r="U745" s="24"/>
      <c r="V745" s="24"/>
      <c r="W745" s="24"/>
      <c r="X745" s="24"/>
      <c r="Y745" s="24"/>
      <c r="Z745" s="24"/>
      <c r="AA745" s="24"/>
      <c r="AB745" s="24"/>
      <c r="AC745" s="24"/>
      <c r="AD745" s="24"/>
      <c r="AE745" s="24"/>
    </row>
    <row r="746" spans="1:31" ht="12.9">
      <c r="A746" s="24"/>
      <c r="B746" s="143"/>
      <c r="C746" s="24"/>
      <c r="D746" s="24"/>
      <c r="E746" s="24"/>
      <c r="F746" s="24"/>
      <c r="G746" s="24"/>
      <c r="H746" s="117"/>
      <c r="I746" s="117"/>
      <c r="J746" s="24"/>
      <c r="K746" s="24"/>
      <c r="L746" s="24"/>
      <c r="M746" s="24"/>
      <c r="N746" s="24"/>
      <c r="O746" s="24"/>
      <c r="P746" s="24"/>
      <c r="Q746" s="24"/>
      <c r="R746" s="24"/>
      <c r="S746" s="24"/>
      <c r="T746" s="24"/>
      <c r="U746" s="24"/>
      <c r="V746" s="24"/>
      <c r="W746" s="24"/>
      <c r="X746" s="24"/>
      <c r="Y746" s="24"/>
      <c r="Z746" s="24"/>
      <c r="AA746" s="24"/>
      <c r="AB746" s="24"/>
      <c r="AC746" s="24"/>
      <c r="AD746" s="24"/>
      <c r="AE746" s="24"/>
    </row>
    <row r="747" spans="1:31" ht="12.9">
      <c r="A747" s="24"/>
      <c r="B747" s="143"/>
      <c r="C747" s="24"/>
      <c r="D747" s="24"/>
      <c r="E747" s="24"/>
      <c r="F747" s="24"/>
      <c r="G747" s="24"/>
      <c r="H747" s="117"/>
      <c r="I747" s="117"/>
      <c r="J747" s="24"/>
      <c r="K747" s="24"/>
      <c r="L747" s="24"/>
      <c r="M747" s="24"/>
      <c r="N747" s="24"/>
      <c r="O747" s="24"/>
      <c r="P747" s="24"/>
      <c r="Q747" s="24"/>
      <c r="R747" s="24"/>
      <c r="S747" s="24"/>
      <c r="T747" s="24"/>
      <c r="U747" s="24"/>
      <c r="V747" s="24"/>
      <c r="W747" s="24"/>
      <c r="X747" s="24"/>
      <c r="Y747" s="24"/>
      <c r="Z747" s="24"/>
      <c r="AA747" s="24"/>
      <c r="AB747" s="24"/>
      <c r="AC747" s="24"/>
      <c r="AD747" s="24"/>
      <c r="AE747" s="24"/>
    </row>
    <row r="748" spans="1:31" ht="12.9">
      <c r="A748" s="24"/>
      <c r="B748" s="143"/>
      <c r="C748" s="24"/>
      <c r="D748" s="24"/>
      <c r="E748" s="24"/>
      <c r="F748" s="24"/>
      <c r="G748" s="24"/>
      <c r="H748" s="117"/>
      <c r="I748" s="117"/>
      <c r="J748" s="24"/>
      <c r="K748" s="24"/>
      <c r="L748" s="24"/>
      <c r="M748" s="24"/>
      <c r="N748" s="24"/>
      <c r="O748" s="24"/>
      <c r="P748" s="24"/>
      <c r="Q748" s="24"/>
      <c r="R748" s="24"/>
      <c r="S748" s="24"/>
      <c r="T748" s="24"/>
      <c r="U748" s="24"/>
      <c r="V748" s="24"/>
      <c r="W748" s="24"/>
      <c r="X748" s="24"/>
      <c r="Y748" s="24"/>
      <c r="Z748" s="24"/>
      <c r="AA748" s="24"/>
      <c r="AB748" s="24"/>
      <c r="AC748" s="24"/>
      <c r="AD748" s="24"/>
      <c r="AE748" s="24"/>
    </row>
    <row r="749" spans="1:31" ht="12.9">
      <c r="A749" s="24"/>
      <c r="B749" s="143"/>
      <c r="C749" s="24"/>
      <c r="D749" s="24"/>
      <c r="E749" s="24"/>
      <c r="F749" s="24"/>
      <c r="G749" s="24"/>
      <c r="H749" s="117"/>
      <c r="I749" s="117"/>
      <c r="J749" s="24"/>
      <c r="K749" s="24"/>
      <c r="L749" s="24"/>
      <c r="M749" s="24"/>
      <c r="N749" s="24"/>
      <c r="O749" s="24"/>
      <c r="P749" s="24"/>
      <c r="Q749" s="24"/>
      <c r="R749" s="24"/>
      <c r="S749" s="24"/>
      <c r="T749" s="24"/>
      <c r="U749" s="24"/>
      <c r="V749" s="24"/>
      <c r="W749" s="24"/>
      <c r="X749" s="24"/>
      <c r="Y749" s="24"/>
      <c r="Z749" s="24"/>
      <c r="AA749" s="24"/>
      <c r="AB749" s="24"/>
      <c r="AC749" s="24"/>
      <c r="AD749" s="24"/>
      <c r="AE749" s="24"/>
    </row>
    <row r="750" spans="1:31" ht="12.9">
      <c r="A750" s="24"/>
      <c r="B750" s="143"/>
      <c r="C750" s="24"/>
      <c r="D750" s="24"/>
      <c r="E750" s="24"/>
      <c r="F750" s="24"/>
      <c r="G750" s="24"/>
      <c r="H750" s="117"/>
      <c r="I750" s="117"/>
      <c r="J750" s="24"/>
      <c r="K750" s="24"/>
      <c r="L750" s="24"/>
      <c r="M750" s="24"/>
      <c r="N750" s="24"/>
      <c r="O750" s="24"/>
      <c r="P750" s="24"/>
      <c r="Q750" s="24"/>
      <c r="R750" s="24"/>
      <c r="S750" s="24"/>
      <c r="T750" s="24"/>
      <c r="U750" s="24"/>
      <c r="V750" s="24"/>
      <c r="W750" s="24"/>
      <c r="X750" s="24"/>
      <c r="Y750" s="24"/>
      <c r="Z750" s="24"/>
      <c r="AA750" s="24"/>
      <c r="AB750" s="24"/>
      <c r="AC750" s="24"/>
      <c r="AD750" s="24"/>
      <c r="AE750" s="24"/>
    </row>
    <row r="751" spans="1:31" ht="12.9">
      <c r="A751" s="24"/>
      <c r="B751" s="143"/>
      <c r="C751" s="24"/>
      <c r="D751" s="24"/>
      <c r="E751" s="24"/>
      <c r="F751" s="24"/>
      <c r="G751" s="24"/>
      <c r="H751" s="117"/>
      <c r="I751" s="117"/>
      <c r="J751" s="24"/>
      <c r="K751" s="24"/>
      <c r="L751" s="24"/>
      <c r="M751" s="24"/>
      <c r="N751" s="24"/>
      <c r="O751" s="24"/>
      <c r="P751" s="24"/>
      <c r="Q751" s="24"/>
      <c r="R751" s="24"/>
      <c r="S751" s="24"/>
      <c r="T751" s="24"/>
      <c r="U751" s="24"/>
      <c r="V751" s="24"/>
      <c r="W751" s="24"/>
      <c r="X751" s="24"/>
      <c r="Y751" s="24"/>
      <c r="Z751" s="24"/>
      <c r="AA751" s="24"/>
      <c r="AB751" s="24"/>
      <c r="AC751" s="24"/>
      <c r="AD751" s="24"/>
      <c r="AE751" s="24"/>
    </row>
    <row r="752" spans="1:31" ht="12.9">
      <c r="A752" s="24"/>
      <c r="B752" s="143"/>
      <c r="C752" s="24"/>
      <c r="D752" s="24"/>
      <c r="E752" s="24"/>
      <c r="F752" s="24"/>
      <c r="G752" s="24"/>
      <c r="H752" s="117"/>
      <c r="I752" s="117"/>
      <c r="J752" s="24"/>
      <c r="K752" s="24"/>
      <c r="L752" s="24"/>
      <c r="M752" s="24"/>
      <c r="N752" s="24"/>
      <c r="O752" s="24"/>
      <c r="P752" s="24"/>
      <c r="Q752" s="24"/>
      <c r="R752" s="24"/>
      <c r="S752" s="24"/>
      <c r="T752" s="24"/>
      <c r="U752" s="24"/>
      <c r="V752" s="24"/>
      <c r="W752" s="24"/>
      <c r="X752" s="24"/>
      <c r="Y752" s="24"/>
      <c r="Z752" s="24"/>
      <c r="AA752" s="24"/>
      <c r="AB752" s="24"/>
      <c r="AC752" s="24"/>
      <c r="AD752" s="24"/>
      <c r="AE752" s="24"/>
    </row>
    <row r="753" spans="1:31" ht="12.9">
      <c r="A753" s="24"/>
      <c r="B753" s="143"/>
      <c r="C753" s="24"/>
      <c r="D753" s="24"/>
      <c r="E753" s="24"/>
      <c r="F753" s="24"/>
      <c r="G753" s="24"/>
      <c r="H753" s="117"/>
      <c r="I753" s="117"/>
      <c r="J753" s="24"/>
      <c r="K753" s="24"/>
      <c r="L753" s="24"/>
      <c r="M753" s="24"/>
      <c r="N753" s="24"/>
      <c r="O753" s="24"/>
      <c r="P753" s="24"/>
      <c r="Q753" s="24"/>
      <c r="R753" s="24"/>
      <c r="S753" s="24"/>
      <c r="T753" s="24"/>
      <c r="U753" s="24"/>
      <c r="V753" s="24"/>
      <c r="W753" s="24"/>
      <c r="X753" s="24"/>
      <c r="Y753" s="24"/>
      <c r="Z753" s="24"/>
      <c r="AA753" s="24"/>
      <c r="AB753" s="24"/>
      <c r="AC753" s="24"/>
      <c r="AD753" s="24"/>
      <c r="AE753" s="24"/>
    </row>
    <row r="754" spans="1:31" ht="12.9">
      <c r="A754" s="24"/>
      <c r="B754" s="143"/>
      <c r="C754" s="24"/>
      <c r="D754" s="24"/>
      <c r="E754" s="24"/>
      <c r="F754" s="24"/>
      <c r="G754" s="24"/>
      <c r="H754" s="117"/>
      <c r="I754" s="117"/>
      <c r="J754" s="24"/>
      <c r="K754" s="24"/>
      <c r="L754" s="24"/>
      <c r="M754" s="24"/>
      <c r="N754" s="24"/>
      <c r="O754" s="24"/>
      <c r="P754" s="24"/>
      <c r="Q754" s="24"/>
      <c r="R754" s="24"/>
      <c r="S754" s="24"/>
      <c r="T754" s="24"/>
      <c r="U754" s="24"/>
      <c r="V754" s="24"/>
      <c r="W754" s="24"/>
      <c r="X754" s="24"/>
      <c r="Y754" s="24"/>
      <c r="Z754" s="24"/>
      <c r="AA754" s="24"/>
      <c r="AB754" s="24"/>
      <c r="AC754" s="24"/>
      <c r="AD754" s="24"/>
      <c r="AE754" s="24"/>
    </row>
    <row r="755" spans="1:31" ht="12.9">
      <c r="A755" s="24"/>
      <c r="B755" s="143"/>
      <c r="C755" s="24"/>
      <c r="D755" s="24"/>
      <c r="E755" s="24"/>
      <c r="F755" s="24"/>
      <c r="G755" s="24"/>
      <c r="H755" s="117"/>
      <c r="I755" s="117"/>
      <c r="J755" s="24"/>
      <c r="K755" s="24"/>
      <c r="L755" s="24"/>
      <c r="M755" s="24"/>
      <c r="N755" s="24"/>
      <c r="O755" s="24"/>
      <c r="P755" s="24"/>
      <c r="Q755" s="24"/>
      <c r="R755" s="24"/>
      <c r="S755" s="24"/>
      <c r="T755" s="24"/>
      <c r="U755" s="24"/>
      <c r="V755" s="24"/>
      <c r="W755" s="24"/>
      <c r="X755" s="24"/>
      <c r="Y755" s="24"/>
      <c r="Z755" s="24"/>
      <c r="AA755" s="24"/>
      <c r="AB755" s="24"/>
      <c r="AC755" s="24"/>
      <c r="AD755" s="24"/>
      <c r="AE755" s="24"/>
    </row>
    <row r="756" spans="1:31" ht="12.9">
      <c r="A756" s="24"/>
      <c r="B756" s="143"/>
      <c r="C756" s="24"/>
      <c r="D756" s="24"/>
      <c r="E756" s="24"/>
      <c r="F756" s="24"/>
      <c r="G756" s="24"/>
      <c r="H756" s="117"/>
      <c r="I756" s="117"/>
      <c r="J756" s="24"/>
      <c r="K756" s="24"/>
      <c r="L756" s="24"/>
      <c r="M756" s="24"/>
      <c r="N756" s="24"/>
      <c r="O756" s="24"/>
      <c r="P756" s="24"/>
      <c r="Q756" s="24"/>
      <c r="R756" s="24"/>
      <c r="S756" s="24"/>
      <c r="T756" s="24"/>
      <c r="U756" s="24"/>
      <c r="V756" s="24"/>
      <c r="W756" s="24"/>
      <c r="X756" s="24"/>
      <c r="Y756" s="24"/>
      <c r="Z756" s="24"/>
      <c r="AA756" s="24"/>
      <c r="AB756" s="24"/>
      <c r="AC756" s="24"/>
      <c r="AD756" s="24"/>
      <c r="AE756" s="24"/>
    </row>
    <row r="757" spans="1:31" ht="12.9">
      <c r="A757" s="24"/>
      <c r="B757" s="143"/>
      <c r="C757" s="24"/>
      <c r="D757" s="24"/>
      <c r="E757" s="24"/>
      <c r="F757" s="24"/>
      <c r="G757" s="24"/>
      <c r="H757" s="117"/>
      <c r="I757" s="117"/>
      <c r="J757" s="24"/>
      <c r="K757" s="24"/>
      <c r="L757" s="24"/>
      <c r="M757" s="24"/>
      <c r="N757" s="24"/>
      <c r="O757" s="24"/>
      <c r="P757" s="24"/>
      <c r="Q757" s="24"/>
      <c r="R757" s="24"/>
      <c r="S757" s="24"/>
      <c r="T757" s="24"/>
      <c r="U757" s="24"/>
      <c r="V757" s="24"/>
      <c r="W757" s="24"/>
      <c r="X757" s="24"/>
      <c r="Y757" s="24"/>
      <c r="Z757" s="24"/>
      <c r="AA757" s="24"/>
      <c r="AB757" s="24"/>
      <c r="AC757" s="24"/>
      <c r="AD757" s="24"/>
      <c r="AE757" s="24"/>
    </row>
    <row r="758" spans="1:31" ht="12.9">
      <c r="A758" s="24"/>
      <c r="B758" s="143"/>
      <c r="C758" s="24"/>
      <c r="D758" s="24"/>
      <c r="E758" s="24"/>
      <c r="F758" s="24"/>
      <c r="G758" s="24"/>
      <c r="H758" s="117"/>
      <c r="I758" s="117"/>
      <c r="J758" s="24"/>
      <c r="K758" s="24"/>
      <c r="L758" s="24"/>
      <c r="M758" s="24"/>
      <c r="N758" s="24"/>
      <c r="O758" s="24"/>
      <c r="P758" s="24"/>
      <c r="Q758" s="24"/>
      <c r="R758" s="24"/>
      <c r="S758" s="24"/>
      <c r="T758" s="24"/>
      <c r="U758" s="24"/>
      <c r="V758" s="24"/>
      <c r="W758" s="24"/>
      <c r="X758" s="24"/>
      <c r="Y758" s="24"/>
      <c r="Z758" s="24"/>
      <c r="AA758" s="24"/>
      <c r="AB758" s="24"/>
      <c r="AC758" s="24"/>
      <c r="AD758" s="24"/>
      <c r="AE758" s="24"/>
    </row>
    <row r="759" spans="1:31" ht="12.9">
      <c r="A759" s="24"/>
      <c r="B759" s="143"/>
      <c r="C759" s="24"/>
      <c r="D759" s="24"/>
      <c r="E759" s="24"/>
      <c r="F759" s="24"/>
      <c r="G759" s="24"/>
      <c r="H759" s="117"/>
      <c r="I759" s="117"/>
      <c r="J759" s="24"/>
      <c r="K759" s="24"/>
      <c r="L759" s="24"/>
      <c r="M759" s="24"/>
      <c r="N759" s="24"/>
      <c r="O759" s="24"/>
      <c r="P759" s="24"/>
      <c r="Q759" s="24"/>
      <c r="R759" s="24"/>
      <c r="S759" s="24"/>
      <c r="T759" s="24"/>
      <c r="U759" s="24"/>
      <c r="V759" s="24"/>
      <c r="W759" s="24"/>
      <c r="X759" s="24"/>
      <c r="Y759" s="24"/>
      <c r="Z759" s="24"/>
      <c r="AA759" s="24"/>
      <c r="AB759" s="24"/>
      <c r="AC759" s="24"/>
      <c r="AD759" s="24"/>
      <c r="AE759" s="24"/>
    </row>
    <row r="760" spans="1:31" ht="12.9">
      <c r="A760" s="24"/>
      <c r="B760" s="143"/>
      <c r="C760" s="24"/>
      <c r="D760" s="24"/>
      <c r="E760" s="24"/>
      <c r="F760" s="24"/>
      <c r="G760" s="24"/>
      <c r="H760" s="117"/>
      <c r="I760" s="117"/>
      <c r="J760" s="24"/>
      <c r="K760" s="24"/>
      <c r="L760" s="24"/>
      <c r="M760" s="24"/>
      <c r="N760" s="24"/>
      <c r="O760" s="24"/>
      <c r="P760" s="24"/>
      <c r="Q760" s="24"/>
      <c r="R760" s="24"/>
      <c r="S760" s="24"/>
      <c r="T760" s="24"/>
      <c r="U760" s="24"/>
      <c r="V760" s="24"/>
      <c r="W760" s="24"/>
      <c r="X760" s="24"/>
      <c r="Y760" s="24"/>
      <c r="Z760" s="24"/>
      <c r="AA760" s="24"/>
      <c r="AB760" s="24"/>
      <c r="AC760" s="24"/>
      <c r="AD760" s="24"/>
      <c r="AE760" s="24"/>
    </row>
    <row r="761" spans="1:31" ht="12.9">
      <c r="A761" s="24"/>
      <c r="B761" s="143"/>
      <c r="C761" s="24"/>
      <c r="D761" s="24"/>
      <c r="E761" s="24"/>
      <c r="F761" s="24"/>
      <c r="G761" s="24"/>
      <c r="H761" s="117"/>
      <c r="I761" s="117"/>
      <c r="J761" s="24"/>
      <c r="K761" s="24"/>
      <c r="L761" s="24"/>
      <c r="M761" s="24"/>
      <c r="N761" s="24"/>
      <c r="O761" s="24"/>
      <c r="P761" s="24"/>
      <c r="Q761" s="24"/>
      <c r="R761" s="24"/>
      <c r="S761" s="24"/>
      <c r="T761" s="24"/>
      <c r="U761" s="24"/>
      <c r="V761" s="24"/>
      <c r="W761" s="24"/>
      <c r="X761" s="24"/>
      <c r="Y761" s="24"/>
      <c r="Z761" s="24"/>
      <c r="AA761" s="24"/>
      <c r="AB761" s="24"/>
      <c r="AC761" s="24"/>
      <c r="AD761" s="24"/>
      <c r="AE761" s="24"/>
    </row>
    <row r="762" spans="1:31" ht="12.9">
      <c r="A762" s="24"/>
      <c r="B762" s="143"/>
      <c r="C762" s="24"/>
      <c r="D762" s="24"/>
      <c r="E762" s="24"/>
      <c r="F762" s="24"/>
      <c r="G762" s="24"/>
      <c r="H762" s="117"/>
      <c r="I762" s="117"/>
      <c r="J762" s="24"/>
      <c r="K762" s="24"/>
      <c r="L762" s="24"/>
      <c r="M762" s="24"/>
      <c r="N762" s="24"/>
      <c r="O762" s="24"/>
      <c r="P762" s="24"/>
      <c r="Q762" s="24"/>
      <c r="R762" s="24"/>
      <c r="S762" s="24"/>
      <c r="T762" s="24"/>
      <c r="U762" s="24"/>
      <c r="V762" s="24"/>
      <c r="W762" s="24"/>
      <c r="X762" s="24"/>
      <c r="Y762" s="24"/>
      <c r="Z762" s="24"/>
      <c r="AA762" s="24"/>
      <c r="AB762" s="24"/>
      <c r="AC762" s="24"/>
      <c r="AD762" s="24"/>
      <c r="AE762" s="24"/>
    </row>
    <row r="763" spans="1:31" ht="12.9">
      <c r="A763" s="24"/>
      <c r="B763" s="143"/>
      <c r="C763" s="24"/>
      <c r="D763" s="24"/>
      <c r="E763" s="24"/>
      <c r="F763" s="24"/>
      <c r="G763" s="24"/>
      <c r="H763" s="117"/>
      <c r="I763" s="117"/>
      <c r="J763" s="24"/>
      <c r="K763" s="24"/>
      <c r="L763" s="24"/>
      <c r="M763" s="24"/>
      <c r="N763" s="24"/>
      <c r="O763" s="24"/>
      <c r="P763" s="24"/>
      <c r="Q763" s="24"/>
      <c r="R763" s="24"/>
      <c r="S763" s="24"/>
      <c r="T763" s="24"/>
      <c r="U763" s="24"/>
      <c r="V763" s="24"/>
      <c r="W763" s="24"/>
      <c r="X763" s="24"/>
      <c r="Y763" s="24"/>
      <c r="Z763" s="24"/>
      <c r="AA763" s="24"/>
      <c r="AB763" s="24"/>
      <c r="AC763" s="24"/>
      <c r="AD763" s="24"/>
      <c r="AE763" s="24"/>
    </row>
    <row r="764" spans="1:31" ht="12.9">
      <c r="A764" s="24"/>
      <c r="B764" s="143"/>
      <c r="C764" s="24"/>
      <c r="D764" s="24"/>
      <c r="E764" s="24"/>
      <c r="F764" s="24"/>
      <c r="G764" s="24"/>
      <c r="H764" s="117"/>
      <c r="I764" s="117"/>
      <c r="J764" s="24"/>
      <c r="K764" s="24"/>
      <c r="L764" s="24"/>
      <c r="M764" s="24"/>
      <c r="N764" s="24"/>
      <c r="O764" s="24"/>
      <c r="P764" s="24"/>
      <c r="Q764" s="24"/>
      <c r="R764" s="24"/>
      <c r="S764" s="24"/>
      <c r="T764" s="24"/>
      <c r="U764" s="24"/>
      <c r="V764" s="24"/>
      <c r="W764" s="24"/>
      <c r="X764" s="24"/>
      <c r="Y764" s="24"/>
      <c r="Z764" s="24"/>
      <c r="AA764" s="24"/>
      <c r="AB764" s="24"/>
      <c r="AC764" s="24"/>
      <c r="AD764" s="24"/>
      <c r="AE764" s="24"/>
    </row>
    <row r="765" spans="1:31" ht="12.9">
      <c r="A765" s="24"/>
      <c r="B765" s="143"/>
      <c r="C765" s="24"/>
      <c r="D765" s="24"/>
      <c r="E765" s="24"/>
      <c r="F765" s="24"/>
      <c r="G765" s="24"/>
      <c r="H765" s="117"/>
      <c r="I765" s="117"/>
      <c r="J765" s="24"/>
      <c r="K765" s="24"/>
      <c r="L765" s="24"/>
      <c r="M765" s="24"/>
      <c r="N765" s="24"/>
      <c r="O765" s="24"/>
      <c r="P765" s="24"/>
      <c r="Q765" s="24"/>
      <c r="R765" s="24"/>
      <c r="S765" s="24"/>
      <c r="T765" s="24"/>
      <c r="U765" s="24"/>
      <c r="V765" s="24"/>
      <c r="W765" s="24"/>
      <c r="X765" s="24"/>
      <c r="Y765" s="24"/>
      <c r="Z765" s="24"/>
      <c r="AA765" s="24"/>
      <c r="AB765" s="24"/>
      <c r="AC765" s="24"/>
      <c r="AD765" s="24"/>
      <c r="AE765" s="24"/>
    </row>
    <row r="766" spans="1:31" ht="12.9">
      <c r="A766" s="24"/>
      <c r="B766" s="143"/>
      <c r="C766" s="24"/>
      <c r="D766" s="24"/>
      <c r="E766" s="24"/>
      <c r="F766" s="24"/>
      <c r="G766" s="24"/>
      <c r="H766" s="117"/>
      <c r="I766" s="117"/>
      <c r="J766" s="24"/>
      <c r="K766" s="24"/>
      <c r="L766" s="24"/>
      <c r="M766" s="24"/>
      <c r="N766" s="24"/>
      <c r="O766" s="24"/>
      <c r="P766" s="24"/>
      <c r="Q766" s="24"/>
      <c r="R766" s="24"/>
      <c r="S766" s="24"/>
      <c r="T766" s="24"/>
      <c r="U766" s="24"/>
      <c r="V766" s="24"/>
      <c r="W766" s="24"/>
      <c r="X766" s="24"/>
      <c r="Y766" s="24"/>
      <c r="Z766" s="24"/>
      <c r="AA766" s="24"/>
      <c r="AB766" s="24"/>
      <c r="AC766" s="24"/>
      <c r="AD766" s="24"/>
      <c r="AE766" s="24"/>
    </row>
    <row r="767" spans="1:31" ht="12.9">
      <c r="A767" s="24"/>
      <c r="B767" s="143"/>
      <c r="C767" s="24"/>
      <c r="D767" s="24"/>
      <c r="E767" s="24"/>
      <c r="F767" s="24"/>
      <c r="G767" s="24"/>
      <c r="H767" s="117"/>
      <c r="I767" s="117"/>
      <c r="J767" s="24"/>
      <c r="K767" s="24"/>
      <c r="L767" s="24"/>
      <c r="M767" s="24"/>
      <c r="N767" s="24"/>
      <c r="O767" s="24"/>
      <c r="P767" s="24"/>
      <c r="Q767" s="24"/>
      <c r="R767" s="24"/>
      <c r="S767" s="24"/>
      <c r="T767" s="24"/>
      <c r="U767" s="24"/>
      <c r="V767" s="24"/>
      <c r="W767" s="24"/>
      <c r="X767" s="24"/>
      <c r="Y767" s="24"/>
      <c r="Z767" s="24"/>
      <c r="AA767" s="24"/>
      <c r="AB767" s="24"/>
      <c r="AC767" s="24"/>
      <c r="AD767" s="24"/>
      <c r="AE767" s="24"/>
    </row>
    <row r="768" spans="1:31" ht="12.9">
      <c r="A768" s="24"/>
      <c r="B768" s="143"/>
      <c r="C768" s="24"/>
      <c r="D768" s="24"/>
      <c r="E768" s="24"/>
      <c r="F768" s="24"/>
      <c r="G768" s="24"/>
      <c r="H768" s="117"/>
      <c r="I768" s="117"/>
      <c r="J768" s="24"/>
      <c r="K768" s="24"/>
      <c r="L768" s="24"/>
      <c r="M768" s="24"/>
      <c r="N768" s="24"/>
      <c r="O768" s="24"/>
      <c r="P768" s="24"/>
      <c r="Q768" s="24"/>
      <c r="R768" s="24"/>
      <c r="S768" s="24"/>
      <c r="T768" s="24"/>
      <c r="U768" s="24"/>
      <c r="V768" s="24"/>
      <c r="W768" s="24"/>
      <c r="X768" s="24"/>
      <c r="Y768" s="24"/>
      <c r="Z768" s="24"/>
      <c r="AA768" s="24"/>
      <c r="AB768" s="24"/>
      <c r="AC768" s="24"/>
      <c r="AD768" s="24"/>
      <c r="AE768" s="24"/>
    </row>
    <row r="769" spans="1:31" ht="12.9">
      <c r="A769" s="24"/>
      <c r="B769" s="143"/>
      <c r="C769" s="24"/>
      <c r="D769" s="24"/>
      <c r="E769" s="24"/>
      <c r="F769" s="24"/>
      <c r="G769" s="24"/>
      <c r="H769" s="117"/>
      <c r="I769" s="117"/>
      <c r="J769" s="24"/>
      <c r="K769" s="24"/>
      <c r="L769" s="24"/>
      <c r="M769" s="24"/>
      <c r="N769" s="24"/>
      <c r="O769" s="24"/>
      <c r="P769" s="24"/>
      <c r="Q769" s="24"/>
      <c r="R769" s="24"/>
      <c r="S769" s="24"/>
      <c r="T769" s="24"/>
      <c r="U769" s="24"/>
      <c r="V769" s="24"/>
      <c r="W769" s="24"/>
      <c r="X769" s="24"/>
      <c r="Y769" s="24"/>
      <c r="Z769" s="24"/>
      <c r="AA769" s="24"/>
      <c r="AB769" s="24"/>
      <c r="AC769" s="24"/>
      <c r="AD769" s="24"/>
      <c r="AE769" s="24"/>
    </row>
    <row r="770" spans="1:31" ht="12.9">
      <c r="A770" s="24"/>
      <c r="B770" s="143"/>
      <c r="C770" s="24"/>
      <c r="D770" s="24"/>
      <c r="E770" s="24"/>
      <c r="F770" s="24"/>
      <c r="G770" s="24"/>
      <c r="H770" s="117"/>
      <c r="I770" s="117"/>
      <c r="J770" s="24"/>
      <c r="K770" s="24"/>
      <c r="L770" s="24"/>
      <c r="M770" s="24"/>
      <c r="N770" s="24"/>
      <c r="O770" s="24"/>
      <c r="P770" s="24"/>
      <c r="Q770" s="24"/>
      <c r="R770" s="24"/>
      <c r="S770" s="24"/>
      <c r="T770" s="24"/>
      <c r="U770" s="24"/>
      <c r="V770" s="24"/>
      <c r="W770" s="24"/>
      <c r="X770" s="24"/>
      <c r="Y770" s="24"/>
      <c r="Z770" s="24"/>
      <c r="AA770" s="24"/>
      <c r="AB770" s="24"/>
      <c r="AC770" s="24"/>
      <c r="AD770" s="24"/>
      <c r="AE770" s="24"/>
    </row>
    <row r="771" spans="1:31" ht="12.9">
      <c r="A771" s="24"/>
      <c r="B771" s="143"/>
      <c r="C771" s="24"/>
      <c r="D771" s="24"/>
      <c r="E771" s="24"/>
      <c r="F771" s="24"/>
      <c r="G771" s="24"/>
      <c r="H771" s="117"/>
      <c r="I771" s="117"/>
      <c r="J771" s="24"/>
      <c r="K771" s="24"/>
      <c r="L771" s="24"/>
      <c r="M771" s="24"/>
      <c r="N771" s="24"/>
      <c r="O771" s="24"/>
      <c r="P771" s="24"/>
      <c r="Q771" s="24"/>
      <c r="R771" s="24"/>
      <c r="S771" s="24"/>
      <c r="T771" s="24"/>
      <c r="U771" s="24"/>
      <c r="V771" s="24"/>
      <c r="W771" s="24"/>
      <c r="X771" s="24"/>
      <c r="Y771" s="24"/>
      <c r="Z771" s="24"/>
      <c r="AA771" s="24"/>
      <c r="AB771" s="24"/>
      <c r="AC771" s="24"/>
      <c r="AD771" s="24"/>
      <c r="AE771" s="24"/>
    </row>
    <row r="772" spans="1:31" ht="12.9">
      <c r="A772" s="24"/>
      <c r="B772" s="143"/>
      <c r="C772" s="24"/>
      <c r="D772" s="24"/>
      <c r="E772" s="24"/>
      <c r="F772" s="24"/>
      <c r="G772" s="24"/>
      <c r="H772" s="117"/>
      <c r="I772" s="117"/>
      <c r="J772" s="24"/>
      <c r="K772" s="24"/>
      <c r="L772" s="24"/>
      <c r="M772" s="24"/>
      <c r="N772" s="24"/>
      <c r="O772" s="24"/>
      <c r="P772" s="24"/>
      <c r="Q772" s="24"/>
      <c r="R772" s="24"/>
      <c r="S772" s="24"/>
      <c r="T772" s="24"/>
      <c r="U772" s="24"/>
      <c r="V772" s="24"/>
      <c r="W772" s="24"/>
      <c r="X772" s="24"/>
      <c r="Y772" s="24"/>
      <c r="Z772" s="24"/>
      <c r="AA772" s="24"/>
      <c r="AB772" s="24"/>
      <c r="AC772" s="24"/>
      <c r="AD772" s="24"/>
      <c r="AE772" s="24"/>
    </row>
    <row r="773" spans="1:31" ht="12.9">
      <c r="A773" s="24"/>
      <c r="B773" s="143"/>
      <c r="C773" s="24"/>
      <c r="D773" s="24"/>
      <c r="E773" s="24"/>
      <c r="F773" s="24"/>
      <c r="G773" s="24"/>
      <c r="H773" s="117"/>
      <c r="I773" s="117"/>
      <c r="J773" s="24"/>
      <c r="K773" s="24"/>
      <c r="L773" s="24"/>
      <c r="M773" s="24"/>
      <c r="N773" s="24"/>
      <c r="O773" s="24"/>
      <c r="P773" s="24"/>
      <c r="Q773" s="24"/>
      <c r="R773" s="24"/>
      <c r="S773" s="24"/>
      <c r="T773" s="24"/>
      <c r="U773" s="24"/>
      <c r="V773" s="24"/>
      <c r="W773" s="24"/>
      <c r="X773" s="24"/>
      <c r="Y773" s="24"/>
      <c r="Z773" s="24"/>
      <c r="AA773" s="24"/>
      <c r="AB773" s="24"/>
      <c r="AC773" s="24"/>
      <c r="AD773" s="24"/>
      <c r="AE773" s="24"/>
    </row>
    <row r="774" spans="1:31" ht="12.9">
      <c r="A774" s="24"/>
      <c r="B774" s="143"/>
      <c r="C774" s="24"/>
      <c r="D774" s="24"/>
      <c r="E774" s="24"/>
      <c r="F774" s="24"/>
      <c r="G774" s="24"/>
      <c r="H774" s="117"/>
      <c r="I774" s="117"/>
      <c r="J774" s="24"/>
      <c r="K774" s="24"/>
      <c r="L774" s="24"/>
      <c r="M774" s="24"/>
      <c r="N774" s="24"/>
      <c r="O774" s="24"/>
      <c r="P774" s="24"/>
      <c r="Q774" s="24"/>
      <c r="R774" s="24"/>
      <c r="S774" s="24"/>
      <c r="T774" s="24"/>
      <c r="U774" s="24"/>
      <c r="V774" s="24"/>
      <c r="W774" s="24"/>
      <c r="X774" s="24"/>
      <c r="Y774" s="24"/>
      <c r="Z774" s="24"/>
      <c r="AA774" s="24"/>
      <c r="AB774" s="24"/>
      <c r="AC774" s="24"/>
      <c r="AD774" s="24"/>
      <c r="AE774" s="24"/>
    </row>
    <row r="775" spans="1:31" ht="12.9">
      <c r="A775" s="24"/>
      <c r="B775" s="143"/>
      <c r="C775" s="24"/>
      <c r="D775" s="24"/>
      <c r="E775" s="24"/>
      <c r="F775" s="24"/>
      <c r="G775" s="24"/>
      <c r="H775" s="117"/>
      <c r="I775" s="117"/>
      <c r="J775" s="24"/>
      <c r="K775" s="24"/>
      <c r="L775" s="24"/>
      <c r="M775" s="24"/>
      <c r="N775" s="24"/>
      <c r="O775" s="24"/>
      <c r="P775" s="24"/>
      <c r="Q775" s="24"/>
      <c r="R775" s="24"/>
      <c r="S775" s="24"/>
      <c r="T775" s="24"/>
      <c r="U775" s="24"/>
      <c r="V775" s="24"/>
      <c r="W775" s="24"/>
      <c r="X775" s="24"/>
      <c r="Y775" s="24"/>
      <c r="Z775" s="24"/>
      <c r="AA775" s="24"/>
      <c r="AB775" s="24"/>
      <c r="AC775" s="24"/>
      <c r="AD775" s="24"/>
      <c r="AE775" s="24"/>
    </row>
    <row r="776" spans="1:31" ht="12.9">
      <c r="A776" s="24"/>
      <c r="B776" s="143"/>
      <c r="C776" s="24"/>
      <c r="D776" s="24"/>
      <c r="E776" s="24"/>
      <c r="F776" s="24"/>
      <c r="G776" s="24"/>
      <c r="H776" s="117"/>
      <c r="I776" s="117"/>
      <c r="J776" s="24"/>
      <c r="K776" s="24"/>
      <c r="L776" s="24"/>
      <c r="M776" s="24"/>
      <c r="N776" s="24"/>
      <c r="O776" s="24"/>
      <c r="P776" s="24"/>
      <c r="Q776" s="24"/>
      <c r="R776" s="24"/>
      <c r="S776" s="24"/>
      <c r="T776" s="24"/>
      <c r="U776" s="24"/>
      <c r="V776" s="24"/>
      <c r="W776" s="24"/>
      <c r="X776" s="24"/>
      <c r="Y776" s="24"/>
      <c r="Z776" s="24"/>
      <c r="AA776" s="24"/>
      <c r="AB776" s="24"/>
      <c r="AC776" s="24"/>
      <c r="AD776" s="24"/>
      <c r="AE776" s="24"/>
    </row>
    <row r="777" spans="1:31" ht="12.9">
      <c r="A777" s="24"/>
      <c r="B777" s="143"/>
      <c r="C777" s="24"/>
      <c r="D777" s="24"/>
      <c r="E777" s="24"/>
      <c r="F777" s="24"/>
      <c r="G777" s="24"/>
      <c r="H777" s="117"/>
      <c r="I777" s="117"/>
      <c r="J777" s="24"/>
      <c r="K777" s="24"/>
      <c r="L777" s="24"/>
      <c r="M777" s="24"/>
      <c r="N777" s="24"/>
      <c r="O777" s="24"/>
      <c r="P777" s="24"/>
      <c r="Q777" s="24"/>
      <c r="R777" s="24"/>
      <c r="S777" s="24"/>
      <c r="T777" s="24"/>
      <c r="U777" s="24"/>
      <c r="V777" s="24"/>
      <c r="W777" s="24"/>
      <c r="X777" s="24"/>
      <c r="Y777" s="24"/>
      <c r="Z777" s="24"/>
      <c r="AA777" s="24"/>
      <c r="AB777" s="24"/>
      <c r="AC777" s="24"/>
      <c r="AD777" s="24"/>
      <c r="AE777" s="24"/>
    </row>
    <row r="778" spans="1:31" ht="12.9">
      <c r="A778" s="24"/>
      <c r="B778" s="143"/>
      <c r="C778" s="24"/>
      <c r="D778" s="24"/>
      <c r="E778" s="24"/>
      <c r="F778" s="24"/>
      <c r="G778" s="24"/>
      <c r="H778" s="117"/>
      <c r="I778" s="117"/>
      <c r="J778" s="24"/>
      <c r="K778" s="24"/>
      <c r="L778" s="24"/>
      <c r="M778" s="24"/>
      <c r="N778" s="24"/>
      <c r="O778" s="24"/>
      <c r="P778" s="24"/>
      <c r="Q778" s="24"/>
      <c r="R778" s="24"/>
      <c r="S778" s="24"/>
      <c r="T778" s="24"/>
      <c r="U778" s="24"/>
      <c r="V778" s="24"/>
      <c r="W778" s="24"/>
      <c r="X778" s="24"/>
      <c r="Y778" s="24"/>
      <c r="Z778" s="24"/>
      <c r="AA778" s="24"/>
      <c r="AB778" s="24"/>
      <c r="AC778" s="24"/>
      <c r="AD778" s="24"/>
      <c r="AE778" s="24"/>
    </row>
    <row r="779" spans="1:31" ht="12.9">
      <c r="A779" s="24"/>
      <c r="B779" s="143"/>
      <c r="C779" s="24"/>
      <c r="D779" s="24"/>
      <c r="E779" s="24"/>
      <c r="F779" s="24"/>
      <c r="G779" s="24"/>
      <c r="H779" s="117"/>
      <c r="I779" s="117"/>
      <c r="J779" s="24"/>
      <c r="K779" s="24"/>
      <c r="L779" s="24"/>
      <c r="M779" s="24"/>
      <c r="N779" s="24"/>
      <c r="O779" s="24"/>
      <c r="P779" s="24"/>
      <c r="Q779" s="24"/>
      <c r="R779" s="24"/>
      <c r="S779" s="24"/>
      <c r="T779" s="24"/>
      <c r="U779" s="24"/>
      <c r="V779" s="24"/>
      <c r="W779" s="24"/>
      <c r="X779" s="24"/>
      <c r="Y779" s="24"/>
      <c r="Z779" s="24"/>
      <c r="AA779" s="24"/>
      <c r="AB779" s="24"/>
      <c r="AC779" s="24"/>
      <c r="AD779" s="24"/>
      <c r="AE779" s="24"/>
    </row>
    <row r="780" spans="1:31" ht="12.9">
      <c r="A780" s="24"/>
      <c r="B780" s="143"/>
      <c r="C780" s="24"/>
      <c r="D780" s="24"/>
      <c r="E780" s="24"/>
      <c r="F780" s="24"/>
      <c r="G780" s="24"/>
      <c r="H780" s="117"/>
      <c r="I780" s="117"/>
      <c r="J780" s="24"/>
      <c r="K780" s="24"/>
      <c r="L780" s="24"/>
      <c r="M780" s="24"/>
      <c r="N780" s="24"/>
      <c r="O780" s="24"/>
      <c r="P780" s="24"/>
      <c r="Q780" s="24"/>
      <c r="R780" s="24"/>
      <c r="S780" s="24"/>
      <c r="T780" s="24"/>
      <c r="U780" s="24"/>
      <c r="V780" s="24"/>
      <c r="W780" s="24"/>
      <c r="X780" s="24"/>
      <c r="Y780" s="24"/>
      <c r="Z780" s="24"/>
      <c r="AA780" s="24"/>
      <c r="AB780" s="24"/>
      <c r="AC780" s="24"/>
      <c r="AD780" s="24"/>
      <c r="AE780" s="24"/>
    </row>
    <row r="781" spans="1:31" ht="12.9">
      <c r="A781" s="24"/>
      <c r="B781" s="143"/>
      <c r="C781" s="24"/>
      <c r="D781" s="24"/>
      <c r="E781" s="24"/>
      <c r="F781" s="24"/>
      <c r="G781" s="24"/>
      <c r="H781" s="117"/>
      <c r="I781" s="117"/>
      <c r="J781" s="24"/>
      <c r="K781" s="24"/>
      <c r="L781" s="24"/>
      <c r="M781" s="24"/>
      <c r="N781" s="24"/>
      <c r="O781" s="24"/>
      <c r="P781" s="24"/>
      <c r="Q781" s="24"/>
      <c r="R781" s="24"/>
      <c r="S781" s="24"/>
      <c r="T781" s="24"/>
      <c r="U781" s="24"/>
      <c r="V781" s="24"/>
      <c r="W781" s="24"/>
      <c r="X781" s="24"/>
      <c r="Y781" s="24"/>
      <c r="Z781" s="24"/>
      <c r="AA781" s="24"/>
      <c r="AB781" s="24"/>
      <c r="AC781" s="24"/>
      <c r="AD781" s="24"/>
      <c r="AE781" s="24"/>
    </row>
    <row r="782" spans="1:31" ht="12.9">
      <c r="A782" s="24"/>
      <c r="B782" s="143"/>
      <c r="C782" s="24"/>
      <c r="D782" s="24"/>
      <c r="E782" s="24"/>
      <c r="F782" s="24"/>
      <c r="G782" s="24"/>
      <c r="H782" s="117"/>
      <c r="I782" s="117"/>
      <c r="J782" s="24"/>
      <c r="K782" s="24"/>
      <c r="L782" s="24"/>
      <c r="M782" s="24"/>
      <c r="N782" s="24"/>
      <c r="O782" s="24"/>
      <c r="P782" s="24"/>
      <c r="Q782" s="24"/>
      <c r="R782" s="24"/>
      <c r="S782" s="24"/>
      <c r="T782" s="24"/>
      <c r="U782" s="24"/>
      <c r="V782" s="24"/>
      <c r="W782" s="24"/>
      <c r="X782" s="24"/>
      <c r="Y782" s="24"/>
      <c r="Z782" s="24"/>
      <c r="AA782" s="24"/>
      <c r="AB782" s="24"/>
      <c r="AC782" s="24"/>
      <c r="AD782" s="24"/>
      <c r="AE782" s="24"/>
    </row>
    <row r="783" spans="1:31" ht="12.9">
      <c r="A783" s="24"/>
      <c r="B783" s="143"/>
      <c r="C783" s="24"/>
      <c r="D783" s="24"/>
      <c r="E783" s="24"/>
      <c r="F783" s="24"/>
      <c r="G783" s="24"/>
      <c r="H783" s="117"/>
      <c r="I783" s="117"/>
      <c r="J783" s="24"/>
      <c r="K783" s="24"/>
      <c r="L783" s="24"/>
      <c r="M783" s="24"/>
      <c r="N783" s="24"/>
      <c r="O783" s="24"/>
      <c r="P783" s="24"/>
      <c r="Q783" s="24"/>
      <c r="R783" s="24"/>
      <c r="S783" s="24"/>
      <c r="T783" s="24"/>
      <c r="U783" s="24"/>
      <c r="V783" s="24"/>
      <c r="W783" s="24"/>
      <c r="X783" s="24"/>
      <c r="Y783" s="24"/>
      <c r="Z783" s="24"/>
      <c r="AA783" s="24"/>
      <c r="AB783" s="24"/>
      <c r="AC783" s="24"/>
      <c r="AD783" s="24"/>
      <c r="AE783" s="24"/>
    </row>
    <row r="784" spans="1:31" ht="12.9">
      <c r="A784" s="24"/>
      <c r="B784" s="143"/>
      <c r="C784" s="24"/>
      <c r="D784" s="24"/>
      <c r="E784" s="24"/>
      <c r="F784" s="24"/>
      <c r="G784" s="24"/>
      <c r="H784" s="117"/>
      <c r="I784" s="117"/>
      <c r="J784" s="24"/>
      <c r="K784" s="24"/>
      <c r="L784" s="24"/>
      <c r="M784" s="24"/>
      <c r="N784" s="24"/>
      <c r="O784" s="24"/>
      <c r="P784" s="24"/>
      <c r="Q784" s="24"/>
      <c r="R784" s="24"/>
      <c r="S784" s="24"/>
      <c r="T784" s="24"/>
      <c r="U784" s="24"/>
      <c r="V784" s="24"/>
      <c r="W784" s="24"/>
      <c r="X784" s="24"/>
      <c r="Y784" s="24"/>
      <c r="Z784" s="24"/>
      <c r="AA784" s="24"/>
      <c r="AB784" s="24"/>
      <c r="AC784" s="24"/>
      <c r="AD784" s="24"/>
      <c r="AE784" s="24"/>
    </row>
    <row r="785" spans="1:31" ht="12.9">
      <c r="A785" s="24"/>
      <c r="B785" s="143"/>
      <c r="C785" s="24"/>
      <c r="D785" s="24"/>
      <c r="E785" s="24"/>
      <c r="F785" s="24"/>
      <c r="G785" s="24"/>
      <c r="H785" s="117"/>
      <c r="I785" s="117"/>
      <c r="J785" s="24"/>
      <c r="K785" s="24"/>
      <c r="L785" s="24"/>
      <c r="M785" s="24"/>
      <c r="N785" s="24"/>
      <c r="O785" s="24"/>
      <c r="P785" s="24"/>
      <c r="Q785" s="24"/>
      <c r="R785" s="24"/>
      <c r="S785" s="24"/>
      <c r="T785" s="24"/>
      <c r="U785" s="24"/>
      <c r="V785" s="24"/>
      <c r="W785" s="24"/>
      <c r="X785" s="24"/>
      <c r="Y785" s="24"/>
      <c r="Z785" s="24"/>
      <c r="AA785" s="24"/>
      <c r="AB785" s="24"/>
      <c r="AC785" s="24"/>
      <c r="AD785" s="24"/>
      <c r="AE785" s="24"/>
    </row>
    <row r="786" spans="1:31" ht="12.9">
      <c r="A786" s="24"/>
      <c r="B786" s="143"/>
      <c r="C786" s="24"/>
      <c r="D786" s="24"/>
      <c r="E786" s="24"/>
      <c r="F786" s="24"/>
      <c r="G786" s="24"/>
      <c r="H786" s="117"/>
      <c r="I786" s="117"/>
      <c r="J786" s="24"/>
      <c r="K786" s="24"/>
      <c r="L786" s="24"/>
      <c r="M786" s="24"/>
      <c r="N786" s="24"/>
      <c r="O786" s="24"/>
      <c r="P786" s="24"/>
      <c r="Q786" s="24"/>
      <c r="R786" s="24"/>
      <c r="S786" s="24"/>
      <c r="T786" s="24"/>
      <c r="U786" s="24"/>
      <c r="V786" s="24"/>
      <c r="W786" s="24"/>
      <c r="X786" s="24"/>
      <c r="Y786" s="24"/>
      <c r="Z786" s="24"/>
      <c r="AA786" s="24"/>
      <c r="AB786" s="24"/>
      <c r="AC786" s="24"/>
      <c r="AD786" s="24"/>
      <c r="AE786" s="24"/>
    </row>
    <row r="787" spans="1:31" ht="12.9">
      <c r="A787" s="24"/>
      <c r="B787" s="143"/>
      <c r="C787" s="24"/>
      <c r="D787" s="24"/>
      <c r="E787" s="24"/>
      <c r="F787" s="24"/>
      <c r="G787" s="24"/>
      <c r="H787" s="117"/>
      <c r="I787" s="117"/>
      <c r="J787" s="24"/>
      <c r="K787" s="24"/>
      <c r="L787" s="24"/>
      <c r="M787" s="24"/>
      <c r="N787" s="24"/>
      <c r="O787" s="24"/>
      <c r="P787" s="24"/>
      <c r="Q787" s="24"/>
      <c r="R787" s="24"/>
      <c r="S787" s="24"/>
      <c r="T787" s="24"/>
      <c r="U787" s="24"/>
      <c r="V787" s="24"/>
      <c r="W787" s="24"/>
      <c r="X787" s="24"/>
      <c r="Y787" s="24"/>
      <c r="Z787" s="24"/>
      <c r="AA787" s="24"/>
      <c r="AB787" s="24"/>
      <c r="AC787" s="24"/>
      <c r="AD787" s="24"/>
      <c r="AE787" s="24"/>
    </row>
    <row r="788" spans="1:31" ht="12.9">
      <c r="A788" s="24"/>
      <c r="B788" s="143"/>
      <c r="C788" s="24"/>
      <c r="D788" s="24"/>
      <c r="E788" s="24"/>
      <c r="F788" s="24"/>
      <c r="G788" s="24"/>
      <c r="H788" s="117"/>
      <c r="I788" s="117"/>
      <c r="J788" s="24"/>
      <c r="K788" s="24"/>
      <c r="L788" s="24"/>
      <c r="M788" s="24"/>
      <c r="N788" s="24"/>
      <c r="O788" s="24"/>
      <c r="P788" s="24"/>
      <c r="Q788" s="24"/>
      <c r="R788" s="24"/>
      <c r="S788" s="24"/>
      <c r="T788" s="24"/>
      <c r="U788" s="24"/>
      <c r="V788" s="24"/>
      <c r="W788" s="24"/>
      <c r="X788" s="24"/>
      <c r="Y788" s="24"/>
      <c r="Z788" s="24"/>
      <c r="AA788" s="24"/>
      <c r="AB788" s="24"/>
      <c r="AC788" s="24"/>
      <c r="AD788" s="24"/>
      <c r="AE788" s="24"/>
    </row>
    <row r="789" spans="1:31" ht="12.9">
      <c r="A789" s="24"/>
      <c r="B789" s="143"/>
      <c r="C789" s="24"/>
      <c r="D789" s="24"/>
      <c r="E789" s="24"/>
      <c r="F789" s="24"/>
      <c r="G789" s="24"/>
      <c r="H789" s="117"/>
      <c r="I789" s="117"/>
      <c r="J789" s="24"/>
      <c r="K789" s="24"/>
      <c r="L789" s="24"/>
      <c r="M789" s="24"/>
      <c r="N789" s="24"/>
      <c r="O789" s="24"/>
      <c r="P789" s="24"/>
      <c r="Q789" s="24"/>
      <c r="R789" s="24"/>
      <c r="S789" s="24"/>
      <c r="T789" s="24"/>
      <c r="U789" s="24"/>
      <c r="V789" s="24"/>
      <c r="W789" s="24"/>
      <c r="X789" s="24"/>
      <c r="Y789" s="24"/>
      <c r="Z789" s="24"/>
      <c r="AA789" s="24"/>
      <c r="AB789" s="24"/>
      <c r="AC789" s="24"/>
      <c r="AD789" s="24"/>
      <c r="AE789" s="24"/>
    </row>
    <row r="790" spans="1:31" ht="12.9">
      <c r="A790" s="24"/>
      <c r="B790" s="143"/>
      <c r="C790" s="24"/>
      <c r="D790" s="24"/>
      <c r="E790" s="24"/>
      <c r="F790" s="24"/>
      <c r="G790" s="24"/>
      <c r="H790" s="117"/>
      <c r="I790" s="117"/>
      <c r="J790" s="24"/>
      <c r="K790" s="24"/>
      <c r="L790" s="24"/>
      <c r="M790" s="24"/>
      <c r="N790" s="24"/>
      <c r="O790" s="24"/>
      <c r="P790" s="24"/>
      <c r="Q790" s="24"/>
      <c r="R790" s="24"/>
      <c r="S790" s="24"/>
      <c r="T790" s="24"/>
      <c r="U790" s="24"/>
      <c r="V790" s="24"/>
      <c r="W790" s="24"/>
      <c r="X790" s="24"/>
      <c r="Y790" s="24"/>
      <c r="Z790" s="24"/>
      <c r="AA790" s="24"/>
      <c r="AB790" s="24"/>
      <c r="AC790" s="24"/>
      <c r="AD790" s="24"/>
      <c r="AE790" s="24"/>
    </row>
    <row r="791" spans="1:31" ht="12.9">
      <c r="A791" s="24"/>
      <c r="B791" s="143"/>
      <c r="C791" s="24"/>
      <c r="D791" s="24"/>
      <c r="E791" s="24"/>
      <c r="F791" s="24"/>
      <c r="G791" s="24"/>
      <c r="H791" s="117"/>
      <c r="I791" s="117"/>
      <c r="J791" s="24"/>
      <c r="K791" s="24"/>
      <c r="L791" s="24"/>
      <c r="M791" s="24"/>
      <c r="N791" s="24"/>
      <c r="O791" s="24"/>
      <c r="P791" s="24"/>
      <c r="Q791" s="24"/>
      <c r="R791" s="24"/>
      <c r="S791" s="24"/>
      <c r="T791" s="24"/>
      <c r="U791" s="24"/>
      <c r="V791" s="24"/>
      <c r="W791" s="24"/>
      <c r="X791" s="24"/>
      <c r="Y791" s="24"/>
      <c r="Z791" s="24"/>
      <c r="AA791" s="24"/>
      <c r="AB791" s="24"/>
      <c r="AC791" s="24"/>
      <c r="AD791" s="24"/>
      <c r="AE791" s="24"/>
    </row>
    <row r="792" spans="1:31" ht="12.9">
      <c r="A792" s="24"/>
      <c r="B792" s="143"/>
      <c r="C792" s="24"/>
      <c r="D792" s="24"/>
      <c r="E792" s="24"/>
      <c r="F792" s="24"/>
      <c r="G792" s="24"/>
      <c r="H792" s="117"/>
      <c r="I792" s="117"/>
      <c r="J792" s="24"/>
      <c r="K792" s="24"/>
      <c r="L792" s="24"/>
      <c r="M792" s="24"/>
      <c r="N792" s="24"/>
      <c r="O792" s="24"/>
      <c r="P792" s="24"/>
      <c r="Q792" s="24"/>
      <c r="R792" s="24"/>
      <c r="S792" s="24"/>
      <c r="T792" s="24"/>
      <c r="U792" s="24"/>
      <c r="V792" s="24"/>
      <c r="W792" s="24"/>
      <c r="X792" s="24"/>
      <c r="Y792" s="24"/>
      <c r="Z792" s="24"/>
      <c r="AA792" s="24"/>
      <c r="AB792" s="24"/>
      <c r="AC792" s="24"/>
      <c r="AD792" s="24"/>
      <c r="AE792" s="24"/>
    </row>
    <row r="793" spans="1:31" ht="12.9">
      <c r="A793" s="24"/>
      <c r="B793" s="143"/>
      <c r="C793" s="24"/>
      <c r="D793" s="24"/>
      <c r="E793" s="24"/>
      <c r="F793" s="24"/>
      <c r="G793" s="24"/>
      <c r="H793" s="117"/>
      <c r="I793" s="117"/>
      <c r="J793" s="24"/>
      <c r="K793" s="24"/>
      <c r="L793" s="24"/>
      <c r="M793" s="24"/>
      <c r="N793" s="24"/>
      <c r="O793" s="24"/>
      <c r="P793" s="24"/>
      <c r="Q793" s="24"/>
      <c r="R793" s="24"/>
      <c r="S793" s="24"/>
      <c r="T793" s="24"/>
      <c r="U793" s="24"/>
      <c r="V793" s="24"/>
      <c r="W793" s="24"/>
      <c r="X793" s="24"/>
      <c r="Y793" s="24"/>
      <c r="Z793" s="24"/>
      <c r="AA793" s="24"/>
      <c r="AB793" s="24"/>
      <c r="AC793" s="24"/>
      <c r="AD793" s="24"/>
      <c r="AE793" s="24"/>
    </row>
    <row r="794" spans="1:31" ht="12.9">
      <c r="A794" s="24"/>
      <c r="B794" s="143"/>
      <c r="C794" s="24"/>
      <c r="D794" s="24"/>
      <c r="E794" s="24"/>
      <c r="F794" s="24"/>
      <c r="G794" s="24"/>
      <c r="H794" s="117"/>
      <c r="I794" s="117"/>
      <c r="J794" s="24"/>
      <c r="K794" s="24"/>
      <c r="L794" s="24"/>
      <c r="M794" s="24"/>
      <c r="N794" s="24"/>
      <c r="O794" s="24"/>
      <c r="P794" s="24"/>
      <c r="Q794" s="24"/>
      <c r="R794" s="24"/>
      <c r="S794" s="24"/>
      <c r="T794" s="24"/>
      <c r="U794" s="24"/>
      <c r="V794" s="24"/>
      <c r="W794" s="24"/>
      <c r="X794" s="24"/>
      <c r="Y794" s="24"/>
      <c r="Z794" s="24"/>
      <c r="AA794" s="24"/>
      <c r="AB794" s="24"/>
      <c r="AC794" s="24"/>
      <c r="AD794" s="24"/>
      <c r="AE794" s="24"/>
    </row>
    <row r="795" spans="1:31" ht="12.9">
      <c r="A795" s="24"/>
      <c r="B795" s="143"/>
      <c r="C795" s="24"/>
      <c r="D795" s="24"/>
      <c r="E795" s="24"/>
      <c r="F795" s="24"/>
      <c r="G795" s="24"/>
      <c r="H795" s="117"/>
      <c r="I795" s="117"/>
      <c r="J795" s="24"/>
      <c r="K795" s="24"/>
      <c r="L795" s="24"/>
      <c r="M795" s="24"/>
      <c r="N795" s="24"/>
      <c r="O795" s="24"/>
      <c r="P795" s="24"/>
      <c r="Q795" s="24"/>
      <c r="R795" s="24"/>
      <c r="S795" s="24"/>
      <c r="T795" s="24"/>
      <c r="U795" s="24"/>
      <c r="V795" s="24"/>
      <c r="W795" s="24"/>
      <c r="X795" s="24"/>
      <c r="Y795" s="24"/>
      <c r="Z795" s="24"/>
      <c r="AA795" s="24"/>
      <c r="AB795" s="24"/>
      <c r="AC795" s="24"/>
      <c r="AD795" s="24"/>
      <c r="AE795" s="24"/>
    </row>
    <row r="796" spans="1:31" ht="12.9">
      <c r="A796" s="24"/>
      <c r="B796" s="143"/>
      <c r="C796" s="24"/>
      <c r="D796" s="24"/>
      <c r="E796" s="24"/>
      <c r="F796" s="24"/>
      <c r="G796" s="24"/>
      <c r="H796" s="117"/>
      <c r="I796" s="117"/>
      <c r="J796" s="24"/>
      <c r="K796" s="24"/>
      <c r="L796" s="24"/>
      <c r="M796" s="24"/>
      <c r="N796" s="24"/>
      <c r="O796" s="24"/>
      <c r="P796" s="24"/>
      <c r="Q796" s="24"/>
      <c r="R796" s="24"/>
      <c r="S796" s="24"/>
      <c r="T796" s="24"/>
      <c r="U796" s="24"/>
      <c r="V796" s="24"/>
      <c r="W796" s="24"/>
      <c r="X796" s="24"/>
      <c r="Y796" s="24"/>
      <c r="Z796" s="24"/>
      <c r="AA796" s="24"/>
      <c r="AB796" s="24"/>
      <c r="AC796" s="24"/>
      <c r="AD796" s="24"/>
      <c r="AE796" s="24"/>
    </row>
    <row r="797" spans="1:31" ht="12.9">
      <c r="A797" s="24"/>
      <c r="B797" s="143"/>
      <c r="C797" s="24"/>
      <c r="D797" s="24"/>
      <c r="E797" s="24"/>
      <c r="F797" s="24"/>
      <c r="G797" s="24"/>
      <c r="H797" s="117"/>
      <c r="I797" s="117"/>
      <c r="J797" s="24"/>
      <c r="K797" s="24"/>
      <c r="L797" s="24"/>
      <c r="M797" s="24"/>
      <c r="N797" s="24"/>
      <c r="O797" s="24"/>
      <c r="P797" s="24"/>
      <c r="Q797" s="24"/>
      <c r="R797" s="24"/>
      <c r="S797" s="24"/>
      <c r="T797" s="24"/>
      <c r="U797" s="24"/>
      <c r="V797" s="24"/>
      <c r="W797" s="24"/>
      <c r="X797" s="24"/>
      <c r="Y797" s="24"/>
      <c r="Z797" s="24"/>
      <c r="AA797" s="24"/>
      <c r="AB797" s="24"/>
      <c r="AC797" s="24"/>
      <c r="AD797" s="24"/>
      <c r="AE797" s="24"/>
    </row>
    <row r="798" spans="1:31" ht="12.9">
      <c r="A798" s="24"/>
      <c r="B798" s="143"/>
      <c r="C798" s="24"/>
      <c r="D798" s="24"/>
      <c r="E798" s="24"/>
      <c r="F798" s="24"/>
      <c r="G798" s="24"/>
      <c r="H798" s="117"/>
      <c r="I798" s="117"/>
      <c r="J798" s="24"/>
      <c r="K798" s="24"/>
      <c r="L798" s="24"/>
      <c r="M798" s="24"/>
      <c r="N798" s="24"/>
      <c r="O798" s="24"/>
      <c r="P798" s="24"/>
      <c r="Q798" s="24"/>
      <c r="R798" s="24"/>
      <c r="S798" s="24"/>
      <c r="T798" s="24"/>
      <c r="U798" s="24"/>
      <c r="V798" s="24"/>
      <c r="W798" s="24"/>
      <c r="X798" s="24"/>
      <c r="Y798" s="24"/>
      <c r="Z798" s="24"/>
      <c r="AA798" s="24"/>
      <c r="AB798" s="24"/>
      <c r="AC798" s="24"/>
      <c r="AD798" s="24"/>
      <c r="AE798" s="24"/>
    </row>
    <row r="799" spans="1:31" ht="12.9">
      <c r="A799" s="24"/>
      <c r="B799" s="143"/>
      <c r="C799" s="24"/>
      <c r="D799" s="24"/>
      <c r="E799" s="24"/>
      <c r="F799" s="24"/>
      <c r="G799" s="24"/>
      <c r="H799" s="117"/>
      <c r="I799" s="117"/>
      <c r="J799" s="24"/>
      <c r="K799" s="24"/>
      <c r="L799" s="24"/>
      <c r="M799" s="24"/>
      <c r="N799" s="24"/>
      <c r="O799" s="24"/>
      <c r="P799" s="24"/>
      <c r="Q799" s="24"/>
      <c r="R799" s="24"/>
      <c r="S799" s="24"/>
      <c r="T799" s="24"/>
      <c r="U799" s="24"/>
      <c r="V799" s="24"/>
      <c r="W799" s="24"/>
      <c r="X799" s="24"/>
      <c r="Y799" s="24"/>
      <c r="Z799" s="24"/>
      <c r="AA799" s="24"/>
      <c r="AB799" s="24"/>
      <c r="AC799" s="24"/>
      <c r="AD799" s="24"/>
      <c r="AE799" s="24"/>
    </row>
    <row r="800" spans="1:31" ht="12.9">
      <c r="A800" s="24"/>
      <c r="B800" s="143"/>
      <c r="C800" s="24"/>
      <c r="D800" s="24"/>
      <c r="E800" s="24"/>
      <c r="F800" s="24"/>
      <c r="G800" s="24"/>
      <c r="H800" s="117"/>
      <c r="I800" s="117"/>
      <c r="J800" s="24"/>
      <c r="K800" s="24"/>
      <c r="L800" s="24"/>
      <c r="M800" s="24"/>
      <c r="N800" s="24"/>
      <c r="O800" s="24"/>
      <c r="P800" s="24"/>
      <c r="Q800" s="24"/>
      <c r="R800" s="24"/>
      <c r="S800" s="24"/>
      <c r="T800" s="24"/>
      <c r="U800" s="24"/>
      <c r="V800" s="24"/>
      <c r="W800" s="24"/>
      <c r="X800" s="24"/>
      <c r="Y800" s="24"/>
      <c r="Z800" s="24"/>
      <c r="AA800" s="24"/>
      <c r="AB800" s="24"/>
      <c r="AC800" s="24"/>
      <c r="AD800" s="24"/>
      <c r="AE800" s="24"/>
    </row>
    <row r="801" spans="1:31" ht="12.9">
      <c r="A801" s="24"/>
      <c r="B801" s="143"/>
      <c r="C801" s="24"/>
      <c r="D801" s="24"/>
      <c r="E801" s="24"/>
      <c r="F801" s="24"/>
      <c r="G801" s="24"/>
      <c r="H801" s="117"/>
      <c r="I801" s="117"/>
      <c r="J801" s="24"/>
      <c r="K801" s="24"/>
      <c r="L801" s="24"/>
      <c r="M801" s="24"/>
      <c r="N801" s="24"/>
      <c r="O801" s="24"/>
      <c r="P801" s="24"/>
      <c r="Q801" s="24"/>
      <c r="R801" s="24"/>
      <c r="S801" s="24"/>
      <c r="T801" s="24"/>
      <c r="U801" s="24"/>
      <c r="V801" s="24"/>
      <c r="W801" s="24"/>
      <c r="X801" s="24"/>
      <c r="Y801" s="24"/>
      <c r="Z801" s="24"/>
      <c r="AA801" s="24"/>
      <c r="AB801" s="24"/>
      <c r="AC801" s="24"/>
      <c r="AD801" s="24"/>
      <c r="AE801" s="24"/>
    </row>
    <row r="802" spans="1:31" ht="12.9">
      <c r="A802" s="24"/>
      <c r="B802" s="143"/>
      <c r="C802" s="24"/>
      <c r="D802" s="24"/>
      <c r="E802" s="24"/>
      <c r="F802" s="24"/>
      <c r="G802" s="24"/>
      <c r="H802" s="117"/>
      <c r="I802" s="117"/>
      <c r="J802" s="24"/>
      <c r="K802" s="24"/>
      <c r="L802" s="24"/>
      <c r="M802" s="24"/>
      <c r="N802" s="24"/>
      <c r="O802" s="24"/>
      <c r="P802" s="24"/>
      <c r="Q802" s="24"/>
      <c r="R802" s="24"/>
      <c r="S802" s="24"/>
      <c r="T802" s="24"/>
      <c r="U802" s="24"/>
      <c r="V802" s="24"/>
      <c r="W802" s="24"/>
      <c r="X802" s="24"/>
      <c r="Y802" s="24"/>
      <c r="Z802" s="24"/>
      <c r="AA802" s="24"/>
      <c r="AB802" s="24"/>
      <c r="AC802" s="24"/>
      <c r="AD802" s="24"/>
      <c r="AE802" s="24"/>
    </row>
    <row r="803" spans="1:31" ht="12.9">
      <c r="A803" s="24"/>
      <c r="B803" s="143"/>
      <c r="C803" s="24"/>
      <c r="D803" s="24"/>
      <c r="E803" s="24"/>
      <c r="F803" s="24"/>
      <c r="G803" s="24"/>
      <c r="H803" s="117"/>
      <c r="I803" s="117"/>
      <c r="J803" s="24"/>
      <c r="K803" s="24"/>
      <c r="L803" s="24"/>
      <c r="M803" s="24"/>
      <c r="N803" s="24"/>
      <c r="O803" s="24"/>
      <c r="P803" s="24"/>
      <c r="Q803" s="24"/>
      <c r="R803" s="24"/>
      <c r="S803" s="24"/>
      <c r="T803" s="24"/>
      <c r="U803" s="24"/>
      <c r="V803" s="24"/>
      <c r="W803" s="24"/>
      <c r="X803" s="24"/>
      <c r="Y803" s="24"/>
      <c r="Z803" s="24"/>
      <c r="AA803" s="24"/>
      <c r="AB803" s="24"/>
      <c r="AC803" s="24"/>
      <c r="AD803" s="24"/>
      <c r="AE803" s="24"/>
    </row>
    <row r="804" spans="1:31" ht="12.9">
      <c r="A804" s="24"/>
      <c r="B804" s="143"/>
      <c r="C804" s="24"/>
      <c r="D804" s="24"/>
      <c r="E804" s="24"/>
      <c r="F804" s="24"/>
      <c r="G804" s="24"/>
      <c r="H804" s="117"/>
      <c r="I804" s="117"/>
      <c r="J804" s="24"/>
      <c r="K804" s="24"/>
      <c r="L804" s="24"/>
      <c r="M804" s="24"/>
      <c r="N804" s="24"/>
      <c r="O804" s="24"/>
      <c r="P804" s="24"/>
      <c r="Q804" s="24"/>
      <c r="R804" s="24"/>
      <c r="S804" s="24"/>
      <c r="T804" s="24"/>
      <c r="U804" s="24"/>
      <c r="V804" s="24"/>
      <c r="W804" s="24"/>
      <c r="X804" s="24"/>
      <c r="Y804" s="24"/>
      <c r="Z804" s="24"/>
      <c r="AA804" s="24"/>
      <c r="AB804" s="24"/>
      <c r="AC804" s="24"/>
      <c r="AD804" s="24"/>
      <c r="AE804" s="24"/>
    </row>
    <row r="805" spans="1:31" ht="12.9">
      <c r="A805" s="24"/>
      <c r="B805" s="143"/>
      <c r="C805" s="24"/>
      <c r="D805" s="24"/>
      <c r="E805" s="24"/>
      <c r="F805" s="24"/>
      <c r="G805" s="24"/>
      <c r="H805" s="117"/>
      <c r="I805" s="117"/>
      <c r="J805" s="24"/>
      <c r="K805" s="24"/>
      <c r="L805" s="24"/>
      <c r="M805" s="24"/>
      <c r="N805" s="24"/>
      <c r="O805" s="24"/>
      <c r="P805" s="24"/>
      <c r="Q805" s="24"/>
      <c r="R805" s="24"/>
      <c r="S805" s="24"/>
      <c r="T805" s="24"/>
      <c r="U805" s="24"/>
      <c r="V805" s="24"/>
      <c r="W805" s="24"/>
      <c r="X805" s="24"/>
      <c r="Y805" s="24"/>
      <c r="Z805" s="24"/>
      <c r="AA805" s="24"/>
      <c r="AB805" s="24"/>
      <c r="AC805" s="24"/>
      <c r="AD805" s="24"/>
      <c r="AE805" s="24"/>
    </row>
    <row r="806" spans="1:31" ht="12.9">
      <c r="A806" s="24"/>
      <c r="B806" s="143"/>
      <c r="C806" s="24"/>
      <c r="D806" s="24"/>
      <c r="E806" s="24"/>
      <c r="F806" s="24"/>
      <c r="G806" s="24"/>
      <c r="H806" s="117"/>
      <c r="I806" s="117"/>
      <c r="J806" s="24"/>
      <c r="K806" s="24"/>
      <c r="L806" s="24"/>
      <c r="M806" s="24"/>
      <c r="N806" s="24"/>
      <c r="O806" s="24"/>
      <c r="P806" s="24"/>
      <c r="Q806" s="24"/>
      <c r="R806" s="24"/>
      <c r="S806" s="24"/>
      <c r="T806" s="24"/>
      <c r="U806" s="24"/>
      <c r="V806" s="24"/>
      <c r="W806" s="24"/>
      <c r="X806" s="24"/>
      <c r="Y806" s="24"/>
      <c r="Z806" s="24"/>
      <c r="AA806" s="24"/>
      <c r="AB806" s="24"/>
      <c r="AC806" s="24"/>
      <c r="AD806" s="24"/>
      <c r="AE806" s="24"/>
    </row>
    <row r="807" spans="1:31" ht="12.9">
      <c r="A807" s="24"/>
      <c r="B807" s="143"/>
      <c r="C807" s="24"/>
      <c r="D807" s="24"/>
      <c r="E807" s="24"/>
      <c r="F807" s="24"/>
      <c r="G807" s="24"/>
      <c r="H807" s="117"/>
      <c r="I807" s="117"/>
      <c r="J807" s="24"/>
      <c r="K807" s="24"/>
      <c r="L807" s="24"/>
      <c r="M807" s="24"/>
      <c r="N807" s="24"/>
      <c r="O807" s="24"/>
      <c r="P807" s="24"/>
      <c r="Q807" s="24"/>
      <c r="R807" s="24"/>
      <c r="S807" s="24"/>
      <c r="T807" s="24"/>
      <c r="U807" s="24"/>
      <c r="V807" s="24"/>
      <c r="W807" s="24"/>
      <c r="X807" s="24"/>
      <c r="Y807" s="24"/>
      <c r="Z807" s="24"/>
      <c r="AA807" s="24"/>
      <c r="AB807" s="24"/>
      <c r="AC807" s="24"/>
      <c r="AD807" s="24"/>
      <c r="AE807" s="24"/>
    </row>
    <row r="808" spans="1:31" ht="12.9">
      <c r="A808" s="24"/>
      <c r="B808" s="143"/>
      <c r="C808" s="24"/>
      <c r="D808" s="24"/>
      <c r="E808" s="24"/>
      <c r="F808" s="24"/>
      <c r="G808" s="24"/>
      <c r="H808" s="117"/>
      <c r="I808" s="117"/>
      <c r="J808" s="24"/>
      <c r="K808" s="24"/>
      <c r="L808" s="24"/>
      <c r="M808" s="24"/>
      <c r="N808" s="24"/>
      <c r="O808" s="24"/>
      <c r="P808" s="24"/>
      <c r="Q808" s="24"/>
      <c r="R808" s="24"/>
      <c r="S808" s="24"/>
      <c r="T808" s="24"/>
      <c r="U808" s="24"/>
      <c r="V808" s="24"/>
      <c r="W808" s="24"/>
      <c r="X808" s="24"/>
      <c r="Y808" s="24"/>
      <c r="Z808" s="24"/>
      <c r="AA808" s="24"/>
      <c r="AB808" s="24"/>
      <c r="AC808" s="24"/>
      <c r="AD808" s="24"/>
      <c r="AE808" s="24"/>
    </row>
    <row r="809" spans="1:31" ht="12.9">
      <c r="A809" s="24"/>
      <c r="B809" s="143"/>
      <c r="C809" s="24"/>
      <c r="D809" s="24"/>
      <c r="E809" s="24"/>
      <c r="F809" s="24"/>
      <c r="G809" s="24"/>
      <c r="H809" s="117"/>
      <c r="I809" s="117"/>
      <c r="J809" s="24"/>
      <c r="K809" s="24"/>
      <c r="L809" s="24"/>
      <c r="M809" s="24"/>
      <c r="N809" s="24"/>
      <c r="O809" s="24"/>
      <c r="P809" s="24"/>
      <c r="Q809" s="24"/>
      <c r="R809" s="24"/>
      <c r="S809" s="24"/>
      <c r="T809" s="24"/>
      <c r="U809" s="24"/>
      <c r="V809" s="24"/>
      <c r="W809" s="24"/>
      <c r="X809" s="24"/>
      <c r="Y809" s="24"/>
      <c r="Z809" s="24"/>
      <c r="AA809" s="24"/>
      <c r="AB809" s="24"/>
      <c r="AC809" s="24"/>
      <c r="AD809" s="24"/>
      <c r="AE809" s="24"/>
    </row>
    <row r="810" spans="1:31" ht="12.9">
      <c r="A810" s="24"/>
      <c r="B810" s="143"/>
      <c r="C810" s="24"/>
      <c r="D810" s="24"/>
      <c r="E810" s="24"/>
      <c r="F810" s="24"/>
      <c r="G810" s="24"/>
      <c r="H810" s="117"/>
      <c r="I810" s="117"/>
      <c r="J810" s="24"/>
      <c r="K810" s="24"/>
      <c r="L810" s="24"/>
      <c r="M810" s="24"/>
      <c r="N810" s="24"/>
      <c r="O810" s="24"/>
      <c r="P810" s="24"/>
      <c r="Q810" s="24"/>
      <c r="R810" s="24"/>
      <c r="S810" s="24"/>
      <c r="T810" s="24"/>
      <c r="U810" s="24"/>
      <c r="V810" s="24"/>
      <c r="W810" s="24"/>
      <c r="X810" s="24"/>
      <c r="Y810" s="24"/>
      <c r="Z810" s="24"/>
      <c r="AA810" s="24"/>
      <c r="AB810" s="24"/>
      <c r="AC810" s="24"/>
      <c r="AD810" s="24"/>
      <c r="AE810" s="24"/>
    </row>
    <row r="811" spans="1:31" ht="12.9">
      <c r="A811" s="24"/>
      <c r="B811" s="143"/>
      <c r="C811" s="24"/>
      <c r="D811" s="24"/>
      <c r="E811" s="24"/>
      <c r="F811" s="24"/>
      <c r="G811" s="24"/>
      <c r="H811" s="117"/>
      <c r="I811" s="117"/>
      <c r="J811" s="24"/>
      <c r="K811" s="24"/>
      <c r="L811" s="24"/>
      <c r="M811" s="24"/>
      <c r="N811" s="24"/>
      <c r="O811" s="24"/>
      <c r="P811" s="24"/>
      <c r="Q811" s="24"/>
      <c r="R811" s="24"/>
      <c r="S811" s="24"/>
      <c r="T811" s="24"/>
      <c r="U811" s="24"/>
      <c r="V811" s="24"/>
      <c r="W811" s="24"/>
      <c r="X811" s="24"/>
      <c r="Y811" s="24"/>
      <c r="Z811" s="24"/>
      <c r="AA811" s="24"/>
      <c r="AB811" s="24"/>
      <c r="AC811" s="24"/>
      <c r="AD811" s="24"/>
      <c r="AE811" s="24"/>
    </row>
    <row r="812" spans="1:31" ht="12.9">
      <c r="A812" s="24"/>
      <c r="B812" s="143"/>
      <c r="C812" s="24"/>
      <c r="D812" s="24"/>
      <c r="E812" s="24"/>
      <c r="F812" s="24"/>
      <c r="G812" s="24"/>
      <c r="H812" s="117"/>
      <c r="I812" s="117"/>
      <c r="J812" s="24"/>
      <c r="K812" s="24"/>
      <c r="L812" s="24"/>
      <c r="M812" s="24"/>
      <c r="N812" s="24"/>
      <c r="O812" s="24"/>
      <c r="P812" s="24"/>
      <c r="Q812" s="24"/>
      <c r="R812" s="24"/>
      <c r="S812" s="24"/>
      <c r="T812" s="24"/>
      <c r="U812" s="24"/>
      <c r="V812" s="24"/>
      <c r="W812" s="24"/>
      <c r="X812" s="24"/>
      <c r="Y812" s="24"/>
      <c r="Z812" s="24"/>
      <c r="AA812" s="24"/>
      <c r="AB812" s="24"/>
      <c r="AC812" s="24"/>
      <c r="AD812" s="24"/>
      <c r="AE812" s="24"/>
    </row>
    <row r="813" spans="1:31" ht="12.9">
      <c r="A813" s="24"/>
      <c r="B813" s="143"/>
      <c r="C813" s="24"/>
      <c r="D813" s="24"/>
      <c r="E813" s="24"/>
      <c r="F813" s="24"/>
      <c r="G813" s="24"/>
      <c r="H813" s="117"/>
      <c r="I813" s="117"/>
      <c r="J813" s="24"/>
      <c r="K813" s="24"/>
      <c r="L813" s="24"/>
      <c r="M813" s="24"/>
      <c r="N813" s="24"/>
      <c r="O813" s="24"/>
      <c r="P813" s="24"/>
      <c r="Q813" s="24"/>
      <c r="R813" s="24"/>
      <c r="S813" s="24"/>
      <c r="T813" s="24"/>
      <c r="U813" s="24"/>
      <c r="V813" s="24"/>
      <c r="W813" s="24"/>
      <c r="X813" s="24"/>
      <c r="Y813" s="24"/>
      <c r="Z813" s="24"/>
      <c r="AA813" s="24"/>
      <c r="AB813" s="24"/>
      <c r="AC813" s="24"/>
      <c r="AD813" s="24"/>
      <c r="AE813" s="24"/>
    </row>
    <row r="814" spans="1:31" ht="12.9">
      <c r="A814" s="24"/>
      <c r="B814" s="143"/>
      <c r="C814" s="24"/>
      <c r="D814" s="24"/>
      <c r="E814" s="24"/>
      <c r="F814" s="24"/>
      <c r="G814" s="24"/>
      <c r="H814" s="117"/>
      <c r="I814" s="117"/>
      <c r="J814" s="24"/>
      <c r="K814" s="24"/>
      <c r="L814" s="24"/>
      <c r="M814" s="24"/>
      <c r="N814" s="24"/>
      <c r="O814" s="24"/>
      <c r="P814" s="24"/>
      <c r="Q814" s="24"/>
      <c r="R814" s="24"/>
      <c r="S814" s="24"/>
      <c r="T814" s="24"/>
      <c r="U814" s="24"/>
      <c r="V814" s="24"/>
      <c r="W814" s="24"/>
      <c r="X814" s="24"/>
      <c r="Y814" s="24"/>
      <c r="Z814" s="24"/>
      <c r="AA814" s="24"/>
      <c r="AB814" s="24"/>
      <c r="AC814" s="24"/>
      <c r="AD814" s="24"/>
      <c r="AE814" s="24"/>
    </row>
    <row r="815" spans="1:31" ht="12.9">
      <c r="A815" s="24"/>
      <c r="B815" s="143"/>
      <c r="C815" s="24"/>
      <c r="D815" s="24"/>
      <c r="E815" s="24"/>
      <c r="F815" s="24"/>
      <c r="G815" s="24"/>
      <c r="H815" s="117"/>
      <c r="I815" s="117"/>
      <c r="J815" s="24"/>
      <c r="K815" s="24"/>
      <c r="L815" s="24"/>
      <c r="M815" s="24"/>
      <c r="N815" s="24"/>
      <c r="O815" s="24"/>
      <c r="P815" s="24"/>
      <c r="Q815" s="24"/>
      <c r="R815" s="24"/>
      <c r="S815" s="24"/>
      <c r="T815" s="24"/>
      <c r="U815" s="24"/>
      <c r="V815" s="24"/>
      <c r="W815" s="24"/>
      <c r="X815" s="24"/>
      <c r="Y815" s="24"/>
      <c r="Z815" s="24"/>
      <c r="AA815" s="24"/>
      <c r="AB815" s="24"/>
      <c r="AC815" s="24"/>
      <c r="AD815" s="24"/>
      <c r="AE815" s="24"/>
    </row>
    <row r="816" spans="1:31" ht="12.9">
      <c r="A816" s="24"/>
      <c r="B816" s="143"/>
      <c r="C816" s="24"/>
      <c r="D816" s="24"/>
      <c r="E816" s="24"/>
      <c r="F816" s="24"/>
      <c r="G816" s="24"/>
      <c r="H816" s="117"/>
      <c r="I816" s="117"/>
      <c r="J816" s="24"/>
      <c r="K816" s="24"/>
      <c r="L816" s="24"/>
      <c r="M816" s="24"/>
      <c r="N816" s="24"/>
      <c r="O816" s="24"/>
      <c r="P816" s="24"/>
      <c r="Q816" s="24"/>
      <c r="R816" s="24"/>
      <c r="S816" s="24"/>
      <c r="T816" s="24"/>
      <c r="U816" s="24"/>
      <c r="V816" s="24"/>
      <c r="W816" s="24"/>
      <c r="X816" s="24"/>
      <c r="Y816" s="24"/>
      <c r="Z816" s="24"/>
      <c r="AA816" s="24"/>
      <c r="AB816" s="24"/>
      <c r="AC816" s="24"/>
      <c r="AD816" s="24"/>
      <c r="AE816" s="24"/>
    </row>
    <row r="817" spans="1:31" ht="12.9">
      <c r="A817" s="24"/>
      <c r="B817" s="143"/>
      <c r="C817" s="24"/>
      <c r="D817" s="24"/>
      <c r="E817" s="24"/>
      <c r="F817" s="24"/>
      <c r="G817" s="24"/>
      <c r="H817" s="117"/>
      <c r="I817" s="117"/>
      <c r="J817" s="24"/>
      <c r="K817" s="24"/>
      <c r="L817" s="24"/>
      <c r="M817" s="24"/>
      <c r="N817" s="24"/>
      <c r="O817" s="24"/>
      <c r="P817" s="24"/>
      <c r="Q817" s="24"/>
      <c r="R817" s="24"/>
      <c r="S817" s="24"/>
      <c r="T817" s="24"/>
      <c r="U817" s="24"/>
      <c r="V817" s="24"/>
      <c r="W817" s="24"/>
      <c r="X817" s="24"/>
      <c r="Y817" s="24"/>
      <c r="Z817" s="24"/>
      <c r="AA817" s="24"/>
      <c r="AB817" s="24"/>
      <c r="AC817" s="24"/>
      <c r="AD817" s="24"/>
      <c r="AE817" s="24"/>
    </row>
    <row r="818" spans="1:31" ht="12.9">
      <c r="A818" s="24"/>
      <c r="B818" s="143"/>
      <c r="C818" s="24"/>
      <c r="D818" s="24"/>
      <c r="E818" s="24"/>
      <c r="F818" s="24"/>
      <c r="G818" s="24"/>
      <c r="H818" s="117"/>
      <c r="I818" s="117"/>
      <c r="J818" s="24"/>
      <c r="K818" s="24"/>
      <c r="L818" s="24"/>
      <c r="M818" s="24"/>
      <c r="N818" s="24"/>
      <c r="O818" s="24"/>
      <c r="P818" s="24"/>
      <c r="Q818" s="24"/>
      <c r="R818" s="24"/>
      <c r="S818" s="24"/>
      <c r="T818" s="24"/>
      <c r="U818" s="24"/>
      <c r="V818" s="24"/>
      <c r="W818" s="24"/>
      <c r="X818" s="24"/>
      <c r="Y818" s="24"/>
      <c r="Z818" s="24"/>
      <c r="AA818" s="24"/>
      <c r="AB818" s="24"/>
      <c r="AC818" s="24"/>
      <c r="AD818" s="24"/>
      <c r="AE818" s="24"/>
    </row>
    <row r="819" spans="1:31" ht="12.9">
      <c r="A819" s="24"/>
      <c r="B819" s="143"/>
      <c r="C819" s="24"/>
      <c r="D819" s="24"/>
      <c r="E819" s="24"/>
      <c r="F819" s="24"/>
      <c r="G819" s="24"/>
      <c r="H819" s="117"/>
      <c r="I819" s="117"/>
      <c r="J819" s="24"/>
      <c r="K819" s="24"/>
      <c r="L819" s="24"/>
      <c r="M819" s="24"/>
      <c r="N819" s="24"/>
      <c r="O819" s="24"/>
      <c r="P819" s="24"/>
      <c r="Q819" s="24"/>
      <c r="R819" s="24"/>
      <c r="S819" s="24"/>
      <c r="T819" s="24"/>
      <c r="U819" s="24"/>
      <c r="V819" s="24"/>
      <c r="W819" s="24"/>
      <c r="X819" s="24"/>
      <c r="Y819" s="24"/>
      <c r="Z819" s="24"/>
      <c r="AA819" s="24"/>
      <c r="AB819" s="24"/>
      <c r="AC819" s="24"/>
      <c r="AD819" s="24"/>
      <c r="AE819" s="24"/>
    </row>
    <row r="820" spans="1:31" ht="12.9">
      <c r="A820" s="24"/>
      <c r="B820" s="143"/>
      <c r="C820" s="24"/>
      <c r="D820" s="24"/>
      <c r="E820" s="24"/>
      <c r="F820" s="24"/>
      <c r="G820" s="24"/>
      <c r="H820" s="117"/>
      <c r="I820" s="117"/>
      <c r="J820" s="24"/>
      <c r="K820" s="24"/>
      <c r="L820" s="24"/>
      <c r="M820" s="24"/>
      <c r="N820" s="24"/>
      <c r="O820" s="24"/>
      <c r="P820" s="24"/>
      <c r="Q820" s="24"/>
      <c r="R820" s="24"/>
      <c r="S820" s="24"/>
      <c r="T820" s="24"/>
      <c r="U820" s="24"/>
      <c r="V820" s="24"/>
      <c r="W820" s="24"/>
      <c r="X820" s="24"/>
      <c r="Y820" s="24"/>
      <c r="Z820" s="24"/>
      <c r="AA820" s="24"/>
      <c r="AB820" s="24"/>
      <c r="AC820" s="24"/>
      <c r="AD820" s="24"/>
      <c r="AE820" s="24"/>
    </row>
    <row r="821" spans="1:31" ht="12.9">
      <c r="A821" s="24"/>
      <c r="B821" s="143"/>
      <c r="C821" s="24"/>
      <c r="D821" s="24"/>
      <c r="E821" s="24"/>
      <c r="F821" s="24"/>
      <c r="G821" s="24"/>
      <c r="H821" s="117"/>
      <c r="I821" s="117"/>
      <c r="J821" s="24"/>
      <c r="K821" s="24"/>
      <c r="L821" s="24"/>
      <c r="M821" s="24"/>
      <c r="N821" s="24"/>
      <c r="O821" s="24"/>
      <c r="P821" s="24"/>
      <c r="Q821" s="24"/>
      <c r="R821" s="24"/>
      <c r="S821" s="24"/>
      <c r="T821" s="24"/>
      <c r="U821" s="24"/>
      <c r="V821" s="24"/>
      <c r="W821" s="24"/>
      <c r="X821" s="24"/>
      <c r="Y821" s="24"/>
      <c r="Z821" s="24"/>
      <c r="AA821" s="24"/>
      <c r="AB821" s="24"/>
      <c r="AC821" s="24"/>
      <c r="AD821" s="24"/>
      <c r="AE821" s="24"/>
    </row>
    <row r="822" spans="1:31" ht="12.9">
      <c r="A822" s="24"/>
      <c r="B822" s="143"/>
      <c r="C822" s="24"/>
      <c r="D822" s="24"/>
      <c r="E822" s="24"/>
      <c r="F822" s="24"/>
      <c r="G822" s="24"/>
      <c r="H822" s="117"/>
      <c r="I822" s="117"/>
      <c r="J822" s="24"/>
      <c r="K822" s="24"/>
      <c r="L822" s="24"/>
      <c r="M822" s="24"/>
      <c r="N822" s="24"/>
      <c r="O822" s="24"/>
      <c r="P822" s="24"/>
      <c r="Q822" s="24"/>
      <c r="R822" s="24"/>
      <c r="S822" s="24"/>
      <c r="T822" s="24"/>
      <c r="U822" s="24"/>
      <c r="V822" s="24"/>
      <c r="W822" s="24"/>
      <c r="X822" s="24"/>
      <c r="Y822" s="24"/>
      <c r="Z822" s="24"/>
      <c r="AA822" s="24"/>
      <c r="AB822" s="24"/>
      <c r="AC822" s="24"/>
      <c r="AD822" s="24"/>
      <c r="AE822" s="24"/>
    </row>
    <row r="823" spans="1:31" ht="12.9">
      <c r="A823" s="24"/>
      <c r="B823" s="143"/>
      <c r="C823" s="24"/>
      <c r="D823" s="24"/>
      <c r="E823" s="24"/>
      <c r="F823" s="24"/>
      <c r="G823" s="24"/>
      <c r="H823" s="117"/>
      <c r="I823" s="117"/>
      <c r="J823" s="24"/>
      <c r="K823" s="24"/>
      <c r="L823" s="24"/>
      <c r="M823" s="24"/>
      <c r="N823" s="24"/>
      <c r="O823" s="24"/>
      <c r="P823" s="24"/>
      <c r="Q823" s="24"/>
      <c r="R823" s="24"/>
      <c r="S823" s="24"/>
      <c r="T823" s="24"/>
      <c r="U823" s="24"/>
      <c r="V823" s="24"/>
      <c r="W823" s="24"/>
      <c r="X823" s="24"/>
      <c r="Y823" s="24"/>
      <c r="Z823" s="24"/>
      <c r="AA823" s="24"/>
      <c r="AB823" s="24"/>
      <c r="AC823" s="24"/>
      <c r="AD823" s="24"/>
      <c r="AE823" s="24"/>
    </row>
    <row r="824" spans="1:31" ht="12.9">
      <c r="A824" s="24"/>
      <c r="B824" s="143"/>
      <c r="C824" s="24"/>
      <c r="D824" s="24"/>
      <c r="E824" s="24"/>
      <c r="F824" s="24"/>
      <c r="G824" s="24"/>
      <c r="H824" s="117"/>
      <c r="I824" s="117"/>
      <c r="J824" s="24"/>
      <c r="K824" s="24"/>
      <c r="L824" s="24"/>
      <c r="M824" s="24"/>
      <c r="N824" s="24"/>
      <c r="O824" s="24"/>
      <c r="P824" s="24"/>
      <c r="Q824" s="24"/>
      <c r="R824" s="24"/>
      <c r="S824" s="24"/>
      <c r="T824" s="24"/>
      <c r="U824" s="24"/>
      <c r="V824" s="24"/>
      <c r="W824" s="24"/>
      <c r="X824" s="24"/>
      <c r="Y824" s="24"/>
      <c r="Z824" s="24"/>
      <c r="AA824" s="24"/>
      <c r="AB824" s="24"/>
      <c r="AC824" s="24"/>
      <c r="AD824" s="24"/>
      <c r="AE824" s="24"/>
    </row>
    <row r="825" spans="1:31" ht="12.9">
      <c r="A825" s="24"/>
      <c r="B825" s="143"/>
      <c r="C825" s="24"/>
      <c r="D825" s="24"/>
      <c r="E825" s="24"/>
      <c r="F825" s="24"/>
      <c r="G825" s="24"/>
      <c r="H825" s="117"/>
      <c r="I825" s="117"/>
      <c r="J825" s="24"/>
      <c r="K825" s="24"/>
      <c r="L825" s="24"/>
      <c r="M825" s="24"/>
      <c r="N825" s="24"/>
      <c r="O825" s="24"/>
      <c r="P825" s="24"/>
      <c r="Q825" s="24"/>
      <c r="R825" s="24"/>
      <c r="S825" s="24"/>
      <c r="T825" s="24"/>
      <c r="U825" s="24"/>
      <c r="V825" s="24"/>
      <c r="W825" s="24"/>
      <c r="X825" s="24"/>
      <c r="Y825" s="24"/>
      <c r="Z825" s="24"/>
      <c r="AA825" s="24"/>
      <c r="AB825" s="24"/>
      <c r="AC825" s="24"/>
      <c r="AD825" s="24"/>
      <c r="AE825" s="24"/>
    </row>
    <row r="826" spans="1:31" ht="12.9">
      <c r="A826" s="24"/>
      <c r="B826" s="143"/>
      <c r="C826" s="24"/>
      <c r="D826" s="24"/>
      <c r="E826" s="24"/>
      <c r="F826" s="24"/>
      <c r="G826" s="24"/>
      <c r="H826" s="117"/>
      <c r="I826" s="117"/>
      <c r="J826" s="24"/>
      <c r="K826" s="24"/>
      <c r="L826" s="24"/>
      <c r="M826" s="24"/>
      <c r="N826" s="24"/>
      <c r="O826" s="24"/>
      <c r="P826" s="24"/>
      <c r="Q826" s="24"/>
      <c r="R826" s="24"/>
      <c r="S826" s="24"/>
      <c r="T826" s="24"/>
      <c r="U826" s="24"/>
      <c r="V826" s="24"/>
      <c r="W826" s="24"/>
      <c r="X826" s="24"/>
      <c r="Y826" s="24"/>
      <c r="Z826" s="24"/>
      <c r="AA826" s="24"/>
      <c r="AB826" s="24"/>
      <c r="AC826" s="24"/>
      <c r="AD826" s="24"/>
      <c r="AE826" s="24"/>
    </row>
    <row r="827" spans="1:31" ht="12.9">
      <c r="A827" s="24"/>
      <c r="B827" s="143"/>
      <c r="C827" s="24"/>
      <c r="D827" s="24"/>
      <c r="E827" s="24"/>
      <c r="F827" s="24"/>
      <c r="G827" s="24"/>
      <c r="H827" s="117"/>
      <c r="I827" s="117"/>
      <c r="J827" s="24"/>
      <c r="K827" s="24"/>
      <c r="L827" s="24"/>
      <c r="M827" s="24"/>
      <c r="N827" s="24"/>
      <c r="O827" s="24"/>
      <c r="P827" s="24"/>
      <c r="Q827" s="24"/>
      <c r="R827" s="24"/>
      <c r="S827" s="24"/>
      <c r="T827" s="24"/>
      <c r="U827" s="24"/>
      <c r="V827" s="24"/>
      <c r="W827" s="24"/>
      <c r="X827" s="24"/>
      <c r="Y827" s="24"/>
      <c r="Z827" s="24"/>
      <c r="AA827" s="24"/>
      <c r="AB827" s="24"/>
      <c r="AC827" s="24"/>
      <c r="AD827" s="24"/>
      <c r="AE827" s="24"/>
    </row>
    <row r="828" spans="1:31" ht="12.9">
      <c r="A828" s="24"/>
      <c r="B828" s="143"/>
      <c r="C828" s="24"/>
      <c r="D828" s="24"/>
      <c r="E828" s="24"/>
      <c r="F828" s="24"/>
      <c r="G828" s="24"/>
      <c r="H828" s="117"/>
      <c r="I828" s="117"/>
      <c r="J828" s="24"/>
      <c r="K828" s="24"/>
      <c r="L828" s="24"/>
      <c r="M828" s="24"/>
      <c r="N828" s="24"/>
      <c r="O828" s="24"/>
      <c r="P828" s="24"/>
      <c r="Q828" s="24"/>
      <c r="R828" s="24"/>
      <c r="S828" s="24"/>
      <c r="T828" s="24"/>
      <c r="U828" s="24"/>
      <c r="V828" s="24"/>
      <c r="W828" s="24"/>
      <c r="X828" s="24"/>
      <c r="Y828" s="24"/>
      <c r="Z828" s="24"/>
      <c r="AA828" s="24"/>
      <c r="AB828" s="24"/>
      <c r="AC828" s="24"/>
      <c r="AD828" s="24"/>
      <c r="AE828" s="24"/>
    </row>
    <row r="829" spans="1:31" ht="12.9">
      <c r="A829" s="24"/>
      <c r="B829" s="143"/>
      <c r="C829" s="24"/>
      <c r="D829" s="24"/>
      <c r="E829" s="24"/>
      <c r="F829" s="24"/>
      <c r="G829" s="24"/>
      <c r="H829" s="117"/>
      <c r="I829" s="117"/>
      <c r="J829" s="24"/>
      <c r="K829" s="24"/>
      <c r="L829" s="24"/>
      <c r="M829" s="24"/>
      <c r="N829" s="24"/>
      <c r="O829" s="24"/>
      <c r="P829" s="24"/>
      <c r="Q829" s="24"/>
      <c r="R829" s="24"/>
      <c r="S829" s="24"/>
      <c r="T829" s="24"/>
      <c r="U829" s="24"/>
      <c r="V829" s="24"/>
      <c r="W829" s="24"/>
      <c r="X829" s="24"/>
      <c r="Y829" s="24"/>
      <c r="Z829" s="24"/>
      <c r="AA829" s="24"/>
      <c r="AB829" s="24"/>
      <c r="AC829" s="24"/>
      <c r="AD829" s="24"/>
      <c r="AE829" s="24"/>
    </row>
    <row r="830" spans="1:31" ht="12.9">
      <c r="A830" s="24"/>
      <c r="B830" s="143"/>
      <c r="C830" s="24"/>
      <c r="D830" s="24"/>
      <c r="E830" s="24"/>
      <c r="F830" s="24"/>
      <c r="G830" s="24"/>
      <c r="H830" s="117"/>
      <c r="I830" s="117"/>
      <c r="J830" s="24"/>
      <c r="K830" s="24"/>
      <c r="L830" s="24"/>
      <c r="M830" s="24"/>
      <c r="N830" s="24"/>
      <c r="O830" s="24"/>
      <c r="P830" s="24"/>
      <c r="Q830" s="24"/>
      <c r="R830" s="24"/>
      <c r="S830" s="24"/>
      <c r="T830" s="24"/>
      <c r="U830" s="24"/>
      <c r="V830" s="24"/>
      <c r="W830" s="24"/>
      <c r="X830" s="24"/>
      <c r="Y830" s="24"/>
      <c r="Z830" s="24"/>
      <c r="AA830" s="24"/>
      <c r="AB830" s="24"/>
      <c r="AC830" s="24"/>
      <c r="AD830" s="24"/>
      <c r="AE830" s="24"/>
    </row>
    <row r="831" spans="1:31" ht="12.9">
      <c r="A831" s="24"/>
      <c r="B831" s="143"/>
      <c r="C831" s="24"/>
      <c r="D831" s="24"/>
      <c r="E831" s="24"/>
      <c r="F831" s="24"/>
      <c r="G831" s="24"/>
      <c r="H831" s="117"/>
      <c r="I831" s="117"/>
      <c r="J831" s="24"/>
      <c r="K831" s="24"/>
      <c r="L831" s="24"/>
      <c r="M831" s="24"/>
      <c r="N831" s="24"/>
      <c r="O831" s="24"/>
      <c r="P831" s="24"/>
      <c r="Q831" s="24"/>
      <c r="R831" s="24"/>
      <c r="S831" s="24"/>
      <c r="T831" s="24"/>
      <c r="U831" s="24"/>
      <c r="V831" s="24"/>
      <c r="W831" s="24"/>
      <c r="X831" s="24"/>
      <c r="Y831" s="24"/>
      <c r="Z831" s="24"/>
      <c r="AA831" s="24"/>
      <c r="AB831" s="24"/>
      <c r="AC831" s="24"/>
      <c r="AD831" s="24"/>
      <c r="AE831" s="24"/>
    </row>
    <row r="832" spans="1:31" ht="12.9">
      <c r="A832" s="24"/>
      <c r="B832" s="143"/>
      <c r="C832" s="24"/>
      <c r="D832" s="24"/>
      <c r="E832" s="24"/>
      <c r="F832" s="24"/>
      <c r="G832" s="24"/>
      <c r="H832" s="117"/>
      <c r="I832" s="117"/>
      <c r="J832" s="24"/>
      <c r="K832" s="24"/>
      <c r="L832" s="24"/>
      <c r="M832" s="24"/>
      <c r="N832" s="24"/>
      <c r="O832" s="24"/>
      <c r="P832" s="24"/>
      <c r="Q832" s="24"/>
      <c r="R832" s="24"/>
      <c r="S832" s="24"/>
      <c r="T832" s="24"/>
      <c r="U832" s="24"/>
      <c r="V832" s="24"/>
      <c r="W832" s="24"/>
      <c r="X832" s="24"/>
      <c r="Y832" s="24"/>
      <c r="Z832" s="24"/>
      <c r="AA832" s="24"/>
      <c r="AB832" s="24"/>
      <c r="AC832" s="24"/>
      <c r="AD832" s="24"/>
      <c r="AE832" s="24"/>
    </row>
    <row r="833" spans="1:31" ht="12.9">
      <c r="A833" s="24"/>
      <c r="B833" s="143"/>
      <c r="C833" s="24"/>
      <c r="D833" s="24"/>
      <c r="E833" s="24"/>
      <c r="F833" s="24"/>
      <c r="G833" s="24"/>
      <c r="H833" s="117"/>
      <c r="I833" s="117"/>
      <c r="J833" s="24"/>
      <c r="K833" s="24"/>
      <c r="L833" s="24"/>
      <c r="M833" s="24"/>
      <c r="N833" s="24"/>
      <c r="O833" s="24"/>
      <c r="P833" s="24"/>
      <c r="Q833" s="24"/>
      <c r="R833" s="24"/>
      <c r="S833" s="24"/>
      <c r="T833" s="24"/>
      <c r="U833" s="24"/>
      <c r="V833" s="24"/>
      <c r="W833" s="24"/>
      <c r="X833" s="24"/>
      <c r="Y833" s="24"/>
      <c r="Z833" s="24"/>
      <c r="AA833" s="24"/>
      <c r="AB833" s="24"/>
      <c r="AC833" s="24"/>
      <c r="AD833" s="24"/>
      <c r="AE833" s="24"/>
    </row>
    <row r="834" spans="1:31" ht="12.9">
      <c r="A834" s="24"/>
      <c r="B834" s="143"/>
      <c r="C834" s="24"/>
      <c r="D834" s="24"/>
      <c r="E834" s="24"/>
      <c r="F834" s="24"/>
      <c r="G834" s="24"/>
      <c r="H834" s="117"/>
      <c r="I834" s="117"/>
      <c r="J834" s="24"/>
      <c r="K834" s="24"/>
      <c r="L834" s="24"/>
      <c r="M834" s="24"/>
      <c r="N834" s="24"/>
      <c r="O834" s="24"/>
      <c r="P834" s="24"/>
      <c r="Q834" s="24"/>
      <c r="R834" s="24"/>
      <c r="S834" s="24"/>
      <c r="T834" s="24"/>
      <c r="U834" s="24"/>
      <c r="V834" s="24"/>
      <c r="W834" s="24"/>
      <c r="X834" s="24"/>
      <c r="Y834" s="24"/>
      <c r="Z834" s="24"/>
      <c r="AA834" s="24"/>
      <c r="AB834" s="24"/>
      <c r="AC834" s="24"/>
      <c r="AD834" s="24"/>
      <c r="AE834" s="24"/>
    </row>
    <row r="835" spans="1:31" ht="12.9">
      <c r="A835" s="24"/>
      <c r="B835" s="143"/>
      <c r="C835" s="24"/>
      <c r="D835" s="24"/>
      <c r="E835" s="24"/>
      <c r="F835" s="24"/>
      <c r="G835" s="24"/>
      <c r="H835" s="117"/>
      <c r="I835" s="117"/>
      <c r="J835" s="24"/>
      <c r="K835" s="24"/>
      <c r="L835" s="24"/>
      <c r="M835" s="24"/>
      <c r="N835" s="24"/>
      <c r="O835" s="24"/>
      <c r="P835" s="24"/>
      <c r="Q835" s="24"/>
      <c r="R835" s="24"/>
      <c r="S835" s="24"/>
      <c r="T835" s="24"/>
      <c r="U835" s="24"/>
      <c r="V835" s="24"/>
      <c r="W835" s="24"/>
      <c r="X835" s="24"/>
      <c r="Y835" s="24"/>
      <c r="Z835" s="24"/>
      <c r="AA835" s="24"/>
      <c r="AB835" s="24"/>
      <c r="AC835" s="24"/>
      <c r="AD835" s="24"/>
      <c r="AE835" s="24"/>
    </row>
    <row r="836" spans="1:31" ht="12.9">
      <c r="A836" s="24"/>
      <c r="B836" s="143"/>
      <c r="C836" s="24"/>
      <c r="D836" s="24"/>
      <c r="E836" s="24"/>
      <c r="F836" s="24"/>
      <c r="G836" s="24"/>
      <c r="H836" s="117"/>
      <c r="I836" s="117"/>
      <c r="J836" s="24"/>
      <c r="K836" s="24"/>
      <c r="L836" s="24"/>
      <c r="M836" s="24"/>
      <c r="N836" s="24"/>
      <c r="O836" s="24"/>
      <c r="P836" s="24"/>
      <c r="Q836" s="24"/>
      <c r="R836" s="24"/>
      <c r="S836" s="24"/>
      <c r="T836" s="24"/>
      <c r="U836" s="24"/>
      <c r="V836" s="24"/>
      <c r="W836" s="24"/>
      <c r="X836" s="24"/>
      <c r="Y836" s="24"/>
      <c r="Z836" s="24"/>
      <c r="AA836" s="24"/>
      <c r="AB836" s="24"/>
      <c r="AC836" s="24"/>
      <c r="AD836" s="24"/>
      <c r="AE836" s="24"/>
    </row>
    <row r="837" spans="1:31" ht="12.9">
      <c r="A837" s="24"/>
      <c r="B837" s="143"/>
      <c r="C837" s="24"/>
      <c r="D837" s="24"/>
      <c r="E837" s="24"/>
      <c r="F837" s="24"/>
      <c r="G837" s="24"/>
      <c r="H837" s="117"/>
      <c r="I837" s="117"/>
      <c r="J837" s="24"/>
      <c r="K837" s="24"/>
      <c r="L837" s="24"/>
      <c r="M837" s="24"/>
      <c r="N837" s="24"/>
      <c r="O837" s="24"/>
      <c r="P837" s="24"/>
      <c r="Q837" s="24"/>
      <c r="R837" s="24"/>
      <c r="S837" s="24"/>
      <c r="T837" s="24"/>
      <c r="U837" s="24"/>
      <c r="V837" s="24"/>
      <c r="W837" s="24"/>
      <c r="X837" s="24"/>
      <c r="Y837" s="24"/>
      <c r="Z837" s="24"/>
      <c r="AA837" s="24"/>
      <c r="AB837" s="24"/>
      <c r="AC837" s="24"/>
      <c r="AD837" s="24"/>
      <c r="AE837" s="24"/>
    </row>
    <row r="838" spans="1:31" ht="12.9">
      <c r="A838" s="24"/>
      <c r="B838" s="143"/>
      <c r="C838" s="24"/>
      <c r="D838" s="24"/>
      <c r="E838" s="24"/>
      <c r="F838" s="24"/>
      <c r="G838" s="24"/>
      <c r="H838" s="117"/>
      <c r="I838" s="117"/>
      <c r="J838" s="24"/>
      <c r="K838" s="24"/>
      <c r="L838" s="24"/>
      <c r="M838" s="24"/>
      <c r="N838" s="24"/>
      <c r="O838" s="24"/>
      <c r="P838" s="24"/>
      <c r="Q838" s="24"/>
      <c r="R838" s="24"/>
      <c r="S838" s="24"/>
      <c r="T838" s="24"/>
      <c r="U838" s="24"/>
      <c r="V838" s="24"/>
      <c r="W838" s="24"/>
      <c r="X838" s="24"/>
      <c r="Y838" s="24"/>
      <c r="Z838" s="24"/>
      <c r="AA838" s="24"/>
      <c r="AB838" s="24"/>
      <c r="AC838" s="24"/>
      <c r="AD838" s="24"/>
      <c r="AE838" s="24"/>
    </row>
    <row r="839" spans="1:31" ht="12.9">
      <c r="A839" s="24"/>
      <c r="B839" s="143"/>
      <c r="C839" s="24"/>
      <c r="D839" s="24"/>
      <c r="E839" s="24"/>
      <c r="F839" s="24"/>
      <c r="G839" s="24"/>
      <c r="H839" s="117"/>
      <c r="I839" s="117"/>
      <c r="J839" s="24"/>
      <c r="K839" s="24"/>
      <c r="L839" s="24"/>
      <c r="M839" s="24"/>
      <c r="N839" s="24"/>
      <c r="O839" s="24"/>
      <c r="P839" s="24"/>
      <c r="Q839" s="24"/>
      <c r="R839" s="24"/>
      <c r="S839" s="24"/>
      <c r="T839" s="24"/>
      <c r="U839" s="24"/>
      <c r="V839" s="24"/>
      <c r="W839" s="24"/>
      <c r="X839" s="24"/>
      <c r="Y839" s="24"/>
      <c r="Z839" s="24"/>
      <c r="AA839" s="24"/>
      <c r="AB839" s="24"/>
      <c r="AC839" s="24"/>
      <c r="AD839" s="24"/>
      <c r="AE839" s="24"/>
    </row>
    <row r="840" spans="1:31" ht="12.9">
      <c r="A840" s="24"/>
      <c r="B840" s="143"/>
      <c r="C840" s="24"/>
      <c r="D840" s="24"/>
      <c r="E840" s="24"/>
      <c r="F840" s="24"/>
      <c r="G840" s="24"/>
      <c r="H840" s="117"/>
      <c r="I840" s="117"/>
      <c r="J840" s="24"/>
      <c r="K840" s="24"/>
      <c r="L840" s="24"/>
      <c r="M840" s="24"/>
      <c r="N840" s="24"/>
      <c r="O840" s="24"/>
      <c r="P840" s="24"/>
      <c r="Q840" s="24"/>
      <c r="R840" s="24"/>
      <c r="S840" s="24"/>
      <c r="T840" s="24"/>
      <c r="U840" s="24"/>
      <c r="V840" s="24"/>
      <c r="W840" s="24"/>
      <c r="X840" s="24"/>
      <c r="Y840" s="24"/>
      <c r="Z840" s="24"/>
      <c r="AA840" s="24"/>
      <c r="AB840" s="24"/>
      <c r="AC840" s="24"/>
      <c r="AD840" s="24"/>
      <c r="AE840" s="24"/>
    </row>
    <row r="841" spans="1:31" ht="12.9">
      <c r="A841" s="24"/>
      <c r="B841" s="143"/>
      <c r="C841" s="24"/>
      <c r="D841" s="24"/>
      <c r="E841" s="24"/>
      <c r="F841" s="24"/>
      <c r="G841" s="24"/>
      <c r="H841" s="117"/>
      <c r="I841" s="117"/>
      <c r="J841" s="24"/>
      <c r="K841" s="24"/>
      <c r="L841" s="24"/>
      <c r="M841" s="24"/>
      <c r="N841" s="24"/>
      <c r="O841" s="24"/>
      <c r="P841" s="24"/>
      <c r="Q841" s="24"/>
      <c r="R841" s="24"/>
      <c r="S841" s="24"/>
      <c r="T841" s="24"/>
      <c r="U841" s="24"/>
      <c r="V841" s="24"/>
      <c r="W841" s="24"/>
      <c r="X841" s="24"/>
      <c r="Y841" s="24"/>
      <c r="Z841" s="24"/>
      <c r="AA841" s="24"/>
      <c r="AB841" s="24"/>
      <c r="AC841" s="24"/>
      <c r="AD841" s="24"/>
      <c r="AE841" s="24"/>
    </row>
    <row r="842" spans="1:31" ht="12.9">
      <c r="A842" s="24"/>
      <c r="B842" s="143"/>
      <c r="C842" s="24"/>
      <c r="D842" s="24"/>
      <c r="E842" s="24"/>
      <c r="F842" s="24"/>
      <c r="G842" s="24"/>
      <c r="H842" s="117"/>
      <c r="I842" s="117"/>
      <c r="J842" s="24"/>
      <c r="K842" s="24"/>
      <c r="L842" s="24"/>
      <c r="M842" s="24"/>
      <c r="N842" s="24"/>
      <c r="O842" s="24"/>
      <c r="P842" s="24"/>
      <c r="Q842" s="24"/>
      <c r="R842" s="24"/>
      <c r="S842" s="24"/>
      <c r="T842" s="24"/>
      <c r="U842" s="24"/>
      <c r="V842" s="24"/>
      <c r="W842" s="24"/>
      <c r="X842" s="24"/>
      <c r="Y842" s="24"/>
      <c r="Z842" s="24"/>
      <c r="AA842" s="24"/>
      <c r="AB842" s="24"/>
      <c r="AC842" s="24"/>
      <c r="AD842" s="24"/>
      <c r="AE842" s="24"/>
    </row>
    <row r="843" spans="1:31" ht="12.9">
      <c r="A843" s="24"/>
      <c r="B843" s="143"/>
      <c r="C843" s="24"/>
      <c r="D843" s="24"/>
      <c r="E843" s="24"/>
      <c r="F843" s="24"/>
      <c r="G843" s="24"/>
      <c r="H843" s="117"/>
      <c r="I843" s="117"/>
      <c r="J843" s="24"/>
      <c r="K843" s="24"/>
      <c r="L843" s="24"/>
      <c r="M843" s="24"/>
      <c r="N843" s="24"/>
      <c r="O843" s="24"/>
      <c r="P843" s="24"/>
      <c r="Q843" s="24"/>
      <c r="R843" s="24"/>
      <c r="S843" s="24"/>
      <c r="T843" s="24"/>
      <c r="U843" s="24"/>
      <c r="V843" s="24"/>
      <c r="W843" s="24"/>
      <c r="X843" s="24"/>
      <c r="Y843" s="24"/>
      <c r="Z843" s="24"/>
      <c r="AA843" s="24"/>
      <c r="AB843" s="24"/>
      <c r="AC843" s="24"/>
      <c r="AD843" s="24"/>
      <c r="AE843" s="24"/>
    </row>
    <row r="844" spans="1:31" ht="12.9">
      <c r="A844" s="24"/>
      <c r="B844" s="143"/>
      <c r="C844" s="24"/>
      <c r="D844" s="24"/>
      <c r="E844" s="24"/>
      <c r="F844" s="24"/>
      <c r="G844" s="24"/>
      <c r="H844" s="117"/>
      <c r="I844" s="117"/>
      <c r="J844" s="24"/>
      <c r="K844" s="24"/>
      <c r="L844" s="24"/>
      <c r="M844" s="24"/>
      <c r="N844" s="24"/>
      <c r="O844" s="24"/>
      <c r="P844" s="24"/>
      <c r="Q844" s="24"/>
      <c r="R844" s="24"/>
      <c r="S844" s="24"/>
      <c r="T844" s="24"/>
      <c r="U844" s="24"/>
      <c r="V844" s="24"/>
      <c r="W844" s="24"/>
      <c r="X844" s="24"/>
      <c r="Y844" s="24"/>
      <c r="Z844" s="24"/>
      <c r="AA844" s="24"/>
      <c r="AB844" s="24"/>
      <c r="AC844" s="24"/>
      <c r="AD844" s="24"/>
      <c r="AE844" s="24"/>
    </row>
    <row r="845" spans="1:31" ht="12.9">
      <c r="A845" s="24"/>
      <c r="B845" s="143"/>
      <c r="C845" s="24"/>
      <c r="D845" s="24"/>
      <c r="E845" s="24"/>
      <c r="F845" s="24"/>
      <c r="G845" s="24"/>
      <c r="H845" s="117"/>
      <c r="I845" s="117"/>
      <c r="J845" s="24"/>
      <c r="K845" s="24"/>
      <c r="L845" s="24"/>
      <c r="M845" s="24"/>
      <c r="N845" s="24"/>
      <c r="O845" s="24"/>
      <c r="P845" s="24"/>
      <c r="Q845" s="24"/>
      <c r="R845" s="24"/>
      <c r="S845" s="24"/>
      <c r="T845" s="24"/>
      <c r="U845" s="24"/>
      <c r="V845" s="24"/>
      <c r="W845" s="24"/>
      <c r="X845" s="24"/>
      <c r="Y845" s="24"/>
      <c r="Z845" s="24"/>
      <c r="AA845" s="24"/>
      <c r="AB845" s="24"/>
      <c r="AC845" s="24"/>
      <c r="AD845" s="24"/>
      <c r="AE845" s="24"/>
    </row>
    <row r="846" spans="1:31" ht="12.9">
      <c r="A846" s="24"/>
      <c r="B846" s="143"/>
      <c r="C846" s="24"/>
      <c r="D846" s="24"/>
      <c r="E846" s="24"/>
      <c r="F846" s="24"/>
      <c r="G846" s="24"/>
      <c r="H846" s="117"/>
      <c r="I846" s="117"/>
      <c r="J846" s="24"/>
      <c r="K846" s="24"/>
      <c r="L846" s="24"/>
      <c r="M846" s="24"/>
      <c r="N846" s="24"/>
      <c r="O846" s="24"/>
      <c r="P846" s="24"/>
      <c r="Q846" s="24"/>
      <c r="R846" s="24"/>
      <c r="S846" s="24"/>
      <c r="T846" s="24"/>
      <c r="U846" s="24"/>
      <c r="V846" s="24"/>
      <c r="W846" s="24"/>
      <c r="X846" s="24"/>
      <c r="Y846" s="24"/>
      <c r="Z846" s="24"/>
      <c r="AA846" s="24"/>
      <c r="AB846" s="24"/>
      <c r="AC846" s="24"/>
      <c r="AD846" s="24"/>
      <c r="AE846" s="24"/>
    </row>
    <row r="847" spans="1:31" ht="12.9">
      <c r="A847" s="24"/>
      <c r="B847" s="143"/>
      <c r="C847" s="24"/>
      <c r="D847" s="24"/>
      <c r="E847" s="24"/>
      <c r="F847" s="24"/>
      <c r="G847" s="24"/>
      <c r="H847" s="117"/>
      <c r="I847" s="117"/>
      <c r="J847" s="24"/>
      <c r="K847" s="24"/>
      <c r="L847" s="24"/>
      <c r="M847" s="24"/>
      <c r="N847" s="24"/>
      <c r="O847" s="24"/>
      <c r="P847" s="24"/>
      <c r="Q847" s="24"/>
      <c r="R847" s="24"/>
      <c r="S847" s="24"/>
      <c r="T847" s="24"/>
      <c r="U847" s="24"/>
      <c r="V847" s="24"/>
      <c r="W847" s="24"/>
      <c r="X847" s="24"/>
      <c r="Y847" s="24"/>
      <c r="Z847" s="24"/>
      <c r="AA847" s="24"/>
      <c r="AB847" s="24"/>
      <c r="AC847" s="24"/>
      <c r="AD847" s="24"/>
      <c r="AE847" s="24"/>
    </row>
    <row r="848" spans="1:31" ht="12.9">
      <c r="A848" s="24"/>
      <c r="B848" s="143"/>
      <c r="C848" s="24"/>
      <c r="D848" s="24"/>
      <c r="E848" s="24"/>
      <c r="F848" s="24"/>
      <c r="G848" s="24"/>
      <c r="H848" s="117"/>
      <c r="I848" s="117"/>
      <c r="J848" s="24"/>
      <c r="K848" s="24"/>
      <c r="L848" s="24"/>
      <c r="M848" s="24"/>
      <c r="N848" s="24"/>
      <c r="O848" s="24"/>
      <c r="P848" s="24"/>
      <c r="Q848" s="24"/>
      <c r="R848" s="24"/>
      <c r="S848" s="24"/>
      <c r="T848" s="24"/>
      <c r="U848" s="24"/>
      <c r="V848" s="24"/>
      <c r="W848" s="24"/>
      <c r="X848" s="24"/>
      <c r="Y848" s="24"/>
      <c r="Z848" s="24"/>
      <c r="AA848" s="24"/>
      <c r="AB848" s="24"/>
      <c r="AC848" s="24"/>
      <c r="AD848" s="24"/>
      <c r="AE848" s="24"/>
    </row>
    <row r="849" spans="1:31" ht="12.9">
      <c r="A849" s="24"/>
      <c r="B849" s="143"/>
      <c r="C849" s="24"/>
      <c r="D849" s="24"/>
      <c r="E849" s="24"/>
      <c r="F849" s="24"/>
      <c r="G849" s="24"/>
      <c r="H849" s="117"/>
      <c r="I849" s="117"/>
      <c r="J849" s="24"/>
      <c r="K849" s="24"/>
      <c r="L849" s="24"/>
      <c r="M849" s="24"/>
      <c r="N849" s="24"/>
      <c r="O849" s="24"/>
      <c r="P849" s="24"/>
      <c r="Q849" s="24"/>
      <c r="R849" s="24"/>
      <c r="S849" s="24"/>
      <c r="T849" s="24"/>
      <c r="U849" s="24"/>
      <c r="V849" s="24"/>
      <c r="W849" s="24"/>
      <c r="X849" s="24"/>
      <c r="Y849" s="24"/>
      <c r="Z849" s="24"/>
      <c r="AA849" s="24"/>
      <c r="AB849" s="24"/>
      <c r="AC849" s="24"/>
      <c r="AD849" s="24"/>
      <c r="AE849" s="24"/>
    </row>
    <row r="850" spans="1:31" ht="12.9">
      <c r="A850" s="24"/>
      <c r="B850" s="143"/>
      <c r="C850" s="24"/>
      <c r="D850" s="24"/>
      <c r="E850" s="24"/>
      <c r="F850" s="24"/>
      <c r="G850" s="24"/>
      <c r="H850" s="117"/>
      <c r="I850" s="117"/>
      <c r="J850" s="24"/>
      <c r="K850" s="24"/>
      <c r="L850" s="24"/>
      <c r="M850" s="24"/>
      <c r="N850" s="24"/>
      <c r="O850" s="24"/>
      <c r="P850" s="24"/>
      <c r="Q850" s="24"/>
      <c r="R850" s="24"/>
      <c r="S850" s="24"/>
      <c r="T850" s="24"/>
      <c r="U850" s="24"/>
      <c r="V850" s="24"/>
      <c r="W850" s="24"/>
      <c r="X850" s="24"/>
      <c r="Y850" s="24"/>
      <c r="Z850" s="24"/>
      <c r="AA850" s="24"/>
      <c r="AB850" s="24"/>
      <c r="AC850" s="24"/>
      <c r="AD850" s="24"/>
      <c r="AE850" s="24"/>
    </row>
    <row r="851" spans="1:31" ht="12.9">
      <c r="A851" s="24"/>
      <c r="B851" s="143"/>
      <c r="C851" s="24"/>
      <c r="D851" s="24"/>
      <c r="E851" s="24"/>
      <c r="F851" s="24"/>
      <c r="G851" s="24"/>
      <c r="H851" s="117"/>
      <c r="I851" s="117"/>
      <c r="J851" s="24"/>
      <c r="K851" s="24"/>
      <c r="L851" s="24"/>
      <c r="M851" s="24"/>
      <c r="N851" s="24"/>
      <c r="O851" s="24"/>
      <c r="P851" s="24"/>
      <c r="Q851" s="24"/>
      <c r="R851" s="24"/>
      <c r="S851" s="24"/>
      <c r="T851" s="24"/>
      <c r="U851" s="24"/>
      <c r="V851" s="24"/>
      <c r="W851" s="24"/>
      <c r="X851" s="24"/>
      <c r="Y851" s="24"/>
      <c r="Z851" s="24"/>
      <c r="AA851" s="24"/>
      <c r="AB851" s="24"/>
      <c r="AC851" s="24"/>
      <c r="AD851" s="24"/>
      <c r="AE851" s="24"/>
    </row>
    <row r="852" spans="1:31" ht="12.9">
      <c r="A852" s="24"/>
      <c r="B852" s="143"/>
      <c r="C852" s="24"/>
      <c r="D852" s="24"/>
      <c r="E852" s="24"/>
      <c r="F852" s="24"/>
      <c r="G852" s="24"/>
      <c r="H852" s="117"/>
      <c r="I852" s="117"/>
      <c r="J852" s="24"/>
      <c r="K852" s="24"/>
      <c r="L852" s="24"/>
      <c r="M852" s="24"/>
      <c r="N852" s="24"/>
      <c r="O852" s="24"/>
      <c r="P852" s="24"/>
      <c r="Q852" s="24"/>
      <c r="R852" s="24"/>
      <c r="S852" s="24"/>
      <c r="T852" s="24"/>
      <c r="U852" s="24"/>
      <c r="V852" s="24"/>
      <c r="W852" s="24"/>
      <c r="X852" s="24"/>
      <c r="Y852" s="24"/>
      <c r="Z852" s="24"/>
      <c r="AA852" s="24"/>
      <c r="AB852" s="24"/>
      <c r="AC852" s="24"/>
      <c r="AD852" s="24"/>
      <c r="AE852" s="24"/>
    </row>
    <row r="853" spans="1:31" ht="12.9">
      <c r="A853" s="24"/>
      <c r="B853" s="143"/>
      <c r="C853" s="24"/>
      <c r="D853" s="24"/>
      <c r="E853" s="24"/>
      <c r="F853" s="24"/>
      <c r="G853" s="24"/>
      <c r="H853" s="117"/>
      <c r="I853" s="117"/>
      <c r="J853" s="24"/>
      <c r="K853" s="24"/>
      <c r="L853" s="24"/>
      <c r="M853" s="24"/>
      <c r="N853" s="24"/>
      <c r="O853" s="24"/>
      <c r="P853" s="24"/>
      <c r="Q853" s="24"/>
      <c r="R853" s="24"/>
      <c r="S853" s="24"/>
      <c r="T853" s="24"/>
      <c r="U853" s="24"/>
      <c r="V853" s="24"/>
      <c r="W853" s="24"/>
      <c r="X853" s="24"/>
      <c r="Y853" s="24"/>
      <c r="Z853" s="24"/>
      <c r="AA853" s="24"/>
      <c r="AB853" s="24"/>
      <c r="AC853" s="24"/>
      <c r="AD853" s="24"/>
      <c r="AE853" s="24"/>
    </row>
    <row r="854" spans="1:31" ht="12.9">
      <c r="A854" s="24"/>
      <c r="B854" s="143"/>
      <c r="C854" s="24"/>
      <c r="D854" s="24"/>
      <c r="E854" s="24"/>
      <c r="F854" s="24"/>
      <c r="G854" s="24"/>
      <c r="H854" s="117"/>
      <c r="I854" s="117"/>
      <c r="J854" s="24"/>
      <c r="K854" s="24"/>
      <c r="L854" s="24"/>
      <c r="M854" s="24"/>
      <c r="N854" s="24"/>
      <c r="O854" s="24"/>
      <c r="P854" s="24"/>
      <c r="Q854" s="24"/>
      <c r="R854" s="24"/>
      <c r="S854" s="24"/>
      <c r="T854" s="24"/>
      <c r="U854" s="24"/>
      <c r="V854" s="24"/>
      <c r="W854" s="24"/>
      <c r="X854" s="24"/>
      <c r="Y854" s="24"/>
      <c r="Z854" s="24"/>
      <c r="AA854" s="24"/>
      <c r="AB854" s="24"/>
      <c r="AC854" s="24"/>
      <c r="AD854" s="24"/>
      <c r="AE854" s="24"/>
    </row>
    <row r="855" spans="1:31" ht="12.9">
      <c r="A855" s="24"/>
      <c r="B855" s="143"/>
      <c r="C855" s="24"/>
      <c r="D855" s="24"/>
      <c r="E855" s="24"/>
      <c r="F855" s="24"/>
      <c r="G855" s="24"/>
      <c r="H855" s="117"/>
      <c r="I855" s="117"/>
      <c r="J855" s="24"/>
      <c r="K855" s="24"/>
      <c r="L855" s="24"/>
      <c r="M855" s="24"/>
      <c r="N855" s="24"/>
      <c r="O855" s="24"/>
      <c r="P855" s="24"/>
      <c r="Q855" s="24"/>
      <c r="R855" s="24"/>
      <c r="S855" s="24"/>
      <c r="T855" s="24"/>
      <c r="U855" s="24"/>
      <c r="V855" s="24"/>
      <c r="W855" s="24"/>
      <c r="X855" s="24"/>
      <c r="Y855" s="24"/>
      <c r="Z855" s="24"/>
      <c r="AA855" s="24"/>
      <c r="AB855" s="24"/>
      <c r="AC855" s="24"/>
      <c r="AD855" s="24"/>
      <c r="AE855" s="24"/>
    </row>
    <row r="856" spans="1:31" ht="12.9">
      <c r="A856" s="24"/>
      <c r="B856" s="143"/>
      <c r="C856" s="24"/>
      <c r="D856" s="24"/>
      <c r="E856" s="24"/>
      <c r="F856" s="24"/>
      <c r="G856" s="24"/>
      <c r="H856" s="117"/>
      <c r="I856" s="117"/>
      <c r="J856" s="24"/>
      <c r="K856" s="24"/>
      <c r="L856" s="24"/>
      <c r="M856" s="24"/>
      <c r="N856" s="24"/>
      <c r="O856" s="24"/>
      <c r="P856" s="24"/>
      <c r="Q856" s="24"/>
      <c r="R856" s="24"/>
      <c r="S856" s="24"/>
      <c r="T856" s="24"/>
      <c r="U856" s="24"/>
      <c r="V856" s="24"/>
      <c r="W856" s="24"/>
      <c r="X856" s="24"/>
      <c r="Y856" s="24"/>
      <c r="Z856" s="24"/>
      <c r="AA856" s="24"/>
      <c r="AB856" s="24"/>
      <c r="AC856" s="24"/>
      <c r="AD856" s="24"/>
      <c r="AE856" s="24"/>
    </row>
    <row r="857" spans="1:31" ht="12.9">
      <c r="A857" s="24"/>
      <c r="B857" s="143"/>
      <c r="C857" s="24"/>
      <c r="D857" s="24"/>
      <c r="E857" s="24"/>
      <c r="F857" s="24"/>
      <c r="G857" s="24"/>
      <c r="H857" s="117"/>
      <c r="I857" s="117"/>
      <c r="J857" s="24"/>
      <c r="K857" s="24"/>
      <c r="L857" s="24"/>
      <c r="M857" s="24"/>
      <c r="N857" s="24"/>
      <c r="O857" s="24"/>
      <c r="P857" s="24"/>
      <c r="Q857" s="24"/>
      <c r="R857" s="24"/>
      <c r="S857" s="24"/>
      <c r="T857" s="24"/>
      <c r="U857" s="24"/>
      <c r="V857" s="24"/>
      <c r="W857" s="24"/>
      <c r="X857" s="24"/>
      <c r="Y857" s="24"/>
      <c r="Z857" s="24"/>
      <c r="AA857" s="24"/>
      <c r="AB857" s="24"/>
      <c r="AC857" s="24"/>
      <c r="AD857" s="24"/>
      <c r="AE857" s="24"/>
    </row>
    <row r="858" spans="1:31" ht="12.9">
      <c r="A858" s="24"/>
      <c r="B858" s="143"/>
      <c r="C858" s="24"/>
      <c r="D858" s="24"/>
      <c r="E858" s="24"/>
      <c r="F858" s="24"/>
      <c r="G858" s="24"/>
      <c r="H858" s="117"/>
      <c r="I858" s="117"/>
      <c r="J858" s="24"/>
      <c r="K858" s="24"/>
      <c r="L858" s="24"/>
      <c r="M858" s="24"/>
      <c r="N858" s="24"/>
      <c r="O858" s="24"/>
      <c r="P858" s="24"/>
      <c r="Q858" s="24"/>
      <c r="R858" s="24"/>
      <c r="S858" s="24"/>
      <c r="T858" s="24"/>
      <c r="U858" s="24"/>
      <c r="V858" s="24"/>
      <c r="W858" s="24"/>
      <c r="X858" s="24"/>
      <c r="Y858" s="24"/>
      <c r="Z858" s="24"/>
      <c r="AA858" s="24"/>
      <c r="AB858" s="24"/>
      <c r="AC858" s="24"/>
      <c r="AD858" s="24"/>
      <c r="AE858" s="24"/>
    </row>
    <row r="859" spans="1:31" ht="12.9">
      <c r="A859" s="24"/>
      <c r="B859" s="143"/>
      <c r="C859" s="24"/>
      <c r="D859" s="24"/>
      <c r="E859" s="24"/>
      <c r="F859" s="24"/>
      <c r="G859" s="24"/>
      <c r="H859" s="117"/>
      <c r="I859" s="117"/>
      <c r="J859" s="24"/>
      <c r="K859" s="24"/>
      <c r="L859" s="24"/>
      <c r="M859" s="24"/>
      <c r="N859" s="24"/>
      <c r="O859" s="24"/>
      <c r="P859" s="24"/>
      <c r="Q859" s="24"/>
      <c r="R859" s="24"/>
      <c r="S859" s="24"/>
      <c r="T859" s="24"/>
      <c r="U859" s="24"/>
      <c r="V859" s="24"/>
      <c r="W859" s="24"/>
      <c r="X859" s="24"/>
      <c r="Y859" s="24"/>
      <c r="Z859" s="24"/>
      <c r="AA859" s="24"/>
      <c r="AB859" s="24"/>
      <c r="AC859" s="24"/>
      <c r="AD859" s="24"/>
      <c r="AE859" s="24"/>
    </row>
    <row r="860" spans="1:31" ht="12.9">
      <c r="A860" s="24"/>
      <c r="B860" s="143"/>
      <c r="C860" s="24"/>
      <c r="D860" s="24"/>
      <c r="E860" s="24"/>
      <c r="F860" s="24"/>
      <c r="G860" s="24"/>
      <c r="H860" s="117"/>
      <c r="I860" s="117"/>
      <c r="J860" s="24"/>
      <c r="K860" s="24"/>
      <c r="L860" s="24"/>
      <c r="M860" s="24"/>
      <c r="N860" s="24"/>
      <c r="O860" s="24"/>
      <c r="P860" s="24"/>
      <c r="Q860" s="24"/>
      <c r="R860" s="24"/>
      <c r="S860" s="24"/>
      <c r="T860" s="24"/>
      <c r="U860" s="24"/>
      <c r="V860" s="24"/>
      <c r="W860" s="24"/>
      <c r="X860" s="24"/>
      <c r="Y860" s="24"/>
      <c r="Z860" s="24"/>
      <c r="AA860" s="24"/>
      <c r="AB860" s="24"/>
      <c r="AC860" s="24"/>
      <c r="AD860" s="24"/>
      <c r="AE860" s="24"/>
    </row>
    <row r="861" spans="1:31" ht="12.9">
      <c r="A861" s="24"/>
      <c r="B861" s="143"/>
      <c r="C861" s="24"/>
      <c r="D861" s="24"/>
      <c r="E861" s="24"/>
      <c r="F861" s="24"/>
      <c r="G861" s="24"/>
      <c r="H861" s="117"/>
      <c r="I861" s="117"/>
      <c r="J861" s="24"/>
      <c r="K861" s="24"/>
      <c r="L861" s="24"/>
      <c r="M861" s="24"/>
      <c r="N861" s="24"/>
      <c r="O861" s="24"/>
      <c r="P861" s="24"/>
      <c r="Q861" s="24"/>
      <c r="R861" s="24"/>
      <c r="S861" s="24"/>
      <c r="T861" s="24"/>
      <c r="U861" s="24"/>
      <c r="V861" s="24"/>
      <c r="W861" s="24"/>
      <c r="X861" s="24"/>
      <c r="Y861" s="24"/>
      <c r="Z861" s="24"/>
      <c r="AA861" s="24"/>
      <c r="AB861" s="24"/>
      <c r="AC861" s="24"/>
      <c r="AD861" s="24"/>
      <c r="AE861" s="24"/>
    </row>
    <row r="862" spans="1:31" ht="12.9">
      <c r="A862" s="24"/>
      <c r="B862" s="143"/>
      <c r="C862" s="24"/>
      <c r="D862" s="24"/>
      <c r="E862" s="24"/>
      <c r="F862" s="24"/>
      <c r="G862" s="24"/>
      <c r="H862" s="117"/>
      <c r="I862" s="117"/>
      <c r="J862" s="24"/>
      <c r="K862" s="24"/>
      <c r="L862" s="24"/>
      <c r="M862" s="24"/>
      <c r="N862" s="24"/>
      <c r="O862" s="24"/>
      <c r="P862" s="24"/>
      <c r="Q862" s="24"/>
      <c r="R862" s="24"/>
      <c r="S862" s="24"/>
      <c r="T862" s="24"/>
      <c r="U862" s="24"/>
      <c r="V862" s="24"/>
      <c r="W862" s="24"/>
      <c r="X862" s="24"/>
      <c r="Y862" s="24"/>
      <c r="Z862" s="24"/>
      <c r="AA862" s="24"/>
      <c r="AB862" s="24"/>
      <c r="AC862" s="24"/>
      <c r="AD862" s="24"/>
      <c r="AE862" s="24"/>
    </row>
    <row r="863" spans="1:31" ht="12.9">
      <c r="A863" s="24"/>
      <c r="B863" s="143"/>
      <c r="C863" s="24"/>
      <c r="D863" s="24"/>
      <c r="E863" s="24"/>
      <c r="F863" s="24"/>
      <c r="G863" s="24"/>
      <c r="H863" s="117"/>
      <c r="I863" s="117"/>
      <c r="J863" s="24"/>
      <c r="K863" s="24"/>
      <c r="L863" s="24"/>
      <c r="M863" s="24"/>
      <c r="N863" s="24"/>
      <c r="O863" s="24"/>
      <c r="P863" s="24"/>
      <c r="Q863" s="24"/>
      <c r="R863" s="24"/>
      <c r="S863" s="24"/>
      <c r="T863" s="24"/>
      <c r="U863" s="24"/>
      <c r="V863" s="24"/>
      <c r="W863" s="24"/>
      <c r="X863" s="24"/>
      <c r="Y863" s="24"/>
      <c r="Z863" s="24"/>
      <c r="AA863" s="24"/>
      <c r="AB863" s="24"/>
      <c r="AC863" s="24"/>
      <c r="AD863" s="24"/>
      <c r="AE863" s="24"/>
    </row>
    <row r="864" spans="1:31" ht="12.9">
      <c r="A864" s="24"/>
      <c r="B864" s="143"/>
      <c r="C864" s="24"/>
      <c r="D864" s="24"/>
      <c r="E864" s="24"/>
      <c r="F864" s="24"/>
      <c r="G864" s="24"/>
      <c r="H864" s="117"/>
      <c r="I864" s="117"/>
      <c r="J864" s="24"/>
      <c r="K864" s="24"/>
      <c r="L864" s="24"/>
      <c r="M864" s="24"/>
      <c r="N864" s="24"/>
      <c r="O864" s="24"/>
      <c r="P864" s="24"/>
      <c r="Q864" s="24"/>
      <c r="R864" s="24"/>
      <c r="S864" s="24"/>
      <c r="T864" s="24"/>
      <c r="U864" s="24"/>
      <c r="V864" s="24"/>
      <c r="W864" s="24"/>
      <c r="X864" s="24"/>
      <c r="Y864" s="24"/>
      <c r="Z864" s="24"/>
      <c r="AA864" s="24"/>
      <c r="AB864" s="24"/>
      <c r="AC864" s="24"/>
      <c r="AD864" s="24"/>
      <c r="AE864" s="24"/>
    </row>
    <row r="865" spans="1:31" ht="12.9">
      <c r="A865" s="24"/>
      <c r="B865" s="143"/>
      <c r="C865" s="24"/>
      <c r="D865" s="24"/>
      <c r="E865" s="24"/>
      <c r="F865" s="24"/>
      <c r="G865" s="24"/>
      <c r="H865" s="117"/>
      <c r="I865" s="117"/>
      <c r="J865" s="24"/>
      <c r="K865" s="24"/>
      <c r="L865" s="24"/>
      <c r="M865" s="24"/>
      <c r="N865" s="24"/>
      <c r="O865" s="24"/>
      <c r="P865" s="24"/>
      <c r="Q865" s="24"/>
      <c r="R865" s="24"/>
      <c r="S865" s="24"/>
      <c r="T865" s="24"/>
      <c r="U865" s="24"/>
      <c r="V865" s="24"/>
      <c r="W865" s="24"/>
      <c r="X865" s="24"/>
      <c r="Y865" s="24"/>
      <c r="Z865" s="24"/>
      <c r="AA865" s="24"/>
      <c r="AB865" s="24"/>
      <c r="AC865" s="24"/>
      <c r="AD865" s="24"/>
      <c r="AE865" s="24"/>
    </row>
    <row r="866" spans="1:31" ht="12.9">
      <c r="A866" s="24"/>
      <c r="B866" s="143"/>
      <c r="C866" s="24"/>
      <c r="D866" s="24"/>
      <c r="E866" s="24"/>
      <c r="F866" s="24"/>
      <c r="G866" s="24"/>
      <c r="H866" s="117"/>
      <c r="I866" s="117"/>
      <c r="J866" s="24"/>
      <c r="K866" s="24"/>
      <c r="L866" s="24"/>
      <c r="M866" s="24"/>
      <c r="N866" s="24"/>
      <c r="O866" s="24"/>
      <c r="P866" s="24"/>
      <c r="Q866" s="24"/>
      <c r="R866" s="24"/>
      <c r="S866" s="24"/>
      <c r="T866" s="24"/>
      <c r="U866" s="24"/>
      <c r="V866" s="24"/>
      <c r="W866" s="24"/>
      <c r="X866" s="24"/>
      <c r="Y866" s="24"/>
      <c r="Z866" s="24"/>
      <c r="AA866" s="24"/>
      <c r="AB866" s="24"/>
      <c r="AC866" s="24"/>
      <c r="AD866" s="24"/>
      <c r="AE866" s="24"/>
    </row>
    <row r="867" spans="1:31" ht="12.9">
      <c r="A867" s="24"/>
      <c r="B867" s="143"/>
      <c r="C867" s="24"/>
      <c r="D867" s="24"/>
      <c r="E867" s="24"/>
      <c r="F867" s="24"/>
      <c r="G867" s="24"/>
      <c r="H867" s="117"/>
      <c r="I867" s="117"/>
      <c r="J867" s="24"/>
      <c r="K867" s="24"/>
      <c r="L867" s="24"/>
      <c r="M867" s="24"/>
      <c r="N867" s="24"/>
      <c r="O867" s="24"/>
      <c r="P867" s="24"/>
      <c r="Q867" s="24"/>
      <c r="R867" s="24"/>
      <c r="S867" s="24"/>
      <c r="T867" s="24"/>
      <c r="U867" s="24"/>
      <c r="V867" s="24"/>
      <c r="W867" s="24"/>
      <c r="X867" s="24"/>
      <c r="Y867" s="24"/>
      <c r="Z867" s="24"/>
      <c r="AA867" s="24"/>
      <c r="AB867" s="24"/>
      <c r="AC867" s="24"/>
      <c r="AD867" s="24"/>
      <c r="AE867" s="24"/>
    </row>
    <row r="868" spans="1:31" ht="12.9">
      <c r="A868" s="24"/>
      <c r="B868" s="143"/>
      <c r="C868" s="24"/>
      <c r="D868" s="24"/>
      <c r="E868" s="24"/>
      <c r="F868" s="24"/>
      <c r="G868" s="24"/>
      <c r="H868" s="117"/>
      <c r="I868" s="117"/>
      <c r="J868" s="24"/>
      <c r="K868" s="24"/>
      <c r="L868" s="24"/>
      <c r="M868" s="24"/>
      <c r="N868" s="24"/>
      <c r="O868" s="24"/>
      <c r="P868" s="24"/>
      <c r="Q868" s="24"/>
      <c r="R868" s="24"/>
      <c r="S868" s="24"/>
      <c r="T868" s="24"/>
      <c r="U868" s="24"/>
      <c r="V868" s="24"/>
      <c r="W868" s="24"/>
      <c r="X868" s="24"/>
      <c r="Y868" s="24"/>
      <c r="Z868" s="24"/>
      <c r="AA868" s="24"/>
      <c r="AB868" s="24"/>
      <c r="AC868" s="24"/>
      <c r="AD868" s="24"/>
      <c r="AE868" s="24"/>
    </row>
    <row r="869" spans="1:31" ht="12.9">
      <c r="A869" s="24"/>
      <c r="B869" s="143"/>
      <c r="C869" s="24"/>
      <c r="D869" s="24"/>
      <c r="E869" s="24"/>
      <c r="F869" s="24"/>
      <c r="G869" s="24"/>
      <c r="H869" s="117"/>
      <c r="I869" s="117"/>
      <c r="J869" s="24"/>
      <c r="K869" s="24"/>
      <c r="L869" s="24"/>
      <c r="M869" s="24"/>
      <c r="N869" s="24"/>
      <c r="O869" s="24"/>
      <c r="P869" s="24"/>
      <c r="Q869" s="24"/>
      <c r="R869" s="24"/>
      <c r="S869" s="24"/>
      <c r="T869" s="24"/>
      <c r="U869" s="24"/>
      <c r="V869" s="24"/>
      <c r="W869" s="24"/>
      <c r="X869" s="24"/>
      <c r="Y869" s="24"/>
      <c r="Z869" s="24"/>
      <c r="AA869" s="24"/>
      <c r="AB869" s="24"/>
      <c r="AC869" s="24"/>
      <c r="AD869" s="24"/>
      <c r="AE869" s="24"/>
    </row>
    <row r="870" spans="1:31" ht="12.9">
      <c r="A870" s="24"/>
      <c r="B870" s="143"/>
      <c r="C870" s="24"/>
      <c r="D870" s="24"/>
      <c r="E870" s="24"/>
      <c r="F870" s="24"/>
      <c r="G870" s="24"/>
      <c r="H870" s="117"/>
      <c r="I870" s="117"/>
      <c r="J870" s="24"/>
      <c r="K870" s="24"/>
      <c r="L870" s="24"/>
      <c r="M870" s="24"/>
      <c r="N870" s="24"/>
      <c r="O870" s="24"/>
      <c r="P870" s="24"/>
      <c r="Q870" s="24"/>
      <c r="R870" s="24"/>
      <c r="S870" s="24"/>
      <c r="T870" s="24"/>
      <c r="U870" s="24"/>
      <c r="V870" s="24"/>
      <c r="W870" s="24"/>
      <c r="X870" s="24"/>
      <c r="Y870" s="24"/>
      <c r="Z870" s="24"/>
      <c r="AA870" s="24"/>
      <c r="AB870" s="24"/>
      <c r="AC870" s="24"/>
      <c r="AD870" s="24"/>
      <c r="AE870" s="24"/>
    </row>
    <row r="871" spans="1:31" ht="12.9">
      <c r="A871" s="24"/>
      <c r="B871" s="143"/>
      <c r="C871" s="24"/>
      <c r="D871" s="24"/>
      <c r="E871" s="24"/>
      <c r="F871" s="24"/>
      <c r="G871" s="24"/>
      <c r="H871" s="117"/>
      <c r="I871" s="117"/>
      <c r="J871" s="24"/>
      <c r="K871" s="24"/>
      <c r="L871" s="24"/>
      <c r="M871" s="24"/>
      <c r="N871" s="24"/>
      <c r="O871" s="24"/>
      <c r="P871" s="24"/>
      <c r="Q871" s="24"/>
      <c r="R871" s="24"/>
      <c r="S871" s="24"/>
      <c r="T871" s="24"/>
      <c r="U871" s="24"/>
      <c r="V871" s="24"/>
      <c r="W871" s="24"/>
      <c r="X871" s="24"/>
      <c r="Y871" s="24"/>
      <c r="Z871" s="24"/>
      <c r="AA871" s="24"/>
      <c r="AB871" s="24"/>
      <c r="AC871" s="24"/>
      <c r="AD871" s="24"/>
      <c r="AE871" s="24"/>
    </row>
    <row r="872" spans="1:31" ht="12.9">
      <c r="A872" s="24"/>
      <c r="B872" s="143"/>
      <c r="C872" s="24"/>
      <c r="D872" s="24"/>
      <c r="E872" s="24"/>
      <c r="F872" s="24"/>
      <c r="G872" s="24"/>
      <c r="H872" s="117"/>
      <c r="I872" s="117"/>
      <c r="J872" s="24"/>
      <c r="K872" s="24"/>
      <c r="L872" s="24"/>
      <c r="M872" s="24"/>
      <c r="N872" s="24"/>
      <c r="O872" s="24"/>
      <c r="P872" s="24"/>
      <c r="Q872" s="24"/>
      <c r="R872" s="24"/>
      <c r="S872" s="24"/>
      <c r="T872" s="24"/>
      <c r="U872" s="24"/>
      <c r="V872" s="24"/>
      <c r="W872" s="24"/>
      <c r="X872" s="24"/>
      <c r="Y872" s="24"/>
      <c r="Z872" s="24"/>
      <c r="AA872" s="24"/>
      <c r="AB872" s="24"/>
      <c r="AC872" s="24"/>
      <c r="AD872" s="24"/>
      <c r="AE872" s="24"/>
    </row>
    <row r="873" spans="1:31" ht="12.9">
      <c r="A873" s="24"/>
      <c r="B873" s="143"/>
      <c r="C873" s="24"/>
      <c r="D873" s="24"/>
      <c r="E873" s="24"/>
      <c r="F873" s="24"/>
      <c r="G873" s="24"/>
      <c r="H873" s="117"/>
      <c r="I873" s="117"/>
      <c r="J873" s="24"/>
      <c r="K873" s="24"/>
      <c r="L873" s="24"/>
      <c r="M873" s="24"/>
      <c r="N873" s="24"/>
      <c r="O873" s="24"/>
      <c r="P873" s="24"/>
      <c r="Q873" s="24"/>
      <c r="R873" s="24"/>
      <c r="S873" s="24"/>
      <c r="T873" s="24"/>
      <c r="U873" s="24"/>
      <c r="V873" s="24"/>
      <c r="W873" s="24"/>
      <c r="X873" s="24"/>
      <c r="Y873" s="24"/>
      <c r="Z873" s="24"/>
      <c r="AA873" s="24"/>
      <c r="AB873" s="24"/>
      <c r="AC873" s="24"/>
      <c r="AD873" s="24"/>
      <c r="AE873" s="24"/>
    </row>
    <row r="874" spans="1:31" ht="12.9">
      <c r="A874" s="24"/>
      <c r="B874" s="143"/>
      <c r="C874" s="24"/>
      <c r="D874" s="24"/>
      <c r="E874" s="24"/>
      <c r="F874" s="24"/>
      <c r="G874" s="24"/>
      <c r="H874" s="117"/>
      <c r="I874" s="117"/>
      <c r="J874" s="24"/>
      <c r="K874" s="24"/>
      <c r="L874" s="24"/>
      <c r="M874" s="24"/>
      <c r="N874" s="24"/>
      <c r="O874" s="24"/>
      <c r="P874" s="24"/>
      <c r="Q874" s="24"/>
      <c r="R874" s="24"/>
      <c r="S874" s="24"/>
      <c r="T874" s="24"/>
      <c r="U874" s="24"/>
      <c r="V874" s="24"/>
      <c r="W874" s="24"/>
      <c r="X874" s="24"/>
      <c r="Y874" s="24"/>
      <c r="Z874" s="24"/>
      <c r="AA874" s="24"/>
      <c r="AB874" s="24"/>
      <c r="AC874" s="24"/>
      <c r="AD874" s="24"/>
      <c r="AE874" s="24"/>
    </row>
    <row r="875" spans="1:31" ht="12.9">
      <c r="A875" s="24"/>
      <c r="B875" s="143"/>
      <c r="C875" s="24"/>
      <c r="D875" s="24"/>
      <c r="E875" s="24"/>
      <c r="F875" s="24"/>
      <c r="G875" s="24"/>
      <c r="H875" s="117"/>
      <c r="I875" s="117"/>
      <c r="J875" s="24"/>
      <c r="K875" s="24"/>
      <c r="L875" s="24"/>
      <c r="M875" s="24"/>
      <c r="N875" s="24"/>
      <c r="O875" s="24"/>
      <c r="P875" s="24"/>
      <c r="Q875" s="24"/>
      <c r="R875" s="24"/>
      <c r="S875" s="24"/>
      <c r="T875" s="24"/>
      <c r="U875" s="24"/>
      <c r="V875" s="24"/>
      <c r="W875" s="24"/>
      <c r="X875" s="24"/>
      <c r="Y875" s="24"/>
      <c r="Z875" s="24"/>
      <c r="AA875" s="24"/>
      <c r="AB875" s="24"/>
      <c r="AC875" s="24"/>
      <c r="AD875" s="24"/>
      <c r="AE875" s="24"/>
    </row>
    <row r="876" spans="1:31" ht="12.9">
      <c r="A876" s="24"/>
      <c r="B876" s="143"/>
      <c r="C876" s="24"/>
      <c r="D876" s="24"/>
      <c r="E876" s="24"/>
      <c r="F876" s="24"/>
      <c r="G876" s="24"/>
      <c r="H876" s="117"/>
      <c r="I876" s="117"/>
      <c r="J876" s="24"/>
      <c r="K876" s="24"/>
      <c r="L876" s="24"/>
      <c r="M876" s="24"/>
      <c r="N876" s="24"/>
      <c r="O876" s="24"/>
      <c r="P876" s="24"/>
      <c r="Q876" s="24"/>
      <c r="R876" s="24"/>
      <c r="S876" s="24"/>
      <c r="T876" s="24"/>
      <c r="U876" s="24"/>
      <c r="V876" s="24"/>
      <c r="W876" s="24"/>
      <c r="X876" s="24"/>
      <c r="Y876" s="24"/>
      <c r="Z876" s="24"/>
      <c r="AA876" s="24"/>
      <c r="AB876" s="24"/>
      <c r="AC876" s="24"/>
      <c r="AD876" s="24"/>
      <c r="AE876" s="24"/>
    </row>
    <row r="877" spans="1:31" ht="12.9">
      <c r="A877" s="24"/>
      <c r="B877" s="143"/>
      <c r="C877" s="24"/>
      <c r="D877" s="24"/>
      <c r="E877" s="24"/>
      <c r="F877" s="24"/>
      <c r="G877" s="24"/>
      <c r="H877" s="117"/>
      <c r="I877" s="117"/>
      <c r="J877" s="24"/>
      <c r="K877" s="24"/>
      <c r="L877" s="24"/>
      <c r="M877" s="24"/>
      <c r="N877" s="24"/>
      <c r="O877" s="24"/>
      <c r="P877" s="24"/>
      <c r="Q877" s="24"/>
      <c r="R877" s="24"/>
      <c r="S877" s="24"/>
      <c r="T877" s="24"/>
      <c r="U877" s="24"/>
      <c r="V877" s="24"/>
      <c r="W877" s="24"/>
      <c r="X877" s="24"/>
      <c r="Y877" s="24"/>
      <c r="Z877" s="24"/>
      <c r="AA877" s="24"/>
      <c r="AB877" s="24"/>
      <c r="AC877" s="24"/>
      <c r="AD877" s="24"/>
      <c r="AE877" s="24"/>
    </row>
    <row r="878" spans="1:31" ht="12.9">
      <c r="A878" s="24"/>
      <c r="B878" s="143"/>
      <c r="C878" s="24"/>
      <c r="D878" s="24"/>
      <c r="E878" s="24"/>
      <c r="F878" s="24"/>
      <c r="G878" s="24"/>
      <c r="H878" s="117"/>
      <c r="I878" s="117"/>
      <c r="J878" s="24"/>
      <c r="K878" s="24"/>
      <c r="L878" s="24"/>
      <c r="M878" s="24"/>
      <c r="N878" s="24"/>
      <c r="O878" s="24"/>
      <c r="P878" s="24"/>
      <c r="Q878" s="24"/>
      <c r="R878" s="24"/>
      <c r="S878" s="24"/>
      <c r="T878" s="24"/>
      <c r="U878" s="24"/>
      <c r="V878" s="24"/>
      <c r="W878" s="24"/>
      <c r="X878" s="24"/>
      <c r="Y878" s="24"/>
      <c r="Z878" s="24"/>
      <c r="AA878" s="24"/>
      <c r="AB878" s="24"/>
      <c r="AC878" s="24"/>
      <c r="AD878" s="24"/>
      <c r="AE878" s="24"/>
    </row>
    <row r="879" spans="1:31" ht="12.9">
      <c r="A879" s="24"/>
      <c r="B879" s="143"/>
      <c r="C879" s="24"/>
      <c r="D879" s="24"/>
      <c r="E879" s="24"/>
      <c r="F879" s="24"/>
      <c r="G879" s="24"/>
      <c r="H879" s="117"/>
      <c r="I879" s="117"/>
      <c r="J879" s="24"/>
      <c r="K879" s="24"/>
      <c r="L879" s="24"/>
      <c r="M879" s="24"/>
      <c r="N879" s="24"/>
      <c r="O879" s="24"/>
      <c r="P879" s="24"/>
      <c r="Q879" s="24"/>
      <c r="R879" s="24"/>
      <c r="S879" s="24"/>
      <c r="T879" s="24"/>
      <c r="U879" s="24"/>
      <c r="V879" s="24"/>
      <c r="W879" s="24"/>
      <c r="X879" s="24"/>
      <c r="Y879" s="24"/>
      <c r="Z879" s="24"/>
      <c r="AA879" s="24"/>
      <c r="AB879" s="24"/>
      <c r="AC879" s="24"/>
      <c r="AD879" s="24"/>
      <c r="AE879" s="24"/>
    </row>
    <row r="880" spans="1:31" ht="12.9">
      <c r="A880" s="24"/>
      <c r="B880" s="143"/>
      <c r="C880" s="24"/>
      <c r="D880" s="24"/>
      <c r="E880" s="24"/>
      <c r="F880" s="24"/>
      <c r="G880" s="24"/>
      <c r="H880" s="117"/>
      <c r="I880" s="117"/>
      <c r="J880" s="24"/>
      <c r="K880" s="24"/>
      <c r="L880" s="24"/>
      <c r="M880" s="24"/>
      <c r="N880" s="24"/>
      <c r="O880" s="24"/>
      <c r="P880" s="24"/>
      <c r="Q880" s="24"/>
      <c r="R880" s="24"/>
      <c r="S880" s="24"/>
      <c r="T880" s="24"/>
      <c r="U880" s="24"/>
      <c r="V880" s="24"/>
      <c r="W880" s="24"/>
      <c r="X880" s="24"/>
      <c r="Y880" s="24"/>
      <c r="Z880" s="24"/>
      <c r="AA880" s="24"/>
      <c r="AB880" s="24"/>
      <c r="AC880" s="24"/>
      <c r="AD880" s="24"/>
      <c r="AE880" s="24"/>
    </row>
    <row r="881" spans="1:31" ht="12.9">
      <c r="A881" s="24"/>
      <c r="B881" s="143"/>
      <c r="C881" s="24"/>
      <c r="D881" s="24"/>
      <c r="E881" s="24"/>
      <c r="F881" s="24"/>
      <c r="G881" s="24"/>
      <c r="H881" s="117"/>
      <c r="I881" s="117"/>
      <c r="J881" s="24"/>
      <c r="K881" s="24"/>
      <c r="L881" s="24"/>
      <c r="M881" s="24"/>
      <c r="N881" s="24"/>
      <c r="O881" s="24"/>
      <c r="P881" s="24"/>
      <c r="Q881" s="24"/>
      <c r="R881" s="24"/>
      <c r="S881" s="24"/>
      <c r="T881" s="24"/>
      <c r="U881" s="24"/>
      <c r="V881" s="24"/>
      <c r="W881" s="24"/>
      <c r="X881" s="24"/>
      <c r="Y881" s="24"/>
      <c r="Z881" s="24"/>
      <c r="AA881" s="24"/>
      <c r="AB881" s="24"/>
      <c r="AC881" s="24"/>
      <c r="AD881" s="24"/>
      <c r="AE881" s="24"/>
    </row>
    <row r="882" spans="1:31" ht="12.9">
      <c r="A882" s="24"/>
      <c r="B882" s="143"/>
      <c r="C882" s="24"/>
      <c r="D882" s="24"/>
      <c r="E882" s="24"/>
      <c r="F882" s="24"/>
      <c r="G882" s="24"/>
      <c r="H882" s="117"/>
      <c r="I882" s="117"/>
      <c r="J882" s="24"/>
      <c r="K882" s="24"/>
      <c r="L882" s="24"/>
      <c r="M882" s="24"/>
      <c r="N882" s="24"/>
      <c r="O882" s="24"/>
      <c r="P882" s="24"/>
      <c r="Q882" s="24"/>
      <c r="R882" s="24"/>
      <c r="S882" s="24"/>
      <c r="T882" s="24"/>
      <c r="U882" s="24"/>
      <c r="V882" s="24"/>
      <c r="W882" s="24"/>
      <c r="X882" s="24"/>
      <c r="Y882" s="24"/>
      <c r="Z882" s="24"/>
      <c r="AA882" s="24"/>
      <c r="AB882" s="24"/>
      <c r="AC882" s="24"/>
      <c r="AD882" s="24"/>
      <c r="AE882" s="24"/>
    </row>
    <row r="883" spans="1:31" ht="12.9">
      <c r="A883" s="24"/>
      <c r="B883" s="143"/>
      <c r="C883" s="24"/>
      <c r="D883" s="24"/>
      <c r="E883" s="24"/>
      <c r="F883" s="24"/>
      <c r="G883" s="24"/>
      <c r="H883" s="117"/>
      <c r="I883" s="117"/>
      <c r="J883" s="24"/>
      <c r="K883" s="24"/>
      <c r="L883" s="24"/>
      <c r="M883" s="24"/>
      <c r="N883" s="24"/>
      <c r="O883" s="24"/>
      <c r="P883" s="24"/>
      <c r="Q883" s="24"/>
      <c r="R883" s="24"/>
      <c r="S883" s="24"/>
      <c r="T883" s="24"/>
      <c r="U883" s="24"/>
      <c r="V883" s="24"/>
      <c r="W883" s="24"/>
      <c r="X883" s="24"/>
      <c r="Y883" s="24"/>
      <c r="Z883" s="24"/>
      <c r="AA883" s="24"/>
      <c r="AB883" s="24"/>
      <c r="AC883" s="24"/>
      <c r="AD883" s="24"/>
      <c r="AE883" s="24"/>
    </row>
    <row r="884" spans="1:31" ht="12.9">
      <c r="A884" s="24"/>
      <c r="B884" s="143"/>
      <c r="C884" s="24"/>
      <c r="D884" s="24"/>
      <c r="E884" s="24"/>
      <c r="F884" s="24"/>
      <c r="G884" s="24"/>
      <c r="H884" s="117"/>
      <c r="I884" s="117"/>
      <c r="J884" s="24"/>
      <c r="K884" s="24"/>
      <c r="L884" s="24"/>
      <c r="M884" s="24"/>
      <c r="N884" s="24"/>
      <c r="O884" s="24"/>
      <c r="P884" s="24"/>
      <c r="Q884" s="24"/>
      <c r="R884" s="24"/>
      <c r="S884" s="24"/>
      <c r="T884" s="24"/>
      <c r="U884" s="24"/>
      <c r="V884" s="24"/>
      <c r="W884" s="24"/>
      <c r="X884" s="24"/>
      <c r="Y884" s="24"/>
      <c r="Z884" s="24"/>
      <c r="AA884" s="24"/>
      <c r="AB884" s="24"/>
      <c r="AC884" s="24"/>
      <c r="AD884" s="24"/>
      <c r="AE884" s="24"/>
    </row>
    <row r="885" spans="1:31" ht="12.9">
      <c r="A885" s="24"/>
      <c r="B885" s="143"/>
      <c r="C885" s="24"/>
      <c r="D885" s="24"/>
      <c r="E885" s="24"/>
      <c r="F885" s="24"/>
      <c r="G885" s="24"/>
      <c r="H885" s="117"/>
      <c r="I885" s="117"/>
      <c r="J885" s="24"/>
      <c r="K885" s="24"/>
      <c r="L885" s="24"/>
      <c r="M885" s="24"/>
      <c r="N885" s="24"/>
      <c r="O885" s="24"/>
      <c r="P885" s="24"/>
      <c r="Q885" s="24"/>
      <c r="R885" s="24"/>
      <c r="S885" s="24"/>
      <c r="T885" s="24"/>
      <c r="U885" s="24"/>
      <c r="V885" s="24"/>
      <c r="W885" s="24"/>
      <c r="X885" s="24"/>
      <c r="Y885" s="24"/>
      <c r="Z885" s="24"/>
      <c r="AA885" s="24"/>
      <c r="AB885" s="24"/>
      <c r="AC885" s="24"/>
      <c r="AD885" s="24"/>
      <c r="AE885" s="24"/>
    </row>
    <row r="886" spans="1:31" ht="12.9">
      <c r="A886" s="24"/>
      <c r="B886" s="143"/>
      <c r="C886" s="24"/>
      <c r="D886" s="24"/>
      <c r="E886" s="24"/>
      <c r="F886" s="24"/>
      <c r="G886" s="24"/>
      <c r="H886" s="117"/>
      <c r="I886" s="117"/>
      <c r="J886" s="24"/>
      <c r="K886" s="24"/>
      <c r="L886" s="24"/>
      <c r="M886" s="24"/>
      <c r="N886" s="24"/>
      <c r="O886" s="24"/>
      <c r="P886" s="24"/>
      <c r="Q886" s="24"/>
      <c r="R886" s="24"/>
      <c r="S886" s="24"/>
      <c r="T886" s="24"/>
      <c r="U886" s="24"/>
      <c r="V886" s="24"/>
      <c r="W886" s="24"/>
      <c r="X886" s="24"/>
      <c r="Y886" s="24"/>
      <c r="Z886" s="24"/>
      <c r="AA886" s="24"/>
      <c r="AB886" s="24"/>
      <c r="AC886" s="24"/>
      <c r="AD886" s="24"/>
      <c r="AE886" s="24"/>
    </row>
    <row r="887" spans="1:31" ht="12.9">
      <c r="A887" s="24"/>
      <c r="B887" s="143"/>
      <c r="C887" s="24"/>
      <c r="D887" s="24"/>
      <c r="E887" s="24"/>
      <c r="F887" s="24"/>
      <c r="G887" s="24"/>
      <c r="H887" s="117"/>
      <c r="I887" s="117"/>
      <c r="J887" s="24"/>
      <c r="K887" s="24"/>
      <c r="L887" s="24"/>
      <c r="M887" s="24"/>
      <c r="N887" s="24"/>
      <c r="O887" s="24"/>
      <c r="P887" s="24"/>
      <c r="Q887" s="24"/>
      <c r="R887" s="24"/>
      <c r="S887" s="24"/>
      <c r="T887" s="24"/>
      <c r="U887" s="24"/>
      <c r="V887" s="24"/>
      <c r="W887" s="24"/>
      <c r="X887" s="24"/>
      <c r="Y887" s="24"/>
      <c r="Z887" s="24"/>
      <c r="AA887" s="24"/>
      <c r="AB887" s="24"/>
      <c r="AC887" s="24"/>
      <c r="AD887" s="24"/>
      <c r="AE887" s="24"/>
    </row>
    <row r="888" spans="1:31" ht="12.9">
      <c r="A888" s="24"/>
      <c r="B888" s="143"/>
      <c r="C888" s="24"/>
      <c r="D888" s="24"/>
      <c r="E888" s="24"/>
      <c r="F888" s="24"/>
      <c r="G888" s="24"/>
      <c r="H888" s="117"/>
      <c r="I888" s="117"/>
      <c r="J888" s="24"/>
      <c r="K888" s="24"/>
      <c r="L888" s="24"/>
      <c r="M888" s="24"/>
      <c r="N888" s="24"/>
      <c r="O888" s="24"/>
      <c r="P888" s="24"/>
      <c r="Q888" s="24"/>
      <c r="R888" s="24"/>
      <c r="S888" s="24"/>
      <c r="T888" s="24"/>
      <c r="U888" s="24"/>
      <c r="V888" s="24"/>
      <c r="W888" s="24"/>
      <c r="X888" s="24"/>
      <c r="Y888" s="24"/>
      <c r="Z888" s="24"/>
      <c r="AA888" s="24"/>
      <c r="AB888" s="24"/>
      <c r="AC888" s="24"/>
      <c r="AD888" s="24"/>
      <c r="AE888" s="24"/>
    </row>
    <row r="889" spans="1:31" ht="12.9">
      <c r="A889" s="24"/>
      <c r="B889" s="143"/>
      <c r="C889" s="24"/>
      <c r="D889" s="24"/>
      <c r="E889" s="24"/>
      <c r="F889" s="24"/>
      <c r="G889" s="24"/>
      <c r="H889" s="117"/>
      <c r="I889" s="117"/>
      <c r="J889" s="24"/>
      <c r="K889" s="24"/>
      <c r="L889" s="24"/>
      <c r="M889" s="24"/>
      <c r="N889" s="24"/>
      <c r="O889" s="24"/>
      <c r="P889" s="24"/>
      <c r="Q889" s="24"/>
      <c r="R889" s="24"/>
      <c r="S889" s="24"/>
      <c r="T889" s="24"/>
      <c r="U889" s="24"/>
      <c r="V889" s="24"/>
      <c r="W889" s="24"/>
      <c r="X889" s="24"/>
      <c r="Y889" s="24"/>
      <c r="Z889" s="24"/>
      <c r="AA889" s="24"/>
      <c r="AB889" s="24"/>
      <c r="AC889" s="24"/>
      <c r="AD889" s="24"/>
      <c r="AE889" s="24"/>
    </row>
    <row r="890" spans="1:31" ht="12.9">
      <c r="A890" s="24"/>
      <c r="B890" s="143"/>
      <c r="C890" s="24"/>
      <c r="D890" s="24"/>
      <c r="E890" s="24"/>
      <c r="F890" s="24"/>
      <c r="G890" s="24"/>
      <c r="H890" s="117"/>
      <c r="I890" s="117"/>
      <c r="J890" s="24"/>
      <c r="K890" s="24"/>
      <c r="L890" s="24"/>
      <c r="M890" s="24"/>
      <c r="N890" s="24"/>
      <c r="O890" s="24"/>
      <c r="P890" s="24"/>
      <c r="Q890" s="24"/>
      <c r="R890" s="24"/>
      <c r="S890" s="24"/>
      <c r="T890" s="24"/>
      <c r="U890" s="24"/>
      <c r="V890" s="24"/>
      <c r="W890" s="24"/>
      <c r="X890" s="24"/>
      <c r="Y890" s="24"/>
      <c r="Z890" s="24"/>
      <c r="AA890" s="24"/>
      <c r="AB890" s="24"/>
      <c r="AC890" s="24"/>
      <c r="AD890" s="24"/>
      <c r="AE890" s="24"/>
    </row>
    <row r="891" spans="1:31" ht="12.9">
      <c r="A891" s="24"/>
      <c r="B891" s="143"/>
      <c r="C891" s="24"/>
      <c r="D891" s="24"/>
      <c r="E891" s="24"/>
      <c r="F891" s="24"/>
      <c r="G891" s="24"/>
      <c r="H891" s="117"/>
      <c r="I891" s="117"/>
      <c r="J891" s="24"/>
      <c r="K891" s="24"/>
      <c r="L891" s="24"/>
      <c r="M891" s="24"/>
      <c r="N891" s="24"/>
      <c r="O891" s="24"/>
      <c r="P891" s="24"/>
      <c r="Q891" s="24"/>
      <c r="R891" s="24"/>
      <c r="S891" s="24"/>
      <c r="T891" s="24"/>
      <c r="U891" s="24"/>
      <c r="V891" s="24"/>
      <c r="W891" s="24"/>
      <c r="X891" s="24"/>
      <c r="Y891" s="24"/>
      <c r="Z891" s="24"/>
      <c r="AA891" s="24"/>
      <c r="AB891" s="24"/>
      <c r="AC891" s="24"/>
      <c r="AD891" s="24"/>
      <c r="AE891" s="24"/>
    </row>
    <row r="892" spans="1:31" ht="12.9">
      <c r="A892" s="24"/>
      <c r="B892" s="143"/>
      <c r="C892" s="24"/>
      <c r="D892" s="24"/>
      <c r="E892" s="24"/>
      <c r="F892" s="24"/>
      <c r="G892" s="24"/>
      <c r="H892" s="117"/>
      <c r="I892" s="117"/>
      <c r="J892" s="24"/>
      <c r="K892" s="24"/>
      <c r="L892" s="24"/>
      <c r="M892" s="24"/>
      <c r="N892" s="24"/>
      <c r="O892" s="24"/>
      <c r="P892" s="24"/>
      <c r="Q892" s="24"/>
      <c r="R892" s="24"/>
      <c r="S892" s="24"/>
      <c r="T892" s="24"/>
      <c r="U892" s="24"/>
      <c r="V892" s="24"/>
      <c r="W892" s="24"/>
      <c r="X892" s="24"/>
      <c r="Y892" s="24"/>
      <c r="Z892" s="24"/>
      <c r="AA892" s="24"/>
      <c r="AB892" s="24"/>
      <c r="AC892" s="24"/>
      <c r="AD892" s="24"/>
      <c r="AE892" s="24"/>
    </row>
    <row r="893" spans="1:31" ht="12.9">
      <c r="A893" s="24"/>
      <c r="B893" s="143"/>
      <c r="C893" s="24"/>
      <c r="D893" s="24"/>
      <c r="E893" s="24"/>
      <c r="F893" s="24"/>
      <c r="G893" s="24"/>
      <c r="H893" s="117"/>
      <c r="I893" s="117"/>
      <c r="J893" s="24"/>
      <c r="K893" s="24"/>
      <c r="L893" s="24"/>
      <c r="M893" s="24"/>
      <c r="N893" s="24"/>
      <c r="O893" s="24"/>
      <c r="P893" s="24"/>
      <c r="Q893" s="24"/>
      <c r="R893" s="24"/>
      <c r="S893" s="24"/>
      <c r="T893" s="24"/>
      <c r="U893" s="24"/>
      <c r="V893" s="24"/>
      <c r="W893" s="24"/>
      <c r="X893" s="24"/>
      <c r="Y893" s="24"/>
      <c r="Z893" s="24"/>
      <c r="AA893" s="24"/>
      <c r="AB893" s="24"/>
      <c r="AC893" s="24"/>
      <c r="AD893" s="24"/>
      <c r="AE893" s="24"/>
    </row>
    <row r="894" spans="1:31" ht="12.9">
      <c r="A894" s="24"/>
      <c r="B894" s="143"/>
      <c r="C894" s="24"/>
      <c r="D894" s="24"/>
      <c r="E894" s="24"/>
      <c r="F894" s="24"/>
      <c r="G894" s="24"/>
      <c r="H894" s="117"/>
      <c r="I894" s="117"/>
      <c r="J894" s="24"/>
      <c r="K894" s="24"/>
      <c r="L894" s="24"/>
      <c r="M894" s="24"/>
      <c r="N894" s="24"/>
      <c r="O894" s="24"/>
      <c r="P894" s="24"/>
      <c r="Q894" s="24"/>
      <c r="R894" s="24"/>
      <c r="S894" s="24"/>
      <c r="T894" s="24"/>
      <c r="U894" s="24"/>
      <c r="V894" s="24"/>
      <c r="W894" s="24"/>
      <c r="X894" s="24"/>
      <c r="Y894" s="24"/>
      <c r="Z894" s="24"/>
      <c r="AA894" s="24"/>
      <c r="AB894" s="24"/>
      <c r="AC894" s="24"/>
      <c r="AD894" s="24"/>
      <c r="AE894" s="24"/>
    </row>
    <row r="895" spans="1:31" ht="12.9">
      <c r="A895" s="24"/>
      <c r="B895" s="143"/>
      <c r="C895" s="24"/>
      <c r="D895" s="24"/>
      <c r="E895" s="24"/>
      <c r="F895" s="24"/>
      <c r="G895" s="24"/>
      <c r="H895" s="117"/>
      <c r="I895" s="117"/>
      <c r="J895" s="24"/>
      <c r="K895" s="24"/>
      <c r="L895" s="24"/>
      <c r="M895" s="24"/>
      <c r="N895" s="24"/>
      <c r="O895" s="24"/>
      <c r="P895" s="24"/>
      <c r="Q895" s="24"/>
      <c r="R895" s="24"/>
      <c r="S895" s="24"/>
      <c r="T895" s="24"/>
      <c r="U895" s="24"/>
      <c r="V895" s="24"/>
      <c r="W895" s="24"/>
      <c r="X895" s="24"/>
      <c r="Y895" s="24"/>
      <c r="Z895" s="24"/>
      <c r="AA895" s="24"/>
      <c r="AB895" s="24"/>
      <c r="AC895" s="24"/>
      <c r="AD895" s="24"/>
      <c r="AE895" s="24"/>
    </row>
    <row r="896" spans="1:31" ht="12.9">
      <c r="A896" s="24"/>
      <c r="B896" s="143"/>
      <c r="C896" s="24"/>
      <c r="D896" s="24"/>
      <c r="E896" s="24"/>
      <c r="F896" s="24"/>
      <c r="G896" s="24"/>
      <c r="H896" s="117"/>
      <c r="I896" s="117"/>
      <c r="J896" s="24"/>
      <c r="K896" s="24"/>
      <c r="L896" s="24"/>
      <c r="M896" s="24"/>
      <c r="N896" s="24"/>
      <c r="O896" s="24"/>
      <c r="P896" s="24"/>
      <c r="Q896" s="24"/>
      <c r="R896" s="24"/>
      <c r="S896" s="24"/>
      <c r="T896" s="24"/>
      <c r="U896" s="24"/>
      <c r="V896" s="24"/>
      <c r="W896" s="24"/>
      <c r="X896" s="24"/>
      <c r="Y896" s="24"/>
      <c r="Z896" s="24"/>
      <c r="AA896" s="24"/>
      <c r="AB896" s="24"/>
      <c r="AC896" s="24"/>
      <c r="AD896" s="24"/>
      <c r="AE896" s="24"/>
    </row>
    <row r="897" spans="1:31" ht="12.9">
      <c r="A897" s="24"/>
      <c r="B897" s="143"/>
      <c r="C897" s="24"/>
      <c r="D897" s="24"/>
      <c r="E897" s="24"/>
      <c r="F897" s="24"/>
      <c r="G897" s="24"/>
      <c r="H897" s="117"/>
      <c r="I897" s="117"/>
      <c r="J897" s="24"/>
      <c r="K897" s="24"/>
      <c r="L897" s="24"/>
      <c r="M897" s="24"/>
      <c r="N897" s="24"/>
      <c r="O897" s="24"/>
      <c r="P897" s="24"/>
      <c r="Q897" s="24"/>
      <c r="R897" s="24"/>
      <c r="S897" s="24"/>
      <c r="T897" s="24"/>
      <c r="U897" s="24"/>
      <c r="V897" s="24"/>
      <c r="W897" s="24"/>
      <c r="X897" s="24"/>
      <c r="Y897" s="24"/>
      <c r="Z897" s="24"/>
      <c r="AA897" s="24"/>
      <c r="AB897" s="24"/>
      <c r="AC897" s="24"/>
      <c r="AD897" s="24"/>
      <c r="AE897" s="24"/>
    </row>
    <row r="898" spans="1:31" ht="12.9">
      <c r="A898" s="24"/>
      <c r="B898" s="143"/>
      <c r="C898" s="24"/>
      <c r="D898" s="24"/>
      <c r="E898" s="24"/>
      <c r="F898" s="24"/>
      <c r="G898" s="24"/>
      <c r="H898" s="117"/>
      <c r="I898" s="117"/>
      <c r="J898" s="24"/>
      <c r="K898" s="24"/>
      <c r="L898" s="24"/>
      <c r="M898" s="24"/>
      <c r="N898" s="24"/>
      <c r="O898" s="24"/>
      <c r="P898" s="24"/>
      <c r="Q898" s="24"/>
      <c r="R898" s="24"/>
      <c r="S898" s="24"/>
      <c r="T898" s="24"/>
      <c r="U898" s="24"/>
      <c r="V898" s="24"/>
      <c r="W898" s="24"/>
      <c r="X898" s="24"/>
      <c r="Y898" s="24"/>
      <c r="Z898" s="24"/>
      <c r="AA898" s="24"/>
      <c r="AB898" s="24"/>
      <c r="AC898" s="24"/>
      <c r="AD898" s="24"/>
      <c r="AE898" s="24"/>
    </row>
    <row r="899" spans="1:31" ht="12.9">
      <c r="A899" s="24"/>
      <c r="B899" s="143"/>
      <c r="C899" s="24"/>
      <c r="D899" s="24"/>
      <c r="E899" s="24"/>
      <c r="F899" s="24"/>
      <c r="G899" s="24"/>
      <c r="H899" s="117"/>
      <c r="I899" s="117"/>
      <c r="J899" s="24"/>
      <c r="K899" s="24"/>
      <c r="L899" s="24"/>
      <c r="M899" s="24"/>
      <c r="N899" s="24"/>
      <c r="O899" s="24"/>
      <c r="P899" s="24"/>
      <c r="Q899" s="24"/>
      <c r="R899" s="24"/>
      <c r="S899" s="24"/>
      <c r="T899" s="24"/>
      <c r="U899" s="24"/>
      <c r="V899" s="24"/>
      <c r="W899" s="24"/>
      <c r="X899" s="24"/>
      <c r="Y899" s="24"/>
      <c r="Z899" s="24"/>
      <c r="AA899" s="24"/>
      <c r="AB899" s="24"/>
      <c r="AC899" s="24"/>
      <c r="AD899" s="24"/>
      <c r="AE899" s="24"/>
    </row>
    <row r="900" spans="1:31" ht="12.9">
      <c r="A900" s="24"/>
      <c r="B900" s="143"/>
      <c r="C900" s="24"/>
      <c r="D900" s="24"/>
      <c r="E900" s="24"/>
      <c r="F900" s="24"/>
      <c r="G900" s="24"/>
      <c r="H900" s="117"/>
      <c r="I900" s="117"/>
      <c r="J900" s="24"/>
      <c r="K900" s="24"/>
      <c r="L900" s="24"/>
      <c r="M900" s="24"/>
      <c r="N900" s="24"/>
      <c r="O900" s="24"/>
      <c r="P900" s="24"/>
      <c r="Q900" s="24"/>
      <c r="R900" s="24"/>
      <c r="S900" s="24"/>
      <c r="T900" s="24"/>
      <c r="U900" s="24"/>
      <c r="V900" s="24"/>
      <c r="W900" s="24"/>
      <c r="X900" s="24"/>
      <c r="Y900" s="24"/>
      <c r="Z900" s="24"/>
      <c r="AA900" s="24"/>
      <c r="AB900" s="24"/>
      <c r="AC900" s="24"/>
      <c r="AD900" s="24"/>
      <c r="AE900" s="24"/>
    </row>
    <row r="901" spans="1:31" ht="12.9">
      <c r="A901" s="24"/>
      <c r="B901" s="143"/>
      <c r="C901" s="24"/>
      <c r="D901" s="24"/>
      <c r="E901" s="24"/>
      <c r="F901" s="24"/>
      <c r="G901" s="24"/>
      <c r="H901" s="117"/>
      <c r="I901" s="117"/>
      <c r="J901" s="24"/>
      <c r="K901" s="24"/>
      <c r="L901" s="24"/>
      <c r="M901" s="24"/>
      <c r="N901" s="24"/>
      <c r="O901" s="24"/>
      <c r="P901" s="24"/>
      <c r="Q901" s="24"/>
      <c r="R901" s="24"/>
      <c r="S901" s="24"/>
      <c r="T901" s="24"/>
      <c r="U901" s="24"/>
      <c r="V901" s="24"/>
      <c r="W901" s="24"/>
      <c r="X901" s="24"/>
      <c r="Y901" s="24"/>
      <c r="Z901" s="24"/>
      <c r="AA901" s="24"/>
      <c r="AB901" s="24"/>
      <c r="AC901" s="24"/>
      <c r="AD901" s="24"/>
      <c r="AE901" s="24"/>
    </row>
    <row r="902" spans="1:31" ht="12.9">
      <c r="A902" s="24"/>
      <c r="B902" s="143"/>
      <c r="C902" s="24"/>
      <c r="D902" s="24"/>
      <c r="E902" s="24"/>
      <c r="F902" s="24"/>
      <c r="G902" s="24"/>
      <c r="H902" s="117"/>
      <c r="I902" s="117"/>
      <c r="J902" s="24"/>
      <c r="K902" s="24"/>
      <c r="L902" s="24"/>
      <c r="M902" s="24"/>
      <c r="N902" s="24"/>
      <c r="O902" s="24"/>
      <c r="P902" s="24"/>
      <c r="Q902" s="24"/>
      <c r="R902" s="24"/>
      <c r="S902" s="24"/>
      <c r="T902" s="24"/>
      <c r="U902" s="24"/>
      <c r="V902" s="24"/>
      <c r="W902" s="24"/>
      <c r="X902" s="24"/>
      <c r="Y902" s="24"/>
      <c r="Z902" s="24"/>
      <c r="AA902" s="24"/>
      <c r="AB902" s="24"/>
      <c r="AC902" s="24"/>
      <c r="AD902" s="24"/>
      <c r="AE902" s="24"/>
    </row>
    <row r="903" spans="1:31" ht="12.9">
      <c r="A903" s="24"/>
      <c r="B903" s="143"/>
      <c r="C903" s="24"/>
      <c r="D903" s="24"/>
      <c r="E903" s="24"/>
      <c r="F903" s="24"/>
      <c r="G903" s="24"/>
      <c r="H903" s="117"/>
      <c r="I903" s="117"/>
      <c r="J903" s="24"/>
      <c r="K903" s="24"/>
      <c r="L903" s="24"/>
      <c r="M903" s="24"/>
      <c r="N903" s="24"/>
      <c r="O903" s="24"/>
      <c r="P903" s="24"/>
      <c r="Q903" s="24"/>
      <c r="R903" s="24"/>
      <c r="S903" s="24"/>
      <c r="T903" s="24"/>
      <c r="U903" s="24"/>
      <c r="V903" s="24"/>
      <c r="W903" s="24"/>
      <c r="X903" s="24"/>
      <c r="Y903" s="24"/>
      <c r="Z903" s="24"/>
      <c r="AA903" s="24"/>
      <c r="AB903" s="24"/>
      <c r="AC903" s="24"/>
      <c r="AD903" s="24"/>
      <c r="AE903" s="24"/>
    </row>
    <row r="904" spans="1:31" ht="12.9">
      <c r="A904" s="24"/>
      <c r="B904" s="143"/>
      <c r="C904" s="24"/>
      <c r="D904" s="24"/>
      <c r="E904" s="24"/>
      <c r="F904" s="24"/>
      <c r="G904" s="24"/>
      <c r="H904" s="117"/>
      <c r="I904" s="117"/>
      <c r="J904" s="24"/>
      <c r="K904" s="24"/>
      <c r="L904" s="24"/>
      <c r="M904" s="24"/>
      <c r="N904" s="24"/>
      <c r="O904" s="24"/>
      <c r="P904" s="24"/>
      <c r="Q904" s="24"/>
      <c r="R904" s="24"/>
      <c r="S904" s="24"/>
      <c r="T904" s="24"/>
      <c r="U904" s="24"/>
      <c r="V904" s="24"/>
      <c r="W904" s="24"/>
      <c r="X904" s="24"/>
      <c r="Y904" s="24"/>
      <c r="Z904" s="24"/>
      <c r="AA904" s="24"/>
      <c r="AB904" s="24"/>
      <c r="AC904" s="24"/>
      <c r="AD904" s="24"/>
      <c r="AE904" s="24"/>
    </row>
    <row r="905" spans="1:31" ht="12.9">
      <c r="A905" s="24"/>
      <c r="B905" s="143"/>
      <c r="C905" s="24"/>
      <c r="D905" s="24"/>
      <c r="E905" s="24"/>
      <c r="F905" s="24"/>
      <c r="G905" s="24"/>
      <c r="H905" s="117"/>
      <c r="I905" s="117"/>
      <c r="J905" s="24"/>
      <c r="K905" s="24"/>
      <c r="L905" s="24"/>
      <c r="M905" s="24"/>
      <c r="N905" s="24"/>
      <c r="O905" s="24"/>
      <c r="P905" s="24"/>
      <c r="Q905" s="24"/>
      <c r="R905" s="24"/>
      <c r="S905" s="24"/>
      <c r="T905" s="24"/>
      <c r="U905" s="24"/>
      <c r="V905" s="24"/>
      <c r="W905" s="24"/>
      <c r="X905" s="24"/>
      <c r="Y905" s="24"/>
      <c r="Z905" s="24"/>
      <c r="AA905" s="24"/>
      <c r="AB905" s="24"/>
      <c r="AC905" s="24"/>
      <c r="AD905" s="24"/>
      <c r="AE905" s="24"/>
    </row>
    <row r="906" spans="1:31" ht="12.9">
      <c r="A906" s="24"/>
      <c r="B906" s="143"/>
      <c r="C906" s="24"/>
      <c r="D906" s="24"/>
      <c r="E906" s="24"/>
      <c r="F906" s="24"/>
      <c r="G906" s="24"/>
      <c r="H906" s="117"/>
      <c r="I906" s="117"/>
      <c r="J906" s="24"/>
      <c r="K906" s="24"/>
      <c r="L906" s="24"/>
      <c r="M906" s="24"/>
      <c r="N906" s="24"/>
      <c r="O906" s="24"/>
      <c r="P906" s="24"/>
      <c r="Q906" s="24"/>
      <c r="R906" s="24"/>
      <c r="S906" s="24"/>
      <c r="T906" s="24"/>
      <c r="U906" s="24"/>
      <c r="V906" s="24"/>
      <c r="W906" s="24"/>
      <c r="X906" s="24"/>
      <c r="Y906" s="24"/>
      <c r="Z906" s="24"/>
      <c r="AA906" s="24"/>
      <c r="AB906" s="24"/>
      <c r="AC906" s="24"/>
      <c r="AD906" s="24"/>
      <c r="AE906" s="24"/>
    </row>
    <row r="907" spans="1:31" ht="12.9">
      <c r="A907" s="24"/>
      <c r="B907" s="143"/>
      <c r="C907" s="24"/>
      <c r="D907" s="24"/>
      <c r="E907" s="24"/>
      <c r="F907" s="24"/>
      <c r="G907" s="24"/>
      <c r="H907" s="117"/>
      <c r="I907" s="117"/>
      <c r="J907" s="24"/>
      <c r="K907" s="24"/>
      <c r="L907" s="24"/>
      <c r="M907" s="24"/>
      <c r="N907" s="24"/>
      <c r="O907" s="24"/>
      <c r="P907" s="24"/>
      <c r="Q907" s="24"/>
      <c r="R907" s="24"/>
      <c r="S907" s="24"/>
      <c r="T907" s="24"/>
      <c r="U907" s="24"/>
      <c r="V907" s="24"/>
      <c r="W907" s="24"/>
      <c r="X907" s="24"/>
      <c r="Y907" s="24"/>
      <c r="Z907" s="24"/>
      <c r="AA907" s="24"/>
      <c r="AB907" s="24"/>
      <c r="AC907" s="24"/>
      <c r="AD907" s="24"/>
      <c r="AE907" s="24"/>
    </row>
    <row r="908" spans="1:31" ht="12.9">
      <c r="A908" s="24"/>
      <c r="B908" s="143"/>
      <c r="C908" s="24"/>
      <c r="D908" s="24"/>
      <c r="E908" s="24"/>
      <c r="F908" s="24"/>
      <c r="G908" s="24"/>
      <c r="H908" s="117"/>
      <c r="I908" s="117"/>
      <c r="J908" s="24"/>
      <c r="K908" s="24"/>
      <c r="L908" s="24"/>
      <c r="M908" s="24"/>
      <c r="N908" s="24"/>
      <c r="O908" s="24"/>
      <c r="P908" s="24"/>
      <c r="Q908" s="24"/>
      <c r="R908" s="24"/>
      <c r="S908" s="24"/>
      <c r="T908" s="24"/>
      <c r="U908" s="24"/>
      <c r="V908" s="24"/>
      <c r="W908" s="24"/>
      <c r="X908" s="24"/>
      <c r="Y908" s="24"/>
      <c r="Z908" s="24"/>
      <c r="AA908" s="24"/>
      <c r="AB908" s="24"/>
      <c r="AC908" s="24"/>
      <c r="AD908" s="24"/>
      <c r="AE908" s="24"/>
    </row>
    <row r="909" spans="1:31" ht="12.9">
      <c r="A909" s="24"/>
      <c r="B909" s="143"/>
      <c r="C909" s="24"/>
      <c r="D909" s="24"/>
      <c r="E909" s="24"/>
      <c r="F909" s="24"/>
      <c r="G909" s="24"/>
      <c r="H909" s="117"/>
      <c r="I909" s="117"/>
      <c r="J909" s="24"/>
      <c r="K909" s="24"/>
      <c r="L909" s="24"/>
      <c r="M909" s="24"/>
      <c r="N909" s="24"/>
      <c r="O909" s="24"/>
      <c r="P909" s="24"/>
      <c r="Q909" s="24"/>
      <c r="R909" s="24"/>
      <c r="S909" s="24"/>
      <c r="T909" s="24"/>
      <c r="U909" s="24"/>
      <c r="V909" s="24"/>
      <c r="W909" s="24"/>
      <c r="X909" s="24"/>
      <c r="Y909" s="24"/>
      <c r="Z909" s="24"/>
      <c r="AA909" s="24"/>
      <c r="AB909" s="24"/>
      <c r="AC909" s="24"/>
      <c r="AD909" s="24"/>
      <c r="AE909" s="24"/>
    </row>
    <row r="910" spans="1:31" ht="12.9">
      <c r="A910" s="24"/>
      <c r="B910" s="143"/>
      <c r="C910" s="24"/>
      <c r="D910" s="24"/>
      <c r="E910" s="24"/>
      <c r="F910" s="24"/>
      <c r="G910" s="24"/>
      <c r="H910" s="117"/>
      <c r="I910" s="117"/>
      <c r="J910" s="24"/>
      <c r="K910" s="24"/>
      <c r="L910" s="24"/>
      <c r="M910" s="24"/>
      <c r="N910" s="24"/>
      <c r="O910" s="24"/>
      <c r="P910" s="24"/>
      <c r="Q910" s="24"/>
      <c r="R910" s="24"/>
      <c r="S910" s="24"/>
      <c r="T910" s="24"/>
      <c r="U910" s="24"/>
      <c r="V910" s="24"/>
      <c r="W910" s="24"/>
      <c r="X910" s="24"/>
      <c r="Y910" s="24"/>
      <c r="Z910" s="24"/>
      <c r="AA910" s="24"/>
      <c r="AB910" s="24"/>
      <c r="AC910" s="24"/>
      <c r="AD910" s="24"/>
      <c r="AE910" s="24"/>
    </row>
    <row r="911" spans="1:31" ht="12.9">
      <c r="A911" s="24"/>
      <c r="B911" s="143"/>
      <c r="C911" s="24"/>
      <c r="D911" s="24"/>
      <c r="E911" s="24"/>
      <c r="F911" s="24"/>
      <c r="G911" s="24"/>
      <c r="H911" s="117"/>
      <c r="I911" s="117"/>
      <c r="J911" s="24"/>
      <c r="K911" s="24"/>
      <c r="L911" s="24"/>
      <c r="M911" s="24"/>
      <c r="N911" s="24"/>
      <c r="O911" s="24"/>
      <c r="P911" s="24"/>
      <c r="Q911" s="24"/>
      <c r="R911" s="24"/>
      <c r="S911" s="24"/>
      <c r="T911" s="24"/>
      <c r="U911" s="24"/>
      <c r="V911" s="24"/>
      <c r="W911" s="24"/>
      <c r="X911" s="24"/>
      <c r="Y911" s="24"/>
      <c r="Z911" s="24"/>
      <c r="AA911" s="24"/>
      <c r="AB911" s="24"/>
      <c r="AC911" s="24"/>
      <c r="AD911" s="24"/>
      <c r="AE911" s="24"/>
    </row>
    <row r="912" spans="1:31" ht="12.9">
      <c r="A912" s="24"/>
      <c r="B912" s="143"/>
      <c r="C912" s="24"/>
      <c r="D912" s="24"/>
      <c r="E912" s="24"/>
      <c r="F912" s="24"/>
      <c r="G912" s="24"/>
      <c r="H912" s="117"/>
      <c r="I912" s="117"/>
      <c r="J912" s="24"/>
      <c r="K912" s="24"/>
      <c r="L912" s="24"/>
      <c r="M912" s="24"/>
      <c r="N912" s="24"/>
      <c r="O912" s="24"/>
      <c r="P912" s="24"/>
      <c r="Q912" s="24"/>
      <c r="R912" s="24"/>
      <c r="S912" s="24"/>
      <c r="T912" s="24"/>
      <c r="U912" s="24"/>
      <c r="V912" s="24"/>
      <c r="W912" s="24"/>
      <c r="X912" s="24"/>
      <c r="Y912" s="24"/>
      <c r="Z912" s="24"/>
      <c r="AA912" s="24"/>
      <c r="AB912" s="24"/>
      <c r="AC912" s="24"/>
      <c r="AD912" s="24"/>
      <c r="AE912" s="24"/>
    </row>
    <row r="913" spans="1:31" ht="12.9">
      <c r="A913" s="24"/>
      <c r="B913" s="143"/>
      <c r="C913" s="24"/>
      <c r="D913" s="24"/>
      <c r="E913" s="24"/>
      <c r="F913" s="24"/>
      <c r="G913" s="24"/>
      <c r="H913" s="117"/>
      <c r="I913" s="117"/>
      <c r="J913" s="24"/>
      <c r="K913" s="24"/>
      <c r="L913" s="24"/>
      <c r="M913" s="24"/>
      <c r="N913" s="24"/>
      <c r="O913" s="24"/>
      <c r="P913" s="24"/>
      <c r="Q913" s="24"/>
      <c r="R913" s="24"/>
      <c r="S913" s="24"/>
      <c r="T913" s="24"/>
      <c r="U913" s="24"/>
      <c r="V913" s="24"/>
      <c r="W913" s="24"/>
      <c r="X913" s="24"/>
      <c r="Y913" s="24"/>
      <c r="Z913" s="24"/>
      <c r="AA913" s="24"/>
      <c r="AB913" s="24"/>
      <c r="AC913" s="24"/>
      <c r="AD913" s="24"/>
      <c r="AE913" s="24"/>
    </row>
    <row r="914" spans="1:31" ht="12.9">
      <c r="A914" s="24"/>
      <c r="B914" s="143"/>
      <c r="C914" s="24"/>
      <c r="D914" s="24"/>
      <c r="E914" s="24"/>
      <c r="F914" s="24"/>
      <c r="G914" s="24"/>
      <c r="H914" s="117"/>
      <c r="I914" s="117"/>
      <c r="J914" s="24"/>
      <c r="K914" s="24"/>
      <c r="L914" s="24"/>
      <c r="M914" s="24"/>
      <c r="N914" s="24"/>
      <c r="O914" s="24"/>
      <c r="P914" s="24"/>
      <c r="Q914" s="24"/>
      <c r="R914" s="24"/>
      <c r="S914" s="24"/>
      <c r="T914" s="24"/>
      <c r="U914" s="24"/>
      <c r="V914" s="24"/>
      <c r="W914" s="24"/>
      <c r="X914" s="24"/>
      <c r="Y914" s="24"/>
      <c r="Z914" s="24"/>
      <c r="AA914" s="24"/>
      <c r="AB914" s="24"/>
      <c r="AC914" s="24"/>
      <c r="AD914" s="24"/>
      <c r="AE914" s="24"/>
    </row>
    <row r="915" spans="1:31" ht="12.9">
      <c r="A915" s="24"/>
      <c r="B915" s="143"/>
      <c r="C915" s="24"/>
      <c r="D915" s="24"/>
      <c r="E915" s="24"/>
      <c r="F915" s="24"/>
      <c r="G915" s="24"/>
      <c r="H915" s="117"/>
      <c r="I915" s="117"/>
      <c r="J915" s="24"/>
      <c r="K915" s="24"/>
      <c r="L915" s="24"/>
      <c r="M915" s="24"/>
      <c r="N915" s="24"/>
      <c r="O915" s="24"/>
      <c r="P915" s="24"/>
      <c r="Q915" s="24"/>
      <c r="R915" s="24"/>
      <c r="S915" s="24"/>
      <c r="T915" s="24"/>
      <c r="U915" s="24"/>
      <c r="V915" s="24"/>
      <c r="W915" s="24"/>
      <c r="X915" s="24"/>
      <c r="Y915" s="24"/>
      <c r="Z915" s="24"/>
      <c r="AA915" s="24"/>
      <c r="AB915" s="24"/>
      <c r="AC915" s="24"/>
      <c r="AD915" s="24"/>
      <c r="AE915" s="24"/>
    </row>
    <row r="916" spans="1:31" ht="12.9">
      <c r="A916" s="24"/>
      <c r="B916" s="143"/>
      <c r="C916" s="24"/>
      <c r="D916" s="24"/>
      <c r="E916" s="24"/>
      <c r="F916" s="24"/>
      <c r="G916" s="24"/>
      <c r="H916" s="117"/>
      <c r="I916" s="117"/>
      <c r="J916" s="24"/>
      <c r="K916" s="24"/>
      <c r="L916" s="24"/>
      <c r="M916" s="24"/>
      <c r="N916" s="24"/>
      <c r="O916" s="24"/>
      <c r="P916" s="24"/>
      <c r="Q916" s="24"/>
      <c r="R916" s="24"/>
      <c r="S916" s="24"/>
      <c r="T916" s="24"/>
      <c r="U916" s="24"/>
      <c r="V916" s="24"/>
      <c r="W916" s="24"/>
      <c r="X916" s="24"/>
      <c r="Y916" s="24"/>
      <c r="Z916" s="24"/>
      <c r="AA916" s="24"/>
      <c r="AB916" s="24"/>
      <c r="AC916" s="24"/>
      <c r="AD916" s="24"/>
      <c r="AE916" s="24"/>
    </row>
    <row r="917" spans="1:31" ht="12.9">
      <c r="A917" s="24"/>
      <c r="B917" s="143"/>
      <c r="C917" s="24"/>
      <c r="D917" s="24"/>
      <c r="E917" s="24"/>
      <c r="F917" s="24"/>
      <c r="G917" s="24"/>
      <c r="H917" s="117"/>
      <c r="I917" s="117"/>
      <c r="J917" s="24"/>
      <c r="K917" s="24"/>
      <c r="L917" s="24"/>
      <c r="M917" s="24"/>
      <c r="N917" s="24"/>
      <c r="O917" s="24"/>
      <c r="P917" s="24"/>
      <c r="Q917" s="24"/>
      <c r="R917" s="24"/>
      <c r="S917" s="24"/>
      <c r="T917" s="24"/>
      <c r="U917" s="24"/>
      <c r="V917" s="24"/>
      <c r="W917" s="24"/>
      <c r="X917" s="24"/>
      <c r="Y917" s="24"/>
      <c r="Z917" s="24"/>
      <c r="AA917" s="24"/>
      <c r="AB917" s="24"/>
      <c r="AC917" s="24"/>
      <c r="AD917" s="24"/>
      <c r="AE917" s="24"/>
    </row>
    <row r="918" spans="1:31" ht="12.9">
      <c r="A918" s="24"/>
      <c r="B918" s="143"/>
      <c r="C918" s="24"/>
      <c r="D918" s="24"/>
      <c r="E918" s="24"/>
      <c r="F918" s="24"/>
      <c r="G918" s="24"/>
      <c r="H918" s="117"/>
      <c r="I918" s="117"/>
      <c r="J918" s="24"/>
      <c r="K918" s="24"/>
      <c r="L918" s="24"/>
      <c r="M918" s="24"/>
      <c r="N918" s="24"/>
      <c r="O918" s="24"/>
      <c r="P918" s="24"/>
      <c r="Q918" s="24"/>
      <c r="R918" s="24"/>
      <c r="S918" s="24"/>
      <c r="T918" s="24"/>
      <c r="U918" s="24"/>
      <c r="V918" s="24"/>
      <c r="W918" s="24"/>
      <c r="X918" s="24"/>
      <c r="Y918" s="24"/>
      <c r="Z918" s="24"/>
      <c r="AA918" s="24"/>
      <c r="AB918" s="24"/>
      <c r="AC918" s="24"/>
      <c r="AD918" s="24"/>
      <c r="AE918" s="24"/>
    </row>
    <row r="919" spans="1:31" ht="12.9">
      <c r="A919" s="24"/>
      <c r="B919" s="143"/>
      <c r="C919" s="24"/>
      <c r="D919" s="24"/>
      <c r="E919" s="24"/>
      <c r="F919" s="24"/>
      <c r="G919" s="24"/>
      <c r="H919" s="117"/>
      <c r="I919" s="117"/>
      <c r="J919" s="24"/>
      <c r="K919" s="24"/>
      <c r="L919" s="24"/>
      <c r="M919" s="24"/>
      <c r="N919" s="24"/>
      <c r="O919" s="24"/>
      <c r="P919" s="24"/>
      <c r="Q919" s="24"/>
      <c r="R919" s="24"/>
      <c r="S919" s="24"/>
      <c r="T919" s="24"/>
      <c r="U919" s="24"/>
      <c r="V919" s="24"/>
      <c r="W919" s="24"/>
      <c r="X919" s="24"/>
      <c r="Y919" s="24"/>
      <c r="Z919" s="24"/>
      <c r="AA919" s="24"/>
      <c r="AB919" s="24"/>
      <c r="AC919" s="24"/>
      <c r="AD919" s="24"/>
      <c r="AE919" s="24"/>
    </row>
    <row r="920" spans="1:31" ht="12.9">
      <c r="A920" s="24"/>
      <c r="B920" s="143"/>
      <c r="C920" s="24"/>
      <c r="D920" s="24"/>
      <c r="E920" s="24"/>
      <c r="F920" s="24"/>
      <c r="G920" s="24"/>
      <c r="H920" s="117"/>
      <c r="I920" s="117"/>
      <c r="J920" s="24"/>
      <c r="K920" s="24"/>
      <c r="L920" s="24"/>
      <c r="M920" s="24"/>
      <c r="N920" s="24"/>
      <c r="O920" s="24"/>
      <c r="P920" s="24"/>
      <c r="Q920" s="24"/>
      <c r="R920" s="24"/>
      <c r="S920" s="24"/>
      <c r="T920" s="24"/>
      <c r="U920" s="24"/>
      <c r="V920" s="24"/>
      <c r="W920" s="24"/>
      <c r="X920" s="24"/>
      <c r="Y920" s="24"/>
      <c r="Z920" s="24"/>
      <c r="AA920" s="24"/>
      <c r="AB920" s="24"/>
      <c r="AC920" s="24"/>
      <c r="AD920" s="24"/>
      <c r="AE920" s="24"/>
    </row>
    <row r="921" spans="1:31" ht="12.9">
      <c r="A921" s="24"/>
      <c r="B921" s="143"/>
      <c r="C921" s="24"/>
      <c r="D921" s="24"/>
      <c r="E921" s="24"/>
      <c r="F921" s="24"/>
      <c r="G921" s="24"/>
      <c r="H921" s="117"/>
      <c r="I921" s="117"/>
      <c r="J921" s="24"/>
      <c r="K921" s="24"/>
      <c r="L921" s="24"/>
      <c r="M921" s="24"/>
      <c r="N921" s="24"/>
      <c r="O921" s="24"/>
      <c r="P921" s="24"/>
      <c r="Q921" s="24"/>
      <c r="R921" s="24"/>
      <c r="S921" s="24"/>
      <c r="T921" s="24"/>
      <c r="U921" s="24"/>
      <c r="V921" s="24"/>
      <c r="W921" s="24"/>
      <c r="X921" s="24"/>
      <c r="Y921" s="24"/>
      <c r="Z921" s="24"/>
      <c r="AA921" s="24"/>
      <c r="AB921" s="24"/>
      <c r="AC921" s="24"/>
      <c r="AD921" s="24"/>
      <c r="AE921" s="24"/>
    </row>
    <row r="922" spans="1:31" ht="12.9">
      <c r="A922" s="24"/>
      <c r="B922" s="143"/>
      <c r="C922" s="24"/>
      <c r="D922" s="24"/>
      <c r="E922" s="24"/>
      <c r="F922" s="24"/>
      <c r="G922" s="24"/>
      <c r="H922" s="117"/>
      <c r="I922" s="117"/>
      <c r="J922" s="24"/>
      <c r="K922" s="24"/>
      <c r="L922" s="24"/>
      <c r="M922" s="24"/>
      <c r="N922" s="24"/>
      <c r="O922" s="24"/>
      <c r="P922" s="24"/>
      <c r="Q922" s="24"/>
      <c r="R922" s="24"/>
      <c r="S922" s="24"/>
      <c r="T922" s="24"/>
      <c r="U922" s="24"/>
      <c r="V922" s="24"/>
      <c r="W922" s="24"/>
      <c r="X922" s="24"/>
      <c r="Y922" s="24"/>
      <c r="Z922" s="24"/>
      <c r="AA922" s="24"/>
      <c r="AB922" s="24"/>
      <c r="AC922" s="24"/>
      <c r="AD922" s="24"/>
      <c r="AE922" s="24"/>
    </row>
    <row r="923" spans="1:31" ht="12.9">
      <c r="A923" s="24"/>
      <c r="B923" s="143"/>
      <c r="C923" s="24"/>
      <c r="D923" s="24"/>
      <c r="E923" s="24"/>
      <c r="F923" s="24"/>
      <c r="G923" s="24"/>
      <c r="H923" s="117"/>
      <c r="I923" s="117"/>
      <c r="J923" s="24"/>
      <c r="K923" s="24"/>
      <c r="L923" s="24"/>
      <c r="M923" s="24"/>
      <c r="N923" s="24"/>
      <c r="O923" s="24"/>
      <c r="P923" s="24"/>
      <c r="Q923" s="24"/>
      <c r="R923" s="24"/>
      <c r="S923" s="24"/>
      <c r="T923" s="24"/>
      <c r="U923" s="24"/>
      <c r="V923" s="24"/>
      <c r="W923" s="24"/>
      <c r="X923" s="24"/>
      <c r="Y923" s="24"/>
      <c r="Z923" s="24"/>
      <c r="AA923" s="24"/>
      <c r="AB923" s="24"/>
      <c r="AC923" s="24"/>
      <c r="AD923" s="24"/>
      <c r="AE923" s="24"/>
    </row>
    <row r="924" spans="1:31" ht="12.9">
      <c r="A924" s="24"/>
      <c r="B924" s="143"/>
      <c r="C924" s="24"/>
      <c r="D924" s="24"/>
      <c r="E924" s="24"/>
      <c r="F924" s="24"/>
      <c r="G924" s="24"/>
      <c r="H924" s="117"/>
      <c r="I924" s="117"/>
      <c r="J924" s="24"/>
      <c r="K924" s="24"/>
      <c r="L924" s="24"/>
      <c r="M924" s="24"/>
      <c r="N924" s="24"/>
      <c r="O924" s="24"/>
      <c r="P924" s="24"/>
      <c r="Q924" s="24"/>
      <c r="R924" s="24"/>
      <c r="S924" s="24"/>
      <c r="T924" s="24"/>
      <c r="U924" s="24"/>
      <c r="V924" s="24"/>
      <c r="W924" s="24"/>
      <c r="X924" s="24"/>
      <c r="Y924" s="24"/>
      <c r="Z924" s="24"/>
      <c r="AA924" s="24"/>
      <c r="AB924" s="24"/>
      <c r="AC924" s="24"/>
      <c r="AD924" s="24"/>
      <c r="AE924" s="24"/>
    </row>
    <row r="925" spans="1:31" ht="12.9">
      <c r="A925" s="24"/>
      <c r="B925" s="143"/>
      <c r="C925" s="24"/>
      <c r="D925" s="24"/>
      <c r="E925" s="24"/>
      <c r="F925" s="24"/>
      <c r="G925" s="24"/>
      <c r="H925" s="117"/>
      <c r="I925" s="117"/>
      <c r="J925" s="24"/>
      <c r="K925" s="24"/>
      <c r="L925" s="24"/>
      <c r="M925" s="24"/>
      <c r="N925" s="24"/>
      <c r="O925" s="24"/>
      <c r="P925" s="24"/>
      <c r="Q925" s="24"/>
      <c r="R925" s="24"/>
      <c r="S925" s="24"/>
      <c r="T925" s="24"/>
      <c r="U925" s="24"/>
      <c r="V925" s="24"/>
      <c r="W925" s="24"/>
      <c r="X925" s="24"/>
      <c r="Y925" s="24"/>
      <c r="Z925" s="24"/>
      <c r="AA925" s="24"/>
      <c r="AB925" s="24"/>
      <c r="AC925" s="24"/>
      <c r="AD925" s="24"/>
      <c r="AE925" s="24"/>
    </row>
    <row r="926" spans="1:31" ht="12.9">
      <c r="A926" s="24"/>
      <c r="B926" s="143"/>
      <c r="C926" s="24"/>
      <c r="D926" s="24"/>
      <c r="E926" s="24"/>
      <c r="F926" s="24"/>
      <c r="G926" s="24"/>
      <c r="H926" s="117"/>
      <c r="I926" s="117"/>
      <c r="J926" s="24"/>
      <c r="K926" s="24"/>
      <c r="L926" s="24"/>
      <c r="M926" s="24"/>
      <c r="N926" s="24"/>
      <c r="O926" s="24"/>
      <c r="P926" s="24"/>
      <c r="Q926" s="24"/>
      <c r="R926" s="24"/>
      <c r="S926" s="24"/>
      <c r="T926" s="24"/>
      <c r="U926" s="24"/>
      <c r="V926" s="24"/>
      <c r="W926" s="24"/>
      <c r="X926" s="24"/>
      <c r="Y926" s="24"/>
      <c r="Z926" s="24"/>
      <c r="AA926" s="24"/>
      <c r="AB926" s="24"/>
      <c r="AC926" s="24"/>
      <c r="AD926" s="24"/>
      <c r="AE926" s="24"/>
    </row>
    <row r="927" spans="1:31" ht="12.9">
      <c r="A927" s="24"/>
      <c r="B927" s="143"/>
      <c r="C927" s="24"/>
      <c r="D927" s="24"/>
      <c r="E927" s="24"/>
      <c r="F927" s="24"/>
      <c r="G927" s="24"/>
      <c r="H927" s="117"/>
      <c r="I927" s="117"/>
      <c r="J927" s="24"/>
      <c r="K927" s="24"/>
      <c r="L927" s="24"/>
      <c r="M927" s="24"/>
      <c r="N927" s="24"/>
      <c r="O927" s="24"/>
      <c r="P927" s="24"/>
      <c r="Q927" s="24"/>
      <c r="R927" s="24"/>
      <c r="S927" s="24"/>
      <c r="T927" s="24"/>
      <c r="U927" s="24"/>
      <c r="V927" s="24"/>
      <c r="W927" s="24"/>
      <c r="X927" s="24"/>
      <c r="Y927" s="24"/>
      <c r="Z927" s="24"/>
      <c r="AA927" s="24"/>
      <c r="AB927" s="24"/>
      <c r="AC927" s="24"/>
      <c r="AD927" s="24"/>
      <c r="AE927" s="24"/>
    </row>
    <row r="928" spans="1:31" ht="12.9">
      <c r="A928" s="24"/>
      <c r="B928" s="143"/>
      <c r="C928" s="24"/>
      <c r="D928" s="24"/>
      <c r="E928" s="24"/>
      <c r="F928" s="24"/>
      <c r="G928" s="24"/>
      <c r="H928" s="117"/>
      <c r="I928" s="117"/>
      <c r="J928" s="24"/>
      <c r="K928" s="24"/>
      <c r="L928" s="24"/>
      <c r="M928" s="24"/>
      <c r="N928" s="24"/>
      <c r="O928" s="24"/>
      <c r="P928" s="24"/>
      <c r="Q928" s="24"/>
      <c r="R928" s="24"/>
      <c r="S928" s="24"/>
      <c r="T928" s="24"/>
      <c r="U928" s="24"/>
      <c r="V928" s="24"/>
      <c r="W928" s="24"/>
      <c r="X928" s="24"/>
      <c r="Y928" s="24"/>
      <c r="Z928" s="24"/>
      <c r="AA928" s="24"/>
      <c r="AB928" s="24"/>
      <c r="AC928" s="24"/>
      <c r="AD928" s="24"/>
      <c r="AE928" s="24"/>
    </row>
    <row r="929" spans="1:31" ht="12.9">
      <c r="A929" s="24"/>
      <c r="B929" s="143"/>
      <c r="C929" s="24"/>
      <c r="D929" s="24"/>
      <c r="E929" s="24"/>
      <c r="F929" s="24"/>
      <c r="G929" s="24"/>
      <c r="H929" s="117"/>
      <c r="I929" s="117"/>
      <c r="J929" s="24"/>
      <c r="K929" s="24"/>
      <c r="L929" s="24"/>
      <c r="M929" s="24"/>
      <c r="N929" s="24"/>
      <c r="O929" s="24"/>
      <c r="P929" s="24"/>
      <c r="Q929" s="24"/>
      <c r="R929" s="24"/>
      <c r="S929" s="24"/>
      <c r="T929" s="24"/>
      <c r="U929" s="24"/>
      <c r="V929" s="24"/>
      <c r="W929" s="24"/>
      <c r="X929" s="24"/>
      <c r="Y929" s="24"/>
      <c r="Z929" s="24"/>
      <c r="AA929" s="24"/>
      <c r="AB929" s="24"/>
      <c r="AC929" s="24"/>
      <c r="AD929" s="24"/>
      <c r="AE929" s="24"/>
    </row>
    <row r="930" spans="1:31" ht="12.9">
      <c r="A930" s="24"/>
      <c r="B930" s="143"/>
      <c r="C930" s="24"/>
      <c r="D930" s="24"/>
      <c r="E930" s="24"/>
      <c r="F930" s="24"/>
      <c r="G930" s="24"/>
      <c r="H930" s="117"/>
      <c r="I930" s="117"/>
      <c r="J930" s="24"/>
      <c r="K930" s="24"/>
      <c r="L930" s="24"/>
      <c r="M930" s="24"/>
      <c r="N930" s="24"/>
      <c r="O930" s="24"/>
      <c r="P930" s="24"/>
      <c r="Q930" s="24"/>
      <c r="R930" s="24"/>
      <c r="S930" s="24"/>
      <c r="T930" s="24"/>
      <c r="U930" s="24"/>
      <c r="V930" s="24"/>
      <c r="W930" s="24"/>
      <c r="X930" s="24"/>
      <c r="Y930" s="24"/>
      <c r="Z930" s="24"/>
      <c r="AA930" s="24"/>
      <c r="AB930" s="24"/>
      <c r="AC930" s="24"/>
      <c r="AD930" s="24"/>
      <c r="AE930" s="24"/>
    </row>
    <row r="931" spans="1:31" ht="12.9">
      <c r="A931" s="24"/>
      <c r="B931" s="143"/>
      <c r="C931" s="24"/>
      <c r="D931" s="24"/>
      <c r="E931" s="24"/>
      <c r="F931" s="24"/>
      <c r="G931" s="24"/>
      <c r="H931" s="117"/>
      <c r="I931" s="117"/>
      <c r="J931" s="24"/>
      <c r="K931" s="24"/>
      <c r="L931" s="24"/>
      <c r="M931" s="24"/>
      <c r="N931" s="24"/>
      <c r="O931" s="24"/>
      <c r="P931" s="24"/>
      <c r="Q931" s="24"/>
      <c r="R931" s="24"/>
      <c r="S931" s="24"/>
      <c r="T931" s="24"/>
      <c r="U931" s="24"/>
      <c r="V931" s="24"/>
      <c r="W931" s="24"/>
      <c r="X931" s="24"/>
      <c r="Y931" s="24"/>
      <c r="Z931" s="24"/>
      <c r="AA931" s="24"/>
      <c r="AB931" s="24"/>
      <c r="AC931" s="24"/>
      <c r="AD931" s="24"/>
      <c r="AE931" s="24"/>
    </row>
    <row r="932" spans="1:31" ht="12.9">
      <c r="A932" s="24"/>
      <c r="B932" s="143"/>
      <c r="C932" s="24"/>
      <c r="D932" s="24"/>
      <c r="E932" s="24"/>
      <c r="F932" s="24"/>
      <c r="G932" s="24"/>
      <c r="H932" s="117"/>
      <c r="I932" s="117"/>
      <c r="J932" s="24"/>
      <c r="K932" s="24"/>
      <c r="L932" s="24"/>
      <c r="M932" s="24"/>
      <c r="N932" s="24"/>
      <c r="O932" s="24"/>
      <c r="P932" s="24"/>
      <c r="Q932" s="24"/>
      <c r="R932" s="24"/>
      <c r="S932" s="24"/>
      <c r="T932" s="24"/>
      <c r="U932" s="24"/>
      <c r="V932" s="24"/>
      <c r="W932" s="24"/>
      <c r="X932" s="24"/>
      <c r="Y932" s="24"/>
      <c r="Z932" s="24"/>
      <c r="AA932" s="24"/>
      <c r="AB932" s="24"/>
      <c r="AC932" s="24"/>
      <c r="AD932" s="24"/>
      <c r="AE932" s="24"/>
    </row>
    <row r="933" spans="1:31" ht="12.9">
      <c r="A933" s="24"/>
      <c r="B933" s="143"/>
      <c r="C933" s="24"/>
      <c r="D933" s="24"/>
      <c r="E933" s="24"/>
      <c r="F933" s="24"/>
      <c r="G933" s="24"/>
      <c r="H933" s="117"/>
      <c r="I933" s="117"/>
      <c r="J933" s="24"/>
      <c r="K933" s="24"/>
      <c r="L933" s="24"/>
      <c r="M933" s="24"/>
      <c r="N933" s="24"/>
      <c r="O933" s="24"/>
      <c r="P933" s="24"/>
      <c r="Q933" s="24"/>
      <c r="R933" s="24"/>
      <c r="S933" s="24"/>
      <c r="T933" s="24"/>
      <c r="U933" s="24"/>
      <c r="V933" s="24"/>
      <c r="W933" s="24"/>
      <c r="X933" s="24"/>
      <c r="Y933" s="24"/>
      <c r="Z933" s="24"/>
      <c r="AA933" s="24"/>
      <c r="AB933" s="24"/>
      <c r="AC933" s="24"/>
      <c r="AD933" s="24"/>
      <c r="AE933" s="24"/>
    </row>
    <row r="934" spans="1:31" ht="12.9">
      <c r="A934" s="24"/>
      <c r="B934" s="143"/>
      <c r="C934" s="24"/>
      <c r="D934" s="24"/>
      <c r="E934" s="24"/>
      <c r="F934" s="24"/>
      <c r="G934" s="24"/>
      <c r="H934" s="117"/>
      <c r="I934" s="117"/>
      <c r="J934" s="24"/>
      <c r="K934" s="24"/>
      <c r="L934" s="24"/>
      <c r="M934" s="24"/>
      <c r="N934" s="24"/>
      <c r="O934" s="24"/>
      <c r="P934" s="24"/>
      <c r="Q934" s="24"/>
      <c r="R934" s="24"/>
      <c r="S934" s="24"/>
      <c r="T934" s="24"/>
      <c r="U934" s="24"/>
      <c r="V934" s="24"/>
      <c r="W934" s="24"/>
      <c r="X934" s="24"/>
      <c r="Y934" s="24"/>
      <c r="Z934" s="24"/>
      <c r="AA934" s="24"/>
      <c r="AB934" s="24"/>
      <c r="AC934" s="24"/>
      <c r="AD934" s="24"/>
      <c r="AE934" s="24"/>
    </row>
    <row r="935" spans="1:31" ht="12.9">
      <c r="A935" s="24"/>
      <c r="B935" s="143"/>
      <c r="C935" s="24"/>
      <c r="D935" s="24"/>
      <c r="E935" s="24"/>
      <c r="F935" s="24"/>
      <c r="G935" s="24"/>
      <c r="H935" s="117"/>
      <c r="I935" s="117"/>
      <c r="J935" s="24"/>
      <c r="K935" s="24"/>
      <c r="L935" s="24"/>
      <c r="M935" s="24"/>
      <c r="N935" s="24"/>
      <c r="O935" s="24"/>
      <c r="P935" s="24"/>
      <c r="Q935" s="24"/>
      <c r="R935" s="24"/>
      <c r="S935" s="24"/>
      <c r="T935" s="24"/>
      <c r="U935" s="24"/>
      <c r="V935" s="24"/>
      <c r="W935" s="24"/>
      <c r="X935" s="24"/>
      <c r="Y935" s="24"/>
      <c r="Z935" s="24"/>
      <c r="AA935" s="24"/>
      <c r="AB935" s="24"/>
      <c r="AC935" s="24"/>
      <c r="AD935" s="24"/>
      <c r="AE935" s="24"/>
    </row>
    <row r="936" spans="1:31" ht="12.9">
      <c r="A936" s="24"/>
      <c r="B936" s="143"/>
      <c r="C936" s="24"/>
      <c r="D936" s="24"/>
      <c r="E936" s="24"/>
      <c r="F936" s="24"/>
      <c r="G936" s="24"/>
      <c r="H936" s="117"/>
      <c r="I936" s="117"/>
      <c r="J936" s="24"/>
      <c r="K936" s="24"/>
      <c r="L936" s="24"/>
      <c r="M936" s="24"/>
      <c r="N936" s="24"/>
      <c r="O936" s="24"/>
      <c r="P936" s="24"/>
      <c r="Q936" s="24"/>
      <c r="R936" s="24"/>
      <c r="S936" s="24"/>
      <c r="T936" s="24"/>
      <c r="U936" s="24"/>
      <c r="V936" s="24"/>
      <c r="W936" s="24"/>
      <c r="X936" s="24"/>
      <c r="Y936" s="24"/>
      <c r="Z936" s="24"/>
      <c r="AA936" s="24"/>
      <c r="AB936" s="24"/>
      <c r="AC936" s="24"/>
      <c r="AD936" s="24"/>
      <c r="AE936" s="24"/>
    </row>
    <row r="937" spans="1:31" ht="12.9">
      <c r="A937" s="24"/>
      <c r="B937" s="143"/>
      <c r="C937" s="24"/>
      <c r="D937" s="24"/>
      <c r="E937" s="24"/>
      <c r="F937" s="24"/>
      <c r="G937" s="24"/>
      <c r="H937" s="117"/>
      <c r="I937" s="117"/>
      <c r="J937" s="24"/>
      <c r="K937" s="24"/>
      <c r="L937" s="24"/>
      <c r="M937" s="24"/>
      <c r="N937" s="24"/>
      <c r="O937" s="24"/>
      <c r="P937" s="24"/>
      <c r="Q937" s="24"/>
      <c r="R937" s="24"/>
      <c r="S937" s="24"/>
      <c r="T937" s="24"/>
      <c r="U937" s="24"/>
      <c r="V937" s="24"/>
      <c r="W937" s="24"/>
      <c r="X937" s="24"/>
      <c r="Y937" s="24"/>
      <c r="Z937" s="24"/>
      <c r="AA937" s="24"/>
      <c r="AB937" s="24"/>
      <c r="AC937" s="24"/>
      <c r="AD937" s="24"/>
      <c r="AE937" s="24"/>
    </row>
    <row r="938" spans="1:31" ht="12.9">
      <c r="A938" s="24"/>
      <c r="B938" s="143"/>
      <c r="C938" s="24"/>
      <c r="D938" s="24"/>
      <c r="E938" s="24"/>
      <c r="F938" s="24"/>
      <c r="G938" s="24"/>
      <c r="H938" s="117"/>
      <c r="I938" s="117"/>
      <c r="J938" s="24"/>
      <c r="K938" s="24"/>
      <c r="L938" s="24"/>
      <c r="M938" s="24"/>
      <c r="N938" s="24"/>
      <c r="O938" s="24"/>
      <c r="P938" s="24"/>
      <c r="Q938" s="24"/>
      <c r="R938" s="24"/>
      <c r="S938" s="24"/>
      <c r="T938" s="24"/>
      <c r="U938" s="24"/>
      <c r="V938" s="24"/>
      <c r="W938" s="24"/>
      <c r="X938" s="24"/>
      <c r="Y938" s="24"/>
      <c r="Z938" s="24"/>
      <c r="AA938" s="24"/>
      <c r="AB938" s="24"/>
      <c r="AC938" s="24"/>
      <c r="AD938" s="24"/>
      <c r="AE938" s="24"/>
    </row>
    <row r="939" spans="1:31" ht="12.9">
      <c r="A939" s="24"/>
      <c r="B939" s="143"/>
      <c r="C939" s="24"/>
      <c r="D939" s="24"/>
      <c r="E939" s="24"/>
      <c r="F939" s="24"/>
      <c r="G939" s="24"/>
      <c r="H939" s="117"/>
      <c r="I939" s="117"/>
      <c r="J939" s="24"/>
      <c r="K939" s="24"/>
      <c r="L939" s="24"/>
      <c r="M939" s="24"/>
      <c r="N939" s="24"/>
      <c r="O939" s="24"/>
      <c r="P939" s="24"/>
      <c r="Q939" s="24"/>
      <c r="R939" s="24"/>
      <c r="S939" s="24"/>
      <c r="T939" s="24"/>
      <c r="U939" s="24"/>
      <c r="V939" s="24"/>
      <c r="W939" s="24"/>
      <c r="X939" s="24"/>
      <c r="Y939" s="24"/>
      <c r="Z939" s="24"/>
      <c r="AA939" s="24"/>
      <c r="AB939" s="24"/>
      <c r="AC939" s="24"/>
      <c r="AD939" s="24"/>
      <c r="AE939" s="24"/>
    </row>
    <row r="940" spans="1:31" ht="12.9">
      <c r="A940" s="24"/>
      <c r="B940" s="143"/>
      <c r="C940" s="24"/>
      <c r="D940" s="24"/>
      <c r="E940" s="24"/>
      <c r="F940" s="24"/>
      <c r="G940" s="24"/>
      <c r="H940" s="117"/>
      <c r="I940" s="117"/>
      <c r="J940" s="24"/>
      <c r="K940" s="24"/>
      <c r="L940" s="24"/>
      <c r="M940" s="24"/>
      <c r="N940" s="24"/>
      <c r="O940" s="24"/>
      <c r="P940" s="24"/>
      <c r="Q940" s="24"/>
      <c r="R940" s="24"/>
      <c r="S940" s="24"/>
      <c r="T940" s="24"/>
      <c r="U940" s="24"/>
      <c r="V940" s="24"/>
      <c r="W940" s="24"/>
      <c r="X940" s="24"/>
      <c r="Y940" s="24"/>
      <c r="Z940" s="24"/>
      <c r="AA940" s="24"/>
      <c r="AB940" s="24"/>
      <c r="AC940" s="24"/>
      <c r="AD940" s="24"/>
      <c r="AE940" s="24"/>
    </row>
    <row r="941" spans="1:31" ht="12.9">
      <c r="A941" s="24"/>
      <c r="B941" s="143"/>
      <c r="C941" s="24"/>
      <c r="D941" s="24"/>
      <c r="E941" s="24"/>
      <c r="F941" s="24"/>
      <c r="G941" s="24"/>
      <c r="H941" s="117"/>
      <c r="I941" s="117"/>
      <c r="J941" s="24"/>
      <c r="K941" s="24"/>
      <c r="L941" s="24"/>
      <c r="M941" s="24"/>
      <c r="N941" s="24"/>
      <c r="O941" s="24"/>
      <c r="P941" s="24"/>
      <c r="Q941" s="24"/>
      <c r="R941" s="24"/>
      <c r="S941" s="24"/>
      <c r="T941" s="24"/>
      <c r="U941" s="24"/>
      <c r="V941" s="24"/>
      <c r="W941" s="24"/>
      <c r="X941" s="24"/>
      <c r="Y941" s="24"/>
      <c r="Z941" s="24"/>
      <c r="AA941" s="24"/>
      <c r="AB941" s="24"/>
      <c r="AC941" s="24"/>
      <c r="AD941" s="24"/>
      <c r="AE941" s="24"/>
    </row>
    <row r="942" spans="1:31" ht="12.9">
      <c r="A942" s="24"/>
      <c r="B942" s="143"/>
      <c r="C942" s="24"/>
      <c r="D942" s="24"/>
      <c r="E942" s="24"/>
      <c r="F942" s="24"/>
      <c r="G942" s="24"/>
      <c r="H942" s="117"/>
      <c r="I942" s="117"/>
      <c r="J942" s="24"/>
      <c r="K942" s="24"/>
      <c r="L942" s="24"/>
      <c r="M942" s="24"/>
      <c r="N942" s="24"/>
      <c r="O942" s="24"/>
      <c r="P942" s="24"/>
      <c r="Q942" s="24"/>
      <c r="R942" s="24"/>
      <c r="S942" s="24"/>
      <c r="T942" s="24"/>
      <c r="U942" s="24"/>
      <c r="V942" s="24"/>
      <c r="W942" s="24"/>
      <c r="X942" s="24"/>
      <c r="Y942" s="24"/>
      <c r="Z942" s="24"/>
      <c r="AA942" s="24"/>
      <c r="AB942" s="24"/>
      <c r="AC942" s="24"/>
      <c r="AD942" s="24"/>
      <c r="AE942" s="24"/>
    </row>
    <row r="943" spans="1:31" ht="12.9">
      <c r="A943" s="24"/>
      <c r="B943" s="143"/>
      <c r="C943" s="24"/>
      <c r="D943" s="24"/>
      <c r="E943" s="24"/>
      <c r="F943" s="24"/>
      <c r="G943" s="24"/>
      <c r="H943" s="117"/>
      <c r="I943" s="117"/>
      <c r="J943" s="24"/>
      <c r="K943" s="24"/>
      <c r="L943" s="24"/>
      <c r="M943" s="24"/>
      <c r="N943" s="24"/>
      <c r="O943" s="24"/>
      <c r="P943" s="24"/>
      <c r="Q943" s="24"/>
      <c r="R943" s="24"/>
      <c r="S943" s="24"/>
      <c r="T943" s="24"/>
      <c r="U943" s="24"/>
      <c r="V943" s="24"/>
      <c r="W943" s="24"/>
      <c r="X943" s="24"/>
      <c r="Y943" s="24"/>
      <c r="Z943" s="24"/>
      <c r="AA943" s="24"/>
      <c r="AB943" s="24"/>
      <c r="AC943" s="24"/>
      <c r="AD943" s="24"/>
      <c r="AE943" s="24"/>
    </row>
    <row r="944" spans="1:31" ht="12.9">
      <c r="A944" s="24"/>
      <c r="B944" s="143"/>
      <c r="C944" s="24"/>
      <c r="D944" s="24"/>
      <c r="E944" s="24"/>
      <c r="F944" s="24"/>
      <c r="G944" s="24"/>
      <c r="H944" s="117"/>
      <c r="I944" s="117"/>
      <c r="J944" s="24"/>
      <c r="K944" s="24"/>
      <c r="L944" s="24"/>
      <c r="M944" s="24"/>
      <c r="N944" s="24"/>
      <c r="O944" s="24"/>
      <c r="P944" s="24"/>
      <c r="Q944" s="24"/>
      <c r="R944" s="24"/>
      <c r="S944" s="24"/>
      <c r="T944" s="24"/>
      <c r="U944" s="24"/>
      <c r="V944" s="24"/>
      <c r="W944" s="24"/>
      <c r="X944" s="24"/>
      <c r="Y944" s="24"/>
      <c r="Z944" s="24"/>
      <c r="AA944" s="24"/>
      <c r="AB944" s="24"/>
      <c r="AC944" s="24"/>
      <c r="AD944" s="24"/>
      <c r="AE944" s="24"/>
    </row>
    <row r="945" spans="1:31" ht="12.9">
      <c r="A945" s="24"/>
      <c r="B945" s="143"/>
      <c r="C945" s="24"/>
      <c r="D945" s="24"/>
      <c r="E945" s="24"/>
      <c r="F945" s="24"/>
      <c r="G945" s="24"/>
      <c r="H945" s="117"/>
      <c r="I945" s="117"/>
      <c r="J945" s="24"/>
      <c r="K945" s="24"/>
      <c r="L945" s="24"/>
      <c r="M945" s="24"/>
      <c r="N945" s="24"/>
      <c r="O945" s="24"/>
      <c r="P945" s="24"/>
      <c r="Q945" s="24"/>
      <c r="R945" s="24"/>
      <c r="S945" s="24"/>
      <c r="T945" s="24"/>
      <c r="U945" s="24"/>
      <c r="V945" s="24"/>
      <c r="W945" s="24"/>
      <c r="X945" s="24"/>
      <c r="Y945" s="24"/>
      <c r="Z945" s="24"/>
      <c r="AA945" s="24"/>
      <c r="AB945" s="24"/>
      <c r="AC945" s="24"/>
      <c r="AD945" s="24"/>
      <c r="AE945" s="24"/>
    </row>
    <row r="946" spans="1:31" ht="12.9">
      <c r="A946" s="24"/>
      <c r="B946" s="143"/>
      <c r="C946" s="24"/>
      <c r="D946" s="24"/>
      <c r="E946" s="24"/>
      <c r="F946" s="24"/>
      <c r="G946" s="24"/>
      <c r="H946" s="117"/>
      <c r="I946" s="117"/>
      <c r="J946" s="24"/>
      <c r="K946" s="24"/>
      <c r="L946" s="24"/>
      <c r="M946" s="24"/>
      <c r="N946" s="24"/>
      <c r="O946" s="24"/>
      <c r="P946" s="24"/>
      <c r="Q946" s="24"/>
      <c r="R946" s="24"/>
      <c r="S946" s="24"/>
      <c r="T946" s="24"/>
      <c r="U946" s="24"/>
      <c r="V946" s="24"/>
      <c r="W946" s="24"/>
      <c r="X946" s="24"/>
      <c r="Y946" s="24"/>
      <c r="Z946" s="24"/>
      <c r="AA946" s="24"/>
      <c r="AB946" s="24"/>
      <c r="AC946" s="24"/>
      <c r="AD946" s="24"/>
      <c r="AE946" s="24"/>
    </row>
    <row r="947" spans="1:31" ht="12.9">
      <c r="A947" s="24"/>
      <c r="B947" s="143"/>
      <c r="C947" s="24"/>
      <c r="D947" s="24"/>
      <c r="E947" s="24"/>
      <c r="F947" s="24"/>
      <c r="G947" s="24"/>
      <c r="H947" s="117"/>
      <c r="I947" s="117"/>
      <c r="J947" s="24"/>
      <c r="K947" s="24"/>
      <c r="L947" s="24"/>
      <c r="M947" s="24"/>
      <c r="N947" s="24"/>
      <c r="O947" s="24"/>
      <c r="P947" s="24"/>
      <c r="Q947" s="24"/>
      <c r="R947" s="24"/>
      <c r="S947" s="24"/>
      <c r="T947" s="24"/>
      <c r="U947" s="24"/>
      <c r="V947" s="24"/>
      <c r="W947" s="24"/>
      <c r="X947" s="24"/>
      <c r="Y947" s="24"/>
      <c r="Z947" s="24"/>
      <c r="AA947" s="24"/>
      <c r="AB947" s="24"/>
      <c r="AC947" s="24"/>
      <c r="AD947" s="24"/>
      <c r="AE947" s="24"/>
    </row>
    <row r="948" spans="1:31" ht="12.9">
      <c r="A948" s="24"/>
      <c r="B948" s="143"/>
      <c r="C948" s="24"/>
      <c r="D948" s="24"/>
      <c r="E948" s="24"/>
      <c r="F948" s="24"/>
      <c r="G948" s="24"/>
      <c r="H948" s="117"/>
      <c r="I948" s="117"/>
      <c r="J948" s="24"/>
      <c r="K948" s="24"/>
      <c r="L948" s="24"/>
      <c r="M948" s="24"/>
      <c r="N948" s="24"/>
      <c r="O948" s="24"/>
      <c r="P948" s="24"/>
      <c r="Q948" s="24"/>
      <c r="R948" s="24"/>
      <c r="S948" s="24"/>
      <c r="T948" s="24"/>
      <c r="U948" s="24"/>
      <c r="V948" s="24"/>
      <c r="W948" s="24"/>
      <c r="X948" s="24"/>
      <c r="Y948" s="24"/>
      <c r="Z948" s="24"/>
      <c r="AA948" s="24"/>
      <c r="AB948" s="24"/>
      <c r="AC948" s="24"/>
      <c r="AD948" s="24"/>
      <c r="AE948" s="24"/>
    </row>
    <row r="949" spans="1:31" ht="12.9">
      <c r="A949" s="24"/>
      <c r="B949" s="143"/>
      <c r="C949" s="24"/>
      <c r="D949" s="24"/>
      <c r="E949" s="24"/>
      <c r="F949" s="24"/>
      <c r="G949" s="24"/>
      <c r="H949" s="117"/>
      <c r="I949" s="117"/>
      <c r="J949" s="24"/>
      <c r="K949" s="24"/>
      <c r="L949" s="24"/>
      <c r="M949" s="24"/>
      <c r="N949" s="24"/>
      <c r="O949" s="24"/>
      <c r="P949" s="24"/>
      <c r="Q949" s="24"/>
      <c r="R949" s="24"/>
      <c r="S949" s="24"/>
      <c r="T949" s="24"/>
      <c r="U949" s="24"/>
      <c r="V949" s="24"/>
      <c r="W949" s="24"/>
      <c r="X949" s="24"/>
      <c r="Y949" s="24"/>
      <c r="Z949" s="24"/>
      <c r="AA949" s="24"/>
      <c r="AB949" s="24"/>
      <c r="AC949" s="24"/>
      <c r="AD949" s="24"/>
      <c r="AE949" s="24"/>
    </row>
    <row r="950" spans="1:31" ht="12.9">
      <c r="A950" s="24"/>
      <c r="B950" s="143"/>
      <c r="C950" s="24"/>
      <c r="D950" s="24"/>
      <c r="E950" s="24"/>
      <c r="F950" s="24"/>
      <c r="G950" s="24"/>
      <c r="H950" s="117"/>
      <c r="I950" s="117"/>
      <c r="J950" s="24"/>
      <c r="K950" s="24"/>
      <c r="L950" s="24"/>
      <c r="M950" s="24"/>
      <c r="N950" s="24"/>
      <c r="O950" s="24"/>
      <c r="P950" s="24"/>
      <c r="Q950" s="24"/>
      <c r="R950" s="24"/>
      <c r="S950" s="24"/>
      <c r="T950" s="24"/>
      <c r="U950" s="24"/>
      <c r="V950" s="24"/>
      <c r="W950" s="24"/>
      <c r="X950" s="24"/>
      <c r="Y950" s="24"/>
      <c r="Z950" s="24"/>
      <c r="AA950" s="24"/>
      <c r="AB950" s="24"/>
      <c r="AC950" s="24"/>
      <c r="AD950" s="24"/>
      <c r="AE950" s="24"/>
    </row>
    <row r="951" spans="1:31" ht="12.9">
      <c r="A951" s="24"/>
      <c r="B951" s="143"/>
      <c r="C951" s="24"/>
      <c r="D951" s="24"/>
      <c r="E951" s="24"/>
      <c r="F951" s="24"/>
      <c r="G951" s="24"/>
      <c r="H951" s="117"/>
      <c r="I951" s="117"/>
      <c r="J951" s="24"/>
      <c r="K951" s="24"/>
      <c r="L951" s="24"/>
      <c r="M951" s="24"/>
      <c r="N951" s="24"/>
      <c r="O951" s="24"/>
      <c r="P951" s="24"/>
      <c r="Q951" s="24"/>
      <c r="R951" s="24"/>
      <c r="S951" s="24"/>
      <c r="T951" s="24"/>
      <c r="U951" s="24"/>
      <c r="V951" s="24"/>
      <c r="W951" s="24"/>
      <c r="X951" s="24"/>
      <c r="Y951" s="24"/>
      <c r="Z951" s="24"/>
      <c r="AA951" s="24"/>
      <c r="AB951" s="24"/>
      <c r="AC951" s="24"/>
      <c r="AD951" s="24"/>
      <c r="AE951" s="24"/>
    </row>
    <row r="952" spans="1:31" ht="12.9">
      <c r="A952" s="24"/>
      <c r="B952" s="143"/>
      <c r="C952" s="24"/>
      <c r="D952" s="24"/>
      <c r="E952" s="24"/>
      <c r="F952" s="24"/>
      <c r="G952" s="24"/>
      <c r="H952" s="117"/>
      <c r="I952" s="117"/>
      <c r="J952" s="24"/>
      <c r="K952" s="24"/>
      <c r="L952" s="24"/>
      <c r="M952" s="24"/>
      <c r="N952" s="24"/>
      <c r="O952" s="24"/>
      <c r="P952" s="24"/>
      <c r="Q952" s="24"/>
      <c r="R952" s="24"/>
      <c r="S952" s="24"/>
      <c r="T952" s="24"/>
      <c r="U952" s="24"/>
      <c r="V952" s="24"/>
      <c r="W952" s="24"/>
      <c r="X952" s="24"/>
      <c r="Y952" s="24"/>
      <c r="Z952" s="24"/>
      <c r="AA952" s="24"/>
      <c r="AB952" s="24"/>
      <c r="AC952" s="24"/>
      <c r="AD952" s="24"/>
      <c r="AE952" s="24"/>
    </row>
    <row r="953" spans="1:31" ht="12.9">
      <c r="A953" s="24"/>
      <c r="B953" s="143"/>
      <c r="C953" s="24"/>
      <c r="D953" s="24"/>
      <c r="E953" s="24"/>
      <c r="F953" s="24"/>
      <c r="G953" s="24"/>
      <c r="H953" s="117"/>
      <c r="I953" s="117"/>
      <c r="J953" s="24"/>
      <c r="K953" s="24"/>
      <c r="L953" s="24"/>
      <c r="M953" s="24"/>
      <c r="N953" s="24"/>
      <c r="O953" s="24"/>
      <c r="P953" s="24"/>
      <c r="Q953" s="24"/>
      <c r="R953" s="24"/>
      <c r="S953" s="24"/>
      <c r="T953" s="24"/>
      <c r="U953" s="24"/>
      <c r="V953" s="24"/>
      <c r="W953" s="24"/>
      <c r="X953" s="24"/>
      <c r="Y953" s="24"/>
      <c r="Z953" s="24"/>
      <c r="AA953" s="24"/>
      <c r="AB953" s="24"/>
      <c r="AC953" s="24"/>
      <c r="AD953" s="24"/>
      <c r="AE953" s="24"/>
    </row>
    <row r="954" spans="1:31" ht="12.9">
      <c r="A954" s="24"/>
      <c r="B954" s="143"/>
      <c r="C954" s="24"/>
      <c r="D954" s="24"/>
      <c r="E954" s="24"/>
      <c r="F954" s="24"/>
      <c r="G954" s="24"/>
      <c r="H954" s="117"/>
      <c r="I954" s="117"/>
      <c r="J954" s="24"/>
      <c r="K954" s="24"/>
      <c r="L954" s="24"/>
      <c r="M954" s="24"/>
      <c r="N954" s="24"/>
      <c r="O954" s="24"/>
      <c r="P954" s="24"/>
      <c r="Q954" s="24"/>
      <c r="R954" s="24"/>
      <c r="S954" s="24"/>
      <c r="T954" s="24"/>
      <c r="U954" s="24"/>
      <c r="V954" s="24"/>
      <c r="W954" s="24"/>
      <c r="X954" s="24"/>
      <c r="Y954" s="24"/>
      <c r="Z954" s="24"/>
      <c r="AA954" s="24"/>
      <c r="AB954" s="24"/>
      <c r="AC954" s="24"/>
      <c r="AD954" s="24"/>
      <c r="AE954" s="24"/>
    </row>
    <row r="955" spans="1:31" ht="12.9">
      <c r="A955" s="24"/>
      <c r="B955" s="143"/>
      <c r="C955" s="24"/>
      <c r="D955" s="24"/>
      <c r="E955" s="24"/>
      <c r="F955" s="24"/>
      <c r="G955" s="24"/>
      <c r="H955" s="117"/>
      <c r="I955" s="117"/>
      <c r="J955" s="24"/>
      <c r="K955" s="24"/>
      <c r="L955" s="24"/>
      <c r="M955" s="24"/>
      <c r="N955" s="24"/>
      <c r="O955" s="24"/>
      <c r="P955" s="24"/>
      <c r="Q955" s="24"/>
      <c r="R955" s="24"/>
      <c r="S955" s="24"/>
      <c r="T955" s="24"/>
      <c r="U955" s="24"/>
      <c r="V955" s="24"/>
      <c r="W955" s="24"/>
      <c r="X955" s="24"/>
      <c r="Y955" s="24"/>
      <c r="Z955" s="24"/>
      <c r="AA955" s="24"/>
      <c r="AB955" s="24"/>
      <c r="AC955" s="24"/>
      <c r="AD955" s="24"/>
      <c r="AE955" s="24"/>
    </row>
    <row r="956" spans="1:31" ht="12.9">
      <c r="A956" s="24"/>
      <c r="B956" s="143"/>
      <c r="C956" s="24"/>
      <c r="D956" s="24"/>
      <c r="E956" s="24"/>
      <c r="F956" s="24"/>
      <c r="G956" s="24"/>
      <c r="H956" s="117"/>
      <c r="I956" s="117"/>
      <c r="J956" s="24"/>
      <c r="K956" s="24"/>
      <c r="L956" s="24"/>
      <c r="M956" s="24"/>
      <c r="N956" s="24"/>
      <c r="O956" s="24"/>
      <c r="P956" s="24"/>
      <c r="Q956" s="24"/>
      <c r="R956" s="24"/>
      <c r="S956" s="24"/>
      <c r="T956" s="24"/>
      <c r="U956" s="24"/>
      <c r="V956" s="24"/>
      <c r="W956" s="24"/>
      <c r="X956" s="24"/>
      <c r="Y956" s="24"/>
      <c r="Z956" s="24"/>
      <c r="AA956" s="24"/>
      <c r="AB956" s="24"/>
      <c r="AC956" s="24"/>
      <c r="AD956" s="24"/>
      <c r="AE956" s="24"/>
    </row>
    <row r="957" spans="1:31" ht="12.9">
      <c r="A957" s="24"/>
      <c r="B957" s="143"/>
      <c r="C957" s="24"/>
      <c r="D957" s="24"/>
      <c r="E957" s="24"/>
      <c r="F957" s="24"/>
      <c r="G957" s="24"/>
      <c r="H957" s="117"/>
      <c r="I957" s="117"/>
      <c r="J957" s="24"/>
      <c r="K957" s="24"/>
      <c r="L957" s="24"/>
      <c r="M957" s="24"/>
      <c r="N957" s="24"/>
      <c r="O957" s="24"/>
      <c r="P957" s="24"/>
      <c r="Q957" s="24"/>
      <c r="R957" s="24"/>
      <c r="S957" s="24"/>
      <c r="T957" s="24"/>
      <c r="U957" s="24"/>
      <c r="V957" s="24"/>
      <c r="W957" s="24"/>
      <c r="X957" s="24"/>
      <c r="Y957" s="24"/>
      <c r="Z957" s="24"/>
      <c r="AA957" s="24"/>
      <c r="AB957" s="24"/>
      <c r="AC957" s="24"/>
      <c r="AD957" s="24"/>
      <c r="AE957" s="24"/>
    </row>
    <row r="958" spans="1:31" ht="12.9">
      <c r="A958" s="24"/>
      <c r="B958" s="143"/>
      <c r="C958" s="24"/>
      <c r="D958" s="24"/>
      <c r="E958" s="24"/>
      <c r="F958" s="24"/>
      <c r="G958" s="24"/>
      <c r="H958" s="117"/>
      <c r="I958" s="117"/>
      <c r="J958" s="24"/>
      <c r="K958" s="24"/>
      <c r="L958" s="24"/>
      <c r="M958" s="24"/>
      <c r="N958" s="24"/>
      <c r="O958" s="24"/>
      <c r="P958" s="24"/>
      <c r="Q958" s="24"/>
      <c r="R958" s="24"/>
      <c r="S958" s="24"/>
      <c r="T958" s="24"/>
      <c r="U958" s="24"/>
      <c r="V958" s="24"/>
      <c r="W958" s="24"/>
      <c r="X958" s="24"/>
      <c r="Y958" s="24"/>
      <c r="Z958" s="24"/>
      <c r="AA958" s="24"/>
      <c r="AB958" s="24"/>
      <c r="AC958" s="24"/>
      <c r="AD958" s="24"/>
      <c r="AE958" s="24"/>
    </row>
    <row r="959" spans="1:31" ht="12.9">
      <c r="A959" s="24"/>
      <c r="B959" s="143"/>
      <c r="C959" s="24"/>
      <c r="D959" s="24"/>
      <c r="E959" s="24"/>
      <c r="F959" s="24"/>
      <c r="G959" s="24"/>
      <c r="H959" s="117"/>
      <c r="I959" s="117"/>
      <c r="J959" s="24"/>
      <c r="K959" s="24"/>
      <c r="L959" s="24"/>
      <c r="M959" s="24"/>
      <c r="N959" s="24"/>
      <c r="O959" s="24"/>
      <c r="P959" s="24"/>
      <c r="Q959" s="24"/>
      <c r="R959" s="24"/>
      <c r="S959" s="24"/>
      <c r="T959" s="24"/>
      <c r="U959" s="24"/>
      <c r="V959" s="24"/>
      <c r="W959" s="24"/>
      <c r="X959" s="24"/>
      <c r="Y959" s="24"/>
      <c r="Z959" s="24"/>
      <c r="AA959" s="24"/>
      <c r="AB959" s="24"/>
      <c r="AC959" s="24"/>
      <c r="AD959" s="24"/>
      <c r="AE959" s="24"/>
    </row>
    <row r="960" spans="1:31" ht="12.9">
      <c r="A960" s="24"/>
      <c r="B960" s="143"/>
      <c r="C960" s="24"/>
      <c r="D960" s="24"/>
      <c r="E960" s="24"/>
      <c r="F960" s="24"/>
      <c r="G960" s="24"/>
      <c r="H960" s="117"/>
      <c r="I960" s="117"/>
      <c r="J960" s="24"/>
      <c r="K960" s="24"/>
      <c r="L960" s="24"/>
      <c r="M960" s="24"/>
      <c r="N960" s="24"/>
      <c r="O960" s="24"/>
      <c r="P960" s="24"/>
      <c r="Q960" s="24"/>
      <c r="R960" s="24"/>
      <c r="S960" s="24"/>
      <c r="T960" s="24"/>
      <c r="U960" s="24"/>
      <c r="V960" s="24"/>
      <c r="W960" s="24"/>
      <c r="X960" s="24"/>
      <c r="Y960" s="24"/>
      <c r="Z960" s="24"/>
      <c r="AA960" s="24"/>
      <c r="AB960" s="24"/>
      <c r="AC960" s="24"/>
      <c r="AD960" s="24"/>
      <c r="AE960" s="24"/>
    </row>
    <row r="961" spans="1:31" ht="12.9">
      <c r="A961" s="24"/>
      <c r="B961" s="143"/>
      <c r="C961" s="24"/>
      <c r="D961" s="24"/>
      <c r="E961" s="24"/>
      <c r="F961" s="24"/>
      <c r="G961" s="24"/>
      <c r="H961" s="117"/>
      <c r="I961" s="117"/>
      <c r="J961" s="24"/>
      <c r="K961" s="24"/>
      <c r="L961" s="24"/>
      <c r="M961" s="24"/>
      <c r="N961" s="24"/>
      <c r="O961" s="24"/>
      <c r="P961" s="24"/>
      <c r="Q961" s="24"/>
      <c r="R961" s="24"/>
      <c r="S961" s="24"/>
      <c r="T961" s="24"/>
      <c r="U961" s="24"/>
      <c r="V961" s="24"/>
      <c r="W961" s="24"/>
      <c r="X961" s="24"/>
      <c r="Y961" s="24"/>
      <c r="Z961" s="24"/>
      <c r="AA961" s="24"/>
      <c r="AB961" s="24"/>
      <c r="AC961" s="24"/>
      <c r="AD961" s="24"/>
      <c r="AE961" s="24"/>
    </row>
    <row r="962" spans="1:31" ht="12.9">
      <c r="A962" s="24"/>
      <c r="B962" s="143"/>
      <c r="C962" s="24"/>
      <c r="D962" s="24"/>
      <c r="E962" s="24"/>
      <c r="F962" s="24"/>
      <c r="G962" s="24"/>
      <c r="H962" s="117"/>
      <c r="I962" s="117"/>
      <c r="J962" s="24"/>
      <c r="K962" s="24"/>
      <c r="L962" s="24"/>
      <c r="M962" s="24"/>
      <c r="N962" s="24"/>
      <c r="O962" s="24"/>
      <c r="P962" s="24"/>
      <c r="Q962" s="24"/>
      <c r="R962" s="24"/>
      <c r="S962" s="24"/>
      <c r="T962" s="24"/>
      <c r="U962" s="24"/>
      <c r="V962" s="24"/>
      <c r="W962" s="24"/>
      <c r="X962" s="24"/>
      <c r="Y962" s="24"/>
      <c r="Z962" s="24"/>
      <c r="AA962" s="24"/>
      <c r="AB962" s="24"/>
      <c r="AC962" s="24"/>
      <c r="AD962" s="24"/>
      <c r="AE962" s="24"/>
    </row>
    <row r="963" spans="1:31" ht="12.9">
      <c r="A963" s="24"/>
      <c r="B963" s="143"/>
      <c r="C963" s="24"/>
      <c r="D963" s="24"/>
      <c r="E963" s="24"/>
      <c r="F963" s="24"/>
      <c r="G963" s="24"/>
      <c r="H963" s="117"/>
      <c r="I963" s="117"/>
      <c r="J963" s="24"/>
      <c r="K963" s="24"/>
      <c r="L963" s="24"/>
      <c r="M963" s="24"/>
      <c r="N963" s="24"/>
      <c r="O963" s="24"/>
      <c r="P963" s="24"/>
      <c r="Q963" s="24"/>
      <c r="R963" s="24"/>
      <c r="S963" s="24"/>
      <c r="T963" s="24"/>
      <c r="U963" s="24"/>
      <c r="V963" s="24"/>
      <c r="W963" s="24"/>
      <c r="X963" s="24"/>
      <c r="Y963" s="24"/>
      <c r="Z963" s="24"/>
      <c r="AA963" s="24"/>
      <c r="AB963" s="24"/>
      <c r="AC963" s="24"/>
      <c r="AD963" s="24"/>
      <c r="AE963" s="24"/>
    </row>
    <row r="964" spans="1:31" ht="12.9">
      <c r="A964" s="24"/>
      <c r="B964" s="143"/>
      <c r="C964" s="24"/>
      <c r="D964" s="24"/>
      <c r="E964" s="24"/>
      <c r="F964" s="24"/>
      <c r="G964" s="24"/>
      <c r="H964" s="117"/>
      <c r="I964" s="117"/>
      <c r="J964" s="24"/>
      <c r="K964" s="24"/>
      <c r="L964" s="24"/>
      <c r="M964" s="24"/>
      <c r="N964" s="24"/>
      <c r="O964" s="24"/>
      <c r="P964" s="24"/>
      <c r="Q964" s="24"/>
      <c r="R964" s="24"/>
      <c r="S964" s="24"/>
      <c r="T964" s="24"/>
      <c r="U964" s="24"/>
      <c r="V964" s="24"/>
      <c r="W964" s="24"/>
      <c r="X964" s="24"/>
      <c r="Y964" s="24"/>
      <c r="Z964" s="24"/>
      <c r="AA964" s="24"/>
      <c r="AB964" s="24"/>
      <c r="AC964" s="24"/>
      <c r="AD964" s="24"/>
      <c r="AE964" s="24"/>
    </row>
    <row r="965" spans="1:31" ht="12.9">
      <c r="A965" s="24"/>
      <c r="B965" s="143"/>
      <c r="C965" s="24"/>
      <c r="D965" s="24"/>
      <c r="E965" s="24"/>
      <c r="F965" s="24"/>
      <c r="G965" s="24"/>
      <c r="H965" s="117"/>
      <c r="I965" s="117"/>
      <c r="J965" s="24"/>
      <c r="K965" s="24"/>
      <c r="L965" s="24"/>
      <c r="M965" s="24"/>
      <c r="N965" s="24"/>
      <c r="O965" s="24"/>
      <c r="P965" s="24"/>
      <c r="Q965" s="24"/>
      <c r="R965" s="24"/>
      <c r="S965" s="24"/>
      <c r="T965" s="24"/>
      <c r="U965" s="24"/>
      <c r="V965" s="24"/>
      <c r="W965" s="24"/>
      <c r="X965" s="24"/>
      <c r="Y965" s="24"/>
      <c r="Z965" s="24"/>
      <c r="AA965" s="24"/>
      <c r="AB965" s="24"/>
      <c r="AC965" s="24"/>
      <c r="AD965" s="24"/>
      <c r="AE965" s="24"/>
    </row>
    <row r="966" spans="1:31" ht="12.9">
      <c r="A966" s="24"/>
      <c r="B966" s="143"/>
      <c r="C966" s="24"/>
      <c r="D966" s="24"/>
      <c r="E966" s="24"/>
      <c r="F966" s="24"/>
      <c r="G966" s="24"/>
      <c r="H966" s="117"/>
      <c r="I966" s="117"/>
      <c r="J966" s="24"/>
      <c r="K966" s="24"/>
      <c r="L966" s="24"/>
      <c r="M966" s="24"/>
      <c r="N966" s="24"/>
      <c r="O966" s="24"/>
      <c r="P966" s="24"/>
      <c r="Q966" s="24"/>
      <c r="R966" s="24"/>
      <c r="S966" s="24"/>
      <c r="T966" s="24"/>
      <c r="U966" s="24"/>
      <c r="V966" s="24"/>
      <c r="W966" s="24"/>
      <c r="X966" s="24"/>
      <c r="Y966" s="24"/>
      <c r="Z966" s="24"/>
      <c r="AA966" s="24"/>
      <c r="AB966" s="24"/>
      <c r="AC966" s="24"/>
      <c r="AD966" s="24"/>
      <c r="AE966" s="24"/>
    </row>
    <row r="967" spans="1:31" ht="12.9">
      <c r="A967" s="24"/>
      <c r="B967" s="143"/>
      <c r="C967" s="24"/>
      <c r="D967" s="24"/>
      <c r="E967" s="24"/>
      <c r="F967" s="24"/>
      <c r="G967" s="24"/>
      <c r="H967" s="117"/>
      <c r="I967" s="117"/>
      <c r="J967" s="24"/>
      <c r="K967" s="24"/>
      <c r="L967" s="24"/>
      <c r="M967" s="24"/>
      <c r="N967" s="24"/>
      <c r="O967" s="24"/>
      <c r="P967" s="24"/>
      <c r="Q967" s="24"/>
      <c r="R967" s="24"/>
      <c r="S967" s="24"/>
      <c r="T967" s="24"/>
      <c r="U967" s="24"/>
      <c r="V967" s="24"/>
      <c r="W967" s="24"/>
      <c r="X967" s="24"/>
      <c r="Y967" s="24"/>
      <c r="Z967" s="24"/>
      <c r="AA967" s="24"/>
      <c r="AB967" s="24"/>
      <c r="AC967" s="24"/>
      <c r="AD967" s="24"/>
      <c r="AE967" s="24"/>
    </row>
    <row r="968" spans="1:31" ht="12.9">
      <c r="A968" s="24"/>
      <c r="B968" s="143"/>
      <c r="C968" s="24"/>
      <c r="D968" s="24"/>
      <c r="E968" s="24"/>
      <c r="F968" s="24"/>
      <c r="G968" s="24"/>
      <c r="H968" s="117"/>
      <c r="I968" s="117"/>
      <c r="J968" s="24"/>
      <c r="K968" s="24"/>
      <c r="L968" s="24"/>
      <c r="M968" s="24"/>
      <c r="N968" s="24"/>
      <c r="O968" s="24"/>
      <c r="P968" s="24"/>
      <c r="Q968" s="24"/>
      <c r="R968" s="24"/>
      <c r="S968" s="24"/>
      <c r="T968" s="24"/>
      <c r="U968" s="24"/>
      <c r="V968" s="24"/>
      <c r="W968" s="24"/>
      <c r="X968" s="24"/>
      <c r="Y968" s="24"/>
      <c r="Z968" s="24"/>
      <c r="AA968" s="24"/>
      <c r="AB968" s="24"/>
      <c r="AC968" s="24"/>
      <c r="AD968" s="24"/>
      <c r="AE968" s="24"/>
    </row>
    <row r="969" spans="1:31" ht="12.9">
      <c r="A969" s="24"/>
      <c r="B969" s="143"/>
      <c r="C969" s="24"/>
      <c r="D969" s="24"/>
      <c r="E969" s="24"/>
      <c r="F969" s="24"/>
      <c r="G969" s="24"/>
      <c r="H969" s="117"/>
      <c r="I969" s="117"/>
      <c r="J969" s="24"/>
      <c r="K969" s="24"/>
      <c r="L969" s="24"/>
      <c r="M969" s="24"/>
      <c r="N969" s="24"/>
      <c r="O969" s="24"/>
      <c r="P969" s="24"/>
      <c r="Q969" s="24"/>
      <c r="R969" s="24"/>
      <c r="S969" s="24"/>
      <c r="T969" s="24"/>
      <c r="U969" s="24"/>
      <c r="V969" s="24"/>
      <c r="W969" s="24"/>
      <c r="X969" s="24"/>
      <c r="Y969" s="24"/>
      <c r="Z969" s="24"/>
      <c r="AA969" s="24"/>
      <c r="AB969" s="24"/>
      <c r="AC969" s="24"/>
      <c r="AD969" s="24"/>
      <c r="AE969" s="24"/>
    </row>
    <row r="970" spans="1:31" ht="12.9">
      <c r="A970" s="24"/>
      <c r="B970" s="143"/>
      <c r="C970" s="24"/>
      <c r="D970" s="24"/>
      <c r="E970" s="24"/>
      <c r="F970" s="24"/>
      <c r="G970" s="24"/>
      <c r="H970" s="117"/>
      <c r="I970" s="117"/>
      <c r="J970" s="24"/>
      <c r="K970" s="24"/>
      <c r="L970" s="24"/>
      <c r="M970" s="24"/>
      <c r="N970" s="24"/>
      <c r="O970" s="24"/>
      <c r="P970" s="24"/>
      <c r="Q970" s="24"/>
      <c r="R970" s="24"/>
      <c r="S970" s="24"/>
      <c r="T970" s="24"/>
      <c r="U970" s="24"/>
      <c r="V970" s="24"/>
      <c r="W970" s="24"/>
      <c r="X970" s="24"/>
      <c r="Y970" s="24"/>
      <c r="Z970" s="24"/>
      <c r="AA970" s="24"/>
      <c r="AB970" s="24"/>
      <c r="AC970" s="24"/>
      <c r="AD970" s="24"/>
      <c r="AE970" s="24"/>
    </row>
    <row r="971" spans="1:31" ht="12.9">
      <c r="A971" s="24"/>
      <c r="B971" s="143"/>
      <c r="C971" s="24"/>
      <c r="D971" s="24"/>
      <c r="E971" s="24"/>
      <c r="F971" s="24"/>
      <c r="G971" s="24"/>
      <c r="H971" s="117"/>
      <c r="I971" s="117"/>
      <c r="J971" s="24"/>
      <c r="K971" s="24"/>
      <c r="L971" s="24"/>
      <c r="M971" s="24"/>
      <c r="N971" s="24"/>
      <c r="O971" s="24"/>
      <c r="P971" s="24"/>
      <c r="Q971" s="24"/>
      <c r="R971" s="24"/>
      <c r="S971" s="24"/>
      <c r="T971" s="24"/>
      <c r="U971" s="24"/>
      <c r="V971" s="24"/>
      <c r="W971" s="24"/>
      <c r="X971" s="24"/>
      <c r="Y971" s="24"/>
      <c r="Z971" s="24"/>
      <c r="AA971" s="24"/>
      <c r="AB971" s="24"/>
      <c r="AC971" s="24"/>
      <c r="AD971" s="24"/>
      <c r="AE971" s="24"/>
    </row>
    <row r="972" spans="1:31" ht="12.9">
      <c r="A972" s="24"/>
      <c r="B972" s="143"/>
      <c r="C972" s="24"/>
      <c r="D972" s="24"/>
      <c r="E972" s="24"/>
      <c r="F972" s="24"/>
      <c r="G972" s="24"/>
      <c r="H972" s="117"/>
      <c r="I972" s="117"/>
      <c r="J972" s="24"/>
      <c r="K972" s="24"/>
      <c r="L972" s="24"/>
      <c r="M972" s="24"/>
      <c r="N972" s="24"/>
      <c r="O972" s="24"/>
      <c r="P972" s="24"/>
      <c r="Q972" s="24"/>
      <c r="R972" s="24"/>
      <c r="S972" s="24"/>
      <c r="T972" s="24"/>
      <c r="U972" s="24"/>
      <c r="V972" s="24"/>
      <c r="W972" s="24"/>
      <c r="X972" s="24"/>
      <c r="Y972" s="24"/>
      <c r="Z972" s="24"/>
      <c r="AA972" s="24"/>
      <c r="AB972" s="24"/>
      <c r="AC972" s="24"/>
      <c r="AD972" s="24"/>
      <c r="AE972" s="24"/>
    </row>
    <row r="973" spans="1:31" ht="12.9">
      <c r="A973" s="24"/>
      <c r="B973" s="143"/>
      <c r="C973" s="24"/>
      <c r="D973" s="24"/>
      <c r="E973" s="24"/>
      <c r="F973" s="24"/>
      <c r="G973" s="24"/>
      <c r="H973" s="117"/>
      <c r="I973" s="117"/>
      <c r="J973" s="24"/>
      <c r="K973" s="24"/>
      <c r="L973" s="24"/>
      <c r="M973" s="24"/>
      <c r="N973" s="24"/>
      <c r="O973" s="24"/>
      <c r="P973" s="24"/>
      <c r="Q973" s="24"/>
      <c r="R973" s="24"/>
      <c r="S973" s="24"/>
      <c r="T973" s="24"/>
      <c r="U973" s="24"/>
      <c r="V973" s="24"/>
      <c r="W973" s="24"/>
      <c r="X973" s="24"/>
      <c r="Y973" s="24"/>
      <c r="Z973" s="24"/>
      <c r="AA973" s="24"/>
      <c r="AB973" s="24"/>
      <c r="AC973" s="24"/>
      <c r="AD973" s="24"/>
      <c r="AE973" s="24"/>
    </row>
    <row r="974" spans="1:31" ht="12.9">
      <c r="A974" s="24"/>
      <c r="B974" s="143"/>
      <c r="C974" s="24"/>
      <c r="D974" s="24"/>
      <c r="E974" s="24"/>
      <c r="F974" s="24"/>
      <c r="G974" s="24"/>
      <c r="H974" s="117"/>
      <c r="I974" s="117"/>
      <c r="J974" s="24"/>
      <c r="K974" s="24"/>
      <c r="L974" s="24"/>
      <c r="M974" s="24"/>
      <c r="N974" s="24"/>
      <c r="O974" s="24"/>
      <c r="P974" s="24"/>
      <c r="Q974" s="24"/>
      <c r="R974" s="24"/>
      <c r="S974" s="24"/>
      <c r="T974" s="24"/>
      <c r="U974" s="24"/>
      <c r="V974" s="24"/>
      <c r="W974" s="24"/>
      <c r="X974" s="24"/>
      <c r="Y974" s="24"/>
      <c r="Z974" s="24"/>
      <c r="AA974" s="24"/>
      <c r="AB974" s="24"/>
      <c r="AC974" s="24"/>
      <c r="AD974" s="24"/>
      <c r="AE974" s="24"/>
    </row>
    <row r="975" spans="1:31" ht="12.9">
      <c r="A975" s="24"/>
      <c r="B975" s="143"/>
      <c r="C975" s="24"/>
      <c r="D975" s="24"/>
      <c r="E975" s="24"/>
      <c r="F975" s="24"/>
      <c r="G975" s="24"/>
      <c r="H975" s="117"/>
      <c r="I975" s="117"/>
      <c r="J975" s="24"/>
      <c r="K975" s="24"/>
      <c r="L975" s="24"/>
      <c r="M975" s="24"/>
      <c r="N975" s="24"/>
      <c r="O975" s="24"/>
      <c r="P975" s="24"/>
      <c r="Q975" s="24"/>
      <c r="R975" s="24"/>
      <c r="S975" s="24"/>
      <c r="T975" s="24"/>
      <c r="U975" s="24"/>
      <c r="V975" s="24"/>
      <c r="W975" s="24"/>
      <c r="X975" s="24"/>
      <c r="Y975" s="24"/>
      <c r="Z975" s="24"/>
      <c r="AA975" s="24"/>
      <c r="AB975" s="24"/>
      <c r="AC975" s="24"/>
      <c r="AD975" s="24"/>
      <c r="AE975" s="24"/>
    </row>
    <row r="976" spans="1:31" ht="12.9">
      <c r="A976" s="24"/>
      <c r="B976" s="143"/>
      <c r="C976" s="24"/>
      <c r="D976" s="24"/>
      <c r="E976" s="24"/>
      <c r="F976" s="24"/>
      <c r="G976" s="24"/>
      <c r="H976" s="117"/>
      <c r="I976" s="117"/>
      <c r="J976" s="24"/>
      <c r="K976" s="24"/>
      <c r="L976" s="24"/>
      <c r="M976" s="24"/>
      <c r="N976" s="24"/>
      <c r="O976" s="24"/>
      <c r="P976" s="24"/>
      <c r="Q976" s="24"/>
      <c r="R976" s="24"/>
      <c r="S976" s="24"/>
      <c r="T976" s="24"/>
      <c r="U976" s="24"/>
      <c r="V976" s="24"/>
      <c r="W976" s="24"/>
      <c r="X976" s="24"/>
      <c r="Y976" s="24"/>
      <c r="Z976" s="24"/>
      <c r="AA976" s="24"/>
      <c r="AB976" s="24"/>
      <c r="AC976" s="24"/>
      <c r="AD976" s="24"/>
      <c r="AE976" s="24"/>
    </row>
    <row r="977" spans="1:31" ht="12.9">
      <c r="A977" s="24"/>
      <c r="B977" s="143"/>
      <c r="C977" s="24"/>
      <c r="D977" s="24"/>
      <c r="E977" s="24"/>
      <c r="F977" s="24"/>
      <c r="G977" s="24"/>
      <c r="H977" s="117"/>
      <c r="I977" s="117"/>
      <c r="J977" s="24"/>
      <c r="K977" s="24"/>
      <c r="L977" s="24"/>
      <c r="M977" s="24"/>
      <c r="N977" s="24"/>
      <c r="O977" s="24"/>
      <c r="P977" s="24"/>
      <c r="Q977" s="24"/>
      <c r="R977" s="24"/>
      <c r="S977" s="24"/>
      <c r="T977" s="24"/>
      <c r="U977" s="24"/>
      <c r="V977" s="24"/>
      <c r="W977" s="24"/>
      <c r="X977" s="24"/>
      <c r="Y977" s="24"/>
      <c r="Z977" s="24"/>
      <c r="AA977" s="24"/>
      <c r="AB977" s="24"/>
      <c r="AC977" s="24"/>
      <c r="AD977" s="24"/>
      <c r="AE977" s="24"/>
    </row>
    <row r="978" spans="1:31" ht="12.9">
      <c r="A978" s="24"/>
      <c r="B978" s="143"/>
      <c r="C978" s="24"/>
      <c r="D978" s="24"/>
      <c r="E978" s="24"/>
      <c r="F978" s="24"/>
      <c r="G978" s="24"/>
      <c r="H978" s="117"/>
      <c r="I978" s="117"/>
      <c r="J978" s="24"/>
      <c r="K978" s="24"/>
      <c r="L978" s="24"/>
      <c r="M978" s="24"/>
      <c r="N978" s="24"/>
      <c r="O978" s="24"/>
      <c r="P978" s="24"/>
      <c r="Q978" s="24"/>
      <c r="R978" s="24"/>
      <c r="S978" s="24"/>
      <c r="T978" s="24"/>
      <c r="U978" s="24"/>
      <c r="V978" s="24"/>
      <c r="W978" s="24"/>
      <c r="X978" s="24"/>
      <c r="Y978" s="24"/>
      <c r="Z978" s="24"/>
      <c r="AA978" s="24"/>
      <c r="AB978" s="24"/>
      <c r="AC978" s="24"/>
      <c r="AD978" s="24"/>
      <c r="AE978" s="24"/>
    </row>
    <row r="979" spans="1:31" ht="12.9">
      <c r="A979" s="24"/>
      <c r="B979" s="143"/>
      <c r="C979" s="24"/>
      <c r="D979" s="24"/>
      <c r="E979" s="24"/>
      <c r="F979" s="24"/>
      <c r="G979" s="24"/>
      <c r="H979" s="117"/>
      <c r="I979" s="117"/>
      <c r="J979" s="24"/>
      <c r="K979" s="24"/>
      <c r="L979" s="24"/>
      <c r="M979" s="24"/>
      <c r="N979" s="24"/>
      <c r="O979" s="24"/>
      <c r="P979" s="24"/>
      <c r="Q979" s="24"/>
      <c r="R979" s="24"/>
      <c r="S979" s="24"/>
      <c r="T979" s="24"/>
      <c r="U979" s="24"/>
      <c r="V979" s="24"/>
      <c r="W979" s="24"/>
      <c r="X979" s="24"/>
      <c r="Y979" s="24"/>
      <c r="Z979" s="24"/>
      <c r="AA979" s="24"/>
      <c r="AB979" s="24"/>
      <c r="AC979" s="24"/>
      <c r="AD979" s="24"/>
      <c r="AE979" s="24"/>
    </row>
    <row r="980" spans="1:31" ht="12.9">
      <c r="A980" s="24"/>
      <c r="B980" s="143"/>
      <c r="C980" s="24"/>
      <c r="D980" s="24"/>
      <c r="E980" s="24"/>
      <c r="F980" s="24"/>
      <c r="G980" s="24"/>
      <c r="H980" s="117"/>
      <c r="I980" s="117"/>
      <c r="J980" s="24"/>
      <c r="K980" s="24"/>
      <c r="L980" s="24"/>
      <c r="M980" s="24"/>
      <c r="N980" s="24"/>
      <c r="O980" s="24"/>
      <c r="P980" s="24"/>
      <c r="Q980" s="24"/>
      <c r="R980" s="24"/>
      <c r="S980" s="24"/>
      <c r="T980" s="24"/>
      <c r="U980" s="24"/>
      <c r="V980" s="24"/>
      <c r="W980" s="24"/>
      <c r="X980" s="24"/>
      <c r="Y980" s="24"/>
      <c r="Z980" s="24"/>
      <c r="AA980" s="24"/>
      <c r="AB980" s="24"/>
      <c r="AC980" s="24"/>
      <c r="AD980" s="24"/>
      <c r="AE980" s="24"/>
    </row>
    <row r="981" spans="1:31" ht="12.9">
      <c r="A981" s="24"/>
      <c r="B981" s="143"/>
      <c r="C981" s="24"/>
      <c r="D981" s="24"/>
      <c r="E981" s="24"/>
      <c r="F981" s="24"/>
      <c r="G981" s="24"/>
      <c r="H981" s="117"/>
      <c r="I981" s="117"/>
      <c r="J981" s="24"/>
      <c r="K981" s="24"/>
      <c r="L981" s="24"/>
      <c r="M981" s="24"/>
      <c r="N981" s="24"/>
      <c r="O981" s="24"/>
      <c r="P981" s="24"/>
      <c r="Q981" s="24"/>
      <c r="R981" s="24"/>
      <c r="S981" s="24"/>
      <c r="T981" s="24"/>
      <c r="U981" s="24"/>
      <c r="V981" s="24"/>
      <c r="W981" s="24"/>
      <c r="X981" s="24"/>
      <c r="Y981" s="24"/>
      <c r="Z981" s="24"/>
      <c r="AA981" s="24"/>
      <c r="AB981" s="24"/>
      <c r="AC981" s="24"/>
      <c r="AD981" s="24"/>
      <c r="AE981" s="24"/>
    </row>
    <row r="982" spans="1:31" ht="12.9">
      <c r="A982" s="24"/>
      <c r="B982" s="143"/>
      <c r="C982" s="24"/>
      <c r="D982" s="24"/>
      <c r="E982" s="24"/>
      <c r="F982" s="24"/>
      <c r="G982" s="24"/>
      <c r="H982" s="117"/>
      <c r="I982" s="117"/>
      <c r="J982" s="24"/>
      <c r="K982" s="24"/>
      <c r="L982" s="24"/>
      <c r="M982" s="24"/>
      <c r="N982" s="24"/>
      <c r="O982" s="24"/>
      <c r="P982" s="24"/>
      <c r="Q982" s="24"/>
      <c r="R982" s="24"/>
      <c r="S982" s="24"/>
      <c r="T982" s="24"/>
      <c r="U982" s="24"/>
      <c r="V982" s="24"/>
      <c r="W982" s="24"/>
      <c r="X982" s="24"/>
      <c r="Y982" s="24"/>
      <c r="Z982" s="24"/>
      <c r="AA982" s="24"/>
      <c r="AB982" s="24"/>
      <c r="AC982" s="24"/>
      <c r="AD982" s="24"/>
      <c r="AE982" s="24"/>
    </row>
    <row r="983" spans="1:31" ht="12.9">
      <c r="A983" s="24"/>
      <c r="B983" s="143"/>
      <c r="C983" s="24"/>
      <c r="D983" s="24"/>
      <c r="E983" s="24"/>
      <c r="F983" s="24"/>
      <c r="G983" s="24"/>
      <c r="H983" s="117"/>
      <c r="I983" s="117"/>
      <c r="J983" s="24"/>
      <c r="K983" s="24"/>
      <c r="L983" s="24"/>
      <c r="M983" s="24"/>
      <c r="N983" s="24"/>
      <c r="O983" s="24"/>
      <c r="P983" s="24"/>
      <c r="Q983" s="24"/>
      <c r="R983" s="24"/>
      <c r="S983" s="24"/>
      <c r="T983" s="24"/>
      <c r="U983" s="24"/>
      <c r="V983" s="24"/>
      <c r="W983" s="24"/>
      <c r="X983" s="24"/>
      <c r="Y983" s="24"/>
      <c r="Z983" s="24"/>
      <c r="AA983" s="24"/>
      <c r="AB983" s="24"/>
      <c r="AC983" s="24"/>
      <c r="AD983" s="24"/>
      <c r="AE983" s="24"/>
    </row>
    <row r="984" spans="1:31" ht="12.9">
      <c r="A984" s="24"/>
      <c r="B984" s="143"/>
      <c r="C984" s="24"/>
      <c r="D984" s="24"/>
      <c r="E984" s="24"/>
      <c r="F984" s="24"/>
      <c r="G984" s="24"/>
      <c r="H984" s="117"/>
      <c r="I984" s="117"/>
      <c r="J984" s="24"/>
      <c r="K984" s="24"/>
      <c r="L984" s="24"/>
      <c r="M984" s="24"/>
      <c r="N984" s="24"/>
      <c r="O984" s="24"/>
      <c r="P984" s="24"/>
      <c r="Q984" s="24"/>
      <c r="R984" s="24"/>
      <c r="S984" s="24"/>
      <c r="T984" s="24"/>
      <c r="U984" s="24"/>
      <c r="V984" s="24"/>
      <c r="W984" s="24"/>
      <c r="X984" s="24"/>
      <c r="Y984" s="24"/>
      <c r="Z984" s="24"/>
      <c r="AA984" s="24"/>
      <c r="AB984" s="24"/>
      <c r="AC984" s="24"/>
      <c r="AD984" s="24"/>
      <c r="AE984" s="24"/>
    </row>
    <row r="985" spans="1:31" ht="12.9">
      <c r="A985" s="24"/>
      <c r="B985" s="143"/>
      <c r="C985" s="24"/>
      <c r="D985" s="24"/>
      <c r="E985" s="24"/>
      <c r="F985" s="24"/>
      <c r="G985" s="24"/>
      <c r="H985" s="117"/>
      <c r="I985" s="117"/>
      <c r="J985" s="24"/>
      <c r="K985" s="24"/>
      <c r="L985" s="24"/>
      <c r="M985" s="24"/>
      <c r="N985" s="24"/>
      <c r="O985" s="24"/>
      <c r="P985" s="24"/>
      <c r="Q985" s="24"/>
      <c r="R985" s="24"/>
      <c r="S985" s="24"/>
      <c r="T985" s="24"/>
      <c r="U985" s="24"/>
      <c r="V985" s="24"/>
      <c r="W985" s="24"/>
      <c r="X985" s="24"/>
      <c r="Y985" s="24"/>
      <c r="Z985" s="24"/>
      <c r="AA985" s="24"/>
      <c r="AB985" s="24"/>
      <c r="AC985" s="24"/>
      <c r="AD985" s="24"/>
      <c r="AE985" s="24"/>
    </row>
    <row r="986" spans="1:31" ht="12.9">
      <c r="A986" s="24"/>
      <c r="B986" s="143"/>
      <c r="C986" s="24"/>
      <c r="D986" s="24"/>
      <c r="E986" s="24"/>
      <c r="F986" s="24"/>
      <c r="G986" s="24"/>
      <c r="H986" s="117"/>
      <c r="I986" s="117"/>
      <c r="J986" s="24"/>
      <c r="K986" s="24"/>
      <c r="L986" s="24"/>
      <c r="M986" s="24"/>
      <c r="N986" s="24"/>
      <c r="O986" s="24"/>
      <c r="P986" s="24"/>
      <c r="Q986" s="24"/>
      <c r="R986" s="24"/>
      <c r="S986" s="24"/>
      <c r="T986" s="24"/>
      <c r="U986" s="24"/>
      <c r="V986" s="24"/>
      <c r="W986" s="24"/>
      <c r="X986" s="24"/>
      <c r="Y986" s="24"/>
      <c r="Z986" s="24"/>
      <c r="AA986" s="24"/>
      <c r="AB986" s="24"/>
      <c r="AC986" s="24"/>
      <c r="AD986" s="24"/>
      <c r="AE986" s="24"/>
    </row>
    <row r="987" spans="1:31" ht="12.9">
      <c r="A987" s="24"/>
      <c r="B987" s="143"/>
      <c r="C987" s="24"/>
      <c r="D987" s="24"/>
      <c r="E987" s="24"/>
      <c r="F987" s="24"/>
      <c r="G987" s="24"/>
      <c r="H987" s="117"/>
      <c r="I987" s="117"/>
      <c r="J987" s="24"/>
      <c r="K987" s="24"/>
      <c r="L987" s="24"/>
      <c r="M987" s="24"/>
      <c r="N987" s="24"/>
      <c r="O987" s="24"/>
      <c r="P987" s="24"/>
      <c r="Q987" s="24"/>
      <c r="R987" s="24"/>
      <c r="S987" s="24"/>
      <c r="T987" s="24"/>
      <c r="U987" s="24"/>
      <c r="V987" s="24"/>
      <c r="W987" s="24"/>
      <c r="X987" s="24"/>
      <c r="Y987" s="24"/>
      <c r="Z987" s="24"/>
      <c r="AA987" s="24"/>
      <c r="AB987" s="24"/>
      <c r="AC987" s="24"/>
      <c r="AD987" s="24"/>
      <c r="AE987" s="24"/>
    </row>
    <row r="988" spans="1:31" ht="12.9">
      <c r="A988" s="24"/>
      <c r="B988" s="143"/>
      <c r="C988" s="24"/>
      <c r="D988" s="24"/>
      <c r="E988" s="24"/>
      <c r="F988" s="24"/>
      <c r="G988" s="24"/>
      <c r="H988" s="117"/>
      <c r="I988" s="117"/>
      <c r="J988" s="24"/>
      <c r="K988" s="24"/>
      <c r="L988" s="24"/>
      <c r="M988" s="24"/>
      <c r="N988" s="24"/>
      <c r="O988" s="24"/>
      <c r="P988" s="24"/>
      <c r="Q988" s="24"/>
      <c r="R988" s="24"/>
      <c r="S988" s="24"/>
      <c r="T988" s="24"/>
      <c r="U988" s="24"/>
      <c r="V988" s="24"/>
      <c r="W988" s="24"/>
      <c r="X988" s="24"/>
      <c r="Y988" s="24"/>
      <c r="Z988" s="24"/>
      <c r="AA988" s="24"/>
      <c r="AB988" s="24"/>
      <c r="AC988" s="24"/>
      <c r="AD988" s="24"/>
      <c r="AE988" s="24"/>
    </row>
    <row r="989" spans="1:31" ht="12.9">
      <c r="A989" s="24"/>
      <c r="B989" s="143"/>
      <c r="C989" s="24"/>
      <c r="D989" s="24"/>
      <c r="E989" s="24"/>
      <c r="F989" s="24"/>
      <c r="G989" s="24"/>
      <c r="H989" s="117"/>
      <c r="I989" s="117"/>
      <c r="J989" s="24"/>
      <c r="K989" s="24"/>
      <c r="L989" s="24"/>
      <c r="M989" s="24"/>
      <c r="N989" s="24"/>
      <c r="O989" s="24"/>
      <c r="P989" s="24"/>
      <c r="Q989" s="24"/>
      <c r="R989" s="24"/>
      <c r="S989" s="24"/>
      <c r="T989" s="24"/>
      <c r="U989" s="24"/>
      <c r="V989" s="24"/>
      <c r="W989" s="24"/>
      <c r="X989" s="24"/>
      <c r="Y989" s="24"/>
      <c r="Z989" s="24"/>
      <c r="AA989" s="24"/>
      <c r="AB989" s="24"/>
      <c r="AC989" s="24"/>
      <c r="AD989" s="24"/>
      <c r="AE989" s="24"/>
    </row>
    <row r="990" spans="1:31" ht="12.9">
      <c r="A990" s="24"/>
      <c r="B990" s="143"/>
      <c r="C990" s="24"/>
      <c r="D990" s="24"/>
      <c r="E990" s="24"/>
      <c r="F990" s="24"/>
      <c r="G990" s="24"/>
      <c r="H990" s="117"/>
      <c r="I990" s="117"/>
      <c r="J990" s="24"/>
      <c r="K990" s="24"/>
      <c r="L990" s="24"/>
      <c r="M990" s="24"/>
      <c r="N990" s="24"/>
      <c r="O990" s="24"/>
      <c r="P990" s="24"/>
      <c r="Q990" s="24"/>
      <c r="R990" s="24"/>
      <c r="S990" s="24"/>
      <c r="T990" s="24"/>
      <c r="U990" s="24"/>
      <c r="V990" s="24"/>
      <c r="W990" s="24"/>
      <c r="X990" s="24"/>
      <c r="Y990" s="24"/>
      <c r="Z990" s="24"/>
      <c r="AA990" s="24"/>
      <c r="AB990" s="24"/>
      <c r="AC990" s="24"/>
      <c r="AD990" s="24"/>
      <c r="AE990" s="24"/>
    </row>
    <row r="991" spans="1:31" ht="12.9">
      <c r="A991" s="24"/>
      <c r="B991" s="143"/>
      <c r="C991" s="24"/>
      <c r="D991" s="24"/>
      <c r="E991" s="24"/>
      <c r="F991" s="24"/>
      <c r="G991" s="24"/>
      <c r="H991" s="117"/>
      <c r="I991" s="117"/>
      <c r="J991" s="24"/>
      <c r="K991" s="24"/>
      <c r="L991" s="24"/>
      <c r="M991" s="24"/>
      <c r="N991" s="24"/>
      <c r="O991" s="24"/>
      <c r="P991" s="24"/>
      <c r="Q991" s="24"/>
      <c r="R991" s="24"/>
      <c r="S991" s="24"/>
      <c r="T991" s="24"/>
      <c r="U991" s="24"/>
      <c r="V991" s="24"/>
      <c r="W991" s="24"/>
      <c r="X991" s="24"/>
      <c r="Y991" s="24"/>
      <c r="Z991" s="24"/>
      <c r="AA991" s="24"/>
      <c r="AB991" s="24"/>
      <c r="AC991" s="24"/>
      <c r="AD991" s="24"/>
      <c r="AE991" s="24"/>
    </row>
    <row r="992" spans="1:31" ht="12.9">
      <c r="A992" s="24"/>
      <c r="B992" s="143"/>
      <c r="C992" s="24"/>
      <c r="D992" s="24"/>
      <c r="E992" s="24"/>
      <c r="F992" s="24"/>
      <c r="G992" s="24"/>
      <c r="H992" s="117"/>
      <c r="I992" s="117"/>
      <c r="J992" s="24"/>
      <c r="K992" s="24"/>
      <c r="L992" s="24"/>
      <c r="M992" s="24"/>
      <c r="N992" s="24"/>
      <c r="O992" s="24"/>
      <c r="P992" s="24"/>
      <c r="Q992" s="24"/>
      <c r="R992" s="24"/>
      <c r="S992" s="24"/>
      <c r="T992" s="24"/>
      <c r="U992" s="24"/>
      <c r="V992" s="24"/>
      <c r="W992" s="24"/>
      <c r="X992" s="24"/>
      <c r="Y992" s="24"/>
      <c r="Z992" s="24"/>
      <c r="AA992" s="24"/>
      <c r="AB992" s="24"/>
      <c r="AC992" s="24"/>
      <c r="AD992" s="24"/>
      <c r="AE992" s="24"/>
    </row>
    <row r="993" spans="1:31" ht="12.9">
      <c r="A993" s="24"/>
      <c r="B993" s="143"/>
      <c r="C993" s="24"/>
      <c r="D993" s="24"/>
      <c r="E993" s="24"/>
      <c r="F993" s="24"/>
      <c r="G993" s="24"/>
      <c r="H993" s="117"/>
      <c r="I993" s="117"/>
      <c r="J993" s="24"/>
      <c r="K993" s="24"/>
      <c r="L993" s="24"/>
      <c r="M993" s="24"/>
      <c r="N993" s="24"/>
      <c r="O993" s="24"/>
      <c r="P993" s="24"/>
      <c r="Q993" s="24"/>
      <c r="R993" s="24"/>
      <c r="S993" s="24"/>
      <c r="T993" s="24"/>
      <c r="U993" s="24"/>
      <c r="V993" s="24"/>
      <c r="W993" s="24"/>
      <c r="X993" s="24"/>
      <c r="Y993" s="24"/>
      <c r="Z993" s="24"/>
      <c r="AA993" s="24"/>
      <c r="AB993" s="24"/>
      <c r="AC993" s="24"/>
      <c r="AD993" s="24"/>
      <c r="AE993" s="24"/>
    </row>
    <row r="994" spans="1:31" ht="12.9">
      <c r="A994" s="24"/>
      <c r="B994" s="143"/>
      <c r="C994" s="24"/>
      <c r="D994" s="24"/>
      <c r="E994" s="24"/>
      <c r="F994" s="24"/>
      <c r="G994" s="24"/>
      <c r="H994" s="117"/>
      <c r="I994" s="117"/>
      <c r="J994" s="24"/>
      <c r="K994" s="24"/>
      <c r="L994" s="24"/>
      <c r="M994" s="24"/>
      <c r="N994" s="24"/>
      <c r="O994" s="24"/>
      <c r="P994" s="24"/>
      <c r="Q994" s="24"/>
      <c r="R994" s="24"/>
      <c r="S994" s="24"/>
      <c r="T994" s="24"/>
      <c r="U994" s="24"/>
      <c r="V994" s="24"/>
      <c r="W994" s="24"/>
      <c r="X994" s="24"/>
      <c r="Y994" s="24"/>
      <c r="Z994" s="24"/>
      <c r="AA994" s="24"/>
      <c r="AB994" s="24"/>
      <c r="AC994" s="24"/>
      <c r="AD994" s="24"/>
      <c r="AE994" s="24"/>
    </row>
    <row r="995" spans="1:31" ht="12.9">
      <c r="A995" s="24"/>
      <c r="B995" s="143"/>
      <c r="C995" s="24"/>
      <c r="D995" s="24"/>
      <c r="E995" s="24"/>
      <c r="F995" s="24"/>
      <c r="G995" s="24"/>
      <c r="H995" s="117"/>
      <c r="I995" s="117"/>
      <c r="J995" s="24"/>
      <c r="K995" s="24"/>
      <c r="L995" s="24"/>
      <c r="M995" s="24"/>
      <c r="N995" s="24"/>
      <c r="O995" s="24"/>
      <c r="P995" s="24"/>
      <c r="Q995" s="24"/>
      <c r="R995" s="24"/>
      <c r="S995" s="24"/>
      <c r="T995" s="24"/>
      <c r="U995" s="24"/>
      <c r="V995" s="24"/>
      <c r="W995" s="24"/>
      <c r="X995" s="24"/>
      <c r="Y995" s="24"/>
      <c r="Z995" s="24"/>
      <c r="AA995" s="24"/>
      <c r="AB995" s="24"/>
      <c r="AC995" s="24"/>
      <c r="AD995" s="24"/>
      <c r="AE995" s="24"/>
    </row>
    <row r="996" spans="1:31" ht="12.9">
      <c r="A996" s="24"/>
      <c r="B996" s="143"/>
      <c r="C996" s="24"/>
      <c r="D996" s="24"/>
      <c r="E996" s="24"/>
      <c r="F996" s="24"/>
      <c r="G996" s="24"/>
      <c r="H996" s="117"/>
      <c r="I996" s="117"/>
      <c r="J996" s="24"/>
      <c r="K996" s="24"/>
      <c r="L996" s="24"/>
      <c r="M996" s="24"/>
      <c r="N996" s="24"/>
      <c r="O996" s="24"/>
      <c r="P996" s="24"/>
      <c r="Q996" s="24"/>
      <c r="R996" s="24"/>
      <c r="S996" s="24"/>
      <c r="T996" s="24"/>
      <c r="U996" s="24"/>
      <c r="V996" s="24"/>
      <c r="W996" s="24"/>
      <c r="X996" s="24"/>
      <c r="Y996" s="24"/>
      <c r="Z996" s="24"/>
      <c r="AA996" s="24"/>
      <c r="AB996" s="24"/>
      <c r="AC996" s="24"/>
      <c r="AD996" s="24"/>
      <c r="AE996" s="24"/>
    </row>
    <row r="997" spans="1:31" ht="12.9">
      <c r="A997" s="24"/>
      <c r="B997" s="143"/>
      <c r="C997" s="24"/>
      <c r="D997" s="24"/>
      <c r="E997" s="24"/>
      <c r="F997" s="24"/>
      <c r="G997" s="24"/>
      <c r="H997" s="117"/>
      <c r="I997" s="117"/>
      <c r="J997" s="24"/>
      <c r="K997" s="24"/>
      <c r="L997" s="24"/>
      <c r="M997" s="24"/>
      <c r="N997" s="24"/>
      <c r="O997" s="24"/>
      <c r="P997" s="24"/>
      <c r="Q997" s="24"/>
      <c r="R997" s="24"/>
      <c r="S997" s="24"/>
      <c r="T997" s="24"/>
      <c r="U997" s="24"/>
      <c r="V997" s="24"/>
      <c r="W997" s="24"/>
      <c r="X997" s="24"/>
      <c r="Y997" s="24"/>
      <c r="Z997" s="24"/>
      <c r="AA997" s="24"/>
      <c r="AB997" s="24"/>
      <c r="AC997" s="24"/>
      <c r="AD997" s="24"/>
      <c r="AE997" s="24"/>
    </row>
    <row r="998" spans="1:31" ht="12.9">
      <c r="A998" s="24"/>
      <c r="B998" s="143"/>
      <c r="C998" s="24"/>
      <c r="D998" s="24"/>
      <c r="E998" s="24"/>
      <c r="F998" s="24"/>
      <c r="G998" s="24"/>
      <c r="H998" s="117"/>
      <c r="I998" s="117"/>
      <c r="J998" s="24"/>
      <c r="K998" s="24"/>
      <c r="L998" s="24"/>
      <c r="M998" s="24"/>
      <c r="N998" s="24"/>
      <c r="O998" s="24"/>
      <c r="P998" s="24"/>
      <c r="Q998" s="24"/>
      <c r="R998" s="24"/>
      <c r="S998" s="24"/>
      <c r="T998" s="24"/>
      <c r="U998" s="24"/>
      <c r="V998" s="24"/>
      <c r="W998" s="24"/>
      <c r="X998" s="24"/>
      <c r="Y998" s="24"/>
      <c r="Z998" s="24"/>
      <c r="AA998" s="24"/>
      <c r="AB998" s="24"/>
      <c r="AC998" s="24"/>
      <c r="AD998" s="24"/>
      <c r="AE998" s="24"/>
    </row>
    <row r="999" spans="1:31" ht="12.9">
      <c r="A999" s="24"/>
      <c r="B999" s="143"/>
      <c r="C999" s="24"/>
      <c r="D999" s="24"/>
      <c r="E999" s="24"/>
      <c r="F999" s="24"/>
      <c r="G999" s="24"/>
      <c r="H999" s="117"/>
      <c r="I999" s="117"/>
      <c r="J999" s="24"/>
      <c r="K999" s="24"/>
      <c r="L999" s="24"/>
      <c r="M999" s="24"/>
      <c r="N999" s="24"/>
      <c r="O999" s="24"/>
      <c r="P999" s="24"/>
      <c r="Q999" s="24"/>
      <c r="R999" s="24"/>
      <c r="S999" s="24"/>
      <c r="T999" s="24"/>
      <c r="U999" s="24"/>
      <c r="V999" s="24"/>
      <c r="W999" s="24"/>
      <c r="X999" s="24"/>
      <c r="Y999" s="24"/>
      <c r="Z999" s="24"/>
      <c r="AA999" s="24"/>
      <c r="AB999" s="24"/>
      <c r="AC999" s="24"/>
      <c r="AD999" s="24"/>
      <c r="AE999" s="24"/>
    </row>
    <row r="1000" spans="1:31" ht="12.9">
      <c r="A1000" s="24"/>
      <c r="B1000" s="143"/>
      <c r="C1000" s="24"/>
      <c r="D1000" s="24"/>
      <c r="E1000" s="24"/>
      <c r="F1000" s="24"/>
      <c r="G1000" s="24"/>
      <c r="H1000" s="117"/>
      <c r="I1000" s="117"/>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row>
    <row r="1001" spans="1:31" ht="12.9">
      <c r="A1001" s="24"/>
      <c r="B1001" s="143"/>
      <c r="C1001" s="24"/>
      <c r="D1001" s="24"/>
      <c r="E1001" s="24"/>
      <c r="F1001" s="24"/>
      <c r="G1001" s="24"/>
      <c r="H1001" s="117"/>
      <c r="I1001" s="117"/>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row>
    <row r="1002" spans="1:31" ht="12.9">
      <c r="A1002" s="24"/>
      <c r="B1002" s="143"/>
      <c r="C1002" s="24"/>
      <c r="D1002" s="24"/>
      <c r="E1002" s="24"/>
      <c r="F1002" s="24"/>
      <c r="G1002" s="24"/>
      <c r="H1002" s="117"/>
      <c r="I1002" s="117"/>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row>
    <row r="1003" spans="1:31" ht="12.9">
      <c r="A1003" s="24"/>
      <c r="B1003" s="143"/>
      <c r="C1003" s="24"/>
      <c r="D1003" s="24"/>
      <c r="E1003" s="24"/>
      <c r="F1003" s="24"/>
      <c r="G1003" s="24"/>
      <c r="H1003" s="117"/>
      <c r="I1003" s="117"/>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row>
    <row r="1004" spans="1:31" ht="12.9">
      <c r="A1004" s="24"/>
      <c r="B1004" s="143"/>
      <c r="C1004" s="24"/>
      <c r="D1004" s="24"/>
      <c r="E1004" s="24"/>
      <c r="F1004" s="24"/>
      <c r="G1004" s="24"/>
      <c r="H1004" s="117"/>
      <c r="I1004" s="117"/>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row>
    <row r="1005" spans="1:31" ht="12.9">
      <c r="A1005" s="24"/>
      <c r="B1005" s="143"/>
      <c r="C1005" s="24"/>
      <c r="D1005" s="24"/>
      <c r="E1005" s="24"/>
      <c r="F1005" s="24"/>
      <c r="G1005" s="24"/>
      <c r="H1005" s="117"/>
      <c r="I1005" s="117"/>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row>
    <row r="1006" spans="1:31" ht="12.9">
      <c r="A1006" s="24"/>
      <c r="B1006" s="143"/>
      <c r="C1006" s="24"/>
      <c r="D1006" s="24"/>
      <c r="E1006" s="24"/>
      <c r="F1006" s="24"/>
      <c r="G1006" s="24"/>
      <c r="H1006" s="117"/>
      <c r="I1006" s="117"/>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row>
    <row r="1007" spans="1:31" ht="12.9">
      <c r="A1007" s="24"/>
      <c r="B1007" s="143"/>
      <c r="C1007" s="24"/>
      <c r="D1007" s="24"/>
      <c r="E1007" s="24"/>
      <c r="F1007" s="24"/>
      <c r="G1007" s="24"/>
      <c r="H1007" s="117"/>
      <c r="I1007" s="117"/>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row>
    <row r="1008" spans="1:31" ht="12.9">
      <c r="A1008" s="24"/>
      <c r="B1008" s="143"/>
      <c r="C1008" s="24"/>
      <c r="D1008" s="24"/>
      <c r="E1008" s="24"/>
      <c r="F1008" s="24"/>
      <c r="G1008" s="24"/>
      <c r="H1008" s="117"/>
      <c r="I1008" s="117"/>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row>
    <row r="1009" spans="1:31" ht="12.9">
      <c r="A1009" s="24"/>
      <c r="B1009" s="143"/>
      <c r="C1009" s="24"/>
      <c r="D1009" s="24"/>
      <c r="E1009" s="24"/>
      <c r="F1009" s="24"/>
      <c r="G1009" s="24"/>
      <c r="H1009" s="117"/>
      <c r="I1009" s="117"/>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row>
    <row r="1010" spans="1:31" ht="12.9">
      <c r="A1010" s="24"/>
      <c r="B1010" s="143"/>
      <c r="C1010" s="24"/>
      <c r="D1010" s="24"/>
      <c r="E1010" s="24"/>
      <c r="F1010" s="24"/>
      <c r="G1010" s="24"/>
      <c r="H1010" s="117"/>
      <c r="I1010" s="117"/>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row>
    <row r="1011" spans="1:31" ht="12.9">
      <c r="A1011" s="24"/>
      <c r="B1011" s="143"/>
      <c r="C1011" s="24"/>
      <c r="D1011" s="24"/>
      <c r="E1011" s="24"/>
      <c r="F1011" s="24"/>
      <c r="G1011" s="24"/>
      <c r="H1011" s="117"/>
      <c r="I1011" s="117"/>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row>
    <row r="1012" spans="1:31" ht="12.9">
      <c r="A1012" s="24"/>
      <c r="B1012" s="143"/>
      <c r="C1012" s="24"/>
      <c r="D1012" s="24"/>
      <c r="E1012" s="24"/>
      <c r="F1012" s="24"/>
      <c r="G1012" s="24"/>
      <c r="H1012" s="117"/>
      <c r="I1012" s="117"/>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E1012" s="24"/>
    </row>
    <row r="1013" spans="1:31" ht="12.9">
      <c r="A1013" s="24"/>
      <c r="B1013" s="143"/>
      <c r="C1013" s="24"/>
      <c r="D1013" s="24"/>
      <c r="E1013" s="24"/>
      <c r="F1013" s="24"/>
      <c r="G1013" s="24"/>
      <c r="H1013" s="117"/>
      <c r="I1013" s="117"/>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E1013" s="24"/>
    </row>
    <row r="1014" spans="1:31" ht="12.9">
      <c r="A1014" s="24"/>
      <c r="B1014" s="143"/>
      <c r="C1014" s="24"/>
      <c r="D1014" s="24"/>
      <c r="E1014" s="24"/>
      <c r="F1014" s="24"/>
      <c r="G1014" s="24"/>
      <c r="H1014" s="117"/>
      <c r="I1014" s="117"/>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row>
    <row r="1015" spans="1:31" ht="12.9">
      <c r="A1015" s="24"/>
      <c r="B1015" s="143"/>
      <c r="C1015" s="24"/>
      <c r="D1015" s="24"/>
      <c r="E1015" s="24"/>
      <c r="F1015" s="24"/>
      <c r="G1015" s="24"/>
      <c r="H1015" s="117"/>
      <c r="I1015" s="117"/>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E1015" s="24"/>
    </row>
    <row r="1016" spans="1:31" ht="12.9">
      <c r="A1016" s="24"/>
      <c r="B1016" s="143"/>
      <c r="C1016" s="24"/>
      <c r="D1016" s="24"/>
      <c r="E1016" s="24"/>
      <c r="F1016" s="24"/>
      <c r="G1016" s="24"/>
      <c r="H1016" s="117"/>
      <c r="I1016" s="117"/>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E1016" s="24"/>
    </row>
    <row r="1017" spans="1:31" ht="12.9">
      <c r="A1017" s="24"/>
      <c r="B1017" s="143"/>
      <c r="C1017" s="24"/>
      <c r="D1017" s="24"/>
      <c r="E1017" s="24"/>
      <c r="F1017" s="24"/>
      <c r="G1017" s="24"/>
      <c r="H1017" s="117"/>
      <c r="I1017" s="117"/>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row>
    <row r="1018" spans="1:31" ht="12.9">
      <c r="A1018" s="24"/>
      <c r="B1018" s="143"/>
      <c r="C1018" s="24"/>
      <c r="D1018" s="24"/>
      <c r="E1018" s="24"/>
      <c r="F1018" s="24"/>
      <c r="G1018" s="24"/>
      <c r="H1018" s="117"/>
      <c r="I1018" s="117"/>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row>
    <row r="1019" spans="1:31" ht="12.9">
      <c r="A1019" s="24"/>
      <c r="B1019" s="143"/>
      <c r="C1019" s="24"/>
      <c r="D1019" s="24"/>
      <c r="E1019" s="24"/>
      <c r="F1019" s="24"/>
      <c r="G1019" s="24"/>
      <c r="H1019" s="117"/>
      <c r="I1019" s="117"/>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E1019" s="24"/>
    </row>
    <row r="1020" spans="1:31" ht="12.9">
      <c r="A1020" s="24"/>
      <c r="B1020" s="143"/>
      <c r="C1020" s="24"/>
      <c r="D1020" s="24"/>
      <c r="E1020" s="24"/>
      <c r="F1020" s="24"/>
      <c r="G1020" s="24"/>
      <c r="H1020" s="117"/>
      <c r="I1020" s="117"/>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E1020" s="24"/>
    </row>
    <row r="1021" spans="1:31" ht="12.9">
      <c r="A1021" s="24"/>
      <c r="B1021" s="143"/>
      <c r="C1021" s="24"/>
      <c r="D1021" s="24"/>
      <c r="E1021" s="24"/>
      <c r="F1021" s="24"/>
      <c r="G1021" s="24"/>
      <c r="H1021" s="117"/>
      <c r="I1021" s="117"/>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row>
    <row r="1022" spans="1:31" ht="12.9">
      <c r="A1022" s="24"/>
      <c r="B1022" s="143"/>
      <c r="C1022" s="24"/>
      <c r="D1022" s="24"/>
      <c r="E1022" s="24"/>
      <c r="F1022" s="24"/>
      <c r="G1022" s="24"/>
      <c r="H1022" s="117"/>
      <c r="I1022" s="117"/>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row>
    <row r="1023" spans="1:31" ht="12.9">
      <c r="A1023" s="24"/>
      <c r="B1023" s="143"/>
      <c r="C1023" s="24"/>
      <c r="D1023" s="24"/>
      <c r="E1023" s="24"/>
      <c r="F1023" s="24"/>
      <c r="G1023" s="24"/>
      <c r="H1023" s="117"/>
      <c r="I1023" s="117"/>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E1023" s="24"/>
    </row>
    <row r="1024" spans="1:31" ht="12.9">
      <c r="A1024" s="24"/>
      <c r="B1024" s="143"/>
      <c r="C1024" s="24"/>
      <c r="D1024" s="24"/>
      <c r="E1024" s="24"/>
      <c r="F1024" s="24"/>
      <c r="G1024" s="24"/>
      <c r="H1024" s="117"/>
      <c r="I1024" s="117"/>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E1024" s="24"/>
    </row>
    <row r="1025" spans="1:31" ht="12.9">
      <c r="A1025" s="24"/>
      <c r="B1025" s="143"/>
      <c r="C1025" s="24"/>
      <c r="D1025" s="24"/>
      <c r="E1025" s="24"/>
      <c r="F1025" s="24"/>
      <c r="G1025" s="24"/>
      <c r="H1025" s="117"/>
      <c r="I1025" s="117"/>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row>
    <row r="1026" spans="1:31" ht="12.9">
      <c r="A1026" s="24"/>
      <c r="B1026" s="143"/>
      <c r="C1026" s="24"/>
      <c r="D1026" s="24"/>
      <c r="E1026" s="24"/>
      <c r="F1026" s="24"/>
      <c r="G1026" s="24"/>
      <c r="H1026" s="117"/>
      <c r="I1026" s="117"/>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E1026" s="24"/>
    </row>
    <row r="1027" spans="1:31" ht="12.9">
      <c r="A1027" s="24"/>
      <c r="B1027" s="143"/>
      <c r="C1027" s="24"/>
      <c r="D1027" s="24"/>
      <c r="E1027" s="24"/>
      <c r="F1027" s="24"/>
      <c r="G1027" s="24"/>
      <c r="H1027" s="117"/>
      <c r="I1027" s="117"/>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row>
    <row r="1028" spans="1:31" ht="12.9">
      <c r="A1028" s="24"/>
      <c r="B1028" s="143"/>
      <c r="C1028" s="24"/>
      <c r="D1028" s="24"/>
      <c r="E1028" s="24"/>
      <c r="F1028" s="24"/>
      <c r="G1028" s="24"/>
      <c r="H1028" s="117"/>
      <c r="I1028" s="117"/>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row>
    <row r="1029" spans="1:31" ht="12.9">
      <c r="A1029" s="24"/>
      <c r="B1029" s="143"/>
      <c r="C1029" s="24"/>
      <c r="D1029" s="24"/>
      <c r="E1029" s="24"/>
      <c r="F1029" s="24"/>
      <c r="G1029" s="24"/>
      <c r="H1029" s="117"/>
      <c r="I1029" s="117"/>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row>
    <row r="1030" spans="1:31" ht="12.9">
      <c r="A1030" s="24"/>
      <c r="B1030" s="143"/>
      <c r="C1030" s="24"/>
      <c r="D1030" s="24"/>
      <c r="E1030" s="24"/>
      <c r="F1030" s="24"/>
      <c r="G1030" s="24"/>
      <c r="H1030" s="117"/>
      <c r="I1030" s="117"/>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row>
    <row r="1031" spans="1:31" ht="12.9">
      <c r="A1031" s="24"/>
      <c r="B1031" s="143"/>
      <c r="C1031" s="24"/>
      <c r="D1031" s="24"/>
      <c r="E1031" s="24"/>
      <c r="F1031" s="24"/>
      <c r="G1031" s="24"/>
      <c r="H1031" s="117"/>
      <c r="I1031" s="117"/>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row>
    <row r="1032" spans="1:31" ht="12.9">
      <c r="A1032" s="24"/>
      <c r="B1032" s="143"/>
      <c r="C1032" s="24"/>
      <c r="D1032" s="24"/>
      <c r="E1032" s="24"/>
      <c r="F1032" s="24"/>
      <c r="G1032" s="24"/>
      <c r="H1032" s="117"/>
      <c r="I1032" s="117"/>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row>
    <row r="1033" spans="1:31" ht="12.9">
      <c r="A1033" s="24"/>
      <c r="B1033" s="143"/>
      <c r="C1033" s="24"/>
      <c r="D1033" s="24"/>
      <c r="E1033" s="24"/>
      <c r="F1033" s="24"/>
      <c r="G1033" s="24"/>
      <c r="H1033" s="117"/>
      <c r="I1033" s="117"/>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row>
    <row r="1034" spans="1:31" ht="12.9">
      <c r="A1034" s="24"/>
      <c r="B1034" s="143"/>
      <c r="C1034" s="24"/>
      <c r="D1034" s="24"/>
      <c r="E1034" s="24"/>
      <c r="F1034" s="24"/>
      <c r="G1034" s="24"/>
      <c r="H1034" s="117"/>
      <c r="I1034" s="117"/>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row>
    <row r="1035" spans="1:31" ht="12.9">
      <c r="A1035" s="24"/>
      <c r="B1035" s="143"/>
      <c r="C1035" s="24"/>
      <c r="D1035" s="24"/>
      <c r="E1035" s="24"/>
      <c r="F1035" s="24"/>
      <c r="G1035" s="24"/>
      <c r="H1035" s="117"/>
      <c r="I1035" s="117"/>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row>
    <row r="1036" spans="1:31" ht="12.9">
      <c r="A1036" s="24"/>
      <c r="B1036" s="143"/>
      <c r="C1036" s="24"/>
      <c r="D1036" s="24"/>
      <c r="E1036" s="24"/>
      <c r="F1036" s="24"/>
      <c r="G1036" s="24"/>
      <c r="H1036" s="117"/>
      <c r="I1036" s="117"/>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E1036" s="24"/>
    </row>
    <row r="1037" spans="1:31" ht="12.9">
      <c r="A1037" s="24"/>
      <c r="B1037" s="143"/>
      <c r="C1037" s="24"/>
      <c r="D1037" s="24"/>
      <c r="E1037" s="24"/>
      <c r="F1037" s="24"/>
      <c r="G1037" s="24"/>
      <c r="H1037" s="117"/>
      <c r="I1037" s="117"/>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E1037" s="24"/>
    </row>
    <row r="1038" spans="1:31" ht="12.9">
      <c r="A1038" s="24"/>
      <c r="B1038" s="143"/>
      <c r="C1038" s="24"/>
      <c r="D1038" s="24"/>
      <c r="E1038" s="24"/>
      <c r="F1038" s="24"/>
      <c r="G1038" s="24"/>
      <c r="H1038" s="117"/>
      <c r="I1038" s="117"/>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row>
    <row r="1039" spans="1:31" ht="12.9">
      <c r="A1039" s="24"/>
      <c r="B1039" s="143"/>
      <c r="C1039" s="24"/>
      <c r="D1039" s="24"/>
      <c r="E1039" s="24"/>
      <c r="F1039" s="24"/>
      <c r="G1039" s="24"/>
      <c r="H1039" s="117"/>
      <c r="I1039" s="117"/>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row>
    <row r="1040" spans="1:31" ht="12.9">
      <c r="A1040" s="24"/>
      <c r="B1040" s="143"/>
      <c r="C1040" s="24"/>
      <c r="D1040" s="24"/>
      <c r="E1040" s="24"/>
      <c r="F1040" s="24"/>
      <c r="G1040" s="24"/>
      <c r="H1040" s="117"/>
      <c r="I1040" s="117"/>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E1040" s="24"/>
    </row>
    <row r="1041" spans="1:31" ht="12.9">
      <c r="A1041" s="24"/>
      <c r="B1041" s="143"/>
      <c r="C1041" s="24"/>
      <c r="D1041" s="24"/>
      <c r="E1041" s="24"/>
      <c r="F1041" s="24"/>
      <c r="G1041" s="24"/>
      <c r="H1041" s="117"/>
      <c r="I1041" s="117"/>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E1041" s="24"/>
    </row>
    <row r="1042" spans="1:31" ht="12.9">
      <c r="A1042" s="24"/>
      <c r="B1042" s="143"/>
      <c r="C1042" s="24"/>
      <c r="D1042" s="24"/>
      <c r="E1042" s="24"/>
      <c r="F1042" s="24"/>
      <c r="G1042" s="24"/>
      <c r="H1042" s="117"/>
      <c r="I1042" s="117"/>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row>
    <row r="1043" spans="1:31" ht="12.9">
      <c r="A1043" s="24"/>
      <c r="B1043" s="143"/>
      <c r="C1043" s="24"/>
      <c r="D1043" s="24"/>
      <c r="E1043" s="24"/>
      <c r="F1043" s="24"/>
      <c r="G1043" s="24"/>
      <c r="H1043" s="117"/>
      <c r="I1043" s="117"/>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E1043" s="24"/>
    </row>
    <row r="1044" spans="1:31" ht="12.9">
      <c r="A1044" s="24"/>
      <c r="B1044" s="143"/>
      <c r="C1044" s="24"/>
      <c r="D1044" s="24"/>
      <c r="E1044" s="24"/>
      <c r="F1044" s="24"/>
      <c r="G1044" s="24"/>
      <c r="H1044" s="117"/>
      <c r="I1044" s="117"/>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row>
    <row r="1045" spans="1:31" ht="12.9">
      <c r="A1045" s="24"/>
      <c r="B1045" s="143"/>
      <c r="C1045" s="24"/>
      <c r="D1045" s="24"/>
      <c r="E1045" s="24"/>
      <c r="F1045" s="24"/>
      <c r="G1045" s="24"/>
      <c r="H1045" s="117"/>
      <c r="I1045" s="117"/>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row>
    <row r="1046" spans="1:31" ht="12.9">
      <c r="A1046" s="24"/>
      <c r="B1046" s="143"/>
      <c r="C1046" s="24"/>
      <c r="D1046" s="24"/>
      <c r="E1046" s="24"/>
      <c r="F1046" s="24"/>
      <c r="G1046" s="24"/>
      <c r="H1046" s="117"/>
      <c r="I1046" s="117"/>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row>
    <row r="1047" spans="1:31" ht="12.9">
      <c r="A1047" s="24"/>
      <c r="B1047" s="143"/>
      <c r="C1047" s="24"/>
      <c r="D1047" s="24"/>
      <c r="E1047" s="24"/>
      <c r="F1047" s="24"/>
      <c r="G1047" s="24"/>
      <c r="H1047" s="117"/>
      <c r="I1047" s="117"/>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row>
    <row r="1048" spans="1:31" ht="12.9">
      <c r="A1048" s="24"/>
      <c r="B1048" s="143"/>
      <c r="C1048" s="24"/>
      <c r="D1048" s="24"/>
      <c r="E1048" s="24"/>
      <c r="F1048" s="24"/>
      <c r="G1048" s="24"/>
      <c r="H1048" s="117"/>
      <c r="I1048" s="117"/>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E1048" s="24"/>
    </row>
    <row r="1049" spans="1:31" ht="12.9">
      <c r="A1049" s="24"/>
      <c r="B1049" s="143"/>
      <c r="C1049" s="24"/>
      <c r="D1049" s="24"/>
      <c r="E1049" s="24"/>
      <c r="F1049" s="24"/>
      <c r="G1049" s="24"/>
      <c r="H1049" s="117"/>
      <c r="I1049" s="117"/>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row>
    <row r="1050" spans="1:31" ht="12.9">
      <c r="A1050" s="24"/>
      <c r="B1050" s="143"/>
      <c r="C1050" s="24"/>
      <c r="D1050" s="24"/>
      <c r="E1050" s="24"/>
      <c r="F1050" s="24"/>
      <c r="G1050" s="24"/>
      <c r="H1050" s="117"/>
      <c r="I1050" s="117"/>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E1050" s="24"/>
    </row>
    <row r="1051" spans="1:31" ht="12.9">
      <c r="A1051" s="24"/>
      <c r="B1051" s="143"/>
      <c r="C1051" s="24"/>
      <c r="D1051" s="24"/>
      <c r="E1051" s="24"/>
      <c r="F1051" s="24"/>
      <c r="G1051" s="24"/>
      <c r="H1051" s="117"/>
      <c r="I1051" s="117"/>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E1051" s="24"/>
    </row>
    <row r="1052" spans="1:31" ht="12.9">
      <c r="A1052" s="24"/>
      <c r="B1052" s="143"/>
      <c r="C1052" s="24"/>
      <c r="D1052" s="24"/>
      <c r="E1052" s="24"/>
      <c r="F1052" s="24"/>
      <c r="G1052" s="24"/>
      <c r="H1052" s="117"/>
      <c r="I1052" s="117"/>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E1052" s="24"/>
    </row>
    <row r="1053" spans="1:31" ht="12.9">
      <c r="A1053" s="24"/>
      <c r="B1053" s="143"/>
      <c r="C1053" s="24"/>
      <c r="D1053" s="24"/>
      <c r="E1053" s="24"/>
      <c r="F1053" s="24"/>
      <c r="G1053" s="24"/>
      <c r="H1053" s="117"/>
      <c r="I1053" s="117"/>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E1053" s="24"/>
    </row>
    <row r="1054" spans="1:31" ht="12.9">
      <c r="A1054" s="24"/>
      <c r="B1054" s="143"/>
      <c r="C1054" s="24"/>
      <c r="D1054" s="24"/>
      <c r="E1054" s="24"/>
      <c r="F1054" s="24"/>
      <c r="G1054" s="24"/>
      <c r="H1054" s="117"/>
      <c r="I1054" s="117"/>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row>
    <row r="1055" spans="1:31" ht="12.9">
      <c r="A1055" s="24"/>
      <c r="B1055" s="143"/>
      <c r="C1055" s="24"/>
      <c r="D1055" s="24"/>
      <c r="E1055" s="24"/>
      <c r="F1055" s="24"/>
      <c r="G1055" s="24"/>
      <c r="H1055" s="117"/>
      <c r="I1055" s="117"/>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row>
    <row r="1056" spans="1:31" ht="12.9">
      <c r="A1056" s="24"/>
      <c r="B1056" s="143"/>
      <c r="C1056" s="24"/>
      <c r="D1056" s="24"/>
      <c r="E1056" s="24"/>
      <c r="F1056" s="24"/>
      <c r="G1056" s="24"/>
      <c r="H1056" s="117"/>
      <c r="I1056" s="117"/>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row>
    <row r="1057" spans="1:31" ht="12.9">
      <c r="A1057" s="24"/>
      <c r="B1057" s="143"/>
      <c r="C1057" s="24"/>
      <c r="D1057" s="24"/>
      <c r="E1057" s="24"/>
      <c r="F1057" s="24"/>
      <c r="G1057" s="24"/>
      <c r="H1057" s="117"/>
      <c r="I1057" s="117"/>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row>
    <row r="1058" spans="1:31" ht="12.9">
      <c r="A1058" s="24"/>
      <c r="B1058" s="143"/>
      <c r="C1058" s="24"/>
      <c r="D1058" s="24"/>
      <c r="E1058" s="24"/>
      <c r="F1058" s="24"/>
      <c r="G1058" s="24"/>
      <c r="H1058" s="117"/>
      <c r="I1058" s="117"/>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row>
    <row r="1059" spans="1:31" ht="12.9">
      <c r="A1059" s="24"/>
      <c r="B1059" s="143"/>
      <c r="C1059" s="24"/>
      <c r="D1059" s="24"/>
      <c r="E1059" s="24"/>
      <c r="F1059" s="24"/>
      <c r="G1059" s="24"/>
      <c r="H1059" s="117"/>
      <c r="I1059" s="117"/>
      <c r="J1059" s="24"/>
      <c r="K1059" s="24"/>
      <c r="L1059" s="24"/>
      <c r="M1059" s="24"/>
      <c r="N1059" s="24"/>
      <c r="O1059" s="24"/>
      <c r="P1059" s="24"/>
      <c r="Q1059" s="24"/>
      <c r="R1059" s="24"/>
      <c r="S1059" s="24"/>
      <c r="T1059" s="24"/>
      <c r="U1059" s="24"/>
      <c r="V1059" s="24"/>
      <c r="W1059" s="24"/>
      <c r="X1059" s="24"/>
      <c r="Y1059" s="24"/>
      <c r="Z1059" s="24"/>
      <c r="AA1059" s="24"/>
      <c r="AB1059" s="24"/>
      <c r="AC1059" s="24"/>
      <c r="AD1059" s="24"/>
      <c r="AE1059" s="24"/>
    </row>
    <row r="1060" spans="1:31" ht="12.9">
      <c r="A1060" s="24"/>
      <c r="B1060" s="143"/>
      <c r="C1060" s="24"/>
      <c r="D1060" s="24"/>
      <c r="E1060" s="24"/>
      <c r="F1060" s="24"/>
      <c r="G1060" s="24"/>
      <c r="H1060" s="117"/>
      <c r="I1060" s="117"/>
      <c r="J1060" s="24"/>
      <c r="K1060" s="24"/>
      <c r="L1060" s="24"/>
      <c r="M1060" s="24"/>
      <c r="N1060" s="24"/>
      <c r="O1060" s="24"/>
      <c r="P1060" s="24"/>
      <c r="Q1060" s="24"/>
      <c r="R1060" s="24"/>
      <c r="S1060" s="24"/>
      <c r="T1060" s="24"/>
      <c r="U1060" s="24"/>
      <c r="V1060" s="24"/>
      <c r="W1060" s="24"/>
      <c r="X1060" s="24"/>
      <c r="Y1060" s="24"/>
      <c r="Z1060" s="24"/>
      <c r="AA1060" s="24"/>
      <c r="AB1060" s="24"/>
      <c r="AC1060" s="24"/>
      <c r="AD1060" s="24"/>
      <c r="AE1060" s="24"/>
    </row>
    <row r="1061" spans="1:31" ht="12.9">
      <c r="A1061" s="24"/>
      <c r="B1061" s="143"/>
      <c r="C1061" s="24"/>
      <c r="D1061" s="24"/>
      <c r="E1061" s="24"/>
      <c r="F1061" s="24"/>
      <c r="G1061" s="24"/>
      <c r="H1061" s="117"/>
      <c r="I1061" s="117"/>
      <c r="J1061" s="24"/>
      <c r="K1061" s="24"/>
      <c r="L1061" s="24"/>
      <c r="M1061" s="24"/>
      <c r="N1061" s="24"/>
      <c r="O1061" s="24"/>
      <c r="P1061" s="24"/>
      <c r="Q1061" s="24"/>
      <c r="R1061" s="24"/>
      <c r="S1061" s="24"/>
      <c r="T1061" s="24"/>
      <c r="U1061" s="24"/>
      <c r="V1061" s="24"/>
      <c r="W1061" s="24"/>
      <c r="X1061" s="24"/>
      <c r="Y1061" s="24"/>
      <c r="Z1061" s="24"/>
      <c r="AA1061" s="24"/>
      <c r="AB1061" s="24"/>
      <c r="AC1061" s="24"/>
      <c r="AD1061" s="24"/>
      <c r="AE1061" s="24"/>
    </row>
    <row r="1062" spans="1:31" ht="12.9">
      <c r="A1062" s="24"/>
      <c r="B1062" s="143"/>
      <c r="C1062" s="24"/>
      <c r="D1062" s="24"/>
      <c r="E1062" s="24"/>
      <c r="F1062" s="24"/>
      <c r="G1062" s="24"/>
      <c r="H1062" s="117"/>
      <c r="I1062" s="117"/>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row>
    <row r="1063" spans="1:31" ht="12.9">
      <c r="A1063" s="24"/>
      <c r="B1063" s="143"/>
      <c r="C1063" s="24"/>
      <c r="D1063" s="24"/>
      <c r="E1063" s="24"/>
      <c r="F1063" s="24"/>
      <c r="G1063" s="24"/>
      <c r="H1063" s="117"/>
      <c r="I1063" s="117"/>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row>
    <row r="1064" spans="1:31" ht="12.9">
      <c r="A1064" s="24"/>
      <c r="B1064" s="143"/>
      <c r="C1064" s="24"/>
      <c r="D1064" s="24"/>
      <c r="E1064" s="24"/>
      <c r="F1064" s="24"/>
      <c r="G1064" s="24"/>
      <c r="H1064" s="117"/>
      <c r="I1064" s="117"/>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E1064" s="24"/>
    </row>
    <row r="1065" spans="1:31" ht="12.9">
      <c r="A1065" s="24"/>
      <c r="B1065" s="143"/>
      <c r="C1065" s="24"/>
      <c r="D1065" s="24"/>
      <c r="E1065" s="24"/>
      <c r="F1065" s="24"/>
      <c r="G1065" s="24"/>
      <c r="H1065" s="117"/>
      <c r="I1065" s="117"/>
      <c r="J1065" s="24"/>
      <c r="K1065" s="24"/>
      <c r="L1065" s="24"/>
      <c r="M1065" s="24"/>
      <c r="N1065" s="24"/>
      <c r="O1065" s="24"/>
      <c r="P1065" s="24"/>
      <c r="Q1065" s="24"/>
      <c r="R1065" s="24"/>
      <c r="S1065" s="24"/>
      <c r="T1065" s="24"/>
      <c r="U1065" s="24"/>
      <c r="V1065" s="24"/>
      <c r="W1065" s="24"/>
      <c r="X1065" s="24"/>
      <c r="Y1065" s="24"/>
      <c r="Z1065" s="24"/>
      <c r="AA1065" s="24"/>
      <c r="AB1065" s="24"/>
      <c r="AC1065" s="24"/>
      <c r="AD1065" s="24"/>
      <c r="AE1065" s="24"/>
    </row>
    <row r="1066" spans="1:31" ht="12.9">
      <c r="A1066" s="24"/>
      <c r="B1066" s="143"/>
      <c r="C1066" s="24"/>
      <c r="D1066" s="24"/>
      <c r="E1066" s="24"/>
      <c r="F1066" s="24"/>
      <c r="G1066" s="24"/>
      <c r="H1066" s="117"/>
      <c r="I1066" s="117"/>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row>
    <row r="1067" spans="1:31" ht="12.9">
      <c r="A1067" s="24"/>
      <c r="B1067" s="143"/>
      <c r="C1067" s="24"/>
      <c r="D1067" s="24"/>
      <c r="E1067" s="24"/>
      <c r="F1067" s="24"/>
      <c r="G1067" s="24"/>
      <c r="H1067" s="117"/>
      <c r="I1067" s="117"/>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row>
    <row r="1068" spans="1:31" ht="12.9">
      <c r="A1068" s="24"/>
      <c r="B1068" s="143"/>
      <c r="C1068" s="24"/>
      <c r="D1068" s="24"/>
      <c r="E1068" s="24"/>
      <c r="F1068" s="24"/>
      <c r="G1068" s="24"/>
      <c r="H1068" s="117"/>
      <c r="I1068" s="117"/>
      <c r="J1068" s="24"/>
      <c r="K1068" s="24"/>
      <c r="L1068" s="24"/>
      <c r="M1068" s="24"/>
      <c r="N1068" s="24"/>
      <c r="O1068" s="24"/>
      <c r="P1068" s="24"/>
      <c r="Q1068" s="24"/>
      <c r="R1068" s="24"/>
      <c r="S1068" s="24"/>
      <c r="T1068" s="24"/>
      <c r="U1068" s="24"/>
      <c r="V1068" s="24"/>
      <c r="W1068" s="24"/>
      <c r="X1068" s="24"/>
      <c r="Y1068" s="24"/>
      <c r="Z1068" s="24"/>
      <c r="AA1068" s="24"/>
      <c r="AB1068" s="24"/>
      <c r="AC1068" s="24"/>
      <c r="AD1068" s="24"/>
      <c r="AE1068" s="24"/>
    </row>
    <row r="1069" spans="1:31" ht="12.9">
      <c r="A1069" s="24"/>
      <c r="B1069" s="143"/>
      <c r="C1069" s="24"/>
      <c r="D1069" s="24"/>
      <c r="E1069" s="24"/>
      <c r="F1069" s="24"/>
      <c r="G1069" s="24"/>
      <c r="H1069" s="117"/>
      <c r="I1069" s="117"/>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row>
    <row r="1070" spans="1:31" ht="12.9">
      <c r="A1070" s="24"/>
      <c r="B1070" s="143"/>
      <c r="C1070" s="24"/>
      <c r="D1070" s="24"/>
      <c r="E1070" s="24"/>
      <c r="F1070" s="24"/>
      <c r="G1070" s="24"/>
      <c r="H1070" s="117"/>
      <c r="I1070" s="117"/>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row>
    <row r="1071" spans="1:31" ht="12.9">
      <c r="A1071" s="24"/>
      <c r="B1071" s="143"/>
      <c r="C1071" s="24"/>
      <c r="D1071" s="24"/>
      <c r="E1071" s="24"/>
      <c r="F1071" s="24"/>
      <c r="G1071" s="24"/>
      <c r="H1071" s="117"/>
      <c r="I1071" s="117"/>
      <c r="J1071" s="24"/>
      <c r="K1071" s="24"/>
      <c r="L1071" s="24"/>
      <c r="M1071" s="24"/>
      <c r="N1071" s="24"/>
      <c r="O1071" s="24"/>
      <c r="P1071" s="24"/>
      <c r="Q1071" s="24"/>
      <c r="R1071" s="24"/>
      <c r="S1071" s="24"/>
      <c r="T1071" s="24"/>
      <c r="U1071" s="24"/>
      <c r="V1071" s="24"/>
      <c r="W1071" s="24"/>
      <c r="X1071" s="24"/>
      <c r="Y1071" s="24"/>
      <c r="Z1071" s="24"/>
      <c r="AA1071" s="24"/>
      <c r="AB1071" s="24"/>
      <c r="AC1071" s="24"/>
      <c r="AD1071" s="24"/>
      <c r="AE1071" s="24"/>
    </row>
    <row r="1072" spans="1:31" ht="12.9">
      <c r="A1072" s="24"/>
      <c r="B1072" s="143"/>
      <c r="C1072" s="24"/>
      <c r="D1072" s="24"/>
      <c r="E1072" s="24"/>
      <c r="F1072" s="24"/>
      <c r="G1072" s="24"/>
      <c r="H1072" s="117"/>
      <c r="I1072" s="117"/>
      <c r="J1072" s="24"/>
      <c r="K1072" s="24"/>
      <c r="L1072" s="24"/>
      <c r="M1072" s="24"/>
      <c r="N1072" s="24"/>
      <c r="O1072" s="24"/>
      <c r="P1072" s="24"/>
      <c r="Q1072" s="24"/>
      <c r="R1072" s="24"/>
      <c r="S1072" s="24"/>
      <c r="T1072" s="24"/>
      <c r="U1072" s="24"/>
      <c r="V1072" s="24"/>
      <c r="W1072" s="24"/>
      <c r="X1072" s="24"/>
      <c r="Y1072" s="24"/>
      <c r="Z1072" s="24"/>
      <c r="AA1072" s="24"/>
      <c r="AB1072" s="24"/>
      <c r="AC1072" s="24"/>
      <c r="AD1072" s="24"/>
      <c r="AE1072" s="24"/>
    </row>
    <row r="1073" spans="1:31" ht="12.9">
      <c r="A1073" s="24"/>
      <c r="B1073" s="143"/>
      <c r="C1073" s="24"/>
      <c r="D1073" s="24"/>
      <c r="E1073" s="24"/>
      <c r="F1073" s="24"/>
      <c r="G1073" s="24"/>
      <c r="H1073" s="117"/>
      <c r="I1073" s="117"/>
      <c r="J1073" s="24"/>
      <c r="K1073" s="24"/>
      <c r="L1073" s="24"/>
      <c r="M1073" s="24"/>
      <c r="N1073" s="24"/>
      <c r="O1073" s="24"/>
      <c r="P1073" s="24"/>
      <c r="Q1073" s="24"/>
      <c r="R1073" s="24"/>
      <c r="S1073" s="24"/>
      <c r="T1073" s="24"/>
      <c r="U1073" s="24"/>
      <c r="V1073" s="24"/>
      <c r="W1073" s="24"/>
      <c r="X1073" s="24"/>
      <c r="Y1073" s="24"/>
      <c r="Z1073" s="24"/>
      <c r="AA1073" s="24"/>
      <c r="AB1073" s="24"/>
      <c r="AC1073" s="24"/>
      <c r="AD1073" s="24"/>
      <c r="AE1073" s="24"/>
    </row>
    <row r="1074" spans="1:31" ht="12.9">
      <c r="A1074" s="24"/>
      <c r="B1074" s="143"/>
      <c r="C1074" s="24"/>
      <c r="D1074" s="24"/>
      <c r="E1074" s="24"/>
      <c r="F1074" s="24"/>
      <c r="G1074" s="24"/>
      <c r="H1074" s="117"/>
      <c r="I1074" s="117"/>
      <c r="J1074" s="24"/>
      <c r="K1074" s="24"/>
      <c r="L1074" s="24"/>
      <c r="M1074" s="24"/>
      <c r="N1074" s="24"/>
      <c r="O1074" s="24"/>
      <c r="P1074" s="24"/>
      <c r="Q1074" s="24"/>
      <c r="R1074" s="24"/>
      <c r="S1074" s="24"/>
      <c r="T1074" s="24"/>
      <c r="U1074" s="24"/>
      <c r="V1074" s="24"/>
      <c r="W1074" s="24"/>
      <c r="X1074" s="24"/>
      <c r="Y1074" s="24"/>
      <c r="Z1074" s="24"/>
      <c r="AA1074" s="24"/>
      <c r="AB1074" s="24"/>
      <c r="AC1074" s="24"/>
      <c r="AD1074" s="24"/>
      <c r="AE1074" s="24"/>
    </row>
    <row r="1075" spans="1:31" ht="12.9">
      <c r="A1075" s="24"/>
      <c r="B1075" s="143"/>
      <c r="C1075" s="24"/>
      <c r="D1075" s="24"/>
      <c r="E1075" s="24"/>
      <c r="F1075" s="24"/>
      <c r="G1075" s="24"/>
      <c r="H1075" s="117"/>
      <c r="I1075" s="117"/>
      <c r="J1075" s="24"/>
      <c r="K1075" s="24"/>
      <c r="L1075" s="24"/>
      <c r="M1075" s="24"/>
      <c r="N1075" s="24"/>
      <c r="O1075" s="24"/>
      <c r="P1075" s="24"/>
      <c r="Q1075" s="24"/>
      <c r="R1075" s="24"/>
      <c r="S1075" s="24"/>
      <c r="T1075" s="24"/>
      <c r="U1075" s="24"/>
      <c r="V1075" s="24"/>
      <c r="W1075" s="24"/>
      <c r="X1075" s="24"/>
      <c r="Y1075" s="24"/>
      <c r="Z1075" s="24"/>
      <c r="AA1075" s="24"/>
      <c r="AB1075" s="24"/>
      <c r="AC1075" s="24"/>
      <c r="AD1075" s="24"/>
      <c r="AE1075" s="24"/>
    </row>
    <row r="1076" spans="1:31" ht="12.9">
      <c r="A1076" s="24"/>
      <c r="B1076" s="143"/>
      <c r="C1076" s="24"/>
      <c r="D1076" s="24"/>
      <c r="E1076" s="24"/>
      <c r="F1076" s="24"/>
      <c r="G1076" s="24"/>
      <c r="H1076" s="117"/>
      <c r="I1076" s="117"/>
      <c r="J1076" s="24"/>
      <c r="K1076" s="24"/>
      <c r="L1076" s="24"/>
      <c r="M1076" s="24"/>
      <c r="N1076" s="24"/>
      <c r="O1076" s="24"/>
      <c r="P1076" s="24"/>
      <c r="Q1076" s="24"/>
      <c r="R1076" s="24"/>
      <c r="S1076" s="24"/>
      <c r="T1076" s="24"/>
      <c r="U1076" s="24"/>
      <c r="V1076" s="24"/>
      <c r="W1076" s="24"/>
      <c r="X1076" s="24"/>
      <c r="Y1076" s="24"/>
      <c r="Z1076" s="24"/>
      <c r="AA1076" s="24"/>
      <c r="AB1076" s="24"/>
      <c r="AC1076" s="24"/>
      <c r="AD1076" s="24"/>
      <c r="AE1076" s="24"/>
    </row>
    <row r="1077" spans="1:31" ht="12.9">
      <c r="A1077" s="24"/>
      <c r="B1077" s="143"/>
      <c r="C1077" s="24"/>
      <c r="D1077" s="24"/>
      <c r="E1077" s="24"/>
      <c r="F1077" s="24"/>
      <c r="G1077" s="24"/>
      <c r="H1077" s="117"/>
      <c r="I1077" s="117"/>
      <c r="J1077" s="24"/>
      <c r="K1077" s="24"/>
      <c r="L1077" s="24"/>
      <c r="M1077" s="24"/>
      <c r="N1077" s="24"/>
      <c r="O1077" s="24"/>
      <c r="P1077" s="24"/>
      <c r="Q1077" s="24"/>
      <c r="R1077" s="24"/>
      <c r="S1077" s="24"/>
      <c r="T1077" s="24"/>
      <c r="U1077" s="24"/>
      <c r="V1077" s="24"/>
      <c r="W1077" s="24"/>
      <c r="X1077" s="24"/>
      <c r="Y1077" s="24"/>
      <c r="Z1077" s="24"/>
      <c r="AA1077" s="24"/>
      <c r="AB1077" s="24"/>
      <c r="AC1077" s="24"/>
      <c r="AD1077" s="24"/>
      <c r="AE1077" s="24"/>
    </row>
    <row r="1078" spans="1:31" ht="12.9">
      <c r="A1078" s="24"/>
      <c r="B1078" s="143"/>
      <c r="C1078" s="24"/>
      <c r="D1078" s="24"/>
      <c r="E1078" s="24"/>
      <c r="F1078" s="24"/>
      <c r="G1078" s="24"/>
      <c r="H1078" s="117"/>
      <c r="I1078" s="117"/>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row>
    <row r="1079" spans="1:31" ht="12.9">
      <c r="A1079" s="24"/>
      <c r="B1079" s="143"/>
      <c r="C1079" s="24"/>
      <c r="D1079" s="24"/>
      <c r="E1079" s="24"/>
      <c r="F1079" s="24"/>
      <c r="G1079" s="24"/>
      <c r="H1079" s="117"/>
      <c r="I1079" s="117"/>
      <c r="J1079" s="24"/>
      <c r="K1079" s="24"/>
      <c r="L1079" s="24"/>
      <c r="M1079" s="24"/>
      <c r="N1079" s="24"/>
      <c r="O1079" s="24"/>
      <c r="P1079" s="24"/>
      <c r="Q1079" s="24"/>
      <c r="R1079" s="24"/>
      <c r="S1079" s="24"/>
      <c r="T1079" s="24"/>
      <c r="U1079" s="24"/>
      <c r="V1079" s="24"/>
      <c r="W1079" s="24"/>
      <c r="X1079" s="24"/>
      <c r="Y1079" s="24"/>
      <c r="Z1079" s="24"/>
      <c r="AA1079" s="24"/>
      <c r="AB1079" s="24"/>
      <c r="AC1079" s="24"/>
      <c r="AD1079" s="24"/>
      <c r="AE1079" s="24"/>
    </row>
    <row r="1080" spans="1:31" ht="12.9">
      <c r="A1080" s="24"/>
      <c r="B1080" s="143"/>
      <c r="C1080" s="24"/>
      <c r="D1080" s="24"/>
      <c r="E1080" s="24"/>
      <c r="F1080" s="24"/>
      <c r="G1080" s="24"/>
      <c r="H1080" s="117"/>
      <c r="I1080" s="117"/>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E1080" s="24"/>
    </row>
    <row r="1081" spans="1:31" ht="12.9">
      <c r="A1081" s="24"/>
      <c r="B1081" s="143"/>
      <c r="C1081" s="24"/>
      <c r="D1081" s="24"/>
      <c r="E1081" s="24"/>
      <c r="F1081" s="24"/>
      <c r="G1081" s="24"/>
      <c r="H1081" s="117"/>
      <c r="I1081" s="117"/>
      <c r="J1081" s="24"/>
      <c r="K1081" s="24"/>
      <c r="L1081" s="24"/>
      <c r="M1081" s="24"/>
      <c r="N1081" s="24"/>
      <c r="O1081" s="24"/>
      <c r="P1081" s="24"/>
      <c r="Q1081" s="24"/>
      <c r="R1081" s="24"/>
      <c r="S1081" s="24"/>
      <c r="T1081" s="24"/>
      <c r="U1081" s="24"/>
      <c r="V1081" s="24"/>
      <c r="W1081" s="24"/>
      <c r="X1081" s="24"/>
      <c r="Y1081" s="24"/>
      <c r="Z1081" s="24"/>
      <c r="AA1081" s="24"/>
      <c r="AB1081" s="24"/>
      <c r="AC1081" s="24"/>
      <c r="AD1081" s="24"/>
      <c r="AE1081" s="24"/>
    </row>
    <row r="1082" spans="1:31" ht="12.9">
      <c r="A1082" s="24"/>
      <c r="B1082" s="143"/>
      <c r="C1082" s="24"/>
      <c r="D1082" s="24"/>
      <c r="E1082" s="24"/>
      <c r="F1082" s="24"/>
      <c r="G1082" s="24"/>
      <c r="H1082" s="117"/>
      <c r="I1082" s="117"/>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E1082" s="24"/>
    </row>
    <row r="1083" spans="1:31" ht="12.9">
      <c r="A1083" s="24"/>
      <c r="B1083" s="143"/>
      <c r="C1083" s="24"/>
      <c r="D1083" s="24"/>
      <c r="E1083" s="24"/>
      <c r="F1083" s="24"/>
      <c r="G1083" s="24"/>
      <c r="H1083" s="117"/>
      <c r="I1083" s="117"/>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E1083" s="24"/>
    </row>
    <row r="1084" spans="1:31" ht="12.9">
      <c r="A1084" s="24"/>
      <c r="B1084" s="143"/>
      <c r="C1084" s="24"/>
      <c r="D1084" s="24"/>
      <c r="E1084" s="24"/>
      <c r="F1084" s="24"/>
      <c r="G1084" s="24"/>
      <c r="H1084" s="117"/>
      <c r="I1084" s="117"/>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E1084" s="24"/>
    </row>
    <row r="1085" spans="1:31" ht="12.9">
      <c r="A1085" s="24"/>
      <c r="B1085" s="143"/>
      <c r="C1085" s="24"/>
      <c r="D1085" s="24"/>
      <c r="E1085" s="24"/>
      <c r="F1085" s="24"/>
      <c r="G1085" s="24"/>
      <c r="H1085" s="117"/>
      <c r="I1085" s="117"/>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row>
    <row r="1086" spans="1:31" ht="12.9">
      <c r="A1086" s="24"/>
      <c r="B1086" s="143"/>
      <c r="C1086" s="24"/>
      <c r="D1086" s="24"/>
      <c r="E1086" s="24"/>
      <c r="F1086" s="24"/>
      <c r="G1086" s="24"/>
      <c r="H1086" s="117"/>
      <c r="I1086" s="117"/>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row>
    <row r="1087" spans="1:31" ht="12.9">
      <c r="A1087" s="24"/>
      <c r="B1087" s="143"/>
      <c r="C1087" s="24"/>
      <c r="D1087" s="24"/>
      <c r="E1087" s="24"/>
      <c r="F1087" s="24"/>
      <c r="G1087" s="24"/>
      <c r="H1087" s="117"/>
      <c r="I1087" s="117"/>
      <c r="J1087" s="24"/>
      <c r="K1087" s="24"/>
      <c r="L1087" s="24"/>
      <c r="M1087" s="24"/>
      <c r="N1087" s="24"/>
      <c r="O1087" s="24"/>
      <c r="P1087" s="24"/>
      <c r="Q1087" s="24"/>
      <c r="R1087" s="24"/>
      <c r="S1087" s="24"/>
      <c r="T1087" s="24"/>
      <c r="U1087" s="24"/>
      <c r="V1087" s="24"/>
      <c r="W1087" s="24"/>
      <c r="X1087" s="24"/>
      <c r="Y1087" s="24"/>
      <c r="Z1087" s="24"/>
      <c r="AA1087" s="24"/>
      <c r="AB1087" s="24"/>
      <c r="AC1087" s="24"/>
      <c r="AD1087" s="24"/>
      <c r="AE1087" s="24"/>
    </row>
    <row r="1088" spans="1:31" ht="12.9">
      <c r="A1088" s="24"/>
      <c r="B1088" s="143"/>
      <c r="C1088" s="24"/>
      <c r="D1088" s="24"/>
      <c r="E1088" s="24"/>
      <c r="F1088" s="24"/>
      <c r="G1088" s="24"/>
      <c r="H1088" s="117"/>
      <c r="I1088" s="117"/>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row>
    <row r="1089" spans="1:31" ht="12.9">
      <c r="A1089" s="24"/>
      <c r="B1089" s="143"/>
      <c r="C1089" s="24"/>
      <c r="D1089" s="24"/>
      <c r="E1089" s="24"/>
      <c r="F1089" s="24"/>
      <c r="G1089" s="24"/>
      <c r="H1089" s="117"/>
      <c r="I1089" s="117"/>
      <c r="J1089" s="24"/>
      <c r="K1089" s="24"/>
      <c r="L1089" s="24"/>
      <c r="M1089" s="24"/>
      <c r="N1089" s="24"/>
      <c r="O1089" s="24"/>
      <c r="P1089" s="24"/>
      <c r="Q1089" s="24"/>
      <c r="R1089" s="24"/>
      <c r="S1089" s="24"/>
      <c r="T1089" s="24"/>
      <c r="U1089" s="24"/>
      <c r="V1089" s="24"/>
      <c r="W1089" s="24"/>
      <c r="X1089" s="24"/>
      <c r="Y1089" s="24"/>
      <c r="Z1089" s="24"/>
      <c r="AA1089" s="24"/>
      <c r="AB1089" s="24"/>
      <c r="AC1089" s="24"/>
      <c r="AD1089" s="24"/>
      <c r="AE1089" s="24"/>
    </row>
    <row r="1090" spans="1:31" ht="12.9">
      <c r="A1090" s="24"/>
      <c r="B1090" s="143"/>
      <c r="C1090" s="24"/>
      <c r="D1090" s="24"/>
      <c r="E1090" s="24"/>
      <c r="F1090" s="24"/>
      <c r="G1090" s="24"/>
      <c r="H1090" s="117"/>
      <c r="I1090" s="117"/>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E1090" s="24"/>
    </row>
    <row r="1091" spans="1:31" ht="12.9">
      <c r="A1091" s="24"/>
      <c r="B1091" s="143"/>
      <c r="C1091" s="24"/>
      <c r="D1091" s="24"/>
      <c r="E1091" s="24"/>
      <c r="F1091" s="24"/>
      <c r="G1091" s="24"/>
      <c r="H1091" s="117"/>
      <c r="I1091" s="117"/>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row>
    <row r="1092" spans="1:31" ht="12.9">
      <c r="A1092" s="24"/>
      <c r="B1092" s="143"/>
      <c r="C1092" s="24"/>
      <c r="D1092" s="24"/>
      <c r="E1092" s="24"/>
      <c r="F1092" s="24"/>
      <c r="G1092" s="24"/>
      <c r="H1092" s="117"/>
      <c r="I1092" s="117"/>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row>
    <row r="1093" spans="1:31" ht="12.9">
      <c r="A1093" s="24"/>
      <c r="B1093" s="143"/>
      <c r="C1093" s="24"/>
      <c r="D1093" s="24"/>
      <c r="E1093" s="24"/>
      <c r="F1093" s="24"/>
      <c r="G1093" s="24"/>
      <c r="H1093" s="117"/>
      <c r="I1093" s="117"/>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row>
    <row r="1094" spans="1:31" ht="12.9">
      <c r="A1094" s="24"/>
      <c r="B1094" s="143"/>
      <c r="C1094" s="24"/>
      <c r="D1094" s="24"/>
      <c r="E1094" s="24"/>
      <c r="F1094" s="24"/>
      <c r="G1094" s="24"/>
      <c r="H1094" s="117"/>
      <c r="I1094" s="117"/>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row>
    <row r="1095" spans="1:31" ht="12.9">
      <c r="A1095" s="24"/>
      <c r="B1095" s="143"/>
      <c r="C1095" s="24"/>
      <c r="D1095" s="24"/>
      <c r="E1095" s="24"/>
      <c r="F1095" s="24"/>
      <c r="G1095" s="24"/>
      <c r="H1095" s="117"/>
      <c r="I1095" s="117"/>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row>
    <row r="1096" spans="1:31" ht="12.9">
      <c r="A1096" s="24"/>
      <c r="B1096" s="143"/>
      <c r="C1096" s="24"/>
      <c r="D1096" s="24"/>
      <c r="E1096" s="24"/>
      <c r="F1096" s="24"/>
      <c r="G1096" s="24"/>
      <c r="H1096" s="117"/>
      <c r="I1096" s="117"/>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E1096" s="24"/>
    </row>
    <row r="1097" spans="1:31" ht="12.9">
      <c r="A1097" s="24"/>
      <c r="B1097" s="143"/>
      <c r="C1097" s="24"/>
      <c r="D1097" s="24"/>
      <c r="E1097" s="24"/>
      <c r="F1097" s="24"/>
      <c r="G1097" s="24"/>
      <c r="H1097" s="117"/>
      <c r="I1097" s="117"/>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row>
    <row r="1098" spans="1:31" ht="12.9">
      <c r="A1098" s="24"/>
      <c r="B1098" s="143"/>
      <c r="C1098" s="24"/>
      <c r="D1098" s="24"/>
      <c r="E1098" s="24"/>
      <c r="F1098" s="24"/>
      <c r="G1098" s="24"/>
      <c r="H1098" s="117"/>
      <c r="I1098" s="117"/>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row>
    <row r="1099" spans="1:31" ht="12.9">
      <c r="A1099" s="24"/>
      <c r="B1099" s="143"/>
      <c r="C1099" s="24"/>
      <c r="D1099" s="24"/>
      <c r="E1099" s="24"/>
      <c r="F1099" s="24"/>
      <c r="G1099" s="24"/>
      <c r="H1099" s="117"/>
      <c r="I1099" s="117"/>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E1099" s="24"/>
    </row>
    <row r="1100" spans="1:31" ht="12.9">
      <c r="A1100" s="24"/>
      <c r="B1100" s="143"/>
      <c r="C1100" s="24"/>
      <c r="D1100" s="24"/>
      <c r="E1100" s="24"/>
      <c r="F1100" s="24"/>
      <c r="G1100" s="24"/>
      <c r="H1100" s="117"/>
      <c r="I1100" s="117"/>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E1100" s="24"/>
    </row>
    <row r="1101" spans="1:31" ht="12.9">
      <c r="A1101" s="24"/>
      <c r="B1101" s="143"/>
      <c r="C1101" s="24"/>
      <c r="D1101" s="24"/>
      <c r="E1101" s="24"/>
      <c r="F1101" s="24"/>
      <c r="G1101" s="24"/>
      <c r="H1101" s="117"/>
      <c r="I1101" s="117"/>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E1101" s="24"/>
    </row>
    <row r="1102" spans="1:31" ht="12.9">
      <c r="A1102" s="24"/>
      <c r="B1102" s="143"/>
      <c r="C1102" s="24"/>
      <c r="D1102" s="24"/>
      <c r="E1102" s="24"/>
      <c r="F1102" s="24"/>
      <c r="G1102" s="24"/>
      <c r="H1102" s="117"/>
      <c r="I1102" s="117"/>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row>
    <row r="1103" spans="1:31" ht="12.9">
      <c r="A1103" s="24"/>
      <c r="B1103" s="143"/>
      <c r="C1103" s="24"/>
      <c r="D1103" s="24"/>
      <c r="E1103" s="24"/>
      <c r="F1103" s="24"/>
      <c r="G1103" s="24"/>
      <c r="H1103" s="117"/>
      <c r="I1103" s="117"/>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E1103" s="24"/>
    </row>
    <row r="1104" spans="1:31" ht="12.9">
      <c r="A1104" s="24"/>
      <c r="B1104" s="143"/>
      <c r="C1104" s="24"/>
      <c r="D1104" s="24"/>
      <c r="E1104" s="24"/>
      <c r="F1104" s="24"/>
      <c r="G1104" s="24"/>
      <c r="H1104" s="117"/>
      <c r="I1104" s="117"/>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E1104" s="24"/>
    </row>
    <row r="1105" spans="1:31" ht="12.9">
      <c r="A1105" s="24"/>
      <c r="B1105" s="143"/>
      <c r="C1105" s="24"/>
      <c r="D1105" s="24"/>
      <c r="E1105" s="24"/>
      <c r="F1105" s="24"/>
      <c r="G1105" s="24"/>
      <c r="H1105" s="117"/>
      <c r="I1105" s="117"/>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row>
    <row r="1106" spans="1:31" ht="12.9">
      <c r="A1106" s="24"/>
      <c r="B1106" s="143"/>
      <c r="C1106" s="24"/>
      <c r="D1106" s="24"/>
      <c r="E1106" s="24"/>
      <c r="F1106" s="24"/>
      <c r="G1106" s="24"/>
      <c r="H1106" s="117"/>
      <c r="I1106" s="117"/>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E1106" s="24"/>
    </row>
    <row r="1107" spans="1:31" ht="12.9">
      <c r="A1107" s="24"/>
      <c r="B1107" s="143"/>
      <c r="C1107" s="24"/>
      <c r="D1107" s="24"/>
      <c r="E1107" s="24"/>
      <c r="F1107" s="24"/>
      <c r="G1107" s="24"/>
      <c r="H1107" s="117"/>
      <c r="I1107" s="117"/>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E1107" s="24"/>
    </row>
    <row r="1108" spans="1:31" ht="12.9">
      <c r="A1108" s="24"/>
      <c r="B1108" s="143"/>
      <c r="C1108" s="24"/>
      <c r="D1108" s="24"/>
      <c r="E1108" s="24"/>
      <c r="F1108" s="24"/>
      <c r="G1108" s="24"/>
      <c r="H1108" s="117"/>
      <c r="I1108" s="117"/>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E1108" s="24"/>
    </row>
    <row r="1109" spans="1:31" ht="12.9">
      <c r="A1109" s="24"/>
      <c r="B1109" s="143"/>
      <c r="C1109" s="24"/>
      <c r="D1109" s="24"/>
      <c r="E1109" s="24"/>
      <c r="F1109" s="24"/>
      <c r="G1109" s="24"/>
      <c r="H1109" s="117"/>
      <c r="I1109" s="117"/>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E1109" s="24"/>
    </row>
    <row r="1110" spans="1:31" ht="12.9">
      <c r="A1110" s="24"/>
      <c r="B1110" s="143"/>
      <c r="C1110" s="24"/>
      <c r="D1110" s="24"/>
      <c r="E1110" s="24"/>
      <c r="F1110" s="24"/>
      <c r="G1110" s="24"/>
      <c r="H1110" s="117"/>
      <c r="I1110" s="117"/>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row>
    <row r="1111" spans="1:31" ht="12.9">
      <c r="A1111" s="24"/>
      <c r="B1111" s="143"/>
      <c r="C1111" s="24"/>
      <c r="D1111" s="24"/>
      <c r="E1111" s="24"/>
      <c r="F1111" s="24"/>
      <c r="G1111" s="24"/>
      <c r="H1111" s="117"/>
      <c r="I1111" s="117"/>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row>
    <row r="1112" spans="1:31" ht="12.9">
      <c r="A1112" s="24"/>
      <c r="B1112" s="143"/>
      <c r="C1112" s="24"/>
      <c r="D1112" s="24"/>
      <c r="E1112" s="24"/>
      <c r="F1112" s="24"/>
      <c r="G1112" s="24"/>
      <c r="H1112" s="117"/>
      <c r="I1112" s="117"/>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E1112" s="24"/>
    </row>
    <row r="1113" spans="1:31" ht="12.9">
      <c r="A1113" s="24"/>
      <c r="B1113" s="143"/>
      <c r="C1113" s="24"/>
      <c r="D1113" s="24"/>
      <c r="E1113" s="24"/>
      <c r="F1113" s="24"/>
      <c r="G1113" s="24"/>
      <c r="H1113" s="117"/>
      <c r="I1113" s="117"/>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row>
    <row r="1114" spans="1:31" ht="12.9">
      <c r="A1114" s="24"/>
      <c r="B1114" s="143"/>
      <c r="C1114" s="24"/>
      <c r="D1114" s="24"/>
      <c r="E1114" s="24"/>
      <c r="F1114" s="24"/>
      <c r="G1114" s="24"/>
      <c r="H1114" s="117"/>
      <c r="I1114" s="117"/>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row>
    <row r="1115" spans="1:31" ht="12.9">
      <c r="A1115" s="24"/>
      <c r="B1115" s="143"/>
      <c r="C1115" s="24"/>
      <c r="D1115" s="24"/>
      <c r="E1115" s="24"/>
      <c r="F1115" s="24"/>
      <c r="G1115" s="24"/>
      <c r="H1115" s="117"/>
      <c r="I1115" s="117"/>
      <c r="J1115" s="24"/>
      <c r="K1115" s="24"/>
      <c r="L1115" s="24"/>
      <c r="M1115" s="24"/>
      <c r="N1115" s="24"/>
      <c r="O1115" s="24"/>
      <c r="P1115" s="24"/>
      <c r="Q1115" s="24"/>
      <c r="R1115" s="24"/>
      <c r="S1115" s="24"/>
      <c r="T1115" s="24"/>
      <c r="U1115" s="24"/>
      <c r="V1115" s="24"/>
      <c r="W1115" s="24"/>
      <c r="X1115" s="24"/>
      <c r="Y1115" s="24"/>
      <c r="Z1115" s="24"/>
      <c r="AA1115" s="24"/>
      <c r="AB1115" s="24"/>
      <c r="AC1115" s="24"/>
      <c r="AD1115" s="24"/>
      <c r="AE1115" s="24"/>
    </row>
    <row r="1116" spans="1:31" ht="12.9">
      <c r="A1116" s="24"/>
      <c r="B1116" s="143"/>
      <c r="C1116" s="24"/>
      <c r="D1116" s="24"/>
      <c r="E1116" s="24"/>
      <c r="F1116" s="24"/>
      <c r="G1116" s="24"/>
      <c r="H1116" s="117"/>
      <c r="I1116" s="117"/>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E1116" s="24"/>
    </row>
    <row r="1117" spans="1:31" ht="12.9">
      <c r="A1117" s="24"/>
      <c r="B1117" s="143"/>
      <c r="C1117" s="24"/>
      <c r="D1117" s="24"/>
      <c r="E1117" s="24"/>
      <c r="F1117" s="24"/>
      <c r="G1117" s="24"/>
      <c r="H1117" s="117"/>
      <c r="I1117" s="117"/>
      <c r="J1117" s="24"/>
      <c r="K1117" s="24"/>
      <c r="L1117" s="24"/>
      <c r="M1117" s="24"/>
      <c r="N1117" s="24"/>
      <c r="O1117" s="24"/>
      <c r="P1117" s="24"/>
      <c r="Q1117" s="24"/>
      <c r="R1117" s="24"/>
      <c r="S1117" s="24"/>
      <c r="T1117" s="24"/>
      <c r="U1117" s="24"/>
      <c r="V1117" s="24"/>
      <c r="W1117" s="24"/>
      <c r="X1117" s="24"/>
      <c r="Y1117" s="24"/>
      <c r="Z1117" s="24"/>
      <c r="AA1117" s="24"/>
      <c r="AB1117" s="24"/>
      <c r="AC1117" s="24"/>
      <c r="AD1117" s="24"/>
      <c r="AE1117" s="24"/>
    </row>
    <row r="1118" spans="1:31" ht="12.9">
      <c r="A1118" s="24"/>
      <c r="B1118" s="143"/>
      <c r="C1118" s="24"/>
      <c r="D1118" s="24"/>
      <c r="E1118" s="24"/>
      <c r="F1118" s="24"/>
      <c r="G1118" s="24"/>
      <c r="H1118" s="117"/>
      <c r="I1118" s="117"/>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row>
    <row r="1119" spans="1:31" ht="12.9">
      <c r="A1119" s="24"/>
      <c r="B1119" s="143"/>
      <c r="C1119" s="24"/>
      <c r="D1119" s="24"/>
      <c r="E1119" s="24"/>
      <c r="F1119" s="24"/>
      <c r="G1119" s="24"/>
      <c r="H1119" s="117"/>
      <c r="I1119" s="117"/>
      <c r="J1119" s="24"/>
      <c r="K1119" s="24"/>
      <c r="L1119" s="24"/>
      <c r="M1119" s="24"/>
      <c r="N1119" s="24"/>
      <c r="O1119" s="24"/>
      <c r="P1119" s="24"/>
      <c r="Q1119" s="24"/>
      <c r="R1119" s="24"/>
      <c r="S1119" s="24"/>
      <c r="T1119" s="24"/>
      <c r="U1119" s="24"/>
      <c r="V1119" s="24"/>
      <c r="W1119" s="24"/>
      <c r="X1119" s="24"/>
      <c r="Y1119" s="24"/>
      <c r="Z1119" s="24"/>
      <c r="AA1119" s="24"/>
      <c r="AB1119" s="24"/>
      <c r="AC1119" s="24"/>
      <c r="AD1119" s="24"/>
      <c r="AE1119" s="24"/>
    </row>
    <row r="1120" spans="1:31" ht="12.9">
      <c r="A1120" s="24"/>
      <c r="B1120" s="143"/>
      <c r="C1120" s="24"/>
      <c r="D1120" s="24"/>
      <c r="E1120" s="24"/>
      <c r="F1120" s="24"/>
      <c r="G1120" s="24"/>
      <c r="H1120" s="117"/>
      <c r="I1120" s="117"/>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E1120" s="24"/>
    </row>
    <row r="1121" spans="1:31" ht="12.9">
      <c r="A1121" s="24"/>
      <c r="B1121" s="143"/>
      <c r="C1121" s="24"/>
      <c r="D1121" s="24"/>
      <c r="E1121" s="24"/>
      <c r="F1121" s="24"/>
      <c r="G1121" s="24"/>
      <c r="H1121" s="117"/>
      <c r="I1121" s="117"/>
      <c r="J1121" s="24"/>
      <c r="K1121" s="24"/>
      <c r="L1121" s="24"/>
      <c r="M1121" s="24"/>
      <c r="N1121" s="24"/>
      <c r="O1121" s="24"/>
      <c r="P1121" s="24"/>
      <c r="Q1121" s="24"/>
      <c r="R1121" s="24"/>
      <c r="S1121" s="24"/>
      <c r="T1121" s="24"/>
      <c r="U1121" s="24"/>
      <c r="V1121" s="24"/>
      <c r="W1121" s="24"/>
      <c r="X1121" s="24"/>
      <c r="Y1121" s="24"/>
      <c r="Z1121" s="24"/>
      <c r="AA1121" s="24"/>
      <c r="AB1121" s="24"/>
      <c r="AC1121" s="24"/>
      <c r="AD1121" s="24"/>
      <c r="AE1121" s="24"/>
    </row>
    <row r="1122" spans="1:31" ht="12.9">
      <c r="A1122" s="24"/>
      <c r="B1122" s="143"/>
      <c r="C1122" s="24"/>
      <c r="D1122" s="24"/>
      <c r="E1122" s="24"/>
      <c r="F1122" s="24"/>
      <c r="G1122" s="24"/>
      <c r="H1122" s="117"/>
      <c r="I1122" s="117"/>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E1122" s="24"/>
    </row>
    <row r="1123" spans="1:31" ht="12.9">
      <c r="A1123" s="24"/>
      <c r="B1123" s="143"/>
      <c r="C1123" s="24"/>
      <c r="D1123" s="24"/>
      <c r="E1123" s="24"/>
      <c r="F1123" s="24"/>
      <c r="G1123" s="24"/>
      <c r="H1123" s="117"/>
      <c r="I1123" s="117"/>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E1123" s="24"/>
    </row>
    <row r="1124" spans="1:31" ht="12.9">
      <c r="A1124" s="24"/>
      <c r="B1124" s="143"/>
      <c r="C1124" s="24"/>
      <c r="D1124" s="24"/>
      <c r="E1124" s="24"/>
      <c r="F1124" s="24"/>
      <c r="G1124" s="24"/>
      <c r="H1124" s="117"/>
      <c r="I1124" s="117"/>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row>
    <row r="1125" spans="1:31" ht="12.9">
      <c r="A1125" s="24"/>
      <c r="B1125" s="143"/>
      <c r="C1125" s="24"/>
      <c r="D1125" s="24"/>
      <c r="E1125" s="24"/>
      <c r="F1125" s="24"/>
      <c r="G1125" s="24"/>
      <c r="H1125" s="117"/>
      <c r="I1125" s="117"/>
      <c r="J1125" s="24"/>
      <c r="K1125" s="24"/>
      <c r="L1125" s="24"/>
      <c r="M1125" s="24"/>
      <c r="N1125" s="24"/>
      <c r="O1125" s="24"/>
      <c r="P1125" s="24"/>
      <c r="Q1125" s="24"/>
      <c r="R1125" s="24"/>
      <c r="S1125" s="24"/>
      <c r="T1125" s="24"/>
      <c r="U1125" s="24"/>
      <c r="V1125" s="24"/>
      <c r="W1125" s="24"/>
      <c r="X1125" s="24"/>
      <c r="Y1125" s="24"/>
      <c r="Z1125" s="24"/>
      <c r="AA1125" s="24"/>
      <c r="AB1125" s="24"/>
      <c r="AC1125" s="24"/>
      <c r="AD1125" s="24"/>
      <c r="AE1125" s="24"/>
    </row>
    <row r="1126" spans="1:31" ht="12.9">
      <c r="A1126" s="24"/>
      <c r="B1126" s="143"/>
      <c r="C1126" s="24"/>
      <c r="D1126" s="24"/>
      <c r="E1126" s="24"/>
      <c r="F1126" s="24"/>
      <c r="G1126" s="24"/>
      <c r="H1126" s="117"/>
      <c r="I1126" s="117"/>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row>
    <row r="1127" spans="1:31" ht="12.9">
      <c r="A1127" s="24"/>
      <c r="B1127" s="143"/>
      <c r="C1127" s="24"/>
      <c r="D1127" s="24"/>
      <c r="E1127" s="24"/>
      <c r="F1127" s="24"/>
      <c r="G1127" s="24"/>
      <c r="H1127" s="117"/>
      <c r="I1127" s="117"/>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E1127" s="24"/>
    </row>
    <row r="1128" spans="1:31" ht="12.9">
      <c r="A1128" s="24"/>
      <c r="B1128" s="143"/>
      <c r="C1128" s="24"/>
      <c r="D1128" s="24"/>
      <c r="E1128" s="24"/>
      <c r="F1128" s="24"/>
      <c r="G1128" s="24"/>
      <c r="H1128" s="117"/>
      <c r="I1128" s="117"/>
      <c r="J1128" s="24"/>
      <c r="K1128" s="24"/>
      <c r="L1128" s="24"/>
      <c r="M1128" s="24"/>
      <c r="N1128" s="24"/>
      <c r="O1128" s="24"/>
      <c r="P1128" s="24"/>
      <c r="Q1128" s="24"/>
      <c r="R1128" s="24"/>
      <c r="S1128" s="24"/>
      <c r="T1128" s="24"/>
      <c r="U1128" s="24"/>
      <c r="V1128" s="24"/>
      <c r="W1128" s="24"/>
      <c r="X1128" s="24"/>
      <c r="Y1128" s="24"/>
      <c r="Z1128" s="24"/>
      <c r="AA1128" s="24"/>
      <c r="AB1128" s="24"/>
      <c r="AC1128" s="24"/>
      <c r="AD1128" s="24"/>
      <c r="AE1128" s="24"/>
    </row>
    <row r="1129" spans="1:31" ht="12.9">
      <c r="A1129" s="24"/>
      <c r="B1129" s="143"/>
      <c r="C1129" s="24"/>
      <c r="D1129" s="24"/>
      <c r="E1129" s="24"/>
      <c r="F1129" s="24"/>
      <c r="G1129" s="24"/>
      <c r="H1129" s="117"/>
      <c r="I1129" s="117"/>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row>
    <row r="1130" spans="1:31" ht="12.9">
      <c r="A1130" s="24"/>
      <c r="B1130" s="143"/>
      <c r="C1130" s="24"/>
      <c r="D1130" s="24"/>
      <c r="E1130" s="24"/>
      <c r="F1130" s="24"/>
      <c r="G1130" s="24"/>
      <c r="H1130" s="117"/>
      <c r="I1130" s="117"/>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E1130" s="24"/>
    </row>
    <row r="1131" spans="1:31" ht="12.9">
      <c r="A1131" s="24"/>
      <c r="B1131" s="143"/>
      <c r="C1131" s="24"/>
      <c r="D1131" s="24"/>
      <c r="E1131" s="24"/>
      <c r="F1131" s="24"/>
      <c r="G1131" s="24"/>
      <c r="H1131" s="117"/>
      <c r="I1131" s="117"/>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E1131" s="24"/>
    </row>
    <row r="1132" spans="1:31" ht="12.9">
      <c r="A1132" s="24"/>
      <c r="B1132" s="143"/>
      <c r="C1132" s="24"/>
      <c r="D1132" s="24"/>
      <c r="E1132" s="24"/>
      <c r="F1132" s="24"/>
      <c r="G1132" s="24"/>
      <c r="H1132" s="117"/>
      <c r="I1132" s="117"/>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E1132" s="24"/>
    </row>
    <row r="1133" spans="1:31" ht="12.9">
      <c r="A1133" s="24"/>
      <c r="B1133" s="143"/>
      <c r="C1133" s="24"/>
      <c r="D1133" s="24"/>
      <c r="E1133" s="24"/>
      <c r="F1133" s="24"/>
      <c r="G1133" s="24"/>
      <c r="H1133" s="117"/>
      <c r="I1133" s="117"/>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E1133" s="24"/>
    </row>
    <row r="1134" spans="1:31" ht="12.9">
      <c r="A1134" s="24"/>
      <c r="B1134" s="143"/>
      <c r="C1134" s="24"/>
      <c r="D1134" s="24"/>
      <c r="E1134" s="24"/>
      <c r="F1134" s="24"/>
      <c r="G1134" s="24"/>
      <c r="H1134" s="117"/>
      <c r="I1134" s="117"/>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row>
    <row r="1135" spans="1:31" ht="12.9">
      <c r="A1135" s="24"/>
      <c r="B1135" s="143"/>
      <c r="C1135" s="24"/>
      <c r="D1135" s="24"/>
      <c r="E1135" s="24"/>
      <c r="F1135" s="24"/>
      <c r="G1135" s="24"/>
      <c r="H1135" s="117"/>
      <c r="I1135" s="117"/>
      <c r="J1135" s="24"/>
      <c r="K1135" s="24"/>
      <c r="L1135" s="24"/>
      <c r="M1135" s="24"/>
      <c r="N1135" s="24"/>
      <c r="O1135" s="24"/>
      <c r="P1135" s="24"/>
      <c r="Q1135" s="24"/>
      <c r="R1135" s="24"/>
      <c r="S1135" s="24"/>
      <c r="T1135" s="24"/>
      <c r="U1135" s="24"/>
      <c r="V1135" s="24"/>
      <c r="W1135" s="24"/>
      <c r="X1135" s="24"/>
      <c r="Y1135" s="24"/>
      <c r="Z1135" s="24"/>
      <c r="AA1135" s="24"/>
      <c r="AB1135" s="24"/>
      <c r="AC1135" s="24"/>
      <c r="AD1135" s="24"/>
      <c r="AE1135" s="24"/>
    </row>
    <row r="1136" spans="1:31" ht="12.9">
      <c r="A1136" s="24"/>
      <c r="B1136" s="143"/>
      <c r="C1136" s="24"/>
      <c r="D1136" s="24"/>
      <c r="E1136" s="24"/>
      <c r="F1136" s="24"/>
      <c r="G1136" s="24"/>
      <c r="H1136" s="117"/>
      <c r="I1136" s="117"/>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E1136" s="24"/>
    </row>
    <row r="1137" spans="1:31" ht="12.9">
      <c r="A1137" s="24"/>
      <c r="B1137" s="143"/>
      <c r="C1137" s="24"/>
      <c r="D1137" s="24"/>
      <c r="E1137" s="24"/>
      <c r="F1137" s="24"/>
      <c r="G1137" s="24"/>
      <c r="H1137" s="117"/>
      <c r="I1137" s="117"/>
      <c r="J1137" s="24"/>
      <c r="K1137" s="24"/>
      <c r="L1137" s="24"/>
      <c r="M1137" s="24"/>
      <c r="N1137" s="24"/>
      <c r="O1137" s="24"/>
      <c r="P1137" s="24"/>
      <c r="Q1137" s="24"/>
      <c r="R1137" s="24"/>
      <c r="S1137" s="24"/>
      <c r="T1137" s="24"/>
      <c r="U1137" s="24"/>
      <c r="V1137" s="24"/>
      <c r="W1137" s="24"/>
      <c r="X1137" s="24"/>
      <c r="Y1137" s="24"/>
      <c r="Z1137" s="24"/>
      <c r="AA1137" s="24"/>
      <c r="AB1137" s="24"/>
      <c r="AC1137" s="24"/>
      <c r="AD1137" s="24"/>
      <c r="AE1137" s="24"/>
    </row>
    <row r="1138" spans="1:31" ht="12.9">
      <c r="A1138" s="24"/>
      <c r="B1138" s="143"/>
      <c r="C1138" s="24"/>
      <c r="D1138" s="24"/>
      <c r="E1138" s="24"/>
      <c r="F1138" s="24"/>
      <c r="G1138" s="24"/>
      <c r="H1138" s="117"/>
      <c r="I1138" s="117"/>
      <c r="J1138" s="24"/>
      <c r="K1138" s="24"/>
      <c r="L1138" s="24"/>
      <c r="M1138" s="24"/>
      <c r="N1138" s="24"/>
      <c r="O1138" s="24"/>
      <c r="P1138" s="24"/>
      <c r="Q1138" s="24"/>
      <c r="R1138" s="24"/>
      <c r="S1138" s="24"/>
      <c r="T1138" s="24"/>
      <c r="U1138" s="24"/>
      <c r="V1138" s="24"/>
      <c r="W1138" s="24"/>
      <c r="X1138" s="24"/>
      <c r="Y1138" s="24"/>
      <c r="Z1138" s="24"/>
      <c r="AA1138" s="24"/>
      <c r="AB1138" s="24"/>
      <c r="AC1138" s="24"/>
      <c r="AD1138" s="24"/>
      <c r="AE1138" s="24"/>
    </row>
    <row r="1139" spans="1:31" ht="12.9">
      <c r="A1139" s="24"/>
      <c r="B1139" s="143"/>
      <c r="C1139" s="24"/>
      <c r="D1139" s="24"/>
      <c r="E1139" s="24"/>
      <c r="F1139" s="24"/>
      <c r="G1139" s="24"/>
      <c r="H1139" s="117"/>
      <c r="I1139" s="117"/>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row>
    <row r="1140" spans="1:31" ht="12.9">
      <c r="A1140" s="24"/>
      <c r="B1140" s="143"/>
      <c r="C1140" s="24"/>
      <c r="D1140" s="24"/>
      <c r="E1140" s="24"/>
      <c r="F1140" s="24"/>
      <c r="G1140" s="24"/>
      <c r="H1140" s="117"/>
      <c r="I1140" s="117"/>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row>
    <row r="1141" spans="1:31" ht="12.9">
      <c r="A1141" s="24"/>
      <c r="B1141" s="143"/>
      <c r="C1141" s="24"/>
      <c r="D1141" s="24"/>
      <c r="E1141" s="24"/>
      <c r="F1141" s="24"/>
      <c r="G1141" s="24"/>
      <c r="H1141" s="117"/>
      <c r="I1141" s="117"/>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row>
    <row r="1142" spans="1:31" ht="12.9">
      <c r="A1142" s="24"/>
      <c r="B1142" s="143"/>
      <c r="C1142" s="24"/>
      <c r="D1142" s="24"/>
      <c r="E1142" s="24"/>
      <c r="F1142" s="24"/>
      <c r="G1142" s="24"/>
      <c r="H1142" s="117"/>
      <c r="I1142" s="117"/>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row>
    <row r="1143" spans="1:31" ht="12.9">
      <c r="A1143" s="24"/>
      <c r="B1143" s="143"/>
      <c r="C1143" s="24"/>
      <c r="D1143" s="24"/>
      <c r="E1143" s="24"/>
      <c r="F1143" s="24"/>
      <c r="G1143" s="24"/>
      <c r="H1143" s="117"/>
      <c r="I1143" s="117"/>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E1143" s="24"/>
    </row>
    <row r="1144" spans="1:31" ht="12.9">
      <c r="A1144" s="24"/>
      <c r="B1144" s="143"/>
      <c r="C1144" s="24"/>
      <c r="D1144" s="24"/>
      <c r="E1144" s="24"/>
      <c r="F1144" s="24"/>
      <c r="G1144" s="24"/>
      <c r="H1144" s="117"/>
      <c r="I1144" s="117"/>
      <c r="J1144" s="24"/>
      <c r="K1144" s="24"/>
      <c r="L1144" s="24"/>
      <c r="M1144" s="24"/>
      <c r="N1144" s="24"/>
      <c r="O1144" s="24"/>
      <c r="P1144" s="24"/>
      <c r="Q1144" s="24"/>
      <c r="R1144" s="24"/>
      <c r="S1144" s="24"/>
      <c r="T1144" s="24"/>
      <c r="U1144" s="24"/>
      <c r="V1144" s="24"/>
      <c r="W1144" s="24"/>
      <c r="X1144" s="24"/>
      <c r="Y1144" s="24"/>
      <c r="Z1144" s="24"/>
      <c r="AA1144" s="24"/>
      <c r="AB1144" s="24"/>
      <c r="AC1144" s="24"/>
      <c r="AD1144" s="24"/>
      <c r="AE1144" s="24"/>
    </row>
    <row r="1145" spans="1:31" ht="12.9">
      <c r="A1145" s="24"/>
      <c r="B1145" s="143"/>
      <c r="C1145" s="24"/>
      <c r="D1145" s="24"/>
      <c r="E1145" s="24"/>
      <c r="F1145" s="24"/>
      <c r="G1145" s="24"/>
      <c r="H1145" s="117"/>
      <c r="I1145" s="117"/>
      <c r="J1145" s="24"/>
      <c r="K1145" s="24"/>
      <c r="L1145" s="24"/>
      <c r="M1145" s="24"/>
      <c r="N1145" s="24"/>
      <c r="O1145" s="24"/>
      <c r="P1145" s="24"/>
      <c r="Q1145" s="24"/>
      <c r="R1145" s="24"/>
      <c r="S1145" s="24"/>
      <c r="T1145" s="24"/>
      <c r="U1145" s="24"/>
      <c r="V1145" s="24"/>
      <c r="W1145" s="24"/>
      <c r="X1145" s="24"/>
      <c r="Y1145" s="24"/>
      <c r="Z1145" s="24"/>
      <c r="AA1145" s="24"/>
      <c r="AB1145" s="24"/>
      <c r="AC1145" s="24"/>
      <c r="AD1145" s="24"/>
      <c r="AE1145" s="24"/>
    </row>
    <row r="1146" spans="1:31" ht="12.9">
      <c r="A1146" s="24"/>
      <c r="B1146" s="143"/>
      <c r="C1146" s="24"/>
      <c r="D1146" s="24"/>
      <c r="E1146" s="24"/>
      <c r="F1146" s="24"/>
      <c r="G1146" s="24"/>
      <c r="H1146" s="117"/>
      <c r="I1146" s="117"/>
      <c r="J1146" s="24"/>
      <c r="K1146" s="24"/>
      <c r="L1146" s="24"/>
      <c r="M1146" s="24"/>
      <c r="N1146" s="24"/>
      <c r="O1146" s="24"/>
      <c r="P1146" s="24"/>
      <c r="Q1146" s="24"/>
      <c r="R1146" s="24"/>
      <c r="S1146" s="24"/>
      <c r="T1146" s="24"/>
      <c r="U1146" s="24"/>
      <c r="V1146" s="24"/>
      <c r="W1146" s="24"/>
      <c r="X1146" s="24"/>
      <c r="Y1146" s="24"/>
      <c r="Z1146" s="24"/>
      <c r="AA1146" s="24"/>
      <c r="AB1146" s="24"/>
      <c r="AC1146" s="24"/>
      <c r="AD1146" s="24"/>
      <c r="AE1146" s="24"/>
    </row>
    <row r="1147" spans="1:31" ht="12.9">
      <c r="A1147" s="24"/>
      <c r="B1147" s="143"/>
      <c r="C1147" s="24"/>
      <c r="D1147" s="24"/>
      <c r="E1147" s="24"/>
      <c r="F1147" s="24"/>
      <c r="G1147" s="24"/>
      <c r="H1147" s="117"/>
      <c r="I1147" s="117"/>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E1147" s="24"/>
    </row>
    <row r="1148" spans="1:31" ht="12.9">
      <c r="A1148" s="24"/>
      <c r="B1148" s="143"/>
      <c r="C1148" s="24"/>
      <c r="D1148" s="24"/>
      <c r="E1148" s="24"/>
      <c r="F1148" s="24"/>
      <c r="G1148" s="24"/>
      <c r="H1148" s="117"/>
      <c r="I1148" s="117"/>
      <c r="J1148" s="24"/>
      <c r="K1148" s="24"/>
      <c r="L1148" s="24"/>
      <c r="M1148" s="24"/>
      <c r="N1148" s="24"/>
      <c r="O1148" s="24"/>
      <c r="P1148" s="24"/>
      <c r="Q1148" s="24"/>
      <c r="R1148" s="24"/>
      <c r="S1148" s="24"/>
      <c r="T1148" s="24"/>
      <c r="U1148" s="24"/>
      <c r="V1148" s="24"/>
      <c r="W1148" s="24"/>
      <c r="X1148" s="24"/>
      <c r="Y1148" s="24"/>
      <c r="Z1148" s="24"/>
      <c r="AA1148" s="24"/>
      <c r="AB1148" s="24"/>
      <c r="AC1148" s="24"/>
      <c r="AD1148" s="24"/>
      <c r="AE1148" s="24"/>
    </row>
    <row r="1149" spans="1:31" ht="12.9">
      <c r="A1149" s="24"/>
      <c r="B1149" s="143"/>
      <c r="C1149" s="24"/>
      <c r="D1149" s="24"/>
      <c r="E1149" s="24"/>
      <c r="F1149" s="24"/>
      <c r="G1149" s="24"/>
      <c r="H1149" s="117"/>
      <c r="I1149" s="117"/>
      <c r="J1149" s="24"/>
      <c r="K1149" s="24"/>
      <c r="L1149" s="24"/>
      <c r="M1149" s="24"/>
      <c r="N1149" s="24"/>
      <c r="O1149" s="24"/>
      <c r="P1149" s="24"/>
      <c r="Q1149" s="24"/>
      <c r="R1149" s="24"/>
      <c r="S1149" s="24"/>
      <c r="T1149" s="24"/>
      <c r="U1149" s="24"/>
      <c r="V1149" s="24"/>
      <c r="W1149" s="24"/>
      <c r="X1149" s="24"/>
      <c r="Y1149" s="24"/>
      <c r="Z1149" s="24"/>
      <c r="AA1149" s="24"/>
      <c r="AB1149" s="24"/>
      <c r="AC1149" s="24"/>
      <c r="AD1149" s="24"/>
      <c r="AE1149" s="24"/>
    </row>
    <row r="1150" spans="1:31" ht="12.9">
      <c r="A1150" s="24"/>
      <c r="B1150" s="143"/>
      <c r="C1150" s="24"/>
      <c r="D1150" s="24"/>
      <c r="E1150" s="24"/>
      <c r="F1150" s="24"/>
      <c r="G1150" s="24"/>
      <c r="H1150" s="117"/>
      <c r="I1150" s="117"/>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row>
    <row r="1151" spans="1:31" ht="12.9">
      <c r="A1151" s="24"/>
      <c r="B1151" s="143"/>
      <c r="C1151" s="24"/>
      <c r="D1151" s="24"/>
      <c r="E1151" s="24"/>
      <c r="F1151" s="24"/>
      <c r="G1151" s="24"/>
      <c r="H1151" s="117"/>
      <c r="I1151" s="117"/>
      <c r="J1151" s="24"/>
      <c r="K1151" s="24"/>
      <c r="L1151" s="24"/>
      <c r="M1151" s="24"/>
      <c r="N1151" s="24"/>
      <c r="O1151" s="24"/>
      <c r="P1151" s="24"/>
      <c r="Q1151" s="24"/>
      <c r="R1151" s="24"/>
      <c r="S1151" s="24"/>
      <c r="T1151" s="24"/>
      <c r="U1151" s="24"/>
      <c r="V1151" s="24"/>
      <c r="W1151" s="24"/>
      <c r="X1151" s="24"/>
      <c r="Y1151" s="24"/>
      <c r="Z1151" s="24"/>
      <c r="AA1151" s="24"/>
      <c r="AB1151" s="24"/>
      <c r="AC1151" s="24"/>
      <c r="AD1151" s="24"/>
      <c r="AE1151" s="24"/>
    </row>
    <row r="1152" spans="1:31" ht="12.9">
      <c r="A1152" s="24"/>
      <c r="B1152" s="143"/>
      <c r="C1152" s="24"/>
      <c r="D1152" s="24"/>
      <c r="E1152" s="24"/>
      <c r="F1152" s="24"/>
      <c r="G1152" s="24"/>
      <c r="H1152" s="117"/>
      <c r="I1152" s="117"/>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E1152" s="24"/>
    </row>
    <row r="1153" spans="1:31" ht="12.9">
      <c r="A1153" s="24"/>
      <c r="B1153" s="143"/>
      <c r="C1153" s="24"/>
      <c r="D1153" s="24"/>
      <c r="E1153" s="24"/>
      <c r="F1153" s="24"/>
      <c r="G1153" s="24"/>
      <c r="H1153" s="117"/>
      <c r="I1153" s="117"/>
      <c r="J1153" s="24"/>
      <c r="K1153" s="24"/>
      <c r="L1153" s="24"/>
      <c r="M1153" s="24"/>
      <c r="N1153" s="24"/>
      <c r="O1153" s="24"/>
      <c r="P1153" s="24"/>
      <c r="Q1153" s="24"/>
      <c r="R1153" s="24"/>
      <c r="S1153" s="24"/>
      <c r="T1153" s="24"/>
      <c r="U1153" s="24"/>
      <c r="V1153" s="24"/>
      <c r="W1153" s="24"/>
      <c r="X1153" s="24"/>
      <c r="Y1153" s="24"/>
      <c r="Z1153" s="24"/>
      <c r="AA1153" s="24"/>
      <c r="AB1153" s="24"/>
      <c r="AC1153" s="24"/>
      <c r="AD1153" s="24"/>
      <c r="AE1153" s="24"/>
    </row>
    <row r="1154" spans="1:31" ht="12.9">
      <c r="A1154" s="24"/>
      <c r="B1154" s="143"/>
      <c r="C1154" s="24"/>
      <c r="D1154" s="24"/>
      <c r="E1154" s="24"/>
      <c r="F1154" s="24"/>
      <c r="G1154" s="24"/>
      <c r="H1154" s="117"/>
      <c r="I1154" s="117"/>
      <c r="J1154" s="24"/>
      <c r="K1154" s="24"/>
      <c r="L1154" s="24"/>
      <c r="M1154" s="24"/>
      <c r="N1154" s="24"/>
      <c r="O1154" s="24"/>
      <c r="P1154" s="24"/>
      <c r="Q1154" s="24"/>
      <c r="R1154" s="24"/>
      <c r="S1154" s="24"/>
      <c r="T1154" s="24"/>
      <c r="U1154" s="24"/>
      <c r="V1154" s="24"/>
      <c r="W1154" s="24"/>
      <c r="X1154" s="24"/>
      <c r="Y1154" s="24"/>
      <c r="Z1154" s="24"/>
      <c r="AA1154" s="24"/>
      <c r="AB1154" s="24"/>
      <c r="AC1154" s="24"/>
      <c r="AD1154" s="24"/>
      <c r="AE1154" s="24"/>
    </row>
    <row r="1155" spans="1:31" ht="12.9">
      <c r="A1155" s="24"/>
      <c r="B1155" s="143"/>
      <c r="C1155" s="24"/>
      <c r="D1155" s="24"/>
      <c r="E1155" s="24"/>
      <c r="F1155" s="24"/>
      <c r="G1155" s="24"/>
      <c r="H1155" s="117"/>
      <c r="I1155" s="117"/>
      <c r="J1155" s="24"/>
      <c r="K1155" s="24"/>
      <c r="L1155" s="24"/>
      <c r="M1155" s="24"/>
      <c r="N1155" s="24"/>
      <c r="O1155" s="24"/>
      <c r="P1155" s="24"/>
      <c r="Q1155" s="24"/>
      <c r="R1155" s="24"/>
      <c r="S1155" s="24"/>
      <c r="T1155" s="24"/>
      <c r="U1155" s="24"/>
      <c r="V1155" s="24"/>
      <c r="W1155" s="24"/>
      <c r="X1155" s="24"/>
      <c r="Y1155" s="24"/>
      <c r="Z1155" s="24"/>
      <c r="AA1155" s="24"/>
      <c r="AB1155" s="24"/>
      <c r="AC1155" s="24"/>
      <c r="AD1155" s="24"/>
      <c r="AE1155" s="24"/>
    </row>
    <row r="1156" spans="1:31" ht="12.9">
      <c r="A1156" s="24"/>
      <c r="B1156" s="143"/>
      <c r="C1156" s="24"/>
      <c r="D1156" s="24"/>
      <c r="E1156" s="24"/>
      <c r="F1156" s="24"/>
      <c r="G1156" s="24"/>
      <c r="H1156" s="117"/>
      <c r="I1156" s="117"/>
      <c r="J1156" s="24"/>
      <c r="K1156" s="24"/>
      <c r="L1156" s="24"/>
      <c r="M1156" s="24"/>
      <c r="N1156" s="24"/>
      <c r="O1156" s="24"/>
      <c r="P1156" s="24"/>
      <c r="Q1156" s="24"/>
      <c r="R1156" s="24"/>
      <c r="S1156" s="24"/>
      <c r="T1156" s="24"/>
      <c r="U1156" s="24"/>
      <c r="V1156" s="24"/>
      <c r="W1156" s="24"/>
      <c r="X1156" s="24"/>
      <c r="Y1156" s="24"/>
      <c r="Z1156" s="24"/>
      <c r="AA1156" s="24"/>
      <c r="AB1156" s="24"/>
      <c r="AC1156" s="24"/>
      <c r="AD1156" s="24"/>
      <c r="AE1156" s="24"/>
    </row>
    <row r="1157" spans="1:31" ht="12.9">
      <c r="A1157" s="24"/>
      <c r="B1157" s="143"/>
      <c r="C1157" s="24"/>
      <c r="D1157" s="24"/>
      <c r="E1157" s="24"/>
      <c r="F1157" s="24"/>
      <c r="G1157" s="24"/>
      <c r="H1157" s="117"/>
      <c r="I1157" s="117"/>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row>
    <row r="1158" spans="1:31" ht="12.9">
      <c r="A1158" s="24"/>
      <c r="B1158" s="143"/>
      <c r="C1158" s="24"/>
      <c r="D1158" s="24"/>
      <c r="E1158" s="24"/>
      <c r="F1158" s="24"/>
      <c r="G1158" s="24"/>
      <c r="H1158" s="117"/>
      <c r="I1158" s="117"/>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row>
    <row r="1159" spans="1:31" ht="12.9">
      <c r="A1159" s="24"/>
      <c r="B1159" s="143"/>
      <c r="C1159" s="24"/>
      <c r="D1159" s="24"/>
      <c r="E1159" s="24"/>
      <c r="F1159" s="24"/>
      <c r="G1159" s="24"/>
      <c r="H1159" s="117"/>
      <c r="I1159" s="117"/>
      <c r="J1159" s="24"/>
      <c r="K1159" s="24"/>
      <c r="L1159" s="24"/>
      <c r="M1159" s="24"/>
      <c r="N1159" s="24"/>
      <c r="O1159" s="24"/>
      <c r="P1159" s="24"/>
      <c r="Q1159" s="24"/>
      <c r="R1159" s="24"/>
      <c r="S1159" s="24"/>
      <c r="T1159" s="24"/>
      <c r="U1159" s="24"/>
      <c r="V1159" s="24"/>
      <c r="W1159" s="24"/>
      <c r="X1159" s="24"/>
      <c r="Y1159" s="24"/>
      <c r="Z1159" s="24"/>
      <c r="AA1159" s="24"/>
      <c r="AB1159" s="24"/>
      <c r="AC1159" s="24"/>
      <c r="AD1159" s="24"/>
      <c r="AE1159" s="2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x14:formula1>
            <xm:f>'Self Assessment Total Score'!$C$18:$C$21</xm:f>
          </x14:formula1>
          <xm:sqref>H2:H66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D1027"/>
  <sheetViews>
    <sheetView workbookViewId="0">
      <selection activeCell="H6" sqref="H6"/>
    </sheetView>
  </sheetViews>
  <sheetFormatPr defaultColWidth="14.375" defaultRowHeight="15.8" customHeight="1"/>
  <cols>
    <col min="1" max="1" width="13.625" customWidth="1"/>
    <col min="2" max="2" width="16.25" customWidth="1"/>
    <col min="3" max="3" width="43" customWidth="1"/>
    <col min="4" max="4" width="31.625" customWidth="1"/>
    <col min="5" max="5" width="29.875" customWidth="1"/>
    <col min="6" max="6" width="34.125" customWidth="1"/>
    <col min="7" max="8" width="30.75" customWidth="1"/>
    <col min="9" max="9" width="14.375" customWidth="1"/>
    <col min="10" max="30" width="62.375" customWidth="1"/>
  </cols>
  <sheetData>
    <row r="1" spans="1:30" ht="21.75">
      <c r="A1" s="2" t="s">
        <v>3442</v>
      </c>
      <c r="B1" s="2" t="s">
        <v>3443</v>
      </c>
      <c r="C1" s="2" t="s">
        <v>3444</v>
      </c>
      <c r="D1" s="2" t="s">
        <v>5930</v>
      </c>
      <c r="E1" s="2" t="s">
        <v>5931</v>
      </c>
      <c r="F1" s="2" t="s">
        <v>3445</v>
      </c>
      <c r="G1" s="136" t="s">
        <v>3446</v>
      </c>
      <c r="H1" s="135" t="s">
        <v>44</v>
      </c>
      <c r="I1" s="135" t="s">
        <v>46</v>
      </c>
      <c r="J1" s="175"/>
      <c r="K1" s="175"/>
      <c r="L1" s="136"/>
      <c r="M1" s="136"/>
      <c r="N1" s="136"/>
      <c r="O1" s="136"/>
      <c r="P1" s="136"/>
      <c r="Q1" s="136"/>
      <c r="R1" s="24"/>
      <c r="S1" s="24"/>
      <c r="T1" s="24"/>
      <c r="U1" s="24"/>
      <c r="V1" s="24"/>
      <c r="W1" s="24"/>
      <c r="X1" s="24"/>
      <c r="Y1" s="24"/>
      <c r="Z1" s="24"/>
      <c r="AA1" s="24"/>
      <c r="AB1" s="24"/>
      <c r="AC1" s="24"/>
      <c r="AD1" s="24"/>
    </row>
    <row r="2" spans="1:30" ht="119.55">
      <c r="A2" s="121" t="s">
        <v>5932</v>
      </c>
      <c r="B2" s="121" t="s">
        <v>18</v>
      </c>
      <c r="C2" s="25" t="s">
        <v>5933</v>
      </c>
      <c r="D2" s="25" t="s">
        <v>5934</v>
      </c>
      <c r="E2" s="25" t="s">
        <v>5935</v>
      </c>
      <c r="F2" s="141" t="str">
        <f>HYPERLINK("https://www.acquisition.gov/content/41601-policy?&amp;searchTerms=%22contract+writing%22","FAR 4.1601")</f>
        <v>FAR 4.1601</v>
      </c>
      <c r="G2" s="141" t="str">
        <f t="shared" ref="G2:G4" si="0">HYPERLINK("https://www.acquisition.gov/sites/default/files/current/gsam/html/Part504.html#wp1870278","GSAR 504.605, GSAR 504.1603")</f>
        <v>GSAR 504.605, GSAR 504.1603</v>
      </c>
      <c r="H2" s="64"/>
      <c r="I2" s="182" t="b">
        <f t="shared" ref="I2:I115" si="1">IF(AND(H2="Meet the requirements traceability “out of the box”"), 10, IF(AND(H2="Can meet the requirements traceability with configuration or through the use of another commercial product “out of the box” or other arrangement as part of the service offering quoted (i.e. at no additional cost)"), 8, IF(AND(H2="Can meet the requirements traceability with customization at additional cost"), 3, IF(AND(H2="Cannot meet the requirements traceability requirement"), 0))))</f>
        <v>0</v>
      </c>
      <c r="J2" s="24"/>
      <c r="K2" s="24"/>
      <c r="L2" s="24"/>
      <c r="M2" s="24"/>
      <c r="N2" s="24"/>
      <c r="O2" s="24"/>
      <c r="P2" s="24"/>
      <c r="Q2" s="24"/>
      <c r="R2" s="24"/>
      <c r="S2" s="24"/>
      <c r="T2" s="24"/>
      <c r="U2" s="24"/>
      <c r="V2" s="24"/>
      <c r="W2" s="24"/>
      <c r="X2" s="24"/>
      <c r="Y2" s="24"/>
      <c r="Z2" s="24"/>
      <c r="AA2" s="24"/>
      <c r="AB2" s="24"/>
      <c r="AC2" s="24"/>
      <c r="AD2" s="24"/>
    </row>
    <row r="3" spans="1:30" ht="16.3">
      <c r="A3" s="121" t="s">
        <v>5951</v>
      </c>
      <c r="B3" s="121" t="s">
        <v>18</v>
      </c>
      <c r="C3" s="25" t="s">
        <v>5952</v>
      </c>
      <c r="D3" s="25" t="s">
        <v>1331</v>
      </c>
      <c r="E3" s="25" t="s">
        <v>1331</v>
      </c>
      <c r="F3" s="183"/>
      <c r="G3" s="141" t="str">
        <f t="shared" si="0"/>
        <v>GSAR 504.605, GSAR 504.1603</v>
      </c>
      <c r="H3" s="64"/>
      <c r="I3" s="182" t="b">
        <f t="shared" si="1"/>
        <v>0</v>
      </c>
      <c r="J3" s="24"/>
      <c r="K3" s="24"/>
      <c r="L3" s="24"/>
      <c r="M3" s="24"/>
      <c r="N3" s="24"/>
      <c r="O3" s="24"/>
      <c r="P3" s="24"/>
      <c r="Q3" s="24"/>
      <c r="R3" s="24"/>
      <c r="S3" s="24"/>
      <c r="T3" s="24"/>
      <c r="U3" s="24"/>
      <c r="V3" s="24"/>
      <c r="W3" s="24"/>
      <c r="X3" s="24"/>
      <c r="Y3" s="24"/>
      <c r="Z3" s="24"/>
      <c r="AA3" s="24"/>
      <c r="AB3" s="24"/>
      <c r="AC3" s="24"/>
      <c r="AD3" s="24"/>
    </row>
    <row r="4" spans="1:30" ht="32.6">
      <c r="A4" s="121" t="s">
        <v>5955</v>
      </c>
      <c r="B4" s="121" t="s">
        <v>18</v>
      </c>
      <c r="C4" s="25" t="s">
        <v>5956</v>
      </c>
      <c r="D4" s="25" t="s">
        <v>5957</v>
      </c>
      <c r="E4" s="25" t="s">
        <v>5958</v>
      </c>
      <c r="F4" s="141" t="str">
        <f>HYPERLINK("https://www.acquisition.gov/content/41601-policy?&amp;searchTerms=%22contract+writing%22","FAR 4.1601")</f>
        <v>FAR 4.1601</v>
      </c>
      <c r="G4" s="141" t="str">
        <f t="shared" si="0"/>
        <v>GSAR 504.605, GSAR 504.1603</v>
      </c>
      <c r="H4" s="64"/>
      <c r="I4" s="182" t="b">
        <f t="shared" si="1"/>
        <v>0</v>
      </c>
      <c r="J4" s="24"/>
      <c r="K4" s="24"/>
      <c r="L4" s="24"/>
      <c r="M4" s="24"/>
      <c r="N4" s="24"/>
      <c r="O4" s="24"/>
      <c r="P4" s="24"/>
      <c r="Q4" s="24"/>
      <c r="R4" s="24"/>
      <c r="S4" s="24"/>
      <c r="T4" s="24"/>
      <c r="U4" s="24"/>
      <c r="V4" s="24"/>
      <c r="W4" s="24"/>
      <c r="X4" s="24"/>
      <c r="Y4" s="24"/>
      <c r="Z4" s="24"/>
      <c r="AA4" s="24"/>
      <c r="AB4" s="24"/>
      <c r="AC4" s="24"/>
      <c r="AD4" s="24"/>
    </row>
    <row r="5" spans="1:30" ht="65.25">
      <c r="A5" s="121" t="s">
        <v>5966</v>
      </c>
      <c r="B5" s="121" t="s">
        <v>18</v>
      </c>
      <c r="C5" s="79" t="s">
        <v>5967</v>
      </c>
      <c r="D5" s="25" t="s">
        <v>5968</v>
      </c>
      <c r="E5" s="25" t="s">
        <v>5969</v>
      </c>
      <c r="F5" s="184"/>
      <c r="G5" s="185" t="str">
        <f>HYPERLINK("https://www.acquisition.gov/content/part-504-administrative-matters","GSAM 504.605 and 504.1603")</f>
        <v>GSAM 504.605 and 504.1603</v>
      </c>
      <c r="H5" s="64"/>
      <c r="I5" s="182" t="b">
        <f t="shared" si="1"/>
        <v>0</v>
      </c>
      <c r="J5" s="24"/>
      <c r="K5" s="24"/>
      <c r="L5" s="24"/>
      <c r="M5" s="24"/>
      <c r="N5" s="24"/>
      <c r="O5" s="24"/>
      <c r="P5" s="24"/>
      <c r="Q5" s="24"/>
      <c r="R5" s="24"/>
      <c r="S5" s="24"/>
      <c r="T5" s="24"/>
      <c r="U5" s="24"/>
      <c r="V5" s="24"/>
      <c r="W5" s="24"/>
      <c r="X5" s="24"/>
      <c r="Y5" s="24"/>
      <c r="Z5" s="24"/>
      <c r="AA5" s="24"/>
      <c r="AB5" s="24"/>
      <c r="AC5" s="24"/>
      <c r="AD5" s="24"/>
    </row>
    <row r="6" spans="1:30" ht="119.55">
      <c r="A6" s="121" t="s">
        <v>5975</v>
      </c>
      <c r="B6" s="121" t="s">
        <v>18</v>
      </c>
      <c r="C6" s="79" t="s">
        <v>5976</v>
      </c>
      <c r="D6" s="25" t="s">
        <v>5977</v>
      </c>
      <c r="E6" s="25" t="s">
        <v>5978</v>
      </c>
      <c r="F6" s="184"/>
      <c r="G6" s="186"/>
      <c r="H6" s="64"/>
      <c r="I6" s="182" t="b">
        <f t="shared" si="1"/>
        <v>0</v>
      </c>
      <c r="J6" s="24"/>
      <c r="K6" s="24"/>
      <c r="L6" s="24"/>
      <c r="M6" s="24"/>
      <c r="N6" s="24"/>
      <c r="O6" s="24"/>
      <c r="P6" s="24"/>
      <c r="Q6" s="24"/>
      <c r="R6" s="24"/>
      <c r="S6" s="24"/>
      <c r="T6" s="24"/>
      <c r="U6" s="24"/>
      <c r="V6" s="24"/>
      <c r="W6" s="24"/>
      <c r="X6" s="24"/>
      <c r="Y6" s="24"/>
      <c r="Z6" s="24"/>
      <c r="AA6" s="24"/>
      <c r="AB6" s="24"/>
      <c r="AC6" s="24"/>
      <c r="AD6" s="24"/>
    </row>
    <row r="7" spans="1:30" ht="43.5">
      <c r="A7" s="121" t="s">
        <v>5982</v>
      </c>
      <c r="B7" s="121" t="s">
        <v>18</v>
      </c>
      <c r="C7" s="79" t="s">
        <v>5983</v>
      </c>
      <c r="D7" s="25" t="s">
        <v>5984</v>
      </c>
      <c r="E7" s="25" t="s">
        <v>5985</v>
      </c>
      <c r="F7" s="184"/>
      <c r="G7" s="186"/>
      <c r="H7" s="64"/>
      <c r="I7" s="182" t="b">
        <f t="shared" si="1"/>
        <v>0</v>
      </c>
      <c r="J7" s="24"/>
      <c r="K7" s="24"/>
      <c r="L7" s="24"/>
      <c r="M7" s="24"/>
      <c r="N7" s="24"/>
      <c r="O7" s="24"/>
      <c r="P7" s="24"/>
      <c r="Q7" s="24"/>
      <c r="R7" s="24"/>
      <c r="S7" s="24"/>
      <c r="T7" s="24"/>
      <c r="U7" s="24"/>
      <c r="V7" s="24"/>
      <c r="W7" s="24"/>
      <c r="X7" s="24"/>
      <c r="Y7" s="24"/>
      <c r="Z7" s="24"/>
      <c r="AA7" s="24"/>
      <c r="AB7" s="24"/>
      <c r="AC7" s="24"/>
      <c r="AD7" s="24"/>
    </row>
    <row r="8" spans="1:30" ht="86.95">
      <c r="A8" s="121" t="s">
        <v>5986</v>
      </c>
      <c r="B8" s="121" t="s">
        <v>18</v>
      </c>
      <c r="C8" s="79" t="s">
        <v>5987</v>
      </c>
      <c r="D8" s="25" t="s">
        <v>5988</v>
      </c>
      <c r="E8" s="25" t="s">
        <v>5989</v>
      </c>
      <c r="F8" s="184"/>
      <c r="G8" s="186"/>
      <c r="H8" s="64"/>
      <c r="I8" s="182" t="b">
        <f t="shared" si="1"/>
        <v>0</v>
      </c>
      <c r="J8" s="24"/>
      <c r="K8" s="24"/>
      <c r="L8" s="24"/>
      <c r="M8" s="24"/>
      <c r="N8" s="24"/>
      <c r="O8" s="24"/>
      <c r="P8" s="24"/>
      <c r="Q8" s="24"/>
      <c r="R8" s="24"/>
      <c r="S8" s="24"/>
      <c r="T8" s="24"/>
      <c r="U8" s="24"/>
      <c r="V8" s="24"/>
      <c r="W8" s="24"/>
      <c r="X8" s="24"/>
      <c r="Y8" s="24"/>
      <c r="Z8" s="24"/>
      <c r="AA8" s="24"/>
      <c r="AB8" s="24"/>
      <c r="AC8" s="24"/>
      <c r="AD8" s="24"/>
    </row>
    <row r="9" spans="1:30" ht="65.25">
      <c r="A9" s="121" t="s">
        <v>5991</v>
      </c>
      <c r="B9" s="121" t="s">
        <v>18</v>
      </c>
      <c r="C9" s="79" t="s">
        <v>5992</v>
      </c>
      <c r="D9" s="25" t="s">
        <v>5993</v>
      </c>
      <c r="E9" s="25" t="s">
        <v>5994</v>
      </c>
      <c r="F9" s="184"/>
      <c r="G9" s="186"/>
      <c r="H9" s="64"/>
      <c r="I9" s="182" t="b">
        <f t="shared" si="1"/>
        <v>0</v>
      </c>
      <c r="J9" s="24"/>
      <c r="K9" s="24"/>
      <c r="L9" s="24"/>
      <c r="M9" s="24"/>
      <c r="N9" s="24"/>
      <c r="O9" s="24"/>
      <c r="P9" s="24"/>
      <c r="Q9" s="24"/>
      <c r="R9" s="24"/>
      <c r="S9" s="24"/>
      <c r="T9" s="24"/>
      <c r="U9" s="24"/>
      <c r="V9" s="24"/>
      <c r="W9" s="24"/>
      <c r="X9" s="24"/>
      <c r="Y9" s="24"/>
      <c r="Z9" s="24"/>
      <c r="AA9" s="24"/>
      <c r="AB9" s="24"/>
      <c r="AC9" s="24"/>
      <c r="AD9" s="24"/>
    </row>
    <row r="10" spans="1:30" ht="43.5">
      <c r="A10" s="121" t="s">
        <v>5998</v>
      </c>
      <c r="B10" s="121" t="s">
        <v>18</v>
      </c>
      <c r="C10" s="79" t="s">
        <v>5999</v>
      </c>
      <c r="D10" s="25" t="s">
        <v>6000</v>
      </c>
      <c r="E10" s="25" t="s">
        <v>6001</v>
      </c>
      <c r="F10" s="184"/>
      <c r="G10" s="186"/>
      <c r="H10" s="64"/>
      <c r="I10" s="182" t="b">
        <f t="shared" si="1"/>
        <v>0</v>
      </c>
      <c r="J10" s="24"/>
      <c r="K10" s="24"/>
      <c r="L10" s="24"/>
      <c r="M10" s="24"/>
      <c r="N10" s="24"/>
      <c r="O10" s="24"/>
      <c r="P10" s="24"/>
      <c r="Q10" s="24"/>
      <c r="R10" s="24"/>
      <c r="S10" s="24"/>
      <c r="T10" s="24"/>
      <c r="U10" s="24"/>
      <c r="V10" s="24"/>
      <c r="W10" s="24"/>
      <c r="X10" s="24"/>
      <c r="Y10" s="24"/>
      <c r="Z10" s="24"/>
      <c r="AA10" s="24"/>
      <c r="AB10" s="24"/>
      <c r="AC10" s="24"/>
      <c r="AD10" s="24"/>
    </row>
    <row r="11" spans="1:30" ht="86.95">
      <c r="A11" s="121" t="s">
        <v>6002</v>
      </c>
      <c r="B11" s="121" t="s">
        <v>18</v>
      </c>
      <c r="C11" s="79" t="s">
        <v>6003</v>
      </c>
      <c r="D11" s="25" t="s">
        <v>6004</v>
      </c>
      <c r="E11" s="25" t="s">
        <v>6005</v>
      </c>
      <c r="F11" s="184"/>
      <c r="G11" s="186"/>
      <c r="H11" s="64"/>
      <c r="I11" s="182" t="b">
        <f t="shared" si="1"/>
        <v>0</v>
      </c>
      <c r="J11" s="24"/>
      <c r="K11" s="24"/>
      <c r="L11" s="24"/>
      <c r="M11" s="24"/>
      <c r="N11" s="24"/>
      <c r="O11" s="24"/>
      <c r="P11" s="24"/>
      <c r="Q11" s="24"/>
      <c r="R11" s="24"/>
      <c r="S11" s="24"/>
      <c r="T11" s="24"/>
      <c r="U11" s="24"/>
      <c r="V11" s="24"/>
      <c r="W11" s="24"/>
      <c r="X11" s="24"/>
      <c r="Y11" s="24"/>
      <c r="Z11" s="24"/>
      <c r="AA11" s="24"/>
      <c r="AB11" s="24"/>
      <c r="AC11" s="24"/>
      <c r="AD11" s="24"/>
    </row>
    <row r="12" spans="1:30" ht="43.5">
      <c r="A12" s="121" t="s">
        <v>6007</v>
      </c>
      <c r="B12" s="121" t="s">
        <v>18</v>
      </c>
      <c r="C12" s="79" t="s">
        <v>6008</v>
      </c>
      <c r="D12" s="25" t="s">
        <v>6009</v>
      </c>
      <c r="E12" s="25" t="s">
        <v>6010</v>
      </c>
      <c r="F12" s="184"/>
      <c r="G12" s="186"/>
      <c r="H12" s="64"/>
      <c r="I12" s="182" t="b">
        <f t="shared" si="1"/>
        <v>0</v>
      </c>
      <c r="J12" s="24"/>
      <c r="K12" s="24"/>
      <c r="L12" s="24"/>
      <c r="M12" s="24"/>
      <c r="N12" s="24"/>
      <c r="O12" s="24"/>
      <c r="P12" s="24"/>
      <c r="Q12" s="24"/>
      <c r="R12" s="24"/>
      <c r="S12" s="24"/>
      <c r="T12" s="24"/>
      <c r="U12" s="24"/>
      <c r="V12" s="24"/>
      <c r="W12" s="24"/>
      <c r="X12" s="24"/>
      <c r="Y12" s="24"/>
      <c r="Z12" s="24"/>
      <c r="AA12" s="24"/>
      <c r="AB12" s="24"/>
      <c r="AC12" s="24"/>
      <c r="AD12" s="24"/>
    </row>
    <row r="13" spans="1:30" ht="86.95">
      <c r="A13" s="121" t="s">
        <v>6014</v>
      </c>
      <c r="B13" s="121" t="s">
        <v>18</v>
      </c>
      <c r="C13" s="79" t="s">
        <v>6015</v>
      </c>
      <c r="D13" s="25" t="s">
        <v>6016</v>
      </c>
      <c r="E13" s="25" t="s">
        <v>6017</v>
      </c>
      <c r="F13" s="141" t="str">
        <f>HYPERLINK("https://www.acquisition.gov/content/part-4-administrative-matters#iSubpart_4_10","FAR 4.10")</f>
        <v>FAR 4.10</v>
      </c>
      <c r="G13" s="186"/>
      <c r="H13" s="64"/>
      <c r="I13" s="182" t="b">
        <f t="shared" si="1"/>
        <v>0</v>
      </c>
      <c r="J13" s="24"/>
      <c r="K13" s="24"/>
      <c r="L13" s="24"/>
      <c r="M13" s="24"/>
      <c r="N13" s="24"/>
      <c r="O13" s="24"/>
      <c r="P13" s="24"/>
      <c r="Q13" s="24"/>
      <c r="R13" s="24"/>
      <c r="S13" s="24"/>
      <c r="T13" s="24"/>
      <c r="U13" s="24"/>
      <c r="V13" s="24"/>
      <c r="W13" s="24"/>
      <c r="X13" s="24"/>
      <c r="Y13" s="24"/>
      <c r="Z13" s="24"/>
      <c r="AA13" s="24"/>
      <c r="AB13" s="24"/>
      <c r="AC13" s="24"/>
      <c r="AD13" s="24"/>
    </row>
    <row r="14" spans="1:30" ht="76.099999999999994">
      <c r="A14" s="121" t="s">
        <v>6019</v>
      </c>
      <c r="B14" s="121" t="s">
        <v>18</v>
      </c>
      <c r="C14" s="79" t="s">
        <v>6020</v>
      </c>
      <c r="D14" s="25" t="s">
        <v>6021</v>
      </c>
      <c r="E14" s="25" t="s">
        <v>6022</v>
      </c>
      <c r="F14" s="184"/>
      <c r="G14" s="186"/>
      <c r="H14" s="64"/>
      <c r="I14" s="182" t="b">
        <f t="shared" si="1"/>
        <v>0</v>
      </c>
      <c r="J14" s="24"/>
      <c r="K14" s="24"/>
      <c r="L14" s="24"/>
      <c r="M14" s="24"/>
      <c r="N14" s="24"/>
      <c r="O14" s="24"/>
      <c r="P14" s="24"/>
      <c r="Q14" s="24"/>
      <c r="R14" s="24"/>
      <c r="S14" s="24"/>
      <c r="T14" s="24"/>
      <c r="U14" s="24"/>
      <c r="V14" s="24"/>
      <c r="W14" s="24"/>
      <c r="X14" s="24"/>
      <c r="Y14" s="24"/>
      <c r="Z14" s="24"/>
      <c r="AA14" s="24"/>
      <c r="AB14" s="24"/>
      <c r="AC14" s="24"/>
      <c r="AD14" s="24"/>
    </row>
    <row r="15" spans="1:30" ht="54.35">
      <c r="A15" s="121" t="s">
        <v>6026</v>
      </c>
      <c r="B15" s="121" t="s">
        <v>18</v>
      </c>
      <c r="C15" s="79" t="s">
        <v>6027</v>
      </c>
      <c r="D15" s="79" t="s">
        <v>6028</v>
      </c>
      <c r="E15" s="25" t="s">
        <v>6029</v>
      </c>
      <c r="F15" s="121"/>
      <c r="G15" s="183"/>
      <c r="H15" s="64"/>
      <c r="I15" s="182" t="b">
        <f t="shared" si="1"/>
        <v>0</v>
      </c>
      <c r="J15" s="24"/>
      <c r="K15" s="24"/>
      <c r="L15" s="24"/>
      <c r="M15" s="24"/>
      <c r="N15" s="24"/>
      <c r="O15" s="24"/>
      <c r="P15" s="24"/>
      <c r="Q15" s="24"/>
      <c r="R15" s="24"/>
      <c r="S15" s="24"/>
      <c r="T15" s="24"/>
      <c r="U15" s="24"/>
      <c r="V15" s="24"/>
      <c r="W15" s="24"/>
      <c r="X15" s="24"/>
      <c r="Y15" s="24"/>
      <c r="Z15" s="24"/>
      <c r="AA15" s="24"/>
      <c r="AB15" s="24"/>
      <c r="AC15" s="24"/>
      <c r="AD15" s="24"/>
    </row>
    <row r="16" spans="1:30" ht="86.95">
      <c r="A16" s="121" t="s">
        <v>6031</v>
      </c>
      <c r="B16" s="121" t="s">
        <v>18</v>
      </c>
      <c r="C16" s="122" t="s">
        <v>6033</v>
      </c>
      <c r="D16" s="25" t="s">
        <v>6035</v>
      </c>
      <c r="E16" s="25" t="s">
        <v>6037</v>
      </c>
      <c r="F16" s="121"/>
      <c r="G16" s="183"/>
      <c r="H16" s="64"/>
      <c r="I16" s="182" t="b">
        <f t="shared" si="1"/>
        <v>0</v>
      </c>
      <c r="J16" s="24"/>
      <c r="K16" s="24"/>
      <c r="L16" s="24"/>
      <c r="M16" s="24"/>
      <c r="N16" s="24"/>
      <c r="O16" s="24"/>
      <c r="P16" s="24"/>
      <c r="Q16" s="24"/>
      <c r="R16" s="24"/>
      <c r="S16" s="24"/>
      <c r="T16" s="24"/>
      <c r="U16" s="24"/>
      <c r="V16" s="24"/>
      <c r="W16" s="24"/>
      <c r="X16" s="24"/>
      <c r="Y16" s="24"/>
      <c r="Z16" s="24"/>
      <c r="AA16" s="24"/>
      <c r="AB16" s="24"/>
      <c r="AC16" s="24"/>
      <c r="AD16" s="24"/>
    </row>
    <row r="17" spans="1:30" ht="43.5">
      <c r="A17" s="121" t="s">
        <v>6038</v>
      </c>
      <c r="B17" s="121" t="s">
        <v>18</v>
      </c>
      <c r="C17" s="25" t="s">
        <v>6039</v>
      </c>
      <c r="D17" s="25" t="s">
        <v>6040</v>
      </c>
      <c r="E17" s="25" t="s">
        <v>6042</v>
      </c>
      <c r="F17" s="121"/>
      <c r="G17" s="183"/>
      <c r="H17" s="64"/>
      <c r="I17" s="182" t="b">
        <f t="shared" si="1"/>
        <v>0</v>
      </c>
      <c r="J17" s="24"/>
      <c r="K17" s="24"/>
      <c r="L17" s="24"/>
      <c r="M17" s="24"/>
      <c r="N17" s="24"/>
      <c r="O17" s="24"/>
      <c r="P17" s="24"/>
      <c r="Q17" s="24"/>
      <c r="R17" s="24"/>
      <c r="S17" s="24"/>
      <c r="T17" s="24"/>
      <c r="U17" s="24"/>
      <c r="V17" s="24"/>
      <c r="W17" s="24"/>
      <c r="X17" s="24"/>
      <c r="Y17" s="24"/>
      <c r="Z17" s="24"/>
      <c r="AA17" s="24"/>
      <c r="AB17" s="24"/>
      <c r="AC17" s="24"/>
      <c r="AD17" s="24"/>
    </row>
    <row r="18" spans="1:30" ht="43.5">
      <c r="A18" s="121" t="s">
        <v>6045</v>
      </c>
      <c r="B18" s="121" t="s">
        <v>18</v>
      </c>
      <c r="C18" s="79" t="s">
        <v>6046</v>
      </c>
      <c r="D18" s="25" t="s">
        <v>6047</v>
      </c>
      <c r="E18" s="25" t="s">
        <v>6048</v>
      </c>
      <c r="F18" s="121"/>
      <c r="G18" s="121"/>
      <c r="H18" s="64"/>
      <c r="I18" s="182" t="b">
        <f t="shared" si="1"/>
        <v>0</v>
      </c>
      <c r="J18" s="24"/>
      <c r="K18" s="24"/>
      <c r="L18" s="24"/>
      <c r="M18" s="24"/>
      <c r="N18" s="24"/>
      <c r="O18" s="24"/>
      <c r="P18" s="24"/>
      <c r="Q18" s="24"/>
      <c r="R18" s="24"/>
      <c r="S18" s="24"/>
      <c r="T18" s="24"/>
      <c r="U18" s="24"/>
      <c r="V18" s="24"/>
      <c r="W18" s="24"/>
      <c r="X18" s="24"/>
      <c r="Y18" s="24"/>
      <c r="Z18" s="24"/>
      <c r="AA18" s="24"/>
      <c r="AB18" s="24"/>
      <c r="AC18" s="24"/>
      <c r="AD18" s="24"/>
    </row>
    <row r="19" spans="1:30" ht="32.6">
      <c r="A19" s="121" t="s">
        <v>6049</v>
      </c>
      <c r="B19" s="121" t="s">
        <v>18</v>
      </c>
      <c r="C19" s="79" t="s">
        <v>6050</v>
      </c>
      <c r="D19" s="25" t="s">
        <v>6051</v>
      </c>
      <c r="E19" s="25" t="s">
        <v>6052</v>
      </c>
      <c r="F19" s="183"/>
      <c r="G19" s="121"/>
      <c r="H19" s="64"/>
      <c r="I19" s="182" t="b">
        <f t="shared" si="1"/>
        <v>0</v>
      </c>
      <c r="J19" s="24"/>
      <c r="K19" s="24"/>
      <c r="L19" s="24"/>
      <c r="M19" s="24"/>
      <c r="N19" s="24"/>
      <c r="O19" s="24"/>
      <c r="P19" s="24"/>
      <c r="Q19" s="24"/>
      <c r="R19" s="24"/>
      <c r="S19" s="24"/>
      <c r="T19" s="24"/>
      <c r="U19" s="24"/>
      <c r="V19" s="24"/>
      <c r="W19" s="24"/>
      <c r="X19" s="24"/>
      <c r="Y19" s="24"/>
      <c r="Z19" s="24"/>
      <c r="AA19" s="24"/>
      <c r="AB19" s="24"/>
      <c r="AC19" s="24"/>
      <c r="AD19" s="24"/>
    </row>
    <row r="20" spans="1:30" ht="43.5">
      <c r="A20" s="121" t="s">
        <v>6053</v>
      </c>
      <c r="B20" s="121" t="s">
        <v>18</v>
      </c>
      <c r="C20" s="79" t="s">
        <v>6054</v>
      </c>
      <c r="D20" s="25" t="s">
        <v>6055</v>
      </c>
      <c r="E20" s="25" t="s">
        <v>6056</v>
      </c>
      <c r="F20" s="183"/>
      <c r="G20" s="121"/>
      <c r="H20" s="64"/>
      <c r="I20" s="182" t="b">
        <f t="shared" si="1"/>
        <v>0</v>
      </c>
      <c r="J20" s="24"/>
      <c r="K20" s="24"/>
      <c r="L20" s="24"/>
      <c r="M20" s="24"/>
      <c r="N20" s="24"/>
      <c r="O20" s="24"/>
      <c r="P20" s="24"/>
      <c r="Q20" s="24"/>
      <c r="R20" s="24"/>
      <c r="S20" s="24"/>
      <c r="T20" s="24"/>
      <c r="U20" s="24"/>
      <c r="V20" s="24"/>
      <c r="W20" s="24"/>
      <c r="X20" s="24"/>
      <c r="Y20" s="24"/>
      <c r="Z20" s="24"/>
      <c r="AA20" s="24"/>
      <c r="AB20" s="24"/>
      <c r="AC20" s="24"/>
      <c r="AD20" s="24"/>
    </row>
    <row r="21" spans="1:30" ht="32.6">
      <c r="A21" s="121" t="s">
        <v>6057</v>
      </c>
      <c r="B21" s="121" t="s">
        <v>18</v>
      </c>
      <c r="C21" s="79" t="s">
        <v>6058</v>
      </c>
      <c r="D21" s="25" t="s">
        <v>6059</v>
      </c>
      <c r="E21" s="25" t="s">
        <v>6060</v>
      </c>
      <c r="F21" s="141" t="str">
        <f>HYPERLINK("https://www.acquisition.gov/content/part-3-improper-business-practices-and-personal-conflicts-interest#i1124830","FAR 3.104-4")</f>
        <v>FAR 3.104-4</v>
      </c>
      <c r="G21" s="121"/>
      <c r="H21" s="64"/>
      <c r="I21" s="182" t="b">
        <f t="shared" si="1"/>
        <v>0</v>
      </c>
      <c r="J21" s="24"/>
      <c r="K21" s="24"/>
      <c r="L21" s="24"/>
      <c r="M21" s="24"/>
      <c r="N21" s="24"/>
      <c r="O21" s="24"/>
      <c r="P21" s="24"/>
      <c r="Q21" s="24"/>
      <c r="R21" s="24"/>
      <c r="S21" s="24"/>
      <c r="T21" s="24"/>
      <c r="U21" s="24"/>
      <c r="V21" s="24"/>
      <c r="W21" s="24"/>
      <c r="X21" s="24"/>
      <c r="Y21" s="24"/>
      <c r="Z21" s="24"/>
      <c r="AA21" s="24"/>
      <c r="AB21" s="24"/>
      <c r="AC21" s="24"/>
      <c r="AD21" s="24"/>
    </row>
    <row r="22" spans="1:30" ht="43.5">
      <c r="A22" s="121" t="s">
        <v>6063</v>
      </c>
      <c r="B22" s="121" t="s">
        <v>18</v>
      </c>
      <c r="C22" s="41" t="s">
        <v>6064</v>
      </c>
      <c r="D22" s="25" t="s">
        <v>6065</v>
      </c>
      <c r="E22" s="25" t="s">
        <v>6066</v>
      </c>
      <c r="F22" s="183"/>
      <c r="G22" s="121"/>
      <c r="H22" s="64"/>
      <c r="I22" s="182" t="b">
        <f t="shared" si="1"/>
        <v>0</v>
      </c>
      <c r="J22" s="24"/>
      <c r="K22" s="24"/>
      <c r="L22" s="24"/>
      <c r="M22" s="24"/>
      <c r="N22" s="24"/>
      <c r="O22" s="24"/>
      <c r="P22" s="24"/>
      <c r="Q22" s="24"/>
      <c r="R22" s="24"/>
      <c r="S22" s="24"/>
      <c r="T22" s="24"/>
      <c r="U22" s="24"/>
      <c r="V22" s="24"/>
      <c r="W22" s="24"/>
      <c r="X22" s="24"/>
      <c r="Y22" s="24"/>
      <c r="Z22" s="24"/>
      <c r="AA22" s="24"/>
      <c r="AB22" s="24"/>
      <c r="AC22" s="24"/>
      <c r="AD22" s="24"/>
    </row>
    <row r="23" spans="1:30" ht="43.5">
      <c r="A23" s="121" t="s">
        <v>6068</v>
      </c>
      <c r="B23" s="121" t="s">
        <v>18</v>
      </c>
      <c r="C23" s="25" t="s">
        <v>6070</v>
      </c>
      <c r="D23" s="25" t="s">
        <v>6072</v>
      </c>
      <c r="E23" s="25" t="s">
        <v>6073</v>
      </c>
      <c r="F23" s="183"/>
      <c r="G23" s="121"/>
      <c r="H23" s="64"/>
      <c r="I23" s="182" t="b">
        <f t="shared" si="1"/>
        <v>0</v>
      </c>
      <c r="J23" s="24"/>
      <c r="K23" s="24"/>
      <c r="L23" s="24"/>
      <c r="M23" s="24"/>
      <c r="N23" s="24"/>
      <c r="O23" s="24"/>
      <c r="P23" s="24"/>
      <c r="Q23" s="24"/>
      <c r="R23" s="24"/>
      <c r="S23" s="24"/>
      <c r="T23" s="24"/>
      <c r="U23" s="24"/>
      <c r="V23" s="24"/>
      <c r="W23" s="24"/>
      <c r="X23" s="24"/>
      <c r="Y23" s="24"/>
      <c r="Z23" s="24"/>
      <c r="AA23" s="24"/>
      <c r="AB23" s="24"/>
      <c r="AC23" s="24"/>
      <c r="AD23" s="24"/>
    </row>
    <row r="24" spans="1:30" ht="43.5">
      <c r="A24" s="121" t="s">
        <v>6074</v>
      </c>
      <c r="B24" s="121" t="s">
        <v>18</v>
      </c>
      <c r="C24" s="79" t="s">
        <v>6075</v>
      </c>
      <c r="D24" s="25" t="s">
        <v>6076</v>
      </c>
      <c r="E24" s="25" t="s">
        <v>6077</v>
      </c>
      <c r="F24" s="183"/>
      <c r="G24" s="187"/>
      <c r="H24" s="64"/>
      <c r="I24" s="182" t="b">
        <f t="shared" si="1"/>
        <v>0</v>
      </c>
      <c r="J24" s="24"/>
      <c r="K24" s="24"/>
      <c r="L24" s="24"/>
      <c r="M24" s="24"/>
      <c r="N24" s="24"/>
      <c r="O24" s="24"/>
      <c r="P24" s="24"/>
      <c r="Q24" s="24"/>
      <c r="R24" s="24"/>
      <c r="S24" s="24"/>
      <c r="T24" s="24"/>
      <c r="U24" s="24"/>
      <c r="V24" s="24"/>
      <c r="W24" s="24"/>
      <c r="X24" s="24"/>
      <c r="Y24" s="24"/>
      <c r="Z24" s="24"/>
      <c r="AA24" s="24"/>
      <c r="AB24" s="24"/>
      <c r="AC24" s="24"/>
      <c r="AD24" s="24"/>
    </row>
    <row r="25" spans="1:30" ht="108.7">
      <c r="A25" s="121" t="s">
        <v>6081</v>
      </c>
      <c r="B25" s="121" t="s">
        <v>18</v>
      </c>
      <c r="C25" s="79" t="s">
        <v>6082</v>
      </c>
      <c r="D25" s="25" t="s">
        <v>6083</v>
      </c>
      <c r="E25" s="25" t="s">
        <v>6084</v>
      </c>
      <c r="F25" s="183"/>
      <c r="G25" s="187"/>
      <c r="H25" s="64"/>
      <c r="I25" s="182" t="b">
        <f t="shared" si="1"/>
        <v>0</v>
      </c>
      <c r="J25" s="24"/>
      <c r="K25" s="24"/>
      <c r="L25" s="24"/>
      <c r="M25" s="24"/>
      <c r="N25" s="24"/>
      <c r="O25" s="24"/>
      <c r="P25" s="24"/>
      <c r="Q25" s="24"/>
      <c r="R25" s="24"/>
      <c r="S25" s="24"/>
      <c r="T25" s="24"/>
      <c r="U25" s="24"/>
      <c r="V25" s="24"/>
      <c r="W25" s="24"/>
      <c r="X25" s="24"/>
      <c r="Y25" s="24"/>
      <c r="Z25" s="24"/>
      <c r="AA25" s="24"/>
      <c r="AB25" s="24"/>
      <c r="AC25" s="24"/>
      <c r="AD25" s="24"/>
    </row>
    <row r="26" spans="1:30" ht="76.099999999999994">
      <c r="A26" s="121" t="s">
        <v>6085</v>
      </c>
      <c r="B26" s="121" t="s">
        <v>18</v>
      </c>
      <c r="C26" s="79" t="s">
        <v>6086</v>
      </c>
      <c r="D26" s="58" t="s">
        <v>6087</v>
      </c>
      <c r="E26" s="25" t="s">
        <v>6088</v>
      </c>
      <c r="F26" s="188"/>
      <c r="G26" s="187"/>
      <c r="H26" s="64"/>
      <c r="I26" s="182" t="b">
        <f t="shared" si="1"/>
        <v>0</v>
      </c>
      <c r="J26" s="140"/>
      <c r="K26" s="140"/>
      <c r="L26" s="140"/>
      <c r="M26" s="140"/>
      <c r="N26" s="140"/>
      <c r="O26" s="140"/>
      <c r="P26" s="140"/>
      <c r="Q26" s="140"/>
      <c r="R26" s="140"/>
      <c r="S26" s="140"/>
      <c r="T26" s="140"/>
      <c r="U26" s="140"/>
      <c r="V26" s="140"/>
      <c r="W26" s="140"/>
      <c r="X26" s="140"/>
      <c r="Y26" s="140"/>
      <c r="Z26" s="140"/>
      <c r="AA26" s="140"/>
      <c r="AB26" s="140"/>
      <c r="AC26" s="140"/>
      <c r="AD26" s="140"/>
    </row>
    <row r="27" spans="1:30" ht="65.25">
      <c r="A27" s="121" t="s">
        <v>6093</v>
      </c>
      <c r="B27" s="121" t="s">
        <v>18</v>
      </c>
      <c r="C27" s="79" t="s">
        <v>6094</v>
      </c>
      <c r="D27" s="25" t="s">
        <v>6095</v>
      </c>
      <c r="E27" s="25" t="s">
        <v>6096</v>
      </c>
      <c r="F27" s="188"/>
      <c r="G27" s="187"/>
      <c r="H27" s="64"/>
      <c r="I27" s="182" t="b">
        <f t="shared" si="1"/>
        <v>0</v>
      </c>
      <c r="J27" s="140"/>
      <c r="K27" s="140"/>
      <c r="L27" s="140"/>
      <c r="M27" s="140"/>
      <c r="N27" s="140"/>
      <c r="O27" s="140"/>
      <c r="P27" s="140"/>
      <c r="Q27" s="140"/>
      <c r="R27" s="140"/>
      <c r="S27" s="140"/>
      <c r="T27" s="140"/>
      <c r="U27" s="140"/>
      <c r="V27" s="140"/>
      <c r="W27" s="140"/>
      <c r="X27" s="140"/>
      <c r="Y27" s="140"/>
      <c r="Z27" s="140"/>
      <c r="AA27" s="140"/>
      <c r="AB27" s="140"/>
      <c r="AC27" s="140"/>
      <c r="AD27" s="140"/>
    </row>
    <row r="28" spans="1:30" ht="97.85">
      <c r="A28" s="121" t="s">
        <v>6097</v>
      </c>
      <c r="B28" s="121" t="s">
        <v>18</v>
      </c>
      <c r="C28" s="79" t="s">
        <v>6098</v>
      </c>
      <c r="D28" s="25" t="s">
        <v>6099</v>
      </c>
      <c r="E28" s="25" t="s">
        <v>6100</v>
      </c>
      <c r="F28" s="183"/>
      <c r="G28" s="187"/>
      <c r="H28" s="64"/>
      <c r="I28" s="182" t="b">
        <f t="shared" si="1"/>
        <v>0</v>
      </c>
      <c r="J28" s="24"/>
      <c r="K28" s="24"/>
      <c r="L28" s="24"/>
      <c r="M28" s="24"/>
      <c r="N28" s="24"/>
      <c r="O28" s="24"/>
      <c r="P28" s="24"/>
      <c r="Q28" s="24"/>
      <c r="R28" s="24"/>
      <c r="S28" s="24"/>
      <c r="T28" s="24"/>
      <c r="U28" s="24"/>
      <c r="V28" s="24"/>
      <c r="W28" s="24"/>
      <c r="X28" s="24"/>
      <c r="Y28" s="24"/>
      <c r="Z28" s="24"/>
      <c r="AA28" s="24"/>
      <c r="AB28" s="24"/>
      <c r="AC28" s="24"/>
      <c r="AD28" s="24"/>
    </row>
    <row r="29" spans="1:30" ht="97.85">
      <c r="A29" s="121" t="s">
        <v>6101</v>
      </c>
      <c r="B29" s="121" t="s">
        <v>18</v>
      </c>
      <c r="C29" s="79" t="s">
        <v>6103</v>
      </c>
      <c r="D29" s="25" t="s">
        <v>6099</v>
      </c>
      <c r="E29" s="25" t="s">
        <v>6100</v>
      </c>
      <c r="F29" s="183"/>
      <c r="G29" s="187"/>
      <c r="H29" s="64"/>
      <c r="I29" s="182" t="b">
        <f t="shared" si="1"/>
        <v>0</v>
      </c>
      <c r="J29" s="24"/>
      <c r="K29" s="24"/>
      <c r="L29" s="24"/>
      <c r="M29" s="24"/>
      <c r="N29" s="24"/>
      <c r="O29" s="24"/>
      <c r="P29" s="24"/>
      <c r="Q29" s="24"/>
      <c r="R29" s="24"/>
      <c r="S29" s="24"/>
      <c r="T29" s="24"/>
      <c r="U29" s="24"/>
      <c r="V29" s="24"/>
      <c r="W29" s="24"/>
      <c r="X29" s="24"/>
      <c r="Y29" s="24"/>
      <c r="Z29" s="24"/>
      <c r="AA29" s="24"/>
      <c r="AB29" s="24"/>
      <c r="AC29" s="24"/>
      <c r="AD29" s="24"/>
    </row>
    <row r="30" spans="1:30" ht="65.25">
      <c r="A30" s="121" t="s">
        <v>6104</v>
      </c>
      <c r="B30" s="121" t="s">
        <v>18</v>
      </c>
      <c r="C30" s="79" t="s">
        <v>6105</v>
      </c>
      <c r="D30" s="25" t="s">
        <v>6095</v>
      </c>
      <c r="E30" s="25" t="s">
        <v>6106</v>
      </c>
      <c r="F30" s="183"/>
      <c r="G30" s="187"/>
      <c r="H30" s="64"/>
      <c r="I30" s="182" t="b">
        <f t="shared" si="1"/>
        <v>0</v>
      </c>
      <c r="J30" s="24"/>
      <c r="K30" s="24"/>
      <c r="L30" s="24"/>
      <c r="M30" s="24"/>
      <c r="N30" s="24"/>
      <c r="O30" s="24"/>
      <c r="P30" s="24"/>
      <c r="Q30" s="24"/>
      <c r="R30" s="24"/>
      <c r="S30" s="24"/>
      <c r="T30" s="24"/>
      <c r="U30" s="24"/>
      <c r="V30" s="24"/>
      <c r="W30" s="24"/>
      <c r="X30" s="24"/>
      <c r="Y30" s="24"/>
      <c r="Z30" s="24"/>
      <c r="AA30" s="24"/>
      <c r="AB30" s="24"/>
      <c r="AC30" s="24"/>
      <c r="AD30" s="24"/>
    </row>
    <row r="31" spans="1:30" ht="43.5">
      <c r="A31" s="121" t="s">
        <v>6108</v>
      </c>
      <c r="B31" s="121" t="s">
        <v>18</v>
      </c>
      <c r="C31" s="79" t="s">
        <v>6109</v>
      </c>
      <c r="D31" s="25" t="s">
        <v>6110</v>
      </c>
      <c r="E31" s="25" t="s">
        <v>6111</v>
      </c>
      <c r="F31" s="183"/>
      <c r="G31" s="187"/>
      <c r="H31" s="64"/>
      <c r="I31" s="182" t="b">
        <f t="shared" si="1"/>
        <v>0</v>
      </c>
      <c r="J31" s="24"/>
      <c r="K31" s="24"/>
      <c r="L31" s="24"/>
      <c r="M31" s="24"/>
      <c r="N31" s="24"/>
      <c r="O31" s="24"/>
      <c r="P31" s="24"/>
      <c r="Q31" s="24"/>
      <c r="R31" s="24"/>
      <c r="S31" s="24"/>
      <c r="T31" s="24"/>
      <c r="U31" s="24"/>
      <c r="V31" s="24"/>
      <c r="W31" s="24"/>
      <c r="X31" s="24"/>
      <c r="Y31" s="24"/>
      <c r="Z31" s="24"/>
      <c r="AA31" s="24"/>
      <c r="AB31" s="24"/>
      <c r="AC31" s="24"/>
      <c r="AD31" s="24"/>
    </row>
    <row r="32" spans="1:30" ht="32.6">
      <c r="A32" s="121" t="s">
        <v>6112</v>
      </c>
      <c r="B32" s="121" t="s">
        <v>18</v>
      </c>
      <c r="C32" s="79" t="s">
        <v>6113</v>
      </c>
      <c r="D32" s="25" t="s">
        <v>6114</v>
      </c>
      <c r="E32" s="25" t="s">
        <v>6115</v>
      </c>
      <c r="F32" s="183"/>
      <c r="G32" s="121"/>
      <c r="H32" s="64"/>
      <c r="I32" s="182" t="b">
        <f t="shared" si="1"/>
        <v>0</v>
      </c>
      <c r="J32" s="24"/>
      <c r="K32" s="24"/>
      <c r="L32" s="24"/>
      <c r="M32" s="24"/>
      <c r="N32" s="24"/>
      <c r="O32" s="24"/>
      <c r="P32" s="24"/>
      <c r="Q32" s="24"/>
      <c r="R32" s="24"/>
      <c r="S32" s="24"/>
      <c r="T32" s="24"/>
      <c r="U32" s="24"/>
      <c r="V32" s="24"/>
      <c r="W32" s="24"/>
      <c r="X32" s="24"/>
      <c r="Y32" s="24"/>
      <c r="Z32" s="24"/>
      <c r="AA32" s="24"/>
      <c r="AB32" s="24"/>
      <c r="AC32" s="24"/>
      <c r="AD32" s="24"/>
    </row>
    <row r="33" spans="1:30" ht="32.6">
      <c r="A33" s="121" t="s">
        <v>6117</v>
      </c>
      <c r="B33" s="121" t="s">
        <v>18</v>
      </c>
      <c r="C33" s="79" t="s">
        <v>6118</v>
      </c>
      <c r="D33" s="25" t="s">
        <v>6119</v>
      </c>
      <c r="E33" s="25" t="s">
        <v>6120</v>
      </c>
      <c r="F33" s="183"/>
      <c r="G33" s="121"/>
      <c r="H33" s="64"/>
      <c r="I33" s="182" t="b">
        <f t="shared" si="1"/>
        <v>0</v>
      </c>
      <c r="J33" s="24"/>
      <c r="K33" s="24"/>
      <c r="L33" s="24"/>
      <c r="M33" s="24"/>
      <c r="N33" s="24"/>
      <c r="O33" s="24"/>
      <c r="P33" s="24"/>
      <c r="Q33" s="24"/>
      <c r="R33" s="24"/>
      <c r="S33" s="24"/>
      <c r="T33" s="24"/>
      <c r="U33" s="24"/>
      <c r="V33" s="24"/>
      <c r="W33" s="24"/>
      <c r="X33" s="24"/>
      <c r="Y33" s="24"/>
      <c r="Z33" s="24"/>
      <c r="AA33" s="24"/>
      <c r="AB33" s="24"/>
      <c r="AC33" s="24"/>
      <c r="AD33" s="24"/>
    </row>
    <row r="34" spans="1:30" ht="32.6">
      <c r="A34" s="121" t="s">
        <v>6122</v>
      </c>
      <c r="B34" s="121" t="s">
        <v>18</v>
      </c>
      <c r="C34" s="79" t="s">
        <v>6123</v>
      </c>
      <c r="D34" s="25" t="s">
        <v>6124</v>
      </c>
      <c r="E34" s="25" t="s">
        <v>6125</v>
      </c>
      <c r="F34" s="183"/>
      <c r="G34" s="121"/>
      <c r="H34" s="64"/>
      <c r="I34" s="182" t="b">
        <f t="shared" si="1"/>
        <v>0</v>
      </c>
      <c r="J34" s="24"/>
      <c r="K34" s="24"/>
      <c r="L34" s="24"/>
      <c r="M34" s="24"/>
      <c r="N34" s="24"/>
      <c r="O34" s="24"/>
      <c r="P34" s="24"/>
      <c r="Q34" s="24"/>
      <c r="R34" s="24"/>
      <c r="S34" s="24"/>
      <c r="T34" s="24"/>
      <c r="U34" s="24"/>
      <c r="V34" s="24"/>
      <c r="W34" s="24"/>
      <c r="X34" s="24"/>
      <c r="Y34" s="24"/>
      <c r="Z34" s="24"/>
      <c r="AA34" s="24"/>
      <c r="AB34" s="24"/>
      <c r="AC34" s="24"/>
      <c r="AD34" s="24"/>
    </row>
    <row r="35" spans="1:30" ht="141.30000000000001">
      <c r="A35" s="121" t="s">
        <v>6126</v>
      </c>
      <c r="B35" s="121" t="s">
        <v>18</v>
      </c>
      <c r="C35" s="79" t="s">
        <v>6127</v>
      </c>
      <c r="D35" s="25" t="s">
        <v>6128</v>
      </c>
      <c r="E35" s="25" t="s">
        <v>6129</v>
      </c>
      <c r="F35" s="141" t="str">
        <f t="shared" ref="F35:F37" si="2">HYPERLINK("https://www.acquisition.gov/content/part-4-administrative-matters#iSubpart_4_10","FAR 4.10")</f>
        <v>FAR 4.10</v>
      </c>
      <c r="G35" s="121"/>
      <c r="H35" s="64"/>
      <c r="I35" s="182" t="b">
        <f t="shared" si="1"/>
        <v>0</v>
      </c>
      <c r="J35" s="24"/>
      <c r="K35" s="24"/>
      <c r="L35" s="24"/>
      <c r="M35" s="24"/>
      <c r="N35" s="24"/>
      <c r="O35" s="24"/>
      <c r="P35" s="24"/>
      <c r="Q35" s="24"/>
      <c r="R35" s="24"/>
      <c r="S35" s="24"/>
      <c r="T35" s="24"/>
      <c r="U35" s="24"/>
      <c r="V35" s="24"/>
      <c r="W35" s="24"/>
      <c r="X35" s="24"/>
      <c r="Y35" s="24"/>
      <c r="Z35" s="24"/>
      <c r="AA35" s="24"/>
      <c r="AB35" s="24"/>
      <c r="AC35" s="24"/>
      <c r="AD35" s="24"/>
    </row>
    <row r="36" spans="1:30" ht="43.5">
      <c r="A36" s="121" t="s">
        <v>6136</v>
      </c>
      <c r="B36" s="121" t="s">
        <v>18</v>
      </c>
      <c r="C36" s="79" t="s">
        <v>6138</v>
      </c>
      <c r="D36" s="25" t="s">
        <v>6139</v>
      </c>
      <c r="E36" s="25" t="s">
        <v>6140</v>
      </c>
      <c r="F36" s="141" t="str">
        <f t="shared" si="2"/>
        <v>FAR 4.10</v>
      </c>
      <c r="G36" s="121"/>
      <c r="H36" s="64"/>
      <c r="I36" s="182" t="b">
        <f t="shared" si="1"/>
        <v>0</v>
      </c>
      <c r="J36" s="24"/>
      <c r="K36" s="24"/>
      <c r="L36" s="24"/>
      <c r="M36" s="24"/>
      <c r="N36" s="24"/>
      <c r="O36" s="24"/>
      <c r="P36" s="24"/>
      <c r="Q36" s="24"/>
      <c r="R36" s="24"/>
      <c r="S36" s="24"/>
      <c r="T36" s="24"/>
      <c r="U36" s="24"/>
      <c r="V36" s="24"/>
      <c r="W36" s="24"/>
      <c r="X36" s="24"/>
      <c r="Y36" s="24"/>
      <c r="Z36" s="24"/>
      <c r="AA36" s="24"/>
      <c r="AB36" s="24"/>
      <c r="AC36" s="24"/>
      <c r="AD36" s="24"/>
    </row>
    <row r="37" spans="1:30" ht="43.5">
      <c r="A37" s="121" t="s">
        <v>6144</v>
      </c>
      <c r="B37" s="121" t="s">
        <v>18</v>
      </c>
      <c r="C37" s="79" t="s">
        <v>6145</v>
      </c>
      <c r="D37" s="25" t="s">
        <v>6146</v>
      </c>
      <c r="E37" s="25" t="s">
        <v>6147</v>
      </c>
      <c r="F37" s="141" t="str">
        <f t="shared" si="2"/>
        <v>FAR 4.10</v>
      </c>
      <c r="G37" s="121"/>
      <c r="H37" s="64"/>
      <c r="I37" s="182" t="b">
        <f t="shared" si="1"/>
        <v>0</v>
      </c>
      <c r="J37" s="24"/>
      <c r="K37" s="24"/>
      <c r="L37" s="24"/>
      <c r="M37" s="24"/>
      <c r="N37" s="24"/>
      <c r="O37" s="24"/>
      <c r="P37" s="24"/>
      <c r="Q37" s="24"/>
      <c r="R37" s="24"/>
      <c r="S37" s="24"/>
      <c r="T37" s="24"/>
      <c r="U37" s="24"/>
      <c r="V37" s="24"/>
      <c r="W37" s="24"/>
      <c r="X37" s="24"/>
      <c r="Y37" s="24"/>
      <c r="Z37" s="24"/>
      <c r="AA37" s="24"/>
      <c r="AB37" s="24"/>
      <c r="AC37" s="24"/>
      <c r="AD37" s="24"/>
    </row>
    <row r="38" spans="1:30" ht="54.35">
      <c r="A38" s="121" t="s">
        <v>6149</v>
      </c>
      <c r="B38" s="121" t="s">
        <v>18</v>
      </c>
      <c r="C38" s="79" t="s">
        <v>6151</v>
      </c>
      <c r="D38" s="25" t="s">
        <v>6152</v>
      </c>
      <c r="E38" s="25" t="s">
        <v>6153</v>
      </c>
      <c r="F38" s="183"/>
      <c r="G38" s="121"/>
      <c r="H38" s="64"/>
      <c r="I38" s="182" t="b">
        <f t="shared" si="1"/>
        <v>0</v>
      </c>
      <c r="J38" s="24"/>
      <c r="K38" s="24"/>
      <c r="L38" s="24"/>
      <c r="M38" s="24"/>
      <c r="N38" s="24"/>
      <c r="O38" s="24"/>
      <c r="P38" s="24"/>
      <c r="Q38" s="24"/>
      <c r="R38" s="24"/>
      <c r="S38" s="24"/>
      <c r="T38" s="24"/>
      <c r="U38" s="24"/>
      <c r="V38" s="24"/>
      <c r="W38" s="24"/>
      <c r="X38" s="24"/>
      <c r="Y38" s="24"/>
      <c r="Z38" s="24"/>
      <c r="AA38" s="24"/>
      <c r="AB38" s="24"/>
      <c r="AC38" s="24"/>
      <c r="AD38" s="24"/>
    </row>
    <row r="39" spans="1:30" ht="54.35">
      <c r="A39" s="121" t="s">
        <v>6154</v>
      </c>
      <c r="B39" s="121" t="s">
        <v>18</v>
      </c>
      <c r="C39" s="79" t="s">
        <v>6155</v>
      </c>
      <c r="D39" s="25" t="s">
        <v>6156</v>
      </c>
      <c r="E39" s="25" t="s">
        <v>6157</v>
      </c>
      <c r="F39" s="183"/>
      <c r="G39" s="121"/>
      <c r="H39" s="64"/>
      <c r="I39" s="182" t="b">
        <f t="shared" si="1"/>
        <v>0</v>
      </c>
      <c r="J39" s="24"/>
      <c r="K39" s="24"/>
      <c r="L39" s="24"/>
      <c r="M39" s="24"/>
      <c r="N39" s="24"/>
      <c r="O39" s="24"/>
      <c r="P39" s="24"/>
      <c r="Q39" s="24"/>
      <c r="R39" s="24"/>
      <c r="S39" s="24"/>
      <c r="T39" s="24"/>
      <c r="U39" s="24"/>
      <c r="V39" s="24"/>
      <c r="W39" s="24"/>
      <c r="X39" s="24"/>
      <c r="Y39" s="24"/>
      <c r="Z39" s="24"/>
      <c r="AA39" s="24"/>
      <c r="AB39" s="24"/>
      <c r="AC39" s="24"/>
      <c r="AD39" s="24"/>
    </row>
    <row r="40" spans="1:30" ht="315.2">
      <c r="A40" s="121" t="s">
        <v>6158</v>
      </c>
      <c r="B40" s="121" t="s">
        <v>18</v>
      </c>
      <c r="C40" s="25" t="s">
        <v>6159</v>
      </c>
      <c r="D40" s="25" t="s">
        <v>6160</v>
      </c>
      <c r="E40" s="25" t="s">
        <v>209</v>
      </c>
      <c r="F40" s="189" t="str">
        <f>HYPERLINK("https://www.acquisition.gov/content/4803-contents-contract-files#i1122357","FAR 4.803(a) Contracting office contract file [contents of contract files]")</f>
        <v>FAR 4.803(a) Contracting office contract file [contents of contract files]</v>
      </c>
      <c r="G40" s="141" t="str">
        <f>HYPERLINK("https://www.acquisition.gov/sites/default/files/current/gsam/html/Part504.html#wp1858232","GSAR 504.803")</f>
        <v>GSAR 504.803</v>
      </c>
      <c r="H40" s="64"/>
      <c r="I40" s="182" t="b">
        <f t="shared" si="1"/>
        <v>0</v>
      </c>
      <c r="J40" s="24"/>
      <c r="K40" s="24"/>
      <c r="L40" s="24"/>
      <c r="M40" s="24"/>
      <c r="N40" s="24"/>
      <c r="O40" s="24"/>
      <c r="P40" s="24"/>
      <c r="Q40" s="24"/>
      <c r="R40" s="24"/>
      <c r="S40" s="24"/>
      <c r="T40" s="24"/>
      <c r="U40" s="24"/>
      <c r="V40" s="24"/>
      <c r="W40" s="24"/>
      <c r="X40" s="24"/>
      <c r="Y40" s="24"/>
      <c r="Z40" s="24"/>
      <c r="AA40" s="24"/>
      <c r="AB40" s="24"/>
      <c r="AC40" s="24"/>
      <c r="AD40" s="24"/>
    </row>
    <row r="41" spans="1:30" ht="43.5">
      <c r="A41" s="121" t="s">
        <v>6164</v>
      </c>
      <c r="B41" s="121" t="s">
        <v>18</v>
      </c>
      <c r="C41" s="79" t="s">
        <v>6165</v>
      </c>
      <c r="D41" s="25" t="s">
        <v>6166</v>
      </c>
      <c r="E41" s="25" t="s">
        <v>6167</v>
      </c>
      <c r="F41" s="183"/>
      <c r="G41" s="121"/>
      <c r="H41" s="64"/>
      <c r="I41" s="182" t="b">
        <f t="shared" si="1"/>
        <v>0</v>
      </c>
      <c r="J41" s="24"/>
      <c r="K41" s="24"/>
      <c r="L41" s="24"/>
      <c r="M41" s="24"/>
      <c r="N41" s="24"/>
      <c r="O41" s="24"/>
      <c r="P41" s="24"/>
      <c r="Q41" s="24"/>
      <c r="R41" s="24"/>
      <c r="S41" s="24"/>
      <c r="T41" s="24"/>
      <c r="U41" s="24"/>
      <c r="V41" s="24"/>
      <c r="W41" s="24"/>
      <c r="X41" s="24"/>
      <c r="Y41" s="24"/>
      <c r="Z41" s="24"/>
      <c r="AA41" s="24"/>
      <c r="AB41" s="24"/>
      <c r="AC41" s="24"/>
      <c r="AD41" s="24"/>
    </row>
    <row r="42" spans="1:30" ht="163.05000000000001">
      <c r="A42" s="121" t="s">
        <v>6168</v>
      </c>
      <c r="B42" s="121" t="s">
        <v>18</v>
      </c>
      <c r="C42" s="79" t="s">
        <v>6169</v>
      </c>
      <c r="D42" s="25" t="s">
        <v>6170</v>
      </c>
      <c r="E42" s="25" t="s">
        <v>6171</v>
      </c>
      <c r="F42" s="183"/>
      <c r="G42" s="121"/>
      <c r="H42" s="64"/>
      <c r="I42" s="182" t="b">
        <f t="shared" si="1"/>
        <v>0</v>
      </c>
      <c r="J42" s="24"/>
      <c r="K42" s="24"/>
      <c r="L42" s="24"/>
      <c r="M42" s="24"/>
      <c r="N42" s="24"/>
      <c r="O42" s="24"/>
      <c r="P42" s="24"/>
      <c r="Q42" s="24"/>
      <c r="R42" s="24"/>
      <c r="S42" s="24"/>
      <c r="T42" s="24"/>
      <c r="U42" s="24"/>
      <c r="V42" s="24"/>
      <c r="W42" s="24"/>
      <c r="X42" s="24"/>
      <c r="Y42" s="24"/>
      <c r="Z42" s="24"/>
      <c r="AA42" s="24"/>
      <c r="AB42" s="24"/>
      <c r="AC42" s="24"/>
      <c r="AD42" s="24"/>
    </row>
    <row r="43" spans="1:30" ht="54.35">
      <c r="A43" s="121" t="s">
        <v>6173</v>
      </c>
      <c r="B43" s="121" t="s">
        <v>18</v>
      </c>
      <c r="C43" s="79" t="s">
        <v>6174</v>
      </c>
      <c r="D43" s="25" t="s">
        <v>6175</v>
      </c>
      <c r="E43" s="25" t="s">
        <v>6176</v>
      </c>
      <c r="F43" s="183"/>
      <c r="G43" s="121"/>
      <c r="H43" s="64"/>
      <c r="I43" s="182" t="b">
        <f t="shared" si="1"/>
        <v>0</v>
      </c>
      <c r="J43" s="24"/>
      <c r="K43" s="24"/>
      <c r="L43" s="24"/>
      <c r="M43" s="24"/>
      <c r="N43" s="24"/>
      <c r="O43" s="24"/>
      <c r="P43" s="24"/>
      <c r="Q43" s="24"/>
      <c r="R43" s="24"/>
      <c r="S43" s="24"/>
      <c r="T43" s="24"/>
      <c r="U43" s="24"/>
      <c r="V43" s="24"/>
      <c r="W43" s="24"/>
      <c r="X43" s="24"/>
      <c r="Y43" s="24"/>
      <c r="Z43" s="24"/>
      <c r="AA43" s="24"/>
      <c r="AB43" s="24"/>
      <c r="AC43" s="24"/>
      <c r="AD43" s="24"/>
    </row>
    <row r="44" spans="1:30" ht="54.35">
      <c r="A44" s="121" t="s">
        <v>6177</v>
      </c>
      <c r="B44" s="121" t="s">
        <v>18</v>
      </c>
      <c r="C44" s="79" t="s">
        <v>6179</v>
      </c>
      <c r="D44" s="25" t="s">
        <v>6180</v>
      </c>
      <c r="E44" s="25" t="s">
        <v>6182</v>
      </c>
      <c r="F44" s="183"/>
      <c r="G44" s="121"/>
      <c r="H44" s="64"/>
      <c r="I44" s="182" t="b">
        <f t="shared" si="1"/>
        <v>0</v>
      </c>
      <c r="J44" s="24"/>
      <c r="K44" s="24"/>
      <c r="L44" s="24"/>
      <c r="M44" s="24"/>
      <c r="N44" s="24"/>
      <c r="O44" s="24"/>
      <c r="P44" s="24"/>
      <c r="Q44" s="24"/>
      <c r="R44" s="24"/>
      <c r="S44" s="24"/>
      <c r="T44" s="24"/>
      <c r="U44" s="24"/>
      <c r="V44" s="24"/>
      <c r="W44" s="24"/>
      <c r="X44" s="24"/>
      <c r="Y44" s="24"/>
      <c r="Z44" s="24"/>
      <c r="AA44" s="24"/>
      <c r="AB44" s="24"/>
      <c r="AC44" s="24"/>
      <c r="AD44" s="24"/>
    </row>
    <row r="45" spans="1:30" ht="43.5">
      <c r="A45" s="121" t="s">
        <v>6183</v>
      </c>
      <c r="B45" s="121" t="s">
        <v>18</v>
      </c>
      <c r="C45" s="79" t="s">
        <v>6184</v>
      </c>
      <c r="D45" s="25" t="s">
        <v>6185</v>
      </c>
      <c r="E45" s="25" t="s">
        <v>6186</v>
      </c>
      <c r="F45" s="183"/>
      <c r="G45" s="121"/>
      <c r="H45" s="64"/>
      <c r="I45" s="182" t="b">
        <f t="shared" si="1"/>
        <v>0</v>
      </c>
      <c r="J45" s="24"/>
      <c r="K45" s="24"/>
      <c r="L45" s="24"/>
      <c r="M45" s="24"/>
      <c r="N45" s="24"/>
      <c r="O45" s="24"/>
      <c r="P45" s="24"/>
      <c r="Q45" s="24"/>
      <c r="R45" s="24"/>
      <c r="S45" s="24"/>
      <c r="T45" s="24"/>
      <c r="U45" s="24"/>
      <c r="V45" s="24"/>
      <c r="W45" s="24"/>
      <c r="X45" s="24"/>
      <c r="Y45" s="24"/>
      <c r="Z45" s="24"/>
      <c r="AA45" s="24"/>
      <c r="AB45" s="24"/>
      <c r="AC45" s="24"/>
      <c r="AD45" s="24"/>
    </row>
    <row r="46" spans="1:30" ht="43.5">
      <c r="A46" s="121" t="s">
        <v>6187</v>
      </c>
      <c r="B46" s="121" t="s">
        <v>18</v>
      </c>
      <c r="C46" s="79" t="s">
        <v>6188</v>
      </c>
      <c r="D46" s="25" t="s">
        <v>6189</v>
      </c>
      <c r="E46" s="25" t="s">
        <v>6190</v>
      </c>
      <c r="F46" s="183"/>
      <c r="G46" s="121"/>
      <c r="H46" s="64"/>
      <c r="I46" s="182" t="b">
        <f t="shared" si="1"/>
        <v>0</v>
      </c>
      <c r="J46" s="24"/>
      <c r="K46" s="24"/>
      <c r="L46" s="24"/>
      <c r="M46" s="24"/>
      <c r="N46" s="24"/>
      <c r="O46" s="24"/>
      <c r="P46" s="24"/>
      <c r="Q46" s="24"/>
      <c r="R46" s="24"/>
      <c r="S46" s="24"/>
      <c r="T46" s="24"/>
      <c r="U46" s="24"/>
      <c r="V46" s="24"/>
      <c r="W46" s="24"/>
      <c r="X46" s="24"/>
      <c r="Y46" s="24"/>
      <c r="Z46" s="24"/>
      <c r="AA46" s="24"/>
      <c r="AB46" s="24"/>
      <c r="AC46" s="24"/>
      <c r="AD46" s="24"/>
    </row>
    <row r="47" spans="1:30" ht="43.5">
      <c r="A47" s="121" t="s">
        <v>6192</v>
      </c>
      <c r="B47" s="121" t="s">
        <v>18</v>
      </c>
      <c r="C47" s="79" t="s">
        <v>6193</v>
      </c>
      <c r="D47" s="25" t="s">
        <v>6185</v>
      </c>
      <c r="E47" s="25" t="s">
        <v>6194</v>
      </c>
      <c r="F47" s="183"/>
      <c r="G47" s="121"/>
      <c r="H47" s="64"/>
      <c r="I47" s="182" t="b">
        <f t="shared" si="1"/>
        <v>0</v>
      </c>
      <c r="J47" s="24"/>
      <c r="K47" s="24"/>
      <c r="L47" s="24"/>
      <c r="M47" s="24"/>
      <c r="N47" s="24"/>
      <c r="O47" s="24"/>
      <c r="P47" s="24"/>
      <c r="Q47" s="24"/>
      <c r="R47" s="24"/>
      <c r="S47" s="24"/>
      <c r="T47" s="24"/>
      <c r="U47" s="24"/>
      <c r="V47" s="24"/>
      <c r="W47" s="24"/>
      <c r="X47" s="24"/>
      <c r="Y47" s="24"/>
      <c r="Z47" s="24"/>
      <c r="AA47" s="24"/>
      <c r="AB47" s="24"/>
      <c r="AC47" s="24"/>
      <c r="AD47" s="24"/>
    </row>
    <row r="48" spans="1:30" ht="43.5">
      <c r="A48" s="121" t="s">
        <v>6197</v>
      </c>
      <c r="B48" s="121" t="s">
        <v>18</v>
      </c>
      <c r="C48" s="79" t="s">
        <v>6198</v>
      </c>
      <c r="D48" s="25" t="s">
        <v>6199</v>
      </c>
      <c r="E48" s="25" t="s">
        <v>6200</v>
      </c>
      <c r="F48" s="183"/>
      <c r="G48" s="121"/>
      <c r="H48" s="64"/>
      <c r="I48" s="182" t="b">
        <f t="shared" si="1"/>
        <v>0</v>
      </c>
      <c r="J48" s="24"/>
      <c r="K48" s="24"/>
      <c r="L48" s="24"/>
      <c r="M48" s="24"/>
      <c r="N48" s="24"/>
      <c r="O48" s="24"/>
      <c r="P48" s="24"/>
      <c r="Q48" s="24"/>
      <c r="R48" s="24"/>
      <c r="S48" s="24"/>
      <c r="T48" s="24"/>
      <c r="U48" s="24"/>
      <c r="V48" s="24"/>
      <c r="W48" s="24"/>
      <c r="X48" s="24"/>
      <c r="Y48" s="24"/>
      <c r="Z48" s="24"/>
      <c r="AA48" s="24"/>
      <c r="AB48" s="24"/>
      <c r="AC48" s="24"/>
      <c r="AD48" s="24"/>
    </row>
    <row r="49" spans="1:30" ht="65.25">
      <c r="A49" s="121" t="s">
        <v>6201</v>
      </c>
      <c r="B49" s="121" t="s">
        <v>18</v>
      </c>
      <c r="C49" s="79" t="s">
        <v>6202</v>
      </c>
      <c r="D49" s="25" t="s">
        <v>6203</v>
      </c>
      <c r="E49" s="25" t="s">
        <v>6204</v>
      </c>
      <c r="F49" s="183"/>
      <c r="G49" s="121"/>
      <c r="H49" s="64"/>
      <c r="I49" s="182" t="b">
        <f t="shared" si="1"/>
        <v>0</v>
      </c>
      <c r="J49" s="24"/>
      <c r="K49" s="24"/>
      <c r="L49" s="24"/>
      <c r="M49" s="24"/>
      <c r="N49" s="24"/>
      <c r="O49" s="24"/>
      <c r="P49" s="24"/>
      <c r="Q49" s="24"/>
      <c r="R49" s="24"/>
      <c r="S49" s="24"/>
      <c r="T49" s="24"/>
      <c r="U49" s="24"/>
      <c r="V49" s="24"/>
      <c r="W49" s="24"/>
      <c r="X49" s="24"/>
      <c r="Y49" s="24"/>
      <c r="Z49" s="24"/>
      <c r="AA49" s="24"/>
      <c r="AB49" s="24"/>
      <c r="AC49" s="24"/>
      <c r="AD49" s="24"/>
    </row>
    <row r="50" spans="1:30" ht="32.6">
      <c r="A50" s="121" t="s">
        <v>6206</v>
      </c>
      <c r="B50" s="121" t="s">
        <v>18</v>
      </c>
      <c r="C50" s="79" t="s">
        <v>6207</v>
      </c>
      <c r="D50" s="25" t="s">
        <v>6208</v>
      </c>
      <c r="E50" s="25" t="s">
        <v>6209</v>
      </c>
      <c r="F50" s="183"/>
      <c r="G50" s="121"/>
      <c r="H50" s="64"/>
      <c r="I50" s="182" t="b">
        <f t="shared" si="1"/>
        <v>0</v>
      </c>
      <c r="J50" s="24"/>
      <c r="K50" s="24"/>
      <c r="L50" s="24"/>
      <c r="M50" s="24"/>
      <c r="N50" s="24"/>
      <c r="O50" s="24"/>
      <c r="P50" s="24"/>
      <c r="Q50" s="24"/>
      <c r="R50" s="24"/>
      <c r="S50" s="24"/>
      <c r="T50" s="24"/>
      <c r="U50" s="24"/>
      <c r="V50" s="24"/>
      <c r="W50" s="24"/>
      <c r="X50" s="24"/>
      <c r="Y50" s="24"/>
      <c r="Z50" s="24"/>
      <c r="AA50" s="24"/>
      <c r="AB50" s="24"/>
      <c r="AC50" s="24"/>
      <c r="AD50" s="24"/>
    </row>
    <row r="51" spans="1:30" ht="108.7">
      <c r="A51" s="121" t="s">
        <v>6212</v>
      </c>
      <c r="B51" s="121" t="s">
        <v>18</v>
      </c>
      <c r="C51" s="79" t="s">
        <v>6213</v>
      </c>
      <c r="D51" s="25" t="s">
        <v>6214</v>
      </c>
      <c r="E51" s="25" t="s">
        <v>6215</v>
      </c>
      <c r="F51" s="183"/>
      <c r="G51" s="121"/>
      <c r="H51" s="64"/>
      <c r="I51" s="182" t="b">
        <f t="shared" si="1"/>
        <v>0</v>
      </c>
      <c r="J51" s="24"/>
      <c r="K51" s="24"/>
      <c r="L51" s="24"/>
      <c r="M51" s="24"/>
      <c r="N51" s="24"/>
      <c r="O51" s="24"/>
      <c r="P51" s="24"/>
      <c r="Q51" s="24"/>
      <c r="R51" s="24"/>
      <c r="S51" s="24"/>
      <c r="T51" s="24"/>
      <c r="U51" s="24"/>
      <c r="V51" s="24"/>
      <c r="W51" s="24"/>
      <c r="X51" s="24"/>
      <c r="Y51" s="24"/>
      <c r="Z51" s="24"/>
      <c r="AA51" s="24"/>
      <c r="AB51" s="24"/>
      <c r="AC51" s="24"/>
      <c r="AD51" s="24"/>
    </row>
    <row r="52" spans="1:30" ht="32.6">
      <c r="A52" s="121" t="s">
        <v>6216</v>
      </c>
      <c r="B52" s="121" t="s">
        <v>18</v>
      </c>
      <c r="C52" s="79" t="s">
        <v>6217</v>
      </c>
      <c r="D52" s="25" t="s">
        <v>6218</v>
      </c>
      <c r="E52" s="25" t="s">
        <v>6219</v>
      </c>
      <c r="F52" s="183"/>
      <c r="G52" s="121"/>
      <c r="H52" s="64"/>
      <c r="I52" s="182" t="b">
        <f t="shared" si="1"/>
        <v>0</v>
      </c>
      <c r="J52" s="24"/>
      <c r="K52" s="24"/>
      <c r="L52" s="24"/>
      <c r="M52" s="24"/>
      <c r="N52" s="24"/>
      <c r="O52" s="24"/>
      <c r="P52" s="24"/>
      <c r="Q52" s="24"/>
      <c r="R52" s="24"/>
      <c r="S52" s="24"/>
      <c r="T52" s="24"/>
      <c r="U52" s="24"/>
      <c r="V52" s="24"/>
      <c r="W52" s="24"/>
      <c r="X52" s="24"/>
      <c r="Y52" s="24"/>
      <c r="Z52" s="24"/>
      <c r="AA52" s="24"/>
      <c r="AB52" s="24"/>
      <c r="AC52" s="24"/>
      <c r="AD52" s="24"/>
    </row>
    <row r="53" spans="1:30" ht="86.95">
      <c r="A53" s="121" t="s">
        <v>6221</v>
      </c>
      <c r="B53" s="121" t="s">
        <v>18</v>
      </c>
      <c r="C53" s="79" t="s">
        <v>6222</v>
      </c>
      <c r="D53" s="25" t="s">
        <v>6223</v>
      </c>
      <c r="E53" s="25" t="s">
        <v>6224</v>
      </c>
      <c r="F53" s="183"/>
      <c r="G53" s="121"/>
      <c r="H53" s="64"/>
      <c r="I53" s="182" t="b">
        <f t="shared" si="1"/>
        <v>0</v>
      </c>
      <c r="J53" s="24"/>
      <c r="K53" s="24"/>
      <c r="L53" s="24"/>
      <c r="M53" s="24"/>
      <c r="N53" s="24"/>
      <c r="O53" s="24"/>
      <c r="P53" s="24"/>
      <c r="Q53" s="24"/>
      <c r="R53" s="24"/>
      <c r="S53" s="24"/>
      <c r="T53" s="24"/>
      <c r="U53" s="24"/>
      <c r="V53" s="24"/>
      <c r="W53" s="24"/>
      <c r="X53" s="24"/>
      <c r="Y53" s="24"/>
      <c r="Z53" s="24"/>
      <c r="AA53" s="24"/>
      <c r="AB53" s="24"/>
      <c r="AC53" s="24"/>
      <c r="AD53" s="24"/>
    </row>
    <row r="54" spans="1:30" ht="43.5">
      <c r="A54" s="121"/>
      <c r="B54" s="121" t="s">
        <v>18</v>
      </c>
      <c r="C54" s="79" t="s">
        <v>6226</v>
      </c>
      <c r="D54" s="25" t="s">
        <v>6227</v>
      </c>
      <c r="E54" s="25" t="s">
        <v>6228</v>
      </c>
      <c r="F54" s="183"/>
      <c r="G54" s="121"/>
      <c r="H54" s="64"/>
      <c r="I54" s="182" t="b">
        <f t="shared" si="1"/>
        <v>0</v>
      </c>
      <c r="J54" s="24"/>
      <c r="K54" s="24"/>
      <c r="L54" s="24"/>
      <c r="M54" s="24"/>
      <c r="N54" s="24"/>
      <c r="O54" s="24"/>
      <c r="P54" s="24"/>
      <c r="Q54" s="24"/>
      <c r="R54" s="24"/>
      <c r="S54" s="24"/>
      <c r="T54" s="24"/>
      <c r="U54" s="24"/>
      <c r="V54" s="24"/>
      <c r="W54" s="24"/>
      <c r="X54" s="24"/>
      <c r="Y54" s="24"/>
      <c r="Z54" s="24"/>
      <c r="AA54" s="24"/>
      <c r="AB54" s="24"/>
      <c r="AC54" s="24"/>
      <c r="AD54" s="24"/>
    </row>
    <row r="55" spans="1:30" ht="86.95">
      <c r="A55" s="121" t="s">
        <v>6229</v>
      </c>
      <c r="B55" s="121" t="s">
        <v>18</v>
      </c>
      <c r="C55" s="79" t="s">
        <v>6230</v>
      </c>
      <c r="D55" s="25" t="s">
        <v>6231</v>
      </c>
      <c r="E55" s="25" t="s">
        <v>6232</v>
      </c>
      <c r="F55" s="183"/>
      <c r="G55" s="121"/>
      <c r="H55" s="64"/>
      <c r="I55" s="182" t="b">
        <f t="shared" si="1"/>
        <v>0</v>
      </c>
      <c r="J55" s="24"/>
      <c r="K55" s="24"/>
      <c r="L55" s="24"/>
      <c r="M55" s="24"/>
      <c r="N55" s="24"/>
      <c r="O55" s="24"/>
      <c r="P55" s="24"/>
      <c r="Q55" s="24"/>
      <c r="R55" s="24"/>
      <c r="S55" s="24"/>
      <c r="T55" s="24"/>
      <c r="U55" s="24"/>
      <c r="V55" s="24"/>
      <c r="W55" s="24"/>
      <c r="X55" s="24"/>
      <c r="Y55" s="24"/>
      <c r="Z55" s="24"/>
      <c r="AA55" s="24"/>
      <c r="AB55" s="24"/>
      <c r="AC55" s="24"/>
      <c r="AD55" s="24"/>
    </row>
    <row r="56" spans="1:30" ht="43.5">
      <c r="A56" s="121" t="s">
        <v>6233</v>
      </c>
      <c r="B56" s="121" t="s">
        <v>18</v>
      </c>
      <c r="C56" s="79" t="s">
        <v>6234</v>
      </c>
      <c r="D56" s="25" t="s">
        <v>6236</v>
      </c>
      <c r="E56" s="25" t="s">
        <v>6237</v>
      </c>
      <c r="F56" s="183"/>
      <c r="G56" s="121"/>
      <c r="H56" s="64"/>
      <c r="I56" s="182" t="b">
        <f t="shared" si="1"/>
        <v>0</v>
      </c>
      <c r="J56" s="24"/>
      <c r="K56" s="24"/>
      <c r="L56" s="24"/>
      <c r="M56" s="24"/>
      <c r="N56" s="24"/>
      <c r="O56" s="24"/>
      <c r="P56" s="24"/>
      <c r="Q56" s="24"/>
      <c r="R56" s="24"/>
      <c r="S56" s="24"/>
      <c r="T56" s="24"/>
      <c r="U56" s="24"/>
      <c r="V56" s="24"/>
      <c r="W56" s="24"/>
      <c r="X56" s="24"/>
      <c r="Y56" s="24"/>
      <c r="Z56" s="24"/>
      <c r="AA56" s="24"/>
      <c r="AB56" s="24"/>
      <c r="AC56" s="24"/>
      <c r="AD56" s="24"/>
    </row>
    <row r="57" spans="1:30" ht="65.25">
      <c r="A57" s="121" t="s">
        <v>6238</v>
      </c>
      <c r="B57" s="121" t="s">
        <v>18</v>
      </c>
      <c r="C57" s="79" t="s">
        <v>6239</v>
      </c>
      <c r="D57" s="25" t="s">
        <v>6240</v>
      </c>
      <c r="E57" s="25" t="s">
        <v>6241</v>
      </c>
      <c r="F57" s="183"/>
      <c r="G57" s="121"/>
      <c r="H57" s="64"/>
      <c r="I57" s="182" t="b">
        <f t="shared" si="1"/>
        <v>0</v>
      </c>
      <c r="J57" s="24"/>
      <c r="K57" s="24"/>
      <c r="L57" s="24"/>
      <c r="M57" s="24"/>
      <c r="N57" s="24"/>
      <c r="O57" s="24"/>
      <c r="P57" s="24"/>
      <c r="Q57" s="24"/>
      <c r="R57" s="24"/>
      <c r="S57" s="24"/>
      <c r="T57" s="24"/>
      <c r="U57" s="24"/>
      <c r="V57" s="24"/>
      <c r="W57" s="24"/>
      <c r="X57" s="24"/>
      <c r="Y57" s="24"/>
      <c r="Z57" s="24"/>
      <c r="AA57" s="24"/>
      <c r="AB57" s="24"/>
      <c r="AC57" s="24"/>
      <c r="AD57" s="24"/>
    </row>
    <row r="58" spans="1:30" ht="43.5">
      <c r="A58" s="121" t="s">
        <v>6243</v>
      </c>
      <c r="B58" s="121" t="s">
        <v>18</v>
      </c>
      <c r="C58" s="79" t="s">
        <v>6244</v>
      </c>
      <c r="D58" s="25" t="s">
        <v>6245</v>
      </c>
      <c r="E58" s="25" t="s">
        <v>6246</v>
      </c>
      <c r="F58" s="183"/>
      <c r="G58" s="121"/>
      <c r="H58" s="64"/>
      <c r="I58" s="182" t="b">
        <f t="shared" si="1"/>
        <v>0</v>
      </c>
      <c r="J58" s="24"/>
      <c r="K58" s="24"/>
      <c r="L58" s="24"/>
      <c r="M58" s="24"/>
      <c r="N58" s="24"/>
      <c r="O58" s="24"/>
      <c r="P58" s="24"/>
      <c r="Q58" s="24"/>
      <c r="R58" s="24"/>
      <c r="S58" s="24"/>
      <c r="T58" s="24"/>
      <c r="U58" s="24"/>
      <c r="V58" s="24"/>
      <c r="W58" s="24"/>
      <c r="X58" s="24"/>
      <c r="Y58" s="24"/>
      <c r="Z58" s="24"/>
      <c r="AA58" s="24"/>
      <c r="AB58" s="24"/>
      <c r="AC58" s="24"/>
      <c r="AD58" s="24"/>
    </row>
    <row r="59" spans="1:30" ht="35.35" customHeight="1">
      <c r="A59" s="121" t="s">
        <v>6247</v>
      </c>
      <c r="B59" s="121" t="s">
        <v>18</v>
      </c>
      <c r="C59" s="111" t="s">
        <v>6248</v>
      </c>
      <c r="D59" s="25" t="s">
        <v>6249</v>
      </c>
      <c r="E59" s="25" t="s">
        <v>6250</v>
      </c>
      <c r="F59" s="183"/>
      <c r="G59" s="121"/>
      <c r="H59" s="64"/>
      <c r="I59" s="182" t="b">
        <f t="shared" si="1"/>
        <v>0</v>
      </c>
      <c r="J59" s="24"/>
      <c r="K59" s="24"/>
      <c r="L59" s="24"/>
      <c r="M59" s="24"/>
      <c r="N59" s="24"/>
      <c r="O59" s="24"/>
      <c r="P59" s="24"/>
      <c r="Q59" s="24"/>
      <c r="R59" s="24"/>
      <c r="S59" s="24"/>
      <c r="T59" s="24"/>
      <c r="U59" s="24"/>
      <c r="V59" s="24"/>
      <c r="W59" s="24"/>
      <c r="X59" s="24"/>
      <c r="Y59" s="24"/>
      <c r="Z59" s="24"/>
      <c r="AA59" s="24"/>
      <c r="AB59" s="24"/>
      <c r="AC59" s="24"/>
      <c r="AD59" s="24"/>
    </row>
    <row r="60" spans="1:30" ht="43.5">
      <c r="A60" s="121" t="s">
        <v>6251</v>
      </c>
      <c r="B60" s="121" t="s">
        <v>18</v>
      </c>
      <c r="C60" s="79" t="s">
        <v>6252</v>
      </c>
      <c r="D60" s="25" t="s">
        <v>6253</v>
      </c>
      <c r="E60" s="25" t="s">
        <v>6254</v>
      </c>
      <c r="F60" s="183"/>
      <c r="G60" s="121"/>
      <c r="H60" s="64"/>
      <c r="I60" s="182" t="b">
        <f t="shared" si="1"/>
        <v>0</v>
      </c>
      <c r="J60" s="24"/>
      <c r="K60" s="24"/>
      <c r="L60" s="24"/>
      <c r="M60" s="24"/>
      <c r="N60" s="24"/>
      <c r="O60" s="24"/>
      <c r="P60" s="24"/>
      <c r="Q60" s="24"/>
      <c r="R60" s="24"/>
      <c r="S60" s="24"/>
      <c r="T60" s="24"/>
      <c r="U60" s="24"/>
      <c r="V60" s="24"/>
      <c r="W60" s="24"/>
      <c r="X60" s="24"/>
      <c r="Y60" s="24"/>
      <c r="Z60" s="24"/>
      <c r="AA60" s="24"/>
      <c r="AB60" s="24"/>
      <c r="AC60" s="24"/>
      <c r="AD60" s="24"/>
    </row>
    <row r="61" spans="1:30" ht="54.35">
      <c r="A61" s="121" t="s">
        <v>6256</v>
      </c>
      <c r="B61" s="121" t="s">
        <v>18</v>
      </c>
      <c r="C61" s="79" t="s">
        <v>6257</v>
      </c>
      <c r="D61" s="25" t="s">
        <v>6258</v>
      </c>
      <c r="E61" s="25" t="s">
        <v>6259</v>
      </c>
      <c r="F61" s="183"/>
      <c r="G61" s="121"/>
      <c r="H61" s="64"/>
      <c r="I61" s="182" t="b">
        <f t="shared" si="1"/>
        <v>0</v>
      </c>
      <c r="J61" s="24"/>
      <c r="K61" s="24"/>
      <c r="L61" s="24"/>
      <c r="M61" s="24"/>
      <c r="N61" s="24"/>
      <c r="O61" s="24"/>
      <c r="P61" s="24"/>
      <c r="Q61" s="24"/>
      <c r="R61" s="24"/>
      <c r="S61" s="24"/>
      <c r="T61" s="24"/>
      <c r="U61" s="24"/>
      <c r="V61" s="24"/>
      <c r="W61" s="24"/>
      <c r="X61" s="24"/>
      <c r="Y61" s="24"/>
      <c r="Z61" s="24"/>
      <c r="AA61" s="24"/>
      <c r="AB61" s="24"/>
      <c r="AC61" s="24"/>
      <c r="AD61" s="24"/>
    </row>
    <row r="62" spans="1:30" ht="43.5">
      <c r="A62" s="121" t="s">
        <v>6260</v>
      </c>
      <c r="B62" s="121" t="s">
        <v>18</v>
      </c>
      <c r="C62" s="79" t="s">
        <v>6261</v>
      </c>
      <c r="D62" s="25" t="s">
        <v>6262</v>
      </c>
      <c r="E62" s="25" t="s">
        <v>6263</v>
      </c>
      <c r="F62" s="183"/>
      <c r="G62" s="121"/>
      <c r="H62" s="64"/>
      <c r="I62" s="182" t="b">
        <f t="shared" si="1"/>
        <v>0</v>
      </c>
      <c r="J62" s="24"/>
      <c r="K62" s="24"/>
      <c r="L62" s="24"/>
      <c r="M62" s="24"/>
      <c r="N62" s="24"/>
      <c r="O62" s="24"/>
      <c r="P62" s="24"/>
      <c r="Q62" s="24"/>
      <c r="R62" s="24"/>
      <c r="S62" s="24"/>
      <c r="T62" s="24"/>
      <c r="U62" s="24"/>
      <c r="V62" s="24"/>
      <c r="W62" s="24"/>
      <c r="X62" s="24"/>
      <c r="Y62" s="24"/>
      <c r="Z62" s="24"/>
      <c r="AA62" s="24"/>
      <c r="AB62" s="24"/>
      <c r="AC62" s="24"/>
      <c r="AD62" s="24"/>
    </row>
    <row r="63" spans="1:30" ht="65.25">
      <c r="A63" s="121" t="s">
        <v>6265</v>
      </c>
      <c r="B63" s="121" t="s">
        <v>18</v>
      </c>
      <c r="C63" s="79" t="s">
        <v>6266</v>
      </c>
      <c r="D63" s="25" t="s">
        <v>6267</v>
      </c>
      <c r="E63" s="25" t="s">
        <v>6268</v>
      </c>
      <c r="F63" s="183"/>
      <c r="G63" s="121"/>
      <c r="H63" s="64"/>
      <c r="I63" s="182" t="b">
        <f t="shared" si="1"/>
        <v>0</v>
      </c>
      <c r="J63" s="24"/>
      <c r="K63" s="24"/>
      <c r="L63" s="24"/>
      <c r="M63" s="24"/>
      <c r="N63" s="24"/>
      <c r="O63" s="24"/>
      <c r="P63" s="24"/>
      <c r="Q63" s="24"/>
      <c r="R63" s="24"/>
      <c r="S63" s="24"/>
      <c r="T63" s="24"/>
      <c r="U63" s="24"/>
      <c r="V63" s="24"/>
      <c r="W63" s="24"/>
      <c r="X63" s="24"/>
      <c r="Y63" s="24"/>
      <c r="Z63" s="24"/>
      <c r="AA63" s="24"/>
      <c r="AB63" s="24"/>
      <c r="AC63" s="24"/>
      <c r="AD63" s="24"/>
    </row>
    <row r="64" spans="1:30" ht="108.7">
      <c r="A64" s="121" t="s">
        <v>6269</v>
      </c>
      <c r="B64" s="121" t="s">
        <v>18</v>
      </c>
      <c r="C64" s="79" t="s">
        <v>6270</v>
      </c>
      <c r="D64" s="25" t="s">
        <v>6271</v>
      </c>
      <c r="E64" s="25" t="s">
        <v>6272</v>
      </c>
      <c r="F64" s="183"/>
      <c r="G64" s="121"/>
      <c r="H64" s="64"/>
      <c r="I64" s="182" t="b">
        <f t="shared" si="1"/>
        <v>0</v>
      </c>
      <c r="J64" s="24"/>
      <c r="K64" s="24"/>
      <c r="L64" s="24"/>
      <c r="M64" s="24"/>
      <c r="N64" s="24"/>
      <c r="O64" s="24"/>
      <c r="P64" s="24"/>
      <c r="Q64" s="24"/>
      <c r="R64" s="24"/>
      <c r="S64" s="24"/>
      <c r="T64" s="24"/>
      <c r="U64" s="24"/>
      <c r="V64" s="24"/>
      <c r="W64" s="24"/>
      <c r="X64" s="24"/>
      <c r="Y64" s="24"/>
      <c r="Z64" s="24"/>
      <c r="AA64" s="24"/>
      <c r="AB64" s="24"/>
      <c r="AC64" s="24"/>
      <c r="AD64" s="24"/>
    </row>
    <row r="65" spans="1:30" ht="108.7">
      <c r="A65" s="121" t="s">
        <v>6273</v>
      </c>
      <c r="B65" s="121" t="s">
        <v>18</v>
      </c>
      <c r="C65" s="79" t="s">
        <v>6274</v>
      </c>
      <c r="D65" s="25" t="s">
        <v>6271</v>
      </c>
      <c r="E65" s="25" t="s">
        <v>6272</v>
      </c>
      <c r="F65" s="183"/>
      <c r="G65" s="121"/>
      <c r="H65" s="64"/>
      <c r="I65" s="182" t="b">
        <f t="shared" si="1"/>
        <v>0</v>
      </c>
      <c r="J65" s="24"/>
      <c r="K65" s="24"/>
      <c r="L65" s="24"/>
      <c r="M65" s="24"/>
      <c r="N65" s="24"/>
      <c r="O65" s="24"/>
      <c r="P65" s="24"/>
      <c r="Q65" s="24"/>
      <c r="R65" s="24"/>
      <c r="S65" s="24"/>
      <c r="T65" s="24"/>
      <c r="U65" s="24"/>
      <c r="V65" s="24"/>
      <c r="W65" s="24"/>
      <c r="X65" s="24"/>
      <c r="Y65" s="24"/>
      <c r="Z65" s="24"/>
      <c r="AA65" s="24"/>
      <c r="AB65" s="24"/>
      <c r="AC65" s="24"/>
      <c r="AD65" s="24"/>
    </row>
    <row r="66" spans="1:30" ht="32.6">
      <c r="A66" s="121" t="s">
        <v>6276</v>
      </c>
      <c r="B66" s="121" t="s">
        <v>18</v>
      </c>
      <c r="C66" s="79" t="s">
        <v>6277</v>
      </c>
      <c r="D66" s="25" t="s">
        <v>6278</v>
      </c>
      <c r="E66" s="25" t="s">
        <v>6279</v>
      </c>
      <c r="F66" s="183"/>
      <c r="G66" s="183"/>
      <c r="H66" s="64"/>
      <c r="I66" s="182" t="b">
        <f t="shared" si="1"/>
        <v>0</v>
      </c>
      <c r="J66" s="24"/>
      <c r="K66" s="24"/>
      <c r="L66" s="24"/>
      <c r="M66" s="24"/>
      <c r="N66" s="24"/>
      <c r="O66" s="24"/>
      <c r="P66" s="24"/>
      <c r="Q66" s="24"/>
      <c r="R66" s="24"/>
      <c r="S66" s="24"/>
      <c r="T66" s="24"/>
      <c r="U66" s="24"/>
      <c r="V66" s="24"/>
      <c r="W66" s="24"/>
      <c r="X66" s="24"/>
      <c r="Y66" s="24"/>
      <c r="Z66" s="24"/>
      <c r="AA66" s="24"/>
      <c r="AB66" s="24"/>
      <c r="AC66" s="24"/>
      <c r="AD66" s="24"/>
    </row>
    <row r="67" spans="1:30" ht="32.6">
      <c r="A67" s="121" t="s">
        <v>6281</v>
      </c>
      <c r="B67" s="121" t="s">
        <v>18</v>
      </c>
      <c r="C67" s="79" t="s">
        <v>6282</v>
      </c>
      <c r="D67" s="25" t="s">
        <v>6283</v>
      </c>
      <c r="E67" s="25" t="s">
        <v>6284</v>
      </c>
      <c r="F67" s="183"/>
      <c r="G67" s="183"/>
      <c r="H67" s="64"/>
      <c r="I67" s="182" t="b">
        <f t="shared" si="1"/>
        <v>0</v>
      </c>
      <c r="J67" s="24"/>
      <c r="K67" s="24"/>
      <c r="L67" s="24"/>
      <c r="M67" s="24"/>
      <c r="N67" s="24"/>
      <c r="O67" s="24"/>
      <c r="P67" s="24"/>
      <c r="Q67" s="24"/>
      <c r="R67" s="24"/>
      <c r="S67" s="24"/>
      <c r="T67" s="24"/>
      <c r="U67" s="24"/>
      <c r="V67" s="24"/>
      <c r="W67" s="24"/>
      <c r="X67" s="24"/>
      <c r="Y67" s="24"/>
      <c r="Z67" s="24"/>
      <c r="AA67" s="24"/>
      <c r="AB67" s="24"/>
      <c r="AC67" s="24"/>
      <c r="AD67" s="24"/>
    </row>
    <row r="68" spans="1:30" ht="54.35">
      <c r="A68" s="121" t="s">
        <v>6285</v>
      </c>
      <c r="B68" s="121" t="s">
        <v>18</v>
      </c>
      <c r="C68" s="79" t="s">
        <v>6286</v>
      </c>
      <c r="D68" s="25" t="s">
        <v>6287</v>
      </c>
      <c r="E68" s="25" t="s">
        <v>6288</v>
      </c>
      <c r="F68" s="183"/>
      <c r="G68" s="183"/>
      <c r="H68" s="64"/>
      <c r="I68" s="182" t="b">
        <f t="shared" si="1"/>
        <v>0</v>
      </c>
      <c r="J68" s="24"/>
      <c r="K68" s="24"/>
      <c r="L68" s="24"/>
      <c r="M68" s="24"/>
      <c r="N68" s="24"/>
      <c r="O68" s="24"/>
      <c r="P68" s="24"/>
      <c r="Q68" s="24"/>
      <c r="R68" s="24"/>
      <c r="S68" s="24"/>
      <c r="T68" s="24"/>
      <c r="U68" s="24"/>
      <c r="V68" s="24"/>
      <c r="W68" s="24"/>
      <c r="X68" s="24"/>
      <c r="Y68" s="24"/>
      <c r="Z68" s="24"/>
      <c r="AA68" s="24"/>
      <c r="AB68" s="24"/>
      <c r="AC68" s="24"/>
      <c r="AD68" s="24"/>
    </row>
    <row r="69" spans="1:30" ht="54.35">
      <c r="A69" s="121" t="s">
        <v>6289</v>
      </c>
      <c r="B69" s="121" t="s">
        <v>18</v>
      </c>
      <c r="C69" s="79" t="s">
        <v>6290</v>
      </c>
      <c r="D69" s="25" t="s">
        <v>6291</v>
      </c>
      <c r="E69" s="25" t="s">
        <v>6292</v>
      </c>
      <c r="F69" s="183"/>
      <c r="G69" s="183"/>
      <c r="H69" s="64"/>
      <c r="I69" s="182" t="b">
        <f t="shared" si="1"/>
        <v>0</v>
      </c>
      <c r="J69" s="24"/>
      <c r="K69" s="24"/>
      <c r="L69" s="24"/>
      <c r="M69" s="24"/>
      <c r="N69" s="24"/>
      <c r="O69" s="24"/>
      <c r="P69" s="24"/>
      <c r="Q69" s="24"/>
      <c r="R69" s="24"/>
      <c r="S69" s="24"/>
      <c r="T69" s="24"/>
      <c r="U69" s="24"/>
      <c r="V69" s="24"/>
      <c r="W69" s="24"/>
      <c r="X69" s="24"/>
      <c r="Y69" s="24"/>
      <c r="Z69" s="24"/>
      <c r="AA69" s="24"/>
      <c r="AB69" s="24"/>
      <c r="AC69" s="24"/>
      <c r="AD69" s="24"/>
    </row>
    <row r="70" spans="1:30" ht="54.35">
      <c r="A70" s="121" t="s">
        <v>6293</v>
      </c>
      <c r="B70" s="121" t="s">
        <v>18</v>
      </c>
      <c r="C70" s="79" t="s">
        <v>6294</v>
      </c>
      <c r="D70" s="25" t="s">
        <v>6295</v>
      </c>
      <c r="E70" s="25" t="s">
        <v>6296</v>
      </c>
      <c r="F70" s="183"/>
      <c r="G70" s="183"/>
      <c r="H70" s="64"/>
      <c r="I70" s="182" t="b">
        <f t="shared" si="1"/>
        <v>0</v>
      </c>
      <c r="J70" s="24"/>
      <c r="K70" s="24"/>
      <c r="L70" s="24"/>
      <c r="M70" s="24"/>
      <c r="N70" s="24"/>
      <c r="O70" s="24"/>
      <c r="P70" s="24"/>
      <c r="Q70" s="24"/>
      <c r="R70" s="24"/>
      <c r="S70" s="24"/>
      <c r="T70" s="24"/>
      <c r="U70" s="24"/>
      <c r="V70" s="24"/>
      <c r="W70" s="24"/>
      <c r="X70" s="24"/>
      <c r="Y70" s="24"/>
      <c r="Z70" s="24"/>
      <c r="AA70" s="24"/>
      <c r="AB70" s="24"/>
      <c r="AC70" s="24"/>
      <c r="AD70" s="24"/>
    </row>
    <row r="71" spans="1:30" ht="54.35">
      <c r="A71" s="121" t="s">
        <v>6297</v>
      </c>
      <c r="B71" s="121" t="s">
        <v>18</v>
      </c>
      <c r="C71" s="79" t="s">
        <v>6298</v>
      </c>
      <c r="D71" s="25" t="s">
        <v>6299</v>
      </c>
      <c r="E71" s="25" t="s">
        <v>6300</v>
      </c>
      <c r="F71" s="183"/>
      <c r="G71" s="183"/>
      <c r="H71" s="64"/>
      <c r="I71" s="182" t="b">
        <f t="shared" si="1"/>
        <v>0</v>
      </c>
      <c r="J71" s="24"/>
      <c r="K71" s="24"/>
      <c r="L71" s="24"/>
      <c r="M71" s="24"/>
      <c r="N71" s="24"/>
      <c r="O71" s="24"/>
      <c r="P71" s="24"/>
      <c r="Q71" s="24"/>
      <c r="R71" s="24"/>
      <c r="S71" s="24"/>
      <c r="T71" s="24"/>
      <c r="U71" s="24"/>
      <c r="V71" s="24"/>
      <c r="W71" s="24"/>
      <c r="X71" s="24"/>
      <c r="Y71" s="24"/>
      <c r="Z71" s="24"/>
      <c r="AA71" s="24"/>
      <c r="AB71" s="24"/>
      <c r="AC71" s="24"/>
      <c r="AD71" s="24"/>
    </row>
    <row r="72" spans="1:30" ht="43.5">
      <c r="A72" s="121" t="s">
        <v>6301</v>
      </c>
      <c r="B72" s="121" t="s">
        <v>18</v>
      </c>
      <c r="C72" s="79" t="s">
        <v>6303</v>
      </c>
      <c r="D72" s="25" t="s">
        <v>6304</v>
      </c>
      <c r="E72" s="25" t="s">
        <v>6305</v>
      </c>
      <c r="F72" s="183"/>
      <c r="G72" s="183"/>
      <c r="H72" s="64"/>
      <c r="I72" s="182" t="b">
        <f t="shared" si="1"/>
        <v>0</v>
      </c>
      <c r="J72" s="24"/>
      <c r="K72" s="24"/>
      <c r="L72" s="24"/>
      <c r="M72" s="24"/>
      <c r="N72" s="24"/>
      <c r="O72" s="24"/>
      <c r="P72" s="24"/>
      <c r="Q72" s="24"/>
      <c r="R72" s="24"/>
      <c r="S72" s="24"/>
      <c r="T72" s="24"/>
      <c r="U72" s="24"/>
      <c r="V72" s="24"/>
      <c r="W72" s="24"/>
      <c r="X72" s="24"/>
      <c r="Y72" s="24"/>
      <c r="Z72" s="24"/>
      <c r="AA72" s="24"/>
      <c r="AB72" s="24"/>
      <c r="AC72" s="24"/>
      <c r="AD72" s="24"/>
    </row>
    <row r="73" spans="1:30" ht="173.9">
      <c r="A73" s="121" t="s">
        <v>6306</v>
      </c>
      <c r="B73" s="121" t="s">
        <v>18</v>
      </c>
      <c r="C73" s="79" t="s">
        <v>6307</v>
      </c>
      <c r="D73" s="25" t="s">
        <v>6308</v>
      </c>
      <c r="E73" s="25" t="s">
        <v>6309</v>
      </c>
      <c r="F73" s="183"/>
      <c r="G73" s="183"/>
      <c r="H73" s="64"/>
      <c r="I73" s="182" t="b">
        <f t="shared" si="1"/>
        <v>0</v>
      </c>
      <c r="J73" s="24"/>
      <c r="K73" s="24"/>
      <c r="L73" s="24"/>
      <c r="M73" s="24"/>
      <c r="N73" s="24"/>
      <c r="O73" s="24"/>
      <c r="P73" s="24"/>
      <c r="Q73" s="24"/>
      <c r="R73" s="24"/>
      <c r="S73" s="24"/>
      <c r="T73" s="24"/>
      <c r="U73" s="24"/>
      <c r="V73" s="24"/>
      <c r="W73" s="24"/>
      <c r="X73" s="24"/>
      <c r="Y73" s="24"/>
      <c r="Z73" s="24"/>
      <c r="AA73" s="24"/>
      <c r="AB73" s="24"/>
      <c r="AC73" s="24"/>
      <c r="AD73" s="24"/>
    </row>
    <row r="74" spans="1:30" ht="173.9">
      <c r="A74" s="121" t="s">
        <v>6313</v>
      </c>
      <c r="B74" s="121" t="s">
        <v>18</v>
      </c>
      <c r="C74" s="79" t="s">
        <v>6314</v>
      </c>
      <c r="D74" s="25" t="s">
        <v>6308</v>
      </c>
      <c r="E74" s="25" t="s">
        <v>6315</v>
      </c>
      <c r="F74" s="183"/>
      <c r="G74" s="183"/>
      <c r="H74" s="64"/>
      <c r="I74" s="182" t="b">
        <f t="shared" si="1"/>
        <v>0</v>
      </c>
      <c r="J74" s="24"/>
      <c r="K74" s="24"/>
      <c r="L74" s="24"/>
      <c r="M74" s="24"/>
      <c r="N74" s="24"/>
      <c r="O74" s="24"/>
      <c r="P74" s="24"/>
      <c r="Q74" s="24"/>
      <c r="R74" s="24"/>
      <c r="S74" s="24"/>
      <c r="T74" s="24"/>
      <c r="U74" s="24"/>
      <c r="V74" s="24"/>
      <c r="W74" s="24"/>
      <c r="X74" s="24"/>
      <c r="Y74" s="24"/>
      <c r="Z74" s="24"/>
      <c r="AA74" s="24"/>
      <c r="AB74" s="24"/>
      <c r="AC74" s="24"/>
      <c r="AD74" s="24"/>
    </row>
    <row r="75" spans="1:30" ht="54.35">
      <c r="A75" s="121" t="s">
        <v>6316</v>
      </c>
      <c r="B75" s="121" t="s">
        <v>18</v>
      </c>
      <c r="C75" s="79" t="s">
        <v>6317</v>
      </c>
      <c r="D75" s="25" t="s">
        <v>6318</v>
      </c>
      <c r="E75" s="25" t="s">
        <v>6319</v>
      </c>
      <c r="F75" s="183"/>
      <c r="G75" s="183"/>
      <c r="H75" s="64"/>
      <c r="I75" s="182" t="b">
        <f t="shared" si="1"/>
        <v>0</v>
      </c>
      <c r="J75" s="24"/>
      <c r="K75" s="24"/>
      <c r="L75" s="24"/>
      <c r="M75" s="24"/>
      <c r="N75" s="24"/>
      <c r="O75" s="24"/>
      <c r="P75" s="24"/>
      <c r="Q75" s="24"/>
      <c r="R75" s="24"/>
      <c r="S75" s="24"/>
      <c r="T75" s="24"/>
      <c r="U75" s="24"/>
      <c r="V75" s="24"/>
      <c r="W75" s="24"/>
      <c r="X75" s="24"/>
      <c r="Y75" s="24"/>
      <c r="Z75" s="24"/>
      <c r="AA75" s="24"/>
      <c r="AB75" s="24"/>
      <c r="AC75" s="24"/>
      <c r="AD75" s="24"/>
    </row>
    <row r="76" spans="1:30" ht="54.35">
      <c r="A76" s="121" t="s">
        <v>6320</v>
      </c>
      <c r="B76" s="121" t="s">
        <v>18</v>
      </c>
      <c r="C76" s="79" t="s">
        <v>6321</v>
      </c>
      <c r="D76" s="25" t="s">
        <v>6322</v>
      </c>
      <c r="E76" s="25" t="s">
        <v>6323</v>
      </c>
      <c r="F76" s="183"/>
      <c r="G76" s="183"/>
      <c r="H76" s="64"/>
      <c r="I76" s="182" t="b">
        <f t="shared" si="1"/>
        <v>0</v>
      </c>
      <c r="J76" s="24"/>
      <c r="K76" s="24"/>
      <c r="L76" s="24"/>
      <c r="M76" s="24"/>
      <c r="N76" s="24"/>
      <c r="O76" s="24"/>
      <c r="P76" s="24"/>
      <c r="Q76" s="24"/>
      <c r="R76" s="24"/>
      <c r="S76" s="24"/>
      <c r="T76" s="24"/>
      <c r="U76" s="24"/>
      <c r="V76" s="24"/>
      <c r="W76" s="24"/>
      <c r="X76" s="24"/>
      <c r="Y76" s="24"/>
      <c r="Z76" s="24"/>
      <c r="AA76" s="24"/>
      <c r="AB76" s="24"/>
      <c r="AC76" s="24"/>
      <c r="AD76" s="24"/>
    </row>
    <row r="77" spans="1:30" ht="43.5">
      <c r="A77" s="121" t="s">
        <v>6324</v>
      </c>
      <c r="B77" s="121" t="s">
        <v>18</v>
      </c>
      <c r="C77" s="79" t="s">
        <v>6325</v>
      </c>
      <c r="D77" s="25" t="s">
        <v>6326</v>
      </c>
      <c r="E77" s="25" t="s">
        <v>6327</v>
      </c>
      <c r="F77" s="183"/>
      <c r="G77" s="183"/>
      <c r="H77" s="64"/>
      <c r="I77" s="182" t="b">
        <f t="shared" si="1"/>
        <v>0</v>
      </c>
      <c r="J77" s="24"/>
      <c r="K77" s="24"/>
      <c r="L77" s="24"/>
      <c r="M77" s="24"/>
      <c r="N77" s="24"/>
      <c r="O77" s="24"/>
      <c r="P77" s="24"/>
      <c r="Q77" s="24"/>
      <c r="R77" s="24"/>
      <c r="S77" s="24"/>
      <c r="T77" s="24"/>
      <c r="U77" s="24"/>
      <c r="V77" s="24"/>
      <c r="W77" s="24"/>
      <c r="X77" s="24"/>
      <c r="Y77" s="24"/>
      <c r="Z77" s="24"/>
      <c r="AA77" s="24"/>
      <c r="AB77" s="24"/>
      <c r="AC77" s="24"/>
      <c r="AD77" s="24"/>
    </row>
    <row r="78" spans="1:30" ht="54.35">
      <c r="A78" s="121" t="s">
        <v>6328</v>
      </c>
      <c r="B78" s="121" t="s">
        <v>18</v>
      </c>
      <c r="C78" s="79" t="s">
        <v>6329</v>
      </c>
      <c r="D78" s="25" t="s">
        <v>6330</v>
      </c>
      <c r="E78" s="25" t="s">
        <v>6331</v>
      </c>
      <c r="F78" s="183"/>
      <c r="G78" s="183"/>
      <c r="H78" s="64"/>
      <c r="I78" s="182" t="b">
        <f t="shared" si="1"/>
        <v>0</v>
      </c>
      <c r="J78" s="24"/>
      <c r="K78" s="24"/>
      <c r="L78" s="24"/>
      <c r="M78" s="24"/>
      <c r="N78" s="24"/>
      <c r="O78" s="24"/>
      <c r="P78" s="24"/>
      <c r="Q78" s="24"/>
      <c r="R78" s="24"/>
      <c r="S78" s="24"/>
      <c r="T78" s="24"/>
      <c r="U78" s="24"/>
      <c r="V78" s="24"/>
      <c r="W78" s="24"/>
      <c r="X78" s="24"/>
      <c r="Y78" s="24"/>
      <c r="Z78" s="24"/>
      <c r="AA78" s="24"/>
      <c r="AB78" s="24"/>
      <c r="AC78" s="24"/>
      <c r="AD78" s="24"/>
    </row>
    <row r="79" spans="1:30" ht="54.35">
      <c r="A79" s="121" t="s">
        <v>6336</v>
      </c>
      <c r="B79" s="121" t="s">
        <v>18</v>
      </c>
      <c r="C79" s="79" t="s">
        <v>6337</v>
      </c>
      <c r="D79" s="25" t="s">
        <v>6338</v>
      </c>
      <c r="E79" s="25" t="s">
        <v>6339</v>
      </c>
      <c r="F79" s="183"/>
      <c r="G79" s="183"/>
      <c r="H79" s="64"/>
      <c r="I79" s="182" t="b">
        <f t="shared" si="1"/>
        <v>0</v>
      </c>
      <c r="J79" s="24"/>
      <c r="K79" s="24"/>
      <c r="L79" s="24"/>
      <c r="M79" s="24"/>
      <c r="N79" s="24"/>
      <c r="O79" s="24"/>
      <c r="P79" s="24"/>
      <c r="Q79" s="24"/>
      <c r="R79" s="24"/>
      <c r="S79" s="24"/>
      <c r="T79" s="24"/>
      <c r="U79" s="24"/>
      <c r="V79" s="24"/>
      <c r="W79" s="24"/>
      <c r="X79" s="24"/>
      <c r="Y79" s="24"/>
      <c r="Z79" s="24"/>
      <c r="AA79" s="24"/>
      <c r="AB79" s="24"/>
      <c r="AC79" s="24"/>
      <c r="AD79" s="24"/>
    </row>
    <row r="80" spans="1:30" ht="54.35">
      <c r="A80" s="121" t="s">
        <v>6342</v>
      </c>
      <c r="B80" s="121" t="s">
        <v>18</v>
      </c>
      <c r="C80" s="79" t="s">
        <v>6344</v>
      </c>
      <c r="D80" s="25" t="s">
        <v>6345</v>
      </c>
      <c r="E80" s="25" t="s">
        <v>6346</v>
      </c>
      <c r="F80" s="183"/>
      <c r="G80" s="183"/>
      <c r="H80" s="64"/>
      <c r="I80" s="182" t="b">
        <f t="shared" si="1"/>
        <v>0</v>
      </c>
      <c r="J80" s="24"/>
      <c r="K80" s="24"/>
      <c r="L80" s="24"/>
      <c r="M80" s="24"/>
      <c r="N80" s="24"/>
      <c r="O80" s="24"/>
      <c r="P80" s="24"/>
      <c r="Q80" s="24"/>
      <c r="R80" s="24"/>
      <c r="S80" s="24"/>
      <c r="T80" s="24"/>
      <c r="U80" s="24"/>
      <c r="V80" s="24"/>
      <c r="W80" s="24"/>
      <c r="X80" s="24"/>
      <c r="Y80" s="24"/>
      <c r="Z80" s="24"/>
      <c r="AA80" s="24"/>
      <c r="AB80" s="24"/>
      <c r="AC80" s="24"/>
      <c r="AD80" s="24"/>
    </row>
    <row r="81" spans="1:30" ht="54.35">
      <c r="A81" s="121" t="s">
        <v>6347</v>
      </c>
      <c r="B81" s="121" t="s">
        <v>18</v>
      </c>
      <c r="C81" s="79" t="s">
        <v>6348</v>
      </c>
      <c r="D81" s="25" t="s">
        <v>6349</v>
      </c>
      <c r="E81" s="25" t="s">
        <v>6346</v>
      </c>
      <c r="F81" s="183"/>
      <c r="G81" s="183"/>
      <c r="H81" s="64"/>
      <c r="I81" s="182" t="b">
        <f t="shared" si="1"/>
        <v>0</v>
      </c>
      <c r="J81" s="24"/>
      <c r="K81" s="24"/>
      <c r="L81" s="24"/>
      <c r="M81" s="24"/>
      <c r="N81" s="24"/>
      <c r="O81" s="24"/>
      <c r="P81" s="24"/>
      <c r="Q81" s="24"/>
      <c r="R81" s="24"/>
      <c r="S81" s="24"/>
      <c r="T81" s="24"/>
      <c r="U81" s="24"/>
      <c r="V81" s="24"/>
      <c r="W81" s="24"/>
      <c r="X81" s="24"/>
      <c r="Y81" s="24"/>
      <c r="Z81" s="24"/>
      <c r="AA81" s="24"/>
      <c r="AB81" s="24"/>
      <c r="AC81" s="24"/>
      <c r="AD81" s="24"/>
    </row>
    <row r="82" spans="1:30" ht="32.6">
      <c r="A82" s="121" t="s">
        <v>6350</v>
      </c>
      <c r="B82" s="121" t="s">
        <v>18</v>
      </c>
      <c r="C82" s="79" t="s">
        <v>6352</v>
      </c>
      <c r="D82" s="25" t="s">
        <v>6354</v>
      </c>
      <c r="E82" s="25" t="s">
        <v>6355</v>
      </c>
      <c r="F82" s="183"/>
      <c r="G82" s="183"/>
      <c r="H82" s="64"/>
      <c r="I82" s="182" t="b">
        <f t="shared" si="1"/>
        <v>0</v>
      </c>
      <c r="J82" s="24"/>
      <c r="K82" s="24"/>
      <c r="L82" s="24"/>
      <c r="M82" s="24"/>
      <c r="N82" s="24"/>
      <c r="O82" s="24"/>
      <c r="P82" s="24"/>
      <c r="Q82" s="24"/>
      <c r="R82" s="24"/>
      <c r="S82" s="24"/>
      <c r="T82" s="24"/>
      <c r="U82" s="24"/>
      <c r="V82" s="24"/>
      <c r="W82" s="24"/>
      <c r="X82" s="24"/>
      <c r="Y82" s="24"/>
      <c r="Z82" s="24"/>
      <c r="AA82" s="24"/>
      <c r="AB82" s="24"/>
      <c r="AC82" s="24"/>
      <c r="AD82" s="24"/>
    </row>
    <row r="83" spans="1:30" ht="43.5">
      <c r="A83" s="121" t="s">
        <v>6358</v>
      </c>
      <c r="B83" s="121" t="s">
        <v>18</v>
      </c>
      <c r="C83" s="79" t="s">
        <v>6359</v>
      </c>
      <c r="D83" s="25" t="s">
        <v>6360</v>
      </c>
      <c r="E83" s="25" t="s">
        <v>6361</v>
      </c>
      <c r="F83" s="183"/>
      <c r="G83" s="183"/>
      <c r="H83" s="64"/>
      <c r="I83" s="182" t="b">
        <f t="shared" si="1"/>
        <v>0</v>
      </c>
      <c r="J83" s="24"/>
      <c r="K83" s="24"/>
      <c r="L83" s="24"/>
      <c r="M83" s="24"/>
      <c r="N83" s="24"/>
      <c r="O83" s="24"/>
      <c r="P83" s="24"/>
      <c r="Q83" s="24"/>
      <c r="R83" s="24"/>
      <c r="S83" s="24"/>
      <c r="T83" s="24"/>
      <c r="U83" s="24"/>
      <c r="V83" s="24"/>
      <c r="W83" s="24"/>
      <c r="X83" s="24"/>
      <c r="Y83" s="24"/>
      <c r="Z83" s="24"/>
      <c r="AA83" s="24"/>
      <c r="AB83" s="24"/>
      <c r="AC83" s="24"/>
      <c r="AD83" s="24"/>
    </row>
    <row r="84" spans="1:30" ht="76.099999999999994">
      <c r="A84" s="121" t="s">
        <v>6365</v>
      </c>
      <c r="B84" s="121" t="s">
        <v>18</v>
      </c>
      <c r="C84" s="79" t="s">
        <v>6366</v>
      </c>
      <c r="D84" s="25" t="s">
        <v>6367</v>
      </c>
      <c r="E84" s="25" t="s">
        <v>6368</v>
      </c>
      <c r="F84" s="183"/>
      <c r="G84" s="183"/>
      <c r="H84" s="64"/>
      <c r="I84" s="182" t="b">
        <f t="shared" si="1"/>
        <v>0</v>
      </c>
      <c r="J84" s="24"/>
      <c r="K84" s="24"/>
      <c r="L84" s="24"/>
      <c r="M84" s="24"/>
      <c r="N84" s="24"/>
      <c r="O84" s="24"/>
      <c r="P84" s="24"/>
      <c r="Q84" s="24"/>
      <c r="R84" s="24"/>
      <c r="S84" s="24"/>
      <c r="T84" s="24"/>
      <c r="U84" s="24"/>
      <c r="V84" s="24"/>
      <c r="W84" s="24"/>
      <c r="X84" s="24"/>
      <c r="Y84" s="24"/>
      <c r="Z84" s="24"/>
      <c r="AA84" s="24"/>
      <c r="AB84" s="24"/>
      <c r="AC84" s="24"/>
      <c r="AD84" s="24"/>
    </row>
    <row r="85" spans="1:30" ht="86.95">
      <c r="A85" s="121" t="s">
        <v>6369</v>
      </c>
      <c r="B85" s="121" t="s">
        <v>18</v>
      </c>
      <c r="C85" s="79" t="s">
        <v>6370</v>
      </c>
      <c r="D85" s="25" t="s">
        <v>6371</v>
      </c>
      <c r="E85" s="25" t="s">
        <v>6372</v>
      </c>
      <c r="F85" s="183"/>
      <c r="G85" s="183"/>
      <c r="H85" s="64"/>
      <c r="I85" s="182" t="b">
        <f t="shared" si="1"/>
        <v>0</v>
      </c>
      <c r="J85" s="24"/>
      <c r="K85" s="24"/>
      <c r="L85" s="24"/>
      <c r="M85" s="24"/>
      <c r="N85" s="24"/>
      <c r="O85" s="24"/>
      <c r="P85" s="24"/>
      <c r="Q85" s="24"/>
      <c r="R85" s="24"/>
      <c r="S85" s="24"/>
      <c r="T85" s="24"/>
      <c r="U85" s="24"/>
      <c r="V85" s="24"/>
      <c r="W85" s="24"/>
      <c r="X85" s="24"/>
      <c r="Y85" s="24"/>
      <c r="Z85" s="24"/>
      <c r="AA85" s="24"/>
      <c r="AB85" s="24"/>
      <c r="AC85" s="24"/>
      <c r="AD85" s="24"/>
    </row>
    <row r="86" spans="1:30" ht="32.6">
      <c r="A86" s="121" t="s">
        <v>6373</v>
      </c>
      <c r="B86" s="121" t="s">
        <v>18</v>
      </c>
      <c r="C86" s="79" t="s">
        <v>6374</v>
      </c>
      <c r="D86" s="25" t="s">
        <v>6375</v>
      </c>
      <c r="E86" s="25" t="s">
        <v>6376</v>
      </c>
      <c r="F86" s="183"/>
      <c r="G86" s="183"/>
      <c r="H86" s="64"/>
      <c r="I86" s="182" t="b">
        <f t="shared" si="1"/>
        <v>0</v>
      </c>
      <c r="J86" s="24"/>
      <c r="K86" s="24"/>
      <c r="L86" s="24"/>
      <c r="M86" s="24"/>
      <c r="N86" s="24"/>
      <c r="O86" s="24"/>
      <c r="P86" s="24"/>
      <c r="Q86" s="24"/>
      <c r="R86" s="24"/>
      <c r="S86" s="24"/>
      <c r="T86" s="24"/>
      <c r="U86" s="24"/>
      <c r="V86" s="24"/>
      <c r="W86" s="24"/>
      <c r="X86" s="24"/>
      <c r="Y86" s="24"/>
      <c r="Z86" s="24"/>
      <c r="AA86" s="24"/>
      <c r="AB86" s="24"/>
      <c r="AC86" s="24"/>
      <c r="AD86" s="24"/>
    </row>
    <row r="87" spans="1:30" ht="32.6">
      <c r="A87" s="121" t="s">
        <v>6381</v>
      </c>
      <c r="B87" s="121" t="s">
        <v>18</v>
      </c>
      <c r="C87" s="79" t="s">
        <v>6382</v>
      </c>
      <c r="D87" s="25" t="s">
        <v>6383</v>
      </c>
      <c r="E87" s="25" t="s">
        <v>6384</v>
      </c>
      <c r="F87" s="183"/>
      <c r="G87" s="183"/>
      <c r="H87" s="64"/>
      <c r="I87" s="182" t="b">
        <f t="shared" si="1"/>
        <v>0</v>
      </c>
      <c r="J87" s="24"/>
      <c r="K87" s="24"/>
      <c r="L87" s="24"/>
      <c r="M87" s="24"/>
      <c r="N87" s="24"/>
      <c r="O87" s="24"/>
      <c r="P87" s="24"/>
      <c r="Q87" s="24"/>
      <c r="R87" s="24"/>
      <c r="S87" s="24"/>
      <c r="T87" s="24"/>
      <c r="U87" s="24"/>
      <c r="V87" s="24"/>
      <c r="W87" s="24"/>
      <c r="X87" s="24"/>
      <c r="Y87" s="24"/>
      <c r="Z87" s="24"/>
      <c r="AA87" s="24"/>
      <c r="AB87" s="24"/>
      <c r="AC87" s="24"/>
      <c r="AD87" s="24"/>
    </row>
    <row r="88" spans="1:30" ht="43.5">
      <c r="A88" s="121" t="s">
        <v>6385</v>
      </c>
      <c r="B88" s="121" t="s">
        <v>18</v>
      </c>
      <c r="C88" s="79" t="s">
        <v>6386</v>
      </c>
      <c r="D88" s="25" t="s">
        <v>6387</v>
      </c>
      <c r="E88" s="25" t="s">
        <v>6388</v>
      </c>
      <c r="F88" s="183"/>
      <c r="G88" s="183"/>
      <c r="H88" s="64"/>
      <c r="I88" s="182" t="b">
        <f t="shared" si="1"/>
        <v>0</v>
      </c>
      <c r="J88" s="24"/>
      <c r="K88" s="24"/>
      <c r="L88" s="24"/>
      <c r="M88" s="24"/>
      <c r="N88" s="24"/>
      <c r="O88" s="24"/>
      <c r="P88" s="24"/>
      <c r="Q88" s="24"/>
      <c r="R88" s="24"/>
      <c r="S88" s="24"/>
      <c r="T88" s="24"/>
      <c r="U88" s="24"/>
      <c r="V88" s="24"/>
      <c r="W88" s="24"/>
      <c r="X88" s="24"/>
      <c r="Y88" s="24"/>
      <c r="Z88" s="24"/>
      <c r="AA88" s="24"/>
      <c r="AB88" s="24"/>
      <c r="AC88" s="24"/>
      <c r="AD88" s="24"/>
    </row>
    <row r="89" spans="1:30" ht="65.25">
      <c r="A89" s="121" t="s">
        <v>6391</v>
      </c>
      <c r="B89" s="121" t="s">
        <v>18</v>
      </c>
      <c r="C89" s="79" t="s">
        <v>6392</v>
      </c>
      <c r="D89" s="25" t="s">
        <v>6393</v>
      </c>
      <c r="E89" s="25" t="s">
        <v>6394</v>
      </c>
      <c r="F89" s="183"/>
      <c r="G89" s="183"/>
      <c r="H89" s="64"/>
      <c r="I89" s="182" t="b">
        <f t="shared" si="1"/>
        <v>0</v>
      </c>
      <c r="J89" s="24"/>
      <c r="K89" s="24"/>
      <c r="L89" s="24"/>
      <c r="M89" s="24"/>
      <c r="N89" s="24"/>
      <c r="O89" s="24"/>
      <c r="P89" s="24"/>
      <c r="Q89" s="24"/>
      <c r="R89" s="24"/>
      <c r="S89" s="24"/>
      <c r="T89" s="24"/>
      <c r="U89" s="24"/>
      <c r="V89" s="24"/>
      <c r="W89" s="24"/>
      <c r="X89" s="24"/>
      <c r="Y89" s="24"/>
      <c r="Z89" s="24"/>
      <c r="AA89" s="24"/>
      <c r="AB89" s="24"/>
      <c r="AC89" s="24"/>
      <c r="AD89" s="24"/>
    </row>
    <row r="90" spans="1:30" ht="43.5">
      <c r="A90" s="121" t="s">
        <v>6395</v>
      </c>
      <c r="B90" s="121" t="s">
        <v>18</v>
      </c>
      <c r="C90" s="79" t="s">
        <v>6396</v>
      </c>
      <c r="D90" s="25" t="s">
        <v>6397</v>
      </c>
      <c r="E90" s="25" t="s">
        <v>6398</v>
      </c>
      <c r="F90" s="183"/>
      <c r="G90" s="183"/>
      <c r="H90" s="64"/>
      <c r="I90" s="182" t="b">
        <f t="shared" si="1"/>
        <v>0</v>
      </c>
      <c r="J90" s="24"/>
      <c r="K90" s="24"/>
      <c r="L90" s="24"/>
      <c r="M90" s="24"/>
      <c r="N90" s="24"/>
      <c r="O90" s="24"/>
      <c r="P90" s="24"/>
      <c r="Q90" s="24"/>
      <c r="R90" s="24"/>
      <c r="S90" s="24"/>
      <c r="T90" s="24"/>
      <c r="U90" s="24"/>
      <c r="V90" s="24"/>
      <c r="W90" s="24"/>
      <c r="X90" s="24"/>
      <c r="Y90" s="24"/>
      <c r="Z90" s="24"/>
      <c r="AA90" s="24"/>
      <c r="AB90" s="24"/>
      <c r="AC90" s="24"/>
      <c r="AD90" s="24"/>
    </row>
    <row r="91" spans="1:30" ht="32.6">
      <c r="A91" s="121" t="s">
        <v>6399</v>
      </c>
      <c r="B91" s="121" t="s">
        <v>18</v>
      </c>
      <c r="C91" s="79" t="s">
        <v>6400</v>
      </c>
      <c r="D91" s="25" t="s">
        <v>6401</v>
      </c>
      <c r="E91" s="25" t="s">
        <v>6402</v>
      </c>
      <c r="F91" s="183"/>
      <c r="G91" s="183"/>
      <c r="H91" s="64"/>
      <c r="I91" s="182" t="b">
        <f t="shared" si="1"/>
        <v>0</v>
      </c>
      <c r="J91" s="24"/>
      <c r="K91" s="24"/>
      <c r="L91" s="24"/>
      <c r="M91" s="24"/>
      <c r="N91" s="24"/>
      <c r="O91" s="24"/>
      <c r="P91" s="24"/>
      <c r="Q91" s="24"/>
      <c r="R91" s="24"/>
      <c r="S91" s="24"/>
      <c r="T91" s="24"/>
      <c r="U91" s="24"/>
      <c r="V91" s="24"/>
      <c r="W91" s="24"/>
      <c r="X91" s="24"/>
      <c r="Y91" s="24"/>
      <c r="Z91" s="24"/>
      <c r="AA91" s="24"/>
      <c r="AB91" s="24"/>
      <c r="AC91" s="24"/>
      <c r="AD91" s="24"/>
    </row>
    <row r="92" spans="1:30" ht="32.6">
      <c r="A92" s="121" t="s">
        <v>6405</v>
      </c>
      <c r="B92" s="121" t="s">
        <v>18</v>
      </c>
      <c r="C92" s="79" t="s">
        <v>6406</v>
      </c>
      <c r="D92" s="25" t="s">
        <v>6407</v>
      </c>
      <c r="E92" s="25" t="s">
        <v>6408</v>
      </c>
      <c r="F92" s="183"/>
      <c r="G92" s="183"/>
      <c r="H92" s="64"/>
      <c r="I92" s="182" t="b">
        <f t="shared" si="1"/>
        <v>0</v>
      </c>
      <c r="J92" s="24"/>
      <c r="K92" s="24"/>
      <c r="L92" s="24"/>
      <c r="M92" s="24"/>
      <c r="N92" s="24"/>
      <c r="O92" s="24"/>
      <c r="P92" s="24"/>
      <c r="Q92" s="24"/>
      <c r="R92" s="24"/>
      <c r="S92" s="24"/>
      <c r="T92" s="24"/>
      <c r="U92" s="24"/>
      <c r="V92" s="24"/>
      <c r="W92" s="24"/>
      <c r="X92" s="24"/>
      <c r="Y92" s="24"/>
      <c r="Z92" s="24"/>
      <c r="AA92" s="24"/>
      <c r="AB92" s="24"/>
      <c r="AC92" s="24"/>
      <c r="AD92" s="24"/>
    </row>
    <row r="93" spans="1:30" ht="65.25">
      <c r="A93" s="121" t="s">
        <v>6409</v>
      </c>
      <c r="B93" s="121" t="s">
        <v>18</v>
      </c>
      <c r="C93" s="79" t="s">
        <v>6410</v>
      </c>
      <c r="D93" s="25" t="s">
        <v>6412</v>
      </c>
      <c r="E93" s="25" t="s">
        <v>6414</v>
      </c>
      <c r="F93" s="183"/>
      <c r="G93" s="183"/>
      <c r="H93" s="64"/>
      <c r="I93" s="182" t="b">
        <f t="shared" si="1"/>
        <v>0</v>
      </c>
      <c r="J93" s="24"/>
      <c r="K93" s="24"/>
      <c r="L93" s="24"/>
      <c r="M93" s="24"/>
      <c r="N93" s="24"/>
      <c r="O93" s="24"/>
      <c r="P93" s="24"/>
      <c r="Q93" s="24"/>
      <c r="R93" s="24"/>
      <c r="S93" s="24"/>
      <c r="T93" s="24"/>
      <c r="U93" s="24"/>
      <c r="V93" s="24"/>
      <c r="W93" s="24"/>
      <c r="X93" s="24"/>
      <c r="Y93" s="24"/>
      <c r="Z93" s="24"/>
      <c r="AA93" s="24"/>
      <c r="AB93" s="24"/>
      <c r="AC93" s="24"/>
      <c r="AD93" s="24"/>
    </row>
    <row r="94" spans="1:30" ht="54.35">
      <c r="A94" s="121" t="s">
        <v>6416</v>
      </c>
      <c r="B94" s="121" t="s">
        <v>18</v>
      </c>
      <c r="C94" s="79" t="s">
        <v>6417</v>
      </c>
      <c r="D94" s="25" t="s">
        <v>6418</v>
      </c>
      <c r="E94" s="25" t="s">
        <v>6419</v>
      </c>
      <c r="F94" s="183"/>
      <c r="G94" s="183"/>
      <c r="H94" s="64"/>
      <c r="I94" s="182" t="b">
        <f t="shared" si="1"/>
        <v>0</v>
      </c>
      <c r="J94" s="24"/>
      <c r="K94" s="24"/>
      <c r="L94" s="24"/>
      <c r="M94" s="24"/>
      <c r="N94" s="24"/>
      <c r="O94" s="24"/>
      <c r="P94" s="24"/>
      <c r="Q94" s="24"/>
      <c r="R94" s="24"/>
      <c r="S94" s="24"/>
      <c r="T94" s="24"/>
      <c r="U94" s="24"/>
      <c r="V94" s="24"/>
      <c r="W94" s="24"/>
      <c r="X94" s="24"/>
      <c r="Y94" s="24"/>
      <c r="Z94" s="24"/>
      <c r="AA94" s="24"/>
      <c r="AB94" s="24"/>
      <c r="AC94" s="24"/>
      <c r="AD94" s="24"/>
    </row>
    <row r="95" spans="1:30" ht="43.5">
      <c r="A95" s="121" t="s">
        <v>6422</v>
      </c>
      <c r="B95" s="121" t="s">
        <v>18</v>
      </c>
      <c r="C95" s="79" t="s">
        <v>6423</v>
      </c>
      <c r="D95" s="25" t="s">
        <v>6424</v>
      </c>
      <c r="E95" s="25" t="s">
        <v>6425</v>
      </c>
      <c r="F95" s="183"/>
      <c r="G95" s="183"/>
      <c r="H95" s="64"/>
      <c r="I95" s="182" t="b">
        <f t="shared" si="1"/>
        <v>0</v>
      </c>
      <c r="J95" s="24"/>
      <c r="K95" s="24"/>
      <c r="L95" s="24"/>
      <c r="M95" s="24"/>
      <c r="N95" s="24"/>
      <c r="O95" s="24"/>
      <c r="P95" s="24"/>
      <c r="Q95" s="24"/>
      <c r="R95" s="24"/>
      <c r="S95" s="24"/>
      <c r="T95" s="24"/>
      <c r="U95" s="24"/>
      <c r="V95" s="24"/>
      <c r="W95" s="24"/>
      <c r="X95" s="24"/>
      <c r="Y95" s="24"/>
      <c r="Z95" s="24"/>
      <c r="AA95" s="24"/>
      <c r="AB95" s="24"/>
      <c r="AC95" s="24"/>
      <c r="AD95" s="24"/>
    </row>
    <row r="96" spans="1:30" ht="43.5">
      <c r="A96" s="121" t="s">
        <v>6426</v>
      </c>
      <c r="B96" s="121" t="s">
        <v>18</v>
      </c>
      <c r="C96" s="79" t="s">
        <v>6427</v>
      </c>
      <c r="D96" s="25" t="s">
        <v>6428</v>
      </c>
      <c r="E96" s="25" t="s">
        <v>6429</v>
      </c>
      <c r="F96" s="183"/>
      <c r="G96" s="183"/>
      <c r="H96" s="64"/>
      <c r="I96" s="182" t="b">
        <f t="shared" si="1"/>
        <v>0</v>
      </c>
      <c r="J96" s="24"/>
      <c r="K96" s="24"/>
      <c r="L96" s="24"/>
      <c r="M96" s="24"/>
      <c r="N96" s="24"/>
      <c r="O96" s="24"/>
      <c r="P96" s="24"/>
      <c r="Q96" s="24"/>
      <c r="R96" s="24"/>
      <c r="S96" s="24"/>
      <c r="T96" s="24"/>
      <c r="U96" s="24"/>
      <c r="V96" s="24"/>
      <c r="W96" s="24"/>
      <c r="X96" s="24"/>
      <c r="Y96" s="24"/>
      <c r="Z96" s="24"/>
      <c r="AA96" s="24"/>
      <c r="AB96" s="24"/>
      <c r="AC96" s="24"/>
      <c r="AD96" s="24"/>
    </row>
    <row r="97" spans="1:30" ht="32.6">
      <c r="A97" s="121" t="s">
        <v>6433</v>
      </c>
      <c r="B97" s="121" t="s">
        <v>18</v>
      </c>
      <c r="C97" s="79" t="s">
        <v>6434</v>
      </c>
      <c r="D97" s="25" t="s">
        <v>6435</v>
      </c>
      <c r="E97" s="25" t="s">
        <v>6436</v>
      </c>
      <c r="F97" s="183"/>
      <c r="G97" s="183"/>
      <c r="H97" s="64"/>
      <c r="I97" s="182" t="b">
        <f t="shared" si="1"/>
        <v>0</v>
      </c>
      <c r="J97" s="24"/>
      <c r="K97" s="24"/>
      <c r="L97" s="24"/>
      <c r="M97" s="24"/>
      <c r="N97" s="24"/>
      <c r="O97" s="24"/>
      <c r="P97" s="24"/>
      <c r="Q97" s="24"/>
      <c r="R97" s="24"/>
      <c r="S97" s="24"/>
      <c r="T97" s="24"/>
      <c r="U97" s="24"/>
      <c r="V97" s="24"/>
      <c r="W97" s="24"/>
      <c r="X97" s="24"/>
      <c r="Y97" s="24"/>
      <c r="Z97" s="24"/>
      <c r="AA97" s="24"/>
      <c r="AB97" s="24"/>
      <c r="AC97" s="24"/>
      <c r="AD97" s="24"/>
    </row>
    <row r="98" spans="1:30" ht="32.6">
      <c r="A98" s="121" t="s">
        <v>6437</v>
      </c>
      <c r="B98" s="121" t="s">
        <v>18</v>
      </c>
      <c r="C98" s="79" t="s">
        <v>6439</v>
      </c>
      <c r="D98" s="25" t="s">
        <v>6440</v>
      </c>
      <c r="E98" s="25" t="s">
        <v>6441</v>
      </c>
      <c r="F98" s="183"/>
      <c r="G98" s="183"/>
      <c r="H98" s="64"/>
      <c r="I98" s="182" t="b">
        <f t="shared" si="1"/>
        <v>0</v>
      </c>
      <c r="J98" s="24"/>
      <c r="K98" s="24"/>
      <c r="L98" s="24"/>
      <c r="M98" s="24"/>
      <c r="N98" s="24"/>
      <c r="O98" s="24"/>
      <c r="P98" s="24"/>
      <c r="Q98" s="24"/>
      <c r="R98" s="24"/>
      <c r="S98" s="24"/>
      <c r="T98" s="24"/>
      <c r="U98" s="24"/>
      <c r="V98" s="24"/>
      <c r="W98" s="24"/>
      <c r="X98" s="24"/>
      <c r="Y98" s="24"/>
      <c r="Z98" s="24"/>
      <c r="AA98" s="24"/>
      <c r="AB98" s="24"/>
      <c r="AC98" s="24"/>
      <c r="AD98" s="24"/>
    </row>
    <row r="99" spans="1:30" ht="43.5">
      <c r="A99" s="121" t="s">
        <v>6442</v>
      </c>
      <c r="B99" s="121" t="s">
        <v>18</v>
      </c>
      <c r="C99" s="79" t="s">
        <v>6443</v>
      </c>
      <c r="D99" s="25" t="s">
        <v>6444</v>
      </c>
      <c r="E99" s="25" t="s">
        <v>6445</v>
      </c>
      <c r="F99" s="183"/>
      <c r="G99" s="183"/>
      <c r="H99" s="64"/>
      <c r="I99" s="182" t="b">
        <f t="shared" si="1"/>
        <v>0</v>
      </c>
      <c r="J99" s="24"/>
      <c r="K99" s="24"/>
      <c r="L99" s="24"/>
      <c r="M99" s="24"/>
      <c r="N99" s="24"/>
      <c r="O99" s="24"/>
      <c r="P99" s="24"/>
      <c r="Q99" s="24"/>
      <c r="R99" s="24"/>
      <c r="S99" s="24"/>
      <c r="T99" s="24"/>
      <c r="U99" s="24"/>
      <c r="V99" s="24"/>
      <c r="W99" s="24"/>
      <c r="X99" s="24"/>
      <c r="Y99" s="24"/>
      <c r="Z99" s="24"/>
      <c r="AA99" s="24"/>
      <c r="AB99" s="24"/>
      <c r="AC99" s="24"/>
      <c r="AD99" s="24"/>
    </row>
    <row r="100" spans="1:30" ht="54.35">
      <c r="A100" s="121" t="s">
        <v>6449</v>
      </c>
      <c r="B100" s="121" t="s">
        <v>18</v>
      </c>
      <c r="C100" s="79" t="s">
        <v>6450</v>
      </c>
      <c r="D100" s="25" t="s">
        <v>6451</v>
      </c>
      <c r="E100" s="25" t="s">
        <v>6452</v>
      </c>
      <c r="F100" s="183"/>
      <c r="G100" s="183"/>
      <c r="H100" s="64"/>
      <c r="I100" s="182" t="b">
        <f t="shared" si="1"/>
        <v>0</v>
      </c>
      <c r="J100" s="24"/>
      <c r="K100" s="24"/>
      <c r="L100" s="24"/>
      <c r="M100" s="24"/>
      <c r="N100" s="24"/>
      <c r="O100" s="24"/>
      <c r="P100" s="24"/>
      <c r="Q100" s="24"/>
      <c r="R100" s="24"/>
      <c r="S100" s="24"/>
      <c r="T100" s="24"/>
      <c r="U100" s="24"/>
      <c r="V100" s="24"/>
      <c r="W100" s="24"/>
      <c r="X100" s="24"/>
      <c r="Y100" s="24"/>
      <c r="Z100" s="24"/>
      <c r="AA100" s="24"/>
      <c r="AB100" s="24"/>
      <c r="AC100" s="24"/>
      <c r="AD100" s="24"/>
    </row>
    <row r="101" spans="1:30" ht="43.5">
      <c r="A101" s="121" t="s">
        <v>6453</v>
      </c>
      <c r="B101" s="121" t="s">
        <v>18</v>
      </c>
      <c r="C101" s="79" t="s">
        <v>6454</v>
      </c>
      <c r="D101" s="25" t="s">
        <v>6458</v>
      </c>
      <c r="E101" s="25" t="s">
        <v>6459</v>
      </c>
      <c r="F101" s="183"/>
      <c r="G101" s="183"/>
      <c r="H101" s="64"/>
      <c r="I101" s="182" t="b">
        <f t="shared" si="1"/>
        <v>0</v>
      </c>
      <c r="J101" s="24"/>
      <c r="K101" s="24"/>
      <c r="L101" s="24"/>
      <c r="M101" s="24"/>
      <c r="N101" s="24"/>
      <c r="O101" s="24"/>
      <c r="P101" s="24"/>
      <c r="Q101" s="24"/>
      <c r="R101" s="24"/>
      <c r="S101" s="24"/>
      <c r="T101" s="24"/>
      <c r="U101" s="24"/>
      <c r="V101" s="24"/>
      <c r="W101" s="24"/>
      <c r="X101" s="24"/>
      <c r="Y101" s="24"/>
      <c r="Z101" s="24"/>
      <c r="AA101" s="24"/>
      <c r="AB101" s="24"/>
      <c r="AC101" s="24"/>
      <c r="AD101" s="24"/>
    </row>
    <row r="102" spans="1:30" ht="43.5">
      <c r="A102" s="121" t="s">
        <v>6461</v>
      </c>
      <c r="B102" s="121" t="s">
        <v>18</v>
      </c>
      <c r="C102" s="111" t="s">
        <v>6462</v>
      </c>
      <c r="D102" s="25" t="s">
        <v>6463</v>
      </c>
      <c r="E102" s="25" t="s">
        <v>6464</v>
      </c>
      <c r="F102" s="183"/>
      <c r="G102" s="183"/>
      <c r="H102" s="64"/>
      <c r="I102" s="182" t="b">
        <f t="shared" si="1"/>
        <v>0</v>
      </c>
      <c r="J102" s="24"/>
      <c r="K102" s="24"/>
      <c r="L102" s="24"/>
      <c r="M102" s="24"/>
      <c r="N102" s="24"/>
      <c r="O102" s="24"/>
      <c r="P102" s="24"/>
      <c r="Q102" s="24"/>
      <c r="R102" s="24"/>
      <c r="S102" s="24"/>
      <c r="T102" s="24"/>
      <c r="U102" s="24"/>
      <c r="V102" s="24"/>
      <c r="W102" s="24"/>
      <c r="X102" s="24"/>
      <c r="Y102" s="24"/>
      <c r="Z102" s="24"/>
      <c r="AA102" s="24"/>
      <c r="AB102" s="24"/>
      <c r="AC102" s="24"/>
      <c r="AD102" s="24"/>
    </row>
    <row r="103" spans="1:30" ht="54.35">
      <c r="A103" s="121" t="s">
        <v>6468</v>
      </c>
      <c r="B103" s="121" t="s">
        <v>18</v>
      </c>
      <c r="C103" s="111" t="s">
        <v>6469</v>
      </c>
      <c r="D103" s="25" t="s">
        <v>6470</v>
      </c>
      <c r="E103" s="25" t="s">
        <v>6471</v>
      </c>
      <c r="F103" s="183"/>
      <c r="G103" s="183"/>
      <c r="H103" s="64"/>
      <c r="I103" s="182" t="b">
        <f t="shared" si="1"/>
        <v>0</v>
      </c>
      <c r="J103" s="24"/>
      <c r="K103" s="24"/>
      <c r="L103" s="24"/>
      <c r="M103" s="24"/>
      <c r="N103" s="24"/>
      <c r="O103" s="24"/>
      <c r="P103" s="24"/>
      <c r="Q103" s="24"/>
      <c r="R103" s="24"/>
      <c r="S103" s="24"/>
      <c r="T103" s="24"/>
      <c r="U103" s="24"/>
      <c r="V103" s="24"/>
      <c r="W103" s="24"/>
      <c r="X103" s="24"/>
      <c r="Y103" s="24"/>
      <c r="Z103" s="24"/>
      <c r="AA103" s="24"/>
      <c r="AB103" s="24"/>
      <c r="AC103" s="24"/>
      <c r="AD103" s="24"/>
    </row>
    <row r="104" spans="1:30" ht="86.95">
      <c r="A104" s="121" t="s">
        <v>6472</v>
      </c>
      <c r="B104" s="121" t="s">
        <v>18</v>
      </c>
      <c r="C104" s="111" t="s">
        <v>6473</v>
      </c>
      <c r="D104" s="25" t="s">
        <v>6474</v>
      </c>
      <c r="E104" s="25" t="s">
        <v>6475</v>
      </c>
      <c r="F104" s="183"/>
      <c r="G104" s="183"/>
      <c r="H104" s="64"/>
      <c r="I104" s="182" t="b">
        <f t="shared" si="1"/>
        <v>0</v>
      </c>
      <c r="J104" s="24"/>
      <c r="K104" s="24"/>
      <c r="L104" s="24"/>
      <c r="M104" s="24"/>
      <c r="N104" s="24"/>
      <c r="O104" s="24"/>
      <c r="P104" s="24"/>
      <c r="Q104" s="24"/>
      <c r="R104" s="24"/>
      <c r="S104" s="24"/>
      <c r="T104" s="24"/>
      <c r="U104" s="24"/>
      <c r="V104" s="24"/>
      <c r="W104" s="24"/>
      <c r="X104" s="24"/>
      <c r="Y104" s="24"/>
      <c r="Z104" s="24"/>
      <c r="AA104" s="24"/>
      <c r="AB104" s="24"/>
      <c r="AC104" s="24"/>
      <c r="AD104" s="24"/>
    </row>
    <row r="105" spans="1:30" ht="65.25">
      <c r="A105" s="121" t="s">
        <v>6476</v>
      </c>
      <c r="B105" s="121" t="s">
        <v>18</v>
      </c>
      <c r="C105" s="111" t="s">
        <v>6477</v>
      </c>
      <c r="D105" s="25" t="s">
        <v>6478</v>
      </c>
      <c r="E105" s="25" t="s">
        <v>6479</v>
      </c>
      <c r="F105" s="183"/>
      <c r="G105" s="183"/>
      <c r="H105" s="64"/>
      <c r="I105" s="182" t="b">
        <f t="shared" si="1"/>
        <v>0</v>
      </c>
      <c r="J105" s="24"/>
      <c r="K105" s="24"/>
      <c r="L105" s="24"/>
      <c r="M105" s="24"/>
      <c r="N105" s="24"/>
      <c r="O105" s="24"/>
      <c r="P105" s="24"/>
      <c r="Q105" s="24"/>
      <c r="R105" s="24"/>
      <c r="S105" s="24"/>
      <c r="T105" s="24"/>
      <c r="U105" s="24"/>
      <c r="V105" s="24"/>
      <c r="W105" s="24"/>
      <c r="X105" s="24"/>
      <c r="Y105" s="24"/>
      <c r="Z105" s="24"/>
      <c r="AA105" s="24"/>
      <c r="AB105" s="24"/>
      <c r="AC105" s="24"/>
      <c r="AD105" s="24"/>
    </row>
    <row r="106" spans="1:30" ht="43.5">
      <c r="A106" s="121" t="s">
        <v>6484</v>
      </c>
      <c r="B106" s="121" t="s">
        <v>18</v>
      </c>
      <c r="C106" s="25" t="s">
        <v>6485</v>
      </c>
      <c r="D106" s="25" t="s">
        <v>6486</v>
      </c>
      <c r="E106" s="25" t="s">
        <v>6487</v>
      </c>
      <c r="F106" s="183"/>
      <c r="G106" s="183"/>
      <c r="H106" s="64"/>
      <c r="I106" s="182" t="b">
        <f t="shared" si="1"/>
        <v>0</v>
      </c>
      <c r="J106" s="24"/>
      <c r="K106" s="24"/>
      <c r="L106" s="24"/>
      <c r="M106" s="24"/>
      <c r="N106" s="24"/>
      <c r="O106" s="24"/>
      <c r="P106" s="24"/>
      <c r="Q106" s="24"/>
      <c r="R106" s="24"/>
      <c r="S106" s="24"/>
      <c r="T106" s="24"/>
      <c r="U106" s="24"/>
      <c r="V106" s="24"/>
      <c r="W106" s="24"/>
      <c r="X106" s="24"/>
      <c r="Y106" s="24"/>
      <c r="Z106" s="24"/>
      <c r="AA106" s="24"/>
      <c r="AB106" s="24"/>
      <c r="AC106" s="24"/>
      <c r="AD106" s="24"/>
    </row>
    <row r="107" spans="1:30" ht="32.6">
      <c r="A107" s="121" t="s">
        <v>6491</v>
      </c>
      <c r="B107" s="121" t="s">
        <v>18</v>
      </c>
      <c r="C107" s="111" t="s">
        <v>6492</v>
      </c>
      <c r="D107" s="54" t="s">
        <v>6493</v>
      </c>
      <c r="E107" s="25" t="s">
        <v>6494</v>
      </c>
      <c r="F107" s="141" t="str">
        <f>HYPERLINK("https://www.acquisition.gov/content/part-4-administrative-matters#iSubpart_4_10","FAR 4.10")</f>
        <v>FAR 4.10</v>
      </c>
      <c r="G107" s="183"/>
      <c r="H107" s="64"/>
      <c r="I107" s="182" t="b">
        <f t="shared" si="1"/>
        <v>0</v>
      </c>
      <c r="J107" s="24"/>
      <c r="K107" s="24"/>
      <c r="L107" s="24"/>
      <c r="M107" s="24"/>
      <c r="N107" s="24"/>
      <c r="O107" s="24"/>
      <c r="P107" s="24"/>
      <c r="Q107" s="24"/>
      <c r="R107" s="24"/>
      <c r="S107" s="24"/>
      <c r="T107" s="24"/>
      <c r="U107" s="24"/>
      <c r="V107" s="24"/>
      <c r="W107" s="24"/>
      <c r="X107" s="24"/>
      <c r="Y107" s="24"/>
      <c r="Z107" s="24"/>
      <c r="AA107" s="24"/>
      <c r="AB107" s="24"/>
      <c r="AC107" s="24"/>
      <c r="AD107" s="24"/>
    </row>
    <row r="108" spans="1:30" ht="76.099999999999994">
      <c r="A108" s="121" t="s">
        <v>6501</v>
      </c>
      <c r="B108" s="121" t="s">
        <v>18</v>
      </c>
      <c r="C108" s="190" t="s">
        <v>6502</v>
      </c>
      <c r="D108" s="191" t="s">
        <v>6503</v>
      </c>
      <c r="E108" s="25" t="s">
        <v>6507</v>
      </c>
      <c r="F108" s="183"/>
      <c r="G108" s="183"/>
      <c r="H108" s="64"/>
      <c r="I108" s="182" t="b">
        <f t="shared" si="1"/>
        <v>0</v>
      </c>
      <c r="J108" s="24"/>
      <c r="K108" s="24"/>
      <c r="L108" s="24"/>
      <c r="M108" s="24"/>
      <c r="N108" s="24"/>
      <c r="O108" s="24"/>
      <c r="P108" s="24"/>
      <c r="Q108" s="24"/>
      <c r="R108" s="24"/>
      <c r="S108" s="24"/>
      <c r="T108" s="24"/>
      <c r="U108" s="24"/>
      <c r="V108" s="24"/>
      <c r="W108" s="24"/>
      <c r="X108" s="24"/>
      <c r="Y108" s="24"/>
      <c r="Z108" s="24"/>
      <c r="AA108" s="24"/>
      <c r="AB108" s="24"/>
      <c r="AC108" s="24"/>
      <c r="AD108" s="24"/>
    </row>
    <row r="109" spans="1:30" ht="54.35">
      <c r="A109" s="121" t="s">
        <v>6511</v>
      </c>
      <c r="B109" s="121" t="s">
        <v>18</v>
      </c>
      <c r="C109" s="190" t="s">
        <v>6512</v>
      </c>
      <c r="D109" s="191" t="s">
        <v>6513</v>
      </c>
      <c r="E109" s="25" t="s">
        <v>6514</v>
      </c>
      <c r="F109" s="183"/>
      <c r="G109" s="183"/>
      <c r="H109" s="64"/>
      <c r="I109" s="182" t="b">
        <f t="shared" si="1"/>
        <v>0</v>
      </c>
      <c r="J109" s="24"/>
      <c r="K109" s="24"/>
      <c r="L109" s="24"/>
      <c r="M109" s="24"/>
      <c r="N109" s="24"/>
      <c r="O109" s="24"/>
      <c r="P109" s="24"/>
      <c r="Q109" s="24"/>
      <c r="R109" s="24"/>
      <c r="S109" s="24"/>
      <c r="T109" s="24"/>
      <c r="U109" s="24"/>
      <c r="V109" s="24"/>
      <c r="W109" s="24"/>
      <c r="X109" s="24"/>
      <c r="Y109" s="24"/>
      <c r="Z109" s="24"/>
      <c r="AA109" s="24"/>
      <c r="AB109" s="24"/>
      <c r="AC109" s="24"/>
      <c r="AD109" s="24"/>
    </row>
    <row r="110" spans="1:30" ht="32.6">
      <c r="A110" s="121" t="s">
        <v>6515</v>
      </c>
      <c r="B110" s="121" t="s">
        <v>18</v>
      </c>
      <c r="C110" s="190" t="s">
        <v>6516</v>
      </c>
      <c r="D110" s="191" t="s">
        <v>6517</v>
      </c>
      <c r="E110" s="25" t="s">
        <v>6518</v>
      </c>
      <c r="F110" s="183"/>
      <c r="G110" s="183"/>
      <c r="H110" s="64"/>
      <c r="I110" s="182" t="b">
        <f t="shared" si="1"/>
        <v>0</v>
      </c>
      <c r="J110" s="24"/>
      <c r="K110" s="24"/>
      <c r="L110" s="24"/>
      <c r="M110" s="24"/>
      <c r="N110" s="24"/>
      <c r="O110" s="24"/>
      <c r="P110" s="24"/>
      <c r="Q110" s="24"/>
      <c r="R110" s="24"/>
      <c r="S110" s="24"/>
      <c r="T110" s="24"/>
      <c r="U110" s="24"/>
      <c r="V110" s="24"/>
      <c r="W110" s="24"/>
      <c r="X110" s="24"/>
      <c r="Y110" s="24"/>
      <c r="Z110" s="24"/>
      <c r="AA110" s="24"/>
      <c r="AB110" s="24"/>
      <c r="AC110" s="24"/>
      <c r="AD110" s="24"/>
    </row>
    <row r="111" spans="1:30" ht="43.5">
      <c r="A111" s="121" t="s">
        <v>6519</v>
      </c>
      <c r="B111" s="121" t="s">
        <v>18</v>
      </c>
      <c r="C111" s="190" t="s">
        <v>6520</v>
      </c>
      <c r="D111" s="191" t="s">
        <v>6521</v>
      </c>
      <c r="E111" s="25" t="s">
        <v>6522</v>
      </c>
      <c r="F111" s="183"/>
      <c r="G111" s="183"/>
      <c r="H111" s="64"/>
      <c r="I111" s="182" t="b">
        <f t="shared" si="1"/>
        <v>0</v>
      </c>
      <c r="J111" s="24"/>
      <c r="K111" s="24"/>
      <c r="L111" s="24"/>
      <c r="M111" s="24"/>
      <c r="N111" s="24"/>
      <c r="O111" s="24"/>
      <c r="P111" s="24"/>
      <c r="Q111" s="24"/>
      <c r="R111" s="24"/>
      <c r="S111" s="24"/>
      <c r="T111" s="24"/>
      <c r="U111" s="24"/>
      <c r="V111" s="24"/>
      <c r="W111" s="24"/>
      <c r="X111" s="24"/>
      <c r="Y111" s="24"/>
      <c r="Z111" s="24"/>
      <c r="AA111" s="24"/>
      <c r="AB111" s="24"/>
      <c r="AC111" s="24"/>
      <c r="AD111" s="24"/>
    </row>
    <row r="112" spans="1:30" ht="76.099999999999994">
      <c r="A112" s="121" t="s">
        <v>6523</v>
      </c>
      <c r="B112" s="121" t="s">
        <v>18</v>
      </c>
      <c r="C112" s="190" t="s">
        <v>6524</v>
      </c>
      <c r="D112" s="191" t="s">
        <v>6525</v>
      </c>
      <c r="E112" s="25" t="s">
        <v>6526</v>
      </c>
      <c r="F112" s="183"/>
      <c r="G112" s="183"/>
      <c r="H112" s="64"/>
      <c r="I112" s="182" t="b">
        <f t="shared" si="1"/>
        <v>0</v>
      </c>
      <c r="J112" s="24"/>
      <c r="K112" s="24"/>
      <c r="L112" s="24"/>
      <c r="M112" s="24"/>
      <c r="N112" s="24"/>
      <c r="O112" s="24"/>
      <c r="P112" s="24"/>
      <c r="Q112" s="24"/>
      <c r="R112" s="24"/>
      <c r="S112" s="24"/>
      <c r="T112" s="24"/>
      <c r="U112" s="24"/>
      <c r="V112" s="24"/>
      <c r="W112" s="24"/>
      <c r="X112" s="24"/>
      <c r="Y112" s="24"/>
      <c r="Z112" s="24"/>
      <c r="AA112" s="24"/>
      <c r="AB112" s="24"/>
      <c r="AC112" s="24"/>
      <c r="AD112" s="24"/>
    </row>
    <row r="113" spans="1:30" ht="65.25">
      <c r="A113" s="121" t="s">
        <v>6530</v>
      </c>
      <c r="B113" s="121" t="s">
        <v>18</v>
      </c>
      <c r="C113" s="192" t="s">
        <v>6531</v>
      </c>
      <c r="D113" s="191" t="s">
        <v>6535</v>
      </c>
      <c r="E113" s="25" t="s">
        <v>6536</v>
      </c>
      <c r="F113" s="183"/>
      <c r="G113" s="183"/>
      <c r="H113" s="64"/>
      <c r="I113" s="182" t="b">
        <f t="shared" si="1"/>
        <v>0</v>
      </c>
      <c r="J113" s="24"/>
      <c r="K113" s="24"/>
      <c r="L113" s="24"/>
      <c r="M113" s="24"/>
      <c r="N113" s="24"/>
      <c r="O113" s="24"/>
      <c r="P113" s="24"/>
      <c r="Q113" s="24"/>
      <c r="R113" s="24"/>
      <c r="S113" s="24"/>
      <c r="T113" s="24"/>
      <c r="U113" s="24"/>
      <c r="V113" s="24"/>
      <c r="W113" s="24"/>
      <c r="X113" s="24"/>
      <c r="Y113" s="24"/>
      <c r="Z113" s="24"/>
      <c r="AA113" s="24"/>
      <c r="AB113" s="24"/>
      <c r="AC113" s="24"/>
      <c r="AD113" s="24"/>
    </row>
    <row r="114" spans="1:30" ht="43.5">
      <c r="A114" s="121" t="s">
        <v>6538</v>
      </c>
      <c r="B114" s="121" t="s">
        <v>18</v>
      </c>
      <c r="C114" s="190" t="s">
        <v>6541</v>
      </c>
      <c r="D114" s="94" t="s">
        <v>6543</v>
      </c>
      <c r="E114" s="25" t="s">
        <v>6544</v>
      </c>
      <c r="F114" s="183"/>
      <c r="G114" s="183"/>
      <c r="H114" s="64"/>
      <c r="I114" s="182" t="b">
        <f t="shared" si="1"/>
        <v>0</v>
      </c>
      <c r="J114" s="24"/>
      <c r="K114" s="24"/>
      <c r="L114" s="24"/>
      <c r="M114" s="24"/>
      <c r="N114" s="24"/>
      <c r="O114" s="24"/>
      <c r="P114" s="24"/>
      <c r="Q114" s="24"/>
      <c r="R114" s="24"/>
      <c r="S114" s="24"/>
      <c r="T114" s="24"/>
      <c r="U114" s="24"/>
      <c r="V114" s="24"/>
      <c r="W114" s="24"/>
      <c r="X114" s="24"/>
      <c r="Y114" s="24"/>
      <c r="Z114" s="24"/>
      <c r="AA114" s="24"/>
      <c r="AB114" s="24"/>
      <c r="AC114" s="24"/>
      <c r="AD114" s="24"/>
    </row>
    <row r="115" spans="1:30" ht="43.5">
      <c r="A115" s="121" t="s">
        <v>6545</v>
      </c>
      <c r="B115" s="121" t="s">
        <v>18</v>
      </c>
      <c r="C115" s="190" t="s">
        <v>6546</v>
      </c>
      <c r="D115" s="191" t="s">
        <v>6547</v>
      </c>
      <c r="E115" s="25" t="s">
        <v>6548</v>
      </c>
      <c r="F115" s="183"/>
      <c r="G115" s="183"/>
      <c r="H115" s="64"/>
      <c r="I115" s="182" t="b">
        <f t="shared" si="1"/>
        <v>0</v>
      </c>
      <c r="J115" s="24"/>
      <c r="K115" s="24"/>
      <c r="L115" s="24"/>
      <c r="M115" s="24"/>
      <c r="N115" s="24"/>
      <c r="O115" s="24"/>
      <c r="P115" s="24"/>
      <c r="Q115" s="24"/>
      <c r="R115" s="24"/>
      <c r="S115" s="24"/>
      <c r="T115" s="24"/>
      <c r="U115" s="24"/>
      <c r="V115" s="24"/>
      <c r="W115" s="24"/>
      <c r="X115" s="24"/>
      <c r="Y115" s="24"/>
      <c r="Z115" s="24"/>
      <c r="AA115" s="24"/>
      <c r="AB115" s="24"/>
      <c r="AC115" s="24"/>
      <c r="AD115" s="24"/>
    </row>
    <row r="116" spans="1:30" ht="12.9">
      <c r="A116" s="24"/>
      <c r="B116" s="24"/>
      <c r="C116" s="24"/>
      <c r="D116" s="24"/>
      <c r="E116" s="24"/>
      <c r="F116" s="143"/>
      <c r="G116" s="143"/>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row>
    <row r="117" spans="1:30" ht="16.3">
      <c r="A117" s="24"/>
      <c r="B117" s="24"/>
      <c r="C117" s="24"/>
      <c r="D117" s="24"/>
      <c r="E117" s="24"/>
      <c r="F117" s="143"/>
      <c r="G117" s="143"/>
      <c r="H117" s="24"/>
      <c r="I117" s="193">
        <f>SUM(I2:I115)</f>
        <v>0</v>
      </c>
      <c r="J117" s="24"/>
      <c r="K117" s="24"/>
      <c r="L117" s="24"/>
      <c r="M117" s="24"/>
      <c r="N117" s="24"/>
      <c r="O117" s="24"/>
      <c r="P117" s="24"/>
      <c r="Q117" s="24"/>
      <c r="R117" s="24"/>
      <c r="S117" s="24"/>
      <c r="T117" s="24"/>
      <c r="U117" s="24"/>
      <c r="V117" s="24"/>
      <c r="W117" s="24"/>
      <c r="X117" s="24"/>
      <c r="Y117" s="24"/>
      <c r="Z117" s="24"/>
      <c r="AA117" s="24"/>
      <c r="AB117" s="24"/>
      <c r="AC117" s="24"/>
      <c r="AD117" s="24"/>
    </row>
    <row r="118" spans="1:30" ht="12.9">
      <c r="A118" s="24"/>
      <c r="B118" s="24"/>
      <c r="C118" s="24"/>
      <c r="D118" s="24"/>
      <c r="E118" s="24"/>
      <c r="F118" s="143"/>
      <c r="G118" s="143"/>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row>
    <row r="119" spans="1:30" ht="12.9">
      <c r="A119" s="24"/>
      <c r="B119" s="24"/>
      <c r="C119" s="24"/>
      <c r="D119" s="24"/>
      <c r="E119" s="24"/>
      <c r="F119" s="143"/>
      <c r="G119" s="143"/>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row>
    <row r="120" spans="1:30" ht="12.9">
      <c r="A120" s="24"/>
      <c r="B120" s="24"/>
      <c r="C120" s="24"/>
      <c r="D120" s="24"/>
      <c r="E120" s="24"/>
      <c r="F120" s="143"/>
      <c r="G120" s="143"/>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row>
    <row r="121" spans="1:30" ht="12.9">
      <c r="A121" s="24"/>
      <c r="B121" s="24"/>
      <c r="C121" s="24"/>
      <c r="D121" s="24"/>
      <c r="E121" s="24"/>
      <c r="F121" s="143"/>
      <c r="G121" s="143"/>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row>
    <row r="122" spans="1:30" ht="12.9">
      <c r="A122" s="24"/>
      <c r="B122" s="24"/>
      <c r="C122" s="24"/>
      <c r="D122" s="24"/>
      <c r="E122" s="24"/>
      <c r="F122" s="143"/>
      <c r="G122" s="143"/>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row>
    <row r="123" spans="1:30" ht="12.9">
      <c r="A123" s="24"/>
      <c r="B123" s="24"/>
      <c r="C123" s="24"/>
      <c r="D123" s="24"/>
      <c r="E123" s="24"/>
      <c r="F123" s="143"/>
      <c r="G123" s="143"/>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row>
    <row r="124" spans="1:30" ht="12.9">
      <c r="A124" s="24"/>
      <c r="B124" s="24"/>
      <c r="C124" s="24"/>
      <c r="D124" s="24"/>
      <c r="E124" s="24"/>
      <c r="F124" s="143"/>
      <c r="G124" s="143"/>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row>
    <row r="125" spans="1:30" ht="12.9">
      <c r="A125" s="24"/>
      <c r="B125" s="24"/>
      <c r="C125" s="24"/>
      <c r="D125" s="24"/>
      <c r="E125" s="24"/>
      <c r="F125" s="143"/>
      <c r="G125" s="143"/>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row>
    <row r="126" spans="1:30" ht="12.9">
      <c r="A126" s="24"/>
      <c r="B126" s="24"/>
      <c r="C126" s="24"/>
      <c r="D126" s="24"/>
      <c r="E126" s="24"/>
      <c r="F126" s="143"/>
      <c r="G126" s="143"/>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row>
    <row r="127" spans="1:30" ht="12.9">
      <c r="A127" s="24"/>
      <c r="B127" s="24"/>
      <c r="C127" s="24"/>
      <c r="D127" s="24"/>
      <c r="E127" s="24"/>
      <c r="F127" s="143"/>
      <c r="G127" s="143"/>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row>
    <row r="128" spans="1:30" ht="12.9">
      <c r="A128" s="24"/>
      <c r="B128" s="24"/>
      <c r="C128" s="24"/>
      <c r="D128" s="24"/>
      <c r="E128" s="24"/>
      <c r="F128" s="143"/>
      <c r="G128" s="143"/>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row>
    <row r="129" spans="1:30" ht="12.9">
      <c r="A129" s="24"/>
      <c r="B129" s="24"/>
      <c r="C129" s="24"/>
      <c r="D129" s="24"/>
      <c r="E129" s="24"/>
      <c r="F129" s="143"/>
      <c r="G129" s="143"/>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row>
    <row r="130" spans="1:30" ht="12.9">
      <c r="A130" s="24"/>
      <c r="B130" s="24"/>
      <c r="C130" s="24"/>
      <c r="D130" s="24"/>
      <c r="E130" s="24"/>
      <c r="F130" s="143"/>
      <c r="G130" s="143"/>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row>
    <row r="131" spans="1:30" ht="12.9">
      <c r="A131" s="24"/>
      <c r="B131" s="24"/>
      <c r="C131" s="24"/>
      <c r="D131" s="24"/>
      <c r="E131" s="24"/>
      <c r="F131" s="143"/>
      <c r="G131" s="143"/>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row>
    <row r="132" spans="1:30" ht="12.9">
      <c r="A132" s="24"/>
      <c r="B132" s="24"/>
      <c r="C132" s="24"/>
      <c r="D132" s="24"/>
      <c r="E132" s="24"/>
      <c r="F132" s="143"/>
      <c r="G132" s="143"/>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row>
    <row r="133" spans="1:30" ht="12.9">
      <c r="A133" s="24"/>
      <c r="B133" s="24"/>
      <c r="C133" s="24"/>
      <c r="D133" s="24"/>
      <c r="E133" s="24"/>
      <c r="F133" s="143"/>
      <c r="G133" s="143"/>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row>
    <row r="134" spans="1:30" ht="12.9">
      <c r="A134" s="24"/>
      <c r="B134" s="24"/>
      <c r="C134" s="24"/>
      <c r="D134" s="24"/>
      <c r="E134" s="24"/>
      <c r="F134" s="143"/>
      <c r="G134" s="143"/>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row>
    <row r="135" spans="1:30" ht="12.9">
      <c r="A135" s="24"/>
      <c r="B135" s="24"/>
      <c r="C135" s="24"/>
      <c r="D135" s="24"/>
      <c r="E135" s="24"/>
      <c r="F135" s="143"/>
      <c r="G135" s="143"/>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row>
    <row r="136" spans="1:30" ht="12.9">
      <c r="A136" s="24"/>
      <c r="B136" s="24"/>
      <c r="C136" s="24"/>
      <c r="D136" s="24"/>
      <c r="E136" s="24"/>
      <c r="F136" s="143"/>
      <c r="G136" s="143"/>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row>
    <row r="137" spans="1:30" ht="12.9">
      <c r="A137" s="24"/>
      <c r="B137" s="24"/>
      <c r="C137" s="24"/>
      <c r="D137" s="24"/>
      <c r="E137" s="24"/>
      <c r="F137" s="143"/>
      <c r="G137" s="143"/>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row>
    <row r="138" spans="1:30" ht="12.9">
      <c r="A138" s="24"/>
      <c r="B138" s="24"/>
      <c r="C138" s="24"/>
      <c r="D138" s="24"/>
      <c r="E138" s="24"/>
      <c r="F138" s="143"/>
      <c r="G138" s="143"/>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row>
    <row r="139" spans="1:30" ht="12.9">
      <c r="A139" s="24"/>
      <c r="B139" s="24"/>
      <c r="C139" s="24"/>
      <c r="D139" s="24"/>
      <c r="E139" s="24"/>
      <c r="F139" s="143"/>
      <c r="G139" s="143"/>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row>
    <row r="140" spans="1:30" ht="12.9">
      <c r="A140" s="24"/>
      <c r="B140" s="24"/>
      <c r="C140" s="24"/>
      <c r="D140" s="24"/>
      <c r="E140" s="24"/>
      <c r="F140" s="143"/>
      <c r="G140" s="143"/>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row>
    <row r="141" spans="1:30" ht="12.9">
      <c r="A141" s="24"/>
      <c r="B141" s="24"/>
      <c r="C141" s="24"/>
      <c r="D141" s="24"/>
      <c r="E141" s="24"/>
      <c r="F141" s="143"/>
      <c r="G141" s="143"/>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row>
    <row r="142" spans="1:30" ht="12.9">
      <c r="A142" s="24"/>
      <c r="B142" s="24"/>
      <c r="C142" s="24"/>
      <c r="D142" s="24"/>
      <c r="E142" s="24"/>
      <c r="F142" s="143"/>
      <c r="G142" s="143"/>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row>
    <row r="143" spans="1:30" ht="12.9">
      <c r="A143" s="24"/>
      <c r="B143" s="24"/>
      <c r="C143" s="24"/>
      <c r="D143" s="24"/>
      <c r="E143" s="24"/>
      <c r="F143" s="143"/>
      <c r="G143" s="143"/>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row>
    <row r="144" spans="1:30" ht="12.9">
      <c r="A144" s="24"/>
      <c r="B144" s="24"/>
      <c r="C144" s="24"/>
      <c r="D144" s="24"/>
      <c r="E144" s="24"/>
      <c r="F144" s="143"/>
      <c r="G144" s="143"/>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row>
    <row r="145" spans="1:30" ht="12.9">
      <c r="A145" s="24"/>
      <c r="B145" s="24"/>
      <c r="C145" s="24"/>
      <c r="D145" s="24"/>
      <c r="E145" s="24"/>
      <c r="F145" s="143"/>
      <c r="G145" s="143"/>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row>
    <row r="146" spans="1:30" ht="12.9">
      <c r="A146" s="24"/>
      <c r="B146" s="24"/>
      <c r="C146" s="24"/>
      <c r="D146" s="24"/>
      <c r="E146" s="24"/>
      <c r="F146" s="143"/>
      <c r="G146" s="143"/>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row>
    <row r="147" spans="1:30" ht="12.9">
      <c r="A147" s="24"/>
      <c r="B147" s="24"/>
      <c r="C147" s="24"/>
      <c r="D147" s="24"/>
      <c r="E147" s="24"/>
      <c r="F147" s="143"/>
      <c r="G147" s="143"/>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row>
    <row r="148" spans="1:30" ht="12.9">
      <c r="A148" s="24"/>
      <c r="B148" s="24"/>
      <c r="C148" s="24"/>
      <c r="D148" s="24"/>
      <c r="E148" s="24"/>
      <c r="F148" s="143"/>
      <c r="G148" s="143"/>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row>
    <row r="149" spans="1:30" ht="12.9">
      <c r="A149" s="24"/>
      <c r="B149" s="24"/>
      <c r="C149" s="24"/>
      <c r="D149" s="24"/>
      <c r="E149" s="24"/>
      <c r="F149" s="143"/>
      <c r="G149" s="143"/>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row>
    <row r="150" spans="1:30" ht="12.9">
      <c r="A150" s="24"/>
      <c r="B150" s="24"/>
      <c r="C150" s="24"/>
      <c r="D150" s="24"/>
      <c r="E150" s="24"/>
      <c r="F150" s="143"/>
      <c r="G150" s="143"/>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row>
    <row r="151" spans="1:30" ht="12.9">
      <c r="A151" s="24"/>
      <c r="B151" s="24"/>
      <c r="C151" s="24"/>
      <c r="D151" s="24"/>
      <c r="E151" s="24"/>
      <c r="F151" s="143"/>
      <c r="G151" s="143"/>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row>
    <row r="152" spans="1:30" ht="12.9">
      <c r="A152" s="24"/>
      <c r="B152" s="24"/>
      <c r="C152" s="24"/>
      <c r="D152" s="24"/>
      <c r="E152" s="24"/>
      <c r="F152" s="143"/>
      <c r="G152" s="143"/>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row>
    <row r="153" spans="1:30" ht="12.9">
      <c r="A153" s="24"/>
      <c r="B153" s="24"/>
      <c r="C153" s="24"/>
      <c r="D153" s="24"/>
      <c r="E153" s="24"/>
      <c r="F153" s="143"/>
      <c r="G153" s="143"/>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row>
    <row r="154" spans="1:30" ht="12.9">
      <c r="A154" s="24"/>
      <c r="B154" s="24"/>
      <c r="C154" s="24"/>
      <c r="D154" s="24"/>
      <c r="E154" s="24"/>
      <c r="F154" s="143"/>
      <c r="G154" s="143"/>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row>
    <row r="155" spans="1:30" ht="12.9">
      <c r="A155" s="24"/>
      <c r="B155" s="24"/>
      <c r="C155" s="24"/>
      <c r="D155" s="24"/>
      <c r="E155" s="24"/>
      <c r="F155" s="143"/>
      <c r="G155" s="143"/>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row>
    <row r="156" spans="1:30" ht="12.9">
      <c r="A156" s="24"/>
      <c r="B156" s="24"/>
      <c r="C156" s="24"/>
      <c r="D156" s="24"/>
      <c r="E156" s="24"/>
      <c r="F156" s="143"/>
      <c r="G156" s="143"/>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row>
    <row r="157" spans="1:30" ht="12.9">
      <c r="A157" s="24"/>
      <c r="B157" s="24"/>
      <c r="C157" s="24"/>
      <c r="D157" s="24"/>
      <c r="E157" s="24"/>
      <c r="F157" s="143"/>
      <c r="G157" s="143"/>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row>
    <row r="158" spans="1:30" ht="12.9">
      <c r="A158" s="24"/>
      <c r="B158" s="24"/>
      <c r="C158" s="24"/>
      <c r="D158" s="24"/>
      <c r="E158" s="24"/>
      <c r="F158" s="143"/>
      <c r="G158" s="143"/>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row>
    <row r="159" spans="1:30" ht="12.9">
      <c r="A159" s="24"/>
      <c r="B159" s="24"/>
      <c r="C159" s="24"/>
      <c r="D159" s="24"/>
      <c r="E159" s="24"/>
      <c r="F159" s="143"/>
      <c r="G159" s="143"/>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row>
    <row r="160" spans="1:30" ht="12.9">
      <c r="A160" s="24"/>
      <c r="B160" s="24"/>
      <c r="C160" s="24"/>
      <c r="D160" s="24"/>
      <c r="E160" s="24"/>
      <c r="F160" s="143"/>
      <c r="G160" s="143"/>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row>
    <row r="161" spans="1:30" ht="12.9">
      <c r="A161" s="24"/>
      <c r="B161" s="24"/>
      <c r="C161" s="24"/>
      <c r="D161" s="24"/>
      <c r="E161" s="24"/>
      <c r="F161" s="143"/>
      <c r="G161" s="143"/>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row>
    <row r="162" spans="1:30" ht="12.9">
      <c r="A162" s="24"/>
      <c r="B162" s="24"/>
      <c r="C162" s="24"/>
      <c r="D162" s="24"/>
      <c r="E162" s="24"/>
      <c r="F162" s="143"/>
      <c r="G162" s="143"/>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row>
    <row r="163" spans="1:30" ht="12.9">
      <c r="A163" s="24"/>
      <c r="B163" s="24"/>
      <c r="C163" s="24"/>
      <c r="D163" s="24"/>
      <c r="E163" s="24"/>
      <c r="F163" s="143"/>
      <c r="G163" s="143"/>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row>
    <row r="164" spans="1:30" ht="12.9">
      <c r="A164" s="24"/>
      <c r="B164" s="24"/>
      <c r="C164" s="24"/>
      <c r="D164" s="24"/>
      <c r="E164" s="24"/>
      <c r="F164" s="143"/>
      <c r="G164" s="143"/>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row>
    <row r="165" spans="1:30" ht="12.9">
      <c r="A165" s="24"/>
      <c r="B165" s="24"/>
      <c r="C165" s="24"/>
      <c r="D165" s="24"/>
      <c r="E165" s="24"/>
      <c r="F165" s="143"/>
      <c r="G165" s="143"/>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row>
    <row r="166" spans="1:30" ht="12.9">
      <c r="A166" s="24"/>
      <c r="B166" s="24"/>
      <c r="C166" s="24"/>
      <c r="D166" s="24"/>
      <c r="E166" s="24"/>
      <c r="F166" s="143"/>
      <c r="G166" s="143"/>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row>
    <row r="167" spans="1:30" ht="12.9">
      <c r="A167" s="24"/>
      <c r="B167" s="24"/>
      <c r="C167" s="24"/>
      <c r="D167" s="24"/>
      <c r="E167" s="24"/>
      <c r="F167" s="143"/>
      <c r="G167" s="143"/>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row>
    <row r="168" spans="1:30" ht="12.9">
      <c r="A168" s="24"/>
      <c r="B168" s="24"/>
      <c r="C168" s="24"/>
      <c r="D168" s="24"/>
      <c r="E168" s="24"/>
      <c r="F168" s="143"/>
      <c r="G168" s="143"/>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row>
    <row r="169" spans="1:30" ht="12.9">
      <c r="A169" s="24"/>
      <c r="B169" s="24"/>
      <c r="C169" s="24"/>
      <c r="D169" s="24"/>
      <c r="E169" s="24"/>
      <c r="F169" s="143"/>
      <c r="G169" s="143"/>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row>
    <row r="170" spans="1:30" ht="12.9">
      <c r="A170" s="24"/>
      <c r="B170" s="24"/>
      <c r="C170" s="24"/>
      <c r="D170" s="24"/>
      <c r="E170" s="24"/>
      <c r="F170" s="143"/>
      <c r="G170" s="143"/>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row>
    <row r="171" spans="1:30" ht="12.9">
      <c r="A171" s="24"/>
      <c r="B171" s="24"/>
      <c r="C171" s="24"/>
      <c r="D171" s="24"/>
      <c r="E171" s="24"/>
      <c r="F171" s="143"/>
      <c r="G171" s="143"/>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row>
    <row r="172" spans="1:30" ht="12.9">
      <c r="A172" s="24"/>
      <c r="B172" s="24"/>
      <c r="C172" s="24"/>
      <c r="D172" s="24"/>
      <c r="E172" s="24"/>
      <c r="F172" s="143"/>
      <c r="G172" s="143"/>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row>
    <row r="173" spans="1:30" ht="12.9">
      <c r="A173" s="24"/>
      <c r="B173" s="24"/>
      <c r="C173" s="24"/>
      <c r="D173" s="24"/>
      <c r="E173" s="24"/>
      <c r="F173" s="143"/>
      <c r="G173" s="143"/>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row>
    <row r="174" spans="1:30" ht="12.9">
      <c r="A174" s="24"/>
      <c r="B174" s="24"/>
      <c r="C174" s="24"/>
      <c r="D174" s="24"/>
      <c r="E174" s="24"/>
      <c r="F174" s="143"/>
      <c r="G174" s="143"/>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row>
    <row r="175" spans="1:30" ht="12.9">
      <c r="A175" s="24"/>
      <c r="B175" s="24"/>
      <c r="C175" s="24"/>
      <c r="D175" s="24"/>
      <c r="E175" s="24"/>
      <c r="F175" s="143"/>
      <c r="G175" s="143"/>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row>
    <row r="176" spans="1:30" ht="12.9">
      <c r="A176" s="24"/>
      <c r="B176" s="24"/>
      <c r="C176" s="24"/>
      <c r="D176" s="24"/>
      <c r="E176" s="24"/>
      <c r="F176" s="143"/>
      <c r="G176" s="143"/>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row>
    <row r="177" spans="1:30" ht="12.9">
      <c r="A177" s="24"/>
      <c r="B177" s="24"/>
      <c r="C177" s="24"/>
      <c r="D177" s="24"/>
      <c r="E177" s="24"/>
      <c r="F177" s="143"/>
      <c r="G177" s="143"/>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row>
    <row r="178" spans="1:30" ht="12.9">
      <c r="A178" s="24"/>
      <c r="B178" s="24"/>
      <c r="C178" s="24"/>
      <c r="D178" s="24"/>
      <c r="E178" s="24"/>
      <c r="F178" s="143"/>
      <c r="G178" s="143"/>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row>
    <row r="179" spans="1:30" ht="12.9">
      <c r="A179" s="24"/>
      <c r="B179" s="24"/>
      <c r="C179" s="24"/>
      <c r="D179" s="24"/>
      <c r="E179" s="24"/>
      <c r="F179" s="143"/>
      <c r="G179" s="143"/>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row>
    <row r="180" spans="1:30" ht="12.9">
      <c r="A180" s="24"/>
      <c r="B180" s="24"/>
      <c r="C180" s="24"/>
      <c r="D180" s="24"/>
      <c r="E180" s="24"/>
      <c r="F180" s="143"/>
      <c r="G180" s="143"/>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row>
    <row r="181" spans="1:30" ht="12.9">
      <c r="A181" s="24"/>
      <c r="B181" s="24"/>
      <c r="C181" s="24"/>
      <c r="D181" s="24"/>
      <c r="E181" s="24"/>
      <c r="F181" s="143"/>
      <c r="G181" s="143"/>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row>
    <row r="182" spans="1:30" ht="12.9">
      <c r="A182" s="24"/>
      <c r="B182" s="24"/>
      <c r="C182" s="24"/>
      <c r="D182" s="24"/>
      <c r="E182" s="24"/>
      <c r="F182" s="143"/>
      <c r="G182" s="143"/>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row>
    <row r="183" spans="1:30" ht="12.9">
      <c r="A183" s="24"/>
      <c r="B183" s="24"/>
      <c r="C183" s="24"/>
      <c r="D183" s="24"/>
      <c r="E183" s="24"/>
      <c r="F183" s="143"/>
      <c r="G183" s="143"/>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row>
    <row r="184" spans="1:30" ht="12.9">
      <c r="A184" s="24"/>
      <c r="B184" s="24"/>
      <c r="C184" s="24"/>
      <c r="D184" s="24"/>
      <c r="E184" s="24"/>
      <c r="F184" s="143"/>
      <c r="G184" s="143"/>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row>
    <row r="185" spans="1:30" ht="12.9">
      <c r="A185" s="24"/>
      <c r="B185" s="24"/>
      <c r="C185" s="24"/>
      <c r="D185" s="24"/>
      <c r="E185" s="24"/>
      <c r="F185" s="143"/>
      <c r="G185" s="143"/>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row>
    <row r="186" spans="1:30" ht="12.9">
      <c r="A186" s="24"/>
      <c r="B186" s="24"/>
      <c r="C186" s="24"/>
      <c r="D186" s="24"/>
      <c r="E186" s="24"/>
      <c r="F186" s="143"/>
      <c r="G186" s="143"/>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row>
    <row r="187" spans="1:30" ht="12.9">
      <c r="A187" s="24"/>
      <c r="B187" s="24"/>
      <c r="C187" s="24"/>
      <c r="D187" s="24"/>
      <c r="E187" s="24"/>
      <c r="F187" s="143"/>
      <c r="G187" s="143"/>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row>
    <row r="188" spans="1:30" ht="12.9">
      <c r="A188" s="24"/>
      <c r="B188" s="24"/>
      <c r="C188" s="24"/>
      <c r="D188" s="24"/>
      <c r="E188" s="24"/>
      <c r="F188" s="143"/>
      <c r="G188" s="143"/>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row>
    <row r="189" spans="1:30" ht="12.9">
      <c r="A189" s="24"/>
      <c r="B189" s="24"/>
      <c r="C189" s="24"/>
      <c r="D189" s="24"/>
      <c r="E189" s="24"/>
      <c r="F189" s="143"/>
      <c r="G189" s="143"/>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row>
    <row r="190" spans="1:30" ht="12.9">
      <c r="A190" s="24"/>
      <c r="B190" s="24"/>
      <c r="C190" s="24"/>
      <c r="D190" s="24"/>
      <c r="E190" s="24"/>
      <c r="F190" s="143"/>
      <c r="G190" s="143"/>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row>
    <row r="191" spans="1:30" ht="12.9">
      <c r="A191" s="24"/>
      <c r="B191" s="24"/>
      <c r="C191" s="24"/>
      <c r="D191" s="24"/>
      <c r="E191" s="24"/>
      <c r="F191" s="143"/>
      <c r="G191" s="143"/>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row>
    <row r="192" spans="1:30" ht="12.9">
      <c r="A192" s="24"/>
      <c r="B192" s="24"/>
      <c r="C192" s="24"/>
      <c r="D192" s="24"/>
      <c r="E192" s="24"/>
      <c r="F192" s="143"/>
      <c r="G192" s="143"/>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row>
    <row r="193" spans="1:30" ht="12.9">
      <c r="A193" s="24"/>
      <c r="B193" s="24"/>
      <c r="C193" s="24"/>
      <c r="D193" s="24"/>
      <c r="E193" s="24"/>
      <c r="F193" s="143"/>
      <c r="G193" s="143"/>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row>
    <row r="194" spans="1:30" ht="12.9">
      <c r="A194" s="24"/>
      <c r="B194" s="24"/>
      <c r="C194" s="24"/>
      <c r="D194" s="24"/>
      <c r="E194" s="24"/>
      <c r="F194" s="143"/>
      <c r="G194" s="143"/>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row>
    <row r="195" spans="1:30" ht="12.9">
      <c r="A195" s="24"/>
      <c r="B195" s="24"/>
      <c r="C195" s="24"/>
      <c r="D195" s="24"/>
      <c r="E195" s="24"/>
      <c r="F195" s="143"/>
      <c r="G195" s="143"/>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row>
    <row r="196" spans="1:30" ht="12.9">
      <c r="A196" s="24"/>
      <c r="B196" s="24"/>
      <c r="C196" s="24"/>
      <c r="D196" s="24"/>
      <c r="E196" s="24"/>
      <c r="F196" s="143"/>
      <c r="G196" s="143"/>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row>
    <row r="197" spans="1:30" ht="12.9">
      <c r="A197" s="24"/>
      <c r="B197" s="24"/>
      <c r="C197" s="24"/>
      <c r="D197" s="24"/>
      <c r="E197" s="24"/>
      <c r="F197" s="143"/>
      <c r="G197" s="143"/>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row>
    <row r="198" spans="1:30" ht="12.9">
      <c r="A198" s="24"/>
      <c r="B198" s="24"/>
      <c r="C198" s="24"/>
      <c r="D198" s="24"/>
      <c r="E198" s="24"/>
      <c r="F198" s="143"/>
      <c r="G198" s="143"/>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row>
    <row r="199" spans="1:30" ht="12.9">
      <c r="A199" s="24"/>
      <c r="B199" s="24"/>
      <c r="C199" s="24"/>
      <c r="D199" s="24"/>
      <c r="E199" s="24"/>
      <c r="F199" s="143"/>
      <c r="G199" s="143"/>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row>
    <row r="200" spans="1:30" ht="12.9">
      <c r="A200" s="24"/>
      <c r="B200" s="24"/>
      <c r="C200" s="24"/>
      <c r="D200" s="24"/>
      <c r="E200" s="24"/>
      <c r="F200" s="143"/>
      <c r="G200" s="143"/>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row>
    <row r="201" spans="1:30" ht="12.9">
      <c r="A201" s="24"/>
      <c r="B201" s="24"/>
      <c r="C201" s="24"/>
      <c r="D201" s="24"/>
      <c r="E201" s="24"/>
      <c r="F201" s="143"/>
      <c r="G201" s="143"/>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row>
    <row r="202" spans="1:30" ht="12.9">
      <c r="A202" s="24"/>
      <c r="B202" s="24"/>
      <c r="C202" s="24"/>
      <c r="D202" s="24"/>
      <c r="E202" s="24"/>
      <c r="F202" s="143"/>
      <c r="G202" s="143"/>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row>
    <row r="203" spans="1:30" ht="12.9">
      <c r="A203" s="24"/>
      <c r="B203" s="24"/>
      <c r="C203" s="24"/>
      <c r="D203" s="24"/>
      <c r="E203" s="24"/>
      <c r="F203" s="143"/>
      <c r="G203" s="143"/>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row>
    <row r="204" spans="1:30" ht="12.9">
      <c r="A204" s="24"/>
      <c r="B204" s="24"/>
      <c r="C204" s="24"/>
      <c r="D204" s="24"/>
      <c r="E204" s="24"/>
      <c r="F204" s="143"/>
      <c r="G204" s="143"/>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row>
    <row r="205" spans="1:30" ht="12.9">
      <c r="A205" s="24"/>
      <c r="B205" s="24"/>
      <c r="C205" s="24"/>
      <c r="D205" s="24"/>
      <c r="E205" s="24"/>
      <c r="F205" s="143"/>
      <c r="G205" s="143"/>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row>
    <row r="206" spans="1:30" ht="12.9">
      <c r="A206" s="24"/>
      <c r="B206" s="24"/>
      <c r="C206" s="24"/>
      <c r="D206" s="24"/>
      <c r="E206" s="24"/>
      <c r="F206" s="143"/>
      <c r="G206" s="143"/>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row>
    <row r="207" spans="1:30" ht="12.9">
      <c r="A207" s="24"/>
      <c r="B207" s="24"/>
      <c r="C207" s="24"/>
      <c r="D207" s="24"/>
      <c r="E207" s="24"/>
      <c r="F207" s="143"/>
      <c r="G207" s="143"/>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row>
    <row r="208" spans="1:30" ht="12.9">
      <c r="A208" s="24"/>
      <c r="B208" s="24"/>
      <c r="C208" s="24"/>
      <c r="D208" s="24"/>
      <c r="E208" s="24"/>
      <c r="F208" s="143"/>
      <c r="G208" s="143"/>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row>
    <row r="209" spans="1:30" ht="12.9">
      <c r="A209" s="24"/>
      <c r="B209" s="24"/>
      <c r="C209" s="24"/>
      <c r="D209" s="24"/>
      <c r="E209" s="24"/>
      <c r="F209" s="143"/>
      <c r="G209" s="143"/>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row>
    <row r="210" spans="1:30" ht="12.9">
      <c r="A210" s="24"/>
      <c r="B210" s="24"/>
      <c r="C210" s="24"/>
      <c r="D210" s="24"/>
      <c r="E210" s="24"/>
      <c r="F210" s="143"/>
      <c r="G210" s="143"/>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row>
    <row r="211" spans="1:30" ht="12.9">
      <c r="A211" s="24"/>
      <c r="B211" s="24"/>
      <c r="C211" s="24"/>
      <c r="D211" s="24"/>
      <c r="E211" s="24"/>
      <c r="F211" s="143"/>
      <c r="G211" s="143"/>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row>
    <row r="212" spans="1:30" ht="12.9">
      <c r="A212" s="24"/>
      <c r="B212" s="24"/>
      <c r="C212" s="24"/>
      <c r="D212" s="24"/>
      <c r="E212" s="24"/>
      <c r="F212" s="143"/>
      <c r="G212" s="143"/>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row>
    <row r="213" spans="1:30" ht="12.9">
      <c r="A213" s="24"/>
      <c r="B213" s="24"/>
      <c r="C213" s="24"/>
      <c r="D213" s="24"/>
      <c r="E213" s="24"/>
      <c r="F213" s="143"/>
      <c r="G213" s="143"/>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row>
    <row r="214" spans="1:30" ht="12.9">
      <c r="A214" s="24"/>
      <c r="B214" s="24"/>
      <c r="C214" s="24"/>
      <c r="D214" s="24"/>
      <c r="E214" s="24"/>
      <c r="F214" s="143"/>
      <c r="G214" s="143"/>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row>
    <row r="215" spans="1:30" ht="12.9">
      <c r="A215" s="24"/>
      <c r="B215" s="24"/>
      <c r="C215" s="24"/>
      <c r="D215" s="24"/>
      <c r="E215" s="24"/>
      <c r="F215" s="143"/>
      <c r="G215" s="143"/>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row>
    <row r="216" spans="1:30" ht="12.9">
      <c r="A216" s="24"/>
      <c r="B216" s="24"/>
      <c r="C216" s="24"/>
      <c r="D216" s="24"/>
      <c r="E216" s="24"/>
      <c r="F216" s="143"/>
      <c r="G216" s="143"/>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row>
    <row r="217" spans="1:30" ht="12.9">
      <c r="A217" s="24"/>
      <c r="B217" s="24"/>
      <c r="C217" s="24"/>
      <c r="D217" s="24"/>
      <c r="E217" s="24"/>
      <c r="F217" s="143"/>
      <c r="G217" s="143"/>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row>
    <row r="218" spans="1:30" ht="12.9">
      <c r="A218" s="24"/>
      <c r="B218" s="24"/>
      <c r="C218" s="24"/>
      <c r="D218" s="24"/>
      <c r="E218" s="24"/>
      <c r="F218" s="143"/>
      <c r="G218" s="143"/>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row>
    <row r="219" spans="1:30" ht="12.9">
      <c r="A219" s="24"/>
      <c r="B219" s="24"/>
      <c r="C219" s="24"/>
      <c r="D219" s="24"/>
      <c r="E219" s="24"/>
      <c r="F219" s="143"/>
      <c r="G219" s="143"/>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row>
    <row r="220" spans="1:30" ht="12.9">
      <c r="A220" s="24"/>
      <c r="B220" s="24"/>
      <c r="C220" s="24"/>
      <c r="D220" s="24"/>
      <c r="E220" s="24"/>
      <c r="F220" s="143"/>
      <c r="G220" s="143"/>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row>
    <row r="221" spans="1:30" ht="12.9">
      <c r="A221" s="24"/>
      <c r="B221" s="24"/>
      <c r="C221" s="24"/>
      <c r="D221" s="24"/>
      <c r="E221" s="24"/>
      <c r="F221" s="143"/>
      <c r="G221" s="143"/>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row>
    <row r="222" spans="1:30" ht="12.9">
      <c r="A222" s="24"/>
      <c r="B222" s="24"/>
      <c r="C222" s="24"/>
      <c r="D222" s="24"/>
      <c r="E222" s="24"/>
      <c r="F222" s="143"/>
      <c r="G222" s="143"/>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row>
    <row r="223" spans="1:30" ht="12.9">
      <c r="A223" s="24"/>
      <c r="B223" s="24"/>
      <c r="C223" s="24"/>
      <c r="D223" s="24"/>
      <c r="E223" s="24"/>
      <c r="F223" s="143"/>
      <c r="G223" s="143"/>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row>
    <row r="224" spans="1:30" ht="12.9">
      <c r="A224" s="24"/>
      <c r="B224" s="24"/>
      <c r="C224" s="24"/>
      <c r="D224" s="24"/>
      <c r="E224" s="24"/>
      <c r="F224" s="143"/>
      <c r="G224" s="143"/>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row>
    <row r="225" spans="1:30" ht="12.9">
      <c r="A225" s="24"/>
      <c r="B225" s="24"/>
      <c r="C225" s="24"/>
      <c r="D225" s="24"/>
      <c r="E225" s="24"/>
      <c r="F225" s="143"/>
      <c r="G225" s="143"/>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row>
    <row r="226" spans="1:30" ht="12.9">
      <c r="A226" s="24"/>
      <c r="B226" s="24"/>
      <c r="C226" s="24"/>
      <c r="D226" s="24"/>
      <c r="E226" s="24"/>
      <c r="F226" s="143"/>
      <c r="G226" s="143"/>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row>
    <row r="227" spans="1:30" ht="12.9">
      <c r="A227" s="24"/>
      <c r="B227" s="24"/>
      <c r="C227" s="24"/>
      <c r="D227" s="24"/>
      <c r="E227" s="24"/>
      <c r="F227" s="143"/>
      <c r="G227" s="143"/>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row>
    <row r="228" spans="1:30" ht="12.9">
      <c r="A228" s="24"/>
      <c r="B228" s="24"/>
      <c r="C228" s="24"/>
      <c r="D228" s="24"/>
      <c r="E228" s="24"/>
      <c r="F228" s="143"/>
      <c r="G228" s="143"/>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row>
    <row r="229" spans="1:30" ht="12.9">
      <c r="A229" s="24"/>
      <c r="B229" s="24"/>
      <c r="C229" s="24"/>
      <c r="D229" s="24"/>
      <c r="E229" s="24"/>
      <c r="F229" s="143"/>
      <c r="G229" s="143"/>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row>
    <row r="230" spans="1:30" ht="12.9">
      <c r="A230" s="24"/>
      <c r="B230" s="24"/>
      <c r="C230" s="24"/>
      <c r="D230" s="24"/>
      <c r="E230" s="24"/>
      <c r="F230" s="143"/>
      <c r="G230" s="143"/>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row>
    <row r="231" spans="1:30" ht="12.9">
      <c r="A231" s="24"/>
      <c r="B231" s="24"/>
      <c r="C231" s="24"/>
      <c r="D231" s="24"/>
      <c r="E231" s="24"/>
      <c r="F231" s="143"/>
      <c r="G231" s="143"/>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row>
    <row r="232" spans="1:30" ht="12.9">
      <c r="A232" s="24"/>
      <c r="B232" s="24"/>
      <c r="C232" s="24"/>
      <c r="D232" s="24"/>
      <c r="E232" s="24"/>
      <c r="F232" s="143"/>
      <c r="G232" s="143"/>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row>
    <row r="233" spans="1:30" ht="12.9">
      <c r="A233" s="24"/>
      <c r="B233" s="24"/>
      <c r="C233" s="24"/>
      <c r="D233" s="24"/>
      <c r="E233" s="24"/>
      <c r="F233" s="143"/>
      <c r="G233" s="143"/>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row>
    <row r="234" spans="1:30" ht="12.9">
      <c r="A234" s="24"/>
      <c r="B234" s="24"/>
      <c r="C234" s="24"/>
      <c r="D234" s="24"/>
      <c r="E234" s="24"/>
      <c r="F234" s="143"/>
      <c r="G234" s="143"/>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row>
    <row r="235" spans="1:30" ht="12.9">
      <c r="A235" s="24"/>
      <c r="B235" s="24"/>
      <c r="C235" s="24"/>
      <c r="D235" s="24"/>
      <c r="E235" s="24"/>
      <c r="F235" s="143"/>
      <c r="G235" s="143"/>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row>
    <row r="236" spans="1:30" ht="12.9">
      <c r="A236" s="24"/>
      <c r="B236" s="24"/>
      <c r="C236" s="24"/>
      <c r="D236" s="24"/>
      <c r="E236" s="24"/>
      <c r="F236" s="143"/>
      <c r="G236" s="143"/>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row>
    <row r="237" spans="1:30" ht="12.9">
      <c r="A237" s="24"/>
      <c r="B237" s="24"/>
      <c r="C237" s="24"/>
      <c r="D237" s="24"/>
      <c r="E237" s="24"/>
      <c r="F237" s="143"/>
      <c r="G237" s="143"/>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row>
    <row r="238" spans="1:30" ht="12.9">
      <c r="A238" s="24"/>
      <c r="B238" s="24"/>
      <c r="C238" s="24"/>
      <c r="D238" s="24"/>
      <c r="E238" s="24"/>
      <c r="F238" s="143"/>
      <c r="G238" s="143"/>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row>
    <row r="239" spans="1:30" ht="12.9">
      <c r="A239" s="24"/>
      <c r="B239" s="24"/>
      <c r="C239" s="24"/>
      <c r="D239" s="24"/>
      <c r="E239" s="24"/>
      <c r="F239" s="143"/>
      <c r="G239" s="143"/>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row>
    <row r="240" spans="1:30" ht="12.9">
      <c r="A240" s="24"/>
      <c r="B240" s="24"/>
      <c r="C240" s="24"/>
      <c r="D240" s="24"/>
      <c r="E240" s="24"/>
      <c r="F240" s="143"/>
      <c r="G240" s="143"/>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row>
    <row r="241" spans="1:30" ht="12.9">
      <c r="A241" s="24"/>
      <c r="B241" s="24"/>
      <c r="C241" s="24"/>
      <c r="D241" s="24"/>
      <c r="E241" s="24"/>
      <c r="F241" s="143"/>
      <c r="G241" s="143"/>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row>
    <row r="242" spans="1:30" ht="12.9">
      <c r="A242" s="24"/>
      <c r="B242" s="24"/>
      <c r="C242" s="24"/>
      <c r="D242" s="24"/>
      <c r="E242" s="24"/>
      <c r="F242" s="143"/>
      <c r="G242" s="143"/>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row>
    <row r="243" spans="1:30" ht="12.9">
      <c r="A243" s="24"/>
      <c r="B243" s="24"/>
      <c r="C243" s="24"/>
      <c r="D243" s="24"/>
      <c r="E243" s="24"/>
      <c r="F243" s="143"/>
      <c r="G243" s="143"/>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row>
    <row r="244" spans="1:30" ht="12.9">
      <c r="A244" s="24"/>
      <c r="B244" s="24"/>
      <c r="C244" s="24"/>
      <c r="D244" s="24"/>
      <c r="E244" s="24"/>
      <c r="F244" s="143"/>
      <c r="G244" s="143"/>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row>
    <row r="245" spans="1:30" ht="12.9">
      <c r="A245" s="24"/>
      <c r="B245" s="24"/>
      <c r="C245" s="24"/>
      <c r="D245" s="24"/>
      <c r="E245" s="24"/>
      <c r="F245" s="143"/>
      <c r="G245" s="143"/>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row>
    <row r="246" spans="1:30" ht="12.9">
      <c r="A246" s="24"/>
      <c r="B246" s="24"/>
      <c r="C246" s="24"/>
      <c r="D246" s="24"/>
      <c r="E246" s="24"/>
      <c r="F246" s="143"/>
      <c r="G246" s="143"/>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row>
    <row r="247" spans="1:30" ht="12.9">
      <c r="A247" s="24"/>
      <c r="B247" s="24"/>
      <c r="C247" s="24"/>
      <c r="D247" s="24"/>
      <c r="E247" s="24"/>
      <c r="F247" s="143"/>
      <c r="G247" s="143"/>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row>
    <row r="248" spans="1:30" ht="12.9">
      <c r="A248" s="24"/>
      <c r="B248" s="24"/>
      <c r="C248" s="24"/>
      <c r="D248" s="24"/>
      <c r="E248" s="24"/>
      <c r="F248" s="143"/>
      <c r="G248" s="143"/>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row>
    <row r="249" spans="1:30" ht="12.9">
      <c r="A249" s="24"/>
      <c r="B249" s="24"/>
      <c r="C249" s="24"/>
      <c r="D249" s="24"/>
      <c r="E249" s="24"/>
      <c r="F249" s="143"/>
      <c r="G249" s="143"/>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row>
    <row r="250" spans="1:30" ht="12.9">
      <c r="A250" s="24"/>
      <c r="B250" s="24"/>
      <c r="C250" s="24"/>
      <c r="D250" s="24"/>
      <c r="E250" s="24"/>
      <c r="F250" s="143"/>
      <c r="G250" s="143"/>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row>
    <row r="251" spans="1:30" ht="12.9">
      <c r="A251" s="24"/>
      <c r="B251" s="24"/>
      <c r="C251" s="24"/>
      <c r="D251" s="24"/>
      <c r="E251" s="24"/>
      <c r="F251" s="143"/>
      <c r="G251" s="143"/>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row>
    <row r="252" spans="1:30" ht="12.9">
      <c r="A252" s="24"/>
      <c r="B252" s="24"/>
      <c r="C252" s="24"/>
      <c r="D252" s="24"/>
      <c r="E252" s="24"/>
      <c r="F252" s="143"/>
      <c r="G252" s="143"/>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row>
    <row r="253" spans="1:30" ht="12.9">
      <c r="A253" s="24"/>
      <c r="B253" s="24"/>
      <c r="C253" s="24"/>
      <c r="D253" s="24"/>
      <c r="E253" s="24"/>
      <c r="F253" s="143"/>
      <c r="G253" s="143"/>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row>
    <row r="254" spans="1:30" ht="12.9">
      <c r="A254" s="24"/>
      <c r="B254" s="24"/>
      <c r="C254" s="24"/>
      <c r="D254" s="24"/>
      <c r="E254" s="24"/>
      <c r="F254" s="143"/>
      <c r="G254" s="143"/>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row>
    <row r="255" spans="1:30" ht="12.9">
      <c r="A255" s="24"/>
      <c r="B255" s="24"/>
      <c r="C255" s="24"/>
      <c r="D255" s="24"/>
      <c r="E255" s="24"/>
      <c r="F255" s="143"/>
      <c r="G255" s="143"/>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row>
    <row r="256" spans="1:30" ht="12.9">
      <c r="A256" s="24"/>
      <c r="B256" s="24"/>
      <c r="C256" s="24"/>
      <c r="D256" s="24"/>
      <c r="E256" s="24"/>
      <c r="F256" s="143"/>
      <c r="G256" s="143"/>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row>
    <row r="257" spans="1:30" ht="12.9">
      <c r="A257" s="24"/>
      <c r="B257" s="24"/>
      <c r="C257" s="24"/>
      <c r="D257" s="24"/>
      <c r="E257" s="24"/>
      <c r="F257" s="143"/>
      <c r="G257" s="143"/>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row>
    <row r="258" spans="1:30" ht="12.9">
      <c r="A258" s="24"/>
      <c r="B258" s="24"/>
      <c r="C258" s="24"/>
      <c r="D258" s="24"/>
      <c r="E258" s="24"/>
      <c r="F258" s="143"/>
      <c r="G258" s="143"/>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row>
    <row r="259" spans="1:30" ht="12.9">
      <c r="A259" s="24"/>
      <c r="B259" s="24"/>
      <c r="C259" s="24"/>
      <c r="D259" s="24"/>
      <c r="E259" s="24"/>
      <c r="F259" s="143"/>
      <c r="G259" s="143"/>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row>
    <row r="260" spans="1:30" ht="12.9">
      <c r="A260" s="24"/>
      <c r="B260" s="24"/>
      <c r="C260" s="24"/>
      <c r="D260" s="24"/>
      <c r="E260" s="24"/>
      <c r="F260" s="143"/>
      <c r="G260" s="143"/>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row>
    <row r="261" spans="1:30" ht="12.9">
      <c r="A261" s="24"/>
      <c r="B261" s="24"/>
      <c r="C261" s="24"/>
      <c r="D261" s="24"/>
      <c r="E261" s="24"/>
      <c r="F261" s="143"/>
      <c r="G261" s="143"/>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row>
    <row r="262" spans="1:30" ht="12.9">
      <c r="A262" s="24"/>
      <c r="B262" s="24"/>
      <c r="C262" s="24"/>
      <c r="D262" s="24"/>
      <c r="E262" s="24"/>
      <c r="F262" s="143"/>
      <c r="G262" s="143"/>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row>
    <row r="263" spans="1:30" ht="12.9">
      <c r="A263" s="24"/>
      <c r="B263" s="24"/>
      <c r="C263" s="24"/>
      <c r="D263" s="24"/>
      <c r="E263" s="24"/>
      <c r="F263" s="143"/>
      <c r="G263" s="143"/>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row>
    <row r="264" spans="1:30" ht="12.9">
      <c r="A264" s="24"/>
      <c r="B264" s="24"/>
      <c r="C264" s="24"/>
      <c r="D264" s="24"/>
      <c r="E264" s="24"/>
      <c r="F264" s="143"/>
      <c r="G264" s="143"/>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row>
    <row r="265" spans="1:30" ht="12.9">
      <c r="A265" s="24"/>
      <c r="B265" s="24"/>
      <c r="C265" s="24"/>
      <c r="D265" s="24"/>
      <c r="E265" s="24"/>
      <c r="F265" s="143"/>
      <c r="G265" s="143"/>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row>
    <row r="266" spans="1:30" ht="12.9">
      <c r="A266" s="24"/>
      <c r="B266" s="24"/>
      <c r="C266" s="24"/>
      <c r="D266" s="24"/>
      <c r="E266" s="24"/>
      <c r="F266" s="143"/>
      <c r="G266" s="143"/>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row>
    <row r="267" spans="1:30" ht="12.9">
      <c r="A267" s="24"/>
      <c r="B267" s="24"/>
      <c r="C267" s="24"/>
      <c r="D267" s="24"/>
      <c r="E267" s="24"/>
      <c r="F267" s="143"/>
      <c r="G267" s="143"/>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row>
    <row r="268" spans="1:30" ht="12.9">
      <c r="A268" s="24"/>
      <c r="B268" s="24"/>
      <c r="C268" s="24"/>
      <c r="D268" s="24"/>
      <c r="E268" s="24"/>
      <c r="F268" s="143"/>
      <c r="G268" s="143"/>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row>
    <row r="269" spans="1:30" ht="12.9">
      <c r="A269" s="24"/>
      <c r="B269" s="24"/>
      <c r="C269" s="24"/>
      <c r="D269" s="24"/>
      <c r="E269" s="24"/>
      <c r="F269" s="143"/>
      <c r="G269" s="143"/>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row>
    <row r="270" spans="1:30" ht="12.9">
      <c r="A270" s="24"/>
      <c r="B270" s="24"/>
      <c r="C270" s="24"/>
      <c r="D270" s="24"/>
      <c r="E270" s="24"/>
      <c r="F270" s="143"/>
      <c r="G270" s="143"/>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row>
    <row r="271" spans="1:30" ht="12.9">
      <c r="A271" s="24"/>
      <c r="B271" s="24"/>
      <c r="C271" s="24"/>
      <c r="D271" s="24"/>
      <c r="E271" s="24"/>
      <c r="F271" s="143"/>
      <c r="G271" s="143"/>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row>
    <row r="272" spans="1:30" ht="12.9">
      <c r="A272" s="24"/>
      <c r="B272" s="24"/>
      <c r="C272" s="24"/>
      <c r="D272" s="24"/>
      <c r="E272" s="24"/>
      <c r="F272" s="143"/>
      <c r="G272" s="143"/>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row>
    <row r="273" spans="1:30" ht="12.9">
      <c r="A273" s="24"/>
      <c r="B273" s="24"/>
      <c r="C273" s="24"/>
      <c r="D273" s="24"/>
      <c r="E273" s="24"/>
      <c r="F273" s="143"/>
      <c r="G273" s="143"/>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row>
    <row r="274" spans="1:30" ht="12.9">
      <c r="A274" s="24"/>
      <c r="B274" s="24"/>
      <c r="C274" s="24"/>
      <c r="D274" s="24"/>
      <c r="E274" s="24"/>
      <c r="F274" s="143"/>
      <c r="G274" s="143"/>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row>
    <row r="275" spans="1:30" ht="12.9">
      <c r="A275" s="24"/>
      <c r="B275" s="24"/>
      <c r="C275" s="24"/>
      <c r="D275" s="24"/>
      <c r="E275" s="24"/>
      <c r="F275" s="143"/>
      <c r="G275" s="143"/>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row>
    <row r="276" spans="1:30" ht="12.9">
      <c r="A276" s="24"/>
      <c r="B276" s="24"/>
      <c r="C276" s="24"/>
      <c r="D276" s="24"/>
      <c r="E276" s="24"/>
      <c r="F276" s="143"/>
      <c r="G276" s="143"/>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row>
    <row r="277" spans="1:30" ht="12.9">
      <c r="A277" s="24"/>
      <c r="B277" s="24"/>
      <c r="C277" s="24"/>
      <c r="D277" s="24"/>
      <c r="E277" s="24"/>
      <c r="F277" s="143"/>
      <c r="G277" s="143"/>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row>
    <row r="278" spans="1:30" ht="12.9">
      <c r="A278" s="24"/>
      <c r="B278" s="24"/>
      <c r="C278" s="24"/>
      <c r="D278" s="24"/>
      <c r="E278" s="24"/>
      <c r="F278" s="143"/>
      <c r="G278" s="143"/>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row>
    <row r="279" spans="1:30" ht="12.9">
      <c r="A279" s="24"/>
      <c r="B279" s="24"/>
      <c r="C279" s="24"/>
      <c r="D279" s="24"/>
      <c r="E279" s="24"/>
      <c r="F279" s="143"/>
      <c r="G279" s="143"/>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row>
    <row r="280" spans="1:30" ht="12.9">
      <c r="A280" s="24"/>
      <c r="B280" s="24"/>
      <c r="C280" s="24"/>
      <c r="D280" s="24"/>
      <c r="E280" s="24"/>
      <c r="F280" s="143"/>
      <c r="G280" s="143"/>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row>
    <row r="281" spans="1:30" ht="12.9">
      <c r="A281" s="24"/>
      <c r="B281" s="24"/>
      <c r="C281" s="24"/>
      <c r="D281" s="24"/>
      <c r="E281" s="24"/>
      <c r="F281" s="143"/>
      <c r="G281" s="143"/>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row>
    <row r="282" spans="1:30" ht="12.9">
      <c r="A282" s="24"/>
      <c r="B282" s="24"/>
      <c r="C282" s="24"/>
      <c r="D282" s="24"/>
      <c r="E282" s="24"/>
      <c r="F282" s="143"/>
      <c r="G282" s="143"/>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row>
    <row r="283" spans="1:30" ht="12.9">
      <c r="A283" s="24"/>
      <c r="B283" s="24"/>
      <c r="C283" s="24"/>
      <c r="D283" s="24"/>
      <c r="E283" s="24"/>
      <c r="F283" s="143"/>
      <c r="G283" s="143"/>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row>
    <row r="284" spans="1:30" ht="12.9">
      <c r="A284" s="24"/>
      <c r="B284" s="24"/>
      <c r="C284" s="24"/>
      <c r="D284" s="24"/>
      <c r="E284" s="24"/>
      <c r="F284" s="143"/>
      <c r="G284" s="143"/>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row>
    <row r="285" spans="1:30" ht="12.9">
      <c r="A285" s="24"/>
      <c r="B285" s="24"/>
      <c r="C285" s="24"/>
      <c r="D285" s="24"/>
      <c r="E285" s="24"/>
      <c r="F285" s="143"/>
      <c r="G285" s="143"/>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row>
    <row r="286" spans="1:30" ht="12.9">
      <c r="A286" s="24"/>
      <c r="B286" s="24"/>
      <c r="C286" s="24"/>
      <c r="D286" s="24"/>
      <c r="E286" s="24"/>
      <c r="F286" s="143"/>
      <c r="G286" s="143"/>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row>
    <row r="287" spans="1:30" ht="12.9">
      <c r="A287" s="24"/>
      <c r="B287" s="24"/>
      <c r="C287" s="24"/>
      <c r="D287" s="24"/>
      <c r="E287" s="24"/>
      <c r="F287" s="143"/>
      <c r="G287" s="143"/>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row>
    <row r="288" spans="1:30" ht="12.9">
      <c r="A288" s="24"/>
      <c r="B288" s="24"/>
      <c r="C288" s="24"/>
      <c r="D288" s="24"/>
      <c r="E288" s="24"/>
      <c r="F288" s="143"/>
      <c r="G288" s="143"/>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row>
    <row r="289" spans="1:30" ht="12.9">
      <c r="A289" s="24"/>
      <c r="B289" s="24"/>
      <c r="C289" s="24"/>
      <c r="D289" s="24"/>
      <c r="E289" s="24"/>
      <c r="F289" s="143"/>
      <c r="G289" s="143"/>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row>
    <row r="290" spans="1:30" ht="12.9">
      <c r="A290" s="24"/>
      <c r="B290" s="24"/>
      <c r="C290" s="24"/>
      <c r="D290" s="24"/>
      <c r="E290" s="24"/>
      <c r="F290" s="143"/>
      <c r="G290" s="143"/>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row>
    <row r="291" spans="1:30" ht="12.9">
      <c r="A291" s="24"/>
      <c r="B291" s="24"/>
      <c r="C291" s="24"/>
      <c r="D291" s="24"/>
      <c r="E291" s="24"/>
      <c r="F291" s="143"/>
      <c r="G291" s="143"/>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row>
    <row r="292" spans="1:30" ht="12.9">
      <c r="A292" s="24"/>
      <c r="B292" s="24"/>
      <c r="C292" s="24"/>
      <c r="D292" s="24"/>
      <c r="E292" s="24"/>
      <c r="F292" s="143"/>
      <c r="G292" s="143"/>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row>
    <row r="293" spans="1:30" ht="12.9">
      <c r="A293" s="24"/>
      <c r="B293" s="24"/>
      <c r="C293" s="24"/>
      <c r="D293" s="24"/>
      <c r="E293" s="24"/>
      <c r="F293" s="143"/>
      <c r="G293" s="143"/>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row>
    <row r="294" spans="1:30" ht="12.9">
      <c r="A294" s="24"/>
      <c r="B294" s="24"/>
      <c r="C294" s="24"/>
      <c r="D294" s="24"/>
      <c r="E294" s="24"/>
      <c r="F294" s="143"/>
      <c r="G294" s="143"/>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row>
    <row r="295" spans="1:30" ht="12.9">
      <c r="A295" s="24"/>
      <c r="B295" s="24"/>
      <c r="C295" s="24"/>
      <c r="D295" s="24"/>
      <c r="E295" s="24"/>
      <c r="F295" s="143"/>
      <c r="G295" s="143"/>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row>
    <row r="296" spans="1:30" ht="12.9">
      <c r="A296" s="24"/>
      <c r="B296" s="24"/>
      <c r="C296" s="24"/>
      <c r="D296" s="24"/>
      <c r="E296" s="24"/>
      <c r="F296" s="143"/>
      <c r="G296" s="143"/>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row>
    <row r="297" spans="1:30" ht="12.9">
      <c r="A297" s="24"/>
      <c r="B297" s="24"/>
      <c r="C297" s="24"/>
      <c r="D297" s="24"/>
      <c r="E297" s="24"/>
      <c r="F297" s="143"/>
      <c r="G297" s="143"/>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row>
    <row r="298" spans="1:30" ht="12.9">
      <c r="A298" s="24"/>
      <c r="B298" s="24"/>
      <c r="C298" s="24"/>
      <c r="D298" s="24"/>
      <c r="E298" s="24"/>
      <c r="F298" s="143"/>
      <c r="G298" s="143"/>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row>
    <row r="299" spans="1:30" ht="12.9">
      <c r="A299" s="24"/>
      <c r="B299" s="24"/>
      <c r="C299" s="24"/>
      <c r="D299" s="24"/>
      <c r="E299" s="24"/>
      <c r="F299" s="143"/>
      <c r="G299" s="143"/>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row>
    <row r="300" spans="1:30" ht="12.9">
      <c r="A300" s="24"/>
      <c r="B300" s="24"/>
      <c r="C300" s="24"/>
      <c r="D300" s="24"/>
      <c r="E300" s="24"/>
      <c r="F300" s="143"/>
      <c r="G300" s="143"/>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row>
    <row r="301" spans="1:30" ht="12.9">
      <c r="A301" s="24"/>
      <c r="B301" s="24"/>
      <c r="C301" s="24"/>
      <c r="D301" s="24"/>
      <c r="E301" s="24"/>
      <c r="F301" s="143"/>
      <c r="G301" s="143"/>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row>
    <row r="302" spans="1:30" ht="12.9">
      <c r="A302" s="24"/>
      <c r="B302" s="24"/>
      <c r="C302" s="24"/>
      <c r="D302" s="24"/>
      <c r="E302" s="24"/>
      <c r="F302" s="143"/>
      <c r="G302" s="143"/>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row>
    <row r="303" spans="1:30" ht="12.9">
      <c r="A303" s="24"/>
      <c r="B303" s="24"/>
      <c r="C303" s="24"/>
      <c r="D303" s="24"/>
      <c r="E303" s="24"/>
      <c r="F303" s="143"/>
      <c r="G303" s="143"/>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row>
    <row r="304" spans="1:30" ht="12.9">
      <c r="A304" s="24"/>
      <c r="B304" s="24"/>
      <c r="C304" s="24"/>
      <c r="D304" s="24"/>
      <c r="E304" s="24"/>
      <c r="F304" s="143"/>
      <c r="G304" s="143"/>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row>
    <row r="305" spans="1:30" ht="12.9">
      <c r="A305" s="24"/>
      <c r="B305" s="24"/>
      <c r="C305" s="24"/>
      <c r="D305" s="24"/>
      <c r="E305" s="24"/>
      <c r="F305" s="143"/>
      <c r="G305" s="143"/>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row>
    <row r="306" spans="1:30" ht="12.9">
      <c r="A306" s="24"/>
      <c r="B306" s="24"/>
      <c r="C306" s="24"/>
      <c r="D306" s="24"/>
      <c r="E306" s="24"/>
      <c r="F306" s="143"/>
      <c r="G306" s="143"/>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row>
    <row r="307" spans="1:30" ht="12.9">
      <c r="A307" s="24"/>
      <c r="B307" s="24"/>
      <c r="C307" s="24"/>
      <c r="D307" s="24"/>
      <c r="E307" s="24"/>
      <c r="F307" s="143"/>
      <c r="G307" s="143"/>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row>
    <row r="308" spans="1:30" ht="12.9">
      <c r="A308" s="24"/>
      <c r="B308" s="24"/>
      <c r="C308" s="24"/>
      <c r="D308" s="24"/>
      <c r="E308" s="24"/>
      <c r="F308" s="143"/>
      <c r="G308" s="143"/>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row>
    <row r="309" spans="1:30" ht="12.9">
      <c r="A309" s="24"/>
      <c r="B309" s="24"/>
      <c r="C309" s="24"/>
      <c r="D309" s="24"/>
      <c r="E309" s="24"/>
      <c r="F309" s="143"/>
      <c r="G309" s="143"/>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row>
    <row r="310" spans="1:30" ht="12.9">
      <c r="A310" s="24"/>
      <c r="B310" s="24"/>
      <c r="C310" s="24"/>
      <c r="D310" s="24"/>
      <c r="E310" s="24"/>
      <c r="F310" s="143"/>
      <c r="G310" s="143"/>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row>
    <row r="311" spans="1:30" ht="12.9">
      <c r="A311" s="24"/>
      <c r="B311" s="24"/>
      <c r="C311" s="24"/>
      <c r="D311" s="24"/>
      <c r="E311" s="24"/>
      <c r="F311" s="143"/>
      <c r="G311" s="143"/>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row>
    <row r="312" spans="1:30" ht="12.9">
      <c r="A312" s="24"/>
      <c r="B312" s="24"/>
      <c r="C312" s="24"/>
      <c r="D312" s="24"/>
      <c r="E312" s="24"/>
      <c r="F312" s="143"/>
      <c r="G312" s="143"/>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row>
    <row r="313" spans="1:30" ht="12.9">
      <c r="A313" s="24"/>
      <c r="B313" s="24"/>
      <c r="C313" s="24"/>
      <c r="D313" s="24"/>
      <c r="E313" s="24"/>
      <c r="F313" s="143"/>
      <c r="G313" s="143"/>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row>
    <row r="314" spans="1:30" ht="12.9">
      <c r="A314" s="24"/>
      <c r="B314" s="24"/>
      <c r="C314" s="24"/>
      <c r="D314" s="24"/>
      <c r="E314" s="24"/>
      <c r="F314" s="143"/>
      <c r="G314" s="143"/>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row>
    <row r="315" spans="1:30" ht="12.9">
      <c r="A315" s="24"/>
      <c r="B315" s="24"/>
      <c r="C315" s="24"/>
      <c r="D315" s="24"/>
      <c r="E315" s="24"/>
      <c r="F315" s="143"/>
      <c r="G315" s="143"/>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row>
    <row r="316" spans="1:30" ht="12.9">
      <c r="A316" s="24"/>
      <c r="B316" s="24"/>
      <c r="C316" s="24"/>
      <c r="D316" s="24"/>
      <c r="E316" s="24"/>
      <c r="F316" s="143"/>
      <c r="G316" s="143"/>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row>
    <row r="317" spans="1:30" ht="12.9">
      <c r="A317" s="24"/>
      <c r="B317" s="24"/>
      <c r="C317" s="24"/>
      <c r="D317" s="24"/>
      <c r="E317" s="24"/>
      <c r="F317" s="143"/>
      <c r="G317" s="143"/>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row>
    <row r="318" spans="1:30" ht="12.9">
      <c r="A318" s="24"/>
      <c r="B318" s="24"/>
      <c r="C318" s="24"/>
      <c r="D318" s="24"/>
      <c r="E318" s="24"/>
      <c r="F318" s="143"/>
      <c r="G318" s="143"/>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row>
    <row r="319" spans="1:30" ht="12.9">
      <c r="A319" s="24"/>
      <c r="B319" s="24"/>
      <c r="C319" s="24"/>
      <c r="D319" s="24"/>
      <c r="E319" s="24"/>
      <c r="F319" s="143"/>
      <c r="G319" s="143"/>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row>
    <row r="320" spans="1:30" ht="12.9">
      <c r="A320" s="24"/>
      <c r="B320" s="24"/>
      <c r="C320" s="24"/>
      <c r="D320" s="24"/>
      <c r="E320" s="24"/>
      <c r="F320" s="143"/>
      <c r="G320" s="143"/>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row>
    <row r="321" spans="1:30" ht="12.9">
      <c r="A321" s="24"/>
      <c r="B321" s="24"/>
      <c r="C321" s="24"/>
      <c r="D321" s="24"/>
      <c r="E321" s="24"/>
      <c r="F321" s="143"/>
      <c r="G321" s="143"/>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row>
    <row r="322" spans="1:30" ht="12.9">
      <c r="A322" s="24"/>
      <c r="B322" s="24"/>
      <c r="C322" s="24"/>
      <c r="D322" s="24"/>
      <c r="E322" s="24"/>
      <c r="F322" s="143"/>
      <c r="G322" s="143"/>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row>
    <row r="323" spans="1:30" ht="12.9">
      <c r="A323" s="24"/>
      <c r="B323" s="24"/>
      <c r="C323" s="24"/>
      <c r="D323" s="24"/>
      <c r="E323" s="24"/>
      <c r="F323" s="143"/>
      <c r="G323" s="143"/>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row>
    <row r="324" spans="1:30" ht="12.9">
      <c r="A324" s="24"/>
      <c r="B324" s="24"/>
      <c r="C324" s="24"/>
      <c r="D324" s="24"/>
      <c r="E324" s="24"/>
      <c r="F324" s="143"/>
      <c r="G324" s="143"/>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row>
    <row r="325" spans="1:30" ht="12.9">
      <c r="A325" s="24"/>
      <c r="B325" s="24"/>
      <c r="C325" s="24"/>
      <c r="D325" s="24"/>
      <c r="E325" s="24"/>
      <c r="F325" s="143"/>
      <c r="G325" s="143"/>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row>
    <row r="326" spans="1:30" ht="12.9">
      <c r="A326" s="24"/>
      <c r="B326" s="24"/>
      <c r="C326" s="24"/>
      <c r="D326" s="24"/>
      <c r="E326" s="24"/>
      <c r="F326" s="143"/>
      <c r="G326" s="143"/>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row>
    <row r="327" spans="1:30" ht="12.9">
      <c r="A327" s="24"/>
      <c r="B327" s="24"/>
      <c r="C327" s="24"/>
      <c r="D327" s="24"/>
      <c r="E327" s="24"/>
      <c r="F327" s="143"/>
      <c r="G327" s="143"/>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row>
    <row r="328" spans="1:30" ht="12.9">
      <c r="A328" s="24"/>
      <c r="B328" s="24"/>
      <c r="C328" s="24"/>
      <c r="D328" s="24"/>
      <c r="E328" s="24"/>
      <c r="F328" s="143"/>
      <c r="G328" s="143"/>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row>
    <row r="329" spans="1:30" ht="12.9">
      <c r="A329" s="24"/>
      <c r="B329" s="24"/>
      <c r="C329" s="24"/>
      <c r="D329" s="24"/>
      <c r="E329" s="24"/>
      <c r="F329" s="143"/>
      <c r="G329" s="143"/>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row>
    <row r="330" spans="1:30" ht="12.9">
      <c r="A330" s="24"/>
      <c r="B330" s="24"/>
      <c r="C330" s="24"/>
      <c r="D330" s="24"/>
      <c r="E330" s="24"/>
      <c r="F330" s="143"/>
      <c r="G330" s="143"/>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row>
    <row r="331" spans="1:30" ht="12.9">
      <c r="A331" s="24"/>
      <c r="B331" s="24"/>
      <c r="C331" s="24"/>
      <c r="D331" s="24"/>
      <c r="E331" s="24"/>
      <c r="F331" s="143"/>
      <c r="G331" s="143"/>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row>
    <row r="332" spans="1:30" ht="12.9">
      <c r="A332" s="24"/>
      <c r="B332" s="24"/>
      <c r="C332" s="24"/>
      <c r="D332" s="24"/>
      <c r="E332" s="24"/>
      <c r="F332" s="143"/>
      <c r="G332" s="143"/>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row>
    <row r="333" spans="1:30" ht="12.9">
      <c r="A333" s="24"/>
      <c r="B333" s="24"/>
      <c r="C333" s="24"/>
      <c r="D333" s="24"/>
      <c r="E333" s="24"/>
      <c r="F333" s="143"/>
      <c r="G333" s="143"/>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row>
    <row r="334" spans="1:30" ht="12.9">
      <c r="A334" s="24"/>
      <c r="B334" s="24"/>
      <c r="C334" s="24"/>
      <c r="D334" s="24"/>
      <c r="E334" s="24"/>
      <c r="F334" s="143"/>
      <c r="G334" s="143"/>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row>
    <row r="335" spans="1:30" ht="12.9">
      <c r="A335" s="24"/>
      <c r="B335" s="24"/>
      <c r="C335" s="24"/>
      <c r="D335" s="24"/>
      <c r="E335" s="24"/>
      <c r="F335" s="143"/>
      <c r="G335" s="143"/>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row>
    <row r="336" spans="1:30" ht="12.9">
      <c r="A336" s="24"/>
      <c r="B336" s="24"/>
      <c r="C336" s="24"/>
      <c r="D336" s="24"/>
      <c r="E336" s="24"/>
      <c r="F336" s="143"/>
      <c r="G336" s="143"/>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row>
    <row r="337" spans="1:30" ht="12.9">
      <c r="A337" s="24"/>
      <c r="B337" s="24"/>
      <c r="C337" s="24"/>
      <c r="D337" s="24"/>
      <c r="E337" s="24"/>
      <c r="F337" s="143"/>
      <c r="G337" s="143"/>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row>
    <row r="338" spans="1:30" ht="12.9">
      <c r="A338" s="24"/>
      <c r="B338" s="24"/>
      <c r="C338" s="24"/>
      <c r="D338" s="24"/>
      <c r="E338" s="24"/>
      <c r="F338" s="143"/>
      <c r="G338" s="143"/>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row>
    <row r="339" spans="1:30" ht="12.9">
      <c r="A339" s="24"/>
      <c r="B339" s="24"/>
      <c r="C339" s="24"/>
      <c r="D339" s="24"/>
      <c r="E339" s="24"/>
      <c r="F339" s="143"/>
      <c r="G339" s="143"/>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row>
    <row r="340" spans="1:30" ht="12.9">
      <c r="A340" s="24"/>
      <c r="B340" s="24"/>
      <c r="C340" s="24"/>
      <c r="D340" s="24"/>
      <c r="E340" s="24"/>
      <c r="F340" s="143"/>
      <c r="G340" s="143"/>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row>
    <row r="341" spans="1:30" ht="12.9">
      <c r="A341" s="24"/>
      <c r="B341" s="24"/>
      <c r="C341" s="24"/>
      <c r="D341" s="24"/>
      <c r="E341" s="24"/>
      <c r="F341" s="143"/>
      <c r="G341" s="143"/>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row>
    <row r="342" spans="1:30" ht="12.9">
      <c r="A342" s="24"/>
      <c r="B342" s="24"/>
      <c r="C342" s="24"/>
      <c r="D342" s="24"/>
      <c r="E342" s="24"/>
      <c r="F342" s="143"/>
      <c r="G342" s="143"/>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row>
    <row r="343" spans="1:30" ht="12.9">
      <c r="A343" s="24"/>
      <c r="B343" s="24"/>
      <c r="C343" s="24"/>
      <c r="D343" s="24"/>
      <c r="E343" s="24"/>
      <c r="F343" s="143"/>
      <c r="G343" s="143"/>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row>
    <row r="344" spans="1:30" ht="12.9">
      <c r="A344" s="24"/>
      <c r="B344" s="24"/>
      <c r="C344" s="24"/>
      <c r="D344" s="24"/>
      <c r="E344" s="24"/>
      <c r="F344" s="143"/>
      <c r="G344" s="143"/>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row>
    <row r="345" spans="1:30" ht="12.9">
      <c r="A345" s="24"/>
      <c r="B345" s="24"/>
      <c r="C345" s="24"/>
      <c r="D345" s="24"/>
      <c r="E345" s="24"/>
      <c r="F345" s="143"/>
      <c r="G345" s="143"/>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row>
    <row r="346" spans="1:30" ht="12.9">
      <c r="A346" s="24"/>
      <c r="B346" s="24"/>
      <c r="C346" s="24"/>
      <c r="D346" s="24"/>
      <c r="E346" s="24"/>
      <c r="F346" s="143"/>
      <c r="G346" s="143"/>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row>
    <row r="347" spans="1:30" ht="12.9">
      <c r="A347" s="24"/>
      <c r="B347" s="24"/>
      <c r="C347" s="24"/>
      <c r="D347" s="24"/>
      <c r="E347" s="24"/>
      <c r="F347" s="143"/>
      <c r="G347" s="143"/>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row>
    <row r="348" spans="1:30" ht="12.9">
      <c r="A348" s="24"/>
      <c r="B348" s="24"/>
      <c r="C348" s="24"/>
      <c r="D348" s="24"/>
      <c r="E348" s="24"/>
      <c r="F348" s="143"/>
      <c r="G348" s="143"/>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row>
    <row r="349" spans="1:30" ht="12.9">
      <c r="A349" s="24"/>
      <c r="B349" s="24"/>
      <c r="C349" s="24"/>
      <c r="D349" s="24"/>
      <c r="E349" s="24"/>
      <c r="F349" s="143"/>
      <c r="G349" s="143"/>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row>
    <row r="350" spans="1:30" ht="12.9">
      <c r="A350" s="24"/>
      <c r="B350" s="24"/>
      <c r="C350" s="24"/>
      <c r="D350" s="24"/>
      <c r="E350" s="24"/>
      <c r="F350" s="143"/>
      <c r="G350" s="143"/>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row>
    <row r="351" spans="1:30" ht="12.9">
      <c r="A351" s="24"/>
      <c r="B351" s="24"/>
      <c r="C351" s="24"/>
      <c r="D351" s="24"/>
      <c r="E351" s="24"/>
      <c r="F351" s="143"/>
      <c r="G351" s="143"/>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row>
    <row r="352" spans="1:30" ht="12.9">
      <c r="A352" s="24"/>
      <c r="B352" s="24"/>
      <c r="C352" s="24"/>
      <c r="D352" s="24"/>
      <c r="E352" s="24"/>
      <c r="F352" s="143"/>
      <c r="G352" s="143"/>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row>
    <row r="353" spans="1:30" ht="12.9">
      <c r="A353" s="24"/>
      <c r="B353" s="24"/>
      <c r="C353" s="24"/>
      <c r="D353" s="24"/>
      <c r="E353" s="24"/>
      <c r="F353" s="143"/>
      <c r="G353" s="143"/>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row>
    <row r="354" spans="1:30" ht="12.9">
      <c r="A354" s="24"/>
      <c r="B354" s="24"/>
      <c r="C354" s="24"/>
      <c r="D354" s="24"/>
      <c r="E354" s="24"/>
      <c r="F354" s="143"/>
      <c r="G354" s="143"/>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row>
    <row r="355" spans="1:30" ht="12.9">
      <c r="A355" s="24"/>
      <c r="B355" s="24"/>
      <c r="C355" s="24"/>
      <c r="D355" s="24"/>
      <c r="E355" s="24"/>
      <c r="F355" s="143"/>
      <c r="G355" s="143"/>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row>
    <row r="356" spans="1:30" ht="12.9">
      <c r="A356" s="24"/>
      <c r="B356" s="24"/>
      <c r="C356" s="24"/>
      <c r="D356" s="24"/>
      <c r="E356" s="24"/>
      <c r="F356" s="143"/>
      <c r="G356" s="143"/>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row>
    <row r="357" spans="1:30" ht="12.9">
      <c r="A357" s="24"/>
      <c r="B357" s="24"/>
      <c r="C357" s="24"/>
      <c r="D357" s="24"/>
      <c r="E357" s="24"/>
      <c r="F357" s="143"/>
      <c r="G357" s="143"/>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row>
    <row r="358" spans="1:30" ht="12.9">
      <c r="A358" s="24"/>
      <c r="B358" s="24"/>
      <c r="C358" s="24"/>
      <c r="D358" s="24"/>
      <c r="E358" s="24"/>
      <c r="F358" s="143"/>
      <c r="G358" s="143"/>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row>
    <row r="359" spans="1:30" ht="12.9">
      <c r="A359" s="24"/>
      <c r="B359" s="24"/>
      <c r="C359" s="24"/>
      <c r="D359" s="24"/>
      <c r="E359" s="24"/>
      <c r="F359" s="143"/>
      <c r="G359" s="143"/>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row>
    <row r="360" spans="1:30" ht="12.9">
      <c r="A360" s="24"/>
      <c r="B360" s="24"/>
      <c r="C360" s="24"/>
      <c r="D360" s="24"/>
      <c r="E360" s="24"/>
      <c r="F360" s="143"/>
      <c r="G360" s="143"/>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row>
    <row r="361" spans="1:30" ht="12.9">
      <c r="A361" s="24"/>
      <c r="B361" s="24"/>
      <c r="C361" s="24"/>
      <c r="D361" s="24"/>
      <c r="E361" s="24"/>
      <c r="F361" s="143"/>
      <c r="G361" s="143"/>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row>
    <row r="362" spans="1:30" ht="12.9">
      <c r="A362" s="24"/>
      <c r="B362" s="24"/>
      <c r="C362" s="24"/>
      <c r="D362" s="24"/>
      <c r="E362" s="24"/>
      <c r="F362" s="143"/>
      <c r="G362" s="143"/>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row>
    <row r="363" spans="1:30" ht="12.9">
      <c r="A363" s="24"/>
      <c r="B363" s="24"/>
      <c r="C363" s="24"/>
      <c r="D363" s="24"/>
      <c r="E363" s="24"/>
      <c r="F363" s="143"/>
      <c r="G363" s="143"/>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row>
    <row r="364" spans="1:30" ht="12.9">
      <c r="A364" s="24"/>
      <c r="B364" s="24"/>
      <c r="C364" s="24"/>
      <c r="D364" s="24"/>
      <c r="E364" s="24"/>
      <c r="F364" s="143"/>
      <c r="G364" s="143"/>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row>
    <row r="365" spans="1:30" ht="12.9">
      <c r="A365" s="24"/>
      <c r="B365" s="24"/>
      <c r="C365" s="24"/>
      <c r="D365" s="24"/>
      <c r="E365" s="24"/>
      <c r="F365" s="143"/>
      <c r="G365" s="143"/>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row>
    <row r="366" spans="1:30" ht="12.9">
      <c r="A366" s="24"/>
      <c r="B366" s="24"/>
      <c r="C366" s="24"/>
      <c r="D366" s="24"/>
      <c r="E366" s="24"/>
      <c r="F366" s="143"/>
      <c r="G366" s="143"/>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row>
    <row r="367" spans="1:30" ht="12.9">
      <c r="A367" s="24"/>
      <c r="B367" s="24"/>
      <c r="C367" s="24"/>
      <c r="D367" s="24"/>
      <c r="E367" s="24"/>
      <c r="F367" s="143"/>
      <c r="G367" s="143"/>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row>
    <row r="368" spans="1:30" ht="12.9">
      <c r="A368" s="24"/>
      <c r="B368" s="24"/>
      <c r="C368" s="24"/>
      <c r="D368" s="24"/>
      <c r="E368" s="24"/>
      <c r="F368" s="143"/>
      <c r="G368" s="143"/>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row>
    <row r="369" spans="1:30" ht="12.9">
      <c r="A369" s="24"/>
      <c r="B369" s="24"/>
      <c r="C369" s="24"/>
      <c r="D369" s="24"/>
      <c r="E369" s="24"/>
      <c r="F369" s="143"/>
      <c r="G369" s="143"/>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row>
    <row r="370" spans="1:30" ht="12.9">
      <c r="A370" s="24"/>
      <c r="B370" s="24"/>
      <c r="C370" s="24"/>
      <c r="D370" s="24"/>
      <c r="E370" s="24"/>
      <c r="F370" s="143"/>
      <c r="G370" s="143"/>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row>
    <row r="371" spans="1:30" ht="12.9">
      <c r="A371" s="24"/>
      <c r="B371" s="24"/>
      <c r="C371" s="24"/>
      <c r="D371" s="24"/>
      <c r="E371" s="24"/>
      <c r="F371" s="143"/>
      <c r="G371" s="143"/>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row>
    <row r="372" spans="1:30" ht="12.9">
      <c r="A372" s="24"/>
      <c r="B372" s="24"/>
      <c r="C372" s="24"/>
      <c r="D372" s="24"/>
      <c r="E372" s="24"/>
      <c r="F372" s="143"/>
      <c r="G372" s="143"/>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row>
    <row r="373" spans="1:30" ht="12.9">
      <c r="A373" s="24"/>
      <c r="B373" s="24"/>
      <c r="C373" s="24"/>
      <c r="D373" s="24"/>
      <c r="E373" s="24"/>
      <c r="F373" s="143"/>
      <c r="G373" s="143"/>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row>
    <row r="374" spans="1:30" ht="12.9">
      <c r="A374" s="24"/>
      <c r="B374" s="24"/>
      <c r="C374" s="24"/>
      <c r="D374" s="24"/>
      <c r="E374" s="24"/>
      <c r="F374" s="143"/>
      <c r="G374" s="143"/>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row>
    <row r="375" spans="1:30" ht="12.9">
      <c r="A375" s="24"/>
      <c r="B375" s="24"/>
      <c r="C375" s="24"/>
      <c r="D375" s="24"/>
      <c r="E375" s="24"/>
      <c r="F375" s="143"/>
      <c r="G375" s="143"/>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row>
    <row r="376" spans="1:30" ht="12.9">
      <c r="A376" s="24"/>
      <c r="B376" s="24"/>
      <c r="C376" s="24"/>
      <c r="D376" s="24"/>
      <c r="E376" s="24"/>
      <c r="F376" s="143"/>
      <c r="G376" s="143"/>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row>
    <row r="377" spans="1:30" ht="12.9">
      <c r="A377" s="24"/>
      <c r="B377" s="24"/>
      <c r="C377" s="24"/>
      <c r="D377" s="24"/>
      <c r="E377" s="24"/>
      <c r="F377" s="143"/>
      <c r="G377" s="143"/>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row>
    <row r="378" spans="1:30" ht="12.9">
      <c r="A378" s="24"/>
      <c r="B378" s="24"/>
      <c r="C378" s="24"/>
      <c r="D378" s="24"/>
      <c r="E378" s="24"/>
      <c r="F378" s="143"/>
      <c r="G378" s="143"/>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row>
    <row r="379" spans="1:30" ht="12.9">
      <c r="A379" s="24"/>
      <c r="B379" s="24"/>
      <c r="C379" s="24"/>
      <c r="D379" s="24"/>
      <c r="E379" s="24"/>
      <c r="F379" s="143"/>
      <c r="G379" s="143"/>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row>
    <row r="380" spans="1:30" ht="12.9">
      <c r="A380" s="24"/>
      <c r="B380" s="24"/>
      <c r="C380" s="24"/>
      <c r="D380" s="24"/>
      <c r="E380" s="24"/>
      <c r="F380" s="143"/>
      <c r="G380" s="143"/>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row>
    <row r="381" spans="1:30" ht="12.9">
      <c r="A381" s="24"/>
      <c r="B381" s="24"/>
      <c r="C381" s="24"/>
      <c r="D381" s="24"/>
      <c r="E381" s="24"/>
      <c r="F381" s="143"/>
      <c r="G381" s="143"/>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row>
    <row r="382" spans="1:30" ht="12.9">
      <c r="A382" s="24"/>
      <c r="B382" s="24"/>
      <c r="C382" s="24"/>
      <c r="D382" s="24"/>
      <c r="E382" s="24"/>
      <c r="F382" s="143"/>
      <c r="G382" s="143"/>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row>
    <row r="383" spans="1:30" ht="12.9">
      <c r="A383" s="24"/>
      <c r="B383" s="24"/>
      <c r="C383" s="24"/>
      <c r="D383" s="24"/>
      <c r="E383" s="24"/>
      <c r="F383" s="143"/>
      <c r="G383" s="143"/>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row>
    <row r="384" spans="1:30" ht="12.9">
      <c r="A384" s="24"/>
      <c r="B384" s="24"/>
      <c r="C384" s="24"/>
      <c r="D384" s="24"/>
      <c r="E384" s="24"/>
      <c r="F384" s="143"/>
      <c r="G384" s="143"/>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row>
    <row r="385" spans="1:30" ht="12.9">
      <c r="A385" s="24"/>
      <c r="B385" s="24"/>
      <c r="C385" s="24"/>
      <c r="D385" s="24"/>
      <c r="E385" s="24"/>
      <c r="F385" s="143"/>
      <c r="G385" s="143"/>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row>
    <row r="386" spans="1:30" ht="12.9">
      <c r="A386" s="24"/>
      <c r="B386" s="24"/>
      <c r="C386" s="24"/>
      <c r="D386" s="24"/>
      <c r="E386" s="24"/>
      <c r="F386" s="143"/>
      <c r="G386" s="143"/>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row>
    <row r="387" spans="1:30" ht="12.9">
      <c r="A387" s="24"/>
      <c r="B387" s="24"/>
      <c r="C387" s="24"/>
      <c r="D387" s="24"/>
      <c r="E387" s="24"/>
      <c r="F387" s="143"/>
      <c r="G387" s="143"/>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row>
    <row r="388" spans="1:30" ht="12.9">
      <c r="A388" s="24"/>
      <c r="B388" s="24"/>
      <c r="C388" s="24"/>
      <c r="D388" s="24"/>
      <c r="E388" s="24"/>
      <c r="F388" s="143"/>
      <c r="G388" s="143"/>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row>
    <row r="389" spans="1:30" ht="12.9">
      <c r="A389" s="24"/>
      <c r="B389" s="24"/>
      <c r="C389" s="24"/>
      <c r="D389" s="24"/>
      <c r="E389" s="24"/>
      <c r="F389" s="143"/>
      <c r="G389" s="143"/>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row>
    <row r="390" spans="1:30" ht="12.9">
      <c r="A390" s="24"/>
      <c r="B390" s="24"/>
      <c r="C390" s="24"/>
      <c r="D390" s="24"/>
      <c r="E390" s="24"/>
      <c r="F390" s="143"/>
      <c r="G390" s="143"/>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row>
    <row r="391" spans="1:30" ht="12.9">
      <c r="A391" s="24"/>
      <c r="B391" s="24"/>
      <c r="C391" s="24"/>
      <c r="D391" s="24"/>
      <c r="E391" s="24"/>
      <c r="F391" s="143"/>
      <c r="G391" s="143"/>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row>
    <row r="392" spans="1:30" ht="12.9">
      <c r="A392" s="24"/>
      <c r="B392" s="24"/>
      <c r="C392" s="24"/>
      <c r="D392" s="24"/>
      <c r="E392" s="24"/>
      <c r="F392" s="143"/>
      <c r="G392" s="143"/>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row>
    <row r="393" spans="1:30" ht="12.9">
      <c r="A393" s="24"/>
      <c r="B393" s="24"/>
      <c r="C393" s="24"/>
      <c r="D393" s="24"/>
      <c r="E393" s="24"/>
      <c r="F393" s="143"/>
      <c r="G393" s="143"/>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row>
    <row r="394" spans="1:30" ht="12.9">
      <c r="A394" s="24"/>
      <c r="B394" s="24"/>
      <c r="C394" s="24"/>
      <c r="D394" s="24"/>
      <c r="E394" s="24"/>
      <c r="F394" s="143"/>
      <c r="G394" s="143"/>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row>
    <row r="395" spans="1:30" ht="12.9">
      <c r="A395" s="24"/>
      <c r="B395" s="24"/>
      <c r="C395" s="24"/>
      <c r="D395" s="24"/>
      <c r="E395" s="24"/>
      <c r="F395" s="143"/>
      <c r="G395" s="143"/>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row>
    <row r="396" spans="1:30" ht="12.9">
      <c r="A396" s="24"/>
      <c r="B396" s="24"/>
      <c r="C396" s="24"/>
      <c r="D396" s="24"/>
      <c r="E396" s="24"/>
      <c r="F396" s="143"/>
      <c r="G396" s="143"/>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row>
    <row r="397" spans="1:30" ht="12.9">
      <c r="A397" s="24"/>
      <c r="B397" s="24"/>
      <c r="C397" s="24"/>
      <c r="D397" s="24"/>
      <c r="E397" s="24"/>
      <c r="F397" s="143"/>
      <c r="G397" s="143"/>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row>
    <row r="398" spans="1:30" ht="12.9">
      <c r="A398" s="24"/>
      <c r="B398" s="24"/>
      <c r="C398" s="24"/>
      <c r="D398" s="24"/>
      <c r="E398" s="24"/>
      <c r="F398" s="143"/>
      <c r="G398" s="143"/>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row>
    <row r="399" spans="1:30" ht="12.9">
      <c r="A399" s="24"/>
      <c r="B399" s="24"/>
      <c r="C399" s="24"/>
      <c r="D399" s="24"/>
      <c r="E399" s="24"/>
      <c r="F399" s="143"/>
      <c r="G399" s="143"/>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row>
    <row r="400" spans="1:30" ht="12.9">
      <c r="A400" s="24"/>
      <c r="B400" s="24"/>
      <c r="C400" s="24"/>
      <c r="D400" s="24"/>
      <c r="E400" s="24"/>
      <c r="F400" s="143"/>
      <c r="G400" s="143"/>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row>
    <row r="401" spans="1:30" ht="12.9">
      <c r="A401" s="24"/>
      <c r="B401" s="24"/>
      <c r="C401" s="24"/>
      <c r="D401" s="24"/>
      <c r="E401" s="24"/>
      <c r="F401" s="143"/>
      <c r="G401" s="143"/>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row>
    <row r="402" spans="1:30" ht="12.9">
      <c r="A402" s="24"/>
      <c r="B402" s="24"/>
      <c r="C402" s="24"/>
      <c r="D402" s="24"/>
      <c r="E402" s="24"/>
      <c r="F402" s="143"/>
      <c r="G402" s="143"/>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row>
    <row r="403" spans="1:30" ht="12.9">
      <c r="A403" s="24"/>
      <c r="B403" s="24"/>
      <c r="C403" s="24"/>
      <c r="D403" s="24"/>
      <c r="E403" s="24"/>
      <c r="F403" s="143"/>
      <c r="G403" s="143"/>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row>
    <row r="404" spans="1:30" ht="12.9">
      <c r="A404" s="24"/>
      <c r="B404" s="24"/>
      <c r="C404" s="24"/>
      <c r="D404" s="24"/>
      <c r="E404" s="24"/>
      <c r="F404" s="143"/>
      <c r="G404" s="143"/>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row>
    <row r="405" spans="1:30" ht="12.9">
      <c r="A405" s="24"/>
      <c r="B405" s="24"/>
      <c r="C405" s="24"/>
      <c r="D405" s="24"/>
      <c r="E405" s="24"/>
      <c r="F405" s="143"/>
      <c r="G405" s="143"/>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row>
    <row r="406" spans="1:30" ht="12.9">
      <c r="A406" s="24"/>
      <c r="B406" s="24"/>
      <c r="C406" s="24"/>
      <c r="D406" s="24"/>
      <c r="E406" s="24"/>
      <c r="F406" s="143"/>
      <c r="G406" s="143"/>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row>
    <row r="407" spans="1:30" ht="12.9">
      <c r="A407" s="24"/>
      <c r="B407" s="24"/>
      <c r="C407" s="24"/>
      <c r="D407" s="24"/>
      <c r="E407" s="24"/>
      <c r="F407" s="143"/>
      <c r="G407" s="143"/>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row>
    <row r="408" spans="1:30" ht="12.9">
      <c r="A408" s="24"/>
      <c r="B408" s="24"/>
      <c r="C408" s="24"/>
      <c r="D408" s="24"/>
      <c r="E408" s="24"/>
      <c r="F408" s="143"/>
      <c r="G408" s="143"/>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row>
    <row r="409" spans="1:30" ht="12.9">
      <c r="A409" s="24"/>
      <c r="B409" s="24"/>
      <c r="C409" s="24"/>
      <c r="D409" s="24"/>
      <c r="E409" s="24"/>
      <c r="F409" s="143"/>
      <c r="G409" s="143"/>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row>
    <row r="410" spans="1:30" ht="12.9">
      <c r="A410" s="24"/>
      <c r="B410" s="24"/>
      <c r="C410" s="24"/>
      <c r="D410" s="24"/>
      <c r="E410" s="24"/>
      <c r="F410" s="143"/>
      <c r="G410" s="143"/>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row>
    <row r="411" spans="1:30" ht="12.9">
      <c r="A411" s="24"/>
      <c r="B411" s="24"/>
      <c r="C411" s="24"/>
      <c r="D411" s="24"/>
      <c r="E411" s="24"/>
      <c r="F411" s="143"/>
      <c r="G411" s="143"/>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row>
    <row r="412" spans="1:30" ht="12.9">
      <c r="A412" s="24"/>
      <c r="B412" s="24"/>
      <c r="C412" s="24"/>
      <c r="D412" s="24"/>
      <c r="E412" s="24"/>
      <c r="F412" s="143"/>
      <c r="G412" s="143"/>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row>
    <row r="413" spans="1:30" ht="12.9">
      <c r="A413" s="24"/>
      <c r="B413" s="24"/>
      <c r="C413" s="24"/>
      <c r="D413" s="24"/>
      <c r="E413" s="24"/>
      <c r="F413" s="143"/>
      <c r="G413" s="143"/>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row>
    <row r="414" spans="1:30" ht="12.9">
      <c r="A414" s="24"/>
      <c r="B414" s="24"/>
      <c r="C414" s="24"/>
      <c r="D414" s="24"/>
      <c r="E414" s="24"/>
      <c r="F414" s="143"/>
      <c r="G414" s="143"/>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row>
    <row r="415" spans="1:30" ht="12.9">
      <c r="A415" s="24"/>
      <c r="B415" s="24"/>
      <c r="C415" s="24"/>
      <c r="D415" s="24"/>
      <c r="E415" s="24"/>
      <c r="F415" s="143"/>
      <c r="G415" s="143"/>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row>
    <row r="416" spans="1:30" ht="12.9">
      <c r="A416" s="24"/>
      <c r="B416" s="24"/>
      <c r="C416" s="24"/>
      <c r="D416" s="24"/>
      <c r="E416" s="24"/>
      <c r="F416" s="143"/>
      <c r="G416" s="143"/>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row>
    <row r="417" spans="1:30" ht="12.9">
      <c r="A417" s="24"/>
      <c r="B417" s="24"/>
      <c r="C417" s="24"/>
      <c r="D417" s="24"/>
      <c r="E417" s="24"/>
      <c r="F417" s="143"/>
      <c r="G417" s="143"/>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row>
    <row r="418" spans="1:30" ht="12.9">
      <c r="A418" s="24"/>
      <c r="B418" s="24"/>
      <c r="C418" s="24"/>
      <c r="D418" s="24"/>
      <c r="E418" s="24"/>
      <c r="F418" s="143"/>
      <c r="G418" s="143"/>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row>
    <row r="419" spans="1:30" ht="12.9">
      <c r="A419" s="24"/>
      <c r="B419" s="24"/>
      <c r="C419" s="24"/>
      <c r="D419" s="24"/>
      <c r="E419" s="24"/>
      <c r="F419" s="143"/>
      <c r="G419" s="143"/>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row>
    <row r="420" spans="1:30" ht="12.9">
      <c r="A420" s="24"/>
      <c r="B420" s="24"/>
      <c r="C420" s="24"/>
      <c r="D420" s="24"/>
      <c r="E420" s="24"/>
      <c r="F420" s="143"/>
      <c r="G420" s="143"/>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row>
    <row r="421" spans="1:30" ht="12.9">
      <c r="A421" s="24"/>
      <c r="B421" s="24"/>
      <c r="C421" s="24"/>
      <c r="D421" s="24"/>
      <c r="E421" s="24"/>
      <c r="F421" s="143"/>
      <c r="G421" s="143"/>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row>
    <row r="422" spans="1:30" ht="12.9">
      <c r="A422" s="24"/>
      <c r="B422" s="24"/>
      <c r="C422" s="24"/>
      <c r="D422" s="24"/>
      <c r="E422" s="24"/>
      <c r="F422" s="143"/>
      <c r="G422" s="143"/>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row>
    <row r="423" spans="1:30" ht="12.9">
      <c r="A423" s="24"/>
      <c r="B423" s="24"/>
      <c r="C423" s="24"/>
      <c r="D423" s="24"/>
      <c r="E423" s="24"/>
      <c r="F423" s="143"/>
      <c r="G423" s="143"/>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row>
    <row r="424" spans="1:30" ht="12.9">
      <c r="A424" s="24"/>
      <c r="B424" s="24"/>
      <c r="C424" s="24"/>
      <c r="D424" s="24"/>
      <c r="E424" s="24"/>
      <c r="F424" s="143"/>
      <c r="G424" s="143"/>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row>
    <row r="425" spans="1:30" ht="12.9">
      <c r="A425" s="24"/>
      <c r="B425" s="24"/>
      <c r="C425" s="24"/>
      <c r="D425" s="24"/>
      <c r="E425" s="24"/>
      <c r="F425" s="143"/>
      <c r="G425" s="143"/>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row>
    <row r="426" spans="1:30" ht="12.9">
      <c r="A426" s="24"/>
      <c r="B426" s="24"/>
      <c r="C426" s="24"/>
      <c r="D426" s="24"/>
      <c r="E426" s="24"/>
      <c r="F426" s="143"/>
      <c r="G426" s="143"/>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row>
    <row r="427" spans="1:30" ht="12.9">
      <c r="A427" s="24"/>
      <c r="B427" s="24"/>
      <c r="C427" s="24"/>
      <c r="D427" s="24"/>
      <c r="E427" s="24"/>
      <c r="F427" s="143"/>
      <c r="G427" s="143"/>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row>
    <row r="428" spans="1:30" ht="12.9">
      <c r="A428" s="24"/>
      <c r="B428" s="24"/>
      <c r="C428" s="24"/>
      <c r="D428" s="24"/>
      <c r="E428" s="24"/>
      <c r="F428" s="143"/>
      <c r="G428" s="143"/>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row>
    <row r="429" spans="1:30" ht="12.9">
      <c r="A429" s="24"/>
      <c r="B429" s="24"/>
      <c r="C429" s="24"/>
      <c r="D429" s="24"/>
      <c r="E429" s="24"/>
      <c r="F429" s="143"/>
      <c r="G429" s="143"/>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row>
    <row r="430" spans="1:30" ht="12.9">
      <c r="A430" s="24"/>
      <c r="B430" s="24"/>
      <c r="C430" s="24"/>
      <c r="D430" s="24"/>
      <c r="E430" s="24"/>
      <c r="F430" s="143"/>
      <c r="G430" s="143"/>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row>
    <row r="431" spans="1:30" ht="12.9">
      <c r="A431" s="24"/>
      <c r="B431" s="24"/>
      <c r="C431" s="24"/>
      <c r="D431" s="24"/>
      <c r="E431" s="24"/>
      <c r="F431" s="143"/>
      <c r="G431" s="143"/>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row>
    <row r="432" spans="1:30" ht="12.9">
      <c r="A432" s="24"/>
      <c r="B432" s="24"/>
      <c r="C432" s="24"/>
      <c r="D432" s="24"/>
      <c r="E432" s="24"/>
      <c r="F432" s="143"/>
      <c r="G432" s="143"/>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row>
    <row r="433" spans="1:30" ht="12.9">
      <c r="A433" s="24"/>
      <c r="B433" s="24"/>
      <c r="C433" s="24"/>
      <c r="D433" s="24"/>
      <c r="E433" s="24"/>
      <c r="F433" s="143"/>
      <c r="G433" s="143"/>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row>
    <row r="434" spans="1:30" ht="12.9">
      <c r="A434" s="24"/>
      <c r="B434" s="24"/>
      <c r="C434" s="24"/>
      <c r="D434" s="24"/>
      <c r="E434" s="24"/>
      <c r="F434" s="143"/>
      <c r="G434" s="143"/>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row>
    <row r="435" spans="1:30" ht="12.9">
      <c r="A435" s="24"/>
      <c r="B435" s="24"/>
      <c r="C435" s="24"/>
      <c r="D435" s="24"/>
      <c r="E435" s="24"/>
      <c r="F435" s="143"/>
      <c r="G435" s="143"/>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row>
    <row r="436" spans="1:30" ht="12.9">
      <c r="A436" s="24"/>
      <c r="B436" s="24"/>
      <c r="C436" s="24"/>
      <c r="D436" s="24"/>
      <c r="E436" s="24"/>
      <c r="F436" s="143"/>
      <c r="G436" s="143"/>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row>
    <row r="437" spans="1:30" ht="12.9">
      <c r="A437" s="24"/>
      <c r="B437" s="24"/>
      <c r="C437" s="24"/>
      <c r="D437" s="24"/>
      <c r="E437" s="24"/>
      <c r="F437" s="143"/>
      <c r="G437" s="143"/>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row>
    <row r="438" spans="1:30" ht="12.9">
      <c r="A438" s="24"/>
      <c r="B438" s="24"/>
      <c r="C438" s="24"/>
      <c r="D438" s="24"/>
      <c r="E438" s="24"/>
      <c r="F438" s="143"/>
      <c r="G438" s="143"/>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row>
    <row r="439" spans="1:30" ht="12.9">
      <c r="A439" s="24"/>
      <c r="B439" s="24"/>
      <c r="C439" s="24"/>
      <c r="D439" s="24"/>
      <c r="E439" s="24"/>
      <c r="F439" s="143"/>
      <c r="G439" s="143"/>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row>
    <row r="440" spans="1:30" ht="12.9">
      <c r="A440" s="24"/>
      <c r="B440" s="24"/>
      <c r="C440" s="24"/>
      <c r="D440" s="24"/>
      <c r="E440" s="24"/>
      <c r="F440" s="143"/>
      <c r="G440" s="143"/>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row>
    <row r="441" spans="1:30" ht="12.9">
      <c r="A441" s="24"/>
      <c r="B441" s="24"/>
      <c r="C441" s="24"/>
      <c r="D441" s="24"/>
      <c r="E441" s="24"/>
      <c r="F441" s="143"/>
      <c r="G441" s="143"/>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row>
    <row r="442" spans="1:30" ht="12.9">
      <c r="A442" s="24"/>
      <c r="B442" s="24"/>
      <c r="C442" s="24"/>
      <c r="D442" s="24"/>
      <c r="E442" s="24"/>
      <c r="F442" s="143"/>
      <c r="G442" s="143"/>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row>
    <row r="443" spans="1:30" ht="12.9">
      <c r="A443" s="24"/>
      <c r="B443" s="24"/>
      <c r="C443" s="24"/>
      <c r="D443" s="24"/>
      <c r="E443" s="24"/>
      <c r="F443" s="143"/>
      <c r="G443" s="143"/>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row>
    <row r="444" spans="1:30" ht="12.9">
      <c r="A444" s="24"/>
      <c r="B444" s="24"/>
      <c r="C444" s="24"/>
      <c r="D444" s="24"/>
      <c r="E444" s="24"/>
      <c r="F444" s="143"/>
      <c r="G444" s="143"/>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row>
    <row r="445" spans="1:30" ht="12.9">
      <c r="A445" s="24"/>
      <c r="B445" s="24"/>
      <c r="C445" s="24"/>
      <c r="D445" s="24"/>
      <c r="E445" s="24"/>
      <c r="F445" s="143"/>
      <c r="G445" s="143"/>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row>
    <row r="446" spans="1:30" ht="12.9">
      <c r="A446" s="24"/>
      <c r="B446" s="24"/>
      <c r="C446" s="24"/>
      <c r="D446" s="24"/>
      <c r="E446" s="24"/>
      <c r="F446" s="143"/>
      <c r="G446" s="143"/>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row>
    <row r="447" spans="1:30" ht="12.9">
      <c r="A447" s="24"/>
      <c r="B447" s="24"/>
      <c r="C447" s="24"/>
      <c r="D447" s="24"/>
      <c r="E447" s="24"/>
      <c r="F447" s="143"/>
      <c r="G447" s="143"/>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row>
    <row r="448" spans="1:30" ht="12.9">
      <c r="A448" s="24"/>
      <c r="B448" s="24"/>
      <c r="C448" s="24"/>
      <c r="D448" s="24"/>
      <c r="E448" s="24"/>
      <c r="F448" s="143"/>
      <c r="G448" s="143"/>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row>
    <row r="449" spans="1:30" ht="12.9">
      <c r="A449" s="24"/>
      <c r="B449" s="24"/>
      <c r="C449" s="24"/>
      <c r="D449" s="24"/>
      <c r="E449" s="24"/>
      <c r="F449" s="143"/>
      <c r="G449" s="143"/>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row>
    <row r="450" spans="1:30" ht="12.9">
      <c r="A450" s="24"/>
      <c r="B450" s="24"/>
      <c r="C450" s="24"/>
      <c r="D450" s="24"/>
      <c r="E450" s="24"/>
      <c r="F450" s="143"/>
      <c r="G450" s="143"/>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row>
    <row r="451" spans="1:30" ht="12.9">
      <c r="A451" s="24"/>
      <c r="B451" s="24"/>
      <c r="C451" s="24"/>
      <c r="D451" s="24"/>
      <c r="E451" s="24"/>
      <c r="F451" s="143"/>
      <c r="G451" s="143"/>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row>
    <row r="452" spans="1:30" ht="12.9">
      <c r="A452" s="24"/>
      <c r="B452" s="24"/>
      <c r="C452" s="24"/>
      <c r="D452" s="24"/>
      <c r="E452" s="24"/>
      <c r="F452" s="143"/>
      <c r="G452" s="143"/>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row>
    <row r="453" spans="1:30" ht="12.9">
      <c r="A453" s="24"/>
      <c r="B453" s="24"/>
      <c r="C453" s="24"/>
      <c r="D453" s="24"/>
      <c r="E453" s="24"/>
      <c r="F453" s="143"/>
      <c r="G453" s="143"/>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row>
    <row r="454" spans="1:30" ht="12.9">
      <c r="A454" s="24"/>
      <c r="B454" s="24"/>
      <c r="C454" s="24"/>
      <c r="D454" s="24"/>
      <c r="E454" s="24"/>
      <c r="F454" s="143"/>
      <c r="G454" s="143"/>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row>
    <row r="455" spans="1:30" ht="12.9">
      <c r="A455" s="24"/>
      <c r="B455" s="24"/>
      <c r="C455" s="24"/>
      <c r="D455" s="24"/>
      <c r="E455" s="24"/>
      <c r="F455" s="143"/>
      <c r="G455" s="143"/>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row>
    <row r="456" spans="1:30" ht="12.9">
      <c r="A456" s="24"/>
      <c r="B456" s="24"/>
      <c r="C456" s="24"/>
      <c r="D456" s="24"/>
      <c r="E456" s="24"/>
      <c r="F456" s="143"/>
      <c r="G456" s="143"/>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row>
    <row r="457" spans="1:30" ht="12.9">
      <c r="A457" s="24"/>
      <c r="B457" s="24"/>
      <c r="C457" s="24"/>
      <c r="D457" s="24"/>
      <c r="E457" s="24"/>
      <c r="F457" s="143"/>
      <c r="G457" s="143"/>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row>
    <row r="458" spans="1:30" ht="12.9">
      <c r="A458" s="24"/>
      <c r="B458" s="24"/>
      <c r="C458" s="24"/>
      <c r="D458" s="24"/>
      <c r="E458" s="24"/>
      <c r="F458" s="143"/>
      <c r="G458" s="143"/>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row>
    <row r="459" spans="1:30" ht="12.9">
      <c r="A459" s="24"/>
      <c r="B459" s="24"/>
      <c r="C459" s="24"/>
      <c r="D459" s="24"/>
      <c r="E459" s="24"/>
      <c r="F459" s="143"/>
      <c r="G459" s="143"/>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row>
    <row r="460" spans="1:30" ht="12.9">
      <c r="A460" s="24"/>
      <c r="B460" s="24"/>
      <c r="C460" s="24"/>
      <c r="D460" s="24"/>
      <c r="E460" s="24"/>
      <c r="F460" s="143"/>
      <c r="G460" s="143"/>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row>
    <row r="461" spans="1:30" ht="12.9">
      <c r="A461" s="24"/>
      <c r="B461" s="24"/>
      <c r="C461" s="24"/>
      <c r="D461" s="24"/>
      <c r="E461" s="24"/>
      <c r="F461" s="143"/>
      <c r="G461" s="143"/>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row>
    <row r="462" spans="1:30" ht="12.9">
      <c r="A462" s="24"/>
      <c r="B462" s="24"/>
      <c r="C462" s="24"/>
      <c r="D462" s="24"/>
      <c r="E462" s="24"/>
      <c r="F462" s="143"/>
      <c r="G462" s="143"/>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row>
    <row r="463" spans="1:30" ht="12.9">
      <c r="A463" s="24"/>
      <c r="B463" s="24"/>
      <c r="C463" s="24"/>
      <c r="D463" s="24"/>
      <c r="E463" s="24"/>
      <c r="F463" s="143"/>
      <c r="G463" s="143"/>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row>
    <row r="464" spans="1:30" ht="12.9">
      <c r="A464" s="24"/>
      <c r="B464" s="24"/>
      <c r="C464" s="24"/>
      <c r="D464" s="24"/>
      <c r="E464" s="24"/>
      <c r="F464" s="143"/>
      <c r="G464" s="143"/>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row>
    <row r="465" spans="1:30" ht="12.9">
      <c r="A465" s="24"/>
      <c r="B465" s="24"/>
      <c r="C465" s="24"/>
      <c r="D465" s="24"/>
      <c r="E465" s="24"/>
      <c r="F465" s="143"/>
      <c r="G465" s="143"/>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row>
    <row r="466" spans="1:30" ht="12.9">
      <c r="A466" s="24"/>
      <c r="B466" s="24"/>
      <c r="C466" s="24"/>
      <c r="D466" s="24"/>
      <c r="E466" s="24"/>
      <c r="F466" s="143"/>
      <c r="G466" s="143"/>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row>
    <row r="467" spans="1:30" ht="12.9">
      <c r="A467" s="24"/>
      <c r="B467" s="24"/>
      <c r="C467" s="24"/>
      <c r="D467" s="24"/>
      <c r="E467" s="24"/>
      <c r="F467" s="143"/>
      <c r="G467" s="143"/>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row>
    <row r="468" spans="1:30" ht="12.9">
      <c r="A468" s="24"/>
      <c r="B468" s="24"/>
      <c r="C468" s="24"/>
      <c r="D468" s="24"/>
      <c r="E468" s="24"/>
      <c r="F468" s="143"/>
      <c r="G468" s="143"/>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row>
    <row r="469" spans="1:30" ht="12.9">
      <c r="A469" s="24"/>
      <c r="B469" s="24"/>
      <c r="C469" s="24"/>
      <c r="D469" s="24"/>
      <c r="E469" s="24"/>
      <c r="F469" s="143"/>
      <c r="G469" s="143"/>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row>
    <row r="470" spans="1:30" ht="12.9">
      <c r="A470" s="24"/>
      <c r="B470" s="24"/>
      <c r="C470" s="24"/>
      <c r="D470" s="24"/>
      <c r="E470" s="24"/>
      <c r="F470" s="143"/>
      <c r="G470" s="143"/>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row>
    <row r="471" spans="1:30" ht="12.9">
      <c r="A471" s="24"/>
      <c r="B471" s="24"/>
      <c r="C471" s="24"/>
      <c r="D471" s="24"/>
      <c r="E471" s="24"/>
      <c r="F471" s="143"/>
      <c r="G471" s="143"/>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row>
    <row r="472" spans="1:30" ht="12.9">
      <c r="A472" s="24"/>
      <c r="B472" s="24"/>
      <c r="C472" s="24"/>
      <c r="D472" s="24"/>
      <c r="E472" s="24"/>
      <c r="F472" s="143"/>
      <c r="G472" s="143"/>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row>
    <row r="473" spans="1:30" ht="12.9">
      <c r="A473" s="24"/>
      <c r="B473" s="24"/>
      <c r="C473" s="24"/>
      <c r="D473" s="24"/>
      <c r="E473" s="24"/>
      <c r="F473" s="143"/>
      <c r="G473" s="143"/>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row>
    <row r="474" spans="1:30" ht="12.9">
      <c r="A474" s="24"/>
      <c r="B474" s="24"/>
      <c r="C474" s="24"/>
      <c r="D474" s="24"/>
      <c r="E474" s="24"/>
      <c r="F474" s="143"/>
      <c r="G474" s="143"/>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row>
    <row r="475" spans="1:30" ht="12.9">
      <c r="A475" s="24"/>
      <c r="B475" s="24"/>
      <c r="C475" s="24"/>
      <c r="D475" s="24"/>
      <c r="E475" s="24"/>
      <c r="F475" s="143"/>
      <c r="G475" s="143"/>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row>
    <row r="476" spans="1:30" ht="12.9">
      <c r="A476" s="24"/>
      <c r="B476" s="24"/>
      <c r="C476" s="24"/>
      <c r="D476" s="24"/>
      <c r="E476" s="24"/>
      <c r="F476" s="143"/>
      <c r="G476" s="143"/>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row>
    <row r="477" spans="1:30" ht="12.9">
      <c r="A477" s="24"/>
      <c r="B477" s="24"/>
      <c r="C477" s="24"/>
      <c r="D477" s="24"/>
      <c r="E477" s="24"/>
      <c r="F477" s="143"/>
      <c r="G477" s="143"/>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row>
    <row r="478" spans="1:30" ht="12.9">
      <c r="A478" s="24"/>
      <c r="B478" s="24"/>
      <c r="C478" s="24"/>
      <c r="D478" s="24"/>
      <c r="E478" s="24"/>
      <c r="F478" s="143"/>
      <c r="G478" s="143"/>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row>
    <row r="479" spans="1:30" ht="12.9">
      <c r="A479" s="24"/>
      <c r="B479" s="24"/>
      <c r="C479" s="24"/>
      <c r="D479" s="24"/>
      <c r="E479" s="24"/>
      <c r="F479" s="143"/>
      <c r="G479" s="143"/>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row>
    <row r="480" spans="1:30" ht="12.9">
      <c r="A480" s="24"/>
      <c r="B480" s="24"/>
      <c r="C480" s="24"/>
      <c r="D480" s="24"/>
      <c r="E480" s="24"/>
      <c r="F480" s="143"/>
      <c r="G480" s="143"/>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row>
    <row r="481" spans="1:30" ht="12.9">
      <c r="A481" s="24"/>
      <c r="B481" s="24"/>
      <c r="C481" s="24"/>
      <c r="D481" s="24"/>
      <c r="E481" s="24"/>
      <c r="F481" s="143"/>
      <c r="G481" s="143"/>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row>
    <row r="482" spans="1:30" ht="12.9">
      <c r="A482" s="24"/>
      <c r="B482" s="24"/>
      <c r="C482" s="24"/>
      <c r="D482" s="24"/>
      <c r="E482" s="24"/>
      <c r="F482" s="143"/>
      <c r="G482" s="143"/>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row>
    <row r="483" spans="1:30" ht="12.9">
      <c r="A483" s="24"/>
      <c r="B483" s="24"/>
      <c r="C483" s="24"/>
      <c r="D483" s="24"/>
      <c r="E483" s="24"/>
      <c r="F483" s="143"/>
      <c r="G483" s="143"/>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row>
    <row r="484" spans="1:30" ht="12.9">
      <c r="A484" s="24"/>
      <c r="B484" s="24"/>
      <c r="C484" s="24"/>
      <c r="D484" s="24"/>
      <c r="E484" s="24"/>
      <c r="F484" s="143"/>
      <c r="G484" s="143"/>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row>
    <row r="485" spans="1:30" ht="12.9">
      <c r="A485" s="24"/>
      <c r="B485" s="24"/>
      <c r="C485" s="24"/>
      <c r="D485" s="24"/>
      <c r="E485" s="24"/>
      <c r="F485" s="143"/>
      <c r="G485" s="143"/>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row>
    <row r="486" spans="1:30" ht="12.9">
      <c r="A486" s="24"/>
      <c r="B486" s="24"/>
      <c r="C486" s="24"/>
      <c r="D486" s="24"/>
      <c r="E486" s="24"/>
      <c r="F486" s="143"/>
      <c r="G486" s="143"/>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row>
    <row r="487" spans="1:30" ht="12.9">
      <c r="A487" s="24"/>
      <c r="B487" s="24"/>
      <c r="C487" s="24"/>
      <c r="D487" s="24"/>
      <c r="E487" s="24"/>
      <c r="F487" s="143"/>
      <c r="G487" s="143"/>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row>
    <row r="488" spans="1:30" ht="12.9">
      <c r="A488" s="24"/>
      <c r="B488" s="24"/>
      <c r="C488" s="24"/>
      <c r="D488" s="24"/>
      <c r="E488" s="24"/>
      <c r="F488" s="143"/>
      <c r="G488" s="143"/>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row>
    <row r="489" spans="1:30" ht="12.9">
      <c r="A489" s="24"/>
      <c r="B489" s="24"/>
      <c r="C489" s="24"/>
      <c r="D489" s="24"/>
      <c r="E489" s="24"/>
      <c r="F489" s="143"/>
      <c r="G489" s="143"/>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row>
    <row r="490" spans="1:30" ht="12.9">
      <c r="A490" s="24"/>
      <c r="B490" s="24"/>
      <c r="C490" s="24"/>
      <c r="D490" s="24"/>
      <c r="E490" s="24"/>
      <c r="F490" s="143"/>
      <c r="G490" s="143"/>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row>
    <row r="491" spans="1:30" ht="12.9">
      <c r="A491" s="24"/>
      <c r="B491" s="24"/>
      <c r="C491" s="24"/>
      <c r="D491" s="24"/>
      <c r="E491" s="24"/>
      <c r="F491" s="143"/>
      <c r="G491" s="143"/>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row>
    <row r="492" spans="1:30" ht="12.9">
      <c r="A492" s="24"/>
      <c r="B492" s="24"/>
      <c r="C492" s="24"/>
      <c r="D492" s="24"/>
      <c r="E492" s="24"/>
      <c r="F492" s="143"/>
      <c r="G492" s="143"/>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row>
    <row r="493" spans="1:30" ht="12.9">
      <c r="A493" s="24"/>
      <c r="B493" s="24"/>
      <c r="C493" s="24"/>
      <c r="D493" s="24"/>
      <c r="E493" s="24"/>
      <c r="F493" s="143"/>
      <c r="G493" s="143"/>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row>
    <row r="494" spans="1:30" ht="12.9">
      <c r="A494" s="24"/>
      <c r="B494" s="24"/>
      <c r="C494" s="24"/>
      <c r="D494" s="24"/>
      <c r="E494" s="24"/>
      <c r="F494" s="143"/>
      <c r="G494" s="143"/>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row>
    <row r="495" spans="1:30" ht="12.9">
      <c r="A495" s="24"/>
      <c r="B495" s="24"/>
      <c r="C495" s="24"/>
      <c r="D495" s="24"/>
      <c r="E495" s="24"/>
      <c r="F495" s="143"/>
      <c r="G495" s="143"/>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row>
    <row r="496" spans="1:30" ht="12.9">
      <c r="A496" s="24"/>
      <c r="B496" s="24"/>
      <c r="C496" s="24"/>
      <c r="D496" s="24"/>
      <c r="E496" s="24"/>
      <c r="F496" s="143"/>
      <c r="G496" s="143"/>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row>
    <row r="497" spans="1:30" ht="12.9">
      <c r="A497" s="24"/>
      <c r="B497" s="24"/>
      <c r="C497" s="24"/>
      <c r="D497" s="24"/>
      <c r="E497" s="24"/>
      <c r="F497" s="143"/>
      <c r="G497" s="143"/>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row>
    <row r="498" spans="1:30" ht="12.9">
      <c r="A498" s="24"/>
      <c r="B498" s="24"/>
      <c r="C498" s="24"/>
      <c r="D498" s="24"/>
      <c r="E498" s="24"/>
      <c r="F498" s="143"/>
      <c r="G498" s="143"/>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row>
    <row r="499" spans="1:30" ht="12.9">
      <c r="A499" s="24"/>
      <c r="B499" s="24"/>
      <c r="C499" s="24"/>
      <c r="D499" s="24"/>
      <c r="E499" s="24"/>
      <c r="F499" s="143"/>
      <c r="G499" s="143"/>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row>
    <row r="500" spans="1:30" ht="12.9">
      <c r="A500" s="24"/>
      <c r="B500" s="24"/>
      <c r="C500" s="24"/>
      <c r="D500" s="24"/>
      <c r="E500" s="24"/>
      <c r="F500" s="143"/>
      <c r="G500" s="143"/>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row>
    <row r="501" spans="1:30" ht="12.9">
      <c r="A501" s="24"/>
      <c r="B501" s="24"/>
      <c r="C501" s="24"/>
      <c r="D501" s="24"/>
      <c r="E501" s="24"/>
      <c r="F501" s="143"/>
      <c r="G501" s="143"/>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row>
    <row r="502" spans="1:30" ht="12.9">
      <c r="A502" s="24"/>
      <c r="B502" s="24"/>
      <c r="C502" s="24"/>
      <c r="D502" s="24"/>
      <c r="E502" s="24"/>
      <c r="F502" s="143"/>
      <c r="G502" s="143"/>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row>
    <row r="503" spans="1:30" ht="12.9">
      <c r="A503" s="24"/>
      <c r="B503" s="24"/>
      <c r="C503" s="24"/>
      <c r="D503" s="24"/>
      <c r="E503" s="24"/>
      <c r="F503" s="143"/>
      <c r="G503" s="143"/>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row>
    <row r="504" spans="1:30" ht="12.9">
      <c r="A504" s="24"/>
      <c r="B504" s="24"/>
      <c r="C504" s="24"/>
      <c r="D504" s="24"/>
      <c r="E504" s="24"/>
      <c r="F504" s="143"/>
      <c r="G504" s="143"/>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row>
    <row r="505" spans="1:30" ht="12.9">
      <c r="A505" s="24"/>
      <c r="B505" s="24"/>
      <c r="C505" s="24"/>
      <c r="D505" s="24"/>
      <c r="E505" s="24"/>
      <c r="F505" s="143"/>
      <c r="G505" s="143"/>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row>
    <row r="506" spans="1:30" ht="12.9">
      <c r="A506" s="24"/>
      <c r="B506" s="24"/>
      <c r="C506" s="24"/>
      <c r="D506" s="24"/>
      <c r="E506" s="24"/>
      <c r="F506" s="143"/>
      <c r="G506" s="143"/>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row>
    <row r="507" spans="1:30" ht="12.9">
      <c r="A507" s="24"/>
      <c r="B507" s="24"/>
      <c r="C507" s="24"/>
      <c r="D507" s="24"/>
      <c r="E507" s="24"/>
      <c r="F507" s="143"/>
      <c r="G507" s="143"/>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row>
    <row r="508" spans="1:30" ht="12.9">
      <c r="A508" s="24"/>
      <c r="B508" s="24"/>
      <c r="C508" s="24"/>
      <c r="D508" s="24"/>
      <c r="E508" s="24"/>
      <c r="F508" s="143"/>
      <c r="G508" s="143"/>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row>
    <row r="509" spans="1:30" ht="12.9">
      <c r="A509" s="24"/>
      <c r="B509" s="24"/>
      <c r="C509" s="24"/>
      <c r="D509" s="24"/>
      <c r="E509" s="24"/>
      <c r="F509" s="143"/>
      <c r="G509" s="143"/>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row>
    <row r="510" spans="1:30" ht="12.9">
      <c r="A510" s="24"/>
      <c r="B510" s="24"/>
      <c r="C510" s="24"/>
      <c r="D510" s="24"/>
      <c r="E510" s="24"/>
      <c r="F510" s="143"/>
      <c r="G510" s="143"/>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row>
    <row r="511" spans="1:30" ht="12.9">
      <c r="A511" s="24"/>
      <c r="B511" s="24"/>
      <c r="C511" s="24"/>
      <c r="D511" s="24"/>
      <c r="E511" s="24"/>
      <c r="F511" s="143"/>
      <c r="G511" s="143"/>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row>
    <row r="512" spans="1:30" ht="12.9">
      <c r="A512" s="24"/>
      <c r="B512" s="24"/>
      <c r="C512" s="24"/>
      <c r="D512" s="24"/>
      <c r="E512" s="24"/>
      <c r="F512" s="143"/>
      <c r="G512" s="143"/>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row>
    <row r="513" spans="1:30" ht="12.9">
      <c r="A513" s="24"/>
      <c r="B513" s="24"/>
      <c r="C513" s="24"/>
      <c r="D513" s="24"/>
      <c r="E513" s="24"/>
      <c r="F513" s="143"/>
      <c r="G513" s="143"/>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row>
    <row r="514" spans="1:30" ht="12.9">
      <c r="A514" s="24"/>
      <c r="B514" s="24"/>
      <c r="C514" s="24"/>
      <c r="D514" s="24"/>
      <c r="E514" s="24"/>
      <c r="F514" s="143"/>
      <c r="G514" s="143"/>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row>
    <row r="515" spans="1:30" ht="12.9">
      <c r="A515" s="24"/>
      <c r="B515" s="24"/>
      <c r="C515" s="24"/>
      <c r="D515" s="24"/>
      <c r="E515" s="24"/>
      <c r="F515" s="143"/>
      <c r="G515" s="143"/>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row>
    <row r="516" spans="1:30" ht="12.9">
      <c r="A516" s="24"/>
      <c r="B516" s="24"/>
      <c r="C516" s="24"/>
      <c r="D516" s="24"/>
      <c r="E516" s="24"/>
      <c r="F516" s="143"/>
      <c r="G516" s="143"/>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row>
    <row r="517" spans="1:30" ht="12.9">
      <c r="A517" s="24"/>
      <c r="B517" s="24"/>
      <c r="C517" s="24"/>
      <c r="D517" s="24"/>
      <c r="E517" s="24"/>
      <c r="F517" s="143"/>
      <c r="G517" s="143"/>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row>
    <row r="518" spans="1:30" ht="12.9">
      <c r="A518" s="24"/>
      <c r="B518" s="24"/>
      <c r="C518" s="24"/>
      <c r="D518" s="24"/>
      <c r="E518" s="24"/>
      <c r="F518" s="143"/>
      <c r="G518" s="143"/>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row>
    <row r="519" spans="1:30" ht="12.9">
      <c r="A519" s="24"/>
      <c r="B519" s="24"/>
      <c r="C519" s="24"/>
      <c r="D519" s="24"/>
      <c r="E519" s="24"/>
      <c r="F519" s="143"/>
      <c r="G519" s="143"/>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row>
    <row r="520" spans="1:30" ht="12.9">
      <c r="A520" s="24"/>
      <c r="B520" s="24"/>
      <c r="C520" s="24"/>
      <c r="D520" s="24"/>
      <c r="E520" s="24"/>
      <c r="F520" s="143"/>
      <c r="G520" s="143"/>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row>
    <row r="521" spans="1:30" ht="12.9">
      <c r="A521" s="24"/>
      <c r="B521" s="24"/>
      <c r="C521" s="24"/>
      <c r="D521" s="24"/>
      <c r="E521" s="24"/>
      <c r="F521" s="143"/>
      <c r="G521" s="143"/>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row>
    <row r="522" spans="1:30" ht="12.9">
      <c r="A522" s="24"/>
      <c r="B522" s="24"/>
      <c r="C522" s="24"/>
      <c r="D522" s="24"/>
      <c r="E522" s="24"/>
      <c r="F522" s="143"/>
      <c r="G522" s="143"/>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row>
    <row r="523" spans="1:30" ht="12.9">
      <c r="A523" s="24"/>
      <c r="B523" s="24"/>
      <c r="C523" s="24"/>
      <c r="D523" s="24"/>
      <c r="E523" s="24"/>
      <c r="F523" s="143"/>
      <c r="G523" s="143"/>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row>
    <row r="524" spans="1:30" ht="12.9">
      <c r="A524" s="24"/>
      <c r="B524" s="24"/>
      <c r="C524" s="24"/>
      <c r="D524" s="24"/>
      <c r="E524" s="24"/>
      <c r="F524" s="143"/>
      <c r="G524" s="143"/>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row>
    <row r="525" spans="1:30" ht="12.9">
      <c r="A525" s="24"/>
      <c r="B525" s="24"/>
      <c r="C525" s="24"/>
      <c r="D525" s="24"/>
      <c r="E525" s="24"/>
      <c r="F525" s="143"/>
      <c r="G525" s="143"/>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row>
    <row r="526" spans="1:30" ht="12.9">
      <c r="A526" s="24"/>
      <c r="B526" s="24"/>
      <c r="C526" s="24"/>
      <c r="D526" s="24"/>
      <c r="E526" s="24"/>
      <c r="F526" s="143"/>
      <c r="G526" s="143"/>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row>
    <row r="527" spans="1:30" ht="12.9">
      <c r="A527" s="24"/>
      <c r="B527" s="24"/>
      <c r="C527" s="24"/>
      <c r="D527" s="24"/>
      <c r="E527" s="24"/>
      <c r="F527" s="143"/>
      <c r="G527" s="143"/>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row>
    <row r="528" spans="1:30" ht="12.9">
      <c r="A528" s="24"/>
      <c r="B528" s="24"/>
      <c r="C528" s="24"/>
      <c r="D528" s="24"/>
      <c r="E528" s="24"/>
      <c r="F528" s="143"/>
      <c r="G528" s="143"/>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row>
    <row r="529" spans="1:30" ht="12.9">
      <c r="A529" s="24"/>
      <c r="B529" s="24"/>
      <c r="C529" s="24"/>
      <c r="D529" s="24"/>
      <c r="E529" s="24"/>
      <c r="F529" s="143"/>
      <c r="G529" s="143"/>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row>
    <row r="530" spans="1:30" ht="12.9">
      <c r="A530" s="24"/>
      <c r="B530" s="24"/>
      <c r="C530" s="24"/>
      <c r="D530" s="24"/>
      <c r="E530" s="24"/>
      <c r="F530" s="143"/>
      <c r="G530" s="143"/>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row>
    <row r="531" spans="1:30" ht="12.9">
      <c r="A531" s="24"/>
      <c r="B531" s="24"/>
      <c r="C531" s="24"/>
      <c r="D531" s="24"/>
      <c r="E531" s="24"/>
      <c r="F531" s="143"/>
      <c r="G531" s="143"/>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row>
    <row r="532" spans="1:30" ht="12.9">
      <c r="A532" s="24"/>
      <c r="B532" s="24"/>
      <c r="C532" s="24"/>
      <c r="D532" s="24"/>
      <c r="E532" s="24"/>
      <c r="F532" s="143"/>
      <c r="G532" s="143"/>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row>
    <row r="533" spans="1:30" ht="12.9">
      <c r="A533" s="24"/>
      <c r="B533" s="24"/>
      <c r="C533" s="24"/>
      <c r="D533" s="24"/>
      <c r="E533" s="24"/>
      <c r="F533" s="143"/>
      <c r="G533" s="143"/>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row>
    <row r="534" spans="1:30" ht="12.9">
      <c r="A534" s="24"/>
      <c r="B534" s="24"/>
      <c r="C534" s="24"/>
      <c r="D534" s="24"/>
      <c r="E534" s="24"/>
      <c r="F534" s="143"/>
      <c r="G534" s="143"/>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row>
    <row r="535" spans="1:30" ht="12.9">
      <c r="A535" s="24"/>
      <c r="B535" s="24"/>
      <c r="C535" s="24"/>
      <c r="D535" s="24"/>
      <c r="E535" s="24"/>
      <c r="F535" s="143"/>
      <c r="G535" s="143"/>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row>
    <row r="536" spans="1:30" ht="12.9">
      <c r="A536" s="24"/>
      <c r="B536" s="24"/>
      <c r="C536" s="24"/>
      <c r="D536" s="24"/>
      <c r="E536" s="24"/>
      <c r="F536" s="143"/>
      <c r="G536" s="143"/>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row>
    <row r="537" spans="1:30" ht="12.9">
      <c r="A537" s="24"/>
      <c r="B537" s="24"/>
      <c r="C537" s="24"/>
      <c r="D537" s="24"/>
      <c r="E537" s="24"/>
      <c r="F537" s="143"/>
      <c r="G537" s="143"/>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row>
    <row r="538" spans="1:30" ht="12.9">
      <c r="A538" s="24"/>
      <c r="B538" s="24"/>
      <c r="C538" s="24"/>
      <c r="D538" s="24"/>
      <c r="E538" s="24"/>
      <c r="F538" s="143"/>
      <c r="G538" s="143"/>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row>
    <row r="539" spans="1:30" ht="12.9">
      <c r="A539" s="24"/>
      <c r="B539" s="24"/>
      <c r="C539" s="24"/>
      <c r="D539" s="24"/>
      <c r="E539" s="24"/>
      <c r="F539" s="143"/>
      <c r="G539" s="143"/>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row>
    <row r="540" spans="1:30" ht="12.9">
      <c r="A540" s="24"/>
      <c r="B540" s="24"/>
      <c r="C540" s="24"/>
      <c r="D540" s="24"/>
      <c r="E540" s="24"/>
      <c r="F540" s="143"/>
      <c r="G540" s="143"/>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row>
    <row r="541" spans="1:30" ht="12.9">
      <c r="A541" s="24"/>
      <c r="B541" s="24"/>
      <c r="C541" s="24"/>
      <c r="D541" s="24"/>
      <c r="E541" s="24"/>
      <c r="F541" s="143"/>
      <c r="G541" s="143"/>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row>
    <row r="542" spans="1:30" ht="12.9">
      <c r="A542" s="24"/>
      <c r="B542" s="24"/>
      <c r="C542" s="24"/>
      <c r="D542" s="24"/>
      <c r="E542" s="24"/>
      <c r="F542" s="143"/>
      <c r="G542" s="143"/>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row>
    <row r="543" spans="1:30" ht="12.9">
      <c r="A543" s="24"/>
      <c r="B543" s="24"/>
      <c r="C543" s="24"/>
      <c r="D543" s="24"/>
      <c r="E543" s="24"/>
      <c r="F543" s="143"/>
      <c r="G543" s="143"/>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row>
    <row r="544" spans="1:30" ht="12.9">
      <c r="A544" s="24"/>
      <c r="B544" s="24"/>
      <c r="C544" s="24"/>
      <c r="D544" s="24"/>
      <c r="E544" s="24"/>
      <c r="F544" s="143"/>
      <c r="G544" s="143"/>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row>
    <row r="545" spans="1:30" ht="12.9">
      <c r="A545" s="24"/>
      <c r="B545" s="24"/>
      <c r="C545" s="24"/>
      <c r="D545" s="24"/>
      <c r="E545" s="24"/>
      <c r="F545" s="143"/>
      <c r="G545" s="143"/>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row>
    <row r="546" spans="1:30" ht="12.9">
      <c r="A546" s="24"/>
      <c r="B546" s="24"/>
      <c r="C546" s="24"/>
      <c r="D546" s="24"/>
      <c r="E546" s="24"/>
      <c r="F546" s="143"/>
      <c r="G546" s="143"/>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row>
    <row r="547" spans="1:30" ht="12.9">
      <c r="A547" s="24"/>
      <c r="B547" s="24"/>
      <c r="C547" s="24"/>
      <c r="D547" s="24"/>
      <c r="E547" s="24"/>
      <c r="F547" s="143"/>
      <c r="G547" s="143"/>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row>
    <row r="548" spans="1:30" ht="12.9">
      <c r="A548" s="24"/>
      <c r="B548" s="24"/>
      <c r="C548" s="24"/>
      <c r="D548" s="24"/>
      <c r="E548" s="24"/>
      <c r="F548" s="143"/>
      <c r="G548" s="143"/>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row>
    <row r="549" spans="1:30" ht="12.9">
      <c r="A549" s="24"/>
      <c r="B549" s="24"/>
      <c r="C549" s="24"/>
      <c r="D549" s="24"/>
      <c r="E549" s="24"/>
      <c r="F549" s="143"/>
      <c r="G549" s="143"/>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row>
    <row r="550" spans="1:30" ht="12.9">
      <c r="A550" s="24"/>
      <c r="B550" s="24"/>
      <c r="C550" s="24"/>
      <c r="D550" s="24"/>
      <c r="E550" s="24"/>
      <c r="F550" s="143"/>
      <c r="G550" s="143"/>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row>
    <row r="551" spans="1:30" ht="12.9">
      <c r="A551" s="24"/>
      <c r="B551" s="24"/>
      <c r="C551" s="24"/>
      <c r="D551" s="24"/>
      <c r="E551" s="24"/>
      <c r="F551" s="143"/>
      <c r="G551" s="143"/>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row>
    <row r="552" spans="1:30" ht="12.9">
      <c r="A552" s="24"/>
      <c r="B552" s="24"/>
      <c r="C552" s="24"/>
      <c r="D552" s="24"/>
      <c r="E552" s="24"/>
      <c r="F552" s="143"/>
      <c r="G552" s="143"/>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row>
    <row r="553" spans="1:30" ht="12.9">
      <c r="A553" s="24"/>
      <c r="B553" s="24"/>
      <c r="C553" s="24"/>
      <c r="D553" s="24"/>
      <c r="E553" s="24"/>
      <c r="F553" s="143"/>
      <c r="G553" s="143"/>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row>
    <row r="554" spans="1:30" ht="12.9">
      <c r="A554" s="24"/>
      <c r="B554" s="24"/>
      <c r="C554" s="24"/>
      <c r="D554" s="24"/>
      <c r="E554" s="24"/>
      <c r="F554" s="143"/>
      <c r="G554" s="143"/>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row>
    <row r="555" spans="1:30" ht="12.9">
      <c r="A555" s="24"/>
      <c r="B555" s="24"/>
      <c r="C555" s="24"/>
      <c r="D555" s="24"/>
      <c r="E555" s="24"/>
      <c r="F555" s="143"/>
      <c r="G555" s="143"/>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row>
    <row r="556" spans="1:30" ht="12.9">
      <c r="A556" s="24"/>
      <c r="B556" s="24"/>
      <c r="C556" s="24"/>
      <c r="D556" s="24"/>
      <c r="E556" s="24"/>
      <c r="F556" s="143"/>
      <c r="G556" s="143"/>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row>
    <row r="557" spans="1:30" ht="12.9">
      <c r="A557" s="24"/>
      <c r="B557" s="24"/>
      <c r="C557" s="24"/>
      <c r="D557" s="24"/>
      <c r="E557" s="24"/>
      <c r="F557" s="143"/>
      <c r="G557" s="143"/>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row>
    <row r="558" spans="1:30" ht="12.9">
      <c r="A558" s="24"/>
      <c r="B558" s="24"/>
      <c r="C558" s="24"/>
      <c r="D558" s="24"/>
      <c r="E558" s="24"/>
      <c r="F558" s="143"/>
      <c r="G558" s="143"/>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row>
    <row r="559" spans="1:30" ht="12.9">
      <c r="A559" s="24"/>
      <c r="B559" s="24"/>
      <c r="C559" s="24"/>
      <c r="D559" s="24"/>
      <c r="E559" s="24"/>
      <c r="F559" s="143"/>
      <c r="G559" s="143"/>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row>
    <row r="560" spans="1:30" ht="12.9">
      <c r="A560" s="24"/>
      <c r="B560" s="24"/>
      <c r="C560" s="24"/>
      <c r="D560" s="24"/>
      <c r="E560" s="24"/>
      <c r="F560" s="143"/>
      <c r="G560" s="143"/>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row>
    <row r="561" spans="1:30" ht="12.9">
      <c r="A561" s="24"/>
      <c r="B561" s="24"/>
      <c r="C561" s="24"/>
      <c r="D561" s="24"/>
      <c r="E561" s="24"/>
      <c r="F561" s="143"/>
      <c r="G561" s="143"/>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row>
    <row r="562" spans="1:30" ht="12.9">
      <c r="A562" s="24"/>
      <c r="B562" s="24"/>
      <c r="C562" s="24"/>
      <c r="D562" s="24"/>
      <c r="E562" s="24"/>
      <c r="F562" s="143"/>
      <c r="G562" s="143"/>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row>
    <row r="563" spans="1:30" ht="12.9">
      <c r="A563" s="24"/>
      <c r="B563" s="24"/>
      <c r="C563" s="24"/>
      <c r="D563" s="24"/>
      <c r="E563" s="24"/>
      <c r="F563" s="143"/>
      <c r="G563" s="143"/>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row>
    <row r="564" spans="1:30" ht="12.9">
      <c r="A564" s="24"/>
      <c r="B564" s="24"/>
      <c r="C564" s="24"/>
      <c r="D564" s="24"/>
      <c r="E564" s="24"/>
      <c r="F564" s="143"/>
      <c r="G564" s="143"/>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row>
    <row r="565" spans="1:30" ht="12.9">
      <c r="A565" s="24"/>
      <c r="B565" s="24"/>
      <c r="C565" s="24"/>
      <c r="D565" s="24"/>
      <c r="E565" s="24"/>
      <c r="F565" s="143"/>
      <c r="G565" s="143"/>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row>
    <row r="566" spans="1:30" ht="12.9">
      <c r="A566" s="24"/>
      <c r="B566" s="24"/>
      <c r="C566" s="24"/>
      <c r="D566" s="24"/>
      <c r="E566" s="24"/>
      <c r="F566" s="143"/>
      <c r="G566" s="143"/>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row>
    <row r="567" spans="1:30" ht="12.9">
      <c r="A567" s="24"/>
      <c r="B567" s="24"/>
      <c r="C567" s="24"/>
      <c r="D567" s="24"/>
      <c r="E567" s="24"/>
      <c r="F567" s="143"/>
      <c r="G567" s="143"/>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row>
    <row r="568" spans="1:30" ht="12.9">
      <c r="A568" s="24"/>
      <c r="B568" s="24"/>
      <c r="C568" s="24"/>
      <c r="D568" s="24"/>
      <c r="E568" s="24"/>
      <c r="F568" s="143"/>
      <c r="G568" s="143"/>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row>
    <row r="569" spans="1:30" ht="12.9">
      <c r="A569" s="24"/>
      <c r="B569" s="24"/>
      <c r="C569" s="24"/>
      <c r="D569" s="24"/>
      <c r="E569" s="24"/>
      <c r="F569" s="143"/>
      <c r="G569" s="143"/>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row>
    <row r="570" spans="1:30" ht="12.9">
      <c r="A570" s="24"/>
      <c r="B570" s="24"/>
      <c r="C570" s="24"/>
      <c r="D570" s="24"/>
      <c r="E570" s="24"/>
      <c r="F570" s="143"/>
      <c r="G570" s="143"/>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row>
    <row r="571" spans="1:30" ht="12.9">
      <c r="A571" s="24"/>
      <c r="B571" s="24"/>
      <c r="C571" s="24"/>
      <c r="D571" s="24"/>
      <c r="E571" s="24"/>
      <c r="F571" s="143"/>
      <c r="G571" s="143"/>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row>
    <row r="572" spans="1:30" ht="12.9">
      <c r="A572" s="24"/>
      <c r="B572" s="24"/>
      <c r="C572" s="24"/>
      <c r="D572" s="24"/>
      <c r="E572" s="24"/>
      <c r="F572" s="143"/>
      <c r="G572" s="143"/>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row>
    <row r="573" spans="1:30" ht="12.9">
      <c r="A573" s="24"/>
      <c r="B573" s="24"/>
      <c r="C573" s="24"/>
      <c r="D573" s="24"/>
      <c r="E573" s="24"/>
      <c r="F573" s="143"/>
      <c r="G573" s="143"/>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row>
    <row r="574" spans="1:30" ht="12.9">
      <c r="A574" s="24"/>
      <c r="B574" s="24"/>
      <c r="C574" s="24"/>
      <c r="D574" s="24"/>
      <c r="E574" s="24"/>
      <c r="F574" s="143"/>
      <c r="G574" s="143"/>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row>
    <row r="575" spans="1:30" ht="12.9">
      <c r="A575" s="24"/>
      <c r="B575" s="24"/>
      <c r="C575" s="24"/>
      <c r="D575" s="24"/>
      <c r="E575" s="24"/>
      <c r="F575" s="143"/>
      <c r="G575" s="143"/>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row>
    <row r="576" spans="1:30" ht="12.9">
      <c r="A576" s="24"/>
      <c r="B576" s="24"/>
      <c r="C576" s="24"/>
      <c r="D576" s="24"/>
      <c r="E576" s="24"/>
      <c r="F576" s="143"/>
      <c r="G576" s="143"/>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row>
    <row r="577" spans="1:30" ht="12.9">
      <c r="A577" s="24"/>
      <c r="B577" s="24"/>
      <c r="C577" s="24"/>
      <c r="D577" s="24"/>
      <c r="E577" s="24"/>
      <c r="F577" s="143"/>
      <c r="G577" s="143"/>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row>
    <row r="578" spans="1:30" ht="12.9">
      <c r="A578" s="24"/>
      <c r="B578" s="24"/>
      <c r="C578" s="24"/>
      <c r="D578" s="24"/>
      <c r="E578" s="24"/>
      <c r="F578" s="143"/>
      <c r="G578" s="143"/>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row>
    <row r="579" spans="1:30" ht="12.9">
      <c r="A579" s="24"/>
      <c r="B579" s="24"/>
      <c r="C579" s="24"/>
      <c r="D579" s="24"/>
      <c r="E579" s="24"/>
      <c r="F579" s="143"/>
      <c r="G579" s="143"/>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row>
    <row r="580" spans="1:30" ht="12.9">
      <c r="A580" s="24"/>
      <c r="B580" s="24"/>
      <c r="C580" s="24"/>
      <c r="D580" s="24"/>
      <c r="E580" s="24"/>
      <c r="F580" s="143"/>
      <c r="G580" s="143"/>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row>
    <row r="581" spans="1:30" ht="12.9">
      <c r="A581" s="24"/>
      <c r="B581" s="24"/>
      <c r="C581" s="24"/>
      <c r="D581" s="24"/>
      <c r="E581" s="24"/>
      <c r="F581" s="143"/>
      <c r="G581" s="143"/>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row>
    <row r="582" spans="1:30" ht="12.9">
      <c r="A582" s="24"/>
      <c r="B582" s="24"/>
      <c r="C582" s="24"/>
      <c r="D582" s="24"/>
      <c r="E582" s="24"/>
      <c r="F582" s="143"/>
      <c r="G582" s="143"/>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row>
    <row r="583" spans="1:30" ht="12.9">
      <c r="A583" s="24"/>
      <c r="B583" s="24"/>
      <c r="C583" s="24"/>
      <c r="D583" s="24"/>
      <c r="E583" s="24"/>
      <c r="F583" s="143"/>
      <c r="G583" s="143"/>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row>
    <row r="584" spans="1:30" ht="12.9">
      <c r="A584" s="24"/>
      <c r="B584" s="24"/>
      <c r="C584" s="24"/>
      <c r="D584" s="24"/>
      <c r="E584" s="24"/>
      <c r="F584" s="143"/>
      <c r="G584" s="143"/>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row>
    <row r="585" spans="1:30" ht="12.9">
      <c r="A585" s="24"/>
      <c r="B585" s="24"/>
      <c r="C585" s="24"/>
      <c r="D585" s="24"/>
      <c r="E585" s="24"/>
      <c r="F585" s="143"/>
      <c r="G585" s="143"/>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row>
    <row r="586" spans="1:30" ht="12.9">
      <c r="A586" s="24"/>
      <c r="B586" s="24"/>
      <c r="C586" s="24"/>
      <c r="D586" s="24"/>
      <c r="E586" s="24"/>
      <c r="F586" s="143"/>
      <c r="G586" s="143"/>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row>
    <row r="587" spans="1:30" ht="12.9">
      <c r="A587" s="24"/>
      <c r="B587" s="24"/>
      <c r="C587" s="24"/>
      <c r="D587" s="24"/>
      <c r="E587" s="24"/>
      <c r="F587" s="143"/>
      <c r="G587" s="143"/>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row>
    <row r="588" spans="1:30" ht="12.9">
      <c r="A588" s="24"/>
      <c r="B588" s="24"/>
      <c r="C588" s="24"/>
      <c r="D588" s="24"/>
      <c r="E588" s="24"/>
      <c r="F588" s="143"/>
      <c r="G588" s="143"/>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row>
    <row r="589" spans="1:30" ht="12.9">
      <c r="A589" s="24"/>
      <c r="B589" s="24"/>
      <c r="C589" s="24"/>
      <c r="D589" s="24"/>
      <c r="E589" s="24"/>
      <c r="F589" s="143"/>
      <c r="G589" s="143"/>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row>
    <row r="590" spans="1:30" ht="12.9">
      <c r="A590" s="24"/>
      <c r="B590" s="24"/>
      <c r="C590" s="24"/>
      <c r="D590" s="24"/>
      <c r="E590" s="24"/>
      <c r="F590" s="143"/>
      <c r="G590" s="143"/>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row>
    <row r="591" spans="1:30" ht="12.9">
      <c r="A591" s="24"/>
      <c r="B591" s="24"/>
      <c r="C591" s="24"/>
      <c r="D591" s="24"/>
      <c r="E591" s="24"/>
      <c r="F591" s="143"/>
      <c r="G591" s="143"/>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row>
    <row r="592" spans="1:30" ht="12.9">
      <c r="A592" s="24"/>
      <c r="B592" s="24"/>
      <c r="C592" s="24"/>
      <c r="D592" s="24"/>
      <c r="E592" s="24"/>
      <c r="F592" s="143"/>
      <c r="G592" s="143"/>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row>
    <row r="593" spans="1:30" ht="12.9">
      <c r="A593" s="24"/>
      <c r="B593" s="24"/>
      <c r="C593" s="24"/>
      <c r="D593" s="24"/>
      <c r="E593" s="24"/>
      <c r="F593" s="143"/>
      <c r="G593" s="143"/>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row>
    <row r="594" spans="1:30" ht="12.9">
      <c r="A594" s="24"/>
      <c r="B594" s="24"/>
      <c r="C594" s="24"/>
      <c r="D594" s="24"/>
      <c r="E594" s="24"/>
      <c r="F594" s="143"/>
      <c r="G594" s="143"/>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row>
    <row r="595" spans="1:30" ht="12.9">
      <c r="A595" s="24"/>
      <c r="B595" s="24"/>
      <c r="C595" s="24"/>
      <c r="D595" s="24"/>
      <c r="E595" s="24"/>
      <c r="F595" s="143"/>
      <c r="G595" s="143"/>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row>
    <row r="596" spans="1:30" ht="12.9">
      <c r="A596" s="24"/>
      <c r="B596" s="24"/>
      <c r="C596" s="24"/>
      <c r="D596" s="24"/>
      <c r="E596" s="24"/>
      <c r="F596" s="143"/>
      <c r="G596" s="143"/>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row>
    <row r="597" spans="1:30" ht="12.9">
      <c r="A597" s="24"/>
      <c r="B597" s="24"/>
      <c r="C597" s="24"/>
      <c r="D597" s="24"/>
      <c r="E597" s="24"/>
      <c r="F597" s="143"/>
      <c r="G597" s="143"/>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row>
    <row r="598" spans="1:30" ht="12.9">
      <c r="A598" s="24"/>
      <c r="B598" s="24"/>
      <c r="C598" s="24"/>
      <c r="D598" s="24"/>
      <c r="E598" s="24"/>
      <c r="F598" s="143"/>
      <c r="G598" s="143"/>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row>
    <row r="599" spans="1:30" ht="12.9">
      <c r="A599" s="24"/>
      <c r="B599" s="24"/>
      <c r="C599" s="24"/>
      <c r="D599" s="24"/>
      <c r="E599" s="24"/>
      <c r="F599" s="143"/>
      <c r="G599" s="143"/>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row>
    <row r="600" spans="1:30" ht="12.9">
      <c r="A600" s="24"/>
      <c r="B600" s="24"/>
      <c r="C600" s="24"/>
      <c r="D600" s="24"/>
      <c r="E600" s="24"/>
      <c r="F600" s="143"/>
      <c r="G600" s="143"/>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row>
    <row r="601" spans="1:30" ht="12.9">
      <c r="A601" s="24"/>
      <c r="B601" s="24"/>
      <c r="C601" s="24"/>
      <c r="D601" s="24"/>
      <c r="E601" s="24"/>
      <c r="F601" s="143"/>
      <c r="G601" s="143"/>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row>
    <row r="602" spans="1:30" ht="12.9">
      <c r="A602" s="24"/>
      <c r="B602" s="24"/>
      <c r="C602" s="24"/>
      <c r="D602" s="24"/>
      <c r="E602" s="24"/>
      <c r="F602" s="143"/>
      <c r="G602" s="143"/>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row>
    <row r="603" spans="1:30" ht="12.9">
      <c r="A603" s="24"/>
      <c r="B603" s="24"/>
      <c r="C603" s="24"/>
      <c r="D603" s="24"/>
      <c r="E603" s="24"/>
      <c r="F603" s="143"/>
      <c r="G603" s="143"/>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row>
    <row r="604" spans="1:30" ht="12.9">
      <c r="A604" s="24"/>
      <c r="B604" s="24"/>
      <c r="C604" s="24"/>
      <c r="D604" s="24"/>
      <c r="E604" s="24"/>
      <c r="F604" s="143"/>
      <c r="G604" s="143"/>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row>
    <row r="605" spans="1:30" ht="12.9">
      <c r="A605" s="24"/>
      <c r="B605" s="24"/>
      <c r="C605" s="24"/>
      <c r="D605" s="24"/>
      <c r="E605" s="24"/>
      <c r="F605" s="143"/>
      <c r="G605" s="143"/>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row>
    <row r="606" spans="1:30" ht="12.9">
      <c r="A606" s="24"/>
      <c r="B606" s="24"/>
      <c r="C606" s="24"/>
      <c r="D606" s="24"/>
      <c r="E606" s="24"/>
      <c r="F606" s="143"/>
      <c r="G606" s="143"/>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row>
    <row r="607" spans="1:30" ht="12.9">
      <c r="A607" s="24"/>
      <c r="B607" s="24"/>
      <c r="C607" s="24"/>
      <c r="D607" s="24"/>
      <c r="E607" s="24"/>
      <c r="F607" s="143"/>
      <c r="G607" s="143"/>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row>
    <row r="608" spans="1:30" ht="12.9">
      <c r="A608" s="24"/>
      <c r="B608" s="24"/>
      <c r="C608" s="24"/>
      <c r="D608" s="24"/>
      <c r="E608" s="24"/>
      <c r="F608" s="143"/>
      <c r="G608" s="143"/>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row>
    <row r="609" spans="1:30" ht="12.9">
      <c r="A609" s="24"/>
      <c r="B609" s="24"/>
      <c r="C609" s="24"/>
      <c r="D609" s="24"/>
      <c r="E609" s="24"/>
      <c r="F609" s="143"/>
      <c r="G609" s="143"/>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row>
    <row r="610" spans="1:30" ht="12.9">
      <c r="A610" s="24"/>
      <c r="B610" s="24"/>
      <c r="C610" s="24"/>
      <c r="D610" s="24"/>
      <c r="E610" s="24"/>
      <c r="F610" s="143"/>
      <c r="G610" s="143"/>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row>
    <row r="611" spans="1:30" ht="12.9">
      <c r="A611" s="24"/>
      <c r="B611" s="24"/>
      <c r="C611" s="24"/>
      <c r="D611" s="24"/>
      <c r="E611" s="24"/>
      <c r="F611" s="143"/>
      <c r="G611" s="143"/>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row>
    <row r="612" spans="1:30" ht="12.9">
      <c r="A612" s="24"/>
      <c r="B612" s="24"/>
      <c r="C612" s="24"/>
      <c r="D612" s="24"/>
      <c r="E612" s="24"/>
      <c r="F612" s="143"/>
      <c r="G612" s="143"/>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row>
    <row r="613" spans="1:30" ht="12.9">
      <c r="A613" s="24"/>
      <c r="B613" s="24"/>
      <c r="C613" s="24"/>
      <c r="D613" s="24"/>
      <c r="E613" s="24"/>
      <c r="F613" s="143"/>
      <c r="G613" s="143"/>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row>
    <row r="614" spans="1:30" ht="12.9">
      <c r="A614" s="24"/>
      <c r="B614" s="24"/>
      <c r="C614" s="24"/>
      <c r="D614" s="24"/>
      <c r="E614" s="24"/>
      <c r="F614" s="143"/>
      <c r="G614" s="143"/>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row>
    <row r="615" spans="1:30" ht="12.9">
      <c r="A615" s="24"/>
      <c r="B615" s="24"/>
      <c r="C615" s="24"/>
      <c r="D615" s="24"/>
      <c r="E615" s="24"/>
      <c r="F615" s="143"/>
      <c r="G615" s="143"/>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row>
    <row r="616" spans="1:30" ht="12.9">
      <c r="A616" s="24"/>
      <c r="B616" s="24"/>
      <c r="C616" s="24"/>
      <c r="D616" s="24"/>
      <c r="E616" s="24"/>
      <c r="F616" s="143"/>
      <c r="G616" s="143"/>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row>
    <row r="617" spans="1:30" ht="12.9">
      <c r="A617" s="24"/>
      <c r="B617" s="24"/>
      <c r="C617" s="24"/>
      <c r="D617" s="24"/>
      <c r="E617" s="24"/>
      <c r="F617" s="143"/>
      <c r="G617" s="143"/>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row>
    <row r="618" spans="1:30" ht="12.9">
      <c r="A618" s="24"/>
      <c r="B618" s="24"/>
      <c r="C618" s="24"/>
      <c r="D618" s="24"/>
      <c r="E618" s="24"/>
      <c r="F618" s="143"/>
      <c r="G618" s="143"/>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row>
    <row r="619" spans="1:30" ht="12.9">
      <c r="A619" s="24"/>
      <c r="B619" s="24"/>
      <c r="C619" s="24"/>
      <c r="D619" s="24"/>
      <c r="E619" s="24"/>
      <c r="F619" s="143"/>
      <c r="G619" s="143"/>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row>
    <row r="620" spans="1:30" ht="12.9">
      <c r="A620" s="24"/>
      <c r="B620" s="24"/>
      <c r="C620" s="24"/>
      <c r="D620" s="24"/>
      <c r="E620" s="24"/>
      <c r="F620" s="143"/>
      <c r="G620" s="143"/>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row>
    <row r="621" spans="1:30" ht="12.9">
      <c r="A621" s="24"/>
      <c r="B621" s="24"/>
      <c r="C621" s="24"/>
      <c r="D621" s="24"/>
      <c r="E621" s="24"/>
      <c r="F621" s="143"/>
      <c r="G621" s="143"/>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row>
    <row r="622" spans="1:30" ht="12.9">
      <c r="A622" s="24"/>
      <c r="B622" s="24"/>
      <c r="C622" s="24"/>
      <c r="D622" s="24"/>
      <c r="E622" s="24"/>
      <c r="F622" s="143"/>
      <c r="G622" s="143"/>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row>
    <row r="623" spans="1:30" ht="12.9">
      <c r="A623" s="24"/>
      <c r="B623" s="24"/>
      <c r="C623" s="24"/>
      <c r="D623" s="24"/>
      <c r="E623" s="24"/>
      <c r="F623" s="143"/>
      <c r="G623" s="143"/>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row>
    <row r="624" spans="1:30" ht="12.9">
      <c r="A624" s="24"/>
      <c r="B624" s="24"/>
      <c r="C624" s="24"/>
      <c r="D624" s="24"/>
      <c r="E624" s="24"/>
      <c r="F624" s="143"/>
      <c r="G624" s="143"/>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row>
    <row r="625" spans="1:30" ht="12.9">
      <c r="A625" s="24"/>
      <c r="B625" s="24"/>
      <c r="C625" s="24"/>
      <c r="D625" s="24"/>
      <c r="E625" s="24"/>
      <c r="F625" s="143"/>
      <c r="G625" s="143"/>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row>
    <row r="626" spans="1:30" ht="12.9">
      <c r="A626" s="24"/>
      <c r="B626" s="24"/>
      <c r="C626" s="24"/>
      <c r="D626" s="24"/>
      <c r="E626" s="24"/>
      <c r="F626" s="143"/>
      <c r="G626" s="143"/>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row>
    <row r="627" spans="1:30" ht="12.9">
      <c r="A627" s="24"/>
      <c r="B627" s="24"/>
      <c r="C627" s="24"/>
      <c r="D627" s="24"/>
      <c r="E627" s="24"/>
      <c r="F627" s="143"/>
      <c r="G627" s="143"/>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row>
    <row r="628" spans="1:30" ht="12.9">
      <c r="A628" s="24"/>
      <c r="B628" s="24"/>
      <c r="C628" s="24"/>
      <c r="D628" s="24"/>
      <c r="E628" s="24"/>
      <c r="F628" s="143"/>
      <c r="G628" s="143"/>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row>
    <row r="629" spans="1:30" ht="12.9">
      <c r="A629" s="24"/>
      <c r="B629" s="24"/>
      <c r="C629" s="24"/>
      <c r="D629" s="24"/>
      <c r="E629" s="24"/>
      <c r="F629" s="143"/>
      <c r="G629" s="143"/>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row>
    <row r="630" spans="1:30" ht="12.9">
      <c r="A630" s="24"/>
      <c r="B630" s="24"/>
      <c r="C630" s="24"/>
      <c r="D630" s="24"/>
      <c r="E630" s="24"/>
      <c r="F630" s="143"/>
      <c r="G630" s="143"/>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row>
    <row r="631" spans="1:30" ht="12.9">
      <c r="A631" s="24"/>
      <c r="B631" s="24"/>
      <c r="C631" s="24"/>
      <c r="D631" s="24"/>
      <c r="E631" s="24"/>
      <c r="F631" s="143"/>
      <c r="G631" s="143"/>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row>
    <row r="632" spans="1:30" ht="12.9">
      <c r="A632" s="24"/>
      <c r="B632" s="24"/>
      <c r="C632" s="24"/>
      <c r="D632" s="24"/>
      <c r="E632" s="24"/>
      <c r="F632" s="143"/>
      <c r="G632" s="143"/>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row>
    <row r="633" spans="1:30" ht="12.9">
      <c r="A633" s="24"/>
      <c r="B633" s="24"/>
      <c r="C633" s="24"/>
      <c r="D633" s="24"/>
      <c r="E633" s="24"/>
      <c r="F633" s="143"/>
      <c r="G633" s="143"/>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row>
    <row r="634" spans="1:30" ht="12.9">
      <c r="A634" s="24"/>
      <c r="B634" s="24"/>
      <c r="C634" s="24"/>
      <c r="D634" s="24"/>
      <c r="E634" s="24"/>
      <c r="F634" s="143"/>
      <c r="G634" s="143"/>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row>
    <row r="635" spans="1:30" ht="12.9">
      <c r="A635" s="24"/>
      <c r="B635" s="24"/>
      <c r="C635" s="24"/>
      <c r="D635" s="24"/>
      <c r="E635" s="24"/>
      <c r="F635" s="143"/>
      <c r="G635" s="143"/>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row>
    <row r="636" spans="1:30" ht="12.9">
      <c r="A636" s="24"/>
      <c r="B636" s="24"/>
      <c r="C636" s="24"/>
      <c r="D636" s="24"/>
      <c r="E636" s="24"/>
      <c r="F636" s="143"/>
      <c r="G636" s="143"/>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row>
    <row r="637" spans="1:30" ht="12.9">
      <c r="A637" s="24"/>
      <c r="B637" s="24"/>
      <c r="C637" s="24"/>
      <c r="D637" s="24"/>
      <c r="E637" s="24"/>
      <c r="F637" s="143"/>
      <c r="G637" s="143"/>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row>
    <row r="638" spans="1:30" ht="12.9">
      <c r="A638" s="24"/>
      <c r="B638" s="24"/>
      <c r="C638" s="24"/>
      <c r="D638" s="24"/>
      <c r="E638" s="24"/>
      <c r="F638" s="143"/>
      <c r="G638" s="143"/>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row>
    <row r="639" spans="1:30" ht="12.9">
      <c r="A639" s="24"/>
      <c r="B639" s="24"/>
      <c r="C639" s="24"/>
      <c r="D639" s="24"/>
      <c r="E639" s="24"/>
      <c r="F639" s="143"/>
      <c r="G639" s="143"/>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row>
    <row r="640" spans="1:30" ht="12.9">
      <c r="A640" s="24"/>
      <c r="B640" s="24"/>
      <c r="C640" s="24"/>
      <c r="D640" s="24"/>
      <c r="E640" s="24"/>
      <c r="F640" s="143"/>
      <c r="G640" s="143"/>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row>
    <row r="641" spans="1:30" ht="12.9">
      <c r="A641" s="24"/>
      <c r="B641" s="24"/>
      <c r="C641" s="24"/>
      <c r="D641" s="24"/>
      <c r="E641" s="24"/>
      <c r="F641" s="143"/>
      <c r="G641" s="143"/>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row>
    <row r="642" spans="1:30" ht="12.9">
      <c r="A642" s="24"/>
      <c r="B642" s="24"/>
      <c r="C642" s="24"/>
      <c r="D642" s="24"/>
      <c r="E642" s="24"/>
      <c r="F642" s="143"/>
      <c r="G642" s="143"/>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row>
    <row r="643" spans="1:30" ht="12.9">
      <c r="A643" s="24"/>
      <c r="B643" s="24"/>
      <c r="C643" s="24"/>
      <c r="D643" s="24"/>
      <c r="E643" s="24"/>
      <c r="F643" s="143"/>
      <c r="G643" s="143"/>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row>
    <row r="644" spans="1:30" ht="12.9">
      <c r="A644" s="24"/>
      <c r="B644" s="24"/>
      <c r="C644" s="24"/>
      <c r="D644" s="24"/>
      <c r="E644" s="24"/>
      <c r="F644" s="143"/>
      <c r="G644" s="143"/>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row>
    <row r="645" spans="1:30" ht="12.9">
      <c r="A645" s="24"/>
      <c r="B645" s="24"/>
      <c r="C645" s="24"/>
      <c r="D645" s="24"/>
      <c r="E645" s="24"/>
      <c r="F645" s="143"/>
      <c r="G645" s="143"/>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row>
    <row r="646" spans="1:30" ht="12.9">
      <c r="A646" s="24"/>
      <c r="B646" s="24"/>
      <c r="C646" s="24"/>
      <c r="D646" s="24"/>
      <c r="E646" s="24"/>
      <c r="F646" s="143"/>
      <c r="G646" s="143"/>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row>
    <row r="647" spans="1:30" ht="12.9">
      <c r="A647" s="24"/>
      <c r="B647" s="24"/>
      <c r="C647" s="24"/>
      <c r="D647" s="24"/>
      <c r="E647" s="24"/>
      <c r="F647" s="143"/>
      <c r="G647" s="143"/>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row>
    <row r="648" spans="1:30" ht="12.9">
      <c r="A648" s="24"/>
      <c r="B648" s="24"/>
      <c r="C648" s="24"/>
      <c r="D648" s="24"/>
      <c r="E648" s="24"/>
      <c r="F648" s="143"/>
      <c r="G648" s="143"/>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row>
    <row r="649" spans="1:30" ht="12.9">
      <c r="A649" s="24"/>
      <c r="B649" s="24"/>
      <c r="C649" s="24"/>
      <c r="D649" s="24"/>
      <c r="E649" s="24"/>
      <c r="F649" s="143"/>
      <c r="G649" s="143"/>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row>
    <row r="650" spans="1:30" ht="12.9">
      <c r="A650" s="24"/>
      <c r="B650" s="24"/>
      <c r="C650" s="24"/>
      <c r="D650" s="24"/>
      <c r="E650" s="24"/>
      <c r="F650" s="143"/>
      <c r="G650" s="143"/>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row>
    <row r="651" spans="1:30" ht="12.9">
      <c r="A651" s="24"/>
      <c r="B651" s="24"/>
      <c r="C651" s="24"/>
      <c r="D651" s="24"/>
      <c r="E651" s="24"/>
      <c r="F651" s="143"/>
      <c r="G651" s="143"/>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row>
    <row r="652" spans="1:30" ht="12.9">
      <c r="A652" s="24"/>
      <c r="B652" s="24"/>
      <c r="C652" s="24"/>
      <c r="D652" s="24"/>
      <c r="E652" s="24"/>
      <c r="F652" s="143"/>
      <c r="G652" s="143"/>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row>
    <row r="653" spans="1:30" ht="12.9">
      <c r="A653" s="24"/>
      <c r="B653" s="24"/>
      <c r="C653" s="24"/>
      <c r="D653" s="24"/>
      <c r="E653" s="24"/>
      <c r="F653" s="143"/>
      <c r="G653" s="143"/>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row>
    <row r="654" spans="1:30" ht="12.9">
      <c r="A654" s="24"/>
      <c r="B654" s="24"/>
      <c r="C654" s="24"/>
      <c r="D654" s="24"/>
      <c r="E654" s="24"/>
      <c r="F654" s="143"/>
      <c r="G654" s="143"/>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row>
    <row r="655" spans="1:30" ht="12.9">
      <c r="A655" s="24"/>
      <c r="B655" s="24"/>
      <c r="C655" s="24"/>
      <c r="D655" s="24"/>
      <c r="E655" s="24"/>
      <c r="F655" s="143"/>
      <c r="G655" s="143"/>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row>
    <row r="656" spans="1:30" ht="12.9">
      <c r="A656" s="24"/>
      <c r="B656" s="24"/>
      <c r="C656" s="24"/>
      <c r="D656" s="24"/>
      <c r="E656" s="24"/>
      <c r="F656" s="143"/>
      <c r="G656" s="143"/>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row>
    <row r="657" spans="1:30" ht="12.9">
      <c r="A657" s="24"/>
      <c r="B657" s="24"/>
      <c r="C657" s="24"/>
      <c r="D657" s="24"/>
      <c r="E657" s="24"/>
      <c r="F657" s="143"/>
      <c r="G657" s="143"/>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row>
    <row r="658" spans="1:30" ht="12.9">
      <c r="A658" s="24"/>
      <c r="B658" s="24"/>
      <c r="C658" s="24"/>
      <c r="D658" s="24"/>
      <c r="E658" s="24"/>
      <c r="F658" s="143"/>
      <c r="G658" s="143"/>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row>
    <row r="659" spans="1:30" ht="12.9">
      <c r="A659" s="24"/>
      <c r="B659" s="24"/>
      <c r="C659" s="24"/>
      <c r="D659" s="24"/>
      <c r="E659" s="24"/>
      <c r="F659" s="143"/>
      <c r="G659" s="143"/>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row>
    <row r="660" spans="1:30" ht="12.9">
      <c r="A660" s="24"/>
      <c r="B660" s="24"/>
      <c r="C660" s="24"/>
      <c r="D660" s="24"/>
      <c r="E660" s="24"/>
      <c r="F660" s="143"/>
      <c r="G660" s="143"/>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row>
    <row r="661" spans="1:30" ht="12.9">
      <c r="A661" s="24"/>
      <c r="B661" s="24"/>
      <c r="C661" s="24"/>
      <c r="D661" s="24"/>
      <c r="E661" s="24"/>
      <c r="F661" s="143"/>
      <c r="G661" s="143"/>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row>
    <row r="662" spans="1:30" ht="12.9">
      <c r="A662" s="24"/>
      <c r="B662" s="24"/>
      <c r="C662" s="24"/>
      <c r="D662" s="24"/>
      <c r="E662" s="24"/>
      <c r="F662" s="143"/>
      <c r="G662" s="143"/>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row>
    <row r="663" spans="1:30" ht="12.9">
      <c r="A663" s="24"/>
      <c r="B663" s="24"/>
      <c r="C663" s="24"/>
      <c r="D663" s="24"/>
      <c r="E663" s="24"/>
      <c r="F663" s="143"/>
      <c r="G663" s="143"/>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row>
    <row r="664" spans="1:30" ht="12.9">
      <c r="A664" s="24"/>
      <c r="B664" s="24"/>
      <c r="C664" s="24"/>
      <c r="D664" s="24"/>
      <c r="E664" s="24"/>
      <c r="F664" s="143"/>
      <c r="G664" s="143"/>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row>
    <row r="665" spans="1:30" ht="12.9">
      <c r="A665" s="24"/>
      <c r="B665" s="24"/>
      <c r="C665" s="24"/>
      <c r="D665" s="24"/>
      <c r="E665" s="24"/>
      <c r="F665" s="143"/>
      <c r="G665" s="143"/>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row>
    <row r="666" spans="1:30" ht="12.9">
      <c r="A666" s="24"/>
      <c r="B666" s="24"/>
      <c r="C666" s="24"/>
      <c r="D666" s="24"/>
      <c r="E666" s="24"/>
      <c r="F666" s="143"/>
      <c r="G666" s="143"/>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row>
    <row r="667" spans="1:30" ht="12.9">
      <c r="A667" s="24"/>
      <c r="B667" s="24"/>
      <c r="C667" s="24"/>
      <c r="D667" s="24"/>
      <c r="E667" s="24"/>
      <c r="F667" s="143"/>
      <c r="G667" s="143"/>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row>
    <row r="668" spans="1:30" ht="12.9">
      <c r="A668" s="24"/>
      <c r="B668" s="24"/>
      <c r="C668" s="24"/>
      <c r="D668" s="24"/>
      <c r="E668" s="24"/>
      <c r="F668" s="143"/>
      <c r="G668" s="143"/>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row>
    <row r="669" spans="1:30" ht="12.9">
      <c r="A669" s="24"/>
      <c r="B669" s="24"/>
      <c r="C669" s="24"/>
      <c r="D669" s="24"/>
      <c r="E669" s="24"/>
      <c r="F669" s="143"/>
      <c r="G669" s="143"/>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row>
    <row r="670" spans="1:30" ht="12.9">
      <c r="A670" s="24"/>
      <c r="B670" s="24"/>
      <c r="C670" s="24"/>
      <c r="D670" s="24"/>
      <c r="E670" s="24"/>
      <c r="F670" s="143"/>
      <c r="G670" s="143"/>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row>
    <row r="671" spans="1:30" ht="12.9">
      <c r="A671" s="24"/>
      <c r="B671" s="24"/>
      <c r="C671" s="24"/>
      <c r="D671" s="24"/>
      <c r="E671" s="24"/>
      <c r="F671" s="143"/>
      <c r="G671" s="143"/>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row>
    <row r="672" spans="1:30" ht="12.9">
      <c r="A672" s="24"/>
      <c r="B672" s="24"/>
      <c r="C672" s="24"/>
      <c r="D672" s="24"/>
      <c r="E672" s="24"/>
      <c r="F672" s="143"/>
      <c r="G672" s="143"/>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row>
    <row r="673" spans="1:30" ht="12.9">
      <c r="A673" s="24"/>
      <c r="B673" s="24"/>
      <c r="C673" s="24"/>
      <c r="D673" s="24"/>
      <c r="E673" s="24"/>
      <c r="F673" s="143"/>
      <c r="G673" s="143"/>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row>
    <row r="674" spans="1:30" ht="12.9">
      <c r="A674" s="24"/>
      <c r="B674" s="24"/>
      <c r="C674" s="24"/>
      <c r="D674" s="24"/>
      <c r="E674" s="24"/>
      <c r="F674" s="143"/>
      <c r="G674" s="143"/>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row>
    <row r="675" spans="1:30" ht="12.9">
      <c r="A675" s="24"/>
      <c r="B675" s="24"/>
      <c r="C675" s="24"/>
      <c r="D675" s="24"/>
      <c r="E675" s="24"/>
      <c r="F675" s="143"/>
      <c r="G675" s="143"/>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row>
    <row r="676" spans="1:30" ht="12.9">
      <c r="A676" s="24"/>
      <c r="B676" s="24"/>
      <c r="C676" s="24"/>
      <c r="D676" s="24"/>
      <c r="E676" s="24"/>
      <c r="F676" s="143"/>
      <c r="G676" s="143"/>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row>
    <row r="677" spans="1:30" ht="12.9">
      <c r="A677" s="24"/>
      <c r="B677" s="24"/>
      <c r="C677" s="24"/>
      <c r="D677" s="24"/>
      <c r="E677" s="24"/>
      <c r="F677" s="143"/>
      <c r="G677" s="143"/>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row>
    <row r="678" spans="1:30" ht="12.9">
      <c r="A678" s="24"/>
      <c r="B678" s="24"/>
      <c r="C678" s="24"/>
      <c r="D678" s="24"/>
      <c r="E678" s="24"/>
      <c r="F678" s="143"/>
      <c r="G678" s="143"/>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row>
    <row r="679" spans="1:30" ht="12.9">
      <c r="A679" s="24"/>
      <c r="B679" s="24"/>
      <c r="C679" s="24"/>
      <c r="D679" s="24"/>
      <c r="E679" s="24"/>
      <c r="F679" s="143"/>
      <c r="G679" s="143"/>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row>
    <row r="680" spans="1:30" ht="12.9">
      <c r="A680" s="24"/>
      <c r="B680" s="24"/>
      <c r="C680" s="24"/>
      <c r="D680" s="24"/>
      <c r="E680" s="24"/>
      <c r="F680" s="143"/>
      <c r="G680" s="143"/>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row>
    <row r="681" spans="1:30" ht="12.9">
      <c r="A681" s="24"/>
      <c r="B681" s="24"/>
      <c r="C681" s="24"/>
      <c r="D681" s="24"/>
      <c r="E681" s="24"/>
      <c r="F681" s="143"/>
      <c r="G681" s="143"/>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row>
    <row r="682" spans="1:30" ht="12.9">
      <c r="A682" s="24"/>
      <c r="B682" s="24"/>
      <c r="C682" s="24"/>
      <c r="D682" s="24"/>
      <c r="E682" s="24"/>
      <c r="F682" s="143"/>
      <c r="G682" s="143"/>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row>
    <row r="683" spans="1:30" ht="12.9">
      <c r="A683" s="24"/>
      <c r="B683" s="24"/>
      <c r="C683" s="24"/>
      <c r="D683" s="24"/>
      <c r="E683" s="24"/>
      <c r="F683" s="143"/>
      <c r="G683" s="143"/>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row>
    <row r="684" spans="1:30" ht="12.9">
      <c r="A684" s="24"/>
      <c r="B684" s="24"/>
      <c r="C684" s="24"/>
      <c r="D684" s="24"/>
      <c r="E684" s="24"/>
      <c r="F684" s="143"/>
      <c r="G684" s="143"/>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row>
    <row r="685" spans="1:30" ht="12.9">
      <c r="A685" s="24"/>
      <c r="B685" s="24"/>
      <c r="C685" s="24"/>
      <c r="D685" s="24"/>
      <c r="E685" s="24"/>
      <c r="F685" s="143"/>
      <c r="G685" s="143"/>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row>
    <row r="686" spans="1:30" ht="12.9">
      <c r="A686" s="24"/>
      <c r="B686" s="24"/>
      <c r="C686" s="24"/>
      <c r="D686" s="24"/>
      <c r="E686" s="24"/>
      <c r="F686" s="143"/>
      <c r="G686" s="143"/>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row>
    <row r="687" spans="1:30" ht="12.9">
      <c r="A687" s="24"/>
      <c r="B687" s="24"/>
      <c r="C687" s="24"/>
      <c r="D687" s="24"/>
      <c r="E687" s="24"/>
      <c r="F687" s="143"/>
      <c r="G687" s="143"/>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row>
    <row r="688" spans="1:30" ht="12.9">
      <c r="A688" s="24"/>
      <c r="B688" s="24"/>
      <c r="C688" s="24"/>
      <c r="D688" s="24"/>
      <c r="E688" s="24"/>
      <c r="F688" s="143"/>
      <c r="G688" s="143"/>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row>
    <row r="689" spans="1:30" ht="12.9">
      <c r="A689" s="24"/>
      <c r="B689" s="24"/>
      <c r="C689" s="24"/>
      <c r="D689" s="24"/>
      <c r="E689" s="24"/>
      <c r="F689" s="143"/>
      <c r="G689" s="143"/>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row>
    <row r="690" spans="1:30" ht="12.9">
      <c r="A690" s="24"/>
      <c r="B690" s="24"/>
      <c r="C690" s="24"/>
      <c r="D690" s="24"/>
      <c r="E690" s="24"/>
      <c r="F690" s="143"/>
      <c r="G690" s="143"/>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row>
    <row r="691" spans="1:30" ht="12.9">
      <c r="A691" s="24"/>
      <c r="B691" s="24"/>
      <c r="C691" s="24"/>
      <c r="D691" s="24"/>
      <c r="E691" s="24"/>
      <c r="F691" s="143"/>
      <c r="G691" s="143"/>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row>
    <row r="692" spans="1:30" ht="12.9">
      <c r="A692" s="24"/>
      <c r="B692" s="24"/>
      <c r="C692" s="24"/>
      <c r="D692" s="24"/>
      <c r="E692" s="24"/>
      <c r="F692" s="143"/>
      <c r="G692" s="143"/>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row>
    <row r="693" spans="1:30" ht="12.9">
      <c r="A693" s="24"/>
      <c r="B693" s="24"/>
      <c r="C693" s="24"/>
      <c r="D693" s="24"/>
      <c r="E693" s="24"/>
      <c r="F693" s="143"/>
      <c r="G693" s="143"/>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row>
    <row r="694" spans="1:30" ht="12.9">
      <c r="A694" s="24"/>
      <c r="B694" s="24"/>
      <c r="C694" s="24"/>
      <c r="D694" s="24"/>
      <c r="E694" s="24"/>
      <c r="F694" s="143"/>
      <c r="G694" s="143"/>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row>
    <row r="695" spans="1:30" ht="12.9">
      <c r="A695" s="24"/>
      <c r="B695" s="24"/>
      <c r="C695" s="24"/>
      <c r="D695" s="24"/>
      <c r="E695" s="24"/>
      <c r="F695" s="143"/>
      <c r="G695" s="143"/>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row>
    <row r="696" spans="1:30" ht="12.9">
      <c r="A696" s="24"/>
      <c r="B696" s="24"/>
      <c r="C696" s="24"/>
      <c r="D696" s="24"/>
      <c r="E696" s="24"/>
      <c r="F696" s="143"/>
      <c r="G696" s="143"/>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row>
    <row r="697" spans="1:30" ht="12.9">
      <c r="A697" s="24"/>
      <c r="B697" s="24"/>
      <c r="C697" s="24"/>
      <c r="D697" s="24"/>
      <c r="E697" s="24"/>
      <c r="F697" s="143"/>
      <c r="G697" s="143"/>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row>
    <row r="698" spans="1:30" ht="12.9">
      <c r="A698" s="24"/>
      <c r="B698" s="24"/>
      <c r="C698" s="24"/>
      <c r="D698" s="24"/>
      <c r="E698" s="24"/>
      <c r="F698" s="143"/>
      <c r="G698" s="143"/>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row>
    <row r="699" spans="1:30" ht="12.9">
      <c r="A699" s="24"/>
      <c r="B699" s="24"/>
      <c r="C699" s="24"/>
      <c r="D699" s="24"/>
      <c r="E699" s="24"/>
      <c r="F699" s="143"/>
      <c r="G699" s="143"/>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row>
    <row r="700" spans="1:30" ht="12.9">
      <c r="A700" s="24"/>
      <c r="B700" s="24"/>
      <c r="C700" s="24"/>
      <c r="D700" s="24"/>
      <c r="E700" s="24"/>
      <c r="F700" s="143"/>
      <c r="G700" s="143"/>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row>
    <row r="701" spans="1:30" ht="12.9">
      <c r="A701" s="24"/>
      <c r="B701" s="24"/>
      <c r="C701" s="24"/>
      <c r="D701" s="24"/>
      <c r="E701" s="24"/>
      <c r="F701" s="143"/>
      <c r="G701" s="143"/>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row>
    <row r="702" spans="1:30" ht="12.9">
      <c r="A702" s="24"/>
      <c r="B702" s="24"/>
      <c r="C702" s="24"/>
      <c r="D702" s="24"/>
      <c r="E702" s="24"/>
      <c r="F702" s="143"/>
      <c r="G702" s="143"/>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row>
    <row r="703" spans="1:30" ht="12.9">
      <c r="A703" s="24"/>
      <c r="B703" s="24"/>
      <c r="C703" s="24"/>
      <c r="D703" s="24"/>
      <c r="E703" s="24"/>
      <c r="F703" s="143"/>
      <c r="G703" s="143"/>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row>
    <row r="704" spans="1:30" ht="12.9">
      <c r="A704" s="24"/>
      <c r="B704" s="24"/>
      <c r="C704" s="24"/>
      <c r="D704" s="24"/>
      <c r="E704" s="24"/>
      <c r="F704" s="143"/>
      <c r="G704" s="143"/>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row>
    <row r="705" spans="1:30" ht="12.9">
      <c r="A705" s="24"/>
      <c r="B705" s="24"/>
      <c r="C705" s="24"/>
      <c r="D705" s="24"/>
      <c r="E705" s="24"/>
      <c r="F705" s="143"/>
      <c r="G705" s="143"/>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row>
    <row r="706" spans="1:30" ht="12.9">
      <c r="A706" s="24"/>
      <c r="B706" s="24"/>
      <c r="C706" s="24"/>
      <c r="D706" s="24"/>
      <c r="E706" s="24"/>
      <c r="F706" s="143"/>
      <c r="G706" s="143"/>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row>
    <row r="707" spans="1:30" ht="12.9">
      <c r="A707" s="24"/>
      <c r="B707" s="24"/>
      <c r="C707" s="24"/>
      <c r="D707" s="24"/>
      <c r="E707" s="24"/>
      <c r="F707" s="143"/>
      <c r="G707" s="143"/>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row>
    <row r="708" spans="1:30" ht="12.9">
      <c r="A708" s="24"/>
      <c r="B708" s="24"/>
      <c r="C708" s="24"/>
      <c r="D708" s="24"/>
      <c r="E708" s="24"/>
      <c r="F708" s="143"/>
      <c r="G708" s="143"/>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row>
    <row r="709" spans="1:30" ht="12.9">
      <c r="A709" s="24"/>
      <c r="B709" s="24"/>
      <c r="C709" s="24"/>
      <c r="D709" s="24"/>
      <c r="E709" s="24"/>
      <c r="F709" s="143"/>
      <c r="G709" s="143"/>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row>
    <row r="710" spans="1:30" ht="12.9">
      <c r="A710" s="24"/>
      <c r="B710" s="24"/>
      <c r="C710" s="24"/>
      <c r="D710" s="24"/>
      <c r="E710" s="24"/>
      <c r="F710" s="143"/>
      <c r="G710" s="143"/>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row>
    <row r="711" spans="1:30" ht="12.9">
      <c r="A711" s="24"/>
      <c r="B711" s="24"/>
      <c r="C711" s="24"/>
      <c r="D711" s="24"/>
      <c r="E711" s="24"/>
      <c r="F711" s="143"/>
      <c r="G711" s="143"/>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row>
    <row r="712" spans="1:30" ht="12.9">
      <c r="A712" s="24"/>
      <c r="B712" s="24"/>
      <c r="C712" s="24"/>
      <c r="D712" s="24"/>
      <c r="E712" s="24"/>
      <c r="F712" s="143"/>
      <c r="G712" s="143"/>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row>
    <row r="713" spans="1:30" ht="12.9">
      <c r="A713" s="24"/>
      <c r="B713" s="24"/>
      <c r="C713" s="24"/>
      <c r="D713" s="24"/>
      <c r="E713" s="24"/>
      <c r="F713" s="143"/>
      <c r="G713" s="143"/>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row>
    <row r="714" spans="1:30" ht="12.9">
      <c r="A714" s="24"/>
      <c r="B714" s="24"/>
      <c r="C714" s="24"/>
      <c r="D714" s="24"/>
      <c r="E714" s="24"/>
      <c r="F714" s="143"/>
      <c r="G714" s="143"/>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row>
    <row r="715" spans="1:30" ht="12.9">
      <c r="A715" s="24"/>
      <c r="B715" s="24"/>
      <c r="C715" s="24"/>
      <c r="D715" s="24"/>
      <c r="E715" s="24"/>
      <c r="F715" s="143"/>
      <c r="G715" s="143"/>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row>
    <row r="716" spans="1:30" ht="12.9">
      <c r="A716" s="24"/>
      <c r="B716" s="24"/>
      <c r="C716" s="24"/>
      <c r="D716" s="24"/>
      <c r="E716" s="24"/>
      <c r="F716" s="143"/>
      <c r="G716" s="143"/>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row>
    <row r="717" spans="1:30" ht="12.9">
      <c r="A717" s="24"/>
      <c r="B717" s="24"/>
      <c r="C717" s="24"/>
      <c r="D717" s="24"/>
      <c r="E717" s="24"/>
      <c r="F717" s="143"/>
      <c r="G717" s="143"/>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row>
    <row r="718" spans="1:30" ht="12.9">
      <c r="A718" s="24"/>
      <c r="B718" s="24"/>
      <c r="C718" s="24"/>
      <c r="D718" s="24"/>
      <c r="E718" s="24"/>
      <c r="F718" s="143"/>
      <c r="G718" s="143"/>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row>
    <row r="719" spans="1:30" ht="12.9">
      <c r="A719" s="24"/>
      <c r="B719" s="24"/>
      <c r="C719" s="24"/>
      <c r="D719" s="24"/>
      <c r="E719" s="24"/>
      <c r="F719" s="143"/>
      <c r="G719" s="143"/>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row>
    <row r="720" spans="1:30" ht="12.9">
      <c r="A720" s="24"/>
      <c r="B720" s="24"/>
      <c r="C720" s="24"/>
      <c r="D720" s="24"/>
      <c r="E720" s="24"/>
      <c r="F720" s="143"/>
      <c r="G720" s="143"/>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row>
    <row r="721" spans="1:30" ht="12.9">
      <c r="A721" s="24"/>
      <c r="B721" s="24"/>
      <c r="C721" s="24"/>
      <c r="D721" s="24"/>
      <c r="E721" s="24"/>
      <c r="F721" s="143"/>
      <c r="G721" s="143"/>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row>
    <row r="722" spans="1:30" ht="12.9">
      <c r="A722" s="24"/>
      <c r="B722" s="24"/>
      <c r="C722" s="24"/>
      <c r="D722" s="24"/>
      <c r="E722" s="24"/>
      <c r="F722" s="143"/>
      <c r="G722" s="143"/>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row>
    <row r="723" spans="1:30" ht="12.9">
      <c r="A723" s="24"/>
      <c r="B723" s="24"/>
      <c r="C723" s="24"/>
      <c r="D723" s="24"/>
      <c r="E723" s="24"/>
      <c r="F723" s="143"/>
      <c r="G723" s="143"/>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row>
    <row r="724" spans="1:30" ht="12.9">
      <c r="A724" s="24"/>
      <c r="B724" s="24"/>
      <c r="C724" s="24"/>
      <c r="D724" s="24"/>
      <c r="E724" s="24"/>
      <c r="F724" s="143"/>
      <c r="G724" s="143"/>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row>
    <row r="725" spans="1:30" ht="12.9">
      <c r="A725" s="24"/>
      <c r="B725" s="24"/>
      <c r="C725" s="24"/>
      <c r="D725" s="24"/>
      <c r="E725" s="24"/>
      <c r="F725" s="143"/>
      <c r="G725" s="143"/>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row>
    <row r="726" spans="1:30" ht="12.9">
      <c r="A726" s="24"/>
      <c r="B726" s="24"/>
      <c r="C726" s="24"/>
      <c r="D726" s="24"/>
      <c r="E726" s="24"/>
      <c r="F726" s="143"/>
      <c r="G726" s="143"/>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row>
    <row r="727" spans="1:30" ht="12.9">
      <c r="A727" s="24"/>
      <c r="B727" s="24"/>
      <c r="C727" s="24"/>
      <c r="D727" s="24"/>
      <c r="E727" s="24"/>
      <c r="F727" s="143"/>
      <c r="G727" s="143"/>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row>
    <row r="728" spans="1:30" ht="12.9">
      <c r="A728" s="24"/>
      <c r="B728" s="24"/>
      <c r="C728" s="24"/>
      <c r="D728" s="24"/>
      <c r="E728" s="24"/>
      <c r="F728" s="143"/>
      <c r="G728" s="143"/>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row>
    <row r="729" spans="1:30" ht="12.9">
      <c r="A729" s="24"/>
      <c r="B729" s="24"/>
      <c r="C729" s="24"/>
      <c r="D729" s="24"/>
      <c r="E729" s="24"/>
      <c r="F729" s="143"/>
      <c r="G729" s="143"/>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row>
    <row r="730" spans="1:30" ht="12.9">
      <c r="A730" s="24"/>
      <c r="B730" s="24"/>
      <c r="C730" s="24"/>
      <c r="D730" s="24"/>
      <c r="E730" s="24"/>
      <c r="F730" s="143"/>
      <c r="G730" s="143"/>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row>
    <row r="731" spans="1:30" ht="12.9">
      <c r="A731" s="24"/>
      <c r="B731" s="24"/>
      <c r="C731" s="24"/>
      <c r="D731" s="24"/>
      <c r="E731" s="24"/>
      <c r="F731" s="143"/>
      <c r="G731" s="143"/>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row>
    <row r="732" spans="1:30" ht="12.9">
      <c r="A732" s="24"/>
      <c r="B732" s="24"/>
      <c r="C732" s="24"/>
      <c r="D732" s="24"/>
      <c r="E732" s="24"/>
      <c r="F732" s="143"/>
      <c r="G732" s="143"/>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row>
    <row r="733" spans="1:30" ht="12.9">
      <c r="A733" s="24"/>
      <c r="B733" s="24"/>
      <c r="C733" s="24"/>
      <c r="D733" s="24"/>
      <c r="E733" s="24"/>
      <c r="F733" s="143"/>
      <c r="G733" s="143"/>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row>
    <row r="734" spans="1:30" ht="12.9">
      <c r="A734" s="24"/>
      <c r="B734" s="24"/>
      <c r="C734" s="24"/>
      <c r="D734" s="24"/>
      <c r="E734" s="24"/>
      <c r="F734" s="143"/>
      <c r="G734" s="143"/>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row>
    <row r="735" spans="1:30" ht="12.9">
      <c r="A735" s="24"/>
      <c r="B735" s="24"/>
      <c r="C735" s="24"/>
      <c r="D735" s="24"/>
      <c r="E735" s="24"/>
      <c r="F735" s="143"/>
      <c r="G735" s="143"/>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row>
    <row r="736" spans="1:30" ht="12.9">
      <c r="A736" s="24"/>
      <c r="B736" s="24"/>
      <c r="C736" s="24"/>
      <c r="D736" s="24"/>
      <c r="E736" s="24"/>
      <c r="F736" s="143"/>
      <c r="G736" s="143"/>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row>
    <row r="737" spans="1:30" ht="12.9">
      <c r="A737" s="24"/>
      <c r="B737" s="24"/>
      <c r="C737" s="24"/>
      <c r="D737" s="24"/>
      <c r="E737" s="24"/>
      <c r="F737" s="143"/>
      <c r="G737" s="143"/>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row>
    <row r="738" spans="1:30" ht="12.9">
      <c r="A738" s="24"/>
      <c r="B738" s="24"/>
      <c r="C738" s="24"/>
      <c r="D738" s="24"/>
      <c r="E738" s="24"/>
      <c r="F738" s="143"/>
      <c r="G738" s="143"/>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row>
    <row r="739" spans="1:30" ht="12.9">
      <c r="A739" s="24"/>
      <c r="B739" s="24"/>
      <c r="C739" s="24"/>
      <c r="D739" s="24"/>
      <c r="E739" s="24"/>
      <c r="F739" s="143"/>
      <c r="G739" s="143"/>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row>
    <row r="740" spans="1:30" ht="12.9">
      <c r="A740" s="24"/>
      <c r="B740" s="24"/>
      <c r="C740" s="24"/>
      <c r="D740" s="24"/>
      <c r="E740" s="24"/>
      <c r="F740" s="143"/>
      <c r="G740" s="143"/>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row>
    <row r="741" spans="1:30" ht="12.9">
      <c r="A741" s="24"/>
      <c r="B741" s="24"/>
      <c r="C741" s="24"/>
      <c r="D741" s="24"/>
      <c r="E741" s="24"/>
      <c r="F741" s="143"/>
      <c r="G741" s="143"/>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row>
    <row r="742" spans="1:30" ht="12.9">
      <c r="A742" s="24"/>
      <c r="B742" s="24"/>
      <c r="C742" s="24"/>
      <c r="D742" s="24"/>
      <c r="E742" s="24"/>
      <c r="F742" s="143"/>
      <c r="G742" s="143"/>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row>
    <row r="743" spans="1:30" ht="12.9">
      <c r="A743" s="24"/>
      <c r="B743" s="24"/>
      <c r="C743" s="24"/>
      <c r="D743" s="24"/>
      <c r="E743" s="24"/>
      <c r="F743" s="143"/>
      <c r="G743" s="143"/>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row>
    <row r="744" spans="1:30" ht="12.9">
      <c r="A744" s="24"/>
      <c r="B744" s="24"/>
      <c r="C744" s="24"/>
      <c r="D744" s="24"/>
      <c r="E744" s="24"/>
      <c r="F744" s="143"/>
      <c r="G744" s="143"/>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row>
    <row r="745" spans="1:30" ht="12.9">
      <c r="A745" s="24"/>
      <c r="B745" s="24"/>
      <c r="C745" s="24"/>
      <c r="D745" s="24"/>
      <c r="E745" s="24"/>
      <c r="F745" s="143"/>
      <c r="G745" s="143"/>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row>
    <row r="746" spans="1:30" ht="12.9">
      <c r="A746" s="24"/>
      <c r="B746" s="24"/>
      <c r="C746" s="24"/>
      <c r="D746" s="24"/>
      <c r="E746" s="24"/>
      <c r="F746" s="143"/>
      <c r="G746" s="143"/>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row>
    <row r="747" spans="1:30" ht="12.9">
      <c r="A747" s="24"/>
      <c r="B747" s="24"/>
      <c r="C747" s="24"/>
      <c r="D747" s="24"/>
      <c r="E747" s="24"/>
      <c r="F747" s="143"/>
      <c r="G747" s="143"/>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row>
    <row r="748" spans="1:30" ht="12.9">
      <c r="A748" s="24"/>
      <c r="B748" s="24"/>
      <c r="C748" s="24"/>
      <c r="D748" s="24"/>
      <c r="E748" s="24"/>
      <c r="F748" s="143"/>
      <c r="G748" s="143"/>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row>
    <row r="749" spans="1:30" ht="12.9">
      <c r="A749" s="24"/>
      <c r="B749" s="24"/>
      <c r="C749" s="24"/>
      <c r="D749" s="24"/>
      <c r="E749" s="24"/>
      <c r="F749" s="143"/>
      <c r="G749" s="143"/>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row>
    <row r="750" spans="1:30" ht="12.9">
      <c r="A750" s="24"/>
      <c r="B750" s="24"/>
      <c r="C750" s="24"/>
      <c r="D750" s="24"/>
      <c r="E750" s="24"/>
      <c r="F750" s="143"/>
      <c r="G750" s="143"/>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row>
    <row r="751" spans="1:30" ht="12.9">
      <c r="A751" s="24"/>
      <c r="B751" s="24"/>
      <c r="C751" s="24"/>
      <c r="D751" s="24"/>
      <c r="E751" s="24"/>
      <c r="F751" s="143"/>
      <c r="G751" s="143"/>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row>
    <row r="752" spans="1:30" ht="12.9">
      <c r="A752" s="24"/>
      <c r="B752" s="24"/>
      <c r="C752" s="24"/>
      <c r="D752" s="24"/>
      <c r="E752" s="24"/>
      <c r="F752" s="143"/>
      <c r="G752" s="143"/>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row>
    <row r="753" spans="1:30" ht="12.9">
      <c r="A753" s="24"/>
      <c r="B753" s="24"/>
      <c r="C753" s="24"/>
      <c r="D753" s="24"/>
      <c r="E753" s="24"/>
      <c r="F753" s="143"/>
      <c r="G753" s="143"/>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row>
    <row r="754" spans="1:30" ht="12.9">
      <c r="A754" s="24"/>
      <c r="B754" s="24"/>
      <c r="C754" s="24"/>
      <c r="D754" s="24"/>
      <c r="E754" s="24"/>
      <c r="F754" s="143"/>
      <c r="G754" s="143"/>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row>
    <row r="755" spans="1:30" ht="12.9">
      <c r="A755" s="24"/>
      <c r="B755" s="24"/>
      <c r="C755" s="24"/>
      <c r="D755" s="24"/>
      <c r="E755" s="24"/>
      <c r="F755" s="143"/>
      <c r="G755" s="143"/>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row>
    <row r="756" spans="1:30" ht="12.9">
      <c r="A756" s="24"/>
      <c r="B756" s="24"/>
      <c r="C756" s="24"/>
      <c r="D756" s="24"/>
      <c r="E756" s="24"/>
      <c r="F756" s="143"/>
      <c r="G756" s="143"/>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row>
    <row r="757" spans="1:30" ht="12.9">
      <c r="A757" s="24"/>
      <c r="B757" s="24"/>
      <c r="C757" s="24"/>
      <c r="D757" s="24"/>
      <c r="E757" s="24"/>
      <c r="F757" s="143"/>
      <c r="G757" s="143"/>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row>
    <row r="758" spans="1:30" ht="12.9">
      <c r="A758" s="24"/>
      <c r="B758" s="24"/>
      <c r="C758" s="24"/>
      <c r="D758" s="24"/>
      <c r="E758" s="24"/>
      <c r="F758" s="143"/>
      <c r="G758" s="143"/>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row>
    <row r="759" spans="1:30" ht="12.9">
      <c r="A759" s="24"/>
      <c r="B759" s="24"/>
      <c r="C759" s="24"/>
      <c r="D759" s="24"/>
      <c r="E759" s="24"/>
      <c r="F759" s="143"/>
      <c r="G759" s="143"/>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row>
    <row r="760" spans="1:30" ht="12.9">
      <c r="A760" s="24"/>
      <c r="B760" s="24"/>
      <c r="C760" s="24"/>
      <c r="D760" s="24"/>
      <c r="E760" s="24"/>
      <c r="F760" s="143"/>
      <c r="G760" s="143"/>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row>
    <row r="761" spans="1:30" ht="12.9">
      <c r="A761" s="24"/>
      <c r="B761" s="24"/>
      <c r="C761" s="24"/>
      <c r="D761" s="24"/>
      <c r="E761" s="24"/>
      <c r="F761" s="143"/>
      <c r="G761" s="143"/>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row>
    <row r="762" spans="1:30" ht="12.9">
      <c r="A762" s="24"/>
      <c r="B762" s="24"/>
      <c r="C762" s="24"/>
      <c r="D762" s="24"/>
      <c r="E762" s="24"/>
      <c r="F762" s="143"/>
      <c r="G762" s="143"/>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row>
    <row r="763" spans="1:30" ht="12.9">
      <c r="A763" s="24"/>
      <c r="B763" s="24"/>
      <c r="C763" s="24"/>
      <c r="D763" s="24"/>
      <c r="E763" s="24"/>
      <c r="F763" s="143"/>
      <c r="G763" s="143"/>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row>
    <row r="764" spans="1:30" ht="12.9">
      <c r="A764" s="24"/>
      <c r="B764" s="24"/>
      <c r="C764" s="24"/>
      <c r="D764" s="24"/>
      <c r="E764" s="24"/>
      <c r="F764" s="143"/>
      <c r="G764" s="143"/>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row>
    <row r="765" spans="1:30" ht="12.9">
      <c r="A765" s="24"/>
      <c r="B765" s="24"/>
      <c r="C765" s="24"/>
      <c r="D765" s="24"/>
      <c r="E765" s="24"/>
      <c r="F765" s="143"/>
      <c r="G765" s="143"/>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row>
    <row r="766" spans="1:30" ht="12.9">
      <c r="A766" s="24"/>
      <c r="B766" s="24"/>
      <c r="C766" s="24"/>
      <c r="D766" s="24"/>
      <c r="E766" s="24"/>
      <c r="F766" s="143"/>
      <c r="G766" s="143"/>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row>
    <row r="767" spans="1:30" ht="12.9">
      <c r="A767" s="24"/>
      <c r="B767" s="24"/>
      <c r="C767" s="24"/>
      <c r="D767" s="24"/>
      <c r="E767" s="24"/>
      <c r="F767" s="143"/>
      <c r="G767" s="143"/>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row>
    <row r="768" spans="1:30" ht="12.9">
      <c r="A768" s="24"/>
      <c r="B768" s="24"/>
      <c r="C768" s="24"/>
      <c r="D768" s="24"/>
      <c r="E768" s="24"/>
      <c r="F768" s="143"/>
      <c r="G768" s="143"/>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row>
    <row r="769" spans="1:30" ht="12.9">
      <c r="A769" s="24"/>
      <c r="B769" s="24"/>
      <c r="C769" s="24"/>
      <c r="D769" s="24"/>
      <c r="E769" s="24"/>
      <c r="F769" s="143"/>
      <c r="G769" s="143"/>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row>
    <row r="770" spans="1:30" ht="12.9">
      <c r="A770" s="24"/>
      <c r="B770" s="24"/>
      <c r="C770" s="24"/>
      <c r="D770" s="24"/>
      <c r="E770" s="24"/>
      <c r="F770" s="143"/>
      <c r="G770" s="143"/>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row>
    <row r="771" spans="1:30" ht="12.9">
      <c r="A771" s="24"/>
      <c r="B771" s="24"/>
      <c r="C771" s="24"/>
      <c r="D771" s="24"/>
      <c r="E771" s="24"/>
      <c r="F771" s="143"/>
      <c r="G771" s="143"/>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row>
    <row r="772" spans="1:30" ht="12.9">
      <c r="A772" s="24"/>
      <c r="B772" s="24"/>
      <c r="C772" s="24"/>
      <c r="D772" s="24"/>
      <c r="E772" s="24"/>
      <c r="F772" s="143"/>
      <c r="G772" s="143"/>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row>
    <row r="773" spans="1:30" ht="12.9">
      <c r="A773" s="24"/>
      <c r="B773" s="24"/>
      <c r="C773" s="24"/>
      <c r="D773" s="24"/>
      <c r="E773" s="24"/>
      <c r="F773" s="143"/>
      <c r="G773" s="143"/>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row>
    <row r="774" spans="1:30" ht="12.9">
      <c r="A774" s="24"/>
      <c r="B774" s="24"/>
      <c r="C774" s="24"/>
      <c r="D774" s="24"/>
      <c r="E774" s="24"/>
      <c r="F774" s="143"/>
      <c r="G774" s="143"/>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row>
    <row r="775" spans="1:30" ht="12.9">
      <c r="A775" s="24"/>
      <c r="B775" s="24"/>
      <c r="C775" s="24"/>
      <c r="D775" s="24"/>
      <c r="E775" s="24"/>
      <c r="F775" s="143"/>
      <c r="G775" s="143"/>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row>
    <row r="776" spans="1:30" ht="12.9">
      <c r="A776" s="24"/>
      <c r="B776" s="24"/>
      <c r="C776" s="24"/>
      <c r="D776" s="24"/>
      <c r="E776" s="24"/>
      <c r="F776" s="143"/>
      <c r="G776" s="143"/>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row>
    <row r="777" spans="1:30" ht="12.9">
      <c r="A777" s="24"/>
      <c r="B777" s="24"/>
      <c r="C777" s="24"/>
      <c r="D777" s="24"/>
      <c r="E777" s="24"/>
      <c r="F777" s="143"/>
      <c r="G777" s="143"/>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row>
    <row r="778" spans="1:30" ht="12.9">
      <c r="A778" s="24"/>
      <c r="B778" s="24"/>
      <c r="C778" s="24"/>
      <c r="D778" s="24"/>
      <c r="E778" s="24"/>
      <c r="F778" s="143"/>
      <c r="G778" s="143"/>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row>
    <row r="779" spans="1:30" ht="12.9">
      <c r="A779" s="24"/>
      <c r="B779" s="24"/>
      <c r="C779" s="24"/>
      <c r="D779" s="24"/>
      <c r="E779" s="24"/>
      <c r="F779" s="143"/>
      <c r="G779" s="143"/>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row>
    <row r="780" spans="1:30" ht="12.9">
      <c r="A780" s="24"/>
      <c r="B780" s="24"/>
      <c r="C780" s="24"/>
      <c r="D780" s="24"/>
      <c r="E780" s="24"/>
      <c r="F780" s="143"/>
      <c r="G780" s="143"/>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row>
    <row r="781" spans="1:30" ht="12.9">
      <c r="A781" s="24"/>
      <c r="B781" s="24"/>
      <c r="C781" s="24"/>
      <c r="D781" s="24"/>
      <c r="E781" s="24"/>
      <c r="F781" s="143"/>
      <c r="G781" s="143"/>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row>
    <row r="782" spans="1:30" ht="12.9">
      <c r="A782" s="24"/>
      <c r="B782" s="24"/>
      <c r="C782" s="24"/>
      <c r="D782" s="24"/>
      <c r="E782" s="24"/>
      <c r="F782" s="143"/>
      <c r="G782" s="143"/>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row>
    <row r="783" spans="1:30" ht="12.9">
      <c r="A783" s="24"/>
      <c r="B783" s="24"/>
      <c r="C783" s="24"/>
      <c r="D783" s="24"/>
      <c r="E783" s="24"/>
      <c r="F783" s="143"/>
      <c r="G783" s="143"/>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row>
    <row r="784" spans="1:30" ht="12.9">
      <c r="A784" s="24"/>
      <c r="B784" s="24"/>
      <c r="C784" s="24"/>
      <c r="D784" s="24"/>
      <c r="E784" s="24"/>
      <c r="F784" s="143"/>
      <c r="G784" s="143"/>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row>
    <row r="785" spans="1:30" ht="12.9">
      <c r="A785" s="24"/>
      <c r="B785" s="24"/>
      <c r="C785" s="24"/>
      <c r="D785" s="24"/>
      <c r="E785" s="24"/>
      <c r="F785" s="143"/>
      <c r="G785" s="143"/>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row>
    <row r="786" spans="1:30" ht="12.9">
      <c r="A786" s="24"/>
      <c r="B786" s="24"/>
      <c r="C786" s="24"/>
      <c r="D786" s="24"/>
      <c r="E786" s="24"/>
      <c r="F786" s="143"/>
      <c r="G786" s="143"/>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row>
    <row r="787" spans="1:30" ht="12.9">
      <c r="A787" s="24"/>
      <c r="B787" s="24"/>
      <c r="C787" s="24"/>
      <c r="D787" s="24"/>
      <c r="E787" s="24"/>
      <c r="F787" s="143"/>
      <c r="G787" s="143"/>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row>
    <row r="788" spans="1:30" ht="12.9">
      <c r="A788" s="24"/>
      <c r="B788" s="24"/>
      <c r="C788" s="24"/>
      <c r="D788" s="24"/>
      <c r="E788" s="24"/>
      <c r="F788" s="143"/>
      <c r="G788" s="143"/>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row>
    <row r="789" spans="1:30" ht="12.9">
      <c r="A789" s="24"/>
      <c r="B789" s="24"/>
      <c r="C789" s="24"/>
      <c r="D789" s="24"/>
      <c r="E789" s="24"/>
      <c r="F789" s="143"/>
      <c r="G789" s="143"/>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row>
    <row r="790" spans="1:30" ht="12.9">
      <c r="A790" s="24"/>
      <c r="B790" s="24"/>
      <c r="C790" s="24"/>
      <c r="D790" s="24"/>
      <c r="E790" s="24"/>
      <c r="F790" s="143"/>
      <c r="G790" s="143"/>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row>
    <row r="791" spans="1:30" ht="12.9">
      <c r="A791" s="24"/>
      <c r="B791" s="24"/>
      <c r="C791" s="24"/>
      <c r="D791" s="24"/>
      <c r="E791" s="24"/>
      <c r="F791" s="143"/>
      <c r="G791" s="143"/>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row>
    <row r="792" spans="1:30" ht="12.9">
      <c r="A792" s="24"/>
      <c r="B792" s="24"/>
      <c r="C792" s="24"/>
      <c r="D792" s="24"/>
      <c r="E792" s="24"/>
      <c r="F792" s="143"/>
      <c r="G792" s="143"/>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row>
    <row r="793" spans="1:30" ht="12.9">
      <c r="A793" s="24"/>
      <c r="B793" s="24"/>
      <c r="C793" s="24"/>
      <c r="D793" s="24"/>
      <c r="E793" s="24"/>
      <c r="F793" s="143"/>
      <c r="G793" s="143"/>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row>
    <row r="794" spans="1:30" ht="12.9">
      <c r="A794" s="24"/>
      <c r="B794" s="24"/>
      <c r="C794" s="24"/>
      <c r="D794" s="24"/>
      <c r="E794" s="24"/>
      <c r="F794" s="143"/>
      <c r="G794" s="143"/>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row>
    <row r="795" spans="1:30" ht="12.9">
      <c r="A795" s="24"/>
      <c r="B795" s="24"/>
      <c r="C795" s="24"/>
      <c r="D795" s="24"/>
      <c r="E795" s="24"/>
      <c r="F795" s="143"/>
      <c r="G795" s="143"/>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row>
    <row r="796" spans="1:30" ht="12.9">
      <c r="A796" s="24"/>
      <c r="B796" s="24"/>
      <c r="C796" s="24"/>
      <c r="D796" s="24"/>
      <c r="E796" s="24"/>
      <c r="F796" s="143"/>
      <c r="G796" s="143"/>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row>
    <row r="797" spans="1:30" ht="12.9">
      <c r="A797" s="24"/>
      <c r="B797" s="24"/>
      <c r="C797" s="24"/>
      <c r="D797" s="24"/>
      <c r="E797" s="24"/>
      <c r="F797" s="143"/>
      <c r="G797" s="143"/>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row>
    <row r="798" spans="1:30" ht="12.9">
      <c r="A798" s="24"/>
      <c r="B798" s="24"/>
      <c r="C798" s="24"/>
      <c r="D798" s="24"/>
      <c r="E798" s="24"/>
      <c r="F798" s="143"/>
      <c r="G798" s="143"/>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row>
    <row r="799" spans="1:30" ht="12.9">
      <c r="A799" s="24"/>
      <c r="B799" s="24"/>
      <c r="C799" s="24"/>
      <c r="D799" s="24"/>
      <c r="E799" s="24"/>
      <c r="F799" s="143"/>
      <c r="G799" s="143"/>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row>
    <row r="800" spans="1:30" ht="12.9">
      <c r="A800" s="24"/>
      <c r="B800" s="24"/>
      <c r="C800" s="24"/>
      <c r="D800" s="24"/>
      <c r="E800" s="24"/>
      <c r="F800" s="143"/>
      <c r="G800" s="143"/>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row>
    <row r="801" spans="1:30" ht="12.9">
      <c r="A801" s="24"/>
      <c r="B801" s="24"/>
      <c r="C801" s="24"/>
      <c r="D801" s="24"/>
      <c r="E801" s="24"/>
      <c r="F801" s="143"/>
      <c r="G801" s="143"/>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row>
    <row r="802" spans="1:30" ht="12.9">
      <c r="A802" s="24"/>
      <c r="B802" s="24"/>
      <c r="C802" s="24"/>
      <c r="D802" s="24"/>
      <c r="E802" s="24"/>
      <c r="F802" s="143"/>
      <c r="G802" s="143"/>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row>
    <row r="803" spans="1:30" ht="12.9">
      <c r="A803" s="24"/>
      <c r="B803" s="24"/>
      <c r="C803" s="24"/>
      <c r="D803" s="24"/>
      <c r="E803" s="24"/>
      <c r="F803" s="143"/>
      <c r="G803" s="143"/>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row>
    <row r="804" spans="1:30" ht="12.9">
      <c r="A804" s="24"/>
      <c r="B804" s="24"/>
      <c r="C804" s="24"/>
      <c r="D804" s="24"/>
      <c r="E804" s="24"/>
      <c r="F804" s="143"/>
      <c r="G804" s="143"/>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row>
    <row r="805" spans="1:30" ht="12.9">
      <c r="A805" s="24"/>
      <c r="B805" s="24"/>
      <c r="C805" s="24"/>
      <c r="D805" s="24"/>
      <c r="E805" s="24"/>
      <c r="F805" s="143"/>
      <c r="G805" s="143"/>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row>
    <row r="806" spans="1:30" ht="12.9">
      <c r="A806" s="24"/>
      <c r="B806" s="24"/>
      <c r="C806" s="24"/>
      <c r="D806" s="24"/>
      <c r="E806" s="24"/>
      <c r="F806" s="143"/>
      <c r="G806" s="143"/>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row>
    <row r="807" spans="1:30" ht="12.9">
      <c r="A807" s="24"/>
      <c r="B807" s="24"/>
      <c r="C807" s="24"/>
      <c r="D807" s="24"/>
      <c r="E807" s="24"/>
      <c r="F807" s="143"/>
      <c r="G807" s="143"/>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row>
    <row r="808" spans="1:30" ht="12.9">
      <c r="A808" s="24"/>
      <c r="B808" s="24"/>
      <c r="C808" s="24"/>
      <c r="D808" s="24"/>
      <c r="E808" s="24"/>
      <c r="F808" s="143"/>
      <c r="G808" s="143"/>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row>
    <row r="809" spans="1:30" ht="12.9">
      <c r="A809" s="24"/>
      <c r="B809" s="24"/>
      <c r="C809" s="24"/>
      <c r="D809" s="24"/>
      <c r="E809" s="24"/>
      <c r="F809" s="143"/>
      <c r="G809" s="143"/>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row>
    <row r="810" spans="1:30" ht="12.9">
      <c r="A810" s="24"/>
      <c r="B810" s="24"/>
      <c r="C810" s="24"/>
      <c r="D810" s="24"/>
      <c r="E810" s="24"/>
      <c r="F810" s="143"/>
      <c r="G810" s="143"/>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row>
    <row r="811" spans="1:30" ht="12.9">
      <c r="A811" s="24"/>
      <c r="B811" s="24"/>
      <c r="C811" s="24"/>
      <c r="D811" s="24"/>
      <c r="E811" s="24"/>
      <c r="F811" s="143"/>
      <c r="G811" s="143"/>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row>
    <row r="812" spans="1:30" ht="12.9">
      <c r="A812" s="24"/>
      <c r="B812" s="24"/>
      <c r="C812" s="24"/>
      <c r="D812" s="24"/>
      <c r="E812" s="24"/>
      <c r="F812" s="143"/>
      <c r="G812" s="143"/>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row>
    <row r="813" spans="1:30" ht="12.9">
      <c r="A813" s="24"/>
      <c r="B813" s="24"/>
      <c r="C813" s="24"/>
      <c r="D813" s="24"/>
      <c r="E813" s="24"/>
      <c r="F813" s="143"/>
      <c r="G813" s="143"/>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row>
    <row r="814" spans="1:30" ht="12.9">
      <c r="A814" s="24"/>
      <c r="B814" s="24"/>
      <c r="C814" s="24"/>
      <c r="D814" s="24"/>
      <c r="E814" s="24"/>
      <c r="F814" s="143"/>
      <c r="G814" s="143"/>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row>
    <row r="815" spans="1:30" ht="12.9">
      <c r="A815" s="24"/>
      <c r="B815" s="24"/>
      <c r="C815" s="24"/>
      <c r="D815" s="24"/>
      <c r="E815" s="24"/>
      <c r="F815" s="143"/>
      <c r="G815" s="143"/>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row>
    <row r="816" spans="1:30" ht="12.9">
      <c r="A816" s="24"/>
      <c r="B816" s="24"/>
      <c r="C816" s="24"/>
      <c r="D816" s="24"/>
      <c r="E816" s="24"/>
      <c r="F816" s="143"/>
      <c r="G816" s="143"/>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row>
    <row r="817" spans="1:30" ht="12.9">
      <c r="A817" s="24"/>
      <c r="B817" s="24"/>
      <c r="C817" s="24"/>
      <c r="D817" s="24"/>
      <c r="E817" s="24"/>
      <c r="F817" s="143"/>
      <c r="G817" s="143"/>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row>
    <row r="818" spans="1:30" ht="12.9">
      <c r="A818" s="24"/>
      <c r="B818" s="24"/>
      <c r="C818" s="24"/>
      <c r="D818" s="24"/>
      <c r="E818" s="24"/>
      <c r="F818" s="143"/>
      <c r="G818" s="143"/>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row>
    <row r="819" spans="1:30" ht="12.9">
      <c r="A819" s="24"/>
      <c r="B819" s="24"/>
      <c r="C819" s="24"/>
      <c r="D819" s="24"/>
      <c r="E819" s="24"/>
      <c r="F819" s="143"/>
      <c r="G819" s="143"/>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row>
    <row r="820" spans="1:30" ht="12.9">
      <c r="A820" s="24"/>
      <c r="B820" s="24"/>
      <c r="C820" s="24"/>
      <c r="D820" s="24"/>
      <c r="E820" s="24"/>
      <c r="F820" s="143"/>
      <c r="G820" s="143"/>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row>
    <row r="821" spans="1:30" ht="12.9">
      <c r="A821" s="24"/>
      <c r="B821" s="24"/>
      <c r="C821" s="24"/>
      <c r="D821" s="24"/>
      <c r="E821" s="24"/>
      <c r="F821" s="143"/>
      <c r="G821" s="143"/>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row>
    <row r="822" spans="1:30" ht="12.9">
      <c r="A822" s="24"/>
      <c r="B822" s="24"/>
      <c r="C822" s="24"/>
      <c r="D822" s="24"/>
      <c r="E822" s="24"/>
      <c r="F822" s="143"/>
      <c r="G822" s="143"/>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row>
    <row r="823" spans="1:30" ht="12.9">
      <c r="A823" s="24"/>
      <c r="B823" s="24"/>
      <c r="C823" s="24"/>
      <c r="D823" s="24"/>
      <c r="E823" s="24"/>
      <c r="F823" s="143"/>
      <c r="G823" s="143"/>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row>
    <row r="824" spans="1:30" ht="12.9">
      <c r="A824" s="24"/>
      <c r="B824" s="24"/>
      <c r="C824" s="24"/>
      <c r="D824" s="24"/>
      <c r="E824" s="24"/>
      <c r="F824" s="143"/>
      <c r="G824" s="143"/>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row>
    <row r="825" spans="1:30" ht="12.9">
      <c r="A825" s="24"/>
      <c r="B825" s="24"/>
      <c r="C825" s="24"/>
      <c r="D825" s="24"/>
      <c r="E825" s="24"/>
      <c r="F825" s="143"/>
      <c r="G825" s="143"/>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row>
    <row r="826" spans="1:30" ht="12.9">
      <c r="A826" s="24"/>
      <c r="B826" s="24"/>
      <c r="C826" s="24"/>
      <c r="D826" s="24"/>
      <c r="E826" s="24"/>
      <c r="F826" s="143"/>
      <c r="G826" s="143"/>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row>
    <row r="827" spans="1:30" ht="12.9">
      <c r="A827" s="24"/>
      <c r="B827" s="24"/>
      <c r="C827" s="24"/>
      <c r="D827" s="24"/>
      <c r="E827" s="24"/>
      <c r="F827" s="143"/>
      <c r="G827" s="143"/>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row>
    <row r="828" spans="1:30" ht="12.9">
      <c r="A828" s="24"/>
      <c r="B828" s="24"/>
      <c r="C828" s="24"/>
      <c r="D828" s="24"/>
      <c r="E828" s="24"/>
      <c r="F828" s="143"/>
      <c r="G828" s="143"/>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row>
    <row r="829" spans="1:30" ht="12.9">
      <c r="A829" s="24"/>
      <c r="B829" s="24"/>
      <c r="C829" s="24"/>
      <c r="D829" s="24"/>
      <c r="E829" s="24"/>
      <c r="F829" s="143"/>
      <c r="G829" s="143"/>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row>
    <row r="830" spans="1:30" ht="12.9">
      <c r="A830" s="24"/>
      <c r="B830" s="24"/>
      <c r="C830" s="24"/>
      <c r="D830" s="24"/>
      <c r="E830" s="24"/>
      <c r="F830" s="143"/>
      <c r="G830" s="143"/>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row>
    <row r="831" spans="1:30" ht="12.9">
      <c r="A831" s="24"/>
      <c r="B831" s="24"/>
      <c r="C831" s="24"/>
      <c r="D831" s="24"/>
      <c r="E831" s="24"/>
      <c r="F831" s="143"/>
      <c r="G831" s="143"/>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row>
    <row r="832" spans="1:30" ht="12.9">
      <c r="A832" s="24"/>
      <c r="B832" s="24"/>
      <c r="C832" s="24"/>
      <c r="D832" s="24"/>
      <c r="E832" s="24"/>
      <c r="F832" s="143"/>
      <c r="G832" s="143"/>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row>
    <row r="833" spans="1:30" ht="12.9">
      <c r="A833" s="24"/>
      <c r="B833" s="24"/>
      <c r="C833" s="24"/>
      <c r="D833" s="24"/>
      <c r="E833" s="24"/>
      <c r="F833" s="143"/>
      <c r="G833" s="143"/>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row>
    <row r="834" spans="1:30" ht="12.9">
      <c r="A834" s="24"/>
      <c r="B834" s="24"/>
      <c r="C834" s="24"/>
      <c r="D834" s="24"/>
      <c r="E834" s="24"/>
      <c r="F834" s="143"/>
      <c r="G834" s="143"/>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row>
    <row r="835" spans="1:30" ht="12.9">
      <c r="A835" s="24"/>
      <c r="B835" s="24"/>
      <c r="C835" s="24"/>
      <c r="D835" s="24"/>
      <c r="E835" s="24"/>
      <c r="F835" s="143"/>
      <c r="G835" s="143"/>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row>
    <row r="836" spans="1:30" ht="12.9">
      <c r="A836" s="24"/>
      <c r="B836" s="24"/>
      <c r="C836" s="24"/>
      <c r="D836" s="24"/>
      <c r="E836" s="24"/>
      <c r="F836" s="143"/>
      <c r="G836" s="143"/>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row>
    <row r="837" spans="1:30" ht="12.9">
      <c r="A837" s="24"/>
      <c r="B837" s="24"/>
      <c r="C837" s="24"/>
      <c r="D837" s="24"/>
      <c r="E837" s="24"/>
      <c r="F837" s="143"/>
      <c r="G837" s="143"/>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row>
    <row r="838" spans="1:30" ht="12.9">
      <c r="A838" s="24"/>
      <c r="B838" s="24"/>
      <c r="C838" s="24"/>
      <c r="D838" s="24"/>
      <c r="E838" s="24"/>
      <c r="F838" s="143"/>
      <c r="G838" s="143"/>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row>
    <row r="839" spans="1:30" ht="12.9">
      <c r="A839" s="24"/>
      <c r="B839" s="24"/>
      <c r="C839" s="24"/>
      <c r="D839" s="24"/>
      <c r="E839" s="24"/>
      <c r="F839" s="143"/>
      <c r="G839" s="143"/>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row>
    <row r="840" spans="1:30" ht="12.9">
      <c r="A840" s="24"/>
      <c r="B840" s="24"/>
      <c r="C840" s="24"/>
      <c r="D840" s="24"/>
      <c r="E840" s="24"/>
      <c r="F840" s="143"/>
      <c r="G840" s="143"/>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row>
    <row r="841" spans="1:30" ht="12.9">
      <c r="A841" s="24"/>
      <c r="B841" s="24"/>
      <c r="C841" s="24"/>
      <c r="D841" s="24"/>
      <c r="E841" s="24"/>
      <c r="F841" s="143"/>
      <c r="G841" s="143"/>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row>
    <row r="842" spans="1:30" ht="12.9">
      <c r="A842" s="24"/>
      <c r="B842" s="24"/>
      <c r="C842" s="24"/>
      <c r="D842" s="24"/>
      <c r="E842" s="24"/>
      <c r="F842" s="143"/>
      <c r="G842" s="143"/>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row>
    <row r="843" spans="1:30" ht="12.9">
      <c r="A843" s="24"/>
      <c r="B843" s="24"/>
      <c r="C843" s="24"/>
      <c r="D843" s="24"/>
      <c r="E843" s="24"/>
      <c r="F843" s="143"/>
      <c r="G843" s="143"/>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row>
    <row r="844" spans="1:30" ht="12.9">
      <c r="A844" s="24"/>
      <c r="B844" s="24"/>
      <c r="C844" s="24"/>
      <c r="D844" s="24"/>
      <c r="E844" s="24"/>
      <c r="F844" s="143"/>
      <c r="G844" s="143"/>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row>
    <row r="845" spans="1:30" ht="12.9">
      <c r="A845" s="24"/>
      <c r="B845" s="24"/>
      <c r="C845" s="24"/>
      <c r="D845" s="24"/>
      <c r="E845" s="24"/>
      <c r="F845" s="143"/>
      <c r="G845" s="143"/>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row>
    <row r="846" spans="1:30" ht="12.9">
      <c r="A846" s="24"/>
      <c r="B846" s="24"/>
      <c r="C846" s="24"/>
      <c r="D846" s="24"/>
      <c r="E846" s="24"/>
      <c r="F846" s="143"/>
      <c r="G846" s="143"/>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row>
    <row r="847" spans="1:30" ht="12.9">
      <c r="A847" s="24"/>
      <c r="B847" s="24"/>
      <c r="C847" s="24"/>
      <c r="D847" s="24"/>
      <c r="E847" s="24"/>
      <c r="F847" s="143"/>
      <c r="G847" s="143"/>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row>
    <row r="848" spans="1:30" ht="12.9">
      <c r="A848" s="24"/>
      <c r="B848" s="24"/>
      <c r="C848" s="24"/>
      <c r="D848" s="24"/>
      <c r="E848" s="24"/>
      <c r="F848" s="143"/>
      <c r="G848" s="143"/>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row>
    <row r="849" spans="1:30" ht="12.9">
      <c r="A849" s="24"/>
      <c r="B849" s="24"/>
      <c r="C849" s="24"/>
      <c r="D849" s="24"/>
      <c r="E849" s="24"/>
      <c r="F849" s="143"/>
      <c r="G849" s="143"/>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row>
    <row r="850" spans="1:30" ht="12.9">
      <c r="A850" s="24"/>
      <c r="B850" s="24"/>
      <c r="C850" s="24"/>
      <c r="D850" s="24"/>
      <c r="E850" s="24"/>
      <c r="F850" s="143"/>
      <c r="G850" s="143"/>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row>
    <row r="851" spans="1:30" ht="12.9">
      <c r="A851" s="24"/>
      <c r="B851" s="24"/>
      <c r="C851" s="24"/>
      <c r="D851" s="24"/>
      <c r="E851" s="24"/>
      <c r="F851" s="143"/>
      <c r="G851" s="143"/>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row>
    <row r="852" spans="1:30" ht="12.9">
      <c r="A852" s="24"/>
      <c r="B852" s="24"/>
      <c r="C852" s="24"/>
      <c r="D852" s="24"/>
      <c r="E852" s="24"/>
      <c r="F852" s="143"/>
      <c r="G852" s="143"/>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row>
    <row r="853" spans="1:30" ht="12.9">
      <c r="A853" s="24"/>
      <c r="B853" s="24"/>
      <c r="C853" s="24"/>
      <c r="D853" s="24"/>
      <c r="E853" s="24"/>
      <c r="F853" s="143"/>
      <c r="G853" s="143"/>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row>
    <row r="854" spans="1:30" ht="12.9">
      <c r="A854" s="24"/>
      <c r="B854" s="24"/>
      <c r="C854" s="24"/>
      <c r="D854" s="24"/>
      <c r="E854" s="24"/>
      <c r="F854" s="143"/>
      <c r="G854" s="143"/>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row>
    <row r="855" spans="1:30" ht="12.9">
      <c r="A855" s="24"/>
      <c r="B855" s="24"/>
      <c r="C855" s="24"/>
      <c r="D855" s="24"/>
      <c r="E855" s="24"/>
      <c r="F855" s="143"/>
      <c r="G855" s="143"/>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row>
    <row r="856" spans="1:30" ht="12.9">
      <c r="A856" s="24"/>
      <c r="B856" s="24"/>
      <c r="C856" s="24"/>
      <c r="D856" s="24"/>
      <c r="E856" s="24"/>
      <c r="F856" s="143"/>
      <c r="G856" s="143"/>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row>
    <row r="857" spans="1:30" ht="12.9">
      <c r="A857" s="24"/>
      <c r="B857" s="24"/>
      <c r="C857" s="24"/>
      <c r="D857" s="24"/>
      <c r="E857" s="24"/>
      <c r="F857" s="143"/>
      <c r="G857" s="143"/>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row>
    <row r="858" spans="1:30" ht="12.9">
      <c r="A858" s="24"/>
      <c r="B858" s="24"/>
      <c r="C858" s="24"/>
      <c r="D858" s="24"/>
      <c r="E858" s="24"/>
      <c r="F858" s="143"/>
      <c r="G858" s="143"/>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row>
    <row r="859" spans="1:30" ht="12.9">
      <c r="A859" s="24"/>
      <c r="B859" s="24"/>
      <c r="C859" s="24"/>
      <c r="D859" s="24"/>
      <c r="E859" s="24"/>
      <c r="F859" s="143"/>
      <c r="G859" s="143"/>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row>
    <row r="860" spans="1:30" ht="12.9">
      <c r="A860" s="24"/>
      <c r="B860" s="24"/>
      <c r="C860" s="24"/>
      <c r="D860" s="24"/>
      <c r="E860" s="24"/>
      <c r="F860" s="143"/>
      <c r="G860" s="143"/>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row>
    <row r="861" spans="1:30" ht="12.9">
      <c r="A861" s="24"/>
      <c r="B861" s="24"/>
      <c r="C861" s="24"/>
      <c r="D861" s="24"/>
      <c r="E861" s="24"/>
      <c r="F861" s="143"/>
      <c r="G861" s="143"/>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row>
    <row r="862" spans="1:30" ht="12.9">
      <c r="A862" s="24"/>
      <c r="B862" s="24"/>
      <c r="C862" s="24"/>
      <c r="D862" s="24"/>
      <c r="E862" s="24"/>
      <c r="F862" s="143"/>
      <c r="G862" s="143"/>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row>
    <row r="863" spans="1:30" ht="12.9">
      <c r="A863" s="24"/>
      <c r="B863" s="24"/>
      <c r="C863" s="24"/>
      <c r="D863" s="24"/>
      <c r="E863" s="24"/>
      <c r="F863" s="143"/>
      <c r="G863" s="143"/>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row>
    <row r="864" spans="1:30" ht="12.9">
      <c r="A864" s="24"/>
      <c r="B864" s="24"/>
      <c r="C864" s="24"/>
      <c r="D864" s="24"/>
      <c r="E864" s="24"/>
      <c r="F864" s="143"/>
      <c r="G864" s="143"/>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row>
    <row r="865" spans="1:30" ht="12.9">
      <c r="A865" s="24"/>
      <c r="B865" s="24"/>
      <c r="C865" s="24"/>
      <c r="D865" s="24"/>
      <c r="E865" s="24"/>
      <c r="F865" s="143"/>
      <c r="G865" s="143"/>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row>
    <row r="866" spans="1:30" ht="12.9">
      <c r="A866" s="24"/>
      <c r="B866" s="24"/>
      <c r="C866" s="24"/>
      <c r="D866" s="24"/>
      <c r="E866" s="24"/>
      <c r="F866" s="143"/>
      <c r="G866" s="143"/>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row>
    <row r="867" spans="1:30" ht="12.9">
      <c r="A867" s="24"/>
      <c r="B867" s="24"/>
      <c r="C867" s="24"/>
      <c r="D867" s="24"/>
      <c r="E867" s="24"/>
      <c r="F867" s="143"/>
      <c r="G867" s="143"/>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row>
    <row r="868" spans="1:30" ht="12.9">
      <c r="A868" s="24"/>
      <c r="B868" s="24"/>
      <c r="C868" s="24"/>
      <c r="D868" s="24"/>
      <c r="E868" s="24"/>
      <c r="F868" s="143"/>
      <c r="G868" s="143"/>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row>
    <row r="869" spans="1:30" ht="12.9">
      <c r="A869" s="24"/>
      <c r="B869" s="24"/>
      <c r="C869" s="24"/>
      <c r="D869" s="24"/>
      <c r="E869" s="24"/>
      <c r="F869" s="143"/>
      <c r="G869" s="143"/>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row>
    <row r="870" spans="1:30" ht="12.9">
      <c r="A870" s="24"/>
      <c r="B870" s="24"/>
      <c r="C870" s="24"/>
      <c r="D870" s="24"/>
      <c r="E870" s="24"/>
      <c r="F870" s="143"/>
      <c r="G870" s="143"/>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row>
    <row r="871" spans="1:30" ht="12.9">
      <c r="A871" s="24"/>
      <c r="B871" s="24"/>
      <c r="C871" s="24"/>
      <c r="D871" s="24"/>
      <c r="E871" s="24"/>
      <c r="F871" s="143"/>
      <c r="G871" s="143"/>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row>
    <row r="872" spans="1:30" ht="12.9">
      <c r="A872" s="24"/>
      <c r="B872" s="24"/>
      <c r="C872" s="24"/>
      <c r="D872" s="24"/>
      <c r="E872" s="24"/>
      <c r="F872" s="143"/>
      <c r="G872" s="143"/>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row>
    <row r="873" spans="1:30" ht="12.9">
      <c r="A873" s="24"/>
      <c r="B873" s="24"/>
      <c r="C873" s="24"/>
      <c r="D873" s="24"/>
      <c r="E873" s="24"/>
      <c r="F873" s="143"/>
      <c r="G873" s="143"/>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row>
    <row r="874" spans="1:30" ht="12.9">
      <c r="A874" s="24"/>
      <c r="B874" s="24"/>
      <c r="C874" s="24"/>
      <c r="D874" s="24"/>
      <c r="E874" s="24"/>
      <c r="F874" s="143"/>
      <c r="G874" s="143"/>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row>
    <row r="875" spans="1:30" ht="12.9">
      <c r="A875" s="24"/>
      <c r="B875" s="24"/>
      <c r="C875" s="24"/>
      <c r="D875" s="24"/>
      <c r="E875" s="24"/>
      <c r="F875" s="143"/>
      <c r="G875" s="143"/>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row>
    <row r="876" spans="1:30" ht="12.9">
      <c r="A876" s="24"/>
      <c r="B876" s="24"/>
      <c r="C876" s="24"/>
      <c r="D876" s="24"/>
      <c r="E876" s="24"/>
      <c r="F876" s="143"/>
      <c r="G876" s="143"/>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row>
    <row r="877" spans="1:30" ht="12.9">
      <c r="A877" s="24"/>
      <c r="B877" s="24"/>
      <c r="C877" s="24"/>
      <c r="D877" s="24"/>
      <c r="E877" s="24"/>
      <c r="F877" s="143"/>
      <c r="G877" s="143"/>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row>
    <row r="878" spans="1:30" ht="12.9">
      <c r="A878" s="24"/>
      <c r="B878" s="24"/>
      <c r="C878" s="24"/>
      <c r="D878" s="24"/>
      <c r="E878" s="24"/>
      <c r="F878" s="143"/>
      <c r="G878" s="143"/>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row>
    <row r="879" spans="1:30" ht="12.9">
      <c r="A879" s="24"/>
      <c r="B879" s="24"/>
      <c r="C879" s="24"/>
      <c r="D879" s="24"/>
      <c r="E879" s="24"/>
      <c r="F879" s="143"/>
      <c r="G879" s="143"/>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row>
    <row r="880" spans="1:30" ht="12.9">
      <c r="A880" s="24"/>
      <c r="B880" s="24"/>
      <c r="C880" s="24"/>
      <c r="D880" s="24"/>
      <c r="E880" s="24"/>
      <c r="F880" s="143"/>
      <c r="G880" s="143"/>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row>
    <row r="881" spans="1:30" ht="12.9">
      <c r="A881" s="24"/>
      <c r="B881" s="24"/>
      <c r="C881" s="24"/>
      <c r="D881" s="24"/>
      <c r="E881" s="24"/>
      <c r="F881" s="143"/>
      <c r="G881" s="143"/>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row>
    <row r="882" spans="1:30" ht="12.9">
      <c r="A882" s="24"/>
      <c r="B882" s="24"/>
      <c r="C882" s="24"/>
      <c r="D882" s="24"/>
      <c r="E882" s="24"/>
      <c r="F882" s="143"/>
      <c r="G882" s="143"/>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row>
    <row r="883" spans="1:30" ht="12.9">
      <c r="A883" s="24"/>
      <c r="B883" s="24"/>
      <c r="C883" s="24"/>
      <c r="D883" s="24"/>
      <c r="E883" s="24"/>
      <c r="F883" s="143"/>
      <c r="G883" s="143"/>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row>
    <row r="884" spans="1:30" ht="12.9">
      <c r="A884" s="24"/>
      <c r="B884" s="24"/>
      <c r="C884" s="24"/>
      <c r="D884" s="24"/>
      <c r="E884" s="24"/>
      <c r="F884" s="143"/>
      <c r="G884" s="143"/>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row>
    <row r="885" spans="1:30" ht="12.9">
      <c r="A885" s="24"/>
      <c r="B885" s="24"/>
      <c r="C885" s="24"/>
      <c r="D885" s="24"/>
      <c r="E885" s="24"/>
      <c r="F885" s="143"/>
      <c r="G885" s="143"/>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row>
    <row r="886" spans="1:30" ht="12.9">
      <c r="A886" s="24"/>
      <c r="B886" s="24"/>
      <c r="C886" s="24"/>
      <c r="D886" s="24"/>
      <c r="E886" s="24"/>
      <c r="F886" s="143"/>
      <c r="G886" s="143"/>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row>
    <row r="887" spans="1:30" ht="12.9">
      <c r="A887" s="24"/>
      <c r="B887" s="24"/>
      <c r="C887" s="24"/>
      <c r="D887" s="24"/>
      <c r="E887" s="24"/>
      <c r="F887" s="143"/>
      <c r="G887" s="143"/>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row>
    <row r="888" spans="1:30" ht="12.9">
      <c r="A888" s="24"/>
      <c r="B888" s="24"/>
      <c r="C888" s="24"/>
      <c r="D888" s="24"/>
      <c r="E888" s="24"/>
      <c r="F888" s="143"/>
      <c r="G888" s="143"/>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row>
    <row r="889" spans="1:30" ht="12.9">
      <c r="A889" s="24"/>
      <c r="B889" s="24"/>
      <c r="C889" s="24"/>
      <c r="D889" s="24"/>
      <c r="E889" s="24"/>
      <c r="F889" s="143"/>
      <c r="G889" s="143"/>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row>
    <row r="890" spans="1:30" ht="12.9">
      <c r="A890" s="24"/>
      <c r="B890" s="24"/>
      <c r="C890" s="24"/>
      <c r="D890" s="24"/>
      <c r="E890" s="24"/>
      <c r="F890" s="143"/>
      <c r="G890" s="143"/>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row>
    <row r="891" spans="1:30" ht="12.9">
      <c r="A891" s="24"/>
      <c r="B891" s="24"/>
      <c r="C891" s="24"/>
      <c r="D891" s="24"/>
      <c r="E891" s="24"/>
      <c r="F891" s="143"/>
      <c r="G891" s="143"/>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row>
    <row r="892" spans="1:30" ht="12.9">
      <c r="A892" s="24"/>
      <c r="B892" s="24"/>
      <c r="C892" s="24"/>
      <c r="D892" s="24"/>
      <c r="E892" s="24"/>
      <c r="F892" s="143"/>
      <c r="G892" s="143"/>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row>
    <row r="893" spans="1:30" ht="12.9">
      <c r="A893" s="24"/>
      <c r="B893" s="24"/>
      <c r="C893" s="24"/>
      <c r="D893" s="24"/>
      <c r="E893" s="24"/>
      <c r="F893" s="143"/>
      <c r="G893" s="143"/>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row>
    <row r="894" spans="1:30" ht="12.9">
      <c r="A894" s="24"/>
      <c r="B894" s="24"/>
      <c r="C894" s="24"/>
      <c r="D894" s="24"/>
      <c r="E894" s="24"/>
      <c r="F894" s="143"/>
      <c r="G894" s="143"/>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row>
    <row r="895" spans="1:30" ht="12.9">
      <c r="A895" s="24"/>
      <c r="B895" s="24"/>
      <c r="C895" s="24"/>
      <c r="D895" s="24"/>
      <c r="E895" s="24"/>
      <c r="F895" s="143"/>
      <c r="G895" s="143"/>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row>
    <row r="896" spans="1:30" ht="12.9">
      <c r="A896" s="24"/>
      <c r="B896" s="24"/>
      <c r="C896" s="24"/>
      <c r="D896" s="24"/>
      <c r="E896" s="24"/>
      <c r="F896" s="143"/>
      <c r="G896" s="143"/>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row>
    <row r="897" spans="1:30" ht="12.9">
      <c r="A897" s="24"/>
      <c r="B897" s="24"/>
      <c r="C897" s="24"/>
      <c r="D897" s="24"/>
      <c r="E897" s="24"/>
      <c r="F897" s="143"/>
      <c r="G897" s="143"/>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row>
    <row r="898" spans="1:30" ht="12.9">
      <c r="A898" s="24"/>
      <c r="B898" s="24"/>
      <c r="C898" s="24"/>
      <c r="D898" s="24"/>
      <c r="E898" s="24"/>
      <c r="F898" s="143"/>
      <c r="G898" s="143"/>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row>
    <row r="899" spans="1:30" ht="12.9">
      <c r="A899" s="24"/>
      <c r="B899" s="24"/>
      <c r="C899" s="24"/>
      <c r="D899" s="24"/>
      <c r="E899" s="24"/>
      <c r="F899" s="143"/>
      <c r="G899" s="143"/>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row>
    <row r="900" spans="1:30" ht="12.9">
      <c r="A900" s="24"/>
      <c r="B900" s="24"/>
      <c r="C900" s="24"/>
      <c r="D900" s="24"/>
      <c r="E900" s="24"/>
      <c r="F900" s="143"/>
      <c r="G900" s="143"/>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row>
    <row r="901" spans="1:30" ht="12.9">
      <c r="A901" s="24"/>
      <c r="B901" s="24"/>
      <c r="C901" s="24"/>
      <c r="D901" s="24"/>
      <c r="E901" s="24"/>
      <c r="F901" s="143"/>
      <c r="G901" s="143"/>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row>
    <row r="902" spans="1:30" ht="12.9">
      <c r="A902" s="24"/>
      <c r="B902" s="24"/>
      <c r="C902" s="24"/>
      <c r="D902" s="24"/>
      <c r="E902" s="24"/>
      <c r="F902" s="143"/>
      <c r="G902" s="143"/>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row>
    <row r="903" spans="1:30" ht="12.9">
      <c r="A903" s="24"/>
      <c r="B903" s="24"/>
      <c r="C903" s="24"/>
      <c r="D903" s="24"/>
      <c r="E903" s="24"/>
      <c r="F903" s="143"/>
      <c r="G903" s="143"/>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row>
    <row r="904" spans="1:30" ht="12.9">
      <c r="A904" s="24"/>
      <c r="B904" s="24"/>
      <c r="C904" s="24"/>
      <c r="D904" s="24"/>
      <c r="E904" s="24"/>
      <c r="F904" s="143"/>
      <c r="G904" s="143"/>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row>
    <row r="905" spans="1:30" ht="12.9">
      <c r="A905" s="24"/>
      <c r="B905" s="24"/>
      <c r="C905" s="24"/>
      <c r="D905" s="24"/>
      <c r="E905" s="24"/>
      <c r="F905" s="143"/>
      <c r="G905" s="143"/>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row>
    <row r="906" spans="1:30" ht="12.9">
      <c r="A906" s="24"/>
      <c r="B906" s="24"/>
      <c r="C906" s="24"/>
      <c r="D906" s="24"/>
      <c r="E906" s="24"/>
      <c r="F906" s="143"/>
      <c r="G906" s="143"/>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row>
    <row r="907" spans="1:30" ht="12.9">
      <c r="A907" s="24"/>
      <c r="B907" s="24"/>
      <c r="C907" s="24"/>
      <c r="D907" s="24"/>
      <c r="E907" s="24"/>
      <c r="F907" s="143"/>
      <c r="G907" s="143"/>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row>
    <row r="908" spans="1:30" ht="12.9">
      <c r="A908" s="24"/>
      <c r="B908" s="24"/>
      <c r="C908" s="24"/>
      <c r="D908" s="24"/>
      <c r="E908" s="24"/>
      <c r="F908" s="143"/>
      <c r="G908" s="143"/>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row>
    <row r="909" spans="1:30" ht="12.9">
      <c r="A909" s="24"/>
      <c r="B909" s="24"/>
      <c r="C909" s="24"/>
      <c r="D909" s="24"/>
      <c r="E909" s="24"/>
      <c r="F909" s="143"/>
      <c r="G909" s="143"/>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row>
    <row r="910" spans="1:30" ht="12.9">
      <c r="A910" s="24"/>
      <c r="B910" s="24"/>
      <c r="C910" s="24"/>
      <c r="D910" s="24"/>
      <c r="E910" s="24"/>
      <c r="F910" s="143"/>
      <c r="G910" s="143"/>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row>
    <row r="911" spans="1:30" ht="12.9">
      <c r="A911" s="24"/>
      <c r="B911" s="24"/>
      <c r="C911" s="24"/>
      <c r="D911" s="24"/>
      <c r="E911" s="24"/>
      <c r="F911" s="143"/>
      <c r="G911" s="143"/>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row>
    <row r="912" spans="1:30" ht="12.9">
      <c r="A912" s="24"/>
      <c r="B912" s="24"/>
      <c r="C912" s="24"/>
      <c r="D912" s="24"/>
      <c r="E912" s="24"/>
      <c r="F912" s="143"/>
      <c r="G912" s="143"/>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row>
    <row r="913" spans="1:30" ht="12.9">
      <c r="A913" s="24"/>
      <c r="B913" s="24"/>
      <c r="C913" s="24"/>
      <c r="D913" s="24"/>
      <c r="E913" s="24"/>
      <c r="F913" s="143"/>
      <c r="G913" s="143"/>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row>
    <row r="914" spans="1:30" ht="12.9">
      <c r="A914" s="24"/>
      <c r="B914" s="24"/>
      <c r="C914" s="24"/>
      <c r="D914" s="24"/>
      <c r="E914" s="24"/>
      <c r="F914" s="143"/>
      <c r="G914" s="143"/>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row>
    <row r="915" spans="1:30" ht="12.9">
      <c r="A915" s="24"/>
      <c r="B915" s="24"/>
      <c r="C915" s="24"/>
      <c r="D915" s="24"/>
      <c r="E915" s="24"/>
      <c r="F915" s="143"/>
      <c r="G915" s="143"/>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row>
    <row r="916" spans="1:30" ht="12.9">
      <c r="A916" s="24"/>
      <c r="B916" s="24"/>
      <c r="C916" s="24"/>
      <c r="D916" s="24"/>
      <c r="E916" s="24"/>
      <c r="F916" s="143"/>
      <c r="G916" s="143"/>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row>
    <row r="917" spans="1:30" ht="12.9">
      <c r="A917" s="24"/>
      <c r="B917" s="24"/>
      <c r="C917" s="24"/>
      <c r="D917" s="24"/>
      <c r="E917" s="24"/>
      <c r="F917" s="143"/>
      <c r="G917" s="143"/>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row>
    <row r="918" spans="1:30" ht="12.9">
      <c r="A918" s="24"/>
      <c r="B918" s="24"/>
      <c r="C918" s="24"/>
      <c r="D918" s="24"/>
      <c r="E918" s="24"/>
      <c r="F918" s="143"/>
      <c r="G918" s="143"/>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row>
    <row r="919" spans="1:30" ht="12.9">
      <c r="A919" s="24"/>
      <c r="B919" s="24"/>
      <c r="C919" s="24"/>
      <c r="D919" s="24"/>
      <c r="E919" s="24"/>
      <c r="F919" s="143"/>
      <c r="G919" s="143"/>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row>
    <row r="920" spans="1:30" ht="12.9">
      <c r="A920" s="24"/>
      <c r="B920" s="24"/>
      <c r="C920" s="24"/>
      <c r="D920" s="24"/>
      <c r="E920" s="24"/>
      <c r="F920" s="143"/>
      <c r="G920" s="143"/>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row>
    <row r="921" spans="1:30" ht="12.9">
      <c r="A921" s="24"/>
      <c r="B921" s="24"/>
      <c r="C921" s="24"/>
      <c r="D921" s="24"/>
      <c r="E921" s="24"/>
      <c r="F921" s="143"/>
      <c r="G921" s="143"/>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row>
    <row r="922" spans="1:30" ht="12.9">
      <c r="A922" s="24"/>
      <c r="B922" s="24"/>
      <c r="C922" s="24"/>
      <c r="D922" s="24"/>
      <c r="E922" s="24"/>
      <c r="F922" s="143"/>
      <c r="G922" s="143"/>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row>
    <row r="923" spans="1:30" ht="12.9">
      <c r="A923" s="24"/>
      <c r="B923" s="24"/>
      <c r="C923" s="24"/>
      <c r="D923" s="24"/>
      <c r="E923" s="24"/>
      <c r="F923" s="143"/>
      <c r="G923" s="143"/>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row>
    <row r="924" spans="1:30" ht="12.9">
      <c r="A924" s="24"/>
      <c r="B924" s="24"/>
      <c r="C924" s="24"/>
      <c r="D924" s="24"/>
      <c r="E924" s="24"/>
      <c r="F924" s="143"/>
      <c r="G924" s="143"/>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row>
    <row r="925" spans="1:30" ht="12.9">
      <c r="A925" s="24"/>
      <c r="B925" s="24"/>
      <c r="C925" s="24"/>
      <c r="D925" s="24"/>
      <c r="E925" s="24"/>
      <c r="F925" s="143"/>
      <c r="G925" s="143"/>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row>
    <row r="926" spans="1:30" ht="12.9">
      <c r="A926" s="24"/>
      <c r="B926" s="24"/>
      <c r="C926" s="24"/>
      <c r="D926" s="24"/>
      <c r="E926" s="24"/>
      <c r="F926" s="143"/>
      <c r="G926" s="143"/>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row>
    <row r="927" spans="1:30" ht="12.9">
      <c r="A927" s="24"/>
      <c r="B927" s="24"/>
      <c r="C927" s="24"/>
      <c r="D927" s="24"/>
      <c r="E927" s="24"/>
      <c r="F927" s="143"/>
      <c r="G927" s="143"/>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row>
    <row r="928" spans="1:30" ht="12.9">
      <c r="A928" s="24"/>
      <c r="B928" s="24"/>
      <c r="C928" s="24"/>
      <c r="D928" s="24"/>
      <c r="E928" s="24"/>
      <c r="F928" s="143"/>
      <c r="G928" s="143"/>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row>
    <row r="929" spans="1:30" ht="12.9">
      <c r="A929" s="24"/>
      <c r="B929" s="24"/>
      <c r="C929" s="24"/>
      <c r="D929" s="24"/>
      <c r="E929" s="24"/>
      <c r="F929" s="143"/>
      <c r="G929" s="143"/>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row>
    <row r="930" spans="1:30" ht="12.9">
      <c r="A930" s="24"/>
      <c r="B930" s="24"/>
      <c r="C930" s="24"/>
      <c r="D930" s="24"/>
      <c r="E930" s="24"/>
      <c r="F930" s="143"/>
      <c r="G930" s="143"/>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row>
    <row r="931" spans="1:30" ht="12.9">
      <c r="A931" s="24"/>
      <c r="B931" s="24"/>
      <c r="C931" s="24"/>
      <c r="D931" s="24"/>
      <c r="E931" s="24"/>
      <c r="F931" s="143"/>
      <c r="G931" s="143"/>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row>
    <row r="932" spans="1:30" ht="12.9">
      <c r="A932" s="24"/>
      <c r="B932" s="24"/>
      <c r="C932" s="24"/>
      <c r="D932" s="24"/>
      <c r="E932" s="24"/>
      <c r="F932" s="143"/>
      <c r="G932" s="143"/>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row>
    <row r="933" spans="1:30" ht="12.9">
      <c r="A933" s="24"/>
      <c r="B933" s="24"/>
      <c r="C933" s="24"/>
      <c r="D933" s="24"/>
      <c r="E933" s="24"/>
      <c r="F933" s="143"/>
      <c r="G933" s="143"/>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row>
    <row r="934" spans="1:30" ht="12.9">
      <c r="A934" s="24"/>
      <c r="B934" s="24"/>
      <c r="C934" s="24"/>
      <c r="D934" s="24"/>
      <c r="E934" s="24"/>
      <c r="F934" s="143"/>
      <c r="G934" s="143"/>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row>
    <row r="935" spans="1:30" ht="12.9">
      <c r="A935" s="24"/>
      <c r="B935" s="24"/>
      <c r="C935" s="24"/>
      <c r="D935" s="24"/>
      <c r="E935" s="24"/>
      <c r="F935" s="143"/>
      <c r="G935" s="143"/>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row>
    <row r="936" spans="1:30" ht="12.9">
      <c r="A936" s="24"/>
      <c r="B936" s="24"/>
      <c r="C936" s="24"/>
      <c r="D936" s="24"/>
      <c r="E936" s="24"/>
      <c r="F936" s="143"/>
      <c r="G936" s="143"/>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row>
    <row r="937" spans="1:30" ht="12.9">
      <c r="A937" s="24"/>
      <c r="B937" s="24"/>
      <c r="C937" s="24"/>
      <c r="D937" s="24"/>
      <c r="E937" s="24"/>
      <c r="F937" s="143"/>
      <c r="G937" s="143"/>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row>
    <row r="938" spans="1:30" ht="12.9">
      <c r="A938" s="24"/>
      <c r="B938" s="24"/>
      <c r="C938" s="24"/>
      <c r="D938" s="24"/>
      <c r="E938" s="24"/>
      <c r="F938" s="143"/>
      <c r="G938" s="143"/>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row>
    <row r="939" spans="1:30" ht="12.9">
      <c r="A939" s="24"/>
      <c r="B939" s="24"/>
      <c r="C939" s="24"/>
      <c r="D939" s="24"/>
      <c r="E939" s="24"/>
      <c r="F939" s="143"/>
      <c r="G939" s="143"/>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row>
    <row r="940" spans="1:30" ht="12.9">
      <c r="A940" s="24"/>
      <c r="B940" s="24"/>
      <c r="C940" s="24"/>
      <c r="D940" s="24"/>
      <c r="E940" s="24"/>
      <c r="F940" s="143"/>
      <c r="G940" s="143"/>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row>
    <row r="941" spans="1:30" ht="12.9">
      <c r="A941" s="24"/>
      <c r="B941" s="24"/>
      <c r="C941" s="24"/>
      <c r="D941" s="24"/>
      <c r="E941" s="24"/>
      <c r="F941" s="143"/>
      <c r="G941" s="143"/>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row>
    <row r="942" spans="1:30" ht="12.9">
      <c r="A942" s="24"/>
      <c r="B942" s="24"/>
      <c r="C942" s="24"/>
      <c r="D942" s="24"/>
      <c r="E942" s="24"/>
      <c r="F942" s="143"/>
      <c r="G942" s="143"/>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row>
    <row r="943" spans="1:30" ht="12.9">
      <c r="A943" s="24"/>
      <c r="B943" s="24"/>
      <c r="C943" s="24"/>
      <c r="D943" s="24"/>
      <c r="E943" s="24"/>
      <c r="F943" s="143"/>
      <c r="G943" s="143"/>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row>
    <row r="944" spans="1:30" ht="12.9">
      <c r="A944" s="24"/>
      <c r="B944" s="24"/>
      <c r="C944" s="24"/>
      <c r="D944" s="24"/>
      <c r="E944" s="24"/>
      <c r="F944" s="143"/>
      <c r="G944" s="143"/>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row>
    <row r="945" spans="1:30" ht="12.9">
      <c r="A945" s="24"/>
      <c r="B945" s="24"/>
      <c r="C945" s="24"/>
      <c r="D945" s="24"/>
      <c r="E945" s="24"/>
      <c r="F945" s="143"/>
      <c r="G945" s="143"/>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row>
    <row r="946" spans="1:30" ht="12.9">
      <c r="A946" s="24"/>
      <c r="B946" s="24"/>
      <c r="C946" s="24"/>
      <c r="D946" s="24"/>
      <c r="E946" s="24"/>
      <c r="F946" s="143"/>
      <c r="G946" s="143"/>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row>
    <row r="947" spans="1:30" ht="12.9">
      <c r="A947" s="24"/>
      <c r="B947" s="24"/>
      <c r="C947" s="24"/>
      <c r="D947" s="24"/>
      <c r="E947" s="24"/>
      <c r="F947" s="143"/>
      <c r="G947" s="143"/>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row>
    <row r="948" spans="1:30" ht="12.9">
      <c r="A948" s="24"/>
      <c r="B948" s="24"/>
      <c r="C948" s="24"/>
      <c r="D948" s="24"/>
      <c r="E948" s="24"/>
      <c r="F948" s="143"/>
      <c r="G948" s="143"/>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row>
    <row r="949" spans="1:30" ht="12.9">
      <c r="A949" s="24"/>
      <c r="B949" s="24"/>
      <c r="C949" s="24"/>
      <c r="D949" s="24"/>
      <c r="E949" s="24"/>
      <c r="F949" s="143"/>
      <c r="G949" s="143"/>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row>
    <row r="950" spans="1:30" ht="12.9">
      <c r="A950" s="24"/>
      <c r="B950" s="24"/>
      <c r="C950" s="24"/>
      <c r="D950" s="24"/>
      <c r="E950" s="24"/>
      <c r="F950" s="143"/>
      <c r="G950" s="143"/>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row>
    <row r="951" spans="1:30" ht="12.9">
      <c r="A951" s="24"/>
      <c r="B951" s="24"/>
      <c r="C951" s="24"/>
      <c r="D951" s="24"/>
      <c r="E951" s="24"/>
      <c r="F951" s="143"/>
      <c r="G951" s="143"/>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row>
    <row r="952" spans="1:30" ht="12.9">
      <c r="A952" s="24"/>
      <c r="B952" s="24"/>
      <c r="C952" s="24"/>
      <c r="D952" s="24"/>
      <c r="E952" s="24"/>
      <c r="F952" s="143"/>
      <c r="G952" s="143"/>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row>
    <row r="953" spans="1:30" ht="12.9">
      <c r="A953" s="24"/>
      <c r="B953" s="24"/>
      <c r="C953" s="24"/>
      <c r="D953" s="24"/>
      <c r="E953" s="24"/>
      <c r="F953" s="143"/>
      <c r="G953" s="143"/>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row>
    <row r="954" spans="1:30" ht="12.9">
      <c r="A954" s="24"/>
      <c r="B954" s="24"/>
      <c r="C954" s="24"/>
      <c r="D954" s="24"/>
      <c r="E954" s="24"/>
      <c r="F954" s="143"/>
      <c r="G954" s="143"/>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row>
    <row r="955" spans="1:30" ht="12.9">
      <c r="A955" s="24"/>
      <c r="B955" s="24"/>
      <c r="C955" s="24"/>
      <c r="D955" s="24"/>
      <c r="E955" s="24"/>
      <c r="F955" s="143"/>
      <c r="G955" s="143"/>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row>
    <row r="956" spans="1:30" ht="12.9">
      <c r="A956" s="24"/>
      <c r="B956" s="24"/>
      <c r="C956" s="24"/>
      <c r="D956" s="24"/>
      <c r="E956" s="24"/>
      <c r="F956" s="143"/>
      <c r="G956" s="143"/>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row>
    <row r="957" spans="1:30" ht="12.9">
      <c r="A957" s="24"/>
      <c r="B957" s="24"/>
      <c r="C957" s="24"/>
      <c r="D957" s="24"/>
      <c r="E957" s="24"/>
      <c r="F957" s="143"/>
      <c r="G957" s="143"/>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row>
    <row r="958" spans="1:30" ht="12.9">
      <c r="A958" s="24"/>
      <c r="B958" s="24"/>
      <c r="C958" s="24"/>
      <c r="D958" s="24"/>
      <c r="E958" s="24"/>
      <c r="F958" s="143"/>
      <c r="G958" s="143"/>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row>
    <row r="959" spans="1:30" ht="12.9">
      <c r="A959" s="24"/>
      <c r="B959" s="24"/>
      <c r="C959" s="24"/>
      <c r="D959" s="24"/>
      <c r="E959" s="24"/>
      <c r="F959" s="143"/>
      <c r="G959" s="143"/>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row>
    <row r="960" spans="1:30" ht="12.9">
      <c r="A960" s="24"/>
      <c r="B960" s="24"/>
      <c r="C960" s="24"/>
      <c r="D960" s="24"/>
      <c r="E960" s="24"/>
      <c r="F960" s="143"/>
      <c r="G960" s="143"/>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row>
    <row r="961" spans="1:30" ht="12.9">
      <c r="A961" s="24"/>
      <c r="B961" s="24"/>
      <c r="C961" s="24"/>
      <c r="D961" s="24"/>
      <c r="E961" s="24"/>
      <c r="F961" s="143"/>
      <c r="G961" s="143"/>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row>
    <row r="962" spans="1:30" ht="12.9">
      <c r="A962" s="24"/>
      <c r="B962" s="24"/>
      <c r="C962" s="24"/>
      <c r="D962" s="24"/>
      <c r="E962" s="24"/>
      <c r="F962" s="143"/>
      <c r="G962" s="143"/>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row>
    <row r="963" spans="1:30" ht="12.9">
      <c r="A963" s="24"/>
      <c r="B963" s="24"/>
      <c r="C963" s="24"/>
      <c r="D963" s="24"/>
      <c r="E963" s="24"/>
      <c r="F963" s="143"/>
      <c r="G963" s="143"/>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row>
    <row r="964" spans="1:30" ht="12.9">
      <c r="A964" s="24"/>
      <c r="B964" s="24"/>
      <c r="C964" s="24"/>
      <c r="D964" s="24"/>
      <c r="E964" s="24"/>
      <c r="F964" s="143"/>
      <c r="G964" s="143"/>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row>
    <row r="965" spans="1:30" ht="12.9">
      <c r="A965" s="24"/>
      <c r="B965" s="24"/>
      <c r="C965" s="24"/>
      <c r="D965" s="24"/>
      <c r="E965" s="24"/>
      <c r="F965" s="143"/>
      <c r="G965" s="143"/>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row>
    <row r="966" spans="1:30" ht="12.9">
      <c r="A966" s="24"/>
      <c r="B966" s="24"/>
      <c r="C966" s="24"/>
      <c r="D966" s="24"/>
      <c r="E966" s="24"/>
      <c r="F966" s="143"/>
      <c r="G966" s="143"/>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row>
    <row r="967" spans="1:30" ht="12.9">
      <c r="A967" s="24"/>
      <c r="B967" s="24"/>
      <c r="C967" s="24"/>
      <c r="D967" s="24"/>
      <c r="E967" s="24"/>
      <c r="F967" s="143"/>
      <c r="G967" s="143"/>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row>
    <row r="968" spans="1:30" ht="12.9">
      <c r="A968" s="24"/>
      <c r="B968" s="24"/>
      <c r="C968" s="24"/>
      <c r="D968" s="24"/>
      <c r="E968" s="24"/>
      <c r="F968" s="143"/>
      <c r="G968" s="143"/>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row>
    <row r="969" spans="1:30" ht="12.9">
      <c r="A969" s="24"/>
      <c r="B969" s="24"/>
      <c r="C969" s="24"/>
      <c r="D969" s="24"/>
      <c r="E969" s="24"/>
      <c r="F969" s="143"/>
      <c r="G969" s="143"/>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row>
    <row r="970" spans="1:30" ht="12.9">
      <c r="A970" s="24"/>
      <c r="B970" s="24"/>
      <c r="C970" s="24"/>
      <c r="D970" s="24"/>
      <c r="E970" s="24"/>
      <c r="F970" s="143"/>
      <c r="G970" s="143"/>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row>
    <row r="971" spans="1:30" ht="12.9">
      <c r="A971" s="24"/>
      <c r="B971" s="24"/>
      <c r="C971" s="24"/>
      <c r="D971" s="24"/>
      <c r="E971" s="24"/>
      <c r="F971" s="143"/>
      <c r="G971" s="143"/>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row>
    <row r="972" spans="1:30" ht="12.9">
      <c r="A972" s="24"/>
      <c r="B972" s="24"/>
      <c r="C972" s="24"/>
      <c r="D972" s="24"/>
      <c r="E972" s="24"/>
      <c r="F972" s="143"/>
      <c r="G972" s="143"/>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row>
    <row r="973" spans="1:30" ht="12.9">
      <c r="A973" s="24"/>
      <c r="B973" s="24"/>
      <c r="C973" s="24"/>
      <c r="D973" s="24"/>
      <c r="E973" s="24"/>
      <c r="F973" s="143"/>
      <c r="G973" s="143"/>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row>
    <row r="974" spans="1:30" ht="12.9">
      <c r="A974" s="24"/>
      <c r="B974" s="24"/>
      <c r="C974" s="24"/>
      <c r="D974" s="24"/>
      <c r="E974" s="24"/>
      <c r="F974" s="143"/>
      <c r="G974" s="143"/>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row>
    <row r="975" spans="1:30" ht="12.9">
      <c r="A975" s="24"/>
      <c r="B975" s="24"/>
      <c r="C975" s="24"/>
      <c r="D975" s="24"/>
      <c r="E975" s="24"/>
      <c r="F975" s="143"/>
      <c r="G975" s="143"/>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row>
    <row r="976" spans="1:30" ht="12.9">
      <c r="A976" s="24"/>
      <c r="B976" s="24"/>
      <c r="C976" s="24"/>
      <c r="D976" s="24"/>
      <c r="E976" s="24"/>
      <c r="F976" s="143"/>
      <c r="G976" s="143"/>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row>
    <row r="977" spans="1:30" ht="12.9">
      <c r="A977" s="24"/>
      <c r="B977" s="24"/>
      <c r="C977" s="24"/>
      <c r="D977" s="24"/>
      <c r="E977" s="24"/>
      <c r="F977" s="143"/>
      <c r="G977" s="143"/>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row>
    <row r="978" spans="1:30" ht="12.9">
      <c r="A978" s="24"/>
      <c r="B978" s="24"/>
      <c r="C978" s="24"/>
      <c r="D978" s="24"/>
      <c r="E978" s="24"/>
      <c r="F978" s="143"/>
      <c r="G978" s="143"/>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row>
    <row r="979" spans="1:30" ht="12.9">
      <c r="A979" s="24"/>
      <c r="B979" s="24"/>
      <c r="C979" s="24"/>
      <c r="D979" s="24"/>
      <c r="E979" s="24"/>
      <c r="F979" s="143"/>
      <c r="G979" s="143"/>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row>
    <row r="980" spans="1:30" ht="12.9">
      <c r="A980" s="24"/>
      <c r="B980" s="24"/>
      <c r="C980" s="24"/>
      <c r="D980" s="24"/>
      <c r="E980" s="24"/>
      <c r="F980" s="143"/>
      <c r="G980" s="143"/>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row>
    <row r="981" spans="1:30" ht="12.9">
      <c r="A981" s="24"/>
      <c r="B981" s="24"/>
      <c r="C981" s="24"/>
      <c r="D981" s="24"/>
      <c r="E981" s="24"/>
      <c r="F981" s="143"/>
      <c r="G981" s="143"/>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row>
    <row r="982" spans="1:30" ht="12.9">
      <c r="A982" s="24"/>
      <c r="B982" s="24"/>
      <c r="C982" s="24"/>
      <c r="D982" s="24"/>
      <c r="E982" s="24"/>
      <c r="F982" s="143"/>
      <c r="G982" s="143"/>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row>
    <row r="983" spans="1:30" ht="12.9">
      <c r="A983" s="24"/>
      <c r="B983" s="24"/>
      <c r="C983" s="24"/>
      <c r="D983" s="24"/>
      <c r="E983" s="24"/>
      <c r="F983" s="143"/>
      <c r="G983" s="143"/>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row>
    <row r="984" spans="1:30" ht="12.9">
      <c r="A984" s="24"/>
      <c r="B984" s="24"/>
      <c r="C984" s="24"/>
      <c r="D984" s="24"/>
      <c r="E984" s="24"/>
      <c r="F984" s="143"/>
      <c r="G984" s="143"/>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row>
    <row r="985" spans="1:30" ht="12.9">
      <c r="A985" s="24"/>
      <c r="B985" s="24"/>
      <c r="C985" s="24"/>
      <c r="D985" s="24"/>
      <c r="E985" s="24"/>
      <c r="F985" s="143"/>
      <c r="G985" s="143"/>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row>
    <row r="986" spans="1:30" ht="12.9">
      <c r="A986" s="24"/>
      <c r="B986" s="24"/>
      <c r="C986" s="24"/>
      <c r="D986" s="24"/>
      <c r="E986" s="24"/>
      <c r="F986" s="143"/>
      <c r="G986" s="143"/>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row>
    <row r="987" spans="1:30" ht="12.9">
      <c r="A987" s="24"/>
      <c r="B987" s="24"/>
      <c r="C987" s="24"/>
      <c r="D987" s="24"/>
      <c r="E987" s="24"/>
      <c r="F987" s="143"/>
      <c r="G987" s="143"/>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row>
    <row r="988" spans="1:30" ht="12.9">
      <c r="A988" s="24"/>
      <c r="B988" s="24"/>
      <c r="C988" s="24"/>
      <c r="D988" s="24"/>
      <c r="E988" s="24"/>
      <c r="F988" s="143"/>
      <c r="G988" s="143"/>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row>
    <row r="989" spans="1:30" ht="12.9">
      <c r="A989" s="24"/>
      <c r="B989" s="24"/>
      <c r="C989" s="24"/>
      <c r="D989" s="24"/>
      <c r="E989" s="24"/>
      <c r="F989" s="143"/>
      <c r="G989" s="143"/>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row>
    <row r="990" spans="1:30" ht="12.9">
      <c r="A990" s="24"/>
      <c r="B990" s="24"/>
      <c r="C990" s="24"/>
      <c r="D990" s="24"/>
      <c r="E990" s="24"/>
      <c r="F990" s="143"/>
      <c r="G990" s="143"/>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row>
    <row r="991" spans="1:30" ht="12.9">
      <c r="A991" s="24"/>
      <c r="B991" s="24"/>
      <c r="C991" s="24"/>
      <c r="D991" s="24"/>
      <c r="E991" s="24"/>
      <c r="F991" s="143"/>
      <c r="G991" s="143"/>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row>
    <row r="992" spans="1:30" ht="12.9">
      <c r="A992" s="24"/>
      <c r="B992" s="24"/>
      <c r="C992" s="24"/>
      <c r="D992" s="24"/>
      <c r="E992" s="24"/>
      <c r="F992" s="143"/>
      <c r="G992" s="143"/>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row>
    <row r="993" spans="1:30" ht="12.9">
      <c r="A993" s="24"/>
      <c r="B993" s="24"/>
      <c r="C993" s="24"/>
      <c r="D993" s="24"/>
      <c r="E993" s="24"/>
      <c r="F993" s="143"/>
      <c r="G993" s="143"/>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row>
    <row r="994" spans="1:30" ht="12.9">
      <c r="A994" s="24"/>
      <c r="B994" s="24"/>
      <c r="C994" s="24"/>
      <c r="D994" s="24"/>
      <c r="E994" s="24"/>
      <c r="F994" s="143"/>
      <c r="G994" s="143"/>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row>
    <row r="995" spans="1:30" ht="12.9">
      <c r="A995" s="24"/>
      <c r="B995" s="24"/>
      <c r="C995" s="24"/>
      <c r="D995" s="24"/>
      <c r="E995" s="24"/>
      <c r="F995" s="143"/>
      <c r="G995" s="143"/>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row>
    <row r="996" spans="1:30" ht="12.9">
      <c r="A996" s="24"/>
      <c r="B996" s="24"/>
      <c r="C996" s="24"/>
      <c r="D996" s="24"/>
      <c r="E996" s="24"/>
      <c r="F996" s="143"/>
      <c r="G996" s="143"/>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row>
    <row r="997" spans="1:30" ht="12.9">
      <c r="A997" s="24"/>
      <c r="B997" s="24"/>
      <c r="C997" s="24"/>
      <c r="D997" s="24"/>
      <c r="E997" s="24"/>
      <c r="F997" s="143"/>
      <c r="G997" s="143"/>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row>
    <row r="998" spans="1:30" ht="12.9">
      <c r="A998" s="24"/>
      <c r="B998" s="24"/>
      <c r="C998" s="24"/>
      <c r="D998" s="24"/>
      <c r="E998" s="24"/>
      <c r="F998" s="143"/>
      <c r="G998" s="143"/>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row>
    <row r="999" spans="1:30" ht="12.9">
      <c r="A999" s="24"/>
      <c r="B999" s="24"/>
      <c r="C999" s="24"/>
      <c r="D999" s="24"/>
      <c r="E999" s="24"/>
      <c r="F999" s="143"/>
      <c r="G999" s="143"/>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row>
    <row r="1000" spans="1:30" ht="12.9">
      <c r="A1000" s="24"/>
      <c r="B1000" s="24"/>
      <c r="C1000" s="24"/>
      <c r="D1000" s="24"/>
      <c r="E1000" s="24"/>
      <c r="F1000" s="143"/>
      <c r="G1000" s="143"/>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row>
    <row r="1001" spans="1:30" ht="12.9">
      <c r="A1001" s="24"/>
      <c r="B1001" s="24"/>
      <c r="C1001" s="24"/>
      <c r="D1001" s="24"/>
      <c r="E1001" s="24"/>
      <c r="F1001" s="143"/>
      <c r="G1001" s="143"/>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row>
    <row r="1002" spans="1:30" ht="12.9">
      <c r="A1002" s="24"/>
      <c r="B1002" s="24"/>
      <c r="C1002" s="24"/>
      <c r="D1002" s="24"/>
      <c r="E1002" s="24"/>
      <c r="F1002" s="143"/>
      <c r="G1002" s="143"/>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row>
    <row r="1003" spans="1:30" ht="12.9">
      <c r="A1003" s="24"/>
      <c r="B1003" s="24"/>
      <c r="C1003" s="24"/>
      <c r="D1003" s="24"/>
      <c r="E1003" s="24"/>
      <c r="F1003" s="143"/>
      <c r="G1003" s="143"/>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row>
    <row r="1004" spans="1:30" ht="12.9">
      <c r="A1004" s="24"/>
      <c r="B1004" s="24"/>
      <c r="C1004" s="24"/>
      <c r="D1004" s="24"/>
      <c r="E1004" s="24"/>
      <c r="F1004" s="143"/>
      <c r="G1004" s="143"/>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row>
    <row r="1005" spans="1:30" ht="12.9">
      <c r="A1005" s="24"/>
      <c r="B1005" s="24"/>
      <c r="C1005" s="24"/>
      <c r="D1005" s="24"/>
      <c r="E1005" s="24"/>
      <c r="F1005" s="143"/>
      <c r="G1005" s="143"/>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row>
    <row r="1006" spans="1:30" ht="12.9">
      <c r="A1006" s="24"/>
      <c r="B1006" s="24"/>
      <c r="C1006" s="24"/>
      <c r="D1006" s="24"/>
      <c r="E1006" s="24"/>
      <c r="F1006" s="143"/>
      <c r="G1006" s="143"/>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row>
    <row r="1007" spans="1:30" ht="12.9">
      <c r="A1007" s="24"/>
      <c r="B1007" s="24"/>
      <c r="C1007" s="24"/>
      <c r="D1007" s="24"/>
      <c r="E1007" s="24"/>
      <c r="F1007" s="143"/>
      <c r="G1007" s="143"/>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row>
    <row r="1008" spans="1:30" ht="12.9">
      <c r="A1008" s="24"/>
      <c r="B1008" s="24"/>
      <c r="C1008" s="24"/>
      <c r="D1008" s="24"/>
      <c r="E1008" s="24"/>
      <c r="F1008" s="143"/>
      <c r="G1008" s="143"/>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row>
    <row r="1009" spans="1:30" ht="12.9">
      <c r="A1009" s="24"/>
      <c r="B1009" s="24"/>
      <c r="C1009" s="24"/>
      <c r="D1009" s="24"/>
      <c r="E1009" s="24"/>
      <c r="F1009" s="143"/>
      <c r="G1009" s="143"/>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row>
    <row r="1010" spans="1:30" ht="12.9">
      <c r="A1010" s="24"/>
      <c r="B1010" s="24"/>
      <c r="C1010" s="24"/>
      <c r="D1010" s="24"/>
      <c r="E1010" s="24"/>
      <c r="F1010" s="143"/>
      <c r="G1010" s="143"/>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row>
    <row r="1011" spans="1:30" ht="12.9">
      <c r="A1011" s="24"/>
      <c r="B1011" s="24"/>
      <c r="C1011" s="24"/>
      <c r="D1011" s="24"/>
      <c r="E1011" s="24"/>
      <c r="F1011" s="143"/>
      <c r="G1011" s="143"/>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row>
    <row r="1012" spans="1:30" ht="12.9">
      <c r="A1012" s="24"/>
      <c r="B1012" s="24"/>
      <c r="C1012" s="24"/>
      <c r="D1012" s="24"/>
      <c r="E1012" s="24"/>
      <c r="F1012" s="143"/>
      <c r="G1012" s="143"/>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row>
    <row r="1013" spans="1:30" ht="12.9">
      <c r="A1013" s="24"/>
      <c r="B1013" s="24"/>
      <c r="C1013" s="24"/>
      <c r="D1013" s="24"/>
      <c r="E1013" s="24"/>
      <c r="F1013" s="143"/>
      <c r="G1013" s="143"/>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row>
    <row r="1014" spans="1:30" ht="12.9">
      <c r="A1014" s="24"/>
      <c r="B1014" s="24"/>
      <c r="C1014" s="24"/>
      <c r="D1014" s="24"/>
      <c r="E1014" s="24"/>
      <c r="F1014" s="143"/>
      <c r="G1014" s="143"/>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row>
    <row r="1015" spans="1:30" ht="12.9">
      <c r="A1015" s="24"/>
      <c r="B1015" s="24"/>
      <c r="C1015" s="24"/>
      <c r="D1015" s="24"/>
      <c r="E1015" s="24"/>
      <c r="F1015" s="143"/>
      <c r="G1015" s="143"/>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row>
    <row r="1016" spans="1:30" ht="12.9">
      <c r="A1016" s="24"/>
      <c r="B1016" s="24"/>
      <c r="C1016" s="24"/>
      <c r="D1016" s="24"/>
      <c r="E1016" s="24"/>
      <c r="F1016" s="143"/>
      <c r="G1016" s="143"/>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row>
    <row r="1017" spans="1:30" ht="12.9">
      <c r="A1017" s="24"/>
      <c r="B1017" s="24"/>
      <c r="C1017" s="24"/>
      <c r="D1017" s="24"/>
      <c r="E1017" s="24"/>
      <c r="F1017" s="143"/>
      <c r="G1017" s="143"/>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row>
    <row r="1018" spans="1:30" ht="12.9">
      <c r="A1018" s="24"/>
      <c r="B1018" s="24"/>
      <c r="C1018" s="24"/>
      <c r="D1018" s="24"/>
      <c r="E1018" s="24"/>
      <c r="F1018" s="143"/>
      <c r="G1018" s="143"/>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row>
    <row r="1019" spans="1:30" ht="12.9">
      <c r="A1019" s="24"/>
      <c r="B1019" s="24"/>
      <c r="C1019" s="24"/>
      <c r="D1019" s="24"/>
      <c r="E1019" s="24"/>
      <c r="F1019" s="143"/>
      <c r="G1019" s="143"/>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row>
    <row r="1020" spans="1:30" ht="12.9">
      <c r="A1020" s="24"/>
      <c r="B1020" s="24"/>
      <c r="C1020" s="24"/>
      <c r="D1020" s="24"/>
      <c r="E1020" s="24"/>
      <c r="F1020" s="143"/>
      <c r="G1020" s="143"/>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row>
    <row r="1021" spans="1:30" ht="12.9">
      <c r="A1021" s="24"/>
      <c r="B1021" s="24"/>
      <c r="C1021" s="24"/>
      <c r="D1021" s="24"/>
      <c r="E1021" s="24"/>
      <c r="F1021" s="143"/>
      <c r="G1021" s="143"/>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row>
    <row r="1022" spans="1:30" ht="12.9">
      <c r="A1022" s="24"/>
      <c r="B1022" s="24"/>
      <c r="C1022" s="24"/>
      <c r="D1022" s="24"/>
      <c r="E1022" s="24"/>
      <c r="F1022" s="143"/>
      <c r="G1022" s="143"/>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row>
    <row r="1023" spans="1:30" ht="12.9">
      <c r="A1023" s="24"/>
      <c r="B1023" s="24"/>
      <c r="C1023" s="24"/>
      <c r="D1023" s="24"/>
      <c r="E1023" s="24"/>
      <c r="F1023" s="143"/>
      <c r="G1023" s="143"/>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row>
    <row r="1024" spans="1:30" ht="12.9">
      <c r="A1024" s="24"/>
      <c r="B1024" s="24"/>
      <c r="C1024" s="24"/>
      <c r="D1024" s="24"/>
      <c r="E1024" s="24"/>
      <c r="F1024" s="143"/>
      <c r="G1024" s="143"/>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row>
    <row r="1025" spans="1:30" ht="12.9">
      <c r="A1025" s="24"/>
      <c r="B1025" s="24"/>
      <c r="C1025" s="24"/>
      <c r="D1025" s="24"/>
      <c r="E1025" s="24"/>
      <c r="F1025" s="143"/>
      <c r="G1025" s="143"/>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row>
    <row r="1026" spans="1:30" ht="12.9">
      <c r="A1026" s="24"/>
      <c r="B1026" s="24"/>
      <c r="C1026" s="24"/>
      <c r="D1026" s="24"/>
      <c r="E1026" s="24"/>
      <c r="F1026" s="143"/>
      <c r="G1026" s="143"/>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row>
    <row r="1027" spans="1:30" ht="12.9">
      <c r="A1027" s="24"/>
      <c r="B1027" s="24"/>
      <c r="C1027" s="24"/>
      <c r="D1027" s="24"/>
      <c r="E1027" s="24"/>
      <c r="F1027" s="143"/>
      <c r="G1027" s="143"/>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x14:formula1>
            <xm:f>'Self Assessment Total Score'!$C$18:$C$21</xm:f>
          </x14:formula1>
          <xm:sqref>H2:H115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Self Assessment Total Score</vt:lpstr>
      <vt:lpstr>RolesPersonas</vt:lpstr>
      <vt:lpstr>Acquisition Planning (AP)</vt:lpstr>
      <vt:lpstr>Acquisition Package Preparation</vt:lpstr>
      <vt:lpstr>Source Selection (SS)</vt:lpstr>
      <vt:lpstr>Contract Administration</vt:lpstr>
      <vt:lpstr>Clause Logic</vt:lpstr>
      <vt:lpstr>Workflow Management</vt:lpstr>
      <vt:lpstr>General</vt:lpstr>
      <vt:lpstr>Third Party Systems</vt:lpstr>
      <vt:lpstr>DigitalElectronic Signatures</vt:lpstr>
      <vt:lpstr>Records Management (ECF)</vt:lpstr>
      <vt:lpstr>Vendor Portal</vt:lpstr>
      <vt:lpstr>System</vt:lpstr>
      <vt:lpstr>Customer Portal</vt:lpstr>
      <vt:lpstr>Financial Management</vt:lpstr>
      <vt:lpstr>CTAG</vt:lpstr>
      <vt:lpstr>Catalog Management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PriyankaDhaka</cp:lastModifiedBy>
  <dcterms:modified xsi:type="dcterms:W3CDTF">2019-06-28T20:34:41Z</dcterms:modified>
</cp:coreProperties>
</file>